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comments8.xml" ContentType="application/vnd.openxmlformats-officedocument.spreadsheetml.comments+xml"/>
  <Override PartName="/xl/drawings/drawing13.xml" ContentType="application/vnd.openxmlformats-officedocument.drawing+xml"/>
  <Override PartName="/xl/comments9.xml" ContentType="application/vnd.openxmlformats-officedocument.spreadsheetml.comments+xml"/>
  <Override PartName="/xl/drawings/drawing14.xml" ContentType="application/vnd.openxmlformats-officedocument.drawing+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Users\Michael\Downloads\"/>
    </mc:Choice>
  </mc:AlternateContent>
  <xr:revisionPtr revIDLastSave="0" documentId="13_ncr:1_{EFA56CD5-C2DF-4046-A963-461559A799C9}" xr6:coauthVersionLast="47" xr6:coauthVersionMax="47" xr10:uidLastSave="{00000000-0000-0000-0000-000000000000}"/>
  <bookViews>
    <workbookView xWindow="-108" yWindow="-108" windowWidth="30936" windowHeight="16896" tabRatio="724" xr2:uid="{00000000-000D-0000-FFFF-FFFF00000000}"/>
  </bookViews>
  <sheets>
    <sheet name="開始" sheetId="39" r:id="rId1"/>
    <sheet name="主頁" sheetId="1" r:id="rId2"/>
    <sheet name="All in One" sheetId="34" r:id="rId3"/>
    <sheet name="CityU" sheetId="12" r:id="rId4"/>
    <sheet name="HKBU" sheetId="16" r:id="rId5"/>
    <sheet name="PolyU" sheetId="9" r:id="rId6"/>
    <sheet name="CUHK" sheetId="21" r:id="rId7"/>
    <sheet name="HKUST" sheetId="10" r:id="rId8"/>
    <sheet name="HKU" sheetId="8" r:id="rId9"/>
    <sheet name="LingU" sheetId="15" r:id="rId10"/>
    <sheet name="EdUHK" sheetId="14" r:id="rId11"/>
    <sheet name="HKMU" sheetId="19" r:id="rId12"/>
    <sheet name="SSSDP" sheetId="20" r:id="rId13"/>
    <sheet name="Retake 扣分" sheetId="28" r:id="rId14"/>
    <sheet name="Programme List (2021 &amp; 2022)" sheetId="22" state="hidden" r:id="rId15"/>
    <sheet name="入學要求" sheetId="6" state="hidden" r:id="rId16"/>
    <sheet name="Reference Score Calculation" sheetId="33" state="hidden" r:id="rId17"/>
    <sheet name="選單" sheetId="3" state="hidden" r:id="rId18"/>
    <sheet name="A123" sheetId="17" state="hidden" r:id="rId19"/>
    <sheet name="PolyU Score Calculation" sheetId="36" state="hidden" r:id="rId20"/>
    <sheet name="Offer Statistics" sheetId="26" state="hidden" r:id="rId21"/>
    <sheet name="計分版" sheetId="2" state="hidden" r:id="rId22"/>
  </sheets>
  <externalReferences>
    <externalReference r:id="rId23"/>
  </externalReferences>
  <definedNames>
    <definedName name="_xlnm._FilterDatabase" localSheetId="20" hidden="1">'Offer Statistics'!$B$1:$Q$151</definedName>
    <definedName name="_xlnm._FilterDatabase" localSheetId="19" hidden="1">'PolyU Score Calculation'!$A$1:$M$1</definedName>
    <definedName name="_xlnm._FilterDatabase" localSheetId="16" hidden="1">'Reference Score Calculation'!$A$12:$W$12</definedName>
    <definedName name="丙類科目等級" localSheetId="6">[1]選單!$G$2:$G$8</definedName>
    <definedName name="丙類科目等級">選單!$H$2:$H$8</definedName>
    <definedName name="丙類選修科" localSheetId="6">[1]選單!$F$2:$F$8</definedName>
    <definedName name="丙類選修科">選單!$G$2:$G$8</definedName>
    <definedName name="差">選單!$F$7:$F$9</definedName>
    <definedName name="差距ULM">選單!$F$7:$F$9</definedName>
    <definedName name="差距UML">選單!$F$7:$F$9</definedName>
    <definedName name="第一選修科" localSheetId="6">[1]選單!$B$2:$B$25</definedName>
    <definedName name="第一選修科">選單!#REF!</definedName>
    <definedName name="第二選修科" localSheetId="6">[1]選單!$C$2:$C$25</definedName>
    <definedName name="第二選修科">選單!$D$2:$D$25</definedName>
    <definedName name="第三選修科">選單!$E$2:$E$25</definedName>
    <definedName name="第四選修科" localSheetId="6">[1]選單!$E$2:$E$6</definedName>
    <definedName name="第四選修科">選單!$F$2:$F$6</definedName>
    <definedName name="等級" localSheetId="6">[1]選單!$A$2:$A$10</definedName>
    <definedName name="等級">選單!$A$2:$A$10</definedName>
    <definedName name="數學延伸部份" localSheetId="6">[1]選單!#REF!</definedName>
    <definedName name="數學延伸部份" localSheetId="20">選單!#REF!</definedName>
    <definedName name="數學延伸部份">選單!#REF!</definedName>
    <definedName name="選修科">選單!#REF!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6" l="1"/>
  <c r="K4" i="16"/>
  <c r="K5" i="16"/>
  <c r="K6" i="16"/>
  <c r="K7" i="16"/>
  <c r="K8" i="16"/>
  <c r="K9" i="16"/>
  <c r="K10" i="16"/>
  <c r="K11" i="16"/>
  <c r="K12" i="16"/>
  <c r="K13" i="16"/>
  <c r="K14" i="16"/>
  <c r="K15" i="16"/>
  <c r="K16" i="16"/>
  <c r="K17" i="16"/>
  <c r="K18" i="16"/>
  <c r="K19" i="16"/>
  <c r="K20" i="16"/>
  <c r="K21" i="16"/>
  <c r="K22" i="16"/>
  <c r="K2" i="16"/>
  <c r="J101" i="17"/>
  <c r="J102" i="17"/>
  <c r="J103" i="17"/>
  <c r="J104" i="17"/>
  <c r="J105" i="17"/>
  <c r="J106" i="17"/>
  <c r="J107" i="17"/>
  <c r="J108" i="17"/>
  <c r="J109" i="17"/>
  <c r="J110" i="17"/>
  <c r="J111" i="17"/>
  <c r="J112" i="17"/>
  <c r="J113" i="17"/>
  <c r="J114" i="17"/>
  <c r="J115" i="17"/>
  <c r="J116" i="17"/>
  <c r="J117" i="17"/>
  <c r="J118" i="17"/>
  <c r="J119" i="17"/>
  <c r="J120" i="17"/>
  <c r="J121" i="17"/>
  <c r="J122" i="17"/>
  <c r="J123" i="17"/>
  <c r="J124" i="17"/>
  <c r="J125" i="17"/>
  <c r="J126" i="17"/>
  <c r="J127" i="17"/>
  <c r="J128" i="17"/>
  <c r="J129" i="17"/>
  <c r="J130" i="17"/>
  <c r="J131" i="17"/>
  <c r="J132" i="17"/>
  <c r="J133" i="17"/>
  <c r="J134" i="17"/>
  <c r="J135" i="17"/>
  <c r="J136" i="17"/>
  <c r="J137" i="17"/>
  <c r="J138" i="17"/>
  <c r="J139" i="17"/>
  <c r="J140" i="17"/>
  <c r="J141" i="17"/>
  <c r="J142" i="17"/>
  <c r="J143" i="17"/>
  <c r="J144" i="17"/>
  <c r="J100" i="17"/>
  <c r="P379" i="2"/>
  <c r="Q379" i="2"/>
  <c r="P378" i="2"/>
  <c r="Q378" i="2"/>
  <c r="J382" i="17"/>
  <c r="J383" i="17"/>
  <c r="J384" i="17"/>
  <c r="J385" i="17"/>
  <c r="J386" i="17"/>
  <c r="J387" i="17"/>
  <c r="J388" i="17"/>
  <c r="J389" i="17"/>
  <c r="J390" i="17"/>
  <c r="J391" i="17"/>
  <c r="J392" i="17"/>
  <c r="J393" i="17"/>
  <c r="J394" i="17"/>
  <c r="J395" i="17"/>
  <c r="J396" i="17"/>
  <c r="J397" i="17"/>
  <c r="J398" i="17"/>
  <c r="J399" i="17"/>
  <c r="J400" i="17"/>
  <c r="J401" i="17"/>
  <c r="J402" i="17"/>
  <c r="J403" i="17"/>
  <c r="J404" i="17"/>
  <c r="J405" i="17"/>
  <c r="J406" i="17"/>
  <c r="J407" i="17"/>
  <c r="J408" i="17"/>
  <c r="J409" i="17"/>
  <c r="J410" i="17"/>
  <c r="J411" i="17"/>
  <c r="J412" i="17"/>
  <c r="J413" i="17"/>
  <c r="J414" i="17"/>
  <c r="J415" i="17"/>
  <c r="J416" i="17"/>
  <c r="J417" i="17"/>
  <c r="J418" i="17"/>
  <c r="J419" i="17"/>
  <c r="J420" i="17"/>
  <c r="J421" i="17"/>
  <c r="J422" i="17"/>
  <c r="J379" i="17"/>
  <c r="J380" i="17"/>
  <c r="J381" i="17"/>
  <c r="G379" i="17"/>
  <c r="H379" i="17"/>
  <c r="G380" i="17"/>
  <c r="H380" i="17"/>
  <c r="G381" i="17"/>
  <c r="H381" i="17"/>
  <c r="G382" i="17"/>
  <c r="H382" i="17"/>
  <c r="G383" i="17"/>
  <c r="G384" i="17"/>
  <c r="G385" i="17"/>
  <c r="H385" i="17"/>
  <c r="G386" i="17"/>
  <c r="H386" i="17"/>
  <c r="G387" i="17"/>
  <c r="H387" i="17"/>
  <c r="G388" i="17"/>
  <c r="H388" i="17"/>
  <c r="G389" i="17"/>
  <c r="H389" i="17"/>
  <c r="G390" i="17"/>
  <c r="H390" i="17"/>
  <c r="G391" i="17"/>
  <c r="H391" i="17"/>
  <c r="G392" i="17"/>
  <c r="H392" i="17"/>
  <c r="G393" i="17"/>
  <c r="H393" i="17"/>
  <c r="G394" i="17"/>
  <c r="H394" i="17"/>
  <c r="G395" i="17"/>
  <c r="H395" i="17"/>
  <c r="G396" i="17"/>
  <c r="H396" i="17"/>
  <c r="G397" i="17"/>
  <c r="H397" i="17"/>
  <c r="G398" i="17"/>
  <c r="H398" i="17"/>
  <c r="G399" i="17"/>
  <c r="H399" i="17"/>
  <c r="G400" i="17"/>
  <c r="H400" i="17"/>
  <c r="G401" i="17"/>
  <c r="H401" i="17"/>
  <c r="G402" i="17"/>
  <c r="H402" i="17"/>
  <c r="G403" i="17"/>
  <c r="H403" i="17"/>
  <c r="G404" i="17"/>
  <c r="H404" i="17"/>
  <c r="G405" i="17"/>
  <c r="H405" i="17"/>
  <c r="G406" i="17"/>
  <c r="H406" i="17"/>
  <c r="G407" i="17"/>
  <c r="H407" i="17"/>
  <c r="G408" i="17"/>
  <c r="H408" i="17"/>
  <c r="G409" i="17"/>
  <c r="H409" i="17"/>
  <c r="G410" i="17"/>
  <c r="H410" i="17"/>
  <c r="G411" i="17"/>
  <c r="H411" i="17"/>
  <c r="G412" i="17"/>
  <c r="H412" i="17"/>
  <c r="G413" i="17"/>
  <c r="H413" i="17"/>
  <c r="G414" i="17"/>
  <c r="H414" i="17"/>
  <c r="G415" i="17"/>
  <c r="H415" i="17"/>
  <c r="G416" i="17"/>
  <c r="H416" i="17"/>
  <c r="G417" i="17"/>
  <c r="H417" i="17"/>
  <c r="G418" i="17"/>
  <c r="H418" i="17"/>
  <c r="G419" i="17"/>
  <c r="H419" i="17"/>
  <c r="G420" i="17"/>
  <c r="H420" i="17"/>
  <c r="G421" i="17"/>
  <c r="H421" i="17"/>
  <c r="G422" i="17"/>
  <c r="H422" i="17"/>
  <c r="F379" i="17"/>
  <c r="F380" i="17"/>
  <c r="F381" i="17"/>
  <c r="F382"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A379" i="17"/>
  <c r="K379" i="17" s="1"/>
  <c r="B379" i="17"/>
  <c r="C379" i="17"/>
  <c r="D379" i="17"/>
  <c r="E379" i="17"/>
  <c r="A380" i="17"/>
  <c r="K380" i="17" s="1"/>
  <c r="B380" i="17"/>
  <c r="C380" i="17"/>
  <c r="D380" i="17"/>
  <c r="E380" i="17"/>
  <c r="A381" i="17"/>
  <c r="K381" i="17" s="1"/>
  <c r="B381" i="17"/>
  <c r="C381" i="17"/>
  <c r="D381" i="17"/>
  <c r="E381" i="17"/>
  <c r="A382" i="17"/>
  <c r="K382" i="17" s="1"/>
  <c r="B382" i="17"/>
  <c r="C382" i="17"/>
  <c r="D382" i="17"/>
  <c r="E382" i="17"/>
  <c r="A383" i="17"/>
  <c r="K383" i="17" s="1"/>
  <c r="B383" i="17"/>
  <c r="C383" i="17"/>
  <c r="D383" i="17"/>
  <c r="E383" i="17"/>
  <c r="A384" i="17"/>
  <c r="L384" i="17" s="1"/>
  <c r="B384" i="17"/>
  <c r="C384" i="17"/>
  <c r="D384" i="17"/>
  <c r="E384" i="17"/>
  <c r="A385" i="17"/>
  <c r="L385" i="17" s="1"/>
  <c r="B385" i="17"/>
  <c r="C385" i="17"/>
  <c r="D385" i="17"/>
  <c r="E385" i="17"/>
  <c r="A386" i="17"/>
  <c r="L386" i="17" s="1"/>
  <c r="B386" i="17"/>
  <c r="C386" i="17"/>
  <c r="D386" i="17"/>
  <c r="E386" i="17"/>
  <c r="A387" i="17"/>
  <c r="L387" i="17" s="1"/>
  <c r="B387" i="17"/>
  <c r="C387" i="17"/>
  <c r="D387" i="17"/>
  <c r="E387" i="17"/>
  <c r="A388" i="17"/>
  <c r="K388" i="17" s="1"/>
  <c r="B388" i="17"/>
  <c r="C388" i="17"/>
  <c r="D388" i="17"/>
  <c r="E388" i="17"/>
  <c r="A389" i="17"/>
  <c r="K389" i="17" s="1"/>
  <c r="B389" i="17"/>
  <c r="C389" i="17"/>
  <c r="D389" i="17"/>
  <c r="E389" i="17"/>
  <c r="A390" i="17"/>
  <c r="K390" i="17" s="1"/>
  <c r="B390" i="17"/>
  <c r="C390" i="17"/>
  <c r="D390" i="17"/>
  <c r="E390" i="17"/>
  <c r="A391" i="17"/>
  <c r="K391" i="17" s="1"/>
  <c r="B391" i="17"/>
  <c r="C391" i="17"/>
  <c r="D391" i="17"/>
  <c r="E391" i="17"/>
  <c r="A392" i="17"/>
  <c r="K392" i="17" s="1"/>
  <c r="B392" i="17"/>
  <c r="C392" i="17"/>
  <c r="D392" i="17"/>
  <c r="E392" i="17"/>
  <c r="A393" i="17"/>
  <c r="K393" i="17" s="1"/>
  <c r="B393" i="17"/>
  <c r="C393" i="17"/>
  <c r="D393" i="17"/>
  <c r="E393" i="17"/>
  <c r="A394" i="17"/>
  <c r="K394" i="17" s="1"/>
  <c r="B394" i="17"/>
  <c r="C394" i="17"/>
  <c r="D394" i="17"/>
  <c r="E394" i="17"/>
  <c r="A395" i="17"/>
  <c r="K395" i="17" s="1"/>
  <c r="B395" i="17"/>
  <c r="C395" i="17"/>
  <c r="D395" i="17"/>
  <c r="E395" i="17"/>
  <c r="A396" i="17"/>
  <c r="K396" i="17" s="1"/>
  <c r="B396" i="17"/>
  <c r="C396" i="17"/>
  <c r="D396" i="17"/>
  <c r="E396" i="17"/>
  <c r="A397" i="17"/>
  <c r="K397" i="17" s="1"/>
  <c r="B397" i="17"/>
  <c r="C397" i="17"/>
  <c r="D397" i="17"/>
  <c r="E397" i="17"/>
  <c r="A398" i="17"/>
  <c r="K398" i="17" s="1"/>
  <c r="B398" i="17"/>
  <c r="C398" i="17"/>
  <c r="D398" i="17"/>
  <c r="E398" i="17"/>
  <c r="A399" i="17"/>
  <c r="K399" i="17" s="1"/>
  <c r="B399" i="17"/>
  <c r="C399" i="17"/>
  <c r="D399" i="17"/>
  <c r="E399" i="17"/>
  <c r="A400" i="17"/>
  <c r="L400" i="17" s="1"/>
  <c r="B400" i="17"/>
  <c r="C400" i="17"/>
  <c r="D400" i="17"/>
  <c r="E400" i="17"/>
  <c r="A401" i="17"/>
  <c r="L401" i="17" s="1"/>
  <c r="B401" i="17"/>
  <c r="C401" i="17"/>
  <c r="D401" i="17"/>
  <c r="E401" i="17"/>
  <c r="A402" i="17"/>
  <c r="L402" i="17" s="1"/>
  <c r="B402" i="17"/>
  <c r="C402" i="17"/>
  <c r="D402" i="17"/>
  <c r="E402" i="17"/>
  <c r="A403" i="17"/>
  <c r="L403" i="17" s="1"/>
  <c r="B403" i="17"/>
  <c r="C403" i="17"/>
  <c r="D403" i="17"/>
  <c r="E403" i="17"/>
  <c r="A404" i="17"/>
  <c r="K404" i="17" s="1"/>
  <c r="B404" i="17"/>
  <c r="C404" i="17"/>
  <c r="D404" i="17"/>
  <c r="E404" i="17"/>
  <c r="A405" i="17"/>
  <c r="K405" i="17" s="1"/>
  <c r="B405" i="17"/>
  <c r="C405" i="17"/>
  <c r="D405" i="17"/>
  <c r="E405" i="17"/>
  <c r="A406" i="17"/>
  <c r="K406" i="17" s="1"/>
  <c r="B406" i="17"/>
  <c r="C406" i="17"/>
  <c r="D406" i="17"/>
  <c r="E406" i="17"/>
  <c r="A407" i="17"/>
  <c r="K407" i="17" s="1"/>
  <c r="B407" i="17"/>
  <c r="C407" i="17"/>
  <c r="D407" i="17"/>
  <c r="E407" i="17"/>
  <c r="A408" i="17"/>
  <c r="K408" i="17" s="1"/>
  <c r="B408" i="17"/>
  <c r="C408" i="17"/>
  <c r="D408" i="17"/>
  <c r="E408" i="17"/>
  <c r="A409" i="17"/>
  <c r="K409" i="17" s="1"/>
  <c r="B409" i="17"/>
  <c r="C409" i="17"/>
  <c r="D409" i="17"/>
  <c r="E409" i="17"/>
  <c r="A410" i="17"/>
  <c r="K410" i="17" s="1"/>
  <c r="B410" i="17"/>
  <c r="C410" i="17"/>
  <c r="D410" i="17"/>
  <c r="E410" i="17"/>
  <c r="A411" i="17"/>
  <c r="K411" i="17" s="1"/>
  <c r="B411" i="17"/>
  <c r="C411" i="17"/>
  <c r="D411" i="17"/>
  <c r="E411" i="17"/>
  <c r="A412" i="17"/>
  <c r="K412" i="17" s="1"/>
  <c r="B412" i="17"/>
  <c r="C412" i="17"/>
  <c r="D412" i="17"/>
  <c r="E412" i="17"/>
  <c r="A413" i="17"/>
  <c r="K413" i="17" s="1"/>
  <c r="B413" i="17"/>
  <c r="C413" i="17"/>
  <c r="D413" i="17"/>
  <c r="E413" i="17"/>
  <c r="A414" i="17"/>
  <c r="K414" i="17" s="1"/>
  <c r="B414" i="17"/>
  <c r="C414" i="17"/>
  <c r="D414" i="17"/>
  <c r="E414" i="17"/>
  <c r="A415" i="17"/>
  <c r="K415" i="17" s="1"/>
  <c r="B415" i="17"/>
  <c r="C415" i="17"/>
  <c r="D415" i="17"/>
  <c r="E415" i="17"/>
  <c r="A416" i="17"/>
  <c r="L416" i="17" s="1"/>
  <c r="B416" i="17"/>
  <c r="C416" i="17"/>
  <c r="D416" i="17"/>
  <c r="E416" i="17"/>
  <c r="A417" i="17"/>
  <c r="L417" i="17" s="1"/>
  <c r="B417" i="17"/>
  <c r="C417" i="17"/>
  <c r="D417" i="17"/>
  <c r="E417" i="17"/>
  <c r="A418" i="17"/>
  <c r="L418" i="17" s="1"/>
  <c r="B418" i="17"/>
  <c r="C418" i="17"/>
  <c r="D418" i="17"/>
  <c r="E418" i="17"/>
  <c r="A419" i="17"/>
  <c r="L419" i="17" s="1"/>
  <c r="B419" i="17"/>
  <c r="C419" i="17"/>
  <c r="D419" i="17"/>
  <c r="E419" i="17"/>
  <c r="A420" i="17"/>
  <c r="K420" i="17" s="1"/>
  <c r="B420" i="17"/>
  <c r="C420" i="17"/>
  <c r="D420" i="17"/>
  <c r="E420" i="17"/>
  <c r="A421" i="17"/>
  <c r="K421" i="17" s="1"/>
  <c r="B421" i="17"/>
  <c r="C421" i="17"/>
  <c r="D421" i="17"/>
  <c r="A422" i="17"/>
  <c r="K422" i="17" s="1"/>
  <c r="B422" i="17"/>
  <c r="C422" i="17"/>
  <c r="D422" i="17"/>
  <c r="E422" i="17"/>
  <c r="AC434" i="2"/>
  <c r="AC427" i="2"/>
  <c r="AC428" i="2"/>
  <c r="AC429" i="2"/>
  <c r="AC430" i="2"/>
  <c r="AC431" i="2"/>
  <c r="AC432" i="2"/>
  <c r="AC433" i="2"/>
  <c r="AC426" i="2"/>
  <c r="AC435" i="2"/>
  <c r="X392" i="2"/>
  <c r="X399" i="2"/>
  <c r="X400" i="2"/>
  <c r="X401" i="2"/>
  <c r="X402" i="2"/>
  <c r="X403" i="2"/>
  <c r="X404" i="2"/>
  <c r="X405" i="2"/>
  <c r="X406" i="2"/>
  <c r="X407" i="2"/>
  <c r="X408" i="2"/>
  <c r="X409" i="2"/>
  <c r="X410" i="2"/>
  <c r="X426" i="2"/>
  <c r="X427" i="2"/>
  <c r="X428" i="2"/>
  <c r="X429" i="2"/>
  <c r="X431" i="2"/>
  <c r="X432" i="2"/>
  <c r="X433" i="2"/>
  <c r="X434" i="2"/>
  <c r="X435" i="2"/>
  <c r="P416" i="2"/>
  <c r="Q416" i="2"/>
  <c r="P415" i="2"/>
  <c r="Q415" i="2"/>
  <c r="R415" i="2"/>
  <c r="P414" i="2"/>
  <c r="Q414" i="2"/>
  <c r="L415" i="17" l="1"/>
  <c r="K386" i="17"/>
  <c r="L399" i="17"/>
  <c r="L383" i="17"/>
  <c r="K419" i="17"/>
  <c r="K418" i="17"/>
  <c r="K403" i="17"/>
  <c r="K402" i="17"/>
  <c r="K387" i="17"/>
  <c r="L414" i="17"/>
  <c r="L398" i="17"/>
  <c r="L382" i="17"/>
  <c r="K417" i="17"/>
  <c r="K401" i="17"/>
  <c r="K385" i="17"/>
  <c r="L413" i="17"/>
  <c r="L397" i="17"/>
  <c r="L381" i="17"/>
  <c r="K416" i="17"/>
  <c r="K400" i="17"/>
  <c r="K384" i="17"/>
  <c r="L412" i="17"/>
  <c r="L396" i="17"/>
  <c r="L380" i="17"/>
  <c r="L411" i="17"/>
  <c r="L395" i="17"/>
  <c r="L410" i="17"/>
  <c r="L394" i="17"/>
  <c r="L409" i="17"/>
  <c r="L393" i="17"/>
  <c r="L408" i="17"/>
  <c r="L392" i="17"/>
  <c r="L379" i="17"/>
  <c r="L407" i="17"/>
  <c r="L391" i="17"/>
  <c r="L422" i="17"/>
  <c r="L406" i="17"/>
  <c r="L390" i="17"/>
  <c r="L421" i="17"/>
  <c r="L405" i="17"/>
  <c r="L389" i="17"/>
  <c r="L420" i="17"/>
  <c r="L404" i="17"/>
  <c r="L388" i="17"/>
  <c r="D393" i="2"/>
  <c r="D394" i="2"/>
  <c r="D395" i="2"/>
  <c r="D396" i="2"/>
  <c r="D397" i="2"/>
  <c r="D398" i="2"/>
  <c r="D399" i="2"/>
  <c r="D400" i="2"/>
  <c r="D401" i="2"/>
  <c r="D402" i="2"/>
  <c r="D403" i="2"/>
  <c r="D404" i="2"/>
  <c r="D405" i="2"/>
  <c r="D406" i="2"/>
  <c r="D407" i="2"/>
  <c r="D408" i="2"/>
  <c r="D409" i="2"/>
  <c r="D410" i="2"/>
  <c r="D411" i="2"/>
  <c r="D412" i="2"/>
  <c r="D413" i="2"/>
  <c r="D414" i="2"/>
  <c r="D415" i="2"/>
  <c r="D417" i="2"/>
  <c r="D418" i="2"/>
  <c r="D419" i="2"/>
  <c r="D420" i="2"/>
  <c r="D421" i="2"/>
  <c r="D422" i="2"/>
  <c r="D423" i="2"/>
  <c r="D424" i="2"/>
  <c r="D425" i="2"/>
  <c r="D426" i="2"/>
  <c r="D427" i="2"/>
  <c r="D428" i="2"/>
  <c r="D429" i="2"/>
  <c r="D430" i="2"/>
  <c r="D431" i="2"/>
  <c r="D432" i="2"/>
  <c r="D433" i="2"/>
  <c r="D434" i="2"/>
  <c r="D435" i="2"/>
  <c r="D392" i="2"/>
  <c r="C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392" i="2"/>
  <c r="X391" i="2"/>
  <c r="W391" i="2"/>
  <c r="V391" i="2"/>
  <c r="U391" i="2"/>
  <c r="T391" i="2"/>
  <c r="E393" i="2"/>
  <c r="F393" i="2"/>
  <c r="G393" i="2"/>
  <c r="E394" i="2"/>
  <c r="F394" i="2"/>
  <c r="G394" i="2"/>
  <c r="E395" i="2"/>
  <c r="F395" i="2"/>
  <c r="G395" i="2"/>
  <c r="E396" i="2"/>
  <c r="F396" i="2"/>
  <c r="G396" i="2"/>
  <c r="E397" i="2"/>
  <c r="F397" i="2"/>
  <c r="G397" i="2"/>
  <c r="E398" i="2"/>
  <c r="F398" i="2"/>
  <c r="G398" i="2"/>
  <c r="E399" i="2"/>
  <c r="F399" i="2"/>
  <c r="G399" i="2"/>
  <c r="E400" i="2"/>
  <c r="F400" i="2"/>
  <c r="G400" i="2"/>
  <c r="E401" i="2"/>
  <c r="F401" i="2"/>
  <c r="G401" i="2"/>
  <c r="E402" i="2"/>
  <c r="F402" i="2"/>
  <c r="G402" i="2"/>
  <c r="E403" i="2"/>
  <c r="F403" i="2"/>
  <c r="G403" i="2"/>
  <c r="E404" i="2"/>
  <c r="F404" i="2"/>
  <c r="G404" i="2"/>
  <c r="E405" i="2"/>
  <c r="F405" i="2"/>
  <c r="G405" i="2"/>
  <c r="E406" i="2"/>
  <c r="F406" i="2"/>
  <c r="G406" i="2"/>
  <c r="E407" i="2"/>
  <c r="F407" i="2"/>
  <c r="G407" i="2"/>
  <c r="E408" i="2"/>
  <c r="F408" i="2"/>
  <c r="G408" i="2"/>
  <c r="E409" i="2"/>
  <c r="F409" i="2"/>
  <c r="G409" i="2"/>
  <c r="E410" i="2"/>
  <c r="F410" i="2"/>
  <c r="G410" i="2"/>
  <c r="E411" i="2"/>
  <c r="F411" i="2"/>
  <c r="G411" i="2"/>
  <c r="E412" i="2"/>
  <c r="F412" i="2"/>
  <c r="G412" i="2"/>
  <c r="E413" i="2"/>
  <c r="F413" i="2"/>
  <c r="G413" i="2"/>
  <c r="E414" i="2"/>
  <c r="F414" i="2"/>
  <c r="G414" i="2"/>
  <c r="E415" i="2"/>
  <c r="F415" i="2"/>
  <c r="G415" i="2"/>
  <c r="E416" i="2"/>
  <c r="F416" i="2"/>
  <c r="G416" i="2"/>
  <c r="E417" i="2"/>
  <c r="F417" i="2"/>
  <c r="G417" i="2"/>
  <c r="E418" i="2"/>
  <c r="F418" i="2"/>
  <c r="G418" i="2"/>
  <c r="E419" i="2"/>
  <c r="F419" i="2"/>
  <c r="G419" i="2"/>
  <c r="E420" i="2"/>
  <c r="F420" i="2"/>
  <c r="G420" i="2"/>
  <c r="E421" i="2"/>
  <c r="F421" i="2"/>
  <c r="G421" i="2"/>
  <c r="E422" i="2"/>
  <c r="F422" i="2"/>
  <c r="G422" i="2"/>
  <c r="E423" i="2"/>
  <c r="F423" i="2"/>
  <c r="G423" i="2"/>
  <c r="E424" i="2"/>
  <c r="F424" i="2"/>
  <c r="G424" i="2"/>
  <c r="E425" i="2"/>
  <c r="F425" i="2"/>
  <c r="G425" i="2"/>
  <c r="E426" i="2"/>
  <c r="F426" i="2"/>
  <c r="G426" i="2"/>
  <c r="E427" i="2"/>
  <c r="F427" i="2"/>
  <c r="G427" i="2"/>
  <c r="E428" i="2"/>
  <c r="F428" i="2"/>
  <c r="G428" i="2"/>
  <c r="E429" i="2"/>
  <c r="F429" i="2"/>
  <c r="G429" i="2"/>
  <c r="E430" i="2"/>
  <c r="F430" i="2"/>
  <c r="G430" i="2"/>
  <c r="E431" i="2"/>
  <c r="F431" i="2"/>
  <c r="G431" i="2"/>
  <c r="E432" i="2"/>
  <c r="F432" i="2"/>
  <c r="G432" i="2"/>
  <c r="E433" i="2"/>
  <c r="F433" i="2"/>
  <c r="G433" i="2"/>
  <c r="E434" i="2"/>
  <c r="F434" i="2"/>
  <c r="G434" i="2"/>
  <c r="E435" i="2"/>
  <c r="F435" i="2"/>
  <c r="G435" i="2"/>
  <c r="F392" i="2"/>
  <c r="G392" i="2"/>
  <c r="E392" i="2"/>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2" i="12"/>
  <c r="F33" i="28"/>
  <c r="D33" i="28"/>
  <c r="C34" i="28"/>
  <c r="C35" i="28"/>
  <c r="C36" i="28"/>
  <c r="C37" i="28"/>
  <c r="C38" i="28"/>
  <c r="C39" i="28"/>
  <c r="C40" i="28"/>
  <c r="C41" i="28"/>
  <c r="C42" i="28"/>
  <c r="C43" i="28"/>
  <c r="C44" i="28"/>
  <c r="C45" i="28"/>
  <c r="C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33" i="28"/>
  <c r="B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33" i="28"/>
  <c r="E33" i="28"/>
  <c r="E34" i="28"/>
  <c r="F34" i="28"/>
  <c r="E35" i="28"/>
  <c r="F35" i="28"/>
  <c r="E36" i="28"/>
  <c r="F36" i="28"/>
  <c r="E37" i="28"/>
  <c r="F37" i="28"/>
  <c r="E39" i="28"/>
  <c r="F39" i="28"/>
  <c r="E40" i="28"/>
  <c r="F40" i="28"/>
  <c r="E41" i="28"/>
  <c r="F41" i="28"/>
  <c r="E42" i="28"/>
  <c r="F42" i="28"/>
  <c r="E43" i="28"/>
  <c r="F43" i="28"/>
  <c r="E46" i="28"/>
  <c r="F46" i="28"/>
  <c r="E47" i="28"/>
  <c r="F47" i="28"/>
  <c r="E48" i="28"/>
  <c r="F48" i="28"/>
  <c r="E49" i="28"/>
  <c r="F49" i="28"/>
  <c r="E50" i="28"/>
  <c r="F50" i="28"/>
  <c r="E51" i="28"/>
  <c r="F51" i="28"/>
  <c r="E52" i="28"/>
  <c r="F52" i="28"/>
  <c r="E53" i="28"/>
  <c r="F53" i="28"/>
  <c r="E55" i="28"/>
  <c r="F55" i="28"/>
  <c r="E56" i="28"/>
  <c r="F56" i="28"/>
  <c r="E57" i="28"/>
  <c r="F57" i="28"/>
  <c r="E58" i="28"/>
  <c r="F58" i="28"/>
  <c r="E59" i="28"/>
  <c r="F59" i="28"/>
  <c r="E60" i="28"/>
  <c r="F60" i="28"/>
  <c r="E61" i="28"/>
  <c r="F61" i="28"/>
  <c r="E62" i="28"/>
  <c r="F62" i="28"/>
  <c r="E63" i="28"/>
  <c r="F63" i="28"/>
  <c r="E65" i="28"/>
  <c r="F65" i="28"/>
  <c r="E66" i="28"/>
  <c r="F66" i="28"/>
  <c r="E67" i="28"/>
  <c r="F67" i="28"/>
  <c r="E68" i="28"/>
  <c r="F68" i="28"/>
  <c r="E69" i="28"/>
  <c r="F69" i="28"/>
  <c r="E70" i="28"/>
  <c r="F70" i="28"/>
  <c r="E72" i="28"/>
  <c r="F72" i="28"/>
  <c r="E73" i="28"/>
  <c r="F73" i="28"/>
  <c r="E74" i="28"/>
  <c r="F74" i="28"/>
  <c r="E75" i="28"/>
  <c r="F75" i="28"/>
  <c r="E76" i="28"/>
  <c r="F76" i="28"/>
  <c r="E77" i="28"/>
  <c r="F77" i="28"/>
  <c r="E79" i="28"/>
  <c r="F79" i="28"/>
  <c r="E80" i="28"/>
  <c r="F80" i="28"/>
  <c r="D34" i="28"/>
  <c r="D35" i="28"/>
  <c r="D36" i="28"/>
  <c r="D37" i="28"/>
  <c r="D39" i="28"/>
  <c r="D40" i="28"/>
  <c r="D41" i="28"/>
  <c r="D42" i="28"/>
  <c r="D43" i="28"/>
  <c r="D46" i="28"/>
  <c r="D47" i="28"/>
  <c r="D48" i="28"/>
  <c r="D49" i="28"/>
  <c r="D50" i="28"/>
  <c r="D51" i="28"/>
  <c r="D52" i="28"/>
  <c r="D53" i="28"/>
  <c r="D55" i="28"/>
  <c r="D56" i="28"/>
  <c r="D57" i="28"/>
  <c r="D58" i="28"/>
  <c r="D59" i="28"/>
  <c r="D60" i="28"/>
  <c r="D61" i="28"/>
  <c r="D62" i="28"/>
  <c r="D63" i="28"/>
  <c r="D65" i="28"/>
  <c r="D66" i="28"/>
  <c r="D67" i="28"/>
  <c r="D68" i="28"/>
  <c r="D69" i="28"/>
  <c r="D70" i="28"/>
  <c r="D72" i="28"/>
  <c r="D73" i="28"/>
  <c r="D74" i="28"/>
  <c r="D75" i="28"/>
  <c r="D76" i="28"/>
  <c r="D77" i="28"/>
  <c r="D79" i="28"/>
  <c r="D80" i="28"/>
  <c r="G4" i="28"/>
  <c r="V4" i="33"/>
  <c r="AD404" i="6"/>
  <c r="AE404" i="6"/>
  <c r="AE403" i="6"/>
  <c r="AD403" i="6"/>
  <c r="AF399" i="6"/>
  <c r="AD400" i="6"/>
  <c r="AE400" i="6"/>
  <c r="AE399" i="6"/>
  <c r="AD399" i="6"/>
  <c r="AD396" i="6"/>
  <c r="AE396" i="6"/>
  <c r="AD394" i="6"/>
  <c r="AE394" i="6"/>
  <c r="AD393" i="6"/>
  <c r="AE393" i="6"/>
  <c r="AD390" i="6"/>
  <c r="AE390" i="6"/>
  <c r="AE389" i="6"/>
  <c r="AD389" i="6"/>
  <c r="V44" i="36"/>
  <c r="W44" i="36"/>
  <c r="AD386" i="6" l="1"/>
  <c r="AE386" i="6"/>
  <c r="AE385" i="6"/>
  <c r="AD385" i="6"/>
  <c r="AD382" i="6"/>
  <c r="AE382" i="6"/>
  <c r="AE381" i="6"/>
  <c r="AD381" i="6"/>
  <c r="AB372" i="33" l="1"/>
  <c r="AC372" i="33"/>
  <c r="AB373" i="33"/>
  <c r="AC373" i="33"/>
  <c r="AB374" i="33"/>
  <c r="AC374" i="33"/>
  <c r="AB375" i="33"/>
  <c r="AC375" i="33"/>
  <c r="AB376" i="33"/>
  <c r="AC376" i="33"/>
  <c r="AB377" i="33"/>
  <c r="AC377" i="33"/>
  <c r="AB378" i="33"/>
  <c r="AC378" i="33"/>
  <c r="AB379" i="33"/>
  <c r="AC379" i="33"/>
  <c r="AB380" i="33"/>
  <c r="AC380" i="33"/>
  <c r="AB381" i="33"/>
  <c r="AC381" i="33"/>
  <c r="AB382" i="33"/>
  <c r="AC382" i="33"/>
  <c r="AB383" i="33"/>
  <c r="AC383" i="33"/>
  <c r="AB384" i="33"/>
  <c r="AC384" i="33"/>
  <c r="AB385" i="33"/>
  <c r="AC385" i="33"/>
  <c r="AB386" i="33"/>
  <c r="AC386" i="33"/>
  <c r="AB387" i="33"/>
  <c r="AC387" i="33"/>
  <c r="AB388" i="33"/>
  <c r="AC388" i="33"/>
  <c r="AB389" i="33"/>
  <c r="AC389" i="33"/>
  <c r="AB390" i="33"/>
  <c r="AC390" i="33"/>
  <c r="AB391" i="33"/>
  <c r="AC391" i="33"/>
  <c r="AB392" i="33"/>
  <c r="AC392" i="33"/>
  <c r="AB393" i="33"/>
  <c r="AC393" i="33"/>
  <c r="AB394" i="33"/>
  <c r="AC394" i="33"/>
  <c r="AB395" i="33"/>
  <c r="AC395" i="33"/>
  <c r="AB396" i="33"/>
  <c r="AC396" i="33"/>
  <c r="AB397" i="33"/>
  <c r="AC397" i="33"/>
  <c r="AB398" i="33"/>
  <c r="AC398" i="33"/>
  <c r="AB399" i="33"/>
  <c r="AC399" i="33"/>
  <c r="AB400" i="33"/>
  <c r="AC400" i="33"/>
  <c r="AB401" i="33"/>
  <c r="AC401" i="33"/>
  <c r="AB402" i="33"/>
  <c r="AC402" i="33"/>
  <c r="AB403" i="33"/>
  <c r="AC403" i="33"/>
  <c r="AB404" i="33"/>
  <c r="AC404" i="33"/>
  <c r="AB405" i="33"/>
  <c r="AC405" i="33"/>
  <c r="AB406" i="33"/>
  <c r="AC406" i="33"/>
  <c r="AB407" i="33"/>
  <c r="AC407" i="33"/>
  <c r="AB408" i="33"/>
  <c r="AC408" i="33"/>
  <c r="AB409" i="33"/>
  <c r="AC409" i="33"/>
  <c r="AB410" i="33"/>
  <c r="AC410" i="33"/>
  <c r="AB411" i="33"/>
  <c r="AC411" i="33"/>
  <c r="AB412" i="33"/>
  <c r="AC412" i="33"/>
  <c r="AB413" i="33"/>
  <c r="AC413" i="33"/>
  <c r="AB414" i="33"/>
  <c r="AC414" i="33"/>
  <c r="AC371" i="33"/>
  <c r="AB371" i="33"/>
  <c r="G17"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2" i="20"/>
  <c r="A3" i="20"/>
  <c r="A4" i="20"/>
  <c r="A5" i="20"/>
  <c r="A6" i="20"/>
  <c r="A7" i="20"/>
  <c r="A8" i="20"/>
  <c r="A9" i="20"/>
  <c r="A10" i="20"/>
  <c r="A11" i="20"/>
  <c r="A12" i="20"/>
  <c r="A13" i="20"/>
  <c r="A14" i="20"/>
  <c r="A15" i="20"/>
  <c r="A16" i="20"/>
  <c r="A17" i="20"/>
  <c r="A18" i="20"/>
  <c r="A19" i="20"/>
  <c r="A20" i="20"/>
  <c r="A21" i="20"/>
  <c r="A22" i="20"/>
  <c r="A23" i="20"/>
  <c r="A24" i="20"/>
  <c r="A25" i="20"/>
  <c r="A26" i="20"/>
  <c r="A27" i="20"/>
  <c r="A28" i="20"/>
  <c r="A29" i="20"/>
  <c r="A30" i="20"/>
  <c r="A31" i="20"/>
  <c r="A32" i="20"/>
  <c r="A33" i="20"/>
  <c r="A34" i="20"/>
  <c r="A35" i="20"/>
  <c r="A36" i="20"/>
  <c r="A37" i="20"/>
  <c r="A38" i="20"/>
  <c r="A39" i="20"/>
  <c r="A40" i="20"/>
  <c r="A41" i="20"/>
  <c r="A42" i="20"/>
  <c r="A43" i="20"/>
  <c r="A44" i="20"/>
  <c r="A45" i="20"/>
  <c r="A2" i="20"/>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380" i="6"/>
  <c r="F20" i="20"/>
  <c r="G20" i="20"/>
  <c r="H20" i="20"/>
  <c r="F21" i="20"/>
  <c r="G21" i="20"/>
  <c r="H21" i="20"/>
  <c r="F22" i="20"/>
  <c r="G22" i="20"/>
  <c r="H22" i="20"/>
  <c r="F23" i="20"/>
  <c r="G23" i="20"/>
  <c r="H23" i="20"/>
  <c r="F24" i="20"/>
  <c r="G24" i="20"/>
  <c r="H24" i="20"/>
  <c r="F25" i="20"/>
  <c r="G25" i="20"/>
  <c r="H25" i="20"/>
  <c r="F26" i="20"/>
  <c r="G26" i="20"/>
  <c r="H26" i="20"/>
  <c r="F27" i="20"/>
  <c r="G27" i="20"/>
  <c r="H27" i="20"/>
  <c r="F28" i="20"/>
  <c r="G28" i="20"/>
  <c r="H28" i="20"/>
  <c r="F29" i="20"/>
  <c r="G29" i="20"/>
  <c r="H29" i="20"/>
  <c r="F30" i="20"/>
  <c r="G30" i="20"/>
  <c r="H30" i="20"/>
  <c r="F31" i="20"/>
  <c r="G31" i="20"/>
  <c r="H31" i="20"/>
  <c r="F32" i="20"/>
  <c r="G32" i="20"/>
  <c r="H32" i="20"/>
  <c r="F33" i="20"/>
  <c r="G33" i="20"/>
  <c r="H33" i="20"/>
  <c r="F34" i="20"/>
  <c r="G34" i="20"/>
  <c r="H34" i="20"/>
  <c r="F35" i="20"/>
  <c r="G35" i="20"/>
  <c r="H35" i="20"/>
  <c r="F36" i="20"/>
  <c r="G36" i="20"/>
  <c r="H36" i="20"/>
  <c r="F37" i="20"/>
  <c r="G37" i="20"/>
  <c r="H37" i="20"/>
  <c r="F38" i="20"/>
  <c r="G38" i="20"/>
  <c r="H38" i="20"/>
  <c r="F39" i="20"/>
  <c r="G39" i="20"/>
  <c r="H39" i="20"/>
  <c r="F40" i="20"/>
  <c r="G40" i="20"/>
  <c r="H40" i="20"/>
  <c r="F41" i="20"/>
  <c r="G41" i="20"/>
  <c r="H41" i="20"/>
  <c r="F42" i="20"/>
  <c r="G42" i="20"/>
  <c r="H42" i="20"/>
  <c r="F43" i="20"/>
  <c r="G43" i="20"/>
  <c r="H43" i="20"/>
  <c r="F44" i="20"/>
  <c r="G44" i="20"/>
  <c r="H44" i="20"/>
  <c r="F45" i="20"/>
  <c r="G45" i="20"/>
  <c r="H45" i="20"/>
  <c r="F3" i="20"/>
  <c r="G3" i="20"/>
  <c r="H3" i="20"/>
  <c r="F4" i="20"/>
  <c r="G4" i="20"/>
  <c r="H4" i="20"/>
  <c r="F5" i="20"/>
  <c r="G5" i="20"/>
  <c r="H5" i="20"/>
  <c r="G6" i="20"/>
  <c r="G7" i="20"/>
  <c r="G8" i="20"/>
  <c r="H8" i="20"/>
  <c r="F9" i="20"/>
  <c r="G9" i="20"/>
  <c r="H9" i="20"/>
  <c r="F10" i="20"/>
  <c r="G10" i="20"/>
  <c r="H10" i="20"/>
  <c r="F11" i="20"/>
  <c r="G11" i="20"/>
  <c r="H11" i="20"/>
  <c r="F12" i="20"/>
  <c r="G12" i="20"/>
  <c r="H12" i="20"/>
  <c r="F13" i="20"/>
  <c r="G13" i="20"/>
  <c r="H13" i="20"/>
  <c r="F14" i="20"/>
  <c r="G14" i="20"/>
  <c r="H14" i="20"/>
  <c r="F15" i="20"/>
  <c r="G15" i="20"/>
  <c r="H15" i="20"/>
  <c r="F16" i="20"/>
  <c r="G16" i="20"/>
  <c r="H16" i="20"/>
  <c r="F17" i="20"/>
  <c r="H17" i="20"/>
  <c r="F18" i="20"/>
  <c r="G18" i="20"/>
  <c r="H18" i="20"/>
  <c r="F19" i="20"/>
  <c r="G19" i="20"/>
  <c r="H19" i="20"/>
  <c r="H2" i="20"/>
  <c r="G2" i="20"/>
  <c r="F2" i="20"/>
  <c r="BR376" i="33"/>
  <c r="BS376" i="33"/>
  <c r="BT376" i="33"/>
  <c r="BU376" i="33"/>
  <c r="BV376" i="33"/>
  <c r="BW376" i="33"/>
  <c r="BX376" i="33"/>
  <c r="BY376" i="33"/>
  <c r="BS375" i="33"/>
  <c r="BT375" i="33"/>
  <c r="BU375" i="33"/>
  <c r="BV375" i="33"/>
  <c r="BW375" i="33"/>
  <c r="BX375" i="33"/>
  <c r="BY375" i="33"/>
  <c r="BR375" i="33"/>
  <c r="ED376" i="33"/>
  <c r="EE376" i="33"/>
  <c r="EF376" i="33"/>
  <c r="EG376" i="33"/>
  <c r="EH376" i="33"/>
  <c r="EI376" i="33"/>
  <c r="EJ376" i="33"/>
  <c r="EK376" i="33"/>
  <c r="ED377" i="33"/>
  <c r="EE377" i="33"/>
  <c r="EF377" i="33"/>
  <c r="EG377" i="33"/>
  <c r="EH377" i="33"/>
  <c r="EI377" i="33"/>
  <c r="EJ377" i="33"/>
  <c r="EK377" i="33"/>
  <c r="EE375" i="33"/>
  <c r="EF375" i="33"/>
  <c r="EG375" i="33"/>
  <c r="EH375" i="33"/>
  <c r="EI375" i="33"/>
  <c r="EJ375" i="33"/>
  <c r="EK375" i="33"/>
  <c r="ED375" i="33"/>
  <c r="AB308" i="33"/>
  <c r="AC308" i="33"/>
  <c r="AB309" i="33"/>
  <c r="AC309" i="33"/>
  <c r="AB310" i="33"/>
  <c r="AC310" i="33"/>
  <c r="AB311" i="33"/>
  <c r="AC311" i="33"/>
  <c r="AB312" i="33"/>
  <c r="AC312" i="33"/>
  <c r="AB313" i="33"/>
  <c r="AC313" i="33"/>
  <c r="AB314" i="33"/>
  <c r="AC314" i="33"/>
  <c r="AB315" i="33"/>
  <c r="AC315" i="33"/>
  <c r="AB316" i="33"/>
  <c r="AC316" i="33"/>
  <c r="AB317" i="33"/>
  <c r="AC317" i="33"/>
  <c r="AB318" i="33"/>
  <c r="AC318" i="33"/>
  <c r="AB319" i="33"/>
  <c r="AC319" i="33"/>
  <c r="AB320" i="33"/>
  <c r="AC320" i="33"/>
  <c r="AB321" i="33"/>
  <c r="AC321" i="33"/>
  <c r="AB322" i="33"/>
  <c r="AC322" i="33"/>
  <c r="AB323" i="33"/>
  <c r="AC323" i="33"/>
  <c r="AB324" i="33"/>
  <c r="AC324" i="33"/>
  <c r="AB325" i="33"/>
  <c r="AC325" i="33"/>
  <c r="AB326" i="33"/>
  <c r="AC326" i="33"/>
  <c r="AB327" i="33"/>
  <c r="AC327" i="33"/>
  <c r="AB328" i="33"/>
  <c r="AC328" i="33"/>
  <c r="AB329" i="33"/>
  <c r="AC329" i="33"/>
  <c r="AB330" i="33"/>
  <c r="AC330" i="33"/>
  <c r="AC307" i="33"/>
  <c r="AB307" i="33"/>
  <c r="B39" i="1"/>
  <c r="B38" i="1"/>
  <c r="B37" i="1"/>
  <c r="B40" i="1"/>
  <c r="B36" i="1"/>
  <c r="CI39" i="36"/>
  <c r="CH39" i="36"/>
  <c r="CG39" i="36"/>
  <c r="CF39" i="36"/>
  <c r="CI38" i="36"/>
  <c r="CH38" i="36"/>
  <c r="CG38" i="36"/>
  <c r="CF38" i="36"/>
  <c r="CI41" i="36"/>
  <c r="CH41" i="36"/>
  <c r="CG41" i="36"/>
  <c r="CF41" i="36"/>
  <c r="CG46" i="36"/>
  <c r="CH46" i="36"/>
  <c r="CI46" i="36"/>
  <c r="CF46" i="36"/>
  <c r="CI45" i="36"/>
  <c r="CH45" i="36"/>
  <c r="CG45" i="36"/>
  <c r="CF45" i="36"/>
  <c r="CE45" i="36"/>
  <c r="CD45" i="36"/>
  <c r="CC45" i="36"/>
  <c r="CB45" i="36"/>
  <c r="CI44" i="36"/>
  <c r="CH44" i="36"/>
  <c r="CG44" i="36"/>
  <c r="CF44" i="36"/>
  <c r="CE44" i="36"/>
  <c r="CD44" i="36"/>
  <c r="CC44" i="36"/>
  <c r="CB44" i="36"/>
  <c r="CI43" i="36"/>
  <c r="CH43" i="36"/>
  <c r="CG43" i="36"/>
  <c r="CF43" i="36"/>
  <c r="CE43" i="36"/>
  <c r="CD43" i="36"/>
  <c r="CC43" i="36"/>
  <c r="CB43" i="36"/>
  <c r="CI42" i="36"/>
  <c r="CH42" i="36"/>
  <c r="CG42" i="36"/>
  <c r="CF42" i="36"/>
  <c r="CE42" i="36"/>
  <c r="CD42" i="36"/>
  <c r="CC42" i="36"/>
  <c r="CB42" i="36"/>
  <c r="CC40" i="36"/>
  <c r="CD40" i="36"/>
  <c r="CE40" i="36"/>
  <c r="CF40" i="36"/>
  <c r="CG40" i="36"/>
  <c r="CH40" i="36"/>
  <c r="CI40" i="36"/>
  <c r="CB40" i="36"/>
  <c r="CI37" i="36"/>
  <c r="CH37" i="36"/>
  <c r="CG37" i="36"/>
  <c r="CF37" i="36"/>
  <c r="CE37" i="36"/>
  <c r="CD37" i="36"/>
  <c r="CC37" i="36"/>
  <c r="CB37" i="36"/>
  <c r="CI36" i="36"/>
  <c r="CH36" i="36"/>
  <c r="CG36" i="36"/>
  <c r="CF36" i="36"/>
  <c r="CE36" i="36"/>
  <c r="CD36" i="36"/>
  <c r="CC36" i="36"/>
  <c r="CB36" i="36"/>
  <c r="CI35" i="36"/>
  <c r="CH35" i="36"/>
  <c r="CG35" i="36"/>
  <c r="CF35" i="36"/>
  <c r="CE35" i="36"/>
  <c r="CD35" i="36"/>
  <c r="CC35" i="36"/>
  <c r="CB35" i="36"/>
  <c r="CI34" i="36"/>
  <c r="CH34" i="36"/>
  <c r="CG34" i="36"/>
  <c r="CF34" i="36"/>
  <c r="CE34" i="36"/>
  <c r="CD34" i="36"/>
  <c r="CC34" i="36"/>
  <c r="CB34" i="36"/>
  <c r="AN34" i="36"/>
  <c r="AO34" i="36"/>
  <c r="BB34" i="36" s="1"/>
  <c r="AP34" i="36"/>
  <c r="BC34" i="36" s="1"/>
  <c r="AQ34" i="36"/>
  <c r="AR34" i="36"/>
  <c r="AS34" i="36"/>
  <c r="AZ34" i="36" s="1"/>
  <c r="AT34" i="36"/>
  <c r="AU34" i="36"/>
  <c r="BA34" i="36"/>
  <c r="BT34" i="36"/>
  <c r="BU34" i="36"/>
  <c r="BV34" i="36"/>
  <c r="BW34" i="36"/>
  <c r="BX34" i="36"/>
  <c r="BY34" i="36"/>
  <c r="BZ34" i="36"/>
  <c r="CA34" i="36"/>
  <c r="CI33" i="36"/>
  <c r="CH33" i="36"/>
  <c r="CG33" i="36"/>
  <c r="CF33" i="36"/>
  <c r="CE33" i="36"/>
  <c r="CD33" i="36"/>
  <c r="CD32" i="36"/>
  <c r="CE32" i="36"/>
  <c r="CG32" i="36"/>
  <c r="CH32" i="36"/>
  <c r="CI32" i="36"/>
  <c r="CF32" i="36"/>
  <c r="CB30" i="36"/>
  <c r="CC30" i="36"/>
  <c r="CD30" i="36"/>
  <c r="CE30" i="36"/>
  <c r="CF30" i="36"/>
  <c r="CG30" i="36"/>
  <c r="CH30" i="36"/>
  <c r="CI30" i="36"/>
  <c r="CB31" i="36"/>
  <c r="CC31" i="36"/>
  <c r="CD31" i="36"/>
  <c r="CE31" i="36"/>
  <c r="CF31" i="36"/>
  <c r="CG31" i="36"/>
  <c r="CH31" i="36"/>
  <c r="CI31" i="36"/>
  <c r="CB3" i="36"/>
  <c r="CC3" i="36"/>
  <c r="CD3" i="36"/>
  <c r="CE3" i="36"/>
  <c r="CF3" i="36"/>
  <c r="CG3" i="36"/>
  <c r="CH3" i="36"/>
  <c r="CI3" i="36"/>
  <c r="CB4" i="36"/>
  <c r="CC4" i="36"/>
  <c r="CD4" i="36"/>
  <c r="CE4" i="36"/>
  <c r="CF4" i="36"/>
  <c r="CG4" i="36"/>
  <c r="CH4" i="36"/>
  <c r="CI4" i="36"/>
  <c r="CB5" i="36"/>
  <c r="CC5" i="36"/>
  <c r="CD5" i="36"/>
  <c r="CE5" i="36"/>
  <c r="CF5" i="36"/>
  <c r="CG5" i="36"/>
  <c r="CH5" i="36"/>
  <c r="CI5" i="36"/>
  <c r="CB6" i="36"/>
  <c r="CC6" i="36"/>
  <c r="CD6" i="36"/>
  <c r="CE6" i="36"/>
  <c r="CF6" i="36"/>
  <c r="CG6" i="36"/>
  <c r="CH6" i="36"/>
  <c r="CI6" i="36"/>
  <c r="CB7" i="36"/>
  <c r="CC7" i="36"/>
  <c r="CD7" i="36"/>
  <c r="CE7" i="36"/>
  <c r="CF7" i="36"/>
  <c r="CG7" i="36"/>
  <c r="CH7" i="36"/>
  <c r="CI7" i="36"/>
  <c r="CB8" i="36"/>
  <c r="CC8" i="36"/>
  <c r="CD8" i="36"/>
  <c r="CE8" i="36"/>
  <c r="CF8" i="36"/>
  <c r="CG8" i="36"/>
  <c r="CH8" i="36"/>
  <c r="CI8" i="36"/>
  <c r="CB9" i="36"/>
  <c r="CC9" i="36"/>
  <c r="CD9" i="36"/>
  <c r="CE9" i="36"/>
  <c r="CF9" i="36"/>
  <c r="CG9" i="36"/>
  <c r="CH9" i="36"/>
  <c r="CI9" i="36"/>
  <c r="CB10" i="36"/>
  <c r="CC10" i="36"/>
  <c r="CD10" i="36"/>
  <c r="CE10" i="36"/>
  <c r="CF10" i="36"/>
  <c r="CG10" i="36"/>
  <c r="CH10" i="36"/>
  <c r="CI10" i="36"/>
  <c r="CB11" i="36"/>
  <c r="CC11" i="36"/>
  <c r="CD11" i="36"/>
  <c r="CE11" i="36"/>
  <c r="CF11" i="36"/>
  <c r="CG11" i="36"/>
  <c r="CH11" i="36"/>
  <c r="CI11" i="36"/>
  <c r="CB12" i="36"/>
  <c r="CC12" i="36"/>
  <c r="CD12" i="36"/>
  <c r="CE12" i="36"/>
  <c r="CF12" i="36"/>
  <c r="CG12" i="36"/>
  <c r="CH12" i="36"/>
  <c r="CI12" i="36"/>
  <c r="CB13" i="36"/>
  <c r="CC13" i="36"/>
  <c r="CD13" i="36"/>
  <c r="CE13" i="36"/>
  <c r="CF13" i="36"/>
  <c r="CG13" i="36"/>
  <c r="CH13" i="36"/>
  <c r="CI13" i="36"/>
  <c r="CB14" i="36"/>
  <c r="CC14" i="36"/>
  <c r="CD14" i="36"/>
  <c r="CE14" i="36"/>
  <c r="CF14" i="36"/>
  <c r="CG14" i="36"/>
  <c r="CH14" i="36"/>
  <c r="CI14" i="36"/>
  <c r="CB15" i="36"/>
  <c r="CC15" i="36"/>
  <c r="CD15" i="36"/>
  <c r="CE15" i="36"/>
  <c r="CF15" i="36"/>
  <c r="CG15" i="36"/>
  <c r="CH15" i="36"/>
  <c r="CI15" i="36"/>
  <c r="CB16" i="36"/>
  <c r="CC16" i="36"/>
  <c r="CD16" i="36"/>
  <c r="CE16" i="36"/>
  <c r="CF16" i="36"/>
  <c r="CG16" i="36"/>
  <c r="CH16" i="36"/>
  <c r="CI16" i="36"/>
  <c r="CB17" i="36"/>
  <c r="CC17" i="36"/>
  <c r="CD17" i="36"/>
  <c r="CE17" i="36"/>
  <c r="CF17" i="36"/>
  <c r="CG17" i="36"/>
  <c r="CH17" i="36"/>
  <c r="CI17" i="36"/>
  <c r="CB18" i="36"/>
  <c r="CC18" i="36"/>
  <c r="CD18" i="36"/>
  <c r="CE18" i="36"/>
  <c r="CF18" i="36"/>
  <c r="CG18" i="36"/>
  <c r="CH18" i="36"/>
  <c r="CI18" i="36"/>
  <c r="CB19" i="36"/>
  <c r="CC19" i="36"/>
  <c r="CD19" i="36"/>
  <c r="CE19" i="36"/>
  <c r="CF19" i="36"/>
  <c r="CG19" i="36"/>
  <c r="CH19" i="36"/>
  <c r="CI19" i="36"/>
  <c r="CB20" i="36"/>
  <c r="CC20" i="36"/>
  <c r="CD20" i="36"/>
  <c r="CE20" i="36"/>
  <c r="CF20" i="36"/>
  <c r="CG20" i="36"/>
  <c r="CH20" i="36"/>
  <c r="CI20" i="36"/>
  <c r="CB21" i="36"/>
  <c r="CC21" i="36"/>
  <c r="CD21" i="36"/>
  <c r="CE21" i="36"/>
  <c r="CF21" i="36"/>
  <c r="CG21" i="36"/>
  <c r="CH21" i="36"/>
  <c r="CI21" i="36"/>
  <c r="CB22" i="36"/>
  <c r="CC22" i="36"/>
  <c r="CD22" i="36"/>
  <c r="CE22" i="36"/>
  <c r="CF22" i="36"/>
  <c r="CG22" i="36"/>
  <c r="CH22" i="36"/>
  <c r="CI22" i="36"/>
  <c r="CB23" i="36"/>
  <c r="CC23" i="36"/>
  <c r="CD23" i="36"/>
  <c r="CE23" i="36"/>
  <c r="CF23" i="36"/>
  <c r="CG23" i="36"/>
  <c r="CH23" i="36"/>
  <c r="CI23" i="36"/>
  <c r="CB24" i="36"/>
  <c r="CC24" i="36"/>
  <c r="CD24" i="36"/>
  <c r="CE24" i="36"/>
  <c r="CF24" i="36"/>
  <c r="CG24" i="36"/>
  <c r="CH24" i="36"/>
  <c r="CI24" i="36"/>
  <c r="CB25" i="36"/>
  <c r="CC25" i="36"/>
  <c r="CD25" i="36"/>
  <c r="CE25" i="36"/>
  <c r="CF25" i="36"/>
  <c r="CG25" i="36"/>
  <c r="CH25" i="36"/>
  <c r="CI25" i="36"/>
  <c r="CB26" i="36"/>
  <c r="CC26" i="36"/>
  <c r="CD26" i="36"/>
  <c r="CE26" i="36"/>
  <c r="CF26" i="36"/>
  <c r="CG26" i="36"/>
  <c r="CH26" i="36"/>
  <c r="CI26" i="36"/>
  <c r="CB27" i="36"/>
  <c r="CC27" i="36"/>
  <c r="CD27" i="36"/>
  <c r="CE27" i="36"/>
  <c r="CF27" i="36"/>
  <c r="CG27" i="36"/>
  <c r="CH27" i="36"/>
  <c r="CI27" i="36"/>
  <c r="CB28" i="36"/>
  <c r="CC28" i="36"/>
  <c r="CD28" i="36"/>
  <c r="CE28" i="36"/>
  <c r="CF28" i="36"/>
  <c r="CG28" i="36"/>
  <c r="CH28" i="36"/>
  <c r="CI28" i="36"/>
  <c r="CB29" i="36"/>
  <c r="CC29" i="36"/>
  <c r="CD29" i="36"/>
  <c r="CE29" i="36"/>
  <c r="CF29" i="36"/>
  <c r="CG29" i="36"/>
  <c r="CH29" i="36"/>
  <c r="CI29" i="36"/>
  <c r="CC2" i="36"/>
  <c r="CD2" i="36"/>
  <c r="CE2" i="36"/>
  <c r="CF2" i="36"/>
  <c r="CG2" i="36"/>
  <c r="CH2" i="36"/>
  <c r="CI2" i="36"/>
  <c r="CB2" i="36"/>
  <c r="CC33" i="36"/>
  <c r="CB33" i="36"/>
  <c r="CC32" i="36"/>
  <c r="CB32" i="36"/>
  <c r="BC45" i="36"/>
  <c r="BB45" i="36"/>
  <c r="BA45" i="36"/>
  <c r="AZ45" i="36"/>
  <c r="AY45" i="36"/>
  <c r="AX45" i="36"/>
  <c r="AW45" i="36"/>
  <c r="AV45" i="36"/>
  <c r="BC44" i="36"/>
  <c r="BB44" i="36"/>
  <c r="BA44" i="36"/>
  <c r="AZ44" i="36"/>
  <c r="AY44" i="36"/>
  <c r="AX44" i="36"/>
  <c r="AW44" i="36"/>
  <c r="AV44" i="36"/>
  <c r="BC43" i="36"/>
  <c r="BB43" i="36"/>
  <c r="BA43" i="36"/>
  <c r="AZ43" i="36"/>
  <c r="AY43" i="36"/>
  <c r="AX43" i="36"/>
  <c r="AW43" i="36"/>
  <c r="AV43" i="36"/>
  <c r="BC42" i="36"/>
  <c r="BB42" i="36"/>
  <c r="BA42" i="36"/>
  <c r="AZ42" i="36"/>
  <c r="AY42" i="36"/>
  <c r="AX42" i="36"/>
  <c r="AW42" i="36"/>
  <c r="AV42" i="36"/>
  <c r="AW40" i="36"/>
  <c r="AX40" i="36"/>
  <c r="AY40" i="36"/>
  <c r="AZ40" i="36"/>
  <c r="BA40" i="36"/>
  <c r="BB40" i="36"/>
  <c r="BC40" i="36"/>
  <c r="AV40" i="36"/>
  <c r="BC41" i="36"/>
  <c r="BC46" i="36"/>
  <c r="BB46" i="36"/>
  <c r="BA46" i="36"/>
  <c r="AZ46" i="36"/>
  <c r="BB41" i="36"/>
  <c r="BA41" i="36"/>
  <c r="AZ41" i="36"/>
  <c r="AZ39" i="36"/>
  <c r="BA39" i="36"/>
  <c r="BB39" i="36"/>
  <c r="BC39" i="36"/>
  <c r="BA38" i="36"/>
  <c r="BB38" i="36"/>
  <c r="BC38" i="36"/>
  <c r="AZ38" i="36"/>
  <c r="AV35" i="36"/>
  <c r="AW35" i="36"/>
  <c r="AX35" i="36"/>
  <c r="AY35" i="36"/>
  <c r="AZ35" i="36"/>
  <c r="BA35" i="36"/>
  <c r="BB35" i="36"/>
  <c r="BC35" i="36"/>
  <c r="AV36" i="36"/>
  <c r="AW36" i="36"/>
  <c r="AX36" i="36"/>
  <c r="AY36" i="36"/>
  <c r="AZ36" i="36"/>
  <c r="BA36" i="36"/>
  <c r="BB36" i="36"/>
  <c r="BC36" i="36"/>
  <c r="AV37" i="36"/>
  <c r="AW37" i="36"/>
  <c r="AX37" i="36"/>
  <c r="AY37" i="36"/>
  <c r="AZ37" i="36"/>
  <c r="BA37" i="36"/>
  <c r="BB37" i="36"/>
  <c r="BC37" i="36"/>
  <c r="AX33" i="36"/>
  <c r="AY33" i="36"/>
  <c r="AZ33" i="36"/>
  <c r="BA33" i="36"/>
  <c r="BB33" i="36"/>
  <c r="BC33" i="36"/>
  <c r="AY32" i="36"/>
  <c r="AZ32" i="36"/>
  <c r="BA32" i="36"/>
  <c r="BB32" i="36"/>
  <c r="BC32" i="36"/>
  <c r="AX32" i="36"/>
  <c r="AV31" i="36"/>
  <c r="AW31" i="36"/>
  <c r="AX31" i="36"/>
  <c r="AY31" i="36"/>
  <c r="AZ31" i="36"/>
  <c r="BA31" i="36"/>
  <c r="BB31" i="36"/>
  <c r="BC31" i="36"/>
  <c r="AV3" i="36"/>
  <c r="AW3" i="36"/>
  <c r="AX3" i="36"/>
  <c r="AY3" i="36"/>
  <c r="AZ3" i="36"/>
  <c r="BA3" i="36"/>
  <c r="BB3" i="36"/>
  <c r="BC3" i="36"/>
  <c r="AV4" i="36"/>
  <c r="AW4" i="36"/>
  <c r="AX4" i="36"/>
  <c r="AY4" i="36"/>
  <c r="AZ4" i="36"/>
  <c r="BA4" i="36"/>
  <c r="BB4" i="36"/>
  <c r="BC4" i="36"/>
  <c r="AV5" i="36"/>
  <c r="AW5" i="36"/>
  <c r="AX5" i="36"/>
  <c r="AY5" i="36"/>
  <c r="AZ5" i="36"/>
  <c r="BA5" i="36"/>
  <c r="BB5" i="36"/>
  <c r="BC5" i="36"/>
  <c r="AV6" i="36"/>
  <c r="AW6" i="36"/>
  <c r="AX6" i="36"/>
  <c r="AY6" i="36"/>
  <c r="AZ6" i="36"/>
  <c r="BA6" i="36"/>
  <c r="BB6" i="36"/>
  <c r="BC6" i="36"/>
  <c r="AV7" i="36"/>
  <c r="AW7" i="36"/>
  <c r="AX7" i="36"/>
  <c r="AY7" i="36"/>
  <c r="AZ7" i="36"/>
  <c r="BA7" i="36"/>
  <c r="BB7" i="36"/>
  <c r="BC7" i="36"/>
  <c r="AV8" i="36"/>
  <c r="AW8" i="36"/>
  <c r="AX8" i="36"/>
  <c r="AY8" i="36"/>
  <c r="AZ8" i="36"/>
  <c r="BA8" i="36"/>
  <c r="BB8" i="36"/>
  <c r="BC8" i="36"/>
  <c r="AV9" i="36"/>
  <c r="AW9" i="36"/>
  <c r="AX9" i="36"/>
  <c r="AY9" i="36"/>
  <c r="AZ9" i="36"/>
  <c r="BA9" i="36"/>
  <c r="BB9" i="36"/>
  <c r="BC9" i="36"/>
  <c r="AV10" i="36"/>
  <c r="AW10" i="36"/>
  <c r="AX10" i="36"/>
  <c r="AY10" i="36"/>
  <c r="AZ10" i="36"/>
  <c r="BA10" i="36"/>
  <c r="BB10" i="36"/>
  <c r="BC10" i="36"/>
  <c r="AV11" i="36"/>
  <c r="AW11" i="36"/>
  <c r="AX11" i="36"/>
  <c r="AY11" i="36"/>
  <c r="AZ11" i="36"/>
  <c r="BA11" i="36"/>
  <c r="BB11" i="36"/>
  <c r="BC11" i="36"/>
  <c r="AV12" i="36"/>
  <c r="AW12" i="36"/>
  <c r="AX12" i="36"/>
  <c r="AY12" i="36"/>
  <c r="AZ12" i="36"/>
  <c r="BA12" i="36"/>
  <c r="BB12" i="36"/>
  <c r="BC12" i="36"/>
  <c r="AV13" i="36"/>
  <c r="AW13" i="36"/>
  <c r="AX13" i="36"/>
  <c r="AY13" i="36"/>
  <c r="AZ13" i="36"/>
  <c r="BA13" i="36"/>
  <c r="BB13" i="36"/>
  <c r="BC13" i="36"/>
  <c r="AV14" i="36"/>
  <c r="AW14" i="36"/>
  <c r="AX14" i="36"/>
  <c r="AY14" i="36"/>
  <c r="AZ14" i="36"/>
  <c r="BA14" i="36"/>
  <c r="BB14" i="36"/>
  <c r="BC14" i="36"/>
  <c r="AV15" i="36"/>
  <c r="AW15" i="36"/>
  <c r="AX15" i="36"/>
  <c r="AY15" i="36"/>
  <c r="AZ15" i="36"/>
  <c r="BA15" i="36"/>
  <c r="BB15" i="36"/>
  <c r="BC15" i="36"/>
  <c r="AV16" i="36"/>
  <c r="AW16" i="36"/>
  <c r="AX16" i="36"/>
  <c r="AY16" i="36"/>
  <c r="AZ16" i="36"/>
  <c r="BA16" i="36"/>
  <c r="BB16" i="36"/>
  <c r="BC16" i="36"/>
  <c r="AV17" i="36"/>
  <c r="AW17" i="36"/>
  <c r="AX17" i="36"/>
  <c r="AY17" i="36"/>
  <c r="AZ17" i="36"/>
  <c r="BA17" i="36"/>
  <c r="BB17" i="36"/>
  <c r="BC17" i="36"/>
  <c r="AV18" i="36"/>
  <c r="AW18" i="36"/>
  <c r="AX18" i="36"/>
  <c r="AY18" i="36"/>
  <c r="AZ18" i="36"/>
  <c r="BA18" i="36"/>
  <c r="BB18" i="36"/>
  <c r="BC18" i="36"/>
  <c r="AV19" i="36"/>
  <c r="AW19" i="36"/>
  <c r="AX19" i="36"/>
  <c r="AY19" i="36"/>
  <c r="AZ19" i="36"/>
  <c r="BA19" i="36"/>
  <c r="BB19" i="36"/>
  <c r="BC19" i="36"/>
  <c r="AV20" i="36"/>
  <c r="AW20" i="36"/>
  <c r="AX20" i="36"/>
  <c r="AY20" i="36"/>
  <c r="AZ20" i="36"/>
  <c r="BA20" i="36"/>
  <c r="BB20" i="36"/>
  <c r="BC20" i="36"/>
  <c r="AV21" i="36"/>
  <c r="AW21" i="36"/>
  <c r="AX21" i="36"/>
  <c r="AY21" i="36"/>
  <c r="AZ21" i="36"/>
  <c r="BA21" i="36"/>
  <c r="BB21" i="36"/>
  <c r="BC21" i="36"/>
  <c r="AV22" i="36"/>
  <c r="AW22" i="36"/>
  <c r="AX22" i="36"/>
  <c r="AY22" i="36"/>
  <c r="AZ22" i="36"/>
  <c r="BA22" i="36"/>
  <c r="BB22" i="36"/>
  <c r="BC22" i="36"/>
  <c r="AV23" i="36"/>
  <c r="AW23" i="36"/>
  <c r="AX23" i="36"/>
  <c r="AY23" i="36"/>
  <c r="AZ23" i="36"/>
  <c r="BA23" i="36"/>
  <c r="BB23" i="36"/>
  <c r="BC23" i="36"/>
  <c r="AV24" i="36"/>
  <c r="AW24" i="36"/>
  <c r="AX24" i="36"/>
  <c r="AY24" i="36"/>
  <c r="AZ24" i="36"/>
  <c r="BA24" i="36"/>
  <c r="BB24" i="36"/>
  <c r="BC24" i="36"/>
  <c r="AV25" i="36"/>
  <c r="AW25" i="36"/>
  <c r="AX25" i="36"/>
  <c r="AY25" i="36"/>
  <c r="AZ25" i="36"/>
  <c r="BA25" i="36"/>
  <c r="BB25" i="36"/>
  <c r="BC25" i="36"/>
  <c r="AV26" i="36"/>
  <c r="AW26" i="36"/>
  <c r="AX26" i="36"/>
  <c r="AY26" i="36"/>
  <c r="AZ26" i="36"/>
  <c r="BA26" i="36"/>
  <c r="BB26" i="36"/>
  <c r="BC26" i="36"/>
  <c r="AV27" i="36"/>
  <c r="AW27" i="36"/>
  <c r="AX27" i="36"/>
  <c r="AY27" i="36"/>
  <c r="AZ27" i="36"/>
  <c r="BA27" i="36"/>
  <c r="BB27" i="36"/>
  <c r="BC27" i="36"/>
  <c r="AV28" i="36"/>
  <c r="AW28" i="36"/>
  <c r="AX28" i="36"/>
  <c r="AY28" i="36"/>
  <c r="AZ28" i="36"/>
  <c r="BA28" i="36"/>
  <c r="BB28" i="36"/>
  <c r="BC28" i="36"/>
  <c r="AV29" i="36"/>
  <c r="AW29" i="36"/>
  <c r="AX29" i="36"/>
  <c r="AY29" i="36"/>
  <c r="AZ29" i="36"/>
  <c r="BA29" i="36"/>
  <c r="BB29" i="36"/>
  <c r="BC29" i="36"/>
  <c r="AV30" i="36"/>
  <c r="AW30" i="36"/>
  <c r="AX30" i="36"/>
  <c r="AY30" i="36"/>
  <c r="AZ30" i="36"/>
  <c r="BA30" i="36"/>
  <c r="BB30" i="36"/>
  <c r="BC30" i="36"/>
  <c r="AW2" i="36"/>
  <c r="AX2" i="36"/>
  <c r="AY2" i="36"/>
  <c r="AZ2" i="36"/>
  <c r="BA2" i="36"/>
  <c r="BB2" i="36"/>
  <c r="BC2" i="36"/>
  <c r="BT94" i="36"/>
  <c r="BU94" i="36"/>
  <c r="BV94" i="36"/>
  <c r="BW94" i="36"/>
  <c r="BX94" i="36"/>
  <c r="BY94" i="36"/>
  <c r="BZ94" i="36"/>
  <c r="CA94" i="36"/>
  <c r="BT95" i="36"/>
  <c r="BU95" i="36"/>
  <c r="BV95" i="36"/>
  <c r="BW95" i="36"/>
  <c r="BX95" i="36"/>
  <c r="BY95" i="36"/>
  <c r="BZ95" i="36"/>
  <c r="CA95" i="36"/>
  <c r="BT96" i="36"/>
  <c r="BU96" i="36"/>
  <c r="BV96" i="36"/>
  <c r="BW96" i="36"/>
  <c r="BX96" i="36"/>
  <c r="BY96" i="36"/>
  <c r="BZ96" i="36"/>
  <c r="CA96" i="36"/>
  <c r="BT97" i="36"/>
  <c r="BU97" i="36"/>
  <c r="BV97" i="36"/>
  <c r="BW97" i="36"/>
  <c r="BX97" i="36"/>
  <c r="BY97" i="36"/>
  <c r="BZ97" i="36"/>
  <c r="CA97" i="36"/>
  <c r="BT75" i="36"/>
  <c r="BU75" i="36"/>
  <c r="BV75" i="36"/>
  <c r="BW75" i="36"/>
  <c r="BX75" i="36"/>
  <c r="BY75" i="36"/>
  <c r="BZ75" i="36"/>
  <c r="CA75" i="36"/>
  <c r="BT76" i="36"/>
  <c r="BU76" i="36"/>
  <c r="BV76" i="36"/>
  <c r="BW76" i="36"/>
  <c r="BX76" i="36"/>
  <c r="BY76" i="36"/>
  <c r="BZ76" i="36"/>
  <c r="CA76" i="36"/>
  <c r="BT77" i="36"/>
  <c r="BU77" i="36"/>
  <c r="BV77" i="36"/>
  <c r="BW77" i="36"/>
  <c r="BX77" i="36"/>
  <c r="BY77" i="36"/>
  <c r="BZ77" i="36"/>
  <c r="CA77" i="36"/>
  <c r="BT78" i="36"/>
  <c r="BU78" i="36"/>
  <c r="BV78" i="36"/>
  <c r="BW78" i="36"/>
  <c r="BX78" i="36"/>
  <c r="BY78" i="36"/>
  <c r="BZ78" i="36"/>
  <c r="CA78" i="36"/>
  <c r="BT79" i="36"/>
  <c r="BU79" i="36"/>
  <c r="BV79" i="36"/>
  <c r="BW79" i="36"/>
  <c r="BX79" i="36"/>
  <c r="BY79" i="36"/>
  <c r="BZ79" i="36"/>
  <c r="CA79" i="36"/>
  <c r="BT80" i="36"/>
  <c r="BU80" i="36"/>
  <c r="BV80" i="36"/>
  <c r="BW80" i="36"/>
  <c r="BX80" i="36"/>
  <c r="BY80" i="36"/>
  <c r="BZ80" i="36"/>
  <c r="CA80" i="36"/>
  <c r="BT81" i="36"/>
  <c r="BU81" i="36"/>
  <c r="BV81" i="36"/>
  <c r="BW81" i="36"/>
  <c r="BX81" i="36"/>
  <c r="BY81" i="36"/>
  <c r="BZ81" i="36"/>
  <c r="CA81" i="36"/>
  <c r="BT82" i="36"/>
  <c r="BU82" i="36"/>
  <c r="BV82" i="36"/>
  <c r="BW82" i="36"/>
  <c r="BX82" i="36"/>
  <c r="BY82" i="36"/>
  <c r="BZ82" i="36"/>
  <c r="CA82" i="36"/>
  <c r="BT83" i="36"/>
  <c r="BU83" i="36"/>
  <c r="BV83" i="36"/>
  <c r="BW83" i="36"/>
  <c r="BX83" i="36"/>
  <c r="BY83" i="36"/>
  <c r="BZ83" i="36"/>
  <c r="CA83" i="36"/>
  <c r="BT84" i="36"/>
  <c r="BU84" i="36"/>
  <c r="BV84" i="36"/>
  <c r="BW84" i="36"/>
  <c r="BX84" i="36"/>
  <c r="BY84" i="36"/>
  <c r="BZ84" i="36"/>
  <c r="CA84" i="36"/>
  <c r="BT85" i="36"/>
  <c r="BU85" i="36"/>
  <c r="BV85" i="36"/>
  <c r="BW85" i="36"/>
  <c r="BX85" i="36"/>
  <c r="BY85" i="36"/>
  <c r="BZ85" i="36"/>
  <c r="CA85" i="36"/>
  <c r="BT86" i="36"/>
  <c r="BU86" i="36"/>
  <c r="BV86" i="36"/>
  <c r="BW86" i="36"/>
  <c r="BX86" i="36"/>
  <c r="BY86" i="36"/>
  <c r="BZ86" i="36"/>
  <c r="CA86" i="36"/>
  <c r="BT87" i="36"/>
  <c r="BU87" i="36"/>
  <c r="BV87" i="36"/>
  <c r="BW87" i="36"/>
  <c r="BX87" i="36"/>
  <c r="BY87" i="36"/>
  <c r="BZ87" i="36"/>
  <c r="CA87" i="36"/>
  <c r="BT88" i="36"/>
  <c r="BU88" i="36"/>
  <c r="BV88" i="36"/>
  <c r="BW88" i="36"/>
  <c r="BX88" i="36"/>
  <c r="BY88" i="36"/>
  <c r="BZ88" i="36"/>
  <c r="CA88" i="36"/>
  <c r="BT89" i="36"/>
  <c r="BU89" i="36"/>
  <c r="BV89" i="36"/>
  <c r="BW89" i="36"/>
  <c r="BX89" i="36"/>
  <c r="BY89" i="36"/>
  <c r="BZ89" i="36"/>
  <c r="CA89" i="36"/>
  <c r="BT90" i="36"/>
  <c r="BU90" i="36"/>
  <c r="BV90" i="36"/>
  <c r="BW90" i="36"/>
  <c r="BX90" i="36"/>
  <c r="BY90" i="36"/>
  <c r="BZ90" i="36"/>
  <c r="CA90" i="36"/>
  <c r="BT91" i="36"/>
  <c r="BU91" i="36"/>
  <c r="BV91" i="36"/>
  <c r="BW91" i="36"/>
  <c r="BX91" i="36"/>
  <c r="BY91" i="36"/>
  <c r="BZ91" i="36"/>
  <c r="CA91" i="36"/>
  <c r="BT92" i="36"/>
  <c r="BU92" i="36"/>
  <c r="BV92" i="36"/>
  <c r="BW92" i="36"/>
  <c r="BX92" i="36"/>
  <c r="BY92" i="36"/>
  <c r="BZ92" i="36"/>
  <c r="CA92" i="36"/>
  <c r="BT93" i="36"/>
  <c r="BU93" i="36"/>
  <c r="BV93" i="36"/>
  <c r="BW93" i="36"/>
  <c r="BX93" i="36"/>
  <c r="BY93" i="36"/>
  <c r="BZ93" i="36"/>
  <c r="CA93" i="36"/>
  <c r="BT54" i="36"/>
  <c r="BU54" i="36"/>
  <c r="BV54" i="36"/>
  <c r="BW54" i="36"/>
  <c r="BX54" i="36"/>
  <c r="BY54" i="36"/>
  <c r="BZ54" i="36"/>
  <c r="CA54" i="36"/>
  <c r="BT55" i="36"/>
  <c r="BU55" i="36"/>
  <c r="BV55" i="36"/>
  <c r="BW55" i="36"/>
  <c r="BX55" i="36"/>
  <c r="BY55" i="36"/>
  <c r="BZ55" i="36"/>
  <c r="CA55" i="36"/>
  <c r="BT56" i="36"/>
  <c r="BU56" i="36"/>
  <c r="BV56" i="36"/>
  <c r="BW56" i="36"/>
  <c r="BX56" i="36"/>
  <c r="BY56" i="36"/>
  <c r="BZ56" i="36"/>
  <c r="CA56" i="36"/>
  <c r="BT57" i="36"/>
  <c r="BU57" i="36"/>
  <c r="BV57" i="36"/>
  <c r="BW57" i="36"/>
  <c r="BX57" i="36"/>
  <c r="BY57" i="36"/>
  <c r="BZ57" i="36"/>
  <c r="CA57" i="36"/>
  <c r="BT58" i="36"/>
  <c r="BU58" i="36"/>
  <c r="BV58" i="36"/>
  <c r="BW58" i="36"/>
  <c r="BX58" i="36"/>
  <c r="BY58" i="36"/>
  <c r="BZ58" i="36"/>
  <c r="CA58" i="36"/>
  <c r="BT59" i="36"/>
  <c r="BU59" i="36"/>
  <c r="BV59" i="36"/>
  <c r="BW59" i="36"/>
  <c r="BX59" i="36"/>
  <c r="BY59" i="36"/>
  <c r="BZ59" i="36"/>
  <c r="CA59" i="36"/>
  <c r="BT60" i="36"/>
  <c r="BU60" i="36"/>
  <c r="BV60" i="36"/>
  <c r="BW60" i="36"/>
  <c r="BX60" i="36"/>
  <c r="BY60" i="36"/>
  <c r="BZ60" i="36"/>
  <c r="CA60" i="36"/>
  <c r="BT61" i="36"/>
  <c r="BU61" i="36"/>
  <c r="BV61" i="36"/>
  <c r="BW61" i="36"/>
  <c r="BX61" i="36"/>
  <c r="BY61" i="36"/>
  <c r="BZ61" i="36"/>
  <c r="CA61" i="36"/>
  <c r="BT62" i="36"/>
  <c r="BU62" i="36"/>
  <c r="BV62" i="36"/>
  <c r="BW62" i="36"/>
  <c r="BX62" i="36"/>
  <c r="BY62" i="36"/>
  <c r="BZ62" i="36"/>
  <c r="CA62" i="36"/>
  <c r="BT63" i="36"/>
  <c r="BU63" i="36"/>
  <c r="BV63" i="36"/>
  <c r="BW63" i="36"/>
  <c r="BX63" i="36"/>
  <c r="BY63" i="36"/>
  <c r="BZ63" i="36"/>
  <c r="CA63" i="36"/>
  <c r="BT64" i="36"/>
  <c r="BU64" i="36"/>
  <c r="BV64" i="36"/>
  <c r="BW64" i="36"/>
  <c r="BX64" i="36"/>
  <c r="BY64" i="36"/>
  <c r="BZ64" i="36"/>
  <c r="CA64" i="36"/>
  <c r="BT65" i="36"/>
  <c r="BU65" i="36"/>
  <c r="BV65" i="36"/>
  <c r="BW65" i="36"/>
  <c r="BX65" i="36"/>
  <c r="BY65" i="36"/>
  <c r="BZ65" i="36"/>
  <c r="CA65" i="36"/>
  <c r="BT66" i="36"/>
  <c r="BU66" i="36"/>
  <c r="BV66" i="36"/>
  <c r="BW66" i="36"/>
  <c r="BX66" i="36"/>
  <c r="BY66" i="36"/>
  <c r="BZ66" i="36"/>
  <c r="CA66" i="36"/>
  <c r="BT67" i="36"/>
  <c r="BU67" i="36"/>
  <c r="BV67" i="36"/>
  <c r="BW67" i="36"/>
  <c r="BX67" i="36"/>
  <c r="BY67" i="36"/>
  <c r="BZ67" i="36"/>
  <c r="CA67" i="36"/>
  <c r="BT68" i="36"/>
  <c r="BU68" i="36"/>
  <c r="BV68" i="36"/>
  <c r="BW68" i="36"/>
  <c r="BX68" i="36"/>
  <c r="BY68" i="36"/>
  <c r="BZ68" i="36"/>
  <c r="CA68" i="36"/>
  <c r="BT69" i="36"/>
  <c r="BU69" i="36"/>
  <c r="BV69" i="36"/>
  <c r="BW69" i="36"/>
  <c r="BX69" i="36"/>
  <c r="BY69" i="36"/>
  <c r="BZ69" i="36"/>
  <c r="CA69" i="36"/>
  <c r="BT70" i="36"/>
  <c r="BU70" i="36"/>
  <c r="BV70" i="36"/>
  <c r="BW70" i="36"/>
  <c r="BX70" i="36"/>
  <c r="BY70" i="36"/>
  <c r="BZ70" i="36"/>
  <c r="CA70" i="36"/>
  <c r="BT71" i="36"/>
  <c r="BU71" i="36"/>
  <c r="BV71" i="36"/>
  <c r="BW71" i="36"/>
  <c r="BX71" i="36"/>
  <c r="BY71" i="36"/>
  <c r="BZ71" i="36"/>
  <c r="CA71" i="36"/>
  <c r="BT72" i="36"/>
  <c r="BU72" i="36"/>
  <c r="BV72" i="36"/>
  <c r="BW72" i="36"/>
  <c r="BX72" i="36"/>
  <c r="BY72" i="36"/>
  <c r="BZ72" i="36"/>
  <c r="CA72" i="36"/>
  <c r="BT73" i="36"/>
  <c r="BU73" i="36"/>
  <c r="BV73" i="36"/>
  <c r="BW73" i="36"/>
  <c r="BX73" i="36"/>
  <c r="BY73" i="36"/>
  <c r="BZ73" i="36"/>
  <c r="CA73" i="36"/>
  <c r="BT74" i="36"/>
  <c r="BU74" i="36"/>
  <c r="BV74" i="36"/>
  <c r="BW74" i="36"/>
  <c r="BX74" i="36"/>
  <c r="BY74" i="36"/>
  <c r="BZ74" i="36"/>
  <c r="CA74" i="36"/>
  <c r="BT53" i="36"/>
  <c r="CA53" i="36"/>
  <c r="BZ53" i="36"/>
  <c r="BY53" i="36"/>
  <c r="BX53" i="36"/>
  <c r="BW53" i="36"/>
  <c r="BV53" i="36"/>
  <c r="BU53" i="36"/>
  <c r="AN54" i="36"/>
  <c r="AO54" i="36"/>
  <c r="AP54" i="36"/>
  <c r="AQ54" i="36"/>
  <c r="AR54" i="36"/>
  <c r="AS54" i="36"/>
  <c r="AT54" i="36"/>
  <c r="AU54" i="36"/>
  <c r="AN55" i="36"/>
  <c r="AO55" i="36"/>
  <c r="AP55" i="36"/>
  <c r="AQ55" i="36"/>
  <c r="AR55" i="36"/>
  <c r="AS55" i="36"/>
  <c r="AT55" i="36"/>
  <c r="AU55" i="36"/>
  <c r="AN56" i="36"/>
  <c r="AO56" i="36"/>
  <c r="AP56" i="36"/>
  <c r="AQ56" i="36"/>
  <c r="AR56" i="36"/>
  <c r="AS56" i="36"/>
  <c r="AT56" i="36"/>
  <c r="AU56" i="36"/>
  <c r="AN57" i="36"/>
  <c r="AO57" i="36"/>
  <c r="AP57" i="36"/>
  <c r="AQ57" i="36"/>
  <c r="AR57" i="36"/>
  <c r="AS57" i="36"/>
  <c r="AT57" i="36"/>
  <c r="AU57" i="36"/>
  <c r="AN58" i="36"/>
  <c r="AO58" i="36"/>
  <c r="AP58" i="36"/>
  <c r="AQ58" i="36"/>
  <c r="AR58" i="36"/>
  <c r="AS58" i="36"/>
  <c r="AT58" i="36"/>
  <c r="AU58" i="36"/>
  <c r="AN59" i="36"/>
  <c r="AO59" i="36"/>
  <c r="AP59" i="36"/>
  <c r="AQ59" i="36"/>
  <c r="AR59" i="36"/>
  <c r="AS59" i="36"/>
  <c r="AT59" i="36"/>
  <c r="AU59" i="36"/>
  <c r="AN60" i="36"/>
  <c r="AO60" i="36"/>
  <c r="AP60" i="36"/>
  <c r="AQ60" i="36"/>
  <c r="AR60" i="36"/>
  <c r="AS60" i="36"/>
  <c r="AT60" i="36"/>
  <c r="AU60" i="36"/>
  <c r="AN61" i="36"/>
  <c r="AO61" i="36"/>
  <c r="AP61" i="36"/>
  <c r="AQ61" i="36"/>
  <c r="AR61" i="36"/>
  <c r="AS61" i="36"/>
  <c r="AT61" i="36"/>
  <c r="AU61" i="36"/>
  <c r="AN62" i="36"/>
  <c r="AO62" i="36"/>
  <c r="AP62" i="36"/>
  <c r="AQ62" i="36"/>
  <c r="AR62" i="36"/>
  <c r="AS62" i="36"/>
  <c r="AT62" i="36"/>
  <c r="AU62" i="36"/>
  <c r="AN63" i="36"/>
  <c r="AO63" i="36"/>
  <c r="AP63" i="36"/>
  <c r="AQ63" i="36"/>
  <c r="AR63" i="36"/>
  <c r="AS63" i="36"/>
  <c r="AT63" i="36"/>
  <c r="AU63" i="36"/>
  <c r="AN64" i="36"/>
  <c r="AO64" i="36"/>
  <c r="AP64" i="36"/>
  <c r="AQ64" i="36"/>
  <c r="AR64" i="36"/>
  <c r="AS64" i="36"/>
  <c r="AT64" i="36"/>
  <c r="AU64" i="36"/>
  <c r="AN65" i="36"/>
  <c r="AO65" i="36"/>
  <c r="AP65" i="36"/>
  <c r="AQ65" i="36"/>
  <c r="AR65" i="36"/>
  <c r="AS65" i="36"/>
  <c r="AT65" i="36"/>
  <c r="AU65" i="36"/>
  <c r="AN66" i="36"/>
  <c r="AO66" i="36"/>
  <c r="AP66" i="36"/>
  <c r="AQ66" i="36"/>
  <c r="AR66" i="36"/>
  <c r="AS66" i="36"/>
  <c r="AT66" i="36"/>
  <c r="AU66" i="36"/>
  <c r="AN67" i="36"/>
  <c r="AO67" i="36"/>
  <c r="AP67" i="36"/>
  <c r="AQ67" i="36"/>
  <c r="AR67" i="36"/>
  <c r="AS67" i="36"/>
  <c r="AT67" i="36"/>
  <c r="AU67" i="36"/>
  <c r="AN68" i="36"/>
  <c r="AO68" i="36"/>
  <c r="AP68" i="36"/>
  <c r="AQ68" i="36"/>
  <c r="AR68" i="36"/>
  <c r="AS68" i="36"/>
  <c r="AT68" i="36"/>
  <c r="AU68" i="36"/>
  <c r="AN69" i="36"/>
  <c r="AO69" i="36"/>
  <c r="AP69" i="36"/>
  <c r="AQ69" i="36"/>
  <c r="AR69" i="36"/>
  <c r="AS69" i="36"/>
  <c r="AT69" i="36"/>
  <c r="AU69" i="36"/>
  <c r="AN70" i="36"/>
  <c r="AO70" i="36"/>
  <c r="AP70" i="36"/>
  <c r="AQ70" i="36"/>
  <c r="AR70" i="36"/>
  <c r="AS70" i="36"/>
  <c r="AT70" i="36"/>
  <c r="AU70" i="36"/>
  <c r="AN71" i="36"/>
  <c r="AO71" i="36"/>
  <c r="AP71" i="36"/>
  <c r="AQ71" i="36"/>
  <c r="AR71" i="36"/>
  <c r="AS71" i="36"/>
  <c r="AT71" i="36"/>
  <c r="AU71" i="36"/>
  <c r="AN72" i="36"/>
  <c r="AO72" i="36"/>
  <c r="AP72" i="36"/>
  <c r="AQ72" i="36"/>
  <c r="AR72" i="36"/>
  <c r="AS72" i="36"/>
  <c r="AT72" i="36"/>
  <c r="AU72" i="36"/>
  <c r="AN73" i="36"/>
  <c r="AO73" i="36"/>
  <c r="AP73" i="36"/>
  <c r="AQ73" i="36"/>
  <c r="AR73" i="36"/>
  <c r="AS73" i="36"/>
  <c r="AT73" i="36"/>
  <c r="AU73" i="36"/>
  <c r="AN74" i="36"/>
  <c r="AO74" i="36"/>
  <c r="AP74" i="36"/>
  <c r="AQ74" i="36"/>
  <c r="AR74" i="36"/>
  <c r="AS74" i="36"/>
  <c r="AT74" i="36"/>
  <c r="AU74" i="36"/>
  <c r="AN75" i="36"/>
  <c r="AO75" i="36"/>
  <c r="AP75" i="36"/>
  <c r="AQ75" i="36"/>
  <c r="AR75" i="36"/>
  <c r="AS75" i="36"/>
  <c r="AT75" i="36"/>
  <c r="AU75" i="36"/>
  <c r="AN76" i="36"/>
  <c r="AO76" i="36"/>
  <c r="AP76" i="36"/>
  <c r="AQ76" i="36"/>
  <c r="AR76" i="36"/>
  <c r="AS76" i="36"/>
  <c r="AT76" i="36"/>
  <c r="AU76" i="36"/>
  <c r="AN77" i="36"/>
  <c r="AO77" i="36"/>
  <c r="AP77" i="36"/>
  <c r="AQ77" i="36"/>
  <c r="AR77" i="36"/>
  <c r="AS77" i="36"/>
  <c r="AT77" i="36"/>
  <c r="AU77" i="36"/>
  <c r="AN78" i="36"/>
  <c r="AO78" i="36"/>
  <c r="AP78" i="36"/>
  <c r="AQ78" i="36"/>
  <c r="AR78" i="36"/>
  <c r="AS78" i="36"/>
  <c r="AT78" i="36"/>
  <c r="AU78" i="36"/>
  <c r="AN79" i="36"/>
  <c r="AO79" i="36"/>
  <c r="AP79" i="36"/>
  <c r="AQ79" i="36"/>
  <c r="AR79" i="36"/>
  <c r="AS79" i="36"/>
  <c r="AT79" i="36"/>
  <c r="AU79" i="36"/>
  <c r="AN80" i="36"/>
  <c r="AO80" i="36"/>
  <c r="AP80" i="36"/>
  <c r="AQ80" i="36"/>
  <c r="AR80" i="36"/>
  <c r="AS80" i="36"/>
  <c r="AT80" i="36"/>
  <c r="AU80" i="36"/>
  <c r="AN81" i="36"/>
  <c r="AO81" i="36"/>
  <c r="AP81" i="36"/>
  <c r="AQ81" i="36"/>
  <c r="AR81" i="36"/>
  <c r="AS81" i="36"/>
  <c r="AT81" i="36"/>
  <c r="AU81" i="36"/>
  <c r="AN82" i="36"/>
  <c r="AO82" i="36"/>
  <c r="AP82" i="36"/>
  <c r="AQ82" i="36"/>
  <c r="AR82" i="36"/>
  <c r="AS82" i="36"/>
  <c r="AT82" i="36"/>
  <c r="AU82" i="36"/>
  <c r="AN83" i="36"/>
  <c r="AO83" i="36"/>
  <c r="AP83" i="36"/>
  <c r="AQ83" i="36"/>
  <c r="AR83" i="36"/>
  <c r="AS83" i="36"/>
  <c r="AT83" i="36"/>
  <c r="AU83" i="36"/>
  <c r="AN84" i="36"/>
  <c r="AO84" i="36"/>
  <c r="AP84" i="36"/>
  <c r="AQ84" i="36"/>
  <c r="AR84" i="36"/>
  <c r="AS84" i="36"/>
  <c r="AT84" i="36"/>
  <c r="AU84" i="36"/>
  <c r="AN85" i="36"/>
  <c r="AO85" i="36"/>
  <c r="AP85" i="36"/>
  <c r="AQ85" i="36"/>
  <c r="AR85" i="36"/>
  <c r="AS85" i="36"/>
  <c r="AT85" i="36"/>
  <c r="AU85" i="36"/>
  <c r="AN86" i="36"/>
  <c r="AO86" i="36"/>
  <c r="AP86" i="36"/>
  <c r="AQ86" i="36"/>
  <c r="AR86" i="36"/>
  <c r="AS86" i="36"/>
  <c r="AT86" i="36"/>
  <c r="AU86" i="36"/>
  <c r="AN87" i="36"/>
  <c r="AO87" i="36"/>
  <c r="AP87" i="36"/>
  <c r="AQ87" i="36"/>
  <c r="AR87" i="36"/>
  <c r="AS87" i="36"/>
  <c r="AT87" i="36"/>
  <c r="AU87" i="36"/>
  <c r="AN88" i="36"/>
  <c r="AO88" i="36"/>
  <c r="AP88" i="36"/>
  <c r="AQ88" i="36"/>
  <c r="AR88" i="36"/>
  <c r="AS88" i="36"/>
  <c r="AT88" i="36"/>
  <c r="AU88" i="36"/>
  <c r="AN89" i="36"/>
  <c r="AO89" i="36"/>
  <c r="AP89" i="36"/>
  <c r="AQ89" i="36"/>
  <c r="AR89" i="36"/>
  <c r="AS89" i="36"/>
  <c r="AT89" i="36"/>
  <c r="AU89" i="36"/>
  <c r="AN90" i="36"/>
  <c r="AO90" i="36"/>
  <c r="AP90" i="36"/>
  <c r="AQ90" i="36"/>
  <c r="AR90" i="36"/>
  <c r="AS90" i="36"/>
  <c r="AT90" i="36"/>
  <c r="AU90" i="36"/>
  <c r="AN91" i="36"/>
  <c r="AO91" i="36"/>
  <c r="AP91" i="36"/>
  <c r="AQ91" i="36"/>
  <c r="AR91" i="36"/>
  <c r="AS91" i="36"/>
  <c r="AT91" i="36"/>
  <c r="AU91" i="36"/>
  <c r="AN92" i="36"/>
  <c r="AO92" i="36"/>
  <c r="AP92" i="36"/>
  <c r="AQ92" i="36"/>
  <c r="AR92" i="36"/>
  <c r="AS92" i="36"/>
  <c r="AT92" i="36"/>
  <c r="AU92" i="36"/>
  <c r="AN93" i="36"/>
  <c r="AO93" i="36"/>
  <c r="AP93" i="36"/>
  <c r="AQ93" i="36"/>
  <c r="AR93" i="36"/>
  <c r="AS93" i="36"/>
  <c r="AT93" i="36"/>
  <c r="AU93" i="36"/>
  <c r="AN94" i="36"/>
  <c r="AO94" i="36"/>
  <c r="AP94" i="36"/>
  <c r="AQ94" i="36"/>
  <c r="AR94" i="36"/>
  <c r="AS94" i="36"/>
  <c r="AT94" i="36"/>
  <c r="AU94" i="36"/>
  <c r="AN95" i="36"/>
  <c r="AO95" i="36"/>
  <c r="AP95" i="36"/>
  <c r="AQ95" i="36"/>
  <c r="AR95" i="36"/>
  <c r="AS95" i="36"/>
  <c r="AT95" i="36"/>
  <c r="AU95" i="36"/>
  <c r="AN96" i="36"/>
  <c r="AO96" i="36"/>
  <c r="AP96" i="36"/>
  <c r="AQ96" i="36"/>
  <c r="AR96" i="36"/>
  <c r="AS96" i="36"/>
  <c r="AT96" i="36"/>
  <c r="AU96" i="36"/>
  <c r="AN97" i="36"/>
  <c r="AO97" i="36"/>
  <c r="AP97" i="36"/>
  <c r="AQ97" i="36"/>
  <c r="AR97" i="36"/>
  <c r="AS97" i="36"/>
  <c r="AT97" i="36"/>
  <c r="AU97" i="36"/>
  <c r="AU53" i="36"/>
  <c r="AT53" i="36"/>
  <c r="AS53" i="36"/>
  <c r="AR53" i="36"/>
  <c r="AQ53" i="36"/>
  <c r="AP53" i="36"/>
  <c r="AO53" i="36"/>
  <c r="AN53" i="36"/>
  <c r="X90" i="33"/>
  <c r="Y90" i="33"/>
  <c r="Z90" i="33"/>
  <c r="X91" i="33"/>
  <c r="Y91" i="33"/>
  <c r="Z91" i="33"/>
  <c r="X137" i="33"/>
  <c r="Y137" i="33"/>
  <c r="Z137" i="33"/>
  <c r="X138" i="33"/>
  <c r="Y138" i="33"/>
  <c r="Z138" i="33"/>
  <c r="X207" i="33"/>
  <c r="Y207" i="33"/>
  <c r="Z207" i="33"/>
  <c r="X208" i="33"/>
  <c r="Y208" i="33"/>
  <c r="Z208" i="33"/>
  <c r="X235" i="33"/>
  <c r="Y235" i="33"/>
  <c r="Z235" i="33"/>
  <c r="X236" i="33"/>
  <c r="Y236" i="33"/>
  <c r="Z236" i="33"/>
  <c r="X285" i="33"/>
  <c r="Y285" i="33"/>
  <c r="Z285" i="33"/>
  <c r="X286" i="33"/>
  <c r="Y286" i="33"/>
  <c r="Z286" i="33"/>
  <c r="X305" i="33"/>
  <c r="Y305" i="33"/>
  <c r="Z305" i="33"/>
  <c r="X306" i="33"/>
  <c r="Y306" i="33"/>
  <c r="Z306" i="33"/>
  <c r="X331" i="33"/>
  <c r="Y331" i="33"/>
  <c r="Z331" i="33"/>
  <c r="X332" i="33"/>
  <c r="Y332" i="33"/>
  <c r="Z332" i="33"/>
  <c r="F375" i="33" l="1"/>
  <c r="H375" i="33"/>
  <c r="F377" i="33"/>
  <c r="F376" i="33"/>
  <c r="H376" i="33"/>
  <c r="AE13" i="20" a="1"/>
  <c r="AE13" i="20" s="1"/>
  <c r="AJ13" i="20"/>
  <c r="W13" i="20" a="1"/>
  <c r="W13" i="20" s="1"/>
  <c r="AF13" i="20" a="1"/>
  <c r="AF13" i="20" s="1"/>
  <c r="X13" i="20" a="1"/>
  <c r="X13" i="20" s="1"/>
  <c r="AG13" i="20" a="1"/>
  <c r="AG13" i="20" s="1"/>
  <c r="Y13" i="20" a="1"/>
  <c r="Y13" i="20" s="1"/>
  <c r="AH13" i="20" a="1"/>
  <c r="AH13" i="20" s="1"/>
  <c r="Z13" i="20" a="1"/>
  <c r="Z13" i="20" s="1"/>
  <c r="V13" i="20" a="1"/>
  <c r="V13" i="20" s="1"/>
  <c r="AA13" i="20" a="1"/>
  <c r="AA13" i="20" s="1"/>
  <c r="AD13" i="20" a="1"/>
  <c r="AD13" i="20" s="1"/>
  <c r="AC13" i="20" a="1"/>
  <c r="AC13" i="20" s="1"/>
  <c r="AC43" i="20" a="1"/>
  <c r="AC43" i="20" s="1"/>
  <c r="AE43" i="20" a="1"/>
  <c r="AE43" i="20" s="1"/>
  <c r="V43" i="20" a="1"/>
  <c r="V43" i="20" s="1"/>
  <c r="W43" i="20" a="1"/>
  <c r="W43" i="20" s="1"/>
  <c r="AD43" i="20" a="1"/>
  <c r="AD43" i="20" s="1"/>
  <c r="AF43" i="20" a="1"/>
  <c r="AF43" i="20" s="1"/>
  <c r="X43" i="20" a="1"/>
  <c r="X43" i="20" s="1"/>
  <c r="AJ43" i="20"/>
  <c r="AG43" i="20" a="1"/>
  <c r="AG43" i="20" s="1"/>
  <c r="AH43" i="20" a="1"/>
  <c r="AH43" i="20" s="1"/>
  <c r="Y43" i="20" a="1"/>
  <c r="Y43" i="20" s="1"/>
  <c r="AA43" i="20" a="1"/>
  <c r="AA43" i="20" s="1"/>
  <c r="Z43" i="20" a="1"/>
  <c r="Z43" i="20" s="1"/>
  <c r="AF27" i="20" a="1"/>
  <c r="AF27" i="20" s="1"/>
  <c r="X27" i="20" a="1"/>
  <c r="X27" i="20" s="1"/>
  <c r="AG27" i="20" a="1"/>
  <c r="AG27" i="20" s="1"/>
  <c r="Y27" i="20" a="1"/>
  <c r="Y27" i="20" s="1"/>
  <c r="AH27" i="20" a="1"/>
  <c r="AH27" i="20" s="1"/>
  <c r="Z27" i="20" a="1"/>
  <c r="Z27" i="20" s="1"/>
  <c r="V27" i="20" a="1"/>
  <c r="V27" i="20" s="1"/>
  <c r="AJ27" i="20"/>
  <c r="AA27" i="20" a="1"/>
  <c r="AA27" i="20" s="1"/>
  <c r="W27" i="20" a="1"/>
  <c r="W27" i="20" s="1"/>
  <c r="AD27" i="20" a="1"/>
  <c r="AD27" i="20" s="1"/>
  <c r="AE27" i="20" a="1"/>
  <c r="AE27" i="20" s="1"/>
  <c r="AC27" i="20" a="1"/>
  <c r="AC27" i="20" s="1"/>
  <c r="V11" i="20" a="1"/>
  <c r="V11" i="20" s="1"/>
  <c r="Z11" i="20" a="1"/>
  <c r="Z11" i="20" s="1"/>
  <c r="X11" i="20" a="1"/>
  <c r="X11" i="20" s="1"/>
  <c r="AD11" i="20" a="1"/>
  <c r="AD11" i="20" s="1"/>
  <c r="AH11" i="20" a="1"/>
  <c r="AH11" i="20" s="1"/>
  <c r="AE11" i="20" a="1"/>
  <c r="AE11" i="20" s="1"/>
  <c r="W11" i="20" a="1"/>
  <c r="W11" i="20" s="1"/>
  <c r="AF11" i="20" a="1"/>
  <c r="AF11" i="20" s="1"/>
  <c r="AG11" i="20" a="1"/>
  <c r="AG11" i="20" s="1"/>
  <c r="Y11" i="20" a="1"/>
  <c r="Y11" i="20" s="1"/>
  <c r="AJ11" i="20"/>
  <c r="AA11" i="20" a="1"/>
  <c r="AA11" i="20" s="1"/>
  <c r="AC11" i="20" a="1"/>
  <c r="AC11" i="20" s="1"/>
  <c r="Y42" i="20" a="1"/>
  <c r="Y42" i="20" s="1"/>
  <c r="AD42" i="20" a="1"/>
  <c r="AD42" i="20" s="1"/>
  <c r="V42" i="20" a="1"/>
  <c r="V42" i="20" s="1"/>
  <c r="AG42" i="20" a="1"/>
  <c r="AG42" i="20" s="1"/>
  <c r="AE42" i="20" a="1"/>
  <c r="AE42" i="20" s="1"/>
  <c r="W42" i="20" a="1"/>
  <c r="W42" i="20" s="1"/>
  <c r="AF42" i="20" a="1"/>
  <c r="AF42" i="20" s="1"/>
  <c r="X42" i="20" a="1"/>
  <c r="X42" i="20" s="1"/>
  <c r="AH42" i="20" a="1"/>
  <c r="AH42" i="20" s="1"/>
  <c r="Z42" i="20" a="1"/>
  <c r="Z42" i="20" s="1"/>
  <c r="AA42" i="20" a="1"/>
  <c r="AA42" i="20" s="1"/>
  <c r="AC42" i="20" a="1"/>
  <c r="AC42" i="20" s="1"/>
  <c r="AJ42" i="20"/>
  <c r="V26" i="20" a="1"/>
  <c r="V26" i="20" s="1"/>
  <c r="AD26" i="20" a="1"/>
  <c r="AD26" i="20" s="1"/>
  <c r="AE26" i="20" a="1"/>
  <c r="AE26" i="20" s="1"/>
  <c r="W26" i="20" a="1"/>
  <c r="W26" i="20" s="1"/>
  <c r="X26" i="20" a="1"/>
  <c r="X26" i="20" s="1"/>
  <c r="AA26" i="20" a="1"/>
  <c r="AA26" i="20" s="1"/>
  <c r="AF26" i="20" a="1"/>
  <c r="AF26" i="20" s="1"/>
  <c r="AJ26" i="20"/>
  <c r="AG26" i="20" a="1"/>
  <c r="AG26" i="20" s="1"/>
  <c r="Y26" i="20" a="1"/>
  <c r="Y26" i="20" s="1"/>
  <c r="AH26" i="20" a="1"/>
  <c r="AH26" i="20" s="1"/>
  <c r="AC26" i="20" a="1"/>
  <c r="AC26" i="20" s="1"/>
  <c r="Z26" i="20" a="1"/>
  <c r="Z26" i="20" s="1"/>
  <c r="AE10" i="20" a="1"/>
  <c r="AE10" i="20" s="1"/>
  <c r="W10" i="20" a="1"/>
  <c r="W10" i="20" s="1"/>
  <c r="V10" i="20" a="1"/>
  <c r="V10" i="20" s="1"/>
  <c r="AF10" i="20" a="1"/>
  <c r="AF10" i="20" s="1"/>
  <c r="X10" i="20" a="1"/>
  <c r="X10" i="20" s="1"/>
  <c r="AG10" i="20" a="1"/>
  <c r="AG10" i="20" s="1"/>
  <c r="Y10" i="20" a="1"/>
  <c r="Y10" i="20" s="1"/>
  <c r="AH10" i="20" a="1"/>
  <c r="AH10" i="20" s="1"/>
  <c r="Z10" i="20" a="1"/>
  <c r="Z10" i="20" s="1"/>
  <c r="AA10" i="20" a="1"/>
  <c r="AA10" i="20" s="1"/>
  <c r="AC10" i="20" a="1"/>
  <c r="AC10" i="20" s="1"/>
  <c r="AJ10" i="20"/>
  <c r="AD10" i="20" a="1"/>
  <c r="AD10" i="20" s="1"/>
  <c r="AG41" i="20" a="1"/>
  <c r="AG41" i="20" s="1"/>
  <c r="Y41" i="20" a="1"/>
  <c r="Y41" i="20" s="1"/>
  <c r="AH41" i="20" a="1"/>
  <c r="AH41" i="20" s="1"/>
  <c r="Z41" i="20" a="1"/>
  <c r="Z41" i="20" s="1"/>
  <c r="V41" i="20" a="1"/>
  <c r="V41" i="20" s="1"/>
  <c r="AA41" i="20" a="1"/>
  <c r="AA41" i="20" s="1"/>
  <c r="X41" i="20" a="1"/>
  <c r="X41" i="20" s="1"/>
  <c r="AC41" i="20" a="1"/>
  <c r="AC41" i="20" s="1"/>
  <c r="AF41" i="20" a="1"/>
  <c r="AF41" i="20" s="1"/>
  <c r="W41" i="20" a="1"/>
  <c r="W41" i="20" s="1"/>
  <c r="AE41" i="20" a="1"/>
  <c r="AE41" i="20" s="1"/>
  <c r="AJ41" i="20"/>
  <c r="AD41" i="20" a="1"/>
  <c r="AD41" i="20" s="1"/>
  <c r="V25" i="20" a="1"/>
  <c r="V25" i="20" s="1"/>
  <c r="AG25" i="20" a="1"/>
  <c r="AG25" i="20" s="1"/>
  <c r="Y25" i="20" a="1"/>
  <c r="Y25" i="20" s="1"/>
  <c r="AD25" i="20" a="1"/>
  <c r="AD25" i="20" s="1"/>
  <c r="AA25" i="20" a="1"/>
  <c r="AA25" i="20" s="1"/>
  <c r="AE25" i="20" a="1"/>
  <c r="AE25" i="20" s="1"/>
  <c r="W25" i="20" a="1"/>
  <c r="W25" i="20" s="1"/>
  <c r="AF25" i="20" a="1"/>
  <c r="AF25" i="20" s="1"/>
  <c r="X25" i="20" a="1"/>
  <c r="X25" i="20" s="1"/>
  <c r="AH25" i="20" a="1"/>
  <c r="AH25" i="20" s="1"/>
  <c r="Z25" i="20" a="1"/>
  <c r="Z25" i="20" s="1"/>
  <c r="AC25" i="20" a="1"/>
  <c r="AC25" i="20" s="1"/>
  <c r="AJ25" i="20"/>
  <c r="V9" i="20" a="1"/>
  <c r="V9" i="20" s="1"/>
  <c r="AD9" i="20" a="1"/>
  <c r="AD9" i="20" s="1"/>
  <c r="AA9" i="20" a="1"/>
  <c r="AA9" i="20" s="1"/>
  <c r="AE9" i="20" a="1"/>
  <c r="AE9" i="20" s="1"/>
  <c r="AC9" i="20" a="1"/>
  <c r="AC9" i="20" s="1"/>
  <c r="W9" i="20" a="1"/>
  <c r="W9" i="20" s="1"/>
  <c r="AF9" i="20" a="1"/>
  <c r="AF9" i="20" s="1"/>
  <c r="X9" i="20" a="1"/>
  <c r="X9" i="20" s="1"/>
  <c r="AG9" i="20" a="1"/>
  <c r="AG9" i="20" s="1"/>
  <c r="Y9" i="20" a="1"/>
  <c r="Y9" i="20" s="1"/>
  <c r="AJ9" i="20"/>
  <c r="AH9" i="20" a="1"/>
  <c r="AH9" i="20" s="1"/>
  <c r="Z9" i="20" a="1"/>
  <c r="Z9" i="20" s="1"/>
  <c r="V40" i="20" a="1"/>
  <c r="V40" i="20" s="1"/>
  <c r="AF40" i="20" a="1"/>
  <c r="AF40" i="20" s="1"/>
  <c r="AD40" i="20" a="1"/>
  <c r="AD40" i="20" s="1"/>
  <c r="AE40" i="20" a="1"/>
  <c r="AE40" i="20" s="1"/>
  <c r="W40" i="20" a="1"/>
  <c r="W40" i="20" s="1"/>
  <c r="X40" i="20" a="1"/>
  <c r="X40" i="20" s="1"/>
  <c r="AA40" i="20" a="1"/>
  <c r="AA40" i="20" s="1"/>
  <c r="AG40" i="20" a="1"/>
  <c r="AG40" i="20" s="1"/>
  <c r="Y40" i="20" a="1"/>
  <c r="Y40" i="20" s="1"/>
  <c r="AJ40" i="20"/>
  <c r="AH40" i="20" a="1"/>
  <c r="AH40" i="20" s="1"/>
  <c r="Z40" i="20" a="1"/>
  <c r="Z40" i="20" s="1"/>
  <c r="AC40" i="20" a="1"/>
  <c r="AC40" i="20" s="1"/>
  <c r="X24" i="20" a="1"/>
  <c r="X24" i="20" s="1"/>
  <c r="V24" i="20" a="1"/>
  <c r="V24" i="20" s="1"/>
  <c r="AG24" i="20" a="1"/>
  <c r="AG24" i="20" s="1"/>
  <c r="Y24" i="20" a="1"/>
  <c r="Y24" i="20" s="1"/>
  <c r="AH24" i="20" a="1"/>
  <c r="AH24" i="20" s="1"/>
  <c r="Z24" i="20" a="1"/>
  <c r="Z24" i="20" s="1"/>
  <c r="AA24" i="20" a="1"/>
  <c r="AA24" i="20" s="1"/>
  <c r="AF24" i="20" a="1"/>
  <c r="AF24" i="20" s="1"/>
  <c r="AC24" i="20" a="1"/>
  <c r="AC24" i="20" s="1"/>
  <c r="AE24" i="20" a="1"/>
  <c r="AE24" i="20" s="1"/>
  <c r="W24" i="20" a="1"/>
  <c r="W24" i="20" s="1"/>
  <c r="AJ24" i="20"/>
  <c r="AD24" i="20" a="1"/>
  <c r="AD24" i="20" s="1"/>
  <c r="X8" i="20" a="1"/>
  <c r="X8" i="20" s="1"/>
  <c r="AD8" i="20" a="1"/>
  <c r="AD8" i="20" s="1"/>
  <c r="AE8" i="20" a="1"/>
  <c r="AE8" i="20" s="1"/>
  <c r="W8" i="20" a="1"/>
  <c r="W8" i="20" s="1"/>
  <c r="AC8" i="20" a="1"/>
  <c r="AC8" i="20" s="1"/>
  <c r="AF8" i="20" a="1"/>
  <c r="AF8" i="20" s="1"/>
  <c r="AG8" i="20" a="1"/>
  <c r="AG8" i="20" s="1"/>
  <c r="Y8" i="20" a="1"/>
  <c r="Y8" i="20" s="1"/>
  <c r="AH8" i="20" a="1"/>
  <c r="AH8" i="20" s="1"/>
  <c r="Z8" i="20" a="1"/>
  <c r="Z8" i="20" s="1"/>
  <c r="AA8" i="20" a="1"/>
  <c r="AA8" i="20" s="1"/>
  <c r="AJ8" i="20"/>
  <c r="V8" i="20" a="1"/>
  <c r="V8" i="20" s="1"/>
  <c r="AC29" i="20" a="1"/>
  <c r="AC29" i="20" s="1"/>
  <c r="AA29" i="20" a="1"/>
  <c r="AA29" i="20" s="1"/>
  <c r="AJ29" i="20"/>
  <c r="AD29" i="20" a="1"/>
  <c r="AD29" i="20" s="1"/>
  <c r="V29" i="20" a="1"/>
  <c r="V29" i="20" s="1"/>
  <c r="AE29" i="20" a="1"/>
  <c r="AE29" i="20" s="1"/>
  <c r="W29" i="20" a="1"/>
  <c r="W29" i="20" s="1"/>
  <c r="AF29" i="20" a="1"/>
  <c r="AF29" i="20" s="1"/>
  <c r="X29" i="20" a="1"/>
  <c r="X29" i="20" s="1"/>
  <c r="Z29" i="20" a="1"/>
  <c r="Z29" i="20" s="1"/>
  <c r="AG29" i="20" a="1"/>
  <c r="AG29" i="20" s="1"/>
  <c r="Y29" i="20" a="1"/>
  <c r="Y29" i="20" s="1"/>
  <c r="AH29" i="20" a="1"/>
  <c r="AH29" i="20" s="1"/>
  <c r="AH39" i="20" a="1"/>
  <c r="AH39" i="20" s="1"/>
  <c r="AD39" i="20" a="1"/>
  <c r="AD39" i="20" s="1"/>
  <c r="AE39" i="20" a="1"/>
  <c r="AE39" i="20" s="1"/>
  <c r="W39" i="20" a="1"/>
  <c r="W39" i="20" s="1"/>
  <c r="Z39" i="20" a="1"/>
  <c r="Z39" i="20" s="1"/>
  <c r="AF39" i="20" a="1"/>
  <c r="AF39" i="20" s="1"/>
  <c r="X39" i="20" a="1"/>
  <c r="X39" i="20" s="1"/>
  <c r="AG39" i="20" a="1"/>
  <c r="AG39" i="20" s="1"/>
  <c r="Y39" i="20" a="1"/>
  <c r="Y39" i="20" s="1"/>
  <c r="AA39" i="20" a="1"/>
  <c r="AA39" i="20" s="1"/>
  <c r="V39" i="20" a="1"/>
  <c r="V39" i="20" s="1"/>
  <c r="AJ39" i="20"/>
  <c r="AC39" i="20" a="1"/>
  <c r="AC39" i="20" s="1"/>
  <c r="AE23" i="20" a="1"/>
  <c r="AE23" i="20" s="1"/>
  <c r="W23" i="20" a="1"/>
  <c r="W23" i="20" s="1"/>
  <c r="AD23" i="20" a="1"/>
  <c r="AD23" i="20" s="1"/>
  <c r="V23" i="20" a="1"/>
  <c r="V23" i="20" s="1"/>
  <c r="AF23" i="20" a="1"/>
  <c r="AF23" i="20" s="1"/>
  <c r="AC23" i="20" a="1"/>
  <c r="AC23" i="20" s="1"/>
  <c r="X23" i="20" a="1"/>
  <c r="X23" i="20" s="1"/>
  <c r="AJ23" i="20"/>
  <c r="AG23" i="20" a="1"/>
  <c r="AG23" i="20" s="1"/>
  <c r="Y23" i="20" a="1"/>
  <c r="Y23" i="20" s="1"/>
  <c r="AH23" i="20" a="1"/>
  <c r="AH23" i="20" s="1"/>
  <c r="Z23" i="20" a="1"/>
  <c r="Z23" i="20" s="1"/>
  <c r="AA23" i="20" a="1"/>
  <c r="AA23" i="20" s="1"/>
  <c r="AF7" i="20" a="1"/>
  <c r="AF7" i="20" s="1"/>
  <c r="X7" i="20" a="1"/>
  <c r="X7" i="20" s="1"/>
  <c r="AG7" i="20" a="1"/>
  <c r="AG7" i="20" s="1"/>
  <c r="Y7" i="20" a="1"/>
  <c r="Y7" i="20" s="1"/>
  <c r="AH7" i="20" a="1"/>
  <c r="AH7" i="20" s="1"/>
  <c r="Z7" i="20" a="1"/>
  <c r="Z7" i="20" s="1"/>
  <c r="AA7" i="20" a="1"/>
  <c r="AA7" i="20" s="1"/>
  <c r="AE7" i="20" a="1"/>
  <c r="AE7" i="20" s="1"/>
  <c r="AC7" i="20" a="1"/>
  <c r="AC7" i="20" s="1"/>
  <c r="W7" i="20" a="1"/>
  <c r="W7" i="20" s="1"/>
  <c r="AJ7" i="20"/>
  <c r="V7" i="20" a="1"/>
  <c r="V7" i="20" s="1"/>
  <c r="AD7" i="20" a="1"/>
  <c r="AD7" i="20" s="1"/>
  <c r="AH38" i="20" a="1"/>
  <c r="AH38" i="20" s="1"/>
  <c r="Z38" i="20" a="1"/>
  <c r="Z38" i="20" s="1"/>
  <c r="AA38" i="20" a="1"/>
  <c r="AA38" i="20" s="1"/>
  <c r="AG38" i="20" a="1"/>
  <c r="AG38" i="20" s="1"/>
  <c r="Y38" i="20" a="1"/>
  <c r="Y38" i="20" s="1"/>
  <c r="AJ38" i="20"/>
  <c r="AC38" i="20" a="1"/>
  <c r="AC38" i="20" s="1"/>
  <c r="X38" i="20" a="1"/>
  <c r="X38" i="20" s="1"/>
  <c r="V38" i="20" a="1"/>
  <c r="V38" i="20" s="1"/>
  <c r="W38" i="20" a="1"/>
  <c r="W38" i="20" s="1"/>
  <c r="AF38" i="20" a="1"/>
  <c r="AF38" i="20" s="1"/>
  <c r="AD38" i="20" a="1"/>
  <c r="AD38" i="20" s="1"/>
  <c r="AE38" i="20" a="1"/>
  <c r="AE38" i="20" s="1"/>
  <c r="AH22" i="20" a="1"/>
  <c r="AH22" i="20" s="1"/>
  <c r="AD22" i="20" a="1"/>
  <c r="AD22" i="20" s="1"/>
  <c r="AE22" i="20" a="1"/>
  <c r="AE22" i="20" s="1"/>
  <c r="W22" i="20" a="1"/>
  <c r="W22" i="20" s="1"/>
  <c r="AF22" i="20" a="1"/>
  <c r="AF22" i="20" s="1"/>
  <c r="X22" i="20" a="1"/>
  <c r="X22" i="20" s="1"/>
  <c r="AG22" i="20" a="1"/>
  <c r="AG22" i="20" s="1"/>
  <c r="Y22" i="20" a="1"/>
  <c r="Y22" i="20" s="1"/>
  <c r="AC22" i="20" a="1"/>
  <c r="AC22" i="20" s="1"/>
  <c r="Z22" i="20" a="1"/>
  <c r="Z22" i="20" s="1"/>
  <c r="AA22" i="20" a="1"/>
  <c r="AA22" i="20" s="1"/>
  <c r="AJ22" i="20"/>
  <c r="V22" i="20" a="1"/>
  <c r="V22" i="20" s="1"/>
  <c r="AD6" i="20" a="1"/>
  <c r="AD6" i="20" s="1"/>
  <c r="W6" i="20" a="1"/>
  <c r="W6" i="20" s="1"/>
  <c r="AC6" i="20" a="1"/>
  <c r="AC6" i="20" s="1"/>
  <c r="AJ6" i="20"/>
  <c r="AE6" i="20" a="1"/>
  <c r="AE6" i="20" s="1"/>
  <c r="X6" i="20" a="1"/>
  <c r="X6" i="20" s="1"/>
  <c r="Y6" i="20" a="1"/>
  <c r="Y6" i="20" s="1"/>
  <c r="AF6" i="20" a="1"/>
  <c r="AF6" i="20" s="1"/>
  <c r="V6" i="20" a="1"/>
  <c r="V6" i="20" s="1"/>
  <c r="AA6" i="20" a="1"/>
  <c r="AA6" i="20" s="1"/>
  <c r="AG6" i="20" a="1"/>
  <c r="AG6" i="20" s="1"/>
  <c r="AH6" i="20" a="1"/>
  <c r="AH6" i="20" s="1"/>
  <c r="Z6" i="20" a="1"/>
  <c r="Z6" i="20" s="1"/>
  <c r="AJ28" i="20"/>
  <c r="AC28" i="20" a="1"/>
  <c r="AC28" i="20" s="1"/>
  <c r="AF28" i="20" a="1"/>
  <c r="AF28" i="20" s="1"/>
  <c r="AA28" i="20" a="1"/>
  <c r="AA28" i="20" s="1"/>
  <c r="X28" i="20" a="1"/>
  <c r="X28" i="20" s="1"/>
  <c r="AD28" i="20" a="1"/>
  <c r="AD28" i="20" s="1"/>
  <c r="V28" i="20" a="1"/>
  <c r="V28" i="20" s="1"/>
  <c r="AE28" i="20" a="1"/>
  <c r="AE28" i="20" s="1"/>
  <c r="W28" i="20" a="1"/>
  <c r="W28" i="20" s="1"/>
  <c r="AG28" i="20" a="1"/>
  <c r="AG28" i="20" s="1"/>
  <c r="Y28" i="20" a="1"/>
  <c r="Y28" i="20" s="1"/>
  <c r="AH28" i="20" a="1"/>
  <c r="AH28" i="20" s="1"/>
  <c r="Z28" i="20" a="1"/>
  <c r="Z28" i="20" s="1"/>
  <c r="AD37" i="20" a="1"/>
  <c r="AD37" i="20" s="1"/>
  <c r="AF37" i="20" a="1"/>
  <c r="AF37" i="20" s="1"/>
  <c r="AC37" i="20" a="1"/>
  <c r="AC37" i="20" s="1"/>
  <c r="X37" i="20" a="1"/>
  <c r="X37" i="20" s="1"/>
  <c r="AJ37" i="20"/>
  <c r="AE37" i="20" a="1"/>
  <c r="AE37" i="20" s="1"/>
  <c r="W37" i="20" a="1"/>
  <c r="W37" i="20" s="1"/>
  <c r="AG37" i="20" a="1"/>
  <c r="AG37" i="20" s="1"/>
  <c r="Y37" i="20" a="1"/>
  <c r="Y37" i="20" s="1"/>
  <c r="AH37" i="20" a="1"/>
  <c r="AH37" i="20" s="1"/>
  <c r="Z37" i="20" a="1"/>
  <c r="Z37" i="20" s="1"/>
  <c r="V37" i="20" a="1"/>
  <c r="V37" i="20" s="1"/>
  <c r="AA37" i="20" a="1"/>
  <c r="AA37" i="20" s="1"/>
  <c r="AG21" i="20" a="1"/>
  <c r="AG21" i="20" s="1"/>
  <c r="Y21" i="20" a="1"/>
  <c r="Y21" i="20" s="1"/>
  <c r="AH21" i="20" a="1"/>
  <c r="AH21" i="20" s="1"/>
  <c r="Z21" i="20" a="1"/>
  <c r="Z21" i="20" s="1"/>
  <c r="AA21" i="20" a="1"/>
  <c r="AA21" i="20" s="1"/>
  <c r="AF21" i="20" a="1"/>
  <c r="AF21" i="20" s="1"/>
  <c r="AJ21" i="20"/>
  <c r="AC21" i="20" a="1"/>
  <c r="AC21" i="20" s="1"/>
  <c r="X21" i="20" a="1"/>
  <c r="X21" i="20" s="1"/>
  <c r="V21" i="20" a="1"/>
  <c r="V21" i="20" s="1"/>
  <c r="AD21" i="20" a="1"/>
  <c r="AD21" i="20" s="1"/>
  <c r="W21" i="20" a="1"/>
  <c r="W21" i="20" s="1"/>
  <c r="AE21" i="20" a="1"/>
  <c r="AE21" i="20" s="1"/>
  <c r="Y5" i="20" a="1"/>
  <c r="Y5" i="20" s="1"/>
  <c r="AC5" i="20" a="1"/>
  <c r="AC5" i="20" s="1"/>
  <c r="AF5" i="20" a="1"/>
  <c r="AF5" i="20" s="1"/>
  <c r="AD5" i="20" a="1"/>
  <c r="AD5" i="20" s="1"/>
  <c r="W5" i="20" a="1"/>
  <c r="W5" i="20" s="1"/>
  <c r="AJ5" i="20"/>
  <c r="AE5" i="20" a="1"/>
  <c r="AE5" i="20" s="1"/>
  <c r="X5" i="20" a="1"/>
  <c r="X5" i="20" s="1"/>
  <c r="AG5" i="20" a="1"/>
  <c r="AG5" i="20" s="1"/>
  <c r="Z5" i="20" a="1"/>
  <c r="Z5" i="20" s="1"/>
  <c r="AH5" i="20" a="1"/>
  <c r="AH5" i="20" s="1"/>
  <c r="AA5" i="20" a="1"/>
  <c r="AA5" i="20" s="1"/>
  <c r="V5" i="20" a="1"/>
  <c r="V5" i="20" s="1"/>
  <c r="AD36" i="20" a="1"/>
  <c r="AD36" i="20" s="1"/>
  <c r="AE36" i="20" a="1"/>
  <c r="AE36" i="20" s="1"/>
  <c r="W36" i="20" a="1"/>
  <c r="W36" i="20" s="1"/>
  <c r="AF36" i="20" a="1"/>
  <c r="AF36" i="20" s="1"/>
  <c r="X36" i="20" a="1"/>
  <c r="X36" i="20" s="1"/>
  <c r="AG36" i="20" a="1"/>
  <c r="AG36" i="20" s="1"/>
  <c r="Y36" i="20" a="1"/>
  <c r="Y36" i="20" s="1"/>
  <c r="AH36" i="20" a="1"/>
  <c r="AH36" i="20" s="1"/>
  <c r="Z36" i="20" a="1"/>
  <c r="Z36" i="20" s="1"/>
  <c r="AA36" i="20" a="1"/>
  <c r="AA36" i="20" s="1"/>
  <c r="AJ36" i="20"/>
  <c r="AC36" i="20" a="1"/>
  <c r="AC36" i="20" s="1"/>
  <c r="V36" i="20" a="1"/>
  <c r="V36" i="20" s="1"/>
  <c r="X20" i="20" a="1"/>
  <c r="X20" i="20" s="1"/>
  <c r="AF20" i="20" a="1"/>
  <c r="AF20" i="20" s="1"/>
  <c r="AC20" i="20" a="1"/>
  <c r="AC20" i="20" s="1"/>
  <c r="AD20" i="20" a="1"/>
  <c r="AD20" i="20" s="1"/>
  <c r="AJ20" i="20"/>
  <c r="AE20" i="20" a="1"/>
  <c r="AE20" i="20" s="1"/>
  <c r="W20" i="20" a="1"/>
  <c r="W20" i="20" s="1"/>
  <c r="AG20" i="20" a="1"/>
  <c r="AG20" i="20" s="1"/>
  <c r="Y20" i="20" a="1"/>
  <c r="Y20" i="20" s="1"/>
  <c r="Z20" i="20" a="1"/>
  <c r="Z20" i="20" s="1"/>
  <c r="V20" i="20" a="1"/>
  <c r="V20" i="20" s="1"/>
  <c r="AH20" i="20" a="1"/>
  <c r="AH20" i="20" s="1"/>
  <c r="AA20" i="20" a="1"/>
  <c r="AA20" i="20" s="1"/>
  <c r="X4" i="20" a="1"/>
  <c r="X4" i="20" s="1"/>
  <c r="AE4" i="20" a="1"/>
  <c r="AE4" i="20" s="1"/>
  <c r="Y4" i="20" a="1"/>
  <c r="Y4" i="20" s="1"/>
  <c r="AF4" i="20" a="1"/>
  <c r="AF4" i="20" s="1"/>
  <c r="Z4" i="20" a="1"/>
  <c r="Z4" i="20" s="1"/>
  <c r="AG4" i="20" a="1"/>
  <c r="AG4" i="20" s="1"/>
  <c r="AA4" i="20" a="1"/>
  <c r="AA4" i="20" s="1"/>
  <c r="AH4" i="20" a="1"/>
  <c r="AH4" i="20" s="1"/>
  <c r="W4" i="20" a="1"/>
  <c r="W4" i="20" s="1"/>
  <c r="AC4" i="20" a="1"/>
  <c r="AC4" i="20" s="1"/>
  <c r="AJ4" i="20"/>
  <c r="V4" i="20" a="1"/>
  <c r="V4" i="20" s="1"/>
  <c r="AD4" i="20" a="1"/>
  <c r="AD4" i="20" s="1"/>
  <c r="AJ44" i="20"/>
  <c r="AG44" i="20" a="1"/>
  <c r="AG44" i="20" s="1"/>
  <c r="X44" i="20" a="1"/>
  <c r="X44" i="20" s="1"/>
  <c r="Y44" i="20" a="1"/>
  <c r="Y44" i="20" s="1"/>
  <c r="AH44" i="20" a="1"/>
  <c r="AH44" i="20" s="1"/>
  <c r="AC44" i="20" a="1"/>
  <c r="AC44" i="20" s="1"/>
  <c r="Z44" i="20" a="1"/>
  <c r="Z44" i="20" s="1"/>
  <c r="W44" i="20" a="1"/>
  <c r="W44" i="20" s="1"/>
  <c r="AA44" i="20" a="1"/>
  <c r="AA44" i="20" s="1"/>
  <c r="AF44" i="20" a="1"/>
  <c r="AF44" i="20" s="1"/>
  <c r="V44" i="20" a="1"/>
  <c r="V44" i="20" s="1"/>
  <c r="AE44" i="20" a="1"/>
  <c r="AE44" i="20" s="1"/>
  <c r="AD44" i="20" a="1"/>
  <c r="AD44" i="20" s="1"/>
  <c r="AH35" i="20" a="1"/>
  <c r="AH35" i="20" s="1"/>
  <c r="Z35" i="20" a="1"/>
  <c r="Z35" i="20" s="1"/>
  <c r="AA35" i="20" a="1"/>
  <c r="AA35" i="20" s="1"/>
  <c r="Y35" i="20" a="1"/>
  <c r="Y35" i="20" s="1"/>
  <c r="AJ35" i="20"/>
  <c r="AC35" i="20" a="1"/>
  <c r="AC35" i="20" s="1"/>
  <c r="V35" i="20" a="1"/>
  <c r="V35" i="20" s="1"/>
  <c r="AG35" i="20" a="1"/>
  <c r="AG35" i="20" s="1"/>
  <c r="AD35" i="20" a="1"/>
  <c r="AD35" i="20" s="1"/>
  <c r="AE35" i="20" a="1"/>
  <c r="AE35" i="20" s="1"/>
  <c r="W35" i="20" a="1"/>
  <c r="W35" i="20" s="1"/>
  <c r="AF35" i="20" a="1"/>
  <c r="AF35" i="20" s="1"/>
  <c r="X35" i="20" a="1"/>
  <c r="X35" i="20" s="1"/>
  <c r="AD19" i="20" a="1"/>
  <c r="AD19" i="20" s="1"/>
  <c r="Z19" i="20" a="1"/>
  <c r="Z19" i="20" s="1"/>
  <c r="AE19" i="20" a="1"/>
  <c r="AE19" i="20" s="1"/>
  <c r="W19" i="20" a="1"/>
  <c r="W19" i="20" s="1"/>
  <c r="AF19" i="20" a="1"/>
  <c r="AF19" i="20" s="1"/>
  <c r="X19" i="20" a="1"/>
  <c r="X19" i="20" s="1"/>
  <c r="AH19" i="20" a="1"/>
  <c r="AH19" i="20" s="1"/>
  <c r="AG19" i="20" a="1"/>
  <c r="AG19" i="20" s="1"/>
  <c r="AC19" i="20" a="1"/>
  <c r="AC19" i="20" s="1"/>
  <c r="Y19" i="20" a="1"/>
  <c r="Y19" i="20" s="1"/>
  <c r="AJ19" i="20"/>
  <c r="AA19" i="20" a="1"/>
  <c r="AA19" i="20" s="1"/>
  <c r="V19" i="20" a="1"/>
  <c r="V19" i="20" s="1"/>
  <c r="AC3" i="20" a="1"/>
  <c r="AC3" i="20" s="1"/>
  <c r="AD3" i="20" a="1"/>
  <c r="AD3" i="20" s="1"/>
  <c r="AJ3" i="20"/>
  <c r="V3" i="20" a="1"/>
  <c r="V3" i="20" s="1"/>
  <c r="W3" i="20" a="1"/>
  <c r="W3" i="20" s="1"/>
  <c r="AE3" i="20" a="1"/>
  <c r="AE3" i="20" s="1"/>
  <c r="X3" i="20" a="1"/>
  <c r="X3" i="20" s="1"/>
  <c r="AF3" i="20" a="1"/>
  <c r="AF3" i="20" s="1"/>
  <c r="AA3" i="20" a="1"/>
  <c r="AA3" i="20" s="1"/>
  <c r="AH3" i="20" a="1"/>
  <c r="AH3" i="20" s="1"/>
  <c r="Y3" i="20" a="1"/>
  <c r="Y3" i="20" s="1"/>
  <c r="Z3" i="20" a="1"/>
  <c r="Z3" i="20" s="1"/>
  <c r="AG3" i="20" a="1"/>
  <c r="AG3" i="20" s="1"/>
  <c r="AJ34" i="20"/>
  <c r="AC34" i="20" a="1"/>
  <c r="AC34" i="20" s="1"/>
  <c r="AG34" i="20" a="1"/>
  <c r="AG34" i="20" s="1"/>
  <c r="Y34" i="20" a="1"/>
  <c r="Y34" i="20" s="1"/>
  <c r="AD34" i="20" a="1"/>
  <c r="AD34" i="20" s="1"/>
  <c r="AE34" i="20" a="1"/>
  <c r="AE34" i="20" s="1"/>
  <c r="W34" i="20" a="1"/>
  <c r="W34" i="20" s="1"/>
  <c r="AF34" i="20" a="1"/>
  <c r="AF34" i="20" s="1"/>
  <c r="X34" i="20" a="1"/>
  <c r="X34" i="20" s="1"/>
  <c r="AH34" i="20" a="1"/>
  <c r="AH34" i="20" s="1"/>
  <c r="Z34" i="20" a="1"/>
  <c r="Z34" i="20" s="1"/>
  <c r="V34" i="20" a="1"/>
  <c r="V34" i="20" s="1"/>
  <c r="AA34" i="20" a="1"/>
  <c r="AA34" i="20" s="1"/>
  <c r="AH18" i="20" a="1"/>
  <c r="AH18" i="20" s="1"/>
  <c r="Z18" i="20" a="1"/>
  <c r="Z18" i="20" s="1"/>
  <c r="AA18" i="20" a="1"/>
  <c r="AA18" i="20" s="1"/>
  <c r="AJ18" i="20"/>
  <c r="AC18" i="20" a="1"/>
  <c r="AC18" i="20" s="1"/>
  <c r="V18" i="20" a="1"/>
  <c r="V18" i="20" s="1"/>
  <c r="AG18" i="20" a="1"/>
  <c r="AG18" i="20" s="1"/>
  <c r="AD18" i="20" a="1"/>
  <c r="AD18" i="20" s="1"/>
  <c r="AF18" i="20" a="1"/>
  <c r="AF18" i="20" s="1"/>
  <c r="Y18" i="20" a="1"/>
  <c r="Y18" i="20" s="1"/>
  <c r="AE18" i="20" a="1"/>
  <c r="AE18" i="20" s="1"/>
  <c r="W18" i="20" a="1"/>
  <c r="W18" i="20" s="1"/>
  <c r="X18" i="20" a="1"/>
  <c r="X18" i="20" s="1"/>
  <c r="AD33" i="20" a="1"/>
  <c r="AD33" i="20" s="1"/>
  <c r="W33" i="20" a="1"/>
  <c r="W33" i="20" s="1"/>
  <c r="AA33" i="20" a="1"/>
  <c r="AA33" i="20" s="1"/>
  <c r="AE33" i="20" a="1"/>
  <c r="AE33" i="20" s="1"/>
  <c r="AF33" i="20" a="1"/>
  <c r="AF33" i="20" s="1"/>
  <c r="X33" i="20" a="1"/>
  <c r="X33" i="20" s="1"/>
  <c r="V33" i="20" a="1"/>
  <c r="V33" i="20" s="1"/>
  <c r="AG33" i="20" a="1"/>
  <c r="AG33" i="20" s="1"/>
  <c r="Y33" i="20" a="1"/>
  <c r="Y33" i="20" s="1"/>
  <c r="AH33" i="20" a="1"/>
  <c r="AH33" i="20" s="1"/>
  <c r="Z33" i="20" a="1"/>
  <c r="Z33" i="20" s="1"/>
  <c r="AJ33" i="20"/>
  <c r="AC33" i="20" a="1"/>
  <c r="AC33" i="20" s="1"/>
  <c r="AD17" i="20" a="1"/>
  <c r="AD17" i="20" s="1"/>
  <c r="AC17" i="20" a="1"/>
  <c r="AC17" i="20" s="1"/>
  <c r="Y17" i="20" a="1"/>
  <c r="Y17" i="20" s="1"/>
  <c r="AJ17" i="20"/>
  <c r="AE17" i="20" a="1"/>
  <c r="AE17" i="20" s="1"/>
  <c r="W17" i="20" a="1"/>
  <c r="W17" i="20" s="1"/>
  <c r="AF17" i="20" a="1"/>
  <c r="AF17" i="20" s="1"/>
  <c r="X17" i="20" a="1"/>
  <c r="X17" i="20" s="1"/>
  <c r="V17" i="20" a="1"/>
  <c r="V17" i="20" s="1"/>
  <c r="AG17" i="20" a="1"/>
  <c r="AG17" i="20" s="1"/>
  <c r="AH17" i="20" a="1"/>
  <c r="AH17" i="20" s="1"/>
  <c r="Z17" i="20" a="1"/>
  <c r="Z17" i="20" s="1"/>
  <c r="AA17" i="20" a="1"/>
  <c r="AA17" i="20" s="1"/>
  <c r="AJ12" i="20"/>
  <c r="V12" i="20" a="1"/>
  <c r="V12" i="20" s="1"/>
  <c r="AA12" i="20" a="1"/>
  <c r="AA12" i="20" s="1"/>
  <c r="AD12" i="20" a="1"/>
  <c r="AD12" i="20" s="1"/>
  <c r="W12" i="20" a="1"/>
  <c r="W12" i="20" s="1"/>
  <c r="AE12" i="20" a="1"/>
  <c r="AE12" i="20" s="1"/>
  <c r="AH12" i="20" a="1"/>
  <c r="AH12" i="20" s="1"/>
  <c r="Z12" i="20" a="1"/>
  <c r="Z12" i="20" s="1"/>
  <c r="AF12" i="20" a="1"/>
  <c r="AF12" i="20" s="1"/>
  <c r="X12" i="20" a="1"/>
  <c r="X12" i="20" s="1"/>
  <c r="AG12" i="20" a="1"/>
  <c r="AG12" i="20" s="1"/>
  <c r="AC12" i="20" a="1"/>
  <c r="AC12" i="20" s="1"/>
  <c r="Y12" i="20" a="1"/>
  <c r="Y12" i="20" s="1"/>
  <c r="AA32" i="20" a="1"/>
  <c r="AA32" i="20" s="1"/>
  <c r="AH32" i="20" a="1"/>
  <c r="AH32" i="20" s="1"/>
  <c r="AJ32" i="20"/>
  <c r="AC32" i="20" a="1"/>
  <c r="AC32" i="20" s="1"/>
  <c r="V32" i="20" a="1"/>
  <c r="V32" i="20" s="1"/>
  <c r="AD32" i="20" a="1"/>
  <c r="AD32" i="20" s="1"/>
  <c r="W32" i="20" a="1"/>
  <c r="W32" i="20" s="1"/>
  <c r="Z32" i="20" a="1"/>
  <c r="Z32" i="20" s="1"/>
  <c r="AE32" i="20" a="1"/>
  <c r="AE32" i="20" s="1"/>
  <c r="AG32" i="20" a="1"/>
  <c r="AG32" i="20" s="1"/>
  <c r="AF32" i="20" a="1"/>
  <c r="AF32" i="20" s="1"/>
  <c r="X32" i="20" a="1"/>
  <c r="X32" i="20" s="1"/>
  <c r="Y32" i="20" a="1"/>
  <c r="Y32" i="20" s="1"/>
  <c r="AD16" i="20" a="1"/>
  <c r="AD16" i="20" s="1"/>
  <c r="AE16" i="20" a="1"/>
  <c r="AE16" i="20" s="1"/>
  <c r="W16" i="20" a="1"/>
  <c r="W16" i="20" s="1"/>
  <c r="AF16" i="20" a="1"/>
  <c r="AF16" i="20" s="1"/>
  <c r="AC16" i="20" a="1"/>
  <c r="AC16" i="20" s="1"/>
  <c r="X16" i="20" a="1"/>
  <c r="X16" i="20" s="1"/>
  <c r="AJ16" i="20"/>
  <c r="AG16" i="20" a="1"/>
  <c r="AG16" i="20" s="1"/>
  <c r="Y16" i="20" a="1"/>
  <c r="Y16" i="20" s="1"/>
  <c r="AA16" i="20" a="1"/>
  <c r="AA16" i="20" s="1"/>
  <c r="AH16" i="20" a="1"/>
  <c r="AH16" i="20" s="1"/>
  <c r="Z16" i="20" a="1"/>
  <c r="Z16" i="20" s="1"/>
  <c r="V16" i="20" a="1"/>
  <c r="V16" i="20" s="1"/>
  <c r="AH45" i="20" a="1"/>
  <c r="AH45" i="20" s="1"/>
  <c r="Y45" i="20" a="1"/>
  <c r="Y45" i="20" s="1"/>
  <c r="AJ45" i="20"/>
  <c r="AD45" i="20" a="1"/>
  <c r="AD45" i="20" s="1"/>
  <c r="AC45" i="20" a="1"/>
  <c r="AC45" i="20" s="1"/>
  <c r="AE45" i="20" a="1"/>
  <c r="AE45" i="20" s="1"/>
  <c r="AF45" i="20" a="1"/>
  <c r="AF45" i="20" s="1"/>
  <c r="W45" i="20" a="1"/>
  <c r="W45" i="20" s="1"/>
  <c r="AG45" i="20" a="1"/>
  <c r="AG45" i="20" s="1"/>
  <c r="X45" i="20" a="1"/>
  <c r="X45" i="20" s="1"/>
  <c r="V45" i="20" a="1"/>
  <c r="V45" i="20" s="1"/>
  <c r="Z45" i="20" a="1"/>
  <c r="Z45" i="20" s="1"/>
  <c r="AA45" i="20" a="1"/>
  <c r="AA45" i="20" s="1"/>
  <c r="W31" i="20" a="1"/>
  <c r="W31" i="20" s="1"/>
  <c r="AJ31" i="20"/>
  <c r="AC31" i="20" a="1"/>
  <c r="AC31" i="20" s="1"/>
  <c r="AD31" i="20" a="1"/>
  <c r="AD31" i="20" s="1"/>
  <c r="AE31" i="20" a="1"/>
  <c r="AE31" i="20" s="1"/>
  <c r="AF31" i="20" a="1"/>
  <c r="AF31" i="20" s="1"/>
  <c r="X31" i="20" a="1"/>
  <c r="X31" i="20" s="1"/>
  <c r="V31" i="20" a="1"/>
  <c r="V31" i="20" s="1"/>
  <c r="AG31" i="20" a="1"/>
  <c r="AG31" i="20" s="1"/>
  <c r="Y31" i="20" a="1"/>
  <c r="Y31" i="20" s="1"/>
  <c r="AH31" i="20" a="1"/>
  <c r="AH31" i="20" s="1"/>
  <c r="Z31" i="20" a="1"/>
  <c r="Z31" i="20" s="1"/>
  <c r="AA31" i="20" a="1"/>
  <c r="AA31" i="20" s="1"/>
  <c r="AA15" i="20" a="1"/>
  <c r="AA15" i="20" s="1"/>
  <c r="AC15" i="20" a="1"/>
  <c r="AC15" i="20" s="1"/>
  <c r="V15" i="20" a="1"/>
  <c r="V15" i="20" s="1"/>
  <c r="AJ15" i="20"/>
  <c r="AH15" i="20" a="1"/>
  <c r="AH15" i="20" s="1"/>
  <c r="Z15" i="20" a="1"/>
  <c r="Z15" i="20" s="1"/>
  <c r="AD15" i="20" a="1"/>
  <c r="AD15" i="20" s="1"/>
  <c r="Y15" i="20" a="1"/>
  <c r="Y15" i="20" s="1"/>
  <c r="AG15" i="20" a="1"/>
  <c r="AG15" i="20" s="1"/>
  <c r="AE15" i="20" a="1"/>
  <c r="AE15" i="20" s="1"/>
  <c r="W15" i="20" a="1"/>
  <c r="W15" i="20" s="1"/>
  <c r="AF15" i="20" a="1"/>
  <c r="AF15" i="20" s="1"/>
  <c r="X15" i="20" a="1"/>
  <c r="X15" i="20" s="1"/>
  <c r="X2" i="20" a="1"/>
  <c r="X2" i="20" s="1"/>
  <c r="AF2" i="20" a="1"/>
  <c r="AF2" i="20" s="1"/>
  <c r="AC2" i="20" a="1"/>
  <c r="AC2" i="20" s="1"/>
  <c r="V2" i="20" a="1"/>
  <c r="V2" i="20" s="1"/>
  <c r="AD2" i="20" a="1"/>
  <c r="AD2" i="20" s="1"/>
  <c r="AA2" i="20" a="1"/>
  <c r="AA2" i="20" s="1"/>
  <c r="W2" i="20" a="1"/>
  <c r="W2" i="20" s="1"/>
  <c r="AE2" i="20" a="1"/>
  <c r="AE2" i="20" s="1"/>
  <c r="Y2" i="20" a="1"/>
  <c r="Y2" i="20" s="1"/>
  <c r="AG2" i="20" a="1"/>
  <c r="AG2" i="20" s="1"/>
  <c r="Z2" i="20" a="1"/>
  <c r="Z2" i="20" s="1"/>
  <c r="AH2" i="20" a="1"/>
  <c r="AH2" i="20" s="1"/>
  <c r="AE30" i="20" a="1"/>
  <c r="AE30" i="20" s="1"/>
  <c r="W30" i="20" a="1"/>
  <c r="W30" i="20" s="1"/>
  <c r="AF30" i="20" a="1"/>
  <c r="AF30" i="20" s="1"/>
  <c r="X30" i="20" a="1"/>
  <c r="X30" i="20" s="1"/>
  <c r="V30" i="20" a="1"/>
  <c r="V30" i="20" s="1"/>
  <c r="AJ30" i="20"/>
  <c r="AG30" i="20" a="1"/>
  <c r="AG30" i="20" s="1"/>
  <c r="AC30" i="20" a="1"/>
  <c r="AC30" i="20" s="1"/>
  <c r="Y30" i="20" a="1"/>
  <c r="Y30" i="20" s="1"/>
  <c r="AH30" i="20" a="1"/>
  <c r="AH30" i="20" s="1"/>
  <c r="Z30" i="20" a="1"/>
  <c r="Z30" i="20" s="1"/>
  <c r="AA30" i="20" a="1"/>
  <c r="AA30" i="20" s="1"/>
  <c r="AD30" i="20" a="1"/>
  <c r="AD30" i="20" s="1"/>
  <c r="AC14" i="20" a="1"/>
  <c r="AC14" i="20" s="1"/>
  <c r="W14" i="20" a="1"/>
  <c r="W14" i="20" s="1"/>
  <c r="AE14" i="20" a="1"/>
  <c r="AE14" i="20" s="1"/>
  <c r="AJ14" i="20"/>
  <c r="AH14" i="20" a="1"/>
  <c r="AH14" i="20" s="1"/>
  <c r="AD14" i="20" a="1"/>
  <c r="AD14" i="20" s="1"/>
  <c r="V14" i="20" a="1"/>
  <c r="V14" i="20" s="1"/>
  <c r="AF14" i="20" a="1"/>
  <c r="AF14" i="20" s="1"/>
  <c r="X14" i="20" a="1"/>
  <c r="X14" i="20" s="1"/>
  <c r="AG14" i="20" a="1"/>
  <c r="AG14" i="20" s="1"/>
  <c r="Y14" i="20" a="1"/>
  <c r="Y14" i="20" s="1"/>
  <c r="Z14" i="20" a="1"/>
  <c r="Z14" i="20" s="1"/>
  <c r="AA14" i="20" a="1"/>
  <c r="AA14" i="20" s="1"/>
  <c r="AX34" i="36"/>
  <c r="AY34" i="36"/>
  <c r="AW34" i="36"/>
  <c r="W34" i="36"/>
  <c r="AV34" i="36"/>
  <c r="M75" i="17"/>
  <c r="M76" i="17"/>
  <c r="M98" i="17"/>
  <c r="M99" i="17"/>
  <c r="M145" i="17"/>
  <c r="M146" i="17"/>
  <c r="M215" i="17"/>
  <c r="M216" i="17"/>
  <c r="M243" i="17"/>
  <c r="M244" i="17"/>
  <c r="M293" i="17"/>
  <c r="M294" i="17"/>
  <c r="M313" i="17"/>
  <c r="M314" i="17"/>
  <c r="M339" i="17"/>
  <c r="M340" i="17"/>
  <c r="A376" i="17"/>
  <c r="L376" i="17" s="1"/>
  <c r="Z368" i="33" s="1"/>
  <c r="B376" i="17"/>
  <c r="C376" i="17"/>
  <c r="D376" i="17"/>
  <c r="E376" i="17"/>
  <c r="F376" i="17"/>
  <c r="G376" i="17"/>
  <c r="H376" i="17"/>
  <c r="J376" i="17"/>
  <c r="X368" i="33" s="1"/>
  <c r="A342" i="17"/>
  <c r="L342" i="17" s="1"/>
  <c r="Z334" i="33" s="1"/>
  <c r="B342" i="17"/>
  <c r="C342" i="17"/>
  <c r="D342" i="17"/>
  <c r="E342" i="17"/>
  <c r="F342" i="17"/>
  <c r="G342" i="17"/>
  <c r="H342" i="17"/>
  <c r="J342" i="17"/>
  <c r="X334" i="33" s="1"/>
  <c r="A343" i="17"/>
  <c r="L343" i="17" s="1"/>
  <c r="Z335" i="33" s="1"/>
  <c r="B343" i="17"/>
  <c r="C343" i="17"/>
  <c r="D343" i="17"/>
  <c r="E343" i="17"/>
  <c r="F343" i="17"/>
  <c r="G343" i="17"/>
  <c r="H343" i="17"/>
  <c r="J343" i="17"/>
  <c r="X335" i="33" s="1"/>
  <c r="A344" i="17"/>
  <c r="L344" i="17" s="1"/>
  <c r="Z336" i="33" s="1"/>
  <c r="B344" i="17"/>
  <c r="C344" i="17"/>
  <c r="D344" i="17"/>
  <c r="E344" i="17"/>
  <c r="F344" i="17"/>
  <c r="G344" i="17"/>
  <c r="H344" i="17"/>
  <c r="J344" i="17"/>
  <c r="X336" i="33" s="1"/>
  <c r="A345" i="17"/>
  <c r="L345" i="17" s="1"/>
  <c r="Z337" i="33" s="1"/>
  <c r="B345" i="17"/>
  <c r="C345" i="17"/>
  <c r="D345" i="17"/>
  <c r="E345" i="17"/>
  <c r="F345" i="17"/>
  <c r="G345" i="17"/>
  <c r="H345" i="17"/>
  <c r="J345" i="17"/>
  <c r="X337" i="33" s="1"/>
  <c r="A346" i="17"/>
  <c r="L346" i="17" s="1"/>
  <c r="Z338" i="33" s="1"/>
  <c r="B346" i="17"/>
  <c r="C346" i="17"/>
  <c r="D346" i="17"/>
  <c r="E346" i="17"/>
  <c r="F346" i="17"/>
  <c r="G346" i="17"/>
  <c r="H346" i="17"/>
  <c r="J346" i="17"/>
  <c r="X338" i="33" s="1"/>
  <c r="A347" i="17"/>
  <c r="L347" i="17" s="1"/>
  <c r="Z339" i="33" s="1"/>
  <c r="B347" i="17"/>
  <c r="C347" i="17"/>
  <c r="D347" i="17"/>
  <c r="E347" i="17"/>
  <c r="F347" i="17"/>
  <c r="G347" i="17"/>
  <c r="H347" i="17"/>
  <c r="J347" i="17"/>
  <c r="X339" i="33" s="1"/>
  <c r="A348" i="17"/>
  <c r="L348" i="17" s="1"/>
  <c r="Z340" i="33" s="1"/>
  <c r="B348" i="17"/>
  <c r="C348" i="17"/>
  <c r="D348" i="17"/>
  <c r="E348" i="17"/>
  <c r="F348" i="17"/>
  <c r="G348" i="17"/>
  <c r="H348" i="17"/>
  <c r="J348" i="17"/>
  <c r="X340" i="33" s="1"/>
  <c r="A349" i="17"/>
  <c r="L349" i="17" s="1"/>
  <c r="Z341" i="33" s="1"/>
  <c r="B349" i="17"/>
  <c r="C349" i="17"/>
  <c r="D349" i="17"/>
  <c r="E349" i="17"/>
  <c r="F349" i="17"/>
  <c r="G349" i="17"/>
  <c r="H349" i="17"/>
  <c r="J349" i="17"/>
  <c r="X341" i="33" s="1"/>
  <c r="A350" i="17"/>
  <c r="L350" i="17" s="1"/>
  <c r="Z342" i="33" s="1"/>
  <c r="B350" i="17"/>
  <c r="C350" i="17"/>
  <c r="D350" i="17"/>
  <c r="E350" i="17"/>
  <c r="F350" i="17"/>
  <c r="G350" i="17"/>
  <c r="H350" i="17"/>
  <c r="J350" i="17"/>
  <c r="X342" i="33" s="1"/>
  <c r="A351" i="17"/>
  <c r="L351" i="17" s="1"/>
  <c r="Z343" i="33" s="1"/>
  <c r="B351" i="17"/>
  <c r="C351" i="17"/>
  <c r="D351" i="17"/>
  <c r="E351" i="17"/>
  <c r="F351" i="17"/>
  <c r="G351" i="17"/>
  <c r="H351" i="17"/>
  <c r="J351" i="17"/>
  <c r="X343" i="33" s="1"/>
  <c r="A352" i="17"/>
  <c r="K352" i="17" s="1"/>
  <c r="Y344" i="33" s="1"/>
  <c r="B352" i="17"/>
  <c r="C352" i="17"/>
  <c r="D352" i="17"/>
  <c r="E352" i="17"/>
  <c r="F352" i="17"/>
  <c r="G352" i="17"/>
  <c r="H352" i="17"/>
  <c r="J352" i="17"/>
  <c r="X344" i="33" s="1"/>
  <c r="A353" i="17"/>
  <c r="K353" i="17" s="1"/>
  <c r="Y345" i="33" s="1"/>
  <c r="B353" i="17"/>
  <c r="C353" i="17"/>
  <c r="D353" i="17"/>
  <c r="E353" i="17"/>
  <c r="F353" i="17"/>
  <c r="G353" i="17"/>
  <c r="H353" i="17"/>
  <c r="J353" i="17"/>
  <c r="X345" i="33" s="1"/>
  <c r="A354" i="17"/>
  <c r="K354" i="17" s="1"/>
  <c r="Y346" i="33" s="1"/>
  <c r="B354" i="17"/>
  <c r="C354" i="17"/>
  <c r="D354" i="17"/>
  <c r="E354" i="17"/>
  <c r="F354" i="17"/>
  <c r="G354" i="17"/>
  <c r="H354" i="17"/>
  <c r="J354" i="17"/>
  <c r="X346" i="33" s="1"/>
  <c r="A355" i="17"/>
  <c r="K355" i="17" s="1"/>
  <c r="Y347" i="33" s="1"/>
  <c r="B355" i="17"/>
  <c r="C355" i="17"/>
  <c r="D355" i="17"/>
  <c r="E355" i="17"/>
  <c r="F355" i="17"/>
  <c r="G355" i="17"/>
  <c r="H355" i="17"/>
  <c r="J355" i="17"/>
  <c r="X347" i="33" s="1"/>
  <c r="A356" i="17"/>
  <c r="L356" i="17" s="1"/>
  <c r="Z348" i="33" s="1"/>
  <c r="B356" i="17"/>
  <c r="C356" i="17"/>
  <c r="D356" i="17"/>
  <c r="E356" i="17"/>
  <c r="F356" i="17"/>
  <c r="G356" i="17"/>
  <c r="H356" i="17"/>
  <c r="J356" i="17"/>
  <c r="X348" i="33" s="1"/>
  <c r="A357" i="17"/>
  <c r="L357" i="17" s="1"/>
  <c r="Z349" i="33" s="1"/>
  <c r="B357" i="17"/>
  <c r="C357" i="17"/>
  <c r="D357" i="17"/>
  <c r="E357" i="17"/>
  <c r="F357" i="17"/>
  <c r="G357" i="17"/>
  <c r="H357" i="17"/>
  <c r="J357" i="17"/>
  <c r="X349" i="33" s="1"/>
  <c r="A358" i="17"/>
  <c r="L358" i="17" s="1"/>
  <c r="Z350" i="33" s="1"/>
  <c r="B358" i="17"/>
  <c r="C358" i="17"/>
  <c r="D358" i="17"/>
  <c r="E358" i="17"/>
  <c r="F358" i="17"/>
  <c r="G358" i="17"/>
  <c r="H358" i="17"/>
  <c r="J358" i="17"/>
  <c r="X350" i="33" s="1"/>
  <c r="A359" i="17"/>
  <c r="L359" i="17" s="1"/>
  <c r="Z351" i="33" s="1"/>
  <c r="B359" i="17"/>
  <c r="C359" i="17"/>
  <c r="D359" i="17"/>
  <c r="E359" i="17"/>
  <c r="F359" i="17"/>
  <c r="G359" i="17"/>
  <c r="H359" i="17"/>
  <c r="J359" i="17"/>
  <c r="X351" i="33" s="1"/>
  <c r="A360" i="17"/>
  <c r="L360" i="17" s="1"/>
  <c r="Z352" i="33" s="1"/>
  <c r="B360" i="17"/>
  <c r="C360" i="17"/>
  <c r="D360" i="17"/>
  <c r="E360" i="17"/>
  <c r="F360" i="17"/>
  <c r="G360" i="17"/>
  <c r="H360" i="17"/>
  <c r="J360" i="17"/>
  <c r="X352" i="33" s="1"/>
  <c r="A361" i="17"/>
  <c r="L361" i="17" s="1"/>
  <c r="Z353" i="33" s="1"/>
  <c r="B361" i="17"/>
  <c r="C361" i="17"/>
  <c r="D361" i="17"/>
  <c r="E361" i="17"/>
  <c r="F361" i="17"/>
  <c r="G361" i="17"/>
  <c r="H361" i="17"/>
  <c r="J361" i="17"/>
  <c r="X353" i="33" s="1"/>
  <c r="A362" i="17"/>
  <c r="L362" i="17" s="1"/>
  <c r="Z354" i="33" s="1"/>
  <c r="B362" i="17"/>
  <c r="C362" i="17"/>
  <c r="D362" i="17"/>
  <c r="E362" i="17"/>
  <c r="F362" i="17"/>
  <c r="G362" i="17"/>
  <c r="H362" i="17"/>
  <c r="J362" i="17"/>
  <c r="X354" i="33" s="1"/>
  <c r="A363" i="17"/>
  <c r="L363" i="17" s="1"/>
  <c r="Z355" i="33" s="1"/>
  <c r="B363" i="17"/>
  <c r="C363" i="17"/>
  <c r="D363" i="17"/>
  <c r="E363" i="17"/>
  <c r="F363" i="17"/>
  <c r="G363" i="17"/>
  <c r="H363" i="17"/>
  <c r="J363" i="17"/>
  <c r="X355" i="33" s="1"/>
  <c r="A364" i="17"/>
  <c r="L364" i="17" s="1"/>
  <c r="Z356" i="33" s="1"/>
  <c r="B364" i="17"/>
  <c r="C364" i="17"/>
  <c r="D364" i="17"/>
  <c r="E364" i="17"/>
  <c r="F364" i="17"/>
  <c r="G364" i="17"/>
  <c r="H364" i="17"/>
  <c r="J364" i="17"/>
  <c r="X356" i="33" s="1"/>
  <c r="A365" i="17"/>
  <c r="L365" i="17" s="1"/>
  <c r="Z357" i="33" s="1"/>
  <c r="B365" i="17"/>
  <c r="C365" i="17"/>
  <c r="D365" i="17"/>
  <c r="E365" i="17"/>
  <c r="F365" i="17"/>
  <c r="G365" i="17"/>
  <c r="H365" i="17"/>
  <c r="J365" i="17"/>
  <c r="X357" i="33" s="1"/>
  <c r="A366" i="17"/>
  <c r="L366" i="17" s="1"/>
  <c r="Z358" i="33" s="1"/>
  <c r="B366" i="17"/>
  <c r="C366" i="17"/>
  <c r="D366" i="17"/>
  <c r="E366" i="17"/>
  <c r="F366" i="17"/>
  <c r="G366" i="17"/>
  <c r="H366" i="17"/>
  <c r="J366" i="17"/>
  <c r="X358" i="33" s="1"/>
  <c r="A367" i="17"/>
  <c r="L367" i="17" s="1"/>
  <c r="Z359" i="33" s="1"/>
  <c r="B367" i="17"/>
  <c r="C367" i="17"/>
  <c r="D367" i="17"/>
  <c r="E367" i="17"/>
  <c r="F367" i="17"/>
  <c r="G367" i="17"/>
  <c r="H367" i="17"/>
  <c r="J367" i="17"/>
  <c r="X359" i="33" s="1"/>
  <c r="A368" i="17"/>
  <c r="K368" i="17" s="1"/>
  <c r="Y360" i="33" s="1"/>
  <c r="B368" i="17"/>
  <c r="C368" i="17"/>
  <c r="D368" i="17"/>
  <c r="E368" i="17"/>
  <c r="F368" i="17"/>
  <c r="G368" i="17"/>
  <c r="H368" i="17"/>
  <c r="J368" i="17"/>
  <c r="X360" i="33" s="1"/>
  <c r="A369" i="17"/>
  <c r="K369" i="17" s="1"/>
  <c r="Y361" i="33" s="1"/>
  <c r="B369" i="17"/>
  <c r="C369" i="17"/>
  <c r="D369" i="17"/>
  <c r="E369" i="17"/>
  <c r="F369" i="17"/>
  <c r="G369" i="17"/>
  <c r="H369" i="17"/>
  <c r="J369" i="17"/>
  <c r="X361" i="33" s="1"/>
  <c r="A370" i="17"/>
  <c r="K370" i="17" s="1"/>
  <c r="Y362" i="33" s="1"/>
  <c r="B370" i="17"/>
  <c r="C370" i="17"/>
  <c r="D370" i="17"/>
  <c r="E370" i="17"/>
  <c r="F370" i="17"/>
  <c r="G370" i="17"/>
  <c r="H370" i="17"/>
  <c r="J370" i="17"/>
  <c r="X362" i="33" s="1"/>
  <c r="A371" i="17"/>
  <c r="K371" i="17" s="1"/>
  <c r="Y363" i="33" s="1"/>
  <c r="B371" i="17"/>
  <c r="C371" i="17"/>
  <c r="D371" i="17"/>
  <c r="E371" i="17"/>
  <c r="F371" i="17"/>
  <c r="G371" i="17"/>
  <c r="H371" i="17"/>
  <c r="J371" i="17"/>
  <c r="X363" i="33" s="1"/>
  <c r="A372" i="17"/>
  <c r="L372" i="17" s="1"/>
  <c r="Z364" i="33" s="1"/>
  <c r="B372" i="17"/>
  <c r="C372" i="17"/>
  <c r="D372" i="17"/>
  <c r="E372" i="17"/>
  <c r="F372" i="17"/>
  <c r="G372" i="17"/>
  <c r="H372" i="17"/>
  <c r="J372" i="17"/>
  <c r="X364" i="33" s="1"/>
  <c r="A373" i="17"/>
  <c r="L373" i="17" s="1"/>
  <c r="Z365" i="33" s="1"/>
  <c r="B373" i="17"/>
  <c r="C373" i="17"/>
  <c r="D373" i="17"/>
  <c r="E373" i="17"/>
  <c r="F373" i="17"/>
  <c r="G373" i="17"/>
  <c r="H373" i="17"/>
  <c r="J373" i="17"/>
  <c r="X365" i="33" s="1"/>
  <c r="A374" i="17"/>
  <c r="L374" i="17" s="1"/>
  <c r="Z366" i="33" s="1"/>
  <c r="B374" i="17"/>
  <c r="C374" i="17"/>
  <c r="D374" i="17"/>
  <c r="E374" i="17"/>
  <c r="F374" i="17"/>
  <c r="G374" i="17"/>
  <c r="H374" i="17"/>
  <c r="J374" i="17"/>
  <c r="X366" i="33" s="1"/>
  <c r="A375" i="17"/>
  <c r="L375" i="17" s="1"/>
  <c r="Z367" i="33" s="1"/>
  <c r="B375" i="17"/>
  <c r="C375" i="17"/>
  <c r="D375" i="17"/>
  <c r="E375" i="17"/>
  <c r="F375" i="17"/>
  <c r="G375" i="17"/>
  <c r="H375" i="17"/>
  <c r="J375" i="17"/>
  <c r="X367" i="33" s="1"/>
  <c r="J341" i="17"/>
  <c r="X333" i="33" s="1"/>
  <c r="H341" i="17"/>
  <c r="G341" i="17"/>
  <c r="F341" i="17"/>
  <c r="E341" i="17"/>
  <c r="D341" i="17"/>
  <c r="C341" i="17"/>
  <c r="B341" i="17"/>
  <c r="A341" i="17"/>
  <c r="L341" i="17" s="1"/>
  <c r="Z333" i="33" s="1"/>
  <c r="A338" i="17"/>
  <c r="L338" i="17" s="1"/>
  <c r="Z330" i="33" s="1"/>
  <c r="B338" i="17"/>
  <c r="C338" i="17"/>
  <c r="D338" i="17"/>
  <c r="E338" i="17"/>
  <c r="F338" i="17"/>
  <c r="G338" i="17"/>
  <c r="H338" i="17"/>
  <c r="A316" i="17"/>
  <c r="K316" i="17" s="1"/>
  <c r="Y308" i="33" s="1"/>
  <c r="B316" i="17"/>
  <c r="C316" i="17"/>
  <c r="D316" i="17"/>
  <c r="E316" i="17"/>
  <c r="F316" i="17"/>
  <c r="G316" i="17"/>
  <c r="H316" i="17"/>
  <c r="A317" i="17"/>
  <c r="K317" i="17" s="1"/>
  <c r="Y309" i="33" s="1"/>
  <c r="B317" i="17"/>
  <c r="C317" i="17"/>
  <c r="D317" i="17"/>
  <c r="E317" i="17"/>
  <c r="F317" i="17"/>
  <c r="G317" i="17"/>
  <c r="H317" i="17"/>
  <c r="A318" i="17"/>
  <c r="K318" i="17" s="1"/>
  <c r="Y310" i="33" s="1"/>
  <c r="B318" i="17"/>
  <c r="C318" i="17"/>
  <c r="D318" i="17"/>
  <c r="E318" i="17"/>
  <c r="F318" i="17"/>
  <c r="G318" i="17"/>
  <c r="H318" i="17"/>
  <c r="A319" i="17"/>
  <c r="K319" i="17" s="1"/>
  <c r="Y311" i="33" s="1"/>
  <c r="B319" i="17"/>
  <c r="C319" i="17"/>
  <c r="D319" i="17"/>
  <c r="E319" i="17"/>
  <c r="F319" i="17"/>
  <c r="G319" i="17"/>
  <c r="H319" i="17"/>
  <c r="A320" i="17"/>
  <c r="K320" i="17" s="1"/>
  <c r="Y312" i="33" s="1"/>
  <c r="B320" i="17"/>
  <c r="C320" i="17"/>
  <c r="D320" i="17"/>
  <c r="E320" i="17"/>
  <c r="F320" i="17"/>
  <c r="G320" i="17"/>
  <c r="H320" i="17"/>
  <c r="A321" i="17"/>
  <c r="K321" i="17" s="1"/>
  <c r="Y313" i="33" s="1"/>
  <c r="B321" i="17"/>
  <c r="C321" i="17"/>
  <c r="D321" i="17"/>
  <c r="E321" i="17"/>
  <c r="F321" i="17"/>
  <c r="G321" i="17"/>
  <c r="H321" i="17"/>
  <c r="A322" i="17"/>
  <c r="L322" i="17" s="1"/>
  <c r="Z314" i="33" s="1"/>
  <c r="B322" i="17"/>
  <c r="C322" i="17"/>
  <c r="D322" i="17"/>
  <c r="E322" i="17"/>
  <c r="F322" i="17"/>
  <c r="G322" i="17"/>
  <c r="H322" i="17"/>
  <c r="A323" i="17"/>
  <c r="L323" i="17" s="1"/>
  <c r="Z315" i="33" s="1"/>
  <c r="B323" i="17"/>
  <c r="C323" i="17"/>
  <c r="D323" i="17"/>
  <c r="E323" i="17"/>
  <c r="F323" i="17"/>
  <c r="G323" i="17"/>
  <c r="H323" i="17"/>
  <c r="A324" i="17"/>
  <c r="L324" i="17" s="1"/>
  <c r="Z316" i="33" s="1"/>
  <c r="B324" i="17"/>
  <c r="C324" i="17"/>
  <c r="D324" i="17"/>
  <c r="E324" i="17"/>
  <c r="F324" i="17"/>
  <c r="G324" i="17"/>
  <c r="H324" i="17"/>
  <c r="A325" i="17"/>
  <c r="L325" i="17" s="1"/>
  <c r="Z317" i="33" s="1"/>
  <c r="B325" i="17"/>
  <c r="C325" i="17"/>
  <c r="D325" i="17"/>
  <c r="E325" i="17"/>
  <c r="F325" i="17"/>
  <c r="G325" i="17"/>
  <c r="H325" i="17"/>
  <c r="A326" i="17"/>
  <c r="L326" i="17" s="1"/>
  <c r="Z318" i="33" s="1"/>
  <c r="B326" i="17"/>
  <c r="C326" i="17"/>
  <c r="D326" i="17"/>
  <c r="E326" i="17"/>
  <c r="F326" i="17"/>
  <c r="G326" i="17"/>
  <c r="H326" i="17"/>
  <c r="A327" i="17"/>
  <c r="L327" i="17" s="1"/>
  <c r="Z319" i="33" s="1"/>
  <c r="B327" i="17"/>
  <c r="C327" i="17"/>
  <c r="D327" i="17"/>
  <c r="E327" i="17"/>
  <c r="F327" i="17"/>
  <c r="G327" i="17"/>
  <c r="H327" i="17"/>
  <c r="A328" i="17"/>
  <c r="L328" i="17" s="1"/>
  <c r="Z320" i="33" s="1"/>
  <c r="B328" i="17"/>
  <c r="C328" i="17"/>
  <c r="D328" i="17"/>
  <c r="E328" i="17"/>
  <c r="F328" i="17"/>
  <c r="G328" i="17"/>
  <c r="H328" i="17"/>
  <c r="A329" i="17"/>
  <c r="L329" i="17" s="1"/>
  <c r="Z321" i="33" s="1"/>
  <c r="B329" i="17"/>
  <c r="C329" i="17"/>
  <c r="D329" i="17"/>
  <c r="E329" i="17"/>
  <c r="F329" i="17"/>
  <c r="G329" i="17"/>
  <c r="H329" i="17"/>
  <c r="A330" i="17"/>
  <c r="K330" i="17" s="1"/>
  <c r="Y322" i="33" s="1"/>
  <c r="B330" i="17"/>
  <c r="C330" i="17"/>
  <c r="D330" i="17"/>
  <c r="E330" i="17"/>
  <c r="F330" i="17"/>
  <c r="G330" i="17"/>
  <c r="H330" i="17"/>
  <c r="A331" i="17"/>
  <c r="K331" i="17" s="1"/>
  <c r="Y323" i="33" s="1"/>
  <c r="B331" i="17"/>
  <c r="C331" i="17"/>
  <c r="D331" i="17"/>
  <c r="E331" i="17"/>
  <c r="F331" i="17"/>
  <c r="G331" i="17"/>
  <c r="H331" i="17"/>
  <c r="A332" i="17"/>
  <c r="K332" i="17" s="1"/>
  <c r="Y324" i="33" s="1"/>
  <c r="B332" i="17"/>
  <c r="C332" i="17"/>
  <c r="D332" i="17"/>
  <c r="E332" i="17"/>
  <c r="F332" i="17"/>
  <c r="G332" i="17"/>
  <c r="H332" i="17"/>
  <c r="A333" i="17"/>
  <c r="K333" i="17" s="1"/>
  <c r="Y325" i="33" s="1"/>
  <c r="B333" i="17"/>
  <c r="C333" i="17"/>
  <c r="D333" i="17"/>
  <c r="E333" i="17"/>
  <c r="F333" i="17"/>
  <c r="G333" i="17"/>
  <c r="H333" i="17"/>
  <c r="A334" i="17"/>
  <c r="K334" i="17" s="1"/>
  <c r="Y326" i="33" s="1"/>
  <c r="B334" i="17"/>
  <c r="C334" i="17"/>
  <c r="D334" i="17"/>
  <c r="E334" i="17"/>
  <c r="F334" i="17"/>
  <c r="G334" i="17"/>
  <c r="H334" i="17"/>
  <c r="A335" i="17"/>
  <c r="K335" i="17" s="1"/>
  <c r="Y327" i="33" s="1"/>
  <c r="B335" i="17"/>
  <c r="C335" i="17"/>
  <c r="D335" i="17"/>
  <c r="E335" i="17"/>
  <c r="F335" i="17"/>
  <c r="G335" i="17"/>
  <c r="H335" i="17"/>
  <c r="A336" i="17"/>
  <c r="K336" i="17" s="1"/>
  <c r="Y328" i="33" s="1"/>
  <c r="B336" i="17"/>
  <c r="C336" i="17"/>
  <c r="D336" i="17"/>
  <c r="E336" i="17"/>
  <c r="F336" i="17"/>
  <c r="G336" i="17"/>
  <c r="H336" i="17"/>
  <c r="A337" i="17"/>
  <c r="K337" i="17" s="1"/>
  <c r="Y329" i="33" s="1"/>
  <c r="B337" i="17"/>
  <c r="C337" i="17"/>
  <c r="D337" i="17"/>
  <c r="E337" i="17"/>
  <c r="F337" i="17"/>
  <c r="G337" i="17"/>
  <c r="H337" i="17"/>
  <c r="H315" i="17"/>
  <c r="G315" i="17"/>
  <c r="F315" i="17"/>
  <c r="E315" i="17"/>
  <c r="D315" i="17"/>
  <c r="C315" i="17"/>
  <c r="B315" i="17"/>
  <c r="A315" i="17"/>
  <c r="L315" i="17" s="1"/>
  <c r="Z307" i="33" s="1"/>
  <c r="A312" i="17"/>
  <c r="L312" i="17" s="1"/>
  <c r="Z304" i="33" s="1"/>
  <c r="B312" i="17"/>
  <c r="C312" i="17"/>
  <c r="D312" i="17"/>
  <c r="E312" i="17"/>
  <c r="F312" i="17"/>
  <c r="A307" i="17"/>
  <c r="L307" i="17" s="1"/>
  <c r="Z299" i="33" s="1"/>
  <c r="B307" i="17"/>
  <c r="C307" i="17"/>
  <c r="D307" i="17"/>
  <c r="E307" i="17"/>
  <c r="F307" i="17"/>
  <c r="A308" i="17"/>
  <c r="L308" i="17" s="1"/>
  <c r="Z300" i="33" s="1"/>
  <c r="B308" i="17"/>
  <c r="C308" i="17"/>
  <c r="D308" i="17"/>
  <c r="E308" i="17"/>
  <c r="F308" i="17"/>
  <c r="A309" i="17"/>
  <c r="L309" i="17" s="1"/>
  <c r="Z301" i="33" s="1"/>
  <c r="B309" i="17"/>
  <c r="C309" i="17"/>
  <c r="D309" i="17"/>
  <c r="E309" i="17"/>
  <c r="F309" i="17"/>
  <c r="A310" i="17"/>
  <c r="L310" i="17" s="1"/>
  <c r="Z302" i="33" s="1"/>
  <c r="B310" i="17"/>
  <c r="C310" i="17"/>
  <c r="D310" i="17"/>
  <c r="E310" i="17"/>
  <c r="F310" i="17"/>
  <c r="A311" i="17"/>
  <c r="L311" i="17" s="1"/>
  <c r="Z303" i="33" s="1"/>
  <c r="B311" i="17"/>
  <c r="C311" i="17"/>
  <c r="D311" i="17"/>
  <c r="E311" i="17"/>
  <c r="F311" i="17"/>
  <c r="A296" i="17"/>
  <c r="L296" i="17" s="1"/>
  <c r="Z288" i="33" s="1"/>
  <c r="B296" i="17"/>
  <c r="C296" i="17"/>
  <c r="D296" i="17"/>
  <c r="E296" i="17"/>
  <c r="F296" i="17"/>
  <c r="A297" i="17"/>
  <c r="L297" i="17" s="1"/>
  <c r="Z289" i="33" s="1"/>
  <c r="B297" i="17"/>
  <c r="C297" i="17"/>
  <c r="D297" i="17"/>
  <c r="E297" i="17"/>
  <c r="F297" i="17"/>
  <c r="G297" i="17"/>
  <c r="H297" i="17"/>
  <c r="A298" i="17"/>
  <c r="L298" i="17" s="1"/>
  <c r="Z290" i="33" s="1"/>
  <c r="B298" i="17"/>
  <c r="C298" i="17"/>
  <c r="D298" i="17"/>
  <c r="E298" i="17"/>
  <c r="F298" i="17"/>
  <c r="A299" i="17"/>
  <c r="L299" i="17" s="1"/>
  <c r="Z291" i="33" s="1"/>
  <c r="B299" i="17"/>
  <c r="C299" i="17"/>
  <c r="D299" i="17"/>
  <c r="E299" i="17"/>
  <c r="F299" i="17"/>
  <c r="A300" i="17"/>
  <c r="K300" i="17" s="1"/>
  <c r="Y292" i="33" s="1"/>
  <c r="B300" i="17"/>
  <c r="C300" i="17"/>
  <c r="D300" i="17"/>
  <c r="E300" i="17"/>
  <c r="F300" i="17"/>
  <c r="A301" i="17"/>
  <c r="K301" i="17" s="1"/>
  <c r="Y293" i="33" s="1"/>
  <c r="B301" i="17"/>
  <c r="C301" i="17"/>
  <c r="D301" i="17"/>
  <c r="E301" i="17"/>
  <c r="F301" i="17"/>
  <c r="A302" i="17"/>
  <c r="L302" i="17" s="1"/>
  <c r="Z294" i="33" s="1"/>
  <c r="B302" i="17"/>
  <c r="C302" i="17"/>
  <c r="D302" i="17"/>
  <c r="E302" i="17"/>
  <c r="F302" i="17"/>
  <c r="A303" i="17"/>
  <c r="L303" i="17" s="1"/>
  <c r="Z295" i="33" s="1"/>
  <c r="B303" i="17"/>
  <c r="C303" i="17"/>
  <c r="D303" i="17"/>
  <c r="E303" i="17"/>
  <c r="F303" i="17"/>
  <c r="A304" i="17"/>
  <c r="L304" i="17" s="1"/>
  <c r="Z296" i="33" s="1"/>
  <c r="B304" i="17"/>
  <c r="C304" i="17"/>
  <c r="D304" i="17"/>
  <c r="E304" i="17"/>
  <c r="F304" i="17"/>
  <c r="A305" i="17"/>
  <c r="L305" i="17" s="1"/>
  <c r="Z297" i="33" s="1"/>
  <c r="B305" i="17"/>
  <c r="C305" i="17"/>
  <c r="D305" i="17"/>
  <c r="E305" i="17"/>
  <c r="F305" i="17"/>
  <c r="A306" i="17"/>
  <c r="L306" i="17" s="1"/>
  <c r="Z298" i="33" s="1"/>
  <c r="B306" i="17"/>
  <c r="C306" i="17"/>
  <c r="D306" i="17"/>
  <c r="E306" i="17"/>
  <c r="F306" i="17"/>
  <c r="F295" i="17"/>
  <c r="E295" i="17"/>
  <c r="D295" i="17"/>
  <c r="C295" i="17"/>
  <c r="B295" i="17"/>
  <c r="A295" i="17"/>
  <c r="L295" i="17" s="1"/>
  <c r="Z287" i="33" s="1"/>
  <c r="A292" i="17"/>
  <c r="L292" i="17" s="1"/>
  <c r="Z284" i="33" s="1"/>
  <c r="B292" i="17"/>
  <c r="C292" i="17"/>
  <c r="D292" i="17"/>
  <c r="E292" i="17"/>
  <c r="F292" i="17"/>
  <c r="G292" i="17"/>
  <c r="H292" i="17"/>
  <c r="A288" i="17"/>
  <c r="L288" i="17" s="1"/>
  <c r="Z280" i="33" s="1"/>
  <c r="B288" i="17"/>
  <c r="C288" i="17"/>
  <c r="D288" i="17"/>
  <c r="E288" i="17"/>
  <c r="F288" i="17"/>
  <c r="G288" i="17"/>
  <c r="H288" i="17"/>
  <c r="A289" i="17"/>
  <c r="L289" i="17" s="1"/>
  <c r="Z281" i="33" s="1"/>
  <c r="B289" i="17"/>
  <c r="C289" i="17"/>
  <c r="D289" i="17"/>
  <c r="E289" i="17"/>
  <c r="F289" i="17"/>
  <c r="G289" i="17"/>
  <c r="H289" i="17"/>
  <c r="A290" i="17"/>
  <c r="L290" i="17" s="1"/>
  <c r="Z282" i="33" s="1"/>
  <c r="B290" i="17"/>
  <c r="C290" i="17"/>
  <c r="D290" i="17"/>
  <c r="E290" i="17"/>
  <c r="F290" i="17"/>
  <c r="G290" i="17"/>
  <c r="H290" i="17"/>
  <c r="A291" i="17"/>
  <c r="L291" i="17" s="1"/>
  <c r="Z283" i="33" s="1"/>
  <c r="B291" i="17"/>
  <c r="C291" i="17"/>
  <c r="D291" i="17"/>
  <c r="E291" i="17"/>
  <c r="F291" i="17"/>
  <c r="G291" i="17"/>
  <c r="H291" i="17"/>
  <c r="A246" i="17"/>
  <c r="L246" i="17" s="1"/>
  <c r="Z238" i="33" s="1"/>
  <c r="B246" i="17"/>
  <c r="C246" i="17"/>
  <c r="D246" i="17"/>
  <c r="E246" i="17"/>
  <c r="F246" i="17"/>
  <c r="G246" i="17"/>
  <c r="H246" i="17"/>
  <c r="A247" i="17"/>
  <c r="L247" i="17" s="1"/>
  <c r="Z239" i="33" s="1"/>
  <c r="B247" i="17"/>
  <c r="C247" i="17"/>
  <c r="D247" i="17"/>
  <c r="E247" i="17"/>
  <c r="F247" i="17"/>
  <c r="G247" i="17"/>
  <c r="H247" i="17"/>
  <c r="A248" i="17"/>
  <c r="L248" i="17" s="1"/>
  <c r="Z240" i="33" s="1"/>
  <c r="B248" i="17"/>
  <c r="C248" i="17"/>
  <c r="D248" i="17"/>
  <c r="E248" i="17"/>
  <c r="F248" i="17"/>
  <c r="G248" i="17"/>
  <c r="H248" i="17"/>
  <c r="A249" i="17"/>
  <c r="L249" i="17" s="1"/>
  <c r="Z241" i="33" s="1"/>
  <c r="B249" i="17"/>
  <c r="C249" i="17"/>
  <c r="D249" i="17"/>
  <c r="E249" i="17"/>
  <c r="F249" i="17"/>
  <c r="G249" i="17"/>
  <c r="H249" i="17"/>
  <c r="A250" i="17"/>
  <c r="L250" i="17" s="1"/>
  <c r="Z242" i="33" s="1"/>
  <c r="B250" i="17"/>
  <c r="C250" i="17"/>
  <c r="D250" i="17"/>
  <c r="E250" i="17"/>
  <c r="F250" i="17"/>
  <c r="G250" i="17"/>
  <c r="H250" i="17"/>
  <c r="A251" i="17"/>
  <c r="L251" i="17" s="1"/>
  <c r="Z243" i="33" s="1"/>
  <c r="B251" i="17"/>
  <c r="C251" i="17"/>
  <c r="D251" i="17"/>
  <c r="E251" i="17"/>
  <c r="F251" i="17"/>
  <c r="G251" i="17"/>
  <c r="H251" i="17"/>
  <c r="A252" i="17"/>
  <c r="L252" i="17" s="1"/>
  <c r="Z244" i="33" s="1"/>
  <c r="B252" i="17"/>
  <c r="C252" i="17"/>
  <c r="D252" i="17"/>
  <c r="E252" i="17"/>
  <c r="F252" i="17"/>
  <c r="G252" i="17"/>
  <c r="H252" i="17"/>
  <c r="A253" i="17"/>
  <c r="L253" i="17" s="1"/>
  <c r="Z245" i="33" s="1"/>
  <c r="B253" i="17"/>
  <c r="C253" i="17"/>
  <c r="D253" i="17"/>
  <c r="E253" i="17"/>
  <c r="F253" i="17"/>
  <c r="G253" i="17"/>
  <c r="H253" i="17"/>
  <c r="A254" i="17"/>
  <c r="L254" i="17" s="1"/>
  <c r="Z246" i="33" s="1"/>
  <c r="B254" i="17"/>
  <c r="C254" i="17"/>
  <c r="D254" i="17"/>
  <c r="E254" i="17"/>
  <c r="F254" i="17"/>
  <c r="G254" i="17"/>
  <c r="H254" i="17"/>
  <c r="A255" i="17"/>
  <c r="L255" i="17" s="1"/>
  <c r="Z247" i="33" s="1"/>
  <c r="B255" i="17"/>
  <c r="C255" i="17"/>
  <c r="D255" i="17"/>
  <c r="E255" i="17"/>
  <c r="F255" i="17"/>
  <c r="G255" i="17"/>
  <c r="H255" i="17"/>
  <c r="A256" i="17"/>
  <c r="L256" i="17" s="1"/>
  <c r="Z248" i="33" s="1"/>
  <c r="B256" i="17"/>
  <c r="C256" i="17"/>
  <c r="D256" i="17"/>
  <c r="E256" i="17"/>
  <c r="F256" i="17"/>
  <c r="G256" i="17"/>
  <c r="H256" i="17"/>
  <c r="A257" i="17"/>
  <c r="L257" i="17" s="1"/>
  <c r="Z249" i="33" s="1"/>
  <c r="B257" i="17"/>
  <c r="C257" i="17"/>
  <c r="D257" i="17"/>
  <c r="E257" i="17"/>
  <c r="F257" i="17"/>
  <c r="G257" i="17"/>
  <c r="H257" i="17"/>
  <c r="A258" i="17"/>
  <c r="L258" i="17" s="1"/>
  <c r="Z250" i="33" s="1"/>
  <c r="B258" i="17"/>
  <c r="C258" i="17"/>
  <c r="D258" i="17"/>
  <c r="E258" i="17"/>
  <c r="F258" i="17"/>
  <c r="G258" i="17"/>
  <c r="H258" i="17"/>
  <c r="A259" i="17"/>
  <c r="L259" i="17" s="1"/>
  <c r="Z251" i="33" s="1"/>
  <c r="B259" i="17"/>
  <c r="C259" i="17"/>
  <c r="D259" i="17"/>
  <c r="E259" i="17"/>
  <c r="F259" i="17"/>
  <c r="G259" i="17"/>
  <c r="H259" i="17"/>
  <c r="A260" i="17"/>
  <c r="L260" i="17" s="1"/>
  <c r="Z252" i="33" s="1"/>
  <c r="B260" i="17"/>
  <c r="C260" i="17"/>
  <c r="D260" i="17"/>
  <c r="E260" i="17"/>
  <c r="F260" i="17"/>
  <c r="G260" i="17"/>
  <c r="H260" i="17"/>
  <c r="A261" i="17"/>
  <c r="L261" i="17" s="1"/>
  <c r="Z253" i="33" s="1"/>
  <c r="B261" i="17"/>
  <c r="C261" i="17"/>
  <c r="D261" i="17"/>
  <c r="E261" i="17"/>
  <c r="F261" i="17"/>
  <c r="G261" i="17"/>
  <c r="H261" i="17"/>
  <c r="A262" i="17"/>
  <c r="L262" i="17" s="1"/>
  <c r="Z254" i="33" s="1"/>
  <c r="B262" i="17"/>
  <c r="C262" i="17"/>
  <c r="D262" i="17"/>
  <c r="E262" i="17"/>
  <c r="F262" i="17"/>
  <c r="G262" i="17"/>
  <c r="H262" i="17"/>
  <c r="A263" i="17"/>
  <c r="L263" i="17" s="1"/>
  <c r="Z255" i="33" s="1"/>
  <c r="B263" i="17"/>
  <c r="C263" i="17"/>
  <c r="D263" i="17"/>
  <c r="E263" i="17"/>
  <c r="F263" i="17"/>
  <c r="G263" i="17"/>
  <c r="H263" i="17"/>
  <c r="A264" i="17"/>
  <c r="L264" i="17" s="1"/>
  <c r="Z256" i="33" s="1"/>
  <c r="B264" i="17"/>
  <c r="C264" i="17"/>
  <c r="D264" i="17"/>
  <c r="E264" i="17"/>
  <c r="F264" i="17"/>
  <c r="G264" i="17"/>
  <c r="H264" i="17"/>
  <c r="A265" i="17"/>
  <c r="L265" i="17" s="1"/>
  <c r="Z257" i="33" s="1"/>
  <c r="B265" i="17"/>
  <c r="C265" i="17"/>
  <c r="D265" i="17"/>
  <c r="E265" i="17"/>
  <c r="F265" i="17"/>
  <c r="G265" i="17"/>
  <c r="H265" i="17"/>
  <c r="A266" i="17"/>
  <c r="L266" i="17" s="1"/>
  <c r="Z258" i="33" s="1"/>
  <c r="B266" i="17"/>
  <c r="C266" i="17"/>
  <c r="D266" i="17"/>
  <c r="E266" i="17"/>
  <c r="F266" i="17"/>
  <c r="G266" i="17"/>
  <c r="H266" i="17"/>
  <c r="A267" i="17"/>
  <c r="L267" i="17" s="1"/>
  <c r="Z259" i="33" s="1"/>
  <c r="B267" i="17"/>
  <c r="C267" i="17"/>
  <c r="D267" i="17"/>
  <c r="E267" i="17"/>
  <c r="F267" i="17"/>
  <c r="G267" i="17"/>
  <c r="H267" i="17"/>
  <c r="A268" i="17"/>
  <c r="L268" i="17" s="1"/>
  <c r="Z260" i="33" s="1"/>
  <c r="B268" i="17"/>
  <c r="C268" i="17"/>
  <c r="D268" i="17"/>
  <c r="E268" i="17"/>
  <c r="F268" i="17"/>
  <c r="G268" i="17"/>
  <c r="H268" i="17"/>
  <c r="A269" i="17"/>
  <c r="L269" i="17" s="1"/>
  <c r="Z261" i="33" s="1"/>
  <c r="B269" i="17"/>
  <c r="C269" i="17"/>
  <c r="D269" i="17"/>
  <c r="E269" i="17"/>
  <c r="F269" i="17"/>
  <c r="G269" i="17"/>
  <c r="H269" i="17"/>
  <c r="A270" i="17"/>
  <c r="L270" i="17" s="1"/>
  <c r="Z262" i="33" s="1"/>
  <c r="B270" i="17"/>
  <c r="C270" i="17"/>
  <c r="D270" i="17"/>
  <c r="E270" i="17"/>
  <c r="F270" i="17"/>
  <c r="G270" i="17"/>
  <c r="H270" i="17"/>
  <c r="A271" i="17"/>
  <c r="L271" i="17" s="1"/>
  <c r="Z263" i="33" s="1"/>
  <c r="B271" i="17"/>
  <c r="C271" i="17"/>
  <c r="D271" i="17"/>
  <c r="E271" i="17"/>
  <c r="F271" i="17"/>
  <c r="G271" i="17"/>
  <c r="H271" i="17"/>
  <c r="A272" i="17"/>
  <c r="L272" i="17" s="1"/>
  <c r="Z264" i="33" s="1"/>
  <c r="B272" i="17"/>
  <c r="C272" i="17"/>
  <c r="D272" i="17"/>
  <c r="E272" i="17"/>
  <c r="F272" i="17"/>
  <c r="G272" i="17"/>
  <c r="H272" i="17"/>
  <c r="A273" i="17"/>
  <c r="L273" i="17" s="1"/>
  <c r="Z265" i="33" s="1"/>
  <c r="B273" i="17"/>
  <c r="C273" i="17"/>
  <c r="D273" i="17"/>
  <c r="E273" i="17"/>
  <c r="F273" i="17"/>
  <c r="G273" i="17"/>
  <c r="H273" i="17"/>
  <c r="A274" i="17"/>
  <c r="L274" i="17" s="1"/>
  <c r="Z266" i="33" s="1"/>
  <c r="B274" i="17"/>
  <c r="C274" i="17"/>
  <c r="D274" i="17"/>
  <c r="E274" i="17"/>
  <c r="F274" i="17"/>
  <c r="G274" i="17"/>
  <c r="H274" i="17"/>
  <c r="A275" i="17"/>
  <c r="L275" i="17" s="1"/>
  <c r="Z267" i="33" s="1"/>
  <c r="B275" i="17"/>
  <c r="C275" i="17"/>
  <c r="D275" i="17"/>
  <c r="E275" i="17"/>
  <c r="F275" i="17"/>
  <c r="G275" i="17"/>
  <c r="H275" i="17"/>
  <c r="A276" i="17"/>
  <c r="L276" i="17" s="1"/>
  <c r="Z268" i="33" s="1"/>
  <c r="B276" i="17"/>
  <c r="C276" i="17"/>
  <c r="D276" i="17"/>
  <c r="E276" i="17"/>
  <c r="F276" i="17"/>
  <c r="G276" i="17"/>
  <c r="H276" i="17"/>
  <c r="A277" i="17"/>
  <c r="L277" i="17" s="1"/>
  <c r="Z269" i="33" s="1"/>
  <c r="B277" i="17"/>
  <c r="C277" i="17"/>
  <c r="D277" i="17"/>
  <c r="E277" i="17"/>
  <c r="F277" i="17"/>
  <c r="G277" i="17"/>
  <c r="H277" i="17"/>
  <c r="A278" i="17"/>
  <c r="L278" i="17" s="1"/>
  <c r="Z270" i="33" s="1"/>
  <c r="B278" i="17"/>
  <c r="C278" i="17"/>
  <c r="D278" i="17"/>
  <c r="E278" i="17"/>
  <c r="F278" i="17"/>
  <c r="G278" i="17"/>
  <c r="H278" i="17"/>
  <c r="A279" i="17"/>
  <c r="K279" i="17" s="1"/>
  <c r="Y271" i="33" s="1"/>
  <c r="B279" i="17"/>
  <c r="C279" i="17"/>
  <c r="D279" i="17"/>
  <c r="E279" i="17"/>
  <c r="F279" i="17"/>
  <c r="G279" i="17"/>
  <c r="H279" i="17"/>
  <c r="A280" i="17"/>
  <c r="L280" i="17" s="1"/>
  <c r="Z272" i="33" s="1"/>
  <c r="B280" i="17"/>
  <c r="C280" i="17"/>
  <c r="D280" i="17"/>
  <c r="E280" i="17"/>
  <c r="F280" i="17"/>
  <c r="G280" i="17"/>
  <c r="H280" i="17"/>
  <c r="A281" i="17"/>
  <c r="L281" i="17" s="1"/>
  <c r="Z273" i="33" s="1"/>
  <c r="B281" i="17"/>
  <c r="C281" i="17"/>
  <c r="D281" i="17"/>
  <c r="E281" i="17"/>
  <c r="F281" i="17"/>
  <c r="G281" i="17"/>
  <c r="H281" i="17"/>
  <c r="A282" i="17"/>
  <c r="L282" i="17" s="1"/>
  <c r="Z274" i="33" s="1"/>
  <c r="B282" i="17"/>
  <c r="C282" i="17"/>
  <c r="D282" i="17"/>
  <c r="E282" i="17"/>
  <c r="F282" i="17"/>
  <c r="G282" i="17"/>
  <c r="H282" i="17"/>
  <c r="A283" i="17"/>
  <c r="L283" i="17" s="1"/>
  <c r="Z275" i="33" s="1"/>
  <c r="B283" i="17"/>
  <c r="C283" i="17"/>
  <c r="D283" i="17"/>
  <c r="E283" i="17"/>
  <c r="F283" i="17"/>
  <c r="G283" i="17"/>
  <c r="H283" i="17"/>
  <c r="A284" i="17"/>
  <c r="L284" i="17" s="1"/>
  <c r="Z276" i="33" s="1"/>
  <c r="B284" i="17"/>
  <c r="C284" i="17"/>
  <c r="D284" i="17"/>
  <c r="E284" i="17"/>
  <c r="F284" i="17"/>
  <c r="G284" i="17"/>
  <c r="H284" i="17"/>
  <c r="A285" i="17"/>
  <c r="L285" i="17" s="1"/>
  <c r="Z277" i="33" s="1"/>
  <c r="B285" i="17"/>
  <c r="C285" i="17"/>
  <c r="D285" i="17"/>
  <c r="E285" i="17"/>
  <c r="F285" i="17"/>
  <c r="G285" i="17"/>
  <c r="H285" i="17"/>
  <c r="A286" i="17"/>
  <c r="L286" i="17" s="1"/>
  <c r="Z278" i="33" s="1"/>
  <c r="B286" i="17"/>
  <c r="C286" i="17"/>
  <c r="D286" i="17"/>
  <c r="E286" i="17"/>
  <c r="F286" i="17"/>
  <c r="G286" i="17"/>
  <c r="H286" i="17"/>
  <c r="A287" i="17"/>
  <c r="L287" i="17" s="1"/>
  <c r="Z279" i="33" s="1"/>
  <c r="B287" i="17"/>
  <c r="C287" i="17"/>
  <c r="D287" i="17"/>
  <c r="E287" i="17"/>
  <c r="F287" i="17"/>
  <c r="G287" i="17"/>
  <c r="H287" i="17"/>
  <c r="H245" i="17"/>
  <c r="G245" i="17"/>
  <c r="F245" i="17"/>
  <c r="E245" i="17"/>
  <c r="D245" i="17"/>
  <c r="C245" i="17"/>
  <c r="B245" i="17"/>
  <c r="A245" i="17"/>
  <c r="L245" i="17" s="1"/>
  <c r="Z237" i="33" s="1"/>
  <c r="A242" i="17"/>
  <c r="K242" i="17" s="1"/>
  <c r="Y234" i="33" s="1"/>
  <c r="B242" i="17"/>
  <c r="C242" i="17"/>
  <c r="D242" i="17"/>
  <c r="E242" i="17"/>
  <c r="F242" i="17"/>
  <c r="G242" i="17"/>
  <c r="H242" i="17"/>
  <c r="J147" i="17"/>
  <c r="X139" i="33" s="1"/>
  <c r="A218" i="17"/>
  <c r="L218" i="17" s="1"/>
  <c r="Z210" i="33" s="1"/>
  <c r="B218" i="17"/>
  <c r="C218" i="17"/>
  <c r="D218" i="17"/>
  <c r="E218" i="17"/>
  <c r="F218" i="17"/>
  <c r="G218" i="17"/>
  <c r="H218" i="17"/>
  <c r="A219" i="17"/>
  <c r="L219" i="17" s="1"/>
  <c r="Z211" i="33" s="1"/>
  <c r="B219" i="17"/>
  <c r="C219" i="17"/>
  <c r="D219" i="17"/>
  <c r="E219" i="17"/>
  <c r="F219" i="17"/>
  <c r="G219" i="17"/>
  <c r="H219" i="17"/>
  <c r="A220" i="17"/>
  <c r="L220" i="17" s="1"/>
  <c r="Z212" i="33" s="1"/>
  <c r="B220" i="17"/>
  <c r="C220" i="17"/>
  <c r="D220" i="17"/>
  <c r="E220" i="17"/>
  <c r="F220" i="17"/>
  <c r="G220" i="17"/>
  <c r="H220" i="17"/>
  <c r="A221" i="17"/>
  <c r="L221" i="17" s="1"/>
  <c r="Z213" i="33" s="1"/>
  <c r="B221" i="17"/>
  <c r="C221" i="17"/>
  <c r="D221" i="17"/>
  <c r="E221" i="17"/>
  <c r="F221" i="17"/>
  <c r="G221" i="17"/>
  <c r="H221" i="17"/>
  <c r="A222" i="17"/>
  <c r="L222" i="17" s="1"/>
  <c r="Z214" i="33" s="1"/>
  <c r="B222" i="17"/>
  <c r="C222" i="17"/>
  <c r="D222" i="17"/>
  <c r="E222" i="17"/>
  <c r="F222" i="17"/>
  <c r="G222" i="17"/>
  <c r="H222" i="17"/>
  <c r="A223" i="17"/>
  <c r="L223" i="17" s="1"/>
  <c r="Z215" i="33" s="1"/>
  <c r="B223" i="17"/>
  <c r="C223" i="17"/>
  <c r="D223" i="17"/>
  <c r="E223" i="17"/>
  <c r="F223" i="17"/>
  <c r="G223" i="17"/>
  <c r="H223" i="17"/>
  <c r="A224" i="17"/>
  <c r="K224" i="17" s="1"/>
  <c r="Y216" i="33" s="1"/>
  <c r="B224" i="17"/>
  <c r="C224" i="17"/>
  <c r="D224" i="17"/>
  <c r="E224" i="17"/>
  <c r="F224" i="17"/>
  <c r="G224" i="17"/>
  <c r="H224" i="17"/>
  <c r="A225" i="17"/>
  <c r="K225" i="17" s="1"/>
  <c r="Y217" i="33" s="1"/>
  <c r="B225" i="17"/>
  <c r="C225" i="17"/>
  <c r="D225" i="17"/>
  <c r="E225" i="17"/>
  <c r="F225" i="17"/>
  <c r="G225" i="17"/>
  <c r="H225" i="17"/>
  <c r="A226" i="17"/>
  <c r="K226" i="17" s="1"/>
  <c r="Y218" i="33" s="1"/>
  <c r="B226" i="17"/>
  <c r="C226" i="17"/>
  <c r="D226" i="17"/>
  <c r="E226" i="17"/>
  <c r="F226" i="17"/>
  <c r="G226" i="17"/>
  <c r="H226" i="17"/>
  <c r="A227" i="17"/>
  <c r="K227" i="17" s="1"/>
  <c r="Y219" i="33" s="1"/>
  <c r="B227" i="17"/>
  <c r="C227" i="17"/>
  <c r="D227" i="17"/>
  <c r="E227" i="17"/>
  <c r="F227" i="17"/>
  <c r="G227" i="17"/>
  <c r="H227" i="17"/>
  <c r="A228" i="17"/>
  <c r="K228" i="17" s="1"/>
  <c r="Y220" i="33" s="1"/>
  <c r="B228" i="17"/>
  <c r="C228" i="17"/>
  <c r="D228" i="17"/>
  <c r="E228" i="17"/>
  <c r="F228" i="17"/>
  <c r="G228" i="17"/>
  <c r="H228" i="17"/>
  <c r="A229" i="17"/>
  <c r="K229" i="17" s="1"/>
  <c r="Y221" i="33" s="1"/>
  <c r="B229" i="17"/>
  <c r="C229" i="17"/>
  <c r="D229" i="17"/>
  <c r="E229" i="17"/>
  <c r="F229" i="17"/>
  <c r="G229" i="17"/>
  <c r="H229" i="17"/>
  <c r="A230" i="17"/>
  <c r="K230" i="17" s="1"/>
  <c r="Y222" i="33" s="1"/>
  <c r="B230" i="17"/>
  <c r="C230" i="17"/>
  <c r="D230" i="17"/>
  <c r="E230" i="17"/>
  <c r="F230" i="17"/>
  <c r="G230" i="17"/>
  <c r="H230" i="17"/>
  <c r="A231" i="17"/>
  <c r="K231" i="17" s="1"/>
  <c r="Y223" i="33" s="1"/>
  <c r="B231" i="17"/>
  <c r="C231" i="17"/>
  <c r="D231" i="17"/>
  <c r="E231" i="17"/>
  <c r="F231" i="17"/>
  <c r="G231" i="17"/>
  <c r="H231" i="17"/>
  <c r="A232" i="17"/>
  <c r="K232" i="17" s="1"/>
  <c r="Y224" i="33" s="1"/>
  <c r="B232" i="17"/>
  <c r="C232" i="17"/>
  <c r="D232" i="17"/>
  <c r="E232" i="17"/>
  <c r="F232" i="17"/>
  <c r="G232" i="17"/>
  <c r="H232" i="17"/>
  <c r="A233" i="17"/>
  <c r="L233" i="17" s="1"/>
  <c r="Z225" i="33" s="1"/>
  <c r="B233" i="17"/>
  <c r="C233" i="17"/>
  <c r="D233" i="17"/>
  <c r="E233" i="17"/>
  <c r="F233" i="17"/>
  <c r="G233" i="17"/>
  <c r="H233" i="17"/>
  <c r="A234" i="17"/>
  <c r="L234" i="17" s="1"/>
  <c r="Z226" i="33" s="1"/>
  <c r="B234" i="17"/>
  <c r="C234" i="17"/>
  <c r="D234" i="17"/>
  <c r="E234" i="17"/>
  <c r="F234" i="17"/>
  <c r="G234" i="17"/>
  <c r="H234" i="17"/>
  <c r="A235" i="17"/>
  <c r="L235" i="17" s="1"/>
  <c r="Z227" i="33" s="1"/>
  <c r="B235" i="17"/>
  <c r="C235" i="17"/>
  <c r="D235" i="17"/>
  <c r="E235" i="17"/>
  <c r="F235" i="17"/>
  <c r="G235" i="17"/>
  <c r="H235" i="17"/>
  <c r="A236" i="17"/>
  <c r="L236" i="17" s="1"/>
  <c r="Z228" i="33" s="1"/>
  <c r="B236" i="17"/>
  <c r="C236" i="17"/>
  <c r="D236" i="17"/>
  <c r="E236" i="17"/>
  <c r="F236" i="17"/>
  <c r="G236" i="17"/>
  <c r="H236" i="17"/>
  <c r="A237" i="17"/>
  <c r="L237" i="17" s="1"/>
  <c r="Z229" i="33" s="1"/>
  <c r="B237" i="17"/>
  <c r="C237" i="17"/>
  <c r="D237" i="17"/>
  <c r="E237" i="17"/>
  <c r="F237" i="17"/>
  <c r="G237" i="17"/>
  <c r="H237" i="17"/>
  <c r="A238" i="17"/>
  <c r="L238" i="17" s="1"/>
  <c r="Z230" i="33" s="1"/>
  <c r="B238" i="17"/>
  <c r="C238" i="17"/>
  <c r="D238" i="17"/>
  <c r="E238" i="17"/>
  <c r="F238" i="17"/>
  <c r="G238" i="17"/>
  <c r="H238" i="17"/>
  <c r="A239" i="17"/>
  <c r="L239" i="17" s="1"/>
  <c r="Z231" i="33" s="1"/>
  <c r="B239" i="17"/>
  <c r="C239" i="17"/>
  <c r="D239" i="17"/>
  <c r="E239" i="17"/>
  <c r="F239" i="17"/>
  <c r="G239" i="17"/>
  <c r="H239" i="17"/>
  <c r="A240" i="17"/>
  <c r="K240" i="17" s="1"/>
  <c r="Y232" i="33" s="1"/>
  <c r="B240" i="17"/>
  <c r="C240" i="17"/>
  <c r="D240" i="17"/>
  <c r="E240" i="17"/>
  <c r="F240" i="17"/>
  <c r="G240" i="17"/>
  <c r="H240" i="17"/>
  <c r="A241" i="17"/>
  <c r="K241" i="17" s="1"/>
  <c r="Y233" i="33" s="1"/>
  <c r="B241" i="17"/>
  <c r="C241" i="17"/>
  <c r="D241" i="17"/>
  <c r="E241" i="17"/>
  <c r="F241" i="17"/>
  <c r="G241" i="17"/>
  <c r="H241" i="17"/>
  <c r="H217" i="17"/>
  <c r="G217" i="17"/>
  <c r="F217" i="17"/>
  <c r="B217" i="17"/>
  <c r="C217" i="17"/>
  <c r="D217" i="17"/>
  <c r="E217" i="17"/>
  <c r="A217" i="17"/>
  <c r="K217" i="17" s="1"/>
  <c r="Y209" i="33" s="1"/>
  <c r="A77"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8" i="17"/>
  <c r="A79" i="17"/>
  <c r="A80" i="17"/>
  <c r="A81" i="17"/>
  <c r="A82" i="17"/>
  <c r="A83" i="17"/>
  <c r="A84" i="17"/>
  <c r="A85" i="17"/>
  <c r="A86" i="17"/>
  <c r="A87" i="17"/>
  <c r="A88" i="17"/>
  <c r="A89" i="17"/>
  <c r="A90" i="17"/>
  <c r="A91" i="17"/>
  <c r="A92" i="17"/>
  <c r="A93" i="17"/>
  <c r="A94" i="17"/>
  <c r="A95" i="17"/>
  <c r="A96" i="17"/>
  <c r="A97" i="17"/>
  <c r="A147" i="17"/>
  <c r="K147" i="17" s="1"/>
  <c r="Y139" i="33" s="1"/>
  <c r="A148" i="17"/>
  <c r="L148" i="17" s="1"/>
  <c r="Z140" i="33" s="1"/>
  <c r="A149" i="17"/>
  <c r="K149" i="17" s="1"/>
  <c r="Y141" i="33" s="1"/>
  <c r="A150" i="17"/>
  <c r="K150" i="17" s="1"/>
  <c r="Y142" i="33" s="1"/>
  <c r="A151" i="17"/>
  <c r="K151" i="17" s="1"/>
  <c r="Y143" i="33" s="1"/>
  <c r="A152" i="17"/>
  <c r="K152" i="17" s="1"/>
  <c r="Y144" i="33" s="1"/>
  <c r="A153" i="17"/>
  <c r="K153" i="17" s="1"/>
  <c r="Y145" i="33" s="1"/>
  <c r="A154" i="17"/>
  <c r="A155" i="17"/>
  <c r="A156" i="17"/>
  <c r="K156" i="17" s="1"/>
  <c r="Y148" i="33" s="1"/>
  <c r="A157" i="17"/>
  <c r="K157" i="17" s="1"/>
  <c r="Y149" i="33" s="1"/>
  <c r="A158" i="17"/>
  <c r="K158" i="17" s="1"/>
  <c r="Y150" i="33" s="1"/>
  <c r="A159" i="17"/>
  <c r="K159" i="17" s="1"/>
  <c r="Y151" i="33" s="1"/>
  <c r="A160" i="17"/>
  <c r="K160" i="17" s="1"/>
  <c r="Y152" i="33" s="1"/>
  <c r="A161" i="17"/>
  <c r="K161" i="17" s="1"/>
  <c r="Y153" i="33" s="1"/>
  <c r="A162" i="17"/>
  <c r="K162" i="17" s="1"/>
  <c r="Y154" i="33" s="1"/>
  <c r="A163" i="17"/>
  <c r="K163" i="17" s="1"/>
  <c r="Y155" i="33" s="1"/>
  <c r="A164" i="17"/>
  <c r="K164" i="17" s="1"/>
  <c r="Y156" i="33" s="1"/>
  <c r="A165" i="17"/>
  <c r="K165" i="17" s="1"/>
  <c r="Y157" i="33" s="1"/>
  <c r="A166" i="17"/>
  <c r="K166" i="17" s="1"/>
  <c r="Y158" i="33" s="1"/>
  <c r="A167" i="17"/>
  <c r="K167" i="17" s="1"/>
  <c r="Y159" i="33" s="1"/>
  <c r="A168" i="17"/>
  <c r="K168" i="17" s="1"/>
  <c r="Y160" i="33" s="1"/>
  <c r="A169" i="17"/>
  <c r="L169" i="17" s="1"/>
  <c r="Z161" i="33" s="1"/>
  <c r="A170" i="17"/>
  <c r="A171" i="17"/>
  <c r="A172" i="17"/>
  <c r="L172" i="17" s="1"/>
  <c r="Z164" i="33" s="1"/>
  <c r="A173" i="17"/>
  <c r="K173" i="17" s="1"/>
  <c r="Y165" i="33" s="1"/>
  <c r="A174" i="17"/>
  <c r="K174" i="17" s="1"/>
  <c r="Y166" i="33" s="1"/>
  <c r="A175" i="17"/>
  <c r="L175" i="17" s="1"/>
  <c r="Z167" i="33" s="1"/>
  <c r="A176" i="17"/>
  <c r="K176" i="17" s="1"/>
  <c r="Y168" i="33" s="1"/>
  <c r="A177" i="17"/>
  <c r="L177" i="17" s="1"/>
  <c r="Z169" i="33" s="1"/>
  <c r="A178" i="17"/>
  <c r="L178" i="17" s="1"/>
  <c r="Z170" i="33" s="1"/>
  <c r="A179" i="17"/>
  <c r="K179" i="17" s="1"/>
  <c r="Y171" i="33" s="1"/>
  <c r="A180" i="17"/>
  <c r="K180" i="17" s="1"/>
  <c r="Y172" i="33" s="1"/>
  <c r="A181" i="17"/>
  <c r="K181" i="17" s="1"/>
  <c r="Y173" i="33" s="1"/>
  <c r="A182" i="17"/>
  <c r="K182" i="17" s="1"/>
  <c r="Y174" i="33" s="1"/>
  <c r="A183" i="17"/>
  <c r="K183" i="17" s="1"/>
  <c r="Y175" i="33" s="1"/>
  <c r="A184" i="17"/>
  <c r="K184" i="17" s="1"/>
  <c r="Y176" i="33" s="1"/>
  <c r="A185" i="17"/>
  <c r="K185" i="17" s="1"/>
  <c r="Y177" i="33" s="1"/>
  <c r="A186" i="17"/>
  <c r="L186" i="17" s="1"/>
  <c r="Z178" i="33" s="1"/>
  <c r="A187" i="17"/>
  <c r="A188" i="17"/>
  <c r="K188" i="17" s="1"/>
  <c r="Y180" i="33" s="1"/>
  <c r="A189" i="17"/>
  <c r="K189" i="17" s="1"/>
  <c r="Y181" i="33" s="1"/>
  <c r="A190" i="17"/>
  <c r="K190" i="17" s="1"/>
  <c r="Y182" i="33" s="1"/>
  <c r="A191" i="17"/>
  <c r="K191" i="17" s="1"/>
  <c r="Y183" i="33" s="1"/>
  <c r="A192" i="17"/>
  <c r="K192" i="17" s="1"/>
  <c r="Y184" i="33" s="1"/>
  <c r="A193" i="17"/>
  <c r="K193" i="17" s="1"/>
  <c r="Y185" i="33" s="1"/>
  <c r="A194" i="17"/>
  <c r="L194" i="17" s="1"/>
  <c r="Z186" i="33" s="1"/>
  <c r="A195" i="17"/>
  <c r="K195" i="17" s="1"/>
  <c r="Y187" i="33" s="1"/>
  <c r="A196" i="17"/>
  <c r="K196" i="17" s="1"/>
  <c r="Y188" i="33" s="1"/>
  <c r="A197" i="17"/>
  <c r="K197" i="17" s="1"/>
  <c r="Y189" i="33" s="1"/>
  <c r="A198" i="17"/>
  <c r="K198" i="17" s="1"/>
  <c r="Y190" i="33" s="1"/>
  <c r="A199" i="17"/>
  <c r="K199" i="17" s="1"/>
  <c r="Y191" i="33" s="1"/>
  <c r="A200" i="17"/>
  <c r="K200" i="17" s="1"/>
  <c r="Y192" i="33" s="1"/>
  <c r="A201" i="17"/>
  <c r="K201" i="17" s="1"/>
  <c r="Y193" i="33" s="1"/>
  <c r="A202" i="17"/>
  <c r="L202" i="17" s="1"/>
  <c r="Z194" i="33" s="1"/>
  <c r="A203" i="17"/>
  <c r="A204" i="17"/>
  <c r="K204" i="17" s="1"/>
  <c r="Y196" i="33" s="1"/>
  <c r="A205" i="17"/>
  <c r="K205" i="17" s="1"/>
  <c r="Y197" i="33" s="1"/>
  <c r="A206" i="17"/>
  <c r="K206" i="17" s="1"/>
  <c r="Y198" i="33" s="1"/>
  <c r="A207" i="17"/>
  <c r="L207" i="17" s="1"/>
  <c r="Z199" i="33" s="1"/>
  <c r="A208" i="17"/>
  <c r="K208" i="17" s="1"/>
  <c r="Y200" i="33" s="1"/>
  <c r="A209" i="17"/>
  <c r="L209" i="17" s="1"/>
  <c r="Z201" i="33" s="1"/>
  <c r="A210" i="17"/>
  <c r="L210" i="17" s="1"/>
  <c r="Z202" i="33" s="1"/>
  <c r="A211" i="17"/>
  <c r="K211" i="17" s="1"/>
  <c r="Y203" i="33" s="1"/>
  <c r="A212" i="17"/>
  <c r="K212" i="17" s="1"/>
  <c r="Y204" i="33" s="1"/>
  <c r="A213" i="17"/>
  <c r="K213" i="17" s="1"/>
  <c r="Y205" i="33" s="1"/>
  <c r="A214" i="17"/>
  <c r="K214" i="17" s="1"/>
  <c r="Y206" i="33" s="1"/>
  <c r="B22" i="17"/>
  <c r="C22" i="17"/>
  <c r="D22" i="17"/>
  <c r="E22" i="17"/>
  <c r="F22" i="17"/>
  <c r="K22" i="17"/>
  <c r="Y14" i="33" s="1"/>
  <c r="L22" i="17"/>
  <c r="Z14" i="33" s="1"/>
  <c r="B23" i="17"/>
  <c r="C23" i="17"/>
  <c r="D23" i="17"/>
  <c r="E23" i="17"/>
  <c r="F23" i="17"/>
  <c r="K23" i="17"/>
  <c r="Y15" i="33" s="1"/>
  <c r="L23" i="17"/>
  <c r="Z15" i="33" s="1"/>
  <c r="B24" i="17"/>
  <c r="C24" i="17"/>
  <c r="D24" i="17"/>
  <c r="E24" i="17"/>
  <c r="F24" i="17"/>
  <c r="K24" i="17"/>
  <c r="Y16" i="33" s="1"/>
  <c r="L24" i="17"/>
  <c r="Z16" i="33" s="1"/>
  <c r="B25" i="17"/>
  <c r="C25" i="17"/>
  <c r="D25" i="17"/>
  <c r="E25" i="17"/>
  <c r="F25" i="17"/>
  <c r="K25" i="17"/>
  <c r="Y17" i="33" s="1"/>
  <c r="L25" i="17"/>
  <c r="Z17" i="33" s="1"/>
  <c r="B26" i="17"/>
  <c r="C26" i="17"/>
  <c r="D26" i="17"/>
  <c r="E26" i="17"/>
  <c r="F26" i="17"/>
  <c r="K26" i="17"/>
  <c r="Y18" i="33" s="1"/>
  <c r="L26" i="17"/>
  <c r="Z18" i="33" s="1"/>
  <c r="B27" i="17"/>
  <c r="C27" i="17"/>
  <c r="D27" i="17"/>
  <c r="E27" i="17"/>
  <c r="F27" i="17"/>
  <c r="K27" i="17"/>
  <c r="Y19" i="33" s="1"/>
  <c r="L27" i="17"/>
  <c r="Z19" i="33" s="1"/>
  <c r="B28" i="17"/>
  <c r="C28" i="17"/>
  <c r="D28" i="17"/>
  <c r="E28" i="17"/>
  <c r="F28" i="17"/>
  <c r="K28" i="17"/>
  <c r="Y20" i="33" s="1"/>
  <c r="L28" i="17"/>
  <c r="Z20" i="33" s="1"/>
  <c r="B29" i="17"/>
  <c r="C29" i="17"/>
  <c r="D29" i="17"/>
  <c r="E29" i="17"/>
  <c r="F29" i="17"/>
  <c r="K29" i="17"/>
  <c r="Y21" i="33" s="1"/>
  <c r="L29" i="17"/>
  <c r="Z21" i="33" s="1"/>
  <c r="B30" i="17"/>
  <c r="C30" i="17"/>
  <c r="D30" i="17"/>
  <c r="E30" i="17"/>
  <c r="F30" i="17"/>
  <c r="K30" i="17"/>
  <c r="Y22" i="33" s="1"/>
  <c r="L30" i="17"/>
  <c r="Z22" i="33" s="1"/>
  <c r="B31" i="17"/>
  <c r="C31" i="17"/>
  <c r="D31" i="17"/>
  <c r="E31" i="17"/>
  <c r="F31" i="17"/>
  <c r="K31" i="17"/>
  <c r="Y23" i="33" s="1"/>
  <c r="L31" i="17"/>
  <c r="Z23" i="33" s="1"/>
  <c r="B32" i="17"/>
  <c r="C32" i="17"/>
  <c r="D32" i="17"/>
  <c r="E32" i="17"/>
  <c r="F32" i="17"/>
  <c r="K32" i="17"/>
  <c r="Y24" i="33" s="1"/>
  <c r="L32" i="17"/>
  <c r="Z24" i="33" s="1"/>
  <c r="B33" i="17"/>
  <c r="C33" i="17"/>
  <c r="D33" i="17"/>
  <c r="E33" i="17"/>
  <c r="F33" i="17"/>
  <c r="K33" i="17"/>
  <c r="Y25" i="33" s="1"/>
  <c r="L33" i="17"/>
  <c r="Z25" i="33" s="1"/>
  <c r="B34" i="17"/>
  <c r="C34" i="17"/>
  <c r="D34" i="17"/>
  <c r="E34" i="17"/>
  <c r="F34" i="17"/>
  <c r="K34" i="17"/>
  <c r="Y26" i="33" s="1"/>
  <c r="L34" i="17"/>
  <c r="Z26" i="33" s="1"/>
  <c r="B35" i="17"/>
  <c r="C35" i="17"/>
  <c r="D35" i="17"/>
  <c r="E35" i="17"/>
  <c r="F35" i="17"/>
  <c r="K35" i="17"/>
  <c r="Y27" i="33" s="1"/>
  <c r="L35" i="17"/>
  <c r="Z27" i="33" s="1"/>
  <c r="B36" i="17"/>
  <c r="C36" i="17"/>
  <c r="D36" i="17"/>
  <c r="E36" i="17"/>
  <c r="F36" i="17"/>
  <c r="K36" i="17"/>
  <c r="Y28" i="33" s="1"/>
  <c r="L36" i="17"/>
  <c r="Z28" i="33" s="1"/>
  <c r="B37" i="17"/>
  <c r="C37" i="17"/>
  <c r="D37" i="17"/>
  <c r="E37" i="17"/>
  <c r="F37" i="17"/>
  <c r="K37" i="17"/>
  <c r="Y29" i="33" s="1"/>
  <c r="L37" i="17"/>
  <c r="Z29" i="33" s="1"/>
  <c r="B38" i="17"/>
  <c r="C38" i="17"/>
  <c r="D38" i="17"/>
  <c r="E38" i="17"/>
  <c r="F38" i="17"/>
  <c r="K38" i="17"/>
  <c r="Y30" i="33" s="1"/>
  <c r="L38" i="17"/>
  <c r="Z30" i="33" s="1"/>
  <c r="B39" i="17"/>
  <c r="C39" i="17"/>
  <c r="D39" i="17"/>
  <c r="E39" i="17"/>
  <c r="F39" i="17"/>
  <c r="K39" i="17"/>
  <c r="Y31" i="33" s="1"/>
  <c r="L39" i="17"/>
  <c r="Z31" i="33" s="1"/>
  <c r="B40" i="17"/>
  <c r="C40" i="17"/>
  <c r="D40" i="17"/>
  <c r="E40" i="17"/>
  <c r="F40" i="17"/>
  <c r="K40" i="17"/>
  <c r="Y32" i="33" s="1"/>
  <c r="L40" i="17"/>
  <c r="Z32" i="33" s="1"/>
  <c r="B41" i="17"/>
  <c r="C41" i="17"/>
  <c r="D41" i="17"/>
  <c r="E41" i="17"/>
  <c r="F41" i="17"/>
  <c r="G41" i="17"/>
  <c r="H41" i="17"/>
  <c r="K41" i="17"/>
  <c r="Y33" i="33" s="1"/>
  <c r="L41" i="17"/>
  <c r="Z33" i="33" s="1"/>
  <c r="B42" i="17"/>
  <c r="C42" i="17"/>
  <c r="D42" i="17"/>
  <c r="E42" i="17"/>
  <c r="F42" i="17"/>
  <c r="K42" i="17"/>
  <c r="Y34" i="33" s="1"/>
  <c r="L42" i="17"/>
  <c r="Z34" i="33" s="1"/>
  <c r="B43" i="17"/>
  <c r="C43" i="17"/>
  <c r="D43" i="17"/>
  <c r="E43" i="17"/>
  <c r="F43" i="17"/>
  <c r="K43" i="17"/>
  <c r="Y35" i="33" s="1"/>
  <c r="L43" i="17"/>
  <c r="Z35" i="33" s="1"/>
  <c r="B44" i="17"/>
  <c r="C44" i="17"/>
  <c r="D44" i="17"/>
  <c r="E44" i="17"/>
  <c r="F44" i="17"/>
  <c r="K44" i="17"/>
  <c r="Y36" i="33" s="1"/>
  <c r="L44" i="17"/>
  <c r="Z36" i="33" s="1"/>
  <c r="B45" i="17"/>
  <c r="C45" i="17"/>
  <c r="D45" i="17"/>
  <c r="E45" i="17"/>
  <c r="F45" i="17"/>
  <c r="K45" i="17"/>
  <c r="Y37" i="33" s="1"/>
  <c r="L45" i="17"/>
  <c r="Z37" i="33" s="1"/>
  <c r="B46" i="17"/>
  <c r="C46" i="17"/>
  <c r="D46" i="17"/>
  <c r="E46" i="17"/>
  <c r="F46" i="17"/>
  <c r="K46" i="17"/>
  <c r="Y38" i="33" s="1"/>
  <c r="L46" i="17"/>
  <c r="Z38" i="33" s="1"/>
  <c r="B47" i="17"/>
  <c r="C47" i="17"/>
  <c r="D47" i="17"/>
  <c r="E47" i="17"/>
  <c r="F47" i="17"/>
  <c r="K47" i="17"/>
  <c r="Y39" i="33" s="1"/>
  <c r="L47" i="17"/>
  <c r="Z39" i="33" s="1"/>
  <c r="B48" i="17"/>
  <c r="C48" i="17"/>
  <c r="D48" i="17"/>
  <c r="E48" i="17"/>
  <c r="F48" i="17"/>
  <c r="K48" i="17"/>
  <c r="Y40" i="33" s="1"/>
  <c r="L48" i="17"/>
  <c r="Z40" i="33" s="1"/>
  <c r="B49" i="17"/>
  <c r="C49" i="17"/>
  <c r="D49" i="17"/>
  <c r="E49" i="17"/>
  <c r="F49" i="17"/>
  <c r="K49" i="17"/>
  <c r="Y41" i="33" s="1"/>
  <c r="L49" i="17"/>
  <c r="Z41" i="33" s="1"/>
  <c r="B50" i="17"/>
  <c r="C50" i="17"/>
  <c r="D50" i="17"/>
  <c r="E50" i="17"/>
  <c r="F50" i="17"/>
  <c r="K50" i="17"/>
  <c r="Y42" i="33" s="1"/>
  <c r="L50" i="17"/>
  <c r="Z42" i="33" s="1"/>
  <c r="B51" i="17"/>
  <c r="C51" i="17"/>
  <c r="D51" i="17"/>
  <c r="E51" i="17"/>
  <c r="F51" i="17"/>
  <c r="K51" i="17"/>
  <c r="Y43" i="33" s="1"/>
  <c r="L51" i="17"/>
  <c r="Z43" i="33" s="1"/>
  <c r="B52" i="17"/>
  <c r="C52" i="17"/>
  <c r="D52" i="17"/>
  <c r="E52" i="17"/>
  <c r="F52" i="17"/>
  <c r="K52" i="17"/>
  <c r="Y44" i="33" s="1"/>
  <c r="L52" i="17"/>
  <c r="Z44" i="33" s="1"/>
  <c r="B53" i="17"/>
  <c r="C53" i="17"/>
  <c r="D53" i="17"/>
  <c r="E53" i="17"/>
  <c r="F53" i="17"/>
  <c r="K53" i="17"/>
  <c r="Y45" i="33" s="1"/>
  <c r="L53" i="17"/>
  <c r="Z45" i="33" s="1"/>
  <c r="B54" i="17"/>
  <c r="C54" i="17"/>
  <c r="D54" i="17"/>
  <c r="E54" i="17"/>
  <c r="F54" i="17"/>
  <c r="K54" i="17"/>
  <c r="Y46" i="33" s="1"/>
  <c r="L54" i="17"/>
  <c r="Z46" i="33" s="1"/>
  <c r="B55" i="17"/>
  <c r="C55" i="17"/>
  <c r="D55" i="17"/>
  <c r="E55" i="17"/>
  <c r="F55" i="17"/>
  <c r="G55" i="17"/>
  <c r="H55" i="17"/>
  <c r="K55" i="17"/>
  <c r="Y47" i="33" s="1"/>
  <c r="L55" i="17"/>
  <c r="Z47" i="33" s="1"/>
  <c r="B56" i="17"/>
  <c r="C56" i="17"/>
  <c r="D56" i="17"/>
  <c r="E56" i="17"/>
  <c r="F56" i="17"/>
  <c r="G56" i="17"/>
  <c r="H56" i="17"/>
  <c r="K56" i="17"/>
  <c r="Y48" i="33" s="1"/>
  <c r="L56" i="17"/>
  <c r="Z48" i="33" s="1"/>
  <c r="B57" i="17"/>
  <c r="C57" i="17"/>
  <c r="D57" i="17"/>
  <c r="E57" i="17"/>
  <c r="F57" i="17"/>
  <c r="K57" i="17"/>
  <c r="Y49" i="33" s="1"/>
  <c r="L57" i="17"/>
  <c r="Z49" i="33" s="1"/>
  <c r="B58" i="17"/>
  <c r="C58" i="17"/>
  <c r="D58" i="17"/>
  <c r="E58" i="17"/>
  <c r="F58" i="17"/>
  <c r="K58" i="17"/>
  <c r="Y50" i="33" s="1"/>
  <c r="L58" i="17"/>
  <c r="Z50" i="33" s="1"/>
  <c r="B59" i="17"/>
  <c r="C59" i="17"/>
  <c r="D59" i="17"/>
  <c r="E59" i="17"/>
  <c r="F59" i="17"/>
  <c r="K59" i="17"/>
  <c r="Y51" i="33" s="1"/>
  <c r="L59" i="17"/>
  <c r="Z51" i="33" s="1"/>
  <c r="B60" i="17"/>
  <c r="C60" i="17"/>
  <c r="D60" i="17"/>
  <c r="E60" i="17"/>
  <c r="F60" i="17"/>
  <c r="K60" i="17"/>
  <c r="Y52" i="33" s="1"/>
  <c r="L60" i="17"/>
  <c r="Z52" i="33" s="1"/>
  <c r="B61" i="17"/>
  <c r="C61" i="17"/>
  <c r="D61" i="17"/>
  <c r="E61" i="17"/>
  <c r="F61" i="17"/>
  <c r="K61" i="17"/>
  <c r="Y53" i="33" s="1"/>
  <c r="L61" i="17"/>
  <c r="Z53" i="33" s="1"/>
  <c r="B62" i="17"/>
  <c r="C62" i="17"/>
  <c r="D62" i="17"/>
  <c r="E62" i="17"/>
  <c r="F62" i="17"/>
  <c r="K62" i="17"/>
  <c r="Y54" i="33" s="1"/>
  <c r="L62" i="17"/>
  <c r="Z54" i="33" s="1"/>
  <c r="B63" i="17"/>
  <c r="C63" i="17"/>
  <c r="D63" i="17"/>
  <c r="E63" i="17"/>
  <c r="F63" i="17"/>
  <c r="K63" i="17"/>
  <c r="Y55" i="33" s="1"/>
  <c r="L63" i="17"/>
  <c r="Z55" i="33" s="1"/>
  <c r="B64" i="17"/>
  <c r="C64" i="17"/>
  <c r="D64" i="17"/>
  <c r="E64" i="17"/>
  <c r="F64" i="17"/>
  <c r="K64" i="17"/>
  <c r="Y56" i="33" s="1"/>
  <c r="L64" i="17"/>
  <c r="Z56" i="33" s="1"/>
  <c r="B65" i="17"/>
  <c r="C65" i="17"/>
  <c r="D65" i="17"/>
  <c r="E65" i="17"/>
  <c r="F65" i="17"/>
  <c r="K65" i="17"/>
  <c r="Y57" i="33" s="1"/>
  <c r="L65" i="17"/>
  <c r="Z57" i="33" s="1"/>
  <c r="B66" i="17"/>
  <c r="C66" i="17"/>
  <c r="D66" i="17"/>
  <c r="E66" i="17"/>
  <c r="F66" i="17"/>
  <c r="K66" i="17"/>
  <c r="Y58" i="33" s="1"/>
  <c r="L66" i="17"/>
  <c r="Z58" i="33" s="1"/>
  <c r="B67" i="17"/>
  <c r="C67" i="17"/>
  <c r="D67" i="17"/>
  <c r="E67" i="17"/>
  <c r="F67" i="17"/>
  <c r="K67" i="17"/>
  <c r="Y59" i="33" s="1"/>
  <c r="L67" i="17"/>
  <c r="Z59" i="33" s="1"/>
  <c r="B68" i="17"/>
  <c r="C68" i="17"/>
  <c r="D68" i="17"/>
  <c r="E68" i="17"/>
  <c r="F68" i="17"/>
  <c r="G68" i="17"/>
  <c r="H68" i="17"/>
  <c r="K68" i="17"/>
  <c r="Y60" i="33" s="1"/>
  <c r="L68" i="17"/>
  <c r="Z60" i="33" s="1"/>
  <c r="B69" i="17"/>
  <c r="C69" i="17"/>
  <c r="D69" i="17"/>
  <c r="E69" i="17"/>
  <c r="F69" i="17"/>
  <c r="G69" i="17"/>
  <c r="H69" i="17"/>
  <c r="K69" i="17"/>
  <c r="Y61" i="33" s="1"/>
  <c r="L69" i="17"/>
  <c r="Z61" i="33" s="1"/>
  <c r="B70" i="17"/>
  <c r="C70" i="17"/>
  <c r="D70" i="17"/>
  <c r="E70" i="17"/>
  <c r="F70" i="17"/>
  <c r="G70" i="17"/>
  <c r="H70" i="17"/>
  <c r="K70" i="17"/>
  <c r="Y62" i="33" s="1"/>
  <c r="L70" i="17"/>
  <c r="Z62" i="33" s="1"/>
  <c r="B71" i="17"/>
  <c r="C71" i="17"/>
  <c r="D71" i="17"/>
  <c r="E71" i="17"/>
  <c r="F71" i="17"/>
  <c r="K71" i="17"/>
  <c r="Y63" i="33" s="1"/>
  <c r="L71" i="17"/>
  <c r="Z63" i="33" s="1"/>
  <c r="B72" i="17"/>
  <c r="C72" i="17"/>
  <c r="D72" i="17"/>
  <c r="E72" i="17"/>
  <c r="F72" i="17"/>
  <c r="K72" i="17"/>
  <c r="Y64" i="33" s="1"/>
  <c r="L72" i="17"/>
  <c r="Z64" i="33" s="1"/>
  <c r="B73" i="17"/>
  <c r="C73" i="17"/>
  <c r="D73" i="17"/>
  <c r="E73" i="17"/>
  <c r="F73" i="17"/>
  <c r="K73" i="17"/>
  <c r="Y65" i="33" s="1"/>
  <c r="L73" i="17"/>
  <c r="Z65" i="33" s="1"/>
  <c r="B74" i="17"/>
  <c r="C74" i="17"/>
  <c r="D74" i="17"/>
  <c r="E74" i="17"/>
  <c r="F74" i="17"/>
  <c r="K74" i="17"/>
  <c r="Y66" i="33" s="1"/>
  <c r="L74" i="17"/>
  <c r="Z66" i="33" s="1"/>
  <c r="B77" i="17"/>
  <c r="C77" i="17"/>
  <c r="D77" i="17"/>
  <c r="E77" i="17"/>
  <c r="F77" i="17"/>
  <c r="K77" i="17"/>
  <c r="Y69" i="33" s="1"/>
  <c r="L77" i="17"/>
  <c r="Z69" i="33" s="1"/>
  <c r="B78" i="17"/>
  <c r="C78" i="17"/>
  <c r="D78" i="17"/>
  <c r="E78" i="17"/>
  <c r="F78" i="17"/>
  <c r="K78" i="17"/>
  <c r="Y70" i="33" s="1"/>
  <c r="L78" i="17"/>
  <c r="Z70" i="33" s="1"/>
  <c r="B79" i="17"/>
  <c r="C79" i="17"/>
  <c r="D79" i="17"/>
  <c r="E79" i="17"/>
  <c r="F79" i="17"/>
  <c r="G79" i="17"/>
  <c r="H79" i="17"/>
  <c r="K79" i="17"/>
  <c r="Y71" i="33" s="1"/>
  <c r="L79" i="17"/>
  <c r="Z71" i="33" s="1"/>
  <c r="B80" i="17"/>
  <c r="C80" i="17"/>
  <c r="D80" i="17"/>
  <c r="E80" i="17"/>
  <c r="F80" i="17"/>
  <c r="K80" i="17"/>
  <c r="Y72" i="33" s="1"/>
  <c r="L80" i="17"/>
  <c r="Z72" i="33" s="1"/>
  <c r="B81" i="17"/>
  <c r="C81" i="17"/>
  <c r="D81" i="17"/>
  <c r="E81" i="17"/>
  <c r="F81" i="17"/>
  <c r="K81" i="17"/>
  <c r="Y73" i="33" s="1"/>
  <c r="L81" i="17"/>
  <c r="Z73" i="33" s="1"/>
  <c r="B82" i="17"/>
  <c r="C82" i="17"/>
  <c r="D82" i="17"/>
  <c r="E82" i="17"/>
  <c r="F82" i="17"/>
  <c r="G82" i="17"/>
  <c r="H82" i="17"/>
  <c r="K82" i="17"/>
  <c r="Y74" i="33" s="1"/>
  <c r="L82" i="17"/>
  <c r="Z74" i="33" s="1"/>
  <c r="B83" i="17"/>
  <c r="C83" i="17"/>
  <c r="D83" i="17"/>
  <c r="E83" i="17"/>
  <c r="F83" i="17"/>
  <c r="K83" i="17"/>
  <c r="Y75" i="33" s="1"/>
  <c r="L83" i="17"/>
  <c r="Z75" i="33" s="1"/>
  <c r="B84" i="17"/>
  <c r="C84" i="17"/>
  <c r="D84" i="17"/>
  <c r="E84" i="17"/>
  <c r="F84" i="17"/>
  <c r="K84" i="17"/>
  <c r="Y76" i="33" s="1"/>
  <c r="L84" i="17"/>
  <c r="Z76" i="33" s="1"/>
  <c r="B85" i="17"/>
  <c r="C85" i="17"/>
  <c r="D85" i="17"/>
  <c r="E85" i="17"/>
  <c r="F85" i="17"/>
  <c r="G85" i="17"/>
  <c r="H85" i="17"/>
  <c r="K85" i="17"/>
  <c r="Y77" i="33" s="1"/>
  <c r="L85" i="17"/>
  <c r="Z77" i="33" s="1"/>
  <c r="B86" i="17"/>
  <c r="C86" i="17"/>
  <c r="D86" i="17"/>
  <c r="E86" i="17"/>
  <c r="F86" i="17"/>
  <c r="K86" i="17"/>
  <c r="Y78" i="33" s="1"/>
  <c r="L86" i="17"/>
  <c r="Z78" i="33" s="1"/>
  <c r="B87" i="17"/>
  <c r="C87" i="17"/>
  <c r="D87" i="17"/>
  <c r="E87" i="17"/>
  <c r="F87" i="17"/>
  <c r="K87" i="17"/>
  <c r="Y79" i="33" s="1"/>
  <c r="L87" i="17"/>
  <c r="Z79" i="33" s="1"/>
  <c r="B88" i="17"/>
  <c r="C88" i="17"/>
  <c r="D88" i="17"/>
  <c r="E88" i="17"/>
  <c r="F88" i="17"/>
  <c r="K88" i="17"/>
  <c r="Y80" i="33" s="1"/>
  <c r="L88" i="17"/>
  <c r="Z80" i="33" s="1"/>
  <c r="B89" i="17"/>
  <c r="C89" i="17"/>
  <c r="D89" i="17"/>
  <c r="E89" i="17"/>
  <c r="F89" i="17"/>
  <c r="K89" i="17"/>
  <c r="Y81" i="33" s="1"/>
  <c r="L89" i="17"/>
  <c r="Z81" i="33" s="1"/>
  <c r="B90" i="17"/>
  <c r="C90" i="17"/>
  <c r="D90" i="17"/>
  <c r="E90" i="17"/>
  <c r="F90" i="17"/>
  <c r="K90" i="17"/>
  <c r="Y82" i="33" s="1"/>
  <c r="L90" i="17"/>
  <c r="Z82" i="33" s="1"/>
  <c r="B91" i="17"/>
  <c r="C91" i="17"/>
  <c r="D91" i="17"/>
  <c r="E91" i="17"/>
  <c r="F91" i="17"/>
  <c r="K91" i="17"/>
  <c r="Y83" i="33" s="1"/>
  <c r="L91" i="17"/>
  <c r="Z83" i="33" s="1"/>
  <c r="B92" i="17"/>
  <c r="C92" i="17"/>
  <c r="D92" i="17"/>
  <c r="E92" i="17"/>
  <c r="F92" i="17"/>
  <c r="K92" i="17"/>
  <c r="Y84" i="33" s="1"/>
  <c r="L92" i="17"/>
  <c r="Z84" i="33" s="1"/>
  <c r="B93" i="17"/>
  <c r="C93" i="17"/>
  <c r="D93" i="17"/>
  <c r="E93" i="17"/>
  <c r="F93" i="17"/>
  <c r="K93" i="17"/>
  <c r="Y85" i="33" s="1"/>
  <c r="L93" i="17"/>
  <c r="Z85" i="33" s="1"/>
  <c r="B94" i="17"/>
  <c r="C94" i="17"/>
  <c r="D94" i="17"/>
  <c r="E94" i="17"/>
  <c r="F94" i="17"/>
  <c r="G94" i="17"/>
  <c r="H94" i="17"/>
  <c r="K94" i="17"/>
  <c r="Y86" i="33" s="1"/>
  <c r="L94" i="17"/>
  <c r="Z86" i="33" s="1"/>
  <c r="B95" i="17"/>
  <c r="C95" i="17"/>
  <c r="D95" i="17"/>
  <c r="E95" i="17"/>
  <c r="F95" i="17"/>
  <c r="G95" i="17"/>
  <c r="H95" i="17"/>
  <c r="K95" i="17"/>
  <c r="Y87" i="33" s="1"/>
  <c r="L95" i="17"/>
  <c r="Z87" i="33" s="1"/>
  <c r="B96" i="17"/>
  <c r="C96" i="17"/>
  <c r="D96" i="17"/>
  <c r="E96" i="17"/>
  <c r="F96" i="17"/>
  <c r="G96" i="17"/>
  <c r="H96" i="17"/>
  <c r="K96" i="17"/>
  <c r="Y88" i="33" s="1"/>
  <c r="L96" i="17"/>
  <c r="Z88" i="33" s="1"/>
  <c r="B97" i="17"/>
  <c r="C97" i="17"/>
  <c r="D97" i="17"/>
  <c r="E97" i="17"/>
  <c r="F97" i="17"/>
  <c r="G97" i="17"/>
  <c r="H97" i="17"/>
  <c r="K97" i="17"/>
  <c r="Y89" i="33" s="1"/>
  <c r="L97" i="17"/>
  <c r="Z89" i="33" s="1"/>
  <c r="B100" i="17"/>
  <c r="F100" i="17"/>
  <c r="B101" i="17"/>
  <c r="F101" i="17"/>
  <c r="X93" i="33"/>
  <c r="B102" i="17"/>
  <c r="F102" i="17"/>
  <c r="X94" i="33"/>
  <c r="B103" i="17"/>
  <c r="F103" i="17"/>
  <c r="B104" i="17"/>
  <c r="F104" i="17"/>
  <c r="X96" i="33"/>
  <c r="B105" i="17"/>
  <c r="F105" i="17"/>
  <c r="B106" i="17"/>
  <c r="F106" i="17"/>
  <c r="B107" i="17"/>
  <c r="F107" i="17"/>
  <c r="X99" i="33"/>
  <c r="B108" i="17"/>
  <c r="F108" i="17"/>
  <c r="B109" i="17"/>
  <c r="F109" i="17"/>
  <c r="B110" i="17"/>
  <c r="F110" i="17"/>
  <c r="X102" i="33"/>
  <c r="B111" i="17"/>
  <c r="F111" i="17"/>
  <c r="X103" i="33"/>
  <c r="B112" i="17"/>
  <c r="F112" i="17"/>
  <c r="B113" i="17"/>
  <c r="F113" i="17"/>
  <c r="X105" i="33"/>
  <c r="B114" i="17"/>
  <c r="F114" i="17"/>
  <c r="X106" i="33"/>
  <c r="B115" i="17"/>
  <c r="F115" i="17"/>
  <c r="B116" i="17"/>
  <c r="F116" i="17"/>
  <c r="B117" i="17"/>
  <c r="F117" i="17"/>
  <c r="X109" i="33"/>
  <c r="B118" i="17"/>
  <c r="F118" i="17"/>
  <c r="X110" i="33"/>
  <c r="B119" i="17"/>
  <c r="F119" i="17"/>
  <c r="B120" i="17"/>
  <c r="F120" i="17"/>
  <c r="B121" i="17"/>
  <c r="F121" i="17"/>
  <c r="B122" i="17"/>
  <c r="F122" i="17"/>
  <c r="B123" i="17"/>
  <c r="F123" i="17"/>
  <c r="X115" i="33"/>
  <c r="B124" i="17"/>
  <c r="F124" i="17"/>
  <c r="B125" i="17"/>
  <c r="F125" i="17"/>
  <c r="B126" i="17"/>
  <c r="F126" i="17"/>
  <c r="B127" i="17"/>
  <c r="F127" i="17"/>
  <c r="X119" i="33"/>
  <c r="B128" i="17"/>
  <c r="F128" i="17"/>
  <c r="B129" i="17"/>
  <c r="F129" i="17"/>
  <c r="X121" i="33"/>
  <c r="B130" i="17"/>
  <c r="F130" i="17"/>
  <c r="B131" i="17"/>
  <c r="F131" i="17"/>
  <c r="B132" i="17"/>
  <c r="F132" i="17"/>
  <c r="B133" i="17"/>
  <c r="F133" i="17"/>
  <c r="X125" i="33"/>
  <c r="B134" i="17"/>
  <c r="F134" i="17"/>
  <c r="B135" i="17"/>
  <c r="F135" i="17"/>
  <c r="B136" i="17"/>
  <c r="F136" i="17"/>
  <c r="B137" i="17"/>
  <c r="F137" i="17"/>
  <c r="B138" i="17"/>
  <c r="F138" i="17"/>
  <c r="B139" i="17"/>
  <c r="F139" i="17"/>
  <c r="B140" i="17"/>
  <c r="F140" i="17"/>
  <c r="B141" i="17"/>
  <c r="F141" i="17"/>
  <c r="B142" i="17"/>
  <c r="F142" i="17"/>
  <c r="B143" i="17"/>
  <c r="F143" i="17"/>
  <c r="B144" i="17"/>
  <c r="F144" i="17"/>
  <c r="B147" i="17"/>
  <c r="C147" i="17"/>
  <c r="D147" i="17"/>
  <c r="E147" i="17"/>
  <c r="B148" i="17"/>
  <c r="C148" i="17"/>
  <c r="D148" i="17"/>
  <c r="E148" i="17"/>
  <c r="J148" i="17"/>
  <c r="X140" i="33" s="1"/>
  <c r="B149" i="17"/>
  <c r="C149" i="17"/>
  <c r="D149" i="17"/>
  <c r="E149" i="17"/>
  <c r="J149" i="17"/>
  <c r="X141" i="33" s="1"/>
  <c r="B150" i="17"/>
  <c r="C150" i="17"/>
  <c r="D150" i="17"/>
  <c r="E150" i="17"/>
  <c r="J150" i="17"/>
  <c r="X142" i="33" s="1"/>
  <c r="B151" i="17"/>
  <c r="C151" i="17"/>
  <c r="D151" i="17"/>
  <c r="E151" i="17"/>
  <c r="J151" i="17"/>
  <c r="X143" i="33" s="1"/>
  <c r="B152" i="17"/>
  <c r="C152" i="17"/>
  <c r="D152" i="17"/>
  <c r="E152" i="17"/>
  <c r="J152" i="17"/>
  <c r="X144" i="33" s="1"/>
  <c r="B153" i="17"/>
  <c r="C153" i="17"/>
  <c r="D153" i="17"/>
  <c r="E153" i="17"/>
  <c r="J153" i="17"/>
  <c r="X145" i="33" s="1"/>
  <c r="B154" i="17"/>
  <c r="C154" i="17"/>
  <c r="D154" i="17"/>
  <c r="E154" i="17"/>
  <c r="J154" i="17"/>
  <c r="X146" i="33" s="1"/>
  <c r="B155" i="17"/>
  <c r="C155" i="17"/>
  <c r="D155" i="17"/>
  <c r="E155" i="17"/>
  <c r="J155" i="17"/>
  <c r="X147" i="33" s="1"/>
  <c r="B156" i="17"/>
  <c r="C156" i="17"/>
  <c r="D156" i="17"/>
  <c r="E156" i="17"/>
  <c r="J156" i="17"/>
  <c r="X148" i="33" s="1"/>
  <c r="B157" i="17"/>
  <c r="C157" i="17"/>
  <c r="D157" i="17"/>
  <c r="E157" i="17"/>
  <c r="J157" i="17"/>
  <c r="X149" i="33" s="1"/>
  <c r="B158" i="17"/>
  <c r="C158" i="17"/>
  <c r="D158" i="17"/>
  <c r="E158" i="17"/>
  <c r="J158" i="17"/>
  <c r="X150" i="33" s="1"/>
  <c r="B159" i="17"/>
  <c r="C159" i="17"/>
  <c r="D159" i="17"/>
  <c r="E159" i="17"/>
  <c r="F159" i="17"/>
  <c r="G159" i="17"/>
  <c r="H159" i="17"/>
  <c r="J159" i="17"/>
  <c r="X151" i="33" s="1"/>
  <c r="B160" i="17"/>
  <c r="C160" i="17"/>
  <c r="D160" i="17"/>
  <c r="E160" i="17"/>
  <c r="J160" i="17"/>
  <c r="X152" i="33" s="1"/>
  <c r="B161" i="17"/>
  <c r="C161" i="17"/>
  <c r="D161" i="17"/>
  <c r="E161" i="17"/>
  <c r="J161" i="17"/>
  <c r="X153" i="33" s="1"/>
  <c r="B162" i="17"/>
  <c r="C162" i="17"/>
  <c r="D162" i="17"/>
  <c r="E162" i="17"/>
  <c r="J162" i="17"/>
  <c r="X154" i="33" s="1"/>
  <c r="B163" i="17"/>
  <c r="C163" i="17"/>
  <c r="D163" i="17"/>
  <c r="E163" i="17"/>
  <c r="J163" i="17"/>
  <c r="X155" i="33" s="1"/>
  <c r="B164" i="17"/>
  <c r="C164" i="17"/>
  <c r="D164" i="17"/>
  <c r="E164" i="17"/>
  <c r="J164" i="17"/>
  <c r="X156" i="33" s="1"/>
  <c r="B165" i="17"/>
  <c r="C165" i="17"/>
  <c r="D165" i="17"/>
  <c r="E165" i="17"/>
  <c r="J165" i="17"/>
  <c r="X157" i="33" s="1"/>
  <c r="B166" i="17"/>
  <c r="C166" i="17"/>
  <c r="D166" i="17"/>
  <c r="E166" i="17"/>
  <c r="J166" i="17"/>
  <c r="X158" i="33" s="1"/>
  <c r="B167" i="17"/>
  <c r="C167" i="17"/>
  <c r="D167" i="17"/>
  <c r="E167" i="17"/>
  <c r="J167" i="17"/>
  <c r="X159" i="33" s="1"/>
  <c r="B168" i="17"/>
  <c r="C168" i="17"/>
  <c r="D168" i="17"/>
  <c r="E168" i="17"/>
  <c r="J168" i="17"/>
  <c r="X160" i="33" s="1"/>
  <c r="B169" i="17"/>
  <c r="C169" i="17"/>
  <c r="D169" i="17"/>
  <c r="E169" i="17"/>
  <c r="J169" i="17"/>
  <c r="X161" i="33" s="1"/>
  <c r="B170" i="17"/>
  <c r="C170" i="17"/>
  <c r="D170" i="17"/>
  <c r="E170" i="17"/>
  <c r="J170" i="17"/>
  <c r="X162" i="33" s="1"/>
  <c r="B171" i="17"/>
  <c r="C171" i="17"/>
  <c r="D171" i="17"/>
  <c r="E171" i="17"/>
  <c r="J171" i="17"/>
  <c r="X163" i="33" s="1"/>
  <c r="B172" i="17"/>
  <c r="C172" i="17"/>
  <c r="D172" i="17"/>
  <c r="E172" i="17"/>
  <c r="J172" i="17"/>
  <c r="X164" i="33" s="1"/>
  <c r="B173" i="17"/>
  <c r="C173" i="17"/>
  <c r="D173" i="17"/>
  <c r="E173" i="17"/>
  <c r="J173" i="17"/>
  <c r="X165" i="33" s="1"/>
  <c r="B174" i="17"/>
  <c r="C174" i="17"/>
  <c r="D174" i="17"/>
  <c r="E174" i="17"/>
  <c r="J174" i="17"/>
  <c r="X166" i="33" s="1"/>
  <c r="B175" i="17"/>
  <c r="C175" i="17"/>
  <c r="D175" i="17"/>
  <c r="E175" i="17"/>
  <c r="J175" i="17"/>
  <c r="X167" i="33" s="1"/>
  <c r="B176" i="17"/>
  <c r="C176" i="17"/>
  <c r="D176" i="17"/>
  <c r="E176" i="17"/>
  <c r="F176" i="17"/>
  <c r="G176" i="17"/>
  <c r="H176" i="17"/>
  <c r="J176" i="17"/>
  <c r="X168" i="33" s="1"/>
  <c r="B177" i="17"/>
  <c r="C177" i="17"/>
  <c r="D177" i="17"/>
  <c r="E177" i="17"/>
  <c r="F177" i="17"/>
  <c r="G177" i="17"/>
  <c r="H177" i="17"/>
  <c r="J177" i="17"/>
  <c r="X169" i="33" s="1"/>
  <c r="B178" i="17"/>
  <c r="C178" i="17"/>
  <c r="D178" i="17"/>
  <c r="E178" i="17"/>
  <c r="F178" i="17"/>
  <c r="G178" i="17"/>
  <c r="H178" i="17"/>
  <c r="J178" i="17"/>
  <c r="X170" i="33" s="1"/>
  <c r="B179" i="17"/>
  <c r="C179" i="17"/>
  <c r="D179" i="17"/>
  <c r="E179" i="17"/>
  <c r="F179" i="17"/>
  <c r="G179" i="17"/>
  <c r="H179" i="17"/>
  <c r="J179" i="17"/>
  <c r="X171" i="33" s="1"/>
  <c r="B180" i="17"/>
  <c r="C180" i="17"/>
  <c r="D180" i="17"/>
  <c r="E180" i="17"/>
  <c r="J180" i="17"/>
  <c r="X172" i="33" s="1"/>
  <c r="B181" i="17"/>
  <c r="C181" i="17"/>
  <c r="D181" i="17"/>
  <c r="E181" i="17"/>
  <c r="J181" i="17"/>
  <c r="X173" i="33" s="1"/>
  <c r="B182" i="17"/>
  <c r="C182" i="17"/>
  <c r="D182" i="17"/>
  <c r="E182" i="17"/>
  <c r="F182" i="17"/>
  <c r="G182" i="17"/>
  <c r="H182" i="17"/>
  <c r="J182" i="17"/>
  <c r="X174" i="33" s="1"/>
  <c r="B183" i="17"/>
  <c r="C183" i="17"/>
  <c r="D183" i="17"/>
  <c r="E183" i="17"/>
  <c r="F183" i="17"/>
  <c r="G183" i="17"/>
  <c r="H183" i="17"/>
  <c r="J183" i="17"/>
  <c r="X175" i="33" s="1"/>
  <c r="B184" i="17"/>
  <c r="C184" i="17"/>
  <c r="D184" i="17"/>
  <c r="E184" i="17"/>
  <c r="J184" i="17"/>
  <c r="X176" i="33" s="1"/>
  <c r="B185" i="17"/>
  <c r="C185" i="17"/>
  <c r="D185" i="17"/>
  <c r="E185" i="17"/>
  <c r="J185" i="17"/>
  <c r="X177" i="33" s="1"/>
  <c r="B186" i="17"/>
  <c r="C186" i="17"/>
  <c r="D186" i="17"/>
  <c r="E186" i="17"/>
  <c r="J186" i="17"/>
  <c r="X178" i="33" s="1"/>
  <c r="B187" i="17"/>
  <c r="C187" i="17"/>
  <c r="D187" i="17"/>
  <c r="E187" i="17"/>
  <c r="J187" i="17"/>
  <c r="X179" i="33" s="1"/>
  <c r="B188" i="17"/>
  <c r="C188" i="17"/>
  <c r="D188" i="17"/>
  <c r="E188" i="17"/>
  <c r="J188" i="17"/>
  <c r="X180" i="33" s="1"/>
  <c r="B189" i="17"/>
  <c r="C189" i="17"/>
  <c r="D189" i="17"/>
  <c r="E189" i="17"/>
  <c r="J189" i="17"/>
  <c r="X181" i="33" s="1"/>
  <c r="B190" i="17"/>
  <c r="C190" i="17"/>
  <c r="D190" i="17"/>
  <c r="E190" i="17"/>
  <c r="J190" i="17"/>
  <c r="X182" i="33" s="1"/>
  <c r="B191" i="17"/>
  <c r="C191" i="17"/>
  <c r="D191" i="17"/>
  <c r="E191" i="17"/>
  <c r="J191" i="17"/>
  <c r="X183" i="33" s="1"/>
  <c r="B192" i="17"/>
  <c r="C192" i="17"/>
  <c r="D192" i="17"/>
  <c r="E192" i="17"/>
  <c r="J192" i="17"/>
  <c r="X184" i="33" s="1"/>
  <c r="B193" i="17"/>
  <c r="C193" i="17"/>
  <c r="D193" i="17"/>
  <c r="E193" i="17"/>
  <c r="J193" i="17"/>
  <c r="X185" i="33" s="1"/>
  <c r="B194" i="17"/>
  <c r="C194" i="17"/>
  <c r="D194" i="17"/>
  <c r="E194" i="17"/>
  <c r="J194" i="17"/>
  <c r="X186" i="33" s="1"/>
  <c r="B195" i="17"/>
  <c r="C195" i="17"/>
  <c r="D195" i="17"/>
  <c r="E195" i="17"/>
  <c r="F195" i="17"/>
  <c r="G195" i="17"/>
  <c r="H195" i="17"/>
  <c r="J195" i="17"/>
  <c r="X187" i="33" s="1"/>
  <c r="B196" i="17"/>
  <c r="C196" i="17"/>
  <c r="D196" i="17"/>
  <c r="E196" i="17"/>
  <c r="J196" i="17"/>
  <c r="X188" i="33" s="1"/>
  <c r="B197" i="17"/>
  <c r="C197" i="17"/>
  <c r="D197" i="17"/>
  <c r="E197" i="17"/>
  <c r="J197" i="17"/>
  <c r="X189" i="33" s="1"/>
  <c r="B198" i="17"/>
  <c r="C198" i="17"/>
  <c r="D198" i="17"/>
  <c r="E198" i="17"/>
  <c r="J198" i="17"/>
  <c r="X190" i="33" s="1"/>
  <c r="B199" i="17"/>
  <c r="C199" i="17"/>
  <c r="D199" i="17"/>
  <c r="E199" i="17"/>
  <c r="F199" i="17"/>
  <c r="G199" i="17"/>
  <c r="H199" i="17"/>
  <c r="J199" i="17"/>
  <c r="X191" i="33" s="1"/>
  <c r="B200" i="17"/>
  <c r="C200" i="17"/>
  <c r="D200" i="17"/>
  <c r="E200" i="17"/>
  <c r="F200" i="17"/>
  <c r="G200" i="17"/>
  <c r="H200" i="17"/>
  <c r="J200" i="17"/>
  <c r="X192" i="33" s="1"/>
  <c r="B201" i="17"/>
  <c r="C201" i="17"/>
  <c r="D201" i="17"/>
  <c r="E201" i="17"/>
  <c r="J201" i="17"/>
  <c r="X193" i="33" s="1"/>
  <c r="B202" i="17"/>
  <c r="C202" i="17"/>
  <c r="D202" i="17"/>
  <c r="E202" i="17"/>
  <c r="J202" i="17"/>
  <c r="X194" i="33" s="1"/>
  <c r="B203" i="17"/>
  <c r="C203" i="17"/>
  <c r="D203" i="17"/>
  <c r="E203" i="17"/>
  <c r="J203" i="17"/>
  <c r="X195" i="33" s="1"/>
  <c r="B204" i="17"/>
  <c r="C204" i="17"/>
  <c r="D204" i="17"/>
  <c r="E204" i="17"/>
  <c r="J204" i="17"/>
  <c r="X196" i="33" s="1"/>
  <c r="B205" i="17"/>
  <c r="C205" i="17"/>
  <c r="D205" i="17"/>
  <c r="E205" i="17"/>
  <c r="J205" i="17"/>
  <c r="X197" i="33" s="1"/>
  <c r="B206" i="17"/>
  <c r="C206" i="17"/>
  <c r="D206" i="17"/>
  <c r="E206" i="17"/>
  <c r="J206" i="17"/>
  <c r="X198" i="33" s="1"/>
  <c r="B207" i="17"/>
  <c r="C207" i="17"/>
  <c r="D207" i="17"/>
  <c r="E207" i="17"/>
  <c r="J207" i="17"/>
  <c r="X199" i="33" s="1"/>
  <c r="B208" i="17"/>
  <c r="C208" i="17"/>
  <c r="D208" i="17"/>
  <c r="E208" i="17"/>
  <c r="J208" i="17"/>
  <c r="X200" i="33" s="1"/>
  <c r="B209" i="17"/>
  <c r="C209" i="17"/>
  <c r="D209" i="17"/>
  <c r="E209" i="17"/>
  <c r="J209" i="17"/>
  <c r="X201" i="33" s="1"/>
  <c r="B210" i="17"/>
  <c r="C210" i="17"/>
  <c r="D210" i="17"/>
  <c r="E210" i="17"/>
  <c r="J210" i="17"/>
  <c r="X202" i="33" s="1"/>
  <c r="B211" i="17"/>
  <c r="C211" i="17"/>
  <c r="D211" i="17"/>
  <c r="E211" i="17"/>
  <c r="J211" i="17"/>
  <c r="X203" i="33" s="1"/>
  <c r="B212" i="17"/>
  <c r="C212" i="17"/>
  <c r="D212" i="17"/>
  <c r="E212" i="17"/>
  <c r="J212" i="17"/>
  <c r="X204" i="33" s="1"/>
  <c r="B213" i="17"/>
  <c r="C213" i="17"/>
  <c r="D213" i="17"/>
  <c r="E213" i="17"/>
  <c r="J213" i="17"/>
  <c r="X205" i="33" s="1"/>
  <c r="B214" i="17"/>
  <c r="C214" i="17"/>
  <c r="D214" i="17"/>
  <c r="E214" i="17"/>
  <c r="J214" i="17"/>
  <c r="X206" i="33" s="1"/>
  <c r="I216" i="17"/>
  <c r="I294" i="17"/>
  <c r="I314" i="17"/>
  <c r="I340" i="17"/>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53" i="2"/>
  <c r="W353" i="2"/>
  <c r="V353" i="2"/>
  <c r="U353" i="2"/>
  <c r="T353" i="2"/>
  <c r="A355" i="2"/>
  <c r="B355" i="2"/>
  <c r="A356" i="2"/>
  <c r="B356" i="2"/>
  <c r="A357" i="2"/>
  <c r="B357" i="2"/>
  <c r="A358" i="2"/>
  <c r="B358" i="2"/>
  <c r="A359" i="2"/>
  <c r="B359" i="2"/>
  <c r="A360" i="2"/>
  <c r="B360" i="2"/>
  <c r="A361" i="2"/>
  <c r="B361" i="2"/>
  <c r="A362" i="2"/>
  <c r="B362" i="2"/>
  <c r="A363" i="2"/>
  <c r="B363" i="2"/>
  <c r="A364" i="2"/>
  <c r="B364" i="2"/>
  <c r="A365" i="2"/>
  <c r="B365" i="2"/>
  <c r="A366" i="2"/>
  <c r="B366" i="2"/>
  <c r="A367" i="2"/>
  <c r="B367" i="2"/>
  <c r="A368" i="2"/>
  <c r="B368" i="2"/>
  <c r="A369" i="2"/>
  <c r="B369" i="2"/>
  <c r="A370" i="2"/>
  <c r="B370" i="2"/>
  <c r="A371" i="2"/>
  <c r="B371" i="2"/>
  <c r="A372" i="2"/>
  <c r="B372" i="2"/>
  <c r="A373" i="2"/>
  <c r="B373" i="2"/>
  <c r="A374" i="2"/>
  <c r="B374" i="2"/>
  <c r="A375" i="2"/>
  <c r="B375" i="2"/>
  <c r="A376" i="2"/>
  <c r="B376" i="2"/>
  <c r="A377" i="2"/>
  <c r="B377" i="2"/>
  <c r="A378" i="2"/>
  <c r="B378" i="2"/>
  <c r="A379" i="2"/>
  <c r="B379" i="2"/>
  <c r="A380" i="2"/>
  <c r="B380" i="2"/>
  <c r="A381" i="2"/>
  <c r="B381" i="2"/>
  <c r="A382" i="2"/>
  <c r="B382" i="2"/>
  <c r="A383" i="2"/>
  <c r="B383" i="2"/>
  <c r="A384" i="2"/>
  <c r="B384" i="2"/>
  <c r="A385" i="2"/>
  <c r="B385" i="2"/>
  <c r="A386" i="2"/>
  <c r="B386" i="2"/>
  <c r="A387" i="2"/>
  <c r="B387" i="2"/>
  <c r="A388" i="2"/>
  <c r="B388" i="2"/>
  <c r="A389" i="2"/>
  <c r="B389" i="2"/>
  <c r="B354" i="2"/>
  <c r="A354" i="2"/>
  <c r="D389" i="2"/>
  <c r="E389" i="2"/>
  <c r="F389" i="2"/>
  <c r="G389"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54" i="2"/>
  <c r="E355" i="2"/>
  <c r="F355" i="2"/>
  <c r="G355" i="2"/>
  <c r="E356" i="2"/>
  <c r="F356" i="2"/>
  <c r="G356" i="2"/>
  <c r="E357" i="2"/>
  <c r="F357" i="2"/>
  <c r="G357" i="2"/>
  <c r="E358" i="2"/>
  <c r="F358" i="2"/>
  <c r="G358" i="2"/>
  <c r="E359" i="2"/>
  <c r="F359" i="2"/>
  <c r="G359" i="2"/>
  <c r="E360" i="2"/>
  <c r="F360" i="2"/>
  <c r="G360" i="2"/>
  <c r="E361" i="2"/>
  <c r="F361" i="2"/>
  <c r="G361" i="2"/>
  <c r="E362" i="2"/>
  <c r="F362" i="2"/>
  <c r="G362" i="2"/>
  <c r="E363" i="2"/>
  <c r="F363" i="2"/>
  <c r="G363" i="2"/>
  <c r="E364" i="2"/>
  <c r="F364" i="2"/>
  <c r="G364" i="2"/>
  <c r="E365" i="2"/>
  <c r="F365" i="2"/>
  <c r="G365" i="2"/>
  <c r="E366" i="2"/>
  <c r="F366" i="2"/>
  <c r="G366" i="2"/>
  <c r="E367" i="2"/>
  <c r="F367" i="2"/>
  <c r="G367" i="2"/>
  <c r="E368" i="2"/>
  <c r="F368" i="2"/>
  <c r="G368" i="2"/>
  <c r="E369" i="2"/>
  <c r="F369" i="2"/>
  <c r="G369" i="2"/>
  <c r="E370" i="2"/>
  <c r="F370" i="2"/>
  <c r="G370" i="2"/>
  <c r="E371" i="2"/>
  <c r="F371" i="2"/>
  <c r="G371" i="2"/>
  <c r="E372" i="2"/>
  <c r="F372" i="2"/>
  <c r="G372" i="2"/>
  <c r="E373" i="2"/>
  <c r="F373" i="2"/>
  <c r="G373" i="2"/>
  <c r="E374" i="2"/>
  <c r="F374" i="2"/>
  <c r="G374" i="2"/>
  <c r="E375" i="2"/>
  <c r="F375" i="2"/>
  <c r="G375" i="2"/>
  <c r="E376" i="2"/>
  <c r="F376" i="2"/>
  <c r="G376" i="2"/>
  <c r="E377" i="2"/>
  <c r="F377" i="2"/>
  <c r="G377" i="2"/>
  <c r="E378" i="2"/>
  <c r="F378" i="2"/>
  <c r="G378" i="2"/>
  <c r="E379" i="2"/>
  <c r="F379" i="2"/>
  <c r="G379" i="2"/>
  <c r="E380" i="2"/>
  <c r="F380" i="2"/>
  <c r="G380" i="2"/>
  <c r="E381" i="2"/>
  <c r="F381" i="2"/>
  <c r="G381" i="2"/>
  <c r="E382" i="2"/>
  <c r="F382" i="2"/>
  <c r="G382" i="2"/>
  <c r="E383" i="2"/>
  <c r="F383" i="2"/>
  <c r="G383" i="2"/>
  <c r="E384" i="2"/>
  <c r="F384" i="2"/>
  <c r="G384" i="2"/>
  <c r="E385" i="2"/>
  <c r="F385" i="2"/>
  <c r="G385" i="2"/>
  <c r="E386" i="2"/>
  <c r="F386" i="2"/>
  <c r="G386" i="2"/>
  <c r="E387" i="2"/>
  <c r="F387" i="2"/>
  <c r="G387" i="2"/>
  <c r="E388" i="2"/>
  <c r="F388" i="2"/>
  <c r="G388" i="2"/>
  <c r="F354" i="2"/>
  <c r="G354" i="2"/>
  <c r="E354" i="2"/>
  <c r="M3" i="14"/>
  <c r="N3" i="14"/>
  <c r="O3" i="14"/>
  <c r="P3" i="14"/>
  <c r="Q3" i="14"/>
  <c r="M4" i="14"/>
  <c r="N4" i="14"/>
  <c r="O4" i="14"/>
  <c r="P4" i="14"/>
  <c r="Q4" i="14"/>
  <c r="M5" i="14"/>
  <c r="N5" i="14"/>
  <c r="O5" i="14"/>
  <c r="P5" i="14"/>
  <c r="Q5" i="14"/>
  <c r="M6" i="14"/>
  <c r="N6" i="14"/>
  <c r="O6" i="14"/>
  <c r="P6" i="14"/>
  <c r="Q6" i="14"/>
  <c r="M7" i="14"/>
  <c r="N7" i="14"/>
  <c r="O7" i="14"/>
  <c r="P7" i="14"/>
  <c r="Q7" i="14"/>
  <c r="M8" i="14"/>
  <c r="N8" i="14"/>
  <c r="O8" i="14"/>
  <c r="P8" i="14"/>
  <c r="Q8" i="14"/>
  <c r="M9" i="14"/>
  <c r="N9" i="14"/>
  <c r="O9" i="14"/>
  <c r="P9" i="14"/>
  <c r="Q9" i="14"/>
  <c r="M10" i="14"/>
  <c r="N10" i="14"/>
  <c r="O10" i="14"/>
  <c r="P10" i="14"/>
  <c r="Q10" i="14"/>
  <c r="M11" i="14"/>
  <c r="N11" i="14"/>
  <c r="O11" i="14"/>
  <c r="P11" i="14"/>
  <c r="Q11" i="14"/>
  <c r="M12" i="14"/>
  <c r="N12" i="14"/>
  <c r="O12" i="14"/>
  <c r="P12" i="14"/>
  <c r="Q12" i="14"/>
  <c r="M13" i="14"/>
  <c r="N13" i="14"/>
  <c r="O13" i="14"/>
  <c r="P13" i="14"/>
  <c r="Q13" i="14"/>
  <c r="M14" i="14"/>
  <c r="N14" i="14"/>
  <c r="O14" i="14"/>
  <c r="P14" i="14"/>
  <c r="Q14" i="14"/>
  <c r="M15" i="14"/>
  <c r="N15" i="14"/>
  <c r="O15" i="14"/>
  <c r="P15" i="14"/>
  <c r="Q15" i="14"/>
  <c r="M16" i="14"/>
  <c r="N16" i="14"/>
  <c r="O16" i="14"/>
  <c r="P16" i="14"/>
  <c r="Q16" i="14"/>
  <c r="M17" i="14"/>
  <c r="N17" i="14"/>
  <c r="O17" i="14"/>
  <c r="P17" i="14"/>
  <c r="Q17" i="14"/>
  <c r="M18" i="14"/>
  <c r="N18" i="14"/>
  <c r="O18" i="14"/>
  <c r="P18" i="14"/>
  <c r="Q18" i="14"/>
  <c r="M19" i="14"/>
  <c r="N19" i="14"/>
  <c r="O19" i="14"/>
  <c r="P19" i="14"/>
  <c r="Q19" i="14"/>
  <c r="M20" i="14"/>
  <c r="N20" i="14"/>
  <c r="O20" i="14"/>
  <c r="P20" i="14"/>
  <c r="Q20" i="14"/>
  <c r="M21" i="14"/>
  <c r="N21" i="14"/>
  <c r="O21" i="14"/>
  <c r="P21" i="14"/>
  <c r="Q21" i="14"/>
  <c r="M22" i="14"/>
  <c r="N22" i="14"/>
  <c r="O22" i="14"/>
  <c r="P22" i="14"/>
  <c r="Q22" i="14"/>
  <c r="M23" i="14"/>
  <c r="N23" i="14"/>
  <c r="O23" i="14"/>
  <c r="P23" i="14"/>
  <c r="Q23" i="14"/>
  <c r="M24" i="14"/>
  <c r="N24" i="14"/>
  <c r="O24" i="14"/>
  <c r="P24" i="14"/>
  <c r="Q24" i="14"/>
  <c r="M25" i="14"/>
  <c r="N25" i="14"/>
  <c r="O25" i="14"/>
  <c r="P25" i="14"/>
  <c r="Q25" i="14"/>
  <c r="N2" i="14"/>
  <c r="O2" i="14"/>
  <c r="P2" i="14"/>
  <c r="Q2" i="14"/>
  <c r="M2" i="14"/>
  <c r="F328" i="2"/>
  <c r="G328" i="2"/>
  <c r="F329" i="2"/>
  <c r="G329" i="2"/>
  <c r="F330" i="2"/>
  <c r="G330" i="2"/>
  <c r="F331" i="2"/>
  <c r="G331" i="2"/>
  <c r="F332" i="2"/>
  <c r="G332" i="2"/>
  <c r="F333" i="2"/>
  <c r="G333" i="2"/>
  <c r="F334" i="2"/>
  <c r="G334" i="2"/>
  <c r="F335" i="2"/>
  <c r="G335" i="2"/>
  <c r="F336" i="2"/>
  <c r="G336" i="2"/>
  <c r="F337" i="2"/>
  <c r="G337" i="2"/>
  <c r="F338" i="2"/>
  <c r="G338" i="2"/>
  <c r="F339" i="2"/>
  <c r="G339" i="2"/>
  <c r="F340" i="2"/>
  <c r="G340" i="2"/>
  <c r="F341" i="2"/>
  <c r="G341" i="2"/>
  <c r="F342" i="2"/>
  <c r="G342" i="2"/>
  <c r="F343" i="2"/>
  <c r="G343" i="2"/>
  <c r="F344" i="2"/>
  <c r="G344" i="2"/>
  <c r="F345" i="2"/>
  <c r="G345" i="2"/>
  <c r="F346" i="2"/>
  <c r="G346" i="2"/>
  <c r="F347" i="2"/>
  <c r="G347" i="2"/>
  <c r="F348" i="2"/>
  <c r="G348" i="2"/>
  <c r="F349" i="2"/>
  <c r="G349" i="2"/>
  <c r="F350" i="2"/>
  <c r="G350" i="2"/>
  <c r="F351" i="2"/>
  <c r="G351" i="2"/>
  <c r="E329" i="2"/>
  <c r="E330" i="2"/>
  <c r="E331" i="2"/>
  <c r="E332" i="2"/>
  <c r="E333" i="2"/>
  <c r="E334" i="2"/>
  <c r="E335" i="2"/>
  <c r="E336" i="2"/>
  <c r="E337" i="2"/>
  <c r="E338" i="2"/>
  <c r="E339" i="2"/>
  <c r="E340" i="2"/>
  <c r="E341" i="2"/>
  <c r="E342" i="2"/>
  <c r="E343" i="2"/>
  <c r="E344" i="2"/>
  <c r="E345" i="2"/>
  <c r="E346" i="2"/>
  <c r="E347" i="2"/>
  <c r="E348" i="2"/>
  <c r="E349" i="2"/>
  <c r="E350" i="2"/>
  <c r="E351" i="2"/>
  <c r="E328" i="2"/>
  <c r="F3" i="14"/>
  <c r="F4" i="14"/>
  <c r="F5" i="14"/>
  <c r="F6" i="14"/>
  <c r="F7" i="14"/>
  <c r="F8" i="14"/>
  <c r="F9" i="14"/>
  <c r="F10" i="14"/>
  <c r="F11" i="14"/>
  <c r="F12" i="14"/>
  <c r="F13" i="14"/>
  <c r="F14" i="14"/>
  <c r="F15" i="14"/>
  <c r="F16" i="14"/>
  <c r="F17" i="14"/>
  <c r="F18" i="14"/>
  <c r="F19" i="14"/>
  <c r="F20" i="14"/>
  <c r="F21" i="14"/>
  <c r="F22" i="14"/>
  <c r="F23" i="14"/>
  <c r="F24" i="14"/>
  <c r="F25" i="14"/>
  <c r="F2" i="14"/>
  <c r="E3" i="14"/>
  <c r="E4" i="14"/>
  <c r="E5" i="14"/>
  <c r="E6" i="14"/>
  <c r="E7" i="14"/>
  <c r="E8" i="14"/>
  <c r="E9" i="14"/>
  <c r="E10" i="14"/>
  <c r="E11" i="14"/>
  <c r="E12" i="14"/>
  <c r="E13" i="14"/>
  <c r="E14" i="14"/>
  <c r="E15" i="14"/>
  <c r="E16" i="14"/>
  <c r="E17" i="14"/>
  <c r="E18" i="14"/>
  <c r="E19" i="14"/>
  <c r="E20" i="14"/>
  <c r="E21" i="14"/>
  <c r="E22" i="14"/>
  <c r="E23" i="14"/>
  <c r="E24" i="14"/>
  <c r="E25" i="14"/>
  <c r="E2" i="14"/>
  <c r="C3" i="14"/>
  <c r="C4" i="14"/>
  <c r="C5" i="14"/>
  <c r="C6" i="14"/>
  <c r="C7" i="14"/>
  <c r="C8" i="14"/>
  <c r="C9" i="14"/>
  <c r="C10" i="14"/>
  <c r="C11" i="14"/>
  <c r="C12" i="14"/>
  <c r="C13" i="14"/>
  <c r="C14" i="14"/>
  <c r="C15" i="14"/>
  <c r="C16" i="14"/>
  <c r="C17" i="14"/>
  <c r="C18" i="14"/>
  <c r="C19" i="14"/>
  <c r="C20" i="14"/>
  <c r="C21" i="14"/>
  <c r="C22" i="14"/>
  <c r="C23" i="14"/>
  <c r="C24" i="14"/>
  <c r="C25" i="14"/>
  <c r="C2" i="14"/>
  <c r="B3" i="14"/>
  <c r="B4" i="14"/>
  <c r="B5" i="14"/>
  <c r="B6" i="14"/>
  <c r="B7" i="14"/>
  <c r="B8" i="14"/>
  <c r="B9" i="14"/>
  <c r="B10" i="14"/>
  <c r="B11" i="14"/>
  <c r="B12" i="14"/>
  <c r="B13" i="14"/>
  <c r="B14" i="14"/>
  <c r="B15" i="14"/>
  <c r="B16" i="14"/>
  <c r="B17" i="14"/>
  <c r="B18" i="14"/>
  <c r="B19" i="14"/>
  <c r="B20" i="14"/>
  <c r="B21" i="14"/>
  <c r="B22" i="14"/>
  <c r="B23" i="14"/>
  <c r="B24" i="14"/>
  <c r="B25" i="14"/>
  <c r="B2" i="14"/>
  <c r="A25" i="14"/>
  <c r="Z25" i="14" s="1" a="1"/>
  <c r="Z25" i="14" s="1"/>
  <c r="A3" i="14"/>
  <c r="A4" i="14"/>
  <c r="T4" i="14" s="1" a="1"/>
  <c r="T4" i="14" s="1"/>
  <c r="A5" i="14"/>
  <c r="AA5" i="14" s="1" a="1"/>
  <c r="AA5" i="14" s="1"/>
  <c r="A6" i="14"/>
  <c r="X6" i="14" s="1" a="1"/>
  <c r="X6" i="14" s="1"/>
  <c r="A7" i="14"/>
  <c r="A8" i="14"/>
  <c r="S8" i="14" s="1" a="1"/>
  <c r="S8" i="14" s="1"/>
  <c r="A9" i="14"/>
  <c r="S9" i="14" s="1" a="1"/>
  <c r="S9" i="14" s="1"/>
  <c r="A10" i="14"/>
  <c r="AB10" i="14" s="1" a="1"/>
  <c r="AB10" i="14" s="1"/>
  <c r="A11" i="14"/>
  <c r="U11" i="14" s="1" a="1"/>
  <c r="U11" i="14" s="1"/>
  <c r="A12" i="14"/>
  <c r="A13" i="14"/>
  <c r="AB13" i="14" s="1" a="1"/>
  <c r="AB13" i="14" s="1"/>
  <c r="A14" i="14"/>
  <c r="W14" i="14" s="1" a="1"/>
  <c r="W14" i="14" s="1"/>
  <c r="A15" i="14"/>
  <c r="T15" i="14" s="1" a="1"/>
  <c r="T15" i="14" s="1"/>
  <c r="A16" i="14"/>
  <c r="A17" i="14"/>
  <c r="X17" i="14" s="1" a="1"/>
  <c r="X17" i="14" s="1"/>
  <c r="A18" i="14"/>
  <c r="A19" i="14"/>
  <c r="AB19" i="14" s="1" a="1"/>
  <c r="AB19" i="14" s="1"/>
  <c r="A20" i="14"/>
  <c r="Z20" i="14" s="1" a="1"/>
  <c r="Z20" i="14" s="1"/>
  <c r="A21" i="14"/>
  <c r="X21" i="14" s="1" a="1"/>
  <c r="X21" i="14" s="1"/>
  <c r="A22" i="14"/>
  <c r="AE22" i="14" s="1" a="1"/>
  <c r="AE22" i="14" s="1"/>
  <c r="A23" i="14"/>
  <c r="A24" i="14"/>
  <c r="S24" i="14" s="1" a="1"/>
  <c r="S24" i="14" s="1"/>
  <c r="A2" i="14"/>
  <c r="N37" i="19"/>
  <c r="N3" i="19"/>
  <c r="O3" i="19"/>
  <c r="P3" i="19"/>
  <c r="Q3" i="19"/>
  <c r="R3" i="19"/>
  <c r="N4" i="19"/>
  <c r="O4" i="19"/>
  <c r="P4" i="19"/>
  <c r="Q4" i="19"/>
  <c r="R4" i="19"/>
  <c r="N5" i="19"/>
  <c r="O5" i="19"/>
  <c r="P5" i="19"/>
  <c r="Q5" i="19"/>
  <c r="R5" i="19"/>
  <c r="N6" i="19"/>
  <c r="O6" i="19"/>
  <c r="P6" i="19"/>
  <c r="Q6" i="19"/>
  <c r="R6" i="19"/>
  <c r="N7" i="19"/>
  <c r="O7" i="19"/>
  <c r="P7" i="19"/>
  <c r="Q7" i="19"/>
  <c r="R7" i="19"/>
  <c r="N8" i="19"/>
  <c r="O8" i="19"/>
  <c r="P8" i="19"/>
  <c r="Q8" i="19"/>
  <c r="R8" i="19"/>
  <c r="N9" i="19"/>
  <c r="O9" i="19"/>
  <c r="P9" i="19"/>
  <c r="Q9" i="19"/>
  <c r="R9" i="19"/>
  <c r="N10" i="19"/>
  <c r="O10" i="19"/>
  <c r="P10" i="19"/>
  <c r="Q10" i="19"/>
  <c r="R10" i="19"/>
  <c r="N11" i="19"/>
  <c r="O11" i="19"/>
  <c r="P11" i="19"/>
  <c r="Q11" i="19"/>
  <c r="R11" i="19"/>
  <c r="N12" i="19"/>
  <c r="O12" i="19"/>
  <c r="P12" i="19"/>
  <c r="Q12" i="19"/>
  <c r="R12" i="19"/>
  <c r="N13" i="19"/>
  <c r="O13" i="19"/>
  <c r="P13" i="19"/>
  <c r="Q13" i="19"/>
  <c r="R13" i="19"/>
  <c r="N14" i="19"/>
  <c r="O14" i="19"/>
  <c r="P14" i="19"/>
  <c r="Q14" i="19"/>
  <c r="R14" i="19"/>
  <c r="N15" i="19"/>
  <c r="O15" i="19"/>
  <c r="P15" i="19"/>
  <c r="Q15" i="19"/>
  <c r="R15" i="19"/>
  <c r="N16" i="19"/>
  <c r="O16" i="19"/>
  <c r="P16" i="19"/>
  <c r="Q16" i="19"/>
  <c r="R16" i="19"/>
  <c r="N17" i="19"/>
  <c r="O17" i="19"/>
  <c r="P17" i="19"/>
  <c r="Q17" i="19"/>
  <c r="R17" i="19"/>
  <c r="N18" i="19"/>
  <c r="O18" i="19"/>
  <c r="P18" i="19"/>
  <c r="Q18" i="19"/>
  <c r="R18" i="19"/>
  <c r="N19" i="19"/>
  <c r="O19" i="19"/>
  <c r="P19" i="19"/>
  <c r="Q19" i="19"/>
  <c r="R19" i="19"/>
  <c r="N20" i="19"/>
  <c r="O20" i="19"/>
  <c r="P20" i="19"/>
  <c r="Q20" i="19"/>
  <c r="R20" i="19"/>
  <c r="N21" i="19"/>
  <c r="O21" i="19"/>
  <c r="P21" i="19"/>
  <c r="Q21" i="19"/>
  <c r="R21" i="19"/>
  <c r="N22" i="19"/>
  <c r="O22" i="19"/>
  <c r="P22" i="19"/>
  <c r="Q22" i="19"/>
  <c r="R22" i="19"/>
  <c r="N23" i="19"/>
  <c r="O23" i="19"/>
  <c r="P23" i="19"/>
  <c r="Q23" i="19"/>
  <c r="R23" i="19"/>
  <c r="N24" i="19"/>
  <c r="O24" i="19"/>
  <c r="P24" i="19"/>
  <c r="Q24" i="19"/>
  <c r="R24" i="19"/>
  <c r="N25" i="19"/>
  <c r="O25" i="19"/>
  <c r="P25" i="19"/>
  <c r="Q25" i="19"/>
  <c r="R25" i="19"/>
  <c r="N26" i="19"/>
  <c r="O26" i="19"/>
  <c r="P26" i="19"/>
  <c r="Q26" i="19"/>
  <c r="R26" i="19"/>
  <c r="N27" i="19"/>
  <c r="O27" i="19"/>
  <c r="P27" i="19"/>
  <c r="Q27" i="19"/>
  <c r="R27" i="19"/>
  <c r="N28" i="19"/>
  <c r="O28" i="19"/>
  <c r="P28" i="19"/>
  <c r="Q28" i="19"/>
  <c r="R28" i="19"/>
  <c r="N29" i="19"/>
  <c r="O29" i="19"/>
  <c r="P29" i="19"/>
  <c r="Q29" i="19"/>
  <c r="R29" i="19"/>
  <c r="N30" i="19"/>
  <c r="O30" i="19"/>
  <c r="P30" i="19"/>
  <c r="Q30" i="19"/>
  <c r="R30" i="19"/>
  <c r="N31" i="19"/>
  <c r="O31" i="19"/>
  <c r="P31" i="19"/>
  <c r="Q31" i="19"/>
  <c r="R31" i="19"/>
  <c r="N32" i="19"/>
  <c r="O32" i="19"/>
  <c r="P32" i="19"/>
  <c r="Q32" i="19"/>
  <c r="R32" i="19"/>
  <c r="N33" i="19"/>
  <c r="O33" i="19"/>
  <c r="P33" i="19"/>
  <c r="Q33" i="19"/>
  <c r="R33" i="19"/>
  <c r="N34" i="19"/>
  <c r="O34" i="19"/>
  <c r="P34" i="19"/>
  <c r="Q34" i="19"/>
  <c r="R34" i="19"/>
  <c r="N35" i="19"/>
  <c r="O35" i="19"/>
  <c r="P35" i="19"/>
  <c r="Q35" i="19"/>
  <c r="R35" i="19"/>
  <c r="N36" i="19"/>
  <c r="O36" i="19"/>
  <c r="P36" i="19"/>
  <c r="Q36" i="19"/>
  <c r="R36" i="19"/>
  <c r="O37" i="19"/>
  <c r="P37" i="19"/>
  <c r="Q37" i="19"/>
  <c r="R37" i="19"/>
  <c r="O2" i="19"/>
  <c r="P2" i="19"/>
  <c r="Q2" i="19"/>
  <c r="R2" i="19"/>
  <c r="N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2" i="19"/>
  <c r="A343" i="6"/>
  <c r="B343" i="6"/>
  <c r="A344" i="6"/>
  <c r="B344" i="6"/>
  <c r="A345" i="6"/>
  <c r="B345" i="6"/>
  <c r="A346" i="6"/>
  <c r="B346" i="6"/>
  <c r="A347" i="6"/>
  <c r="B347" i="6"/>
  <c r="A348" i="6"/>
  <c r="B348" i="6"/>
  <c r="A349" i="6"/>
  <c r="B349" i="6"/>
  <c r="A350" i="6"/>
  <c r="B350" i="6"/>
  <c r="A351" i="6"/>
  <c r="B351" i="6"/>
  <c r="A352" i="6"/>
  <c r="B352" i="6"/>
  <c r="A353" i="6"/>
  <c r="B353" i="6"/>
  <c r="A354" i="6"/>
  <c r="B354" i="6"/>
  <c r="A355" i="6"/>
  <c r="B355" i="6"/>
  <c r="A356" i="6"/>
  <c r="B356" i="6"/>
  <c r="A357" i="6"/>
  <c r="B357" i="6"/>
  <c r="A358" i="6"/>
  <c r="B358" i="6"/>
  <c r="A359" i="6"/>
  <c r="B359" i="6"/>
  <c r="A360" i="6"/>
  <c r="B360" i="6"/>
  <c r="A361" i="6"/>
  <c r="B361" i="6"/>
  <c r="A362" i="6"/>
  <c r="B362" i="6"/>
  <c r="A363" i="6"/>
  <c r="B363" i="6"/>
  <c r="A364" i="6"/>
  <c r="B364" i="6"/>
  <c r="A365" i="6"/>
  <c r="B365" i="6"/>
  <c r="A366" i="6"/>
  <c r="B366" i="6"/>
  <c r="A367" i="6"/>
  <c r="B367" i="6"/>
  <c r="A368" i="6"/>
  <c r="B368" i="6"/>
  <c r="A369" i="6"/>
  <c r="B369" i="6"/>
  <c r="A370" i="6"/>
  <c r="B370" i="6"/>
  <c r="A371" i="6"/>
  <c r="B371" i="6"/>
  <c r="A372" i="6"/>
  <c r="B372" i="6"/>
  <c r="A373" i="6"/>
  <c r="B373" i="6"/>
  <c r="A374" i="6"/>
  <c r="B374" i="6"/>
  <c r="A375" i="6"/>
  <c r="B375" i="6"/>
  <c r="A376" i="6"/>
  <c r="B376" i="6"/>
  <c r="A377" i="6"/>
  <c r="B377" i="6"/>
  <c r="B342" i="6"/>
  <c r="A342" i="6"/>
  <c r="G3" i="19"/>
  <c r="G4" i="19"/>
  <c r="G5" i="19"/>
  <c r="G6" i="19"/>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2" i="19"/>
  <c r="F3" i="19"/>
  <c r="F4" i="19"/>
  <c r="F5" i="19"/>
  <c r="F6" i="19"/>
  <c r="F7" i="19"/>
  <c r="F8" i="19"/>
  <c r="F9" i="19"/>
  <c r="F10" i="19"/>
  <c r="F11" i="19"/>
  <c r="F12" i="19"/>
  <c r="F13" i="19"/>
  <c r="F14" i="19"/>
  <c r="F15" i="19"/>
  <c r="F16" i="19"/>
  <c r="F17" i="19"/>
  <c r="F18" i="19"/>
  <c r="F19" i="19"/>
  <c r="F20" i="19"/>
  <c r="F21" i="19"/>
  <c r="F22" i="19"/>
  <c r="F23" i="19"/>
  <c r="F24" i="19"/>
  <c r="F25" i="19"/>
  <c r="F26" i="19"/>
  <c r="F27" i="19"/>
  <c r="F28" i="19"/>
  <c r="F29" i="19"/>
  <c r="F30" i="19"/>
  <c r="F31" i="19"/>
  <c r="F32" i="19"/>
  <c r="F33" i="19"/>
  <c r="F34" i="19"/>
  <c r="F35" i="19"/>
  <c r="F36" i="19"/>
  <c r="F37" i="19"/>
  <c r="F2" i="19"/>
  <c r="E37"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2" i="19"/>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2" i="19"/>
  <c r="A37" i="19"/>
  <c r="T37" i="19" s="1" a="1"/>
  <c r="T37" i="19" s="1"/>
  <c r="A3" i="19"/>
  <c r="A4" i="19"/>
  <c r="U4" i="19" s="1" a="1"/>
  <c r="U4" i="19" s="1"/>
  <c r="A5" i="19"/>
  <c r="A6" i="19"/>
  <c r="Y6" i="19" s="1" a="1"/>
  <c r="Y6" i="19" s="1"/>
  <c r="A7" i="19"/>
  <c r="A8" i="19"/>
  <c r="AH8" i="19" s="1"/>
  <c r="A9" i="19"/>
  <c r="AH9" i="19" s="1"/>
  <c r="A10" i="19"/>
  <c r="A11" i="19"/>
  <c r="A12" i="19"/>
  <c r="X12" i="19" s="1" a="1"/>
  <c r="X12" i="19" s="1"/>
  <c r="A13" i="19"/>
  <c r="A14" i="19"/>
  <c r="AB14" i="19" s="1" a="1"/>
  <c r="AB14" i="19" s="1"/>
  <c r="A15" i="19"/>
  <c r="Y15" i="19" s="1" a="1"/>
  <c r="Y15" i="19" s="1"/>
  <c r="A16" i="19"/>
  <c r="A17" i="19"/>
  <c r="A18" i="19"/>
  <c r="A19" i="19"/>
  <c r="A20" i="19"/>
  <c r="AC20" i="19" s="1" a="1"/>
  <c r="AC20" i="19" s="1"/>
  <c r="A21" i="19"/>
  <c r="A22" i="19"/>
  <c r="A23" i="19"/>
  <c r="Y23" i="19" s="1" a="1"/>
  <c r="Y23" i="19" s="1"/>
  <c r="A24" i="19"/>
  <c r="AH24" i="19" s="1"/>
  <c r="A25" i="19"/>
  <c r="AH25" i="19" s="1"/>
  <c r="A26" i="19"/>
  <c r="Y26" i="19" s="1" a="1"/>
  <c r="Y26" i="19" s="1"/>
  <c r="A27" i="19"/>
  <c r="AD27" i="19" s="1" a="1"/>
  <c r="AD27" i="19" s="1"/>
  <c r="A28" i="19"/>
  <c r="AA28" i="19" s="1" a="1"/>
  <c r="AA28" i="19" s="1"/>
  <c r="A29" i="19"/>
  <c r="AA29" i="19" s="1" a="1"/>
  <c r="AA29" i="19" s="1"/>
  <c r="A30" i="19"/>
  <c r="AA30" i="19" s="1" a="1"/>
  <c r="AA30" i="19" s="1"/>
  <c r="A31" i="19"/>
  <c r="AC31" i="19" s="1" a="1"/>
  <c r="AC31" i="19" s="1"/>
  <c r="A32" i="19"/>
  <c r="X32" i="19" s="1" a="1"/>
  <c r="X32" i="19" s="1"/>
  <c r="A33" i="19"/>
  <c r="A34" i="19"/>
  <c r="AF34" i="19" s="1" a="1"/>
  <c r="AF34" i="19" s="1"/>
  <c r="A35" i="19"/>
  <c r="V35" i="19" s="1" a="1"/>
  <c r="V35" i="19" s="1"/>
  <c r="A36" i="19"/>
  <c r="A2" i="19"/>
  <c r="AC2" i="19" s="1" a="1"/>
  <c r="AC2" i="19" s="1"/>
  <c r="AF329" i="6"/>
  <c r="D329" i="2"/>
  <c r="D330" i="2"/>
  <c r="D331" i="2"/>
  <c r="D332" i="2"/>
  <c r="D333" i="2"/>
  <c r="D334" i="2"/>
  <c r="D335" i="2"/>
  <c r="D336" i="2"/>
  <c r="D337" i="2"/>
  <c r="D338" i="2"/>
  <c r="D339" i="2"/>
  <c r="D340" i="2"/>
  <c r="D341" i="2"/>
  <c r="D342" i="2"/>
  <c r="D343" i="2"/>
  <c r="D344" i="2"/>
  <c r="D345" i="2"/>
  <c r="D346" i="2"/>
  <c r="D347" i="2"/>
  <c r="D348" i="2"/>
  <c r="D349" i="2"/>
  <c r="D350" i="2"/>
  <c r="D351" i="2"/>
  <c r="D328" i="2"/>
  <c r="B329" i="2"/>
  <c r="B330" i="2"/>
  <c r="B331" i="2"/>
  <c r="B332" i="2"/>
  <c r="B333" i="2"/>
  <c r="B334" i="2"/>
  <c r="B335" i="2"/>
  <c r="B336" i="2"/>
  <c r="B337" i="2"/>
  <c r="B338" i="2"/>
  <c r="B339" i="2"/>
  <c r="B340" i="2"/>
  <c r="B341" i="2"/>
  <c r="B342" i="2"/>
  <c r="B343" i="2"/>
  <c r="B344" i="2"/>
  <c r="B345" i="2"/>
  <c r="B346" i="2"/>
  <c r="B347" i="2"/>
  <c r="B348" i="2"/>
  <c r="B349" i="2"/>
  <c r="B350" i="2"/>
  <c r="B351" i="2"/>
  <c r="B328" i="2"/>
  <c r="A351" i="2"/>
  <c r="A329" i="2"/>
  <c r="A330" i="2"/>
  <c r="A331" i="2"/>
  <c r="A332" i="2"/>
  <c r="A333" i="2"/>
  <c r="A334" i="2"/>
  <c r="A335" i="2"/>
  <c r="A336" i="2"/>
  <c r="A337" i="2"/>
  <c r="A338" i="2"/>
  <c r="A339" i="2"/>
  <c r="A340" i="2"/>
  <c r="A341" i="2"/>
  <c r="A342" i="2"/>
  <c r="A343" i="2"/>
  <c r="A344" i="2"/>
  <c r="A345" i="2"/>
  <c r="A346" i="2"/>
  <c r="A347" i="2"/>
  <c r="A348" i="2"/>
  <c r="A349" i="2"/>
  <c r="A350" i="2"/>
  <c r="A328" i="2"/>
  <c r="B317" i="6"/>
  <c r="B318" i="6"/>
  <c r="B319" i="6"/>
  <c r="B320" i="6"/>
  <c r="B321" i="6"/>
  <c r="B322" i="6"/>
  <c r="B323" i="6"/>
  <c r="B324" i="6"/>
  <c r="B325" i="6"/>
  <c r="B326" i="6"/>
  <c r="B327" i="6"/>
  <c r="B328" i="6"/>
  <c r="B329" i="6"/>
  <c r="B330" i="6"/>
  <c r="B331" i="6"/>
  <c r="B332" i="6"/>
  <c r="B333" i="6"/>
  <c r="B334" i="6"/>
  <c r="B335" i="6"/>
  <c r="B336" i="6"/>
  <c r="B337" i="6"/>
  <c r="B338" i="6"/>
  <c r="B339" i="6"/>
  <c r="B316" i="6"/>
  <c r="A339" i="6"/>
  <c r="C339" i="6" s="1"/>
  <c r="J338" i="17" s="1"/>
  <c r="X330" i="33" s="1"/>
  <c r="A317" i="6"/>
  <c r="C317" i="6" s="1"/>
  <c r="J316" i="17" s="1"/>
  <c r="X308" i="33" s="1"/>
  <c r="A318" i="6"/>
  <c r="C318" i="6" s="1"/>
  <c r="J317" i="17" s="1"/>
  <c r="X309" i="33" s="1"/>
  <c r="A319" i="6"/>
  <c r="C319" i="6" s="1"/>
  <c r="J318" i="17" s="1"/>
  <c r="X310" i="33" s="1"/>
  <c r="A320" i="6"/>
  <c r="C320" i="6" s="1"/>
  <c r="J319" i="17" s="1"/>
  <c r="X311" i="33" s="1"/>
  <c r="A321" i="6"/>
  <c r="C321" i="6" s="1"/>
  <c r="J320" i="17" s="1"/>
  <c r="X312" i="33" s="1"/>
  <c r="A322" i="6"/>
  <c r="C322" i="6" s="1"/>
  <c r="J321" i="17" s="1"/>
  <c r="X313" i="33" s="1"/>
  <c r="A323" i="6"/>
  <c r="C323" i="6" s="1"/>
  <c r="J322" i="17" s="1"/>
  <c r="X314" i="33" s="1"/>
  <c r="A324" i="6"/>
  <c r="C324" i="6" s="1"/>
  <c r="J323" i="17" s="1"/>
  <c r="X315" i="33" s="1"/>
  <c r="A325" i="6"/>
  <c r="C325" i="6" s="1"/>
  <c r="J324" i="17" s="1"/>
  <c r="X316" i="33" s="1"/>
  <c r="A326" i="6"/>
  <c r="C326" i="6" s="1"/>
  <c r="J325" i="17" s="1"/>
  <c r="X317" i="33" s="1"/>
  <c r="A327" i="6"/>
  <c r="C327" i="6" s="1"/>
  <c r="J326" i="17" s="1"/>
  <c r="X318" i="33" s="1"/>
  <c r="A328" i="6"/>
  <c r="C328" i="6" s="1"/>
  <c r="J327" i="17" s="1"/>
  <c r="X319" i="33" s="1"/>
  <c r="A329" i="6"/>
  <c r="C329" i="6" s="1"/>
  <c r="J328" i="17" s="1"/>
  <c r="X320" i="33" s="1"/>
  <c r="A330" i="6"/>
  <c r="C330" i="6" s="1"/>
  <c r="J329" i="17" s="1"/>
  <c r="X321" i="33" s="1"/>
  <c r="A331" i="6"/>
  <c r="C331" i="6" s="1"/>
  <c r="J330" i="17" s="1"/>
  <c r="X322" i="33" s="1"/>
  <c r="A332" i="6"/>
  <c r="C332" i="6" s="1"/>
  <c r="J331" i="17" s="1"/>
  <c r="X323" i="33" s="1"/>
  <c r="A333" i="6"/>
  <c r="C333" i="6" s="1"/>
  <c r="J332" i="17" s="1"/>
  <c r="X324" i="33" s="1"/>
  <c r="A334" i="6"/>
  <c r="C334" i="6" s="1"/>
  <c r="J333" i="17" s="1"/>
  <c r="X325" i="33" s="1"/>
  <c r="A335" i="6"/>
  <c r="C335" i="6" s="1"/>
  <c r="J334" i="17" s="1"/>
  <c r="X326" i="33" s="1"/>
  <c r="A336" i="6"/>
  <c r="C336" i="6" s="1"/>
  <c r="J335" i="17" s="1"/>
  <c r="X327" i="33" s="1"/>
  <c r="A337" i="6"/>
  <c r="C337" i="6" s="1"/>
  <c r="J336" i="17" s="1"/>
  <c r="X328" i="33" s="1"/>
  <c r="A338" i="6"/>
  <c r="C338" i="6" s="1"/>
  <c r="J337" i="17" s="1"/>
  <c r="X329" i="33" s="1"/>
  <c r="A316" i="6"/>
  <c r="C316" i="6" s="1"/>
  <c r="J315" i="17" s="1"/>
  <c r="X307" i="33" s="1"/>
  <c r="A2" i="15"/>
  <c r="AB2" i="15" s="1" a="1"/>
  <c r="AB2" i="15" s="1"/>
  <c r="N3" i="15"/>
  <c r="O3" i="15"/>
  <c r="P3" i="15"/>
  <c r="Q3" i="15"/>
  <c r="R3" i="15"/>
  <c r="N4" i="15"/>
  <c r="O4" i="15"/>
  <c r="P4" i="15"/>
  <c r="Q4" i="15"/>
  <c r="R4" i="15"/>
  <c r="N5" i="15"/>
  <c r="O5" i="15"/>
  <c r="P5" i="15"/>
  <c r="Q5" i="15"/>
  <c r="R5" i="15"/>
  <c r="N6" i="15"/>
  <c r="O6" i="15"/>
  <c r="P6" i="15"/>
  <c r="Q6" i="15"/>
  <c r="R6" i="15"/>
  <c r="N7" i="15"/>
  <c r="O7" i="15"/>
  <c r="P7" i="15"/>
  <c r="Q7" i="15"/>
  <c r="R7" i="15"/>
  <c r="N8" i="15"/>
  <c r="O8" i="15"/>
  <c r="P8" i="15"/>
  <c r="Q8" i="15"/>
  <c r="R8" i="15"/>
  <c r="N9" i="15"/>
  <c r="O9" i="15"/>
  <c r="P9" i="15"/>
  <c r="Q9" i="15"/>
  <c r="R9" i="15"/>
  <c r="N10" i="15"/>
  <c r="O10" i="15"/>
  <c r="P10" i="15"/>
  <c r="Q10" i="15"/>
  <c r="R10" i="15"/>
  <c r="N11" i="15"/>
  <c r="O11" i="15"/>
  <c r="P11" i="15"/>
  <c r="Q11" i="15"/>
  <c r="R11" i="15"/>
  <c r="N12" i="15"/>
  <c r="O12" i="15"/>
  <c r="P12" i="15"/>
  <c r="Q12" i="15"/>
  <c r="R12" i="15"/>
  <c r="N13" i="15"/>
  <c r="O13" i="15"/>
  <c r="P13" i="15"/>
  <c r="Q13" i="15"/>
  <c r="R13" i="15"/>
  <c r="N14" i="15"/>
  <c r="O14" i="15"/>
  <c r="P14" i="15"/>
  <c r="Q14" i="15"/>
  <c r="R14" i="15"/>
  <c r="N15" i="15"/>
  <c r="O15" i="15"/>
  <c r="P15" i="15"/>
  <c r="Q15" i="15"/>
  <c r="R15" i="15"/>
  <c r="N16" i="15"/>
  <c r="O16" i="15"/>
  <c r="P16" i="15"/>
  <c r="Q16" i="15"/>
  <c r="R16" i="15"/>
  <c r="N17" i="15"/>
  <c r="O17" i="15"/>
  <c r="P17" i="15"/>
  <c r="Q17" i="15"/>
  <c r="R17" i="15"/>
  <c r="N18" i="15"/>
  <c r="O18" i="15"/>
  <c r="P18" i="15"/>
  <c r="Q18" i="15"/>
  <c r="R18" i="15"/>
  <c r="N19" i="15"/>
  <c r="O19" i="15"/>
  <c r="P19" i="15"/>
  <c r="Q19" i="15"/>
  <c r="R19" i="15"/>
  <c r="O2" i="15"/>
  <c r="P2" i="15"/>
  <c r="Q2" i="15"/>
  <c r="R2" i="15"/>
  <c r="N2" i="15"/>
  <c r="H301" i="33"/>
  <c r="G16" i="15" s="1"/>
  <c r="G4" i="15"/>
  <c r="F4" i="15"/>
  <c r="E10" i="15"/>
  <c r="E11" i="15"/>
  <c r="E12" i="15"/>
  <c r="E13" i="15"/>
  <c r="E14" i="15"/>
  <c r="E9" i="15"/>
  <c r="E4" i="15"/>
  <c r="E3" i="15"/>
  <c r="E5" i="15"/>
  <c r="E6" i="15"/>
  <c r="E7" i="15"/>
  <c r="E8" i="15"/>
  <c r="E15" i="15"/>
  <c r="E16" i="15"/>
  <c r="E17" i="15"/>
  <c r="E18" i="15"/>
  <c r="E19" i="15"/>
  <c r="E2" i="15"/>
  <c r="B3" i="15"/>
  <c r="B4" i="15"/>
  <c r="B5" i="15"/>
  <c r="B6" i="15"/>
  <c r="B7" i="15"/>
  <c r="B8" i="15"/>
  <c r="B9" i="15"/>
  <c r="B10" i="15"/>
  <c r="B11" i="15"/>
  <c r="B12" i="15"/>
  <c r="B13" i="15"/>
  <c r="B14" i="15"/>
  <c r="B15" i="15"/>
  <c r="B16" i="15"/>
  <c r="B17" i="15"/>
  <c r="B18" i="15"/>
  <c r="B19" i="15"/>
  <c r="B2" i="15"/>
  <c r="E320" i="2"/>
  <c r="X320" i="2" s="1"/>
  <c r="F320" i="2"/>
  <c r="G320" i="2"/>
  <c r="E321" i="2"/>
  <c r="X321" i="2" s="1"/>
  <c r="F321" i="2"/>
  <c r="G321" i="2"/>
  <c r="E322" i="2"/>
  <c r="X322" i="2" s="1"/>
  <c r="F322" i="2"/>
  <c r="G322" i="2"/>
  <c r="E323" i="2"/>
  <c r="X323" i="2" s="1"/>
  <c r="F323" i="2"/>
  <c r="G323" i="2"/>
  <c r="E324" i="2"/>
  <c r="X324" i="2" s="1"/>
  <c r="F324" i="2"/>
  <c r="G324" i="2"/>
  <c r="E325" i="2"/>
  <c r="X325" i="2" s="1"/>
  <c r="F325" i="2"/>
  <c r="G325" i="2"/>
  <c r="D316" i="2"/>
  <c r="D317" i="2"/>
  <c r="D318" i="2"/>
  <c r="D319" i="2"/>
  <c r="D320" i="2"/>
  <c r="D315" i="2"/>
  <c r="D310" i="2"/>
  <c r="D309" i="2"/>
  <c r="D311" i="2"/>
  <c r="D312" i="2"/>
  <c r="D313" i="2"/>
  <c r="D314" i="2"/>
  <c r="D321" i="2"/>
  <c r="D322" i="2"/>
  <c r="D323" i="2"/>
  <c r="D324" i="2"/>
  <c r="D325" i="2"/>
  <c r="D308" i="2"/>
  <c r="B309" i="2"/>
  <c r="C3" i="15" s="1"/>
  <c r="B310" i="2"/>
  <c r="C4" i="15" s="1"/>
  <c r="B311" i="2"/>
  <c r="C5" i="15" s="1"/>
  <c r="B312" i="2"/>
  <c r="C6" i="15" s="1"/>
  <c r="B313" i="2"/>
  <c r="C7" i="15" s="1"/>
  <c r="B314" i="2"/>
  <c r="C8" i="15" s="1"/>
  <c r="B315" i="2"/>
  <c r="C9" i="15" s="1"/>
  <c r="B316" i="2"/>
  <c r="C10" i="15" s="1"/>
  <c r="B317" i="2"/>
  <c r="C11" i="15" s="1"/>
  <c r="B318" i="2"/>
  <c r="C12" i="15" s="1"/>
  <c r="B319" i="2"/>
  <c r="C13" i="15" s="1"/>
  <c r="B320" i="2"/>
  <c r="C14" i="15" s="1"/>
  <c r="B321" i="2"/>
  <c r="C15" i="15" s="1"/>
  <c r="B322" i="2"/>
  <c r="C16" i="15" s="1"/>
  <c r="B323" i="2"/>
  <c r="C17" i="15" s="1"/>
  <c r="B324" i="2"/>
  <c r="C18" i="15" s="1"/>
  <c r="B325" i="2"/>
  <c r="C19" i="15" s="1"/>
  <c r="B308" i="2"/>
  <c r="C2" i="15" s="1"/>
  <c r="A325" i="2"/>
  <c r="A320" i="2"/>
  <c r="A321" i="2"/>
  <c r="A322" i="2"/>
  <c r="A323" i="2"/>
  <c r="A324" i="2"/>
  <c r="A309" i="2"/>
  <c r="A310" i="2"/>
  <c r="A311" i="2"/>
  <c r="A312" i="2"/>
  <c r="A313" i="2"/>
  <c r="A314" i="2"/>
  <c r="A315" i="2"/>
  <c r="A316" i="2"/>
  <c r="A317" i="2"/>
  <c r="A318" i="2"/>
  <c r="A319" i="2"/>
  <c r="A308" i="2"/>
  <c r="E309" i="2"/>
  <c r="X309" i="2" s="1"/>
  <c r="F309" i="2"/>
  <c r="G309" i="2"/>
  <c r="E310" i="2"/>
  <c r="X310" i="2" s="1"/>
  <c r="F310" i="2"/>
  <c r="G310" i="2"/>
  <c r="E311" i="2"/>
  <c r="X311" i="2" s="1"/>
  <c r="F311" i="2"/>
  <c r="G311" i="2"/>
  <c r="E312" i="2"/>
  <c r="X312" i="2" s="1"/>
  <c r="F312" i="2"/>
  <c r="G312" i="2"/>
  <c r="E313" i="2"/>
  <c r="X313" i="2" s="1"/>
  <c r="F313" i="2"/>
  <c r="G313" i="2"/>
  <c r="E314" i="2"/>
  <c r="X314" i="2" s="1"/>
  <c r="F314" i="2"/>
  <c r="G314" i="2"/>
  <c r="E315" i="2"/>
  <c r="X315" i="2" s="1"/>
  <c r="F315" i="2"/>
  <c r="G315" i="2"/>
  <c r="E316" i="2"/>
  <c r="X316" i="2" s="1"/>
  <c r="F316" i="2"/>
  <c r="G316" i="2"/>
  <c r="E317" i="2"/>
  <c r="X317" i="2" s="1"/>
  <c r="F317" i="2"/>
  <c r="G317" i="2"/>
  <c r="E318" i="2"/>
  <c r="X318" i="2" s="1"/>
  <c r="F318" i="2"/>
  <c r="G318" i="2"/>
  <c r="E319" i="2"/>
  <c r="X319" i="2" s="1"/>
  <c r="F319" i="2"/>
  <c r="G319" i="2"/>
  <c r="F308" i="2"/>
  <c r="G308" i="2"/>
  <c r="E308" i="2"/>
  <c r="X308" i="2" s="1"/>
  <c r="X307" i="2"/>
  <c r="W307" i="2"/>
  <c r="V307" i="2"/>
  <c r="U307" i="2"/>
  <c r="T307" i="2"/>
  <c r="AB288" i="33"/>
  <c r="AC288" i="33"/>
  <c r="AB289" i="33"/>
  <c r="AC289" i="33"/>
  <c r="AB290" i="33"/>
  <c r="AC290" i="33"/>
  <c r="AB291" i="33"/>
  <c r="AC291" i="33"/>
  <c r="AB292" i="33"/>
  <c r="AC292" i="33"/>
  <c r="AB293" i="33"/>
  <c r="AC293" i="33"/>
  <c r="AB294" i="33"/>
  <c r="AC294" i="33"/>
  <c r="AB295" i="33"/>
  <c r="AC295" i="33"/>
  <c r="AB296" i="33"/>
  <c r="AC296" i="33"/>
  <c r="AB297" i="33"/>
  <c r="AC297" i="33"/>
  <c r="AB298" i="33"/>
  <c r="AC298" i="33"/>
  <c r="AB299" i="33"/>
  <c r="AC299" i="33"/>
  <c r="AB300" i="33"/>
  <c r="AC300" i="33"/>
  <c r="AB301" i="33"/>
  <c r="AC301" i="33"/>
  <c r="AB302" i="33"/>
  <c r="AC302" i="33"/>
  <c r="AB303" i="33"/>
  <c r="AC303" i="33"/>
  <c r="AB304" i="33"/>
  <c r="AC304" i="33"/>
  <c r="AC287" i="33"/>
  <c r="AB287" i="33"/>
  <c r="B297" i="6"/>
  <c r="B298" i="6"/>
  <c r="B299" i="6"/>
  <c r="B300" i="6"/>
  <c r="B301" i="6"/>
  <c r="B302" i="6"/>
  <c r="B303" i="6"/>
  <c r="B304" i="6"/>
  <c r="B305" i="6"/>
  <c r="B306" i="6"/>
  <c r="B307" i="6"/>
  <c r="B308" i="6"/>
  <c r="B309" i="6"/>
  <c r="B310" i="6"/>
  <c r="B311" i="6"/>
  <c r="B312" i="6"/>
  <c r="B313" i="6"/>
  <c r="B296" i="6"/>
  <c r="A297" i="6"/>
  <c r="C297" i="6" s="1"/>
  <c r="K3" i="15" s="1"/>
  <c r="A298" i="6"/>
  <c r="C298" i="6" s="1"/>
  <c r="K4" i="15" s="1"/>
  <c r="A299" i="6"/>
  <c r="C299" i="6" s="1"/>
  <c r="K5" i="15" s="1"/>
  <c r="A300" i="6"/>
  <c r="C300" i="6" s="1"/>
  <c r="J299" i="17" s="1"/>
  <c r="X291" i="33" s="1"/>
  <c r="A301" i="6"/>
  <c r="C301" i="6" s="1"/>
  <c r="K7" i="15" s="1"/>
  <c r="A302" i="6"/>
  <c r="C302" i="6" s="1"/>
  <c r="J301" i="17" s="1"/>
  <c r="X293" i="33" s="1"/>
  <c r="A303" i="6"/>
  <c r="C303" i="6" s="1"/>
  <c r="J302" i="17" s="1"/>
  <c r="X294" i="33" s="1"/>
  <c r="A304" i="6"/>
  <c r="C304" i="6" s="1"/>
  <c r="K10" i="15" s="1"/>
  <c r="A305" i="6"/>
  <c r="C305" i="6" s="1"/>
  <c r="K11" i="15" s="1"/>
  <c r="A306" i="6"/>
  <c r="C306" i="6" s="1"/>
  <c r="K12" i="15" s="1"/>
  <c r="A307" i="6"/>
  <c r="C307" i="6" s="1"/>
  <c r="K13" i="15" s="1"/>
  <c r="A308" i="6"/>
  <c r="C308" i="6" s="1"/>
  <c r="J307" i="17" s="1"/>
  <c r="X299" i="33" s="1"/>
  <c r="A309" i="6"/>
  <c r="C309" i="6" s="1"/>
  <c r="J308" i="17" s="1"/>
  <c r="X300" i="33" s="1"/>
  <c r="A310" i="6"/>
  <c r="C310" i="6" s="1"/>
  <c r="J309" i="17" s="1"/>
  <c r="X301" i="33" s="1"/>
  <c r="A311" i="6"/>
  <c r="C311" i="6" s="1"/>
  <c r="J310" i="17" s="1"/>
  <c r="X302" i="33" s="1"/>
  <c r="A312" i="6"/>
  <c r="C312" i="6" s="1"/>
  <c r="K18" i="15" s="1"/>
  <c r="A313" i="6"/>
  <c r="C313" i="6" s="1"/>
  <c r="J312" i="17" s="1"/>
  <c r="X304" i="33" s="1"/>
  <c r="A296" i="6"/>
  <c r="C296" i="6" s="1"/>
  <c r="K2" i="15" s="1"/>
  <c r="A3" i="15"/>
  <c r="A4" i="15"/>
  <c r="A5" i="15"/>
  <c r="A6" i="15"/>
  <c r="A7" i="15"/>
  <c r="A8" i="15"/>
  <c r="A9" i="15"/>
  <c r="A10" i="15"/>
  <c r="A11" i="15"/>
  <c r="A12" i="15"/>
  <c r="A13" i="15"/>
  <c r="A14" i="15"/>
  <c r="AB14" i="15" s="1" a="1"/>
  <c r="AB14" i="15" s="1"/>
  <c r="A15" i="15"/>
  <c r="AB15" i="15" s="1" a="1"/>
  <c r="AB15" i="15" s="1"/>
  <c r="A16" i="15"/>
  <c r="X16" i="15" s="1" a="1"/>
  <c r="X16" i="15" s="1"/>
  <c r="A17" i="15"/>
  <c r="U17" i="15" s="1" a="1"/>
  <c r="U17" i="15" s="1"/>
  <c r="A18" i="15"/>
  <c r="AB18" i="15" s="1" a="1"/>
  <c r="AB18" i="15" s="1"/>
  <c r="A19" i="15"/>
  <c r="Y19" i="15" s="1" a="1"/>
  <c r="Y19" i="15" s="1"/>
  <c r="CX288" i="33"/>
  <c r="CY288" i="33"/>
  <c r="CZ288" i="33"/>
  <c r="DA288" i="33"/>
  <c r="DB288" i="33"/>
  <c r="DC288" i="33"/>
  <c r="DD288" i="33"/>
  <c r="CX289" i="33"/>
  <c r="CY289" i="33"/>
  <c r="CZ289" i="33"/>
  <c r="DA289" i="33"/>
  <c r="DB289" i="33"/>
  <c r="DC289" i="33"/>
  <c r="DD289" i="33"/>
  <c r="CX290" i="33"/>
  <c r="CY290" i="33"/>
  <c r="CZ290" i="33"/>
  <c r="DA290" i="33"/>
  <c r="DB290" i="33"/>
  <c r="DC290" i="33"/>
  <c r="DD290" i="33"/>
  <c r="CX291" i="33"/>
  <c r="CY291" i="33"/>
  <c r="CZ291" i="33"/>
  <c r="DA291" i="33"/>
  <c r="DB291" i="33"/>
  <c r="DC291" i="33"/>
  <c r="DD291" i="33"/>
  <c r="CX292" i="33"/>
  <c r="CY292" i="33"/>
  <c r="CZ292" i="33"/>
  <c r="DA292" i="33"/>
  <c r="DB292" i="33"/>
  <c r="DC292" i="33"/>
  <c r="DD292" i="33"/>
  <c r="CX293" i="33"/>
  <c r="CY293" i="33"/>
  <c r="CZ293" i="33"/>
  <c r="DA293" i="33"/>
  <c r="DB293" i="33"/>
  <c r="DC293" i="33"/>
  <c r="DD293" i="33"/>
  <c r="CX294" i="33"/>
  <c r="CY294" i="33"/>
  <c r="CZ294" i="33"/>
  <c r="DA294" i="33"/>
  <c r="DB294" i="33"/>
  <c r="DC294" i="33"/>
  <c r="DD294" i="33"/>
  <c r="CX295" i="33"/>
  <c r="CY295" i="33"/>
  <c r="CZ295" i="33"/>
  <c r="DA295" i="33"/>
  <c r="DB295" i="33"/>
  <c r="DC295" i="33"/>
  <c r="DD295" i="33"/>
  <c r="CX296" i="33"/>
  <c r="CY296" i="33"/>
  <c r="CZ296" i="33"/>
  <c r="DA296" i="33"/>
  <c r="DB296" i="33"/>
  <c r="DC296" i="33"/>
  <c r="DD296" i="33"/>
  <c r="CX297" i="33"/>
  <c r="CY297" i="33"/>
  <c r="CZ297" i="33"/>
  <c r="DA297" i="33"/>
  <c r="DB297" i="33"/>
  <c r="DC297" i="33"/>
  <c r="DD297" i="33"/>
  <c r="CX298" i="33"/>
  <c r="CY298" i="33"/>
  <c r="CZ298" i="33"/>
  <c r="DA298" i="33"/>
  <c r="DB298" i="33"/>
  <c r="DC298" i="33"/>
  <c r="DD298" i="33"/>
  <c r="CX299" i="33"/>
  <c r="CY299" i="33"/>
  <c r="CZ299" i="33"/>
  <c r="DA299" i="33"/>
  <c r="DB299" i="33"/>
  <c r="DC299" i="33"/>
  <c r="DD299" i="33"/>
  <c r="CX300" i="33"/>
  <c r="CY300" i="33"/>
  <c r="CZ300" i="33"/>
  <c r="DA300" i="33"/>
  <c r="DB300" i="33"/>
  <c r="DC300" i="33"/>
  <c r="DD300" i="33"/>
  <c r="CX301" i="33"/>
  <c r="CY301" i="33"/>
  <c r="CZ301" i="33"/>
  <c r="DA301" i="33"/>
  <c r="DB301" i="33"/>
  <c r="DC301" i="33"/>
  <c r="DD301" i="33"/>
  <c r="CX302" i="33"/>
  <c r="CY302" i="33"/>
  <c r="CZ302" i="33"/>
  <c r="DA302" i="33"/>
  <c r="DB302" i="33"/>
  <c r="DC302" i="33"/>
  <c r="DD302" i="33"/>
  <c r="CX303" i="33"/>
  <c r="CY303" i="33"/>
  <c r="CZ303" i="33"/>
  <c r="DA303" i="33"/>
  <c r="DB303" i="33"/>
  <c r="DC303" i="33"/>
  <c r="DD303" i="33"/>
  <c r="CX304" i="33"/>
  <c r="CY304" i="33"/>
  <c r="CZ304" i="33"/>
  <c r="DA304" i="33"/>
  <c r="DB304" i="33"/>
  <c r="DC304" i="33"/>
  <c r="DD304" i="33"/>
  <c r="CY287" i="33"/>
  <c r="CZ287" i="33"/>
  <c r="DA287" i="33"/>
  <c r="DB287" i="33"/>
  <c r="DC287" i="33"/>
  <c r="DD287" i="33"/>
  <c r="CX287" i="33"/>
  <c r="BR287" i="33"/>
  <c r="BS287" i="33"/>
  <c r="BT287" i="33"/>
  <c r="BU287" i="33"/>
  <c r="BV287" i="33"/>
  <c r="BW287" i="33"/>
  <c r="BX287" i="33"/>
  <c r="BY287" i="33"/>
  <c r="H7" i="20" l="1"/>
  <c r="H384" i="17"/>
  <c r="F7" i="20"/>
  <c r="F384" i="17"/>
  <c r="F8" i="20"/>
  <c r="F385" i="17"/>
  <c r="H6" i="20"/>
  <c r="H383" i="17"/>
  <c r="F6" i="20"/>
  <c r="F383" i="17"/>
  <c r="K148" i="17"/>
  <c r="Y140" i="33" s="1"/>
  <c r="K172" i="17"/>
  <c r="Y164" i="33" s="1"/>
  <c r="L196" i="17"/>
  <c r="Z188" i="33" s="1"/>
  <c r="L212" i="17"/>
  <c r="Z204" i="33" s="1"/>
  <c r="K175" i="17"/>
  <c r="Y167" i="33" s="1"/>
  <c r="K207" i="17"/>
  <c r="Y199" i="33" s="1"/>
  <c r="K17" i="15"/>
  <c r="K9" i="15"/>
  <c r="K16" i="15"/>
  <c r="L180" i="17"/>
  <c r="Z172" i="33" s="1"/>
  <c r="L164" i="17"/>
  <c r="Z156" i="33" s="1"/>
  <c r="K6" i="15"/>
  <c r="K14" i="15"/>
  <c r="K8" i="15"/>
  <c r="J304" i="17"/>
  <c r="X296" i="33" s="1"/>
  <c r="V34" i="36"/>
  <c r="J303" i="17"/>
  <c r="X295" i="33" s="1"/>
  <c r="J295" i="17"/>
  <c r="X287" i="33" s="1"/>
  <c r="J305" i="17"/>
  <c r="X297" i="33" s="1"/>
  <c r="J297" i="17"/>
  <c r="X289" i="33" s="1"/>
  <c r="J311" i="17"/>
  <c r="X303" i="33" s="1"/>
  <c r="J306" i="17"/>
  <c r="X298" i="33" s="1"/>
  <c r="J298" i="17"/>
  <c r="X290" i="33" s="1"/>
  <c r="J296" i="17"/>
  <c r="X288" i="33" s="1"/>
  <c r="K19" i="15"/>
  <c r="J300" i="17"/>
  <c r="X292" i="33" s="1"/>
  <c r="K15" i="15"/>
  <c r="L158" i="17"/>
  <c r="Z150" i="33" s="1"/>
  <c r="L190" i="17"/>
  <c r="Z182" i="33" s="1"/>
  <c r="L206" i="17"/>
  <c r="Z198" i="33" s="1"/>
  <c r="L174" i="17"/>
  <c r="Z166" i="33" s="1"/>
  <c r="K263" i="17"/>
  <c r="Y255" i="33" s="1"/>
  <c r="K247" i="17"/>
  <c r="Y239" i="33" s="1"/>
  <c r="L279" i="17"/>
  <c r="Z271" i="33" s="1"/>
  <c r="L208" i="17"/>
  <c r="Z200" i="33" s="1"/>
  <c r="L192" i="17"/>
  <c r="Z184" i="33" s="1"/>
  <c r="L160" i="17"/>
  <c r="Z152" i="33" s="1"/>
  <c r="K299" i="17"/>
  <c r="Y291" i="33" s="1"/>
  <c r="L301" i="17"/>
  <c r="Z293" i="33" s="1"/>
  <c r="K329" i="17"/>
  <c r="Y321" i="33" s="1"/>
  <c r="L337" i="17"/>
  <c r="Z329" i="33" s="1"/>
  <c r="L176" i="17"/>
  <c r="Z168" i="33" s="1"/>
  <c r="L321" i="17"/>
  <c r="Z313" i="33" s="1"/>
  <c r="K367" i="17"/>
  <c r="Y359" i="33" s="1"/>
  <c r="K351" i="17"/>
  <c r="Y343" i="33" s="1"/>
  <c r="L371" i="17"/>
  <c r="Z363" i="33" s="1"/>
  <c r="L355" i="17"/>
  <c r="Z347" i="33" s="1"/>
  <c r="K278" i="17"/>
  <c r="Y270" i="33" s="1"/>
  <c r="K262" i="17"/>
  <c r="Y254" i="33" s="1"/>
  <c r="K246" i="17"/>
  <c r="Y238" i="33" s="1"/>
  <c r="K298" i="17"/>
  <c r="Y290" i="33" s="1"/>
  <c r="L300" i="17"/>
  <c r="Z292" i="33" s="1"/>
  <c r="K328" i="17"/>
  <c r="Y320" i="33" s="1"/>
  <c r="L336" i="17"/>
  <c r="Z328" i="33" s="1"/>
  <c r="L320" i="17"/>
  <c r="Z312" i="33" s="1"/>
  <c r="K366" i="17"/>
  <c r="Y358" i="33" s="1"/>
  <c r="K350" i="17"/>
  <c r="Y342" i="33" s="1"/>
  <c r="L370" i="17"/>
  <c r="Z362" i="33" s="1"/>
  <c r="L354" i="17"/>
  <c r="Z346" i="33" s="1"/>
  <c r="K245" i="17"/>
  <c r="Y237" i="33" s="1"/>
  <c r="K277" i="17"/>
  <c r="Y269" i="33" s="1"/>
  <c r="K261" i="17"/>
  <c r="Y253" i="33" s="1"/>
  <c r="K295" i="17"/>
  <c r="Y287" i="33" s="1"/>
  <c r="K297" i="17"/>
  <c r="Y289" i="33" s="1"/>
  <c r="K327" i="17"/>
  <c r="Y319" i="33" s="1"/>
  <c r="L335" i="17"/>
  <c r="Z327" i="33" s="1"/>
  <c r="L319" i="17"/>
  <c r="Z311" i="33" s="1"/>
  <c r="K365" i="17"/>
  <c r="Y357" i="33" s="1"/>
  <c r="K349" i="17"/>
  <c r="Y341" i="33" s="1"/>
  <c r="L369" i="17"/>
  <c r="Z361" i="33" s="1"/>
  <c r="L353" i="17"/>
  <c r="Z345" i="33" s="1"/>
  <c r="H309" i="17"/>
  <c r="K292" i="17"/>
  <c r="Y284" i="33" s="1"/>
  <c r="K276" i="17"/>
  <c r="Y268" i="33" s="1"/>
  <c r="K260" i="17"/>
  <c r="Y252" i="33" s="1"/>
  <c r="K312" i="17"/>
  <c r="Y304" i="33" s="1"/>
  <c r="K296" i="17"/>
  <c r="Y288" i="33" s="1"/>
  <c r="K326" i="17"/>
  <c r="Y318" i="33" s="1"/>
  <c r="L334" i="17"/>
  <c r="Z326" i="33" s="1"/>
  <c r="L318" i="17"/>
  <c r="Z310" i="33" s="1"/>
  <c r="K364" i="17"/>
  <c r="Y356" i="33" s="1"/>
  <c r="K348" i="17"/>
  <c r="Y340" i="33" s="1"/>
  <c r="L368" i="17"/>
  <c r="Z360" i="33" s="1"/>
  <c r="L352" i="17"/>
  <c r="Z344" i="33" s="1"/>
  <c r="K291" i="17"/>
  <c r="Y283" i="33" s="1"/>
  <c r="K275" i="17"/>
  <c r="Y267" i="33" s="1"/>
  <c r="K259" i="17"/>
  <c r="Y251" i="33" s="1"/>
  <c r="K311" i="17"/>
  <c r="Y303" i="33" s="1"/>
  <c r="K325" i="17"/>
  <c r="Y317" i="33" s="1"/>
  <c r="L333" i="17"/>
  <c r="Z325" i="33" s="1"/>
  <c r="L317" i="17"/>
  <c r="Z309" i="33" s="1"/>
  <c r="K363" i="17"/>
  <c r="Y355" i="33" s="1"/>
  <c r="K347" i="17"/>
  <c r="Y339" i="33" s="1"/>
  <c r="K290" i="17"/>
  <c r="Y282" i="33" s="1"/>
  <c r="K274" i="17"/>
  <c r="Y266" i="33" s="1"/>
  <c r="K258" i="17"/>
  <c r="Y250" i="33" s="1"/>
  <c r="K310" i="17"/>
  <c r="Y302" i="33" s="1"/>
  <c r="K324" i="17"/>
  <c r="Y316" i="33" s="1"/>
  <c r="L332" i="17"/>
  <c r="Z324" i="33" s="1"/>
  <c r="L316" i="17"/>
  <c r="Z308" i="33" s="1"/>
  <c r="K362" i="17"/>
  <c r="Y354" i="33" s="1"/>
  <c r="K346" i="17"/>
  <c r="Y338" i="33" s="1"/>
  <c r="K289" i="17"/>
  <c r="Y281" i="33" s="1"/>
  <c r="K273" i="17"/>
  <c r="Y265" i="33" s="1"/>
  <c r="K257" i="17"/>
  <c r="Y249" i="33" s="1"/>
  <c r="K309" i="17"/>
  <c r="Y301" i="33" s="1"/>
  <c r="K315" i="17"/>
  <c r="Y307" i="33" s="1"/>
  <c r="K323" i="17"/>
  <c r="Y315" i="33" s="1"/>
  <c r="L331" i="17"/>
  <c r="Z323" i="33" s="1"/>
  <c r="K341" i="17"/>
  <c r="Y333" i="33" s="1"/>
  <c r="K361" i="17"/>
  <c r="Y353" i="33" s="1"/>
  <c r="K345" i="17"/>
  <c r="Y337" i="33" s="1"/>
  <c r="K288" i="17"/>
  <c r="Y280" i="33" s="1"/>
  <c r="K272" i="17"/>
  <c r="Y264" i="33" s="1"/>
  <c r="K256" i="17"/>
  <c r="Y248" i="33" s="1"/>
  <c r="K308" i="17"/>
  <c r="Y300" i="33" s="1"/>
  <c r="K338" i="17"/>
  <c r="Y330" i="33" s="1"/>
  <c r="K322" i="17"/>
  <c r="Y314" i="33" s="1"/>
  <c r="L330" i="17"/>
  <c r="Z322" i="33" s="1"/>
  <c r="K376" i="17"/>
  <c r="Y368" i="33" s="1"/>
  <c r="K360" i="17"/>
  <c r="Y352" i="33" s="1"/>
  <c r="K344" i="17"/>
  <c r="Y336" i="33" s="1"/>
  <c r="K287" i="17"/>
  <c r="Y279" i="33" s="1"/>
  <c r="K271" i="17"/>
  <c r="Y263" i="33" s="1"/>
  <c r="K255" i="17"/>
  <c r="Y247" i="33" s="1"/>
  <c r="K307" i="17"/>
  <c r="Y299" i="33" s="1"/>
  <c r="K375" i="17"/>
  <c r="Y367" i="33" s="1"/>
  <c r="K359" i="17"/>
  <c r="Y351" i="33" s="1"/>
  <c r="K343" i="17"/>
  <c r="Y335" i="33" s="1"/>
  <c r="K286" i="17"/>
  <c r="Y278" i="33" s="1"/>
  <c r="K270" i="17"/>
  <c r="Y262" i="33" s="1"/>
  <c r="K254" i="17"/>
  <c r="Y246" i="33" s="1"/>
  <c r="K306" i="17"/>
  <c r="Y298" i="33" s="1"/>
  <c r="K374" i="17"/>
  <c r="Y366" i="33" s="1"/>
  <c r="K358" i="17"/>
  <c r="Y350" i="33" s="1"/>
  <c r="K342" i="17"/>
  <c r="Y334" i="33" s="1"/>
  <c r="K285" i="17"/>
  <c r="Y277" i="33" s="1"/>
  <c r="K269" i="17"/>
  <c r="Y261" i="33" s="1"/>
  <c r="K253" i="17"/>
  <c r="Y245" i="33" s="1"/>
  <c r="K305" i="17"/>
  <c r="Y297" i="33" s="1"/>
  <c r="K373" i="17"/>
  <c r="Y365" i="33" s="1"/>
  <c r="K357" i="17"/>
  <c r="Y349" i="33" s="1"/>
  <c r="K284" i="17"/>
  <c r="Y276" i="33" s="1"/>
  <c r="K268" i="17"/>
  <c r="Y260" i="33" s="1"/>
  <c r="K252" i="17"/>
  <c r="Y244" i="33" s="1"/>
  <c r="K304" i="17"/>
  <c r="Y296" i="33" s="1"/>
  <c r="K372" i="17"/>
  <c r="Y364" i="33" s="1"/>
  <c r="K356" i="17"/>
  <c r="Y348" i="33" s="1"/>
  <c r="K283" i="17"/>
  <c r="Y275" i="33" s="1"/>
  <c r="K267" i="17"/>
  <c r="Y259" i="33" s="1"/>
  <c r="K251" i="17"/>
  <c r="Y243" i="33" s="1"/>
  <c r="K303" i="17"/>
  <c r="Y295" i="33" s="1"/>
  <c r="K282" i="17"/>
  <c r="Y274" i="33" s="1"/>
  <c r="K266" i="17"/>
  <c r="Y258" i="33" s="1"/>
  <c r="K250" i="17"/>
  <c r="Y242" i="33" s="1"/>
  <c r="K302" i="17"/>
  <c r="Y294" i="33" s="1"/>
  <c r="K281" i="17"/>
  <c r="Y273" i="33" s="1"/>
  <c r="K265" i="17"/>
  <c r="Y257" i="33" s="1"/>
  <c r="K249" i="17"/>
  <c r="Y241" i="33" s="1"/>
  <c r="K280" i="17"/>
  <c r="Y272" i="33" s="1"/>
  <c r="K264" i="17"/>
  <c r="Y256" i="33" s="1"/>
  <c r="K248" i="17"/>
  <c r="Y240" i="33" s="1"/>
  <c r="L204" i="17"/>
  <c r="Z196" i="33" s="1"/>
  <c r="L188" i="17"/>
  <c r="Z180" i="33" s="1"/>
  <c r="L156" i="17"/>
  <c r="Z148" i="33" s="1"/>
  <c r="L191" i="17"/>
  <c r="Z183" i="33" s="1"/>
  <c r="K209" i="17"/>
  <c r="Y201" i="33" s="1"/>
  <c r="L159" i="17"/>
  <c r="Z151" i="33" s="1"/>
  <c r="K177" i="17"/>
  <c r="Y169" i="33" s="1"/>
  <c r="K194" i="17"/>
  <c r="Y186" i="33" s="1"/>
  <c r="K178" i="17"/>
  <c r="Y170" i="33" s="1"/>
  <c r="K210" i="17"/>
  <c r="Y202" i="33" s="1"/>
  <c r="L201" i="17"/>
  <c r="Z193" i="33" s="1"/>
  <c r="K223" i="17"/>
  <c r="Y215" i="33" s="1"/>
  <c r="K186" i="17"/>
  <c r="Y178" i="33" s="1"/>
  <c r="K219" i="17"/>
  <c r="Y211" i="33" s="1"/>
  <c r="L161" i="17"/>
  <c r="Z153" i="33" s="1"/>
  <c r="L242" i="17"/>
  <c r="Z234" i="33" s="1"/>
  <c r="L153" i="17"/>
  <c r="Z145" i="33" s="1"/>
  <c r="L185" i="17"/>
  <c r="Z177" i="33" s="1"/>
  <c r="K169" i="17"/>
  <c r="Y161" i="33" s="1"/>
  <c r="K221" i="17"/>
  <c r="Y213" i="33" s="1"/>
  <c r="L189" i="17"/>
  <c r="Z181" i="33" s="1"/>
  <c r="L232" i="17"/>
  <c r="Z224" i="33" s="1"/>
  <c r="L231" i="17"/>
  <c r="Z223" i="33" s="1"/>
  <c r="L193" i="17"/>
  <c r="Z185" i="33" s="1"/>
  <c r="L173" i="17"/>
  <c r="Z165" i="33" s="1"/>
  <c r="L205" i="17"/>
  <c r="Z197" i="33" s="1"/>
  <c r="L195" i="17"/>
  <c r="Z187" i="33" s="1"/>
  <c r="L157" i="17"/>
  <c r="Z149" i="33" s="1"/>
  <c r="K239" i="17"/>
  <c r="Y231" i="33" s="1"/>
  <c r="K237" i="17"/>
  <c r="Y229" i="33" s="1"/>
  <c r="K235" i="17"/>
  <c r="Y227" i="33" s="1"/>
  <c r="L147" i="17"/>
  <c r="Z139" i="33" s="1"/>
  <c r="K238" i="17"/>
  <c r="Y230" i="33" s="1"/>
  <c r="K222" i="17"/>
  <c r="Y214" i="33" s="1"/>
  <c r="L230" i="17"/>
  <c r="Z222" i="33" s="1"/>
  <c r="K236" i="17"/>
  <c r="Y228" i="33" s="1"/>
  <c r="K220" i="17"/>
  <c r="Y212" i="33" s="1"/>
  <c r="L229" i="17"/>
  <c r="Z221" i="33" s="1"/>
  <c r="L228" i="17"/>
  <c r="Z220" i="33" s="1"/>
  <c r="K234" i="17"/>
  <c r="Y226" i="33" s="1"/>
  <c r="K218" i="17"/>
  <c r="Y210" i="33" s="1"/>
  <c r="L227" i="17"/>
  <c r="Z219" i="33" s="1"/>
  <c r="K233" i="17"/>
  <c r="Y225" i="33" s="1"/>
  <c r="L217" i="17"/>
  <c r="Z209" i="33" s="1"/>
  <c r="L226" i="17"/>
  <c r="Z218" i="33" s="1"/>
  <c r="L211" i="17"/>
  <c r="Z203" i="33" s="1"/>
  <c r="L241" i="17"/>
  <c r="Z233" i="33" s="1"/>
  <c r="L225" i="17"/>
  <c r="Z217" i="33" s="1"/>
  <c r="L240" i="17"/>
  <c r="Z232" i="33" s="1"/>
  <c r="L224" i="17"/>
  <c r="Z216" i="33" s="1"/>
  <c r="L163" i="17"/>
  <c r="Z155" i="33" s="1"/>
  <c r="L179" i="17"/>
  <c r="Z171" i="33" s="1"/>
  <c r="K202" i="17"/>
  <c r="Y194" i="33" s="1"/>
  <c r="L181" i="17"/>
  <c r="Z173" i="33" s="1"/>
  <c r="L197" i="17"/>
  <c r="Z189" i="33" s="1"/>
  <c r="L165" i="17"/>
  <c r="Z157" i="33" s="1"/>
  <c r="L213" i="17"/>
  <c r="Z205" i="33" s="1"/>
  <c r="L149" i="17"/>
  <c r="Z141" i="33" s="1"/>
  <c r="L162" i="17"/>
  <c r="Z154" i="33" s="1"/>
  <c r="L151" i="17"/>
  <c r="Z143" i="33" s="1"/>
  <c r="L199" i="17"/>
  <c r="Z191" i="33" s="1"/>
  <c r="AC10" i="14" a="1"/>
  <c r="AC10" i="14" s="1"/>
  <c r="W35" i="19" a="1"/>
  <c r="W35" i="19" s="1"/>
  <c r="U24" i="19" a="1"/>
  <c r="U24" i="19" s="1"/>
  <c r="L167" i="17"/>
  <c r="Z159" i="33" s="1"/>
  <c r="Y9" i="19" a="1"/>
  <c r="Y9" i="19" s="1"/>
  <c r="L183" i="17"/>
  <c r="Z175" i="33" s="1"/>
  <c r="X9" i="19" a="1"/>
  <c r="X9" i="19" s="1"/>
  <c r="V11" i="14" a="1"/>
  <c r="V11" i="14" s="1"/>
  <c r="L200" i="17"/>
  <c r="Z192" i="33" s="1"/>
  <c r="U4" i="14" a="1"/>
  <c r="U4" i="14" s="1"/>
  <c r="AF37" i="19" a="1"/>
  <c r="AF37" i="19" s="1"/>
  <c r="L214" i="17"/>
  <c r="Z206" i="33" s="1"/>
  <c r="S25" i="14" a="1"/>
  <c r="S25" i="14" s="1"/>
  <c r="AC27" i="19" a="1"/>
  <c r="AC27" i="19" s="1"/>
  <c r="L166" i="17"/>
  <c r="Z158" i="33" s="1"/>
  <c r="L152" i="17"/>
  <c r="Z144" i="33" s="1"/>
  <c r="AD22" i="14" a="1"/>
  <c r="AD22" i="14" s="1"/>
  <c r="AB6" i="19" a="1"/>
  <c r="AB6" i="19" s="1"/>
  <c r="L198" i="17"/>
  <c r="Z190" i="33" s="1"/>
  <c r="L168" i="17"/>
  <c r="Z160" i="33" s="1"/>
  <c r="AC19" i="14" a="1"/>
  <c r="AC19" i="14" s="1"/>
  <c r="AA13" i="14" a="1"/>
  <c r="AA13" i="14" s="1"/>
  <c r="L184" i="17"/>
  <c r="Z176" i="33" s="1"/>
  <c r="L182" i="17"/>
  <c r="Z174" i="33" s="1"/>
  <c r="V2" i="19" a="1"/>
  <c r="V2" i="19" s="1"/>
  <c r="AD34" i="19" a="1"/>
  <c r="AD34" i="19" s="1"/>
  <c r="AD2" i="19" a="1"/>
  <c r="AD2" i="19" s="1"/>
  <c r="V7" i="19" a="1"/>
  <c r="V7" i="19" s="1"/>
  <c r="AA23" i="14" a="1"/>
  <c r="AA23" i="14" s="1"/>
  <c r="Z7" i="14" a="1"/>
  <c r="Z7" i="14" s="1"/>
  <c r="AC34" i="19" a="1"/>
  <c r="AC34" i="19" s="1"/>
  <c r="AF36" i="19" a="1"/>
  <c r="AF36" i="19" s="1"/>
  <c r="AD20" i="19" a="1"/>
  <c r="AD20" i="19" s="1"/>
  <c r="AF4" i="19" a="1"/>
  <c r="AF4" i="19" s="1"/>
  <c r="AA20" i="14" a="1"/>
  <c r="AA20" i="14" s="1"/>
  <c r="AE4" i="14" a="1"/>
  <c r="AE4" i="14" s="1"/>
  <c r="U7" i="19" a="1"/>
  <c r="U7" i="19" s="1"/>
  <c r="AB31" i="19" a="1"/>
  <c r="AB31" i="19" s="1"/>
  <c r="W13" i="15" a="1"/>
  <c r="W13" i="15" s="1"/>
  <c r="AF12" i="15" a="1"/>
  <c r="AF12" i="15" s="1"/>
  <c r="X35" i="19" a="1"/>
  <c r="X35" i="19" s="1"/>
  <c r="T19" i="19" a="1"/>
  <c r="T19" i="19" s="1"/>
  <c r="AB3" i="19" a="1"/>
  <c r="AB3" i="19" s="1"/>
  <c r="AD19" i="14" a="1"/>
  <c r="AD19" i="14" s="1"/>
  <c r="X3" i="14" a="1"/>
  <c r="X3" i="14" s="1"/>
  <c r="Y29" i="19" a="1"/>
  <c r="Y29" i="19" s="1"/>
  <c r="AE30" i="19" a="1"/>
  <c r="AE30" i="19" s="1"/>
  <c r="W18" i="14" a="1"/>
  <c r="W18" i="14" s="1"/>
  <c r="W7" i="14" a="1"/>
  <c r="W7" i="14" s="1"/>
  <c r="X29" i="19" a="1"/>
  <c r="X29" i="19" s="1"/>
  <c r="V4" i="19" a="1"/>
  <c r="V4" i="19" s="1"/>
  <c r="W21" i="19" a="1"/>
  <c r="W21" i="19" s="1"/>
  <c r="AA9" i="15" a="1"/>
  <c r="AA9" i="15" s="1"/>
  <c r="Y32" i="19" a="1"/>
  <c r="Y32" i="19" s="1"/>
  <c r="AA16" i="19" a="1"/>
  <c r="AA16" i="19" s="1"/>
  <c r="AC16" i="14" a="1"/>
  <c r="AC16" i="14" s="1"/>
  <c r="K203" i="17"/>
  <c r="Y195" i="33" s="1"/>
  <c r="L203" i="17"/>
  <c r="Z195" i="33" s="1"/>
  <c r="K187" i="17"/>
  <c r="Y179" i="33" s="1"/>
  <c r="L187" i="17"/>
  <c r="Z179" i="33" s="1"/>
  <c r="L171" i="17"/>
  <c r="Z163" i="33" s="1"/>
  <c r="K171" i="17"/>
  <c r="Y163" i="33" s="1"/>
  <c r="L155" i="17"/>
  <c r="Z147" i="33" s="1"/>
  <c r="K155" i="17"/>
  <c r="Y147" i="33" s="1"/>
  <c r="X18" i="19" a="1"/>
  <c r="X18" i="19" s="1"/>
  <c r="AB17" i="19" a="1"/>
  <c r="AB17" i="19" s="1"/>
  <c r="AE23" i="19" a="1"/>
  <c r="AE23" i="19" s="1"/>
  <c r="K170" i="17"/>
  <c r="Y162" i="33" s="1"/>
  <c r="L170" i="17"/>
  <c r="Z162" i="33" s="1"/>
  <c r="K154" i="17"/>
  <c r="Y146" i="33" s="1"/>
  <c r="L154" i="17"/>
  <c r="Z146" i="33" s="1"/>
  <c r="U15" i="14" a="1"/>
  <c r="U15" i="14" s="1"/>
  <c r="AF5" i="19" a="1"/>
  <c r="AF5" i="19" s="1"/>
  <c r="U8" i="15" a="1"/>
  <c r="U8" i="15" s="1"/>
  <c r="AA15" i="19" a="1"/>
  <c r="AA15" i="19" s="1"/>
  <c r="AB6" i="15" a="1"/>
  <c r="AB6" i="15" s="1"/>
  <c r="AH29" i="19"/>
  <c r="AD13" i="19" a="1"/>
  <c r="AD13" i="19" s="1"/>
  <c r="AC13" i="14" a="1"/>
  <c r="AC13" i="14" s="1"/>
  <c r="Z6" i="14" a="1"/>
  <c r="Z6" i="14" s="1"/>
  <c r="AD4" i="14" a="1"/>
  <c r="AD4" i="14" s="1"/>
  <c r="V21" i="19" a="1"/>
  <c r="V21" i="19" s="1"/>
  <c r="AA14" i="19" a="1"/>
  <c r="AA14" i="19" s="1"/>
  <c r="AB20" i="19" a="1"/>
  <c r="AB20" i="19" s="1"/>
  <c r="AF22" i="19" a="1"/>
  <c r="AF22" i="19" s="1"/>
  <c r="U5" i="15" a="1"/>
  <c r="U5" i="15" s="1"/>
  <c r="AB28" i="19" a="1"/>
  <c r="AB28" i="19" s="1"/>
  <c r="Y12" i="19" a="1"/>
  <c r="Y12" i="19" s="1"/>
  <c r="T12" i="14" a="1"/>
  <c r="T12" i="14" s="1"/>
  <c r="W25" i="14" a="1"/>
  <c r="W25" i="14" s="1"/>
  <c r="Z5" i="14" a="1"/>
  <c r="Z5" i="14" s="1"/>
  <c r="T32" i="19" a="1"/>
  <c r="T32" i="19" s="1"/>
  <c r="U21" i="19" a="1"/>
  <c r="U21" i="19" s="1"/>
  <c r="AF35" i="19" a="1"/>
  <c r="AF35" i="19" s="1"/>
  <c r="AE16" i="19" a="1"/>
  <c r="AE16" i="19" s="1"/>
  <c r="AC6" i="19" a="1"/>
  <c r="AC6" i="19" s="1"/>
  <c r="AC22" i="14" a="1"/>
  <c r="AC22" i="14" s="1"/>
  <c r="AG14" i="14"/>
  <c r="AC7" i="14" a="1"/>
  <c r="AC7" i="14" s="1"/>
  <c r="U4" i="15" a="1"/>
  <c r="U4" i="15" s="1"/>
  <c r="AE27" i="19" a="1"/>
  <c r="AE27" i="19" s="1"/>
  <c r="AH11" i="19"/>
  <c r="W11" i="14" a="1"/>
  <c r="W11" i="14" s="1"/>
  <c r="V25" i="14" a="1"/>
  <c r="V25" i="14" s="1"/>
  <c r="AG13" i="14"/>
  <c r="T31" i="19" a="1"/>
  <c r="T31" i="19" s="1"/>
  <c r="W18" i="19" a="1"/>
  <c r="W18" i="19" s="1"/>
  <c r="AC13" i="19" a="1"/>
  <c r="AC13" i="19" s="1"/>
  <c r="AE34" i="19" a="1"/>
  <c r="AE34" i="19" s="1"/>
  <c r="T33" i="19" a="1"/>
  <c r="T33" i="19" s="1"/>
  <c r="Z21" i="14" a="1"/>
  <c r="Z21" i="14" s="1"/>
  <c r="AD7" i="14" a="1"/>
  <c r="AD7" i="14" s="1"/>
  <c r="U7" i="15" a="1"/>
  <c r="U7" i="15" s="1"/>
  <c r="Y3" i="15" a="1"/>
  <c r="Y3" i="15" s="1"/>
  <c r="AH26" i="19"/>
  <c r="U10" i="19" a="1"/>
  <c r="U10" i="19" s="1"/>
  <c r="AD10" i="14" a="1"/>
  <c r="AD10" i="14" s="1"/>
  <c r="T22" i="14" a="1"/>
  <c r="T22" i="14" s="1"/>
  <c r="AG12" i="14"/>
  <c r="T16" i="19" a="1"/>
  <c r="T16" i="19" s="1"/>
  <c r="V18" i="19" a="1"/>
  <c r="V18" i="19" s="1"/>
  <c r="AF19" i="19" a="1"/>
  <c r="AF19" i="19" s="1"/>
  <c r="AB13" i="19" a="1"/>
  <c r="AB13" i="19" s="1"/>
  <c r="AF23" i="19" a="1"/>
  <c r="AF23" i="19" s="1"/>
  <c r="AE2" i="19" a="1"/>
  <c r="AE2" i="19" s="1"/>
  <c r="AF11" i="15" a="1"/>
  <c r="AF11" i="15" s="1"/>
  <c r="AB25" i="19" a="1"/>
  <c r="AB25" i="19" s="1"/>
  <c r="AF9" i="19" a="1"/>
  <c r="AF9" i="19" s="1"/>
  <c r="AA2" i="14" a="1"/>
  <c r="AA2" i="14" s="1"/>
  <c r="Z9" i="14" a="1"/>
  <c r="Z9" i="14" s="1"/>
  <c r="V18" i="14" a="1"/>
  <c r="V18" i="14" s="1"/>
  <c r="AE25" i="14" a="1"/>
  <c r="AE25" i="14" s="1"/>
  <c r="T15" i="19" a="1"/>
  <c r="T15" i="19" s="1"/>
  <c r="X15" i="19" a="1"/>
  <c r="X15" i="19" s="1"/>
  <c r="AF18" i="19" a="1"/>
  <c r="AF18" i="19" s="1"/>
  <c r="AE9" i="19" a="1"/>
  <c r="AE9" i="19" s="1"/>
  <c r="AB10" i="15" a="1"/>
  <c r="AB10" i="15" s="1"/>
  <c r="AA17" i="14" a="1"/>
  <c r="AA17" i="14" s="1"/>
  <c r="AB24" i="19" a="1"/>
  <c r="AB24" i="19" s="1"/>
  <c r="AF8" i="19" a="1"/>
  <c r="AF8" i="19" s="1"/>
  <c r="Z24" i="14" a="1"/>
  <c r="Z24" i="14" s="1"/>
  <c r="T8" i="14" a="1"/>
  <c r="T8" i="14" s="1"/>
  <c r="U18" i="14" a="1"/>
  <c r="U18" i="14" s="1"/>
  <c r="AD25" i="14" a="1"/>
  <c r="AD25" i="14" s="1"/>
  <c r="W2" i="19" a="1"/>
  <c r="W2" i="19" s="1"/>
  <c r="W15" i="19" a="1"/>
  <c r="W15" i="19" s="1"/>
  <c r="AF3" i="19" a="1"/>
  <c r="AF3" i="19" s="1"/>
  <c r="AD9" i="19" a="1"/>
  <c r="AD9" i="19" s="1"/>
  <c r="L150" i="17"/>
  <c r="Z142" i="33" s="1"/>
  <c r="AH23" i="19"/>
  <c r="AH7" i="19"/>
  <c r="S23" i="14" a="1"/>
  <c r="S23" i="14" s="1"/>
  <c r="S7" i="14" a="1"/>
  <c r="S7" i="14" s="1"/>
  <c r="X15" i="14" a="1"/>
  <c r="X15" i="14" s="1"/>
  <c r="U25" i="14" a="1"/>
  <c r="U25" i="14" s="1"/>
  <c r="W21" i="14" a="1"/>
  <c r="W21" i="14" s="1"/>
  <c r="T18" i="14" a="1"/>
  <c r="T18" i="14" s="1"/>
  <c r="V14" i="14" a="1"/>
  <c r="V14" i="14" s="1"/>
  <c r="T11" i="14" a="1"/>
  <c r="T11" i="14" s="1"/>
  <c r="V7" i="14" a="1"/>
  <c r="V7" i="14" s="1"/>
  <c r="Z19" i="14" a="1"/>
  <c r="Z19" i="14" s="1"/>
  <c r="Z4" i="14" a="1"/>
  <c r="Z4" i="14" s="1"/>
  <c r="AG11" i="14"/>
  <c r="AC25" i="14" a="1"/>
  <c r="AC25" i="14" s="1"/>
  <c r="AB22" i="14" a="1"/>
  <c r="AB22" i="14" s="1"/>
  <c r="AA19" i="14" a="1"/>
  <c r="AA19" i="14" s="1"/>
  <c r="AE15" i="14" a="1"/>
  <c r="AE15" i="14" s="1"/>
  <c r="AE12" i="14" a="1"/>
  <c r="AE12" i="14" s="1"/>
  <c r="AA10" i="14" a="1"/>
  <c r="AA10" i="14" s="1"/>
  <c r="AB7" i="14" a="1"/>
  <c r="AB7" i="14" s="1"/>
  <c r="AC4" i="14" a="1"/>
  <c r="AC4" i="14" s="1"/>
  <c r="T30" i="19" a="1"/>
  <c r="T30" i="19" s="1"/>
  <c r="T14" i="19" a="1"/>
  <c r="T14" i="19" s="1"/>
  <c r="U2" i="19" a="1"/>
  <c r="U2" i="19" s="1"/>
  <c r="U35" i="19" a="1"/>
  <c r="U35" i="19" s="1"/>
  <c r="V32" i="19" a="1"/>
  <c r="V32" i="19" s="1"/>
  <c r="W29" i="19" a="1"/>
  <c r="W29" i="19" s="1"/>
  <c r="X26" i="19" a="1"/>
  <c r="X26" i="19" s="1"/>
  <c r="Y20" i="19" a="1"/>
  <c r="Y20" i="19" s="1"/>
  <c r="U18" i="19" a="1"/>
  <c r="U18" i="19" s="1"/>
  <c r="V15" i="19" a="1"/>
  <c r="V15" i="19" s="1"/>
  <c r="W12" i="19" a="1"/>
  <c r="W12" i="19" s="1"/>
  <c r="W9" i="19" a="1"/>
  <c r="W9" i="19" s="1"/>
  <c r="X6" i="19" a="1"/>
  <c r="X6" i="19" s="1"/>
  <c r="Y3" i="19" a="1"/>
  <c r="Y3" i="19" s="1"/>
  <c r="AA27" i="19" a="1"/>
  <c r="AA27" i="19" s="1"/>
  <c r="AA13" i="19" a="1"/>
  <c r="AA13" i="19" s="1"/>
  <c r="AF33" i="19" a="1"/>
  <c r="AF33" i="19" s="1"/>
  <c r="AF17" i="19" a="1"/>
  <c r="AF17" i="19" s="1"/>
  <c r="AE37" i="19" a="1"/>
  <c r="AE37" i="19" s="1"/>
  <c r="AB34" i="19" a="1"/>
  <c r="AB34" i="19" s="1"/>
  <c r="AD30" i="19" a="1"/>
  <c r="AD30" i="19" s="1"/>
  <c r="AB27" i="19" a="1"/>
  <c r="AB27" i="19" s="1"/>
  <c r="AD23" i="19" a="1"/>
  <c r="AD23" i="19" s="1"/>
  <c r="AC16" i="19" a="1"/>
  <c r="AC16" i="19" s="1"/>
  <c r="AE12" i="19" a="1"/>
  <c r="AE12" i="19" s="1"/>
  <c r="AC9" i="19" a="1"/>
  <c r="AC9" i="19" s="1"/>
  <c r="AE5" i="19" a="1"/>
  <c r="AE5" i="19" s="1"/>
  <c r="AB2" i="19" a="1"/>
  <c r="AB2" i="19" s="1"/>
  <c r="AB16" i="14" a="1"/>
  <c r="AB16" i="14" s="1"/>
  <c r="AH22" i="19"/>
  <c r="AH6" i="19"/>
  <c r="S22" i="14" a="1"/>
  <c r="S22" i="14" s="1"/>
  <c r="S6" i="14" a="1"/>
  <c r="S6" i="14" s="1"/>
  <c r="X14" i="14" a="1"/>
  <c r="X14" i="14" s="1"/>
  <c r="T25" i="14" a="1"/>
  <c r="T25" i="14" s="1"/>
  <c r="V21" i="14" a="1"/>
  <c r="V21" i="14" s="1"/>
  <c r="U14" i="14" a="1"/>
  <c r="U14" i="14" s="1"/>
  <c r="W10" i="14" a="1"/>
  <c r="W10" i="14" s="1"/>
  <c r="U7" i="14" a="1"/>
  <c r="U7" i="14" s="1"/>
  <c r="W3" i="14" a="1"/>
  <c r="W3" i="14" s="1"/>
  <c r="Z18" i="14" a="1"/>
  <c r="Z18" i="14" s="1"/>
  <c r="Z3" i="14" a="1"/>
  <c r="Z3" i="14" s="1"/>
  <c r="AG10" i="14"/>
  <c r="AB25" i="14" a="1"/>
  <c r="AB25" i="14" s="1"/>
  <c r="AA22" i="14" a="1"/>
  <c r="AA22" i="14" s="1"/>
  <c r="AE18" i="14" a="1"/>
  <c r="AE18" i="14" s="1"/>
  <c r="AD15" i="14" a="1"/>
  <c r="AD15" i="14" s="1"/>
  <c r="AD12" i="14" a="1"/>
  <c r="AD12" i="14" s="1"/>
  <c r="AE9" i="14" a="1"/>
  <c r="AE9" i="14" s="1"/>
  <c r="AA7" i="14" a="1"/>
  <c r="AA7" i="14" s="1"/>
  <c r="AB4" i="14" a="1"/>
  <c r="AB4" i="14" s="1"/>
  <c r="T29" i="19" a="1"/>
  <c r="T29" i="19" s="1"/>
  <c r="T13" i="19" a="1"/>
  <c r="T13" i="19" s="1"/>
  <c r="Y37" i="19" a="1"/>
  <c r="Y37" i="19" s="1"/>
  <c r="U32" i="19" a="1"/>
  <c r="U32" i="19" s="1"/>
  <c r="V29" i="19" a="1"/>
  <c r="V29" i="19" s="1"/>
  <c r="W26" i="19" a="1"/>
  <c r="W26" i="19" s="1"/>
  <c r="X23" i="19" a="1"/>
  <c r="X23" i="19" s="1"/>
  <c r="X20" i="19" a="1"/>
  <c r="X20" i="19" s="1"/>
  <c r="Y17" i="19" a="1"/>
  <c r="Y17" i="19" s="1"/>
  <c r="U15" i="19" a="1"/>
  <c r="U15" i="19" s="1"/>
  <c r="V12" i="19" a="1"/>
  <c r="V12" i="19" s="1"/>
  <c r="W6" i="19" a="1"/>
  <c r="W6" i="19" s="1"/>
  <c r="X3" i="19" a="1"/>
  <c r="X3" i="19" s="1"/>
  <c r="AA12" i="19" a="1"/>
  <c r="AA12" i="19" s="1"/>
  <c r="AF32" i="19" a="1"/>
  <c r="AF32" i="19" s="1"/>
  <c r="AF16" i="19" a="1"/>
  <c r="AF16" i="19" s="1"/>
  <c r="AD37" i="19" a="1"/>
  <c r="AD37" i="19" s="1"/>
  <c r="AC30" i="19" a="1"/>
  <c r="AC30" i="19" s="1"/>
  <c r="AE26" i="19" a="1"/>
  <c r="AE26" i="19" s="1"/>
  <c r="AC23" i="19" a="1"/>
  <c r="AC23" i="19" s="1"/>
  <c r="AE19" i="19" a="1"/>
  <c r="AE19" i="19" s="1"/>
  <c r="AB16" i="19" a="1"/>
  <c r="AB16" i="19" s="1"/>
  <c r="AD12" i="19" a="1"/>
  <c r="AD12" i="19" s="1"/>
  <c r="AB9" i="19" a="1"/>
  <c r="AB9" i="19" s="1"/>
  <c r="AD5" i="19" a="1"/>
  <c r="AD5" i="19" s="1"/>
  <c r="AH37" i="19"/>
  <c r="AH21" i="19"/>
  <c r="AH5" i="19"/>
  <c r="S21" i="14" a="1"/>
  <c r="S21" i="14" s="1"/>
  <c r="S5" i="14" a="1"/>
  <c r="S5" i="14" s="1"/>
  <c r="X13" i="14" a="1"/>
  <c r="X13" i="14" s="1"/>
  <c r="W24" i="14" a="1"/>
  <c r="W24" i="14" s="1"/>
  <c r="U21" i="14" a="1"/>
  <c r="U21" i="14" s="1"/>
  <c r="W17" i="14" a="1"/>
  <c r="W17" i="14" s="1"/>
  <c r="T14" i="14" a="1"/>
  <c r="T14" i="14" s="1"/>
  <c r="V10" i="14" a="1"/>
  <c r="V10" i="14" s="1"/>
  <c r="T7" i="14" a="1"/>
  <c r="T7" i="14" s="1"/>
  <c r="V3" i="14" a="1"/>
  <c r="V3" i="14" s="1"/>
  <c r="Z17" i="14" a="1"/>
  <c r="Z17" i="14" s="1"/>
  <c r="AG25" i="14"/>
  <c r="AG9" i="14"/>
  <c r="AA25" i="14" a="1"/>
  <c r="AA25" i="14" s="1"/>
  <c r="AE21" i="14" a="1"/>
  <c r="AE21" i="14" s="1"/>
  <c r="AD18" i="14" a="1"/>
  <c r="AD18" i="14" s="1"/>
  <c r="AC15" i="14" a="1"/>
  <c r="AC15" i="14" s="1"/>
  <c r="AD9" i="14" a="1"/>
  <c r="AD9" i="14" s="1"/>
  <c r="AE6" i="14" a="1"/>
  <c r="AE6" i="14" s="1"/>
  <c r="AA4" i="14" a="1"/>
  <c r="AA4" i="14" s="1"/>
  <c r="T28" i="19" a="1"/>
  <c r="T28" i="19" s="1"/>
  <c r="T12" i="19" a="1"/>
  <c r="T12" i="19" s="1"/>
  <c r="X37" i="19" a="1"/>
  <c r="X37" i="19" s="1"/>
  <c r="Y34" i="19" a="1"/>
  <c r="Y34" i="19" s="1"/>
  <c r="Y31" i="19" a="1"/>
  <c r="Y31" i="19" s="1"/>
  <c r="U29" i="19" a="1"/>
  <c r="U29" i="19" s="1"/>
  <c r="V26" i="19" a="1"/>
  <c r="V26" i="19" s="1"/>
  <c r="W23" i="19" a="1"/>
  <c r="W23" i="19" s="1"/>
  <c r="X17" i="19" a="1"/>
  <c r="X17" i="19" s="1"/>
  <c r="Y14" i="19" a="1"/>
  <c r="Y14" i="19" s="1"/>
  <c r="U12" i="19" a="1"/>
  <c r="U12" i="19" s="1"/>
  <c r="V9" i="19" a="1"/>
  <c r="V9" i="19" s="1"/>
  <c r="V6" i="19" a="1"/>
  <c r="V6" i="19" s="1"/>
  <c r="W3" i="19" a="1"/>
  <c r="W3" i="19" s="1"/>
  <c r="AA26" i="19" a="1"/>
  <c r="AA26" i="19" s="1"/>
  <c r="AA11" i="19" a="1"/>
  <c r="AA11" i="19" s="1"/>
  <c r="AF31" i="19" a="1"/>
  <c r="AF31" i="19" s="1"/>
  <c r="AF15" i="19" a="1"/>
  <c r="AF15" i="19" s="1"/>
  <c r="AC37" i="19" a="1"/>
  <c r="AC37" i="19" s="1"/>
  <c r="AE33" i="19" a="1"/>
  <c r="AE33" i="19" s="1"/>
  <c r="AB30" i="19" a="1"/>
  <c r="AB30" i="19" s="1"/>
  <c r="AD26" i="19" a="1"/>
  <c r="AD26" i="19" s="1"/>
  <c r="AB23" i="19" a="1"/>
  <c r="AB23" i="19" s="1"/>
  <c r="AD19" i="19" a="1"/>
  <c r="AD19" i="19" s="1"/>
  <c r="AC12" i="19" a="1"/>
  <c r="AC12" i="19" s="1"/>
  <c r="AE8" i="19" a="1"/>
  <c r="AE8" i="19" s="1"/>
  <c r="AC5" i="19" a="1"/>
  <c r="AC5" i="19" s="1"/>
  <c r="AH36" i="19"/>
  <c r="AH20" i="19"/>
  <c r="AH4" i="19"/>
  <c r="S20" i="14" a="1"/>
  <c r="S20" i="14" s="1"/>
  <c r="S4" i="14" a="1"/>
  <c r="S4" i="14" s="1"/>
  <c r="X12" i="14" a="1"/>
  <c r="X12" i="14" s="1"/>
  <c r="V24" i="14" a="1"/>
  <c r="V24" i="14" s="1"/>
  <c r="T21" i="14" a="1"/>
  <c r="T21" i="14" s="1"/>
  <c r="V17" i="14" a="1"/>
  <c r="V17" i="14" s="1"/>
  <c r="U10" i="14" a="1"/>
  <c r="U10" i="14" s="1"/>
  <c r="W6" i="14" a="1"/>
  <c r="W6" i="14" s="1"/>
  <c r="U3" i="14" a="1"/>
  <c r="U3" i="14" s="1"/>
  <c r="Z16" i="14" a="1"/>
  <c r="Z16" i="14" s="1"/>
  <c r="AG24" i="14"/>
  <c r="AG8" i="14"/>
  <c r="AE24" i="14" a="1"/>
  <c r="AE24" i="14" s="1"/>
  <c r="AD21" i="14" a="1"/>
  <c r="AD21" i="14" s="1"/>
  <c r="AC18" i="14" a="1"/>
  <c r="AC18" i="14" s="1"/>
  <c r="AB15" i="14" a="1"/>
  <c r="AB15" i="14" s="1"/>
  <c r="AC12" i="14" a="1"/>
  <c r="AC12" i="14" s="1"/>
  <c r="AC9" i="14" a="1"/>
  <c r="AC9" i="14" s="1"/>
  <c r="AD6" i="14" a="1"/>
  <c r="AD6" i="14" s="1"/>
  <c r="AE3" i="14" a="1"/>
  <c r="AE3" i="14" s="1"/>
  <c r="T27" i="19" a="1"/>
  <c r="T27" i="19" s="1"/>
  <c r="T11" i="19" a="1"/>
  <c r="T11" i="19" s="1"/>
  <c r="W37" i="19" a="1"/>
  <c r="W37" i="19" s="1"/>
  <c r="X34" i="19" a="1"/>
  <c r="X34" i="19" s="1"/>
  <c r="Y28" i="19" a="1"/>
  <c r="Y28" i="19" s="1"/>
  <c r="U26" i="19" a="1"/>
  <c r="U26" i="19" s="1"/>
  <c r="V23" i="19" a="1"/>
  <c r="V23" i="19" s="1"/>
  <c r="W20" i="19" a="1"/>
  <c r="W20" i="19" s="1"/>
  <c r="W17" i="19" a="1"/>
  <c r="W17" i="19" s="1"/>
  <c r="X14" i="19" a="1"/>
  <c r="X14" i="19" s="1"/>
  <c r="Y11" i="19" a="1"/>
  <c r="Y11" i="19" s="1"/>
  <c r="U9" i="19" a="1"/>
  <c r="U9" i="19" s="1"/>
  <c r="V3" i="19" a="1"/>
  <c r="V3" i="19" s="1"/>
  <c r="AA25" i="19" a="1"/>
  <c r="AA25" i="19" s="1"/>
  <c r="AF30" i="19" a="1"/>
  <c r="AF30" i="19" s="1"/>
  <c r="AF14" i="19" a="1"/>
  <c r="AF14" i="19" s="1"/>
  <c r="AB37" i="19" a="1"/>
  <c r="AB37" i="19" s="1"/>
  <c r="AD33" i="19" a="1"/>
  <c r="AD33" i="19" s="1"/>
  <c r="AC26" i="19" a="1"/>
  <c r="AC26" i="19" s="1"/>
  <c r="AE22" i="19" a="1"/>
  <c r="AE22" i="19" s="1"/>
  <c r="AC19" i="19" a="1"/>
  <c r="AC19" i="19" s="1"/>
  <c r="AE15" i="19" a="1"/>
  <c r="AE15" i="19" s="1"/>
  <c r="AB12" i="19" a="1"/>
  <c r="AB12" i="19" s="1"/>
  <c r="AD8" i="19" a="1"/>
  <c r="AD8" i="19" s="1"/>
  <c r="AB5" i="19" a="1"/>
  <c r="AB5" i="19" s="1"/>
  <c r="AH35" i="19"/>
  <c r="AH19" i="19"/>
  <c r="AH3" i="19"/>
  <c r="S19" i="14" a="1"/>
  <c r="S19" i="14" s="1"/>
  <c r="S3" i="14" a="1"/>
  <c r="S3" i="14" s="1"/>
  <c r="X11" i="14" a="1"/>
  <c r="X11" i="14" s="1"/>
  <c r="U24" i="14" a="1"/>
  <c r="U24" i="14" s="1"/>
  <c r="W20" i="14" a="1"/>
  <c r="W20" i="14" s="1"/>
  <c r="U17" i="14" a="1"/>
  <c r="U17" i="14" s="1"/>
  <c r="W13" i="14" a="1"/>
  <c r="W13" i="14" s="1"/>
  <c r="T10" i="14" a="1"/>
  <c r="T10" i="14" s="1"/>
  <c r="V6" i="14" a="1"/>
  <c r="V6" i="14" s="1"/>
  <c r="T3" i="14" a="1"/>
  <c r="T3" i="14" s="1"/>
  <c r="Z15" i="14" a="1"/>
  <c r="Z15" i="14" s="1"/>
  <c r="AG23" i="14"/>
  <c r="AG7" i="14"/>
  <c r="AD24" i="14" a="1"/>
  <c r="AD24" i="14" s="1"/>
  <c r="AC21" i="14" a="1"/>
  <c r="AC21" i="14" s="1"/>
  <c r="AB18" i="14" a="1"/>
  <c r="AB18" i="14" s="1"/>
  <c r="AA15" i="14" a="1"/>
  <c r="AA15" i="14" s="1"/>
  <c r="AB12" i="14" a="1"/>
  <c r="AB12" i="14" s="1"/>
  <c r="AC6" i="14" a="1"/>
  <c r="AC6" i="14" s="1"/>
  <c r="AD3" i="14" a="1"/>
  <c r="AD3" i="14" s="1"/>
  <c r="T26" i="19" a="1"/>
  <c r="T26" i="19" s="1"/>
  <c r="T10" i="19" a="1"/>
  <c r="T10" i="19" s="1"/>
  <c r="V37" i="19" a="1"/>
  <c r="V37" i="19" s="1"/>
  <c r="W34" i="19" a="1"/>
  <c r="W34" i="19" s="1"/>
  <c r="X31" i="19" a="1"/>
  <c r="X31" i="19" s="1"/>
  <c r="X28" i="19" a="1"/>
  <c r="X28" i="19" s="1"/>
  <c r="Y25" i="19" a="1"/>
  <c r="Y25" i="19" s="1"/>
  <c r="U23" i="19" a="1"/>
  <c r="U23" i="19" s="1"/>
  <c r="V20" i="19" a="1"/>
  <c r="V20" i="19" s="1"/>
  <c r="W14" i="19" a="1"/>
  <c r="W14" i="19" s="1"/>
  <c r="X11" i="19" a="1"/>
  <c r="X11" i="19" s="1"/>
  <c r="Y8" i="19" a="1"/>
  <c r="Y8" i="19" s="1"/>
  <c r="U6" i="19" a="1"/>
  <c r="U6" i="19" s="1"/>
  <c r="U3" i="19" a="1"/>
  <c r="U3" i="19" s="1"/>
  <c r="AA24" i="19" a="1"/>
  <c r="AA24" i="19" s="1"/>
  <c r="AA10" i="19" a="1"/>
  <c r="AA10" i="19" s="1"/>
  <c r="AF29" i="19" a="1"/>
  <c r="AF29" i="19" s="1"/>
  <c r="AF13" i="19" a="1"/>
  <c r="AF13" i="19" s="1"/>
  <c r="AE36" i="19" a="1"/>
  <c r="AE36" i="19" s="1"/>
  <c r="AC33" i="19" a="1"/>
  <c r="AC33" i="19" s="1"/>
  <c r="AE29" i="19" a="1"/>
  <c r="AE29" i="19" s="1"/>
  <c r="AB26" i="19" a="1"/>
  <c r="AB26" i="19" s="1"/>
  <c r="AD22" i="19" a="1"/>
  <c r="AD22" i="19" s="1"/>
  <c r="AB19" i="19" a="1"/>
  <c r="AB19" i="19" s="1"/>
  <c r="AD15" i="19" a="1"/>
  <c r="AD15" i="19" s="1"/>
  <c r="AC8" i="19" a="1"/>
  <c r="AC8" i="19" s="1"/>
  <c r="AE4" i="19" a="1"/>
  <c r="AE4" i="19" s="1"/>
  <c r="AH34" i="19"/>
  <c r="AH18" i="19"/>
  <c r="S18" i="14" a="1"/>
  <c r="S18" i="14" s="1"/>
  <c r="X2" i="14" a="1"/>
  <c r="X2" i="14" s="1"/>
  <c r="T24" i="14" a="1"/>
  <c r="T24" i="14" s="1"/>
  <c r="V20" i="14" a="1"/>
  <c r="V20" i="14" s="1"/>
  <c r="T17" i="14" a="1"/>
  <c r="T17" i="14" s="1"/>
  <c r="V13" i="14" a="1"/>
  <c r="V13" i="14" s="1"/>
  <c r="U6" i="14" a="1"/>
  <c r="U6" i="14" s="1"/>
  <c r="W2" i="14" a="1"/>
  <c r="W2" i="14" s="1"/>
  <c r="Z14" i="14" a="1"/>
  <c r="Z14" i="14" s="1"/>
  <c r="AG22" i="14"/>
  <c r="AG6" i="14"/>
  <c r="AC24" i="14" a="1"/>
  <c r="AC24" i="14" s="1"/>
  <c r="AB21" i="14" a="1"/>
  <c r="AB21" i="14" s="1"/>
  <c r="AA18" i="14" a="1"/>
  <c r="AA18" i="14" s="1"/>
  <c r="AE14" i="14" a="1"/>
  <c r="AE14" i="14" s="1"/>
  <c r="AA12" i="14" a="1"/>
  <c r="AA12" i="14" s="1"/>
  <c r="AB9" i="14" a="1"/>
  <c r="AB9" i="14" s="1"/>
  <c r="AB6" i="14" a="1"/>
  <c r="AB6" i="14" s="1"/>
  <c r="AC3" i="14" a="1"/>
  <c r="AC3" i="14" s="1"/>
  <c r="T25" i="19" a="1"/>
  <c r="T25" i="19" s="1"/>
  <c r="T9" i="19" a="1"/>
  <c r="T9" i="19" s="1"/>
  <c r="U37" i="19" a="1"/>
  <c r="U37" i="19" s="1"/>
  <c r="V34" i="19" a="1"/>
  <c r="V34" i="19" s="1"/>
  <c r="W31" i="19" a="1"/>
  <c r="W31" i="19" s="1"/>
  <c r="X25" i="19" a="1"/>
  <c r="X25" i="19" s="1"/>
  <c r="Y22" i="19" a="1"/>
  <c r="Y22" i="19" s="1"/>
  <c r="U20" i="19" a="1"/>
  <c r="U20" i="19" s="1"/>
  <c r="V17" i="19" a="1"/>
  <c r="V17" i="19" s="1"/>
  <c r="V14" i="19" a="1"/>
  <c r="V14" i="19" s="1"/>
  <c r="W11" i="19" a="1"/>
  <c r="W11" i="19" s="1"/>
  <c r="X8" i="19" a="1"/>
  <c r="X8" i="19" s="1"/>
  <c r="Y5" i="19" a="1"/>
  <c r="Y5" i="19" s="1"/>
  <c r="AA2" i="19" a="1"/>
  <c r="AA2" i="19" s="1"/>
  <c r="AA23" i="19" a="1"/>
  <c r="AA23" i="19" s="1"/>
  <c r="AA9" i="19" a="1"/>
  <c r="AA9" i="19" s="1"/>
  <c r="AF28" i="19" a="1"/>
  <c r="AF28" i="19" s="1"/>
  <c r="AF12" i="19" a="1"/>
  <c r="AF12" i="19" s="1"/>
  <c r="AD36" i="19" a="1"/>
  <c r="AD36" i="19" s="1"/>
  <c r="AB33" i="19" a="1"/>
  <c r="AB33" i="19" s="1"/>
  <c r="AD29" i="19" a="1"/>
  <c r="AD29" i="19" s="1"/>
  <c r="AC22" i="19" a="1"/>
  <c r="AC22" i="19" s="1"/>
  <c r="AE18" i="19" a="1"/>
  <c r="AE18" i="19" s="1"/>
  <c r="AC15" i="19" a="1"/>
  <c r="AC15" i="19" s="1"/>
  <c r="AE11" i="19" a="1"/>
  <c r="AE11" i="19" s="1"/>
  <c r="AB8" i="19" a="1"/>
  <c r="AB8" i="19" s="1"/>
  <c r="AD4" i="19" a="1"/>
  <c r="AD4" i="19" s="1"/>
  <c r="AA16" i="14" a="1"/>
  <c r="AA16" i="14" s="1"/>
  <c r="AH33" i="19"/>
  <c r="AH17" i="19"/>
  <c r="S17" i="14" a="1"/>
  <c r="S17" i="14" s="1"/>
  <c r="X25" i="14" a="1"/>
  <c r="X25" i="14" s="1"/>
  <c r="X10" i="14" a="1"/>
  <c r="X10" i="14" s="1"/>
  <c r="U20" i="14" a="1"/>
  <c r="U20" i="14" s="1"/>
  <c r="W16" i="14" a="1"/>
  <c r="W16" i="14" s="1"/>
  <c r="U13" i="14" a="1"/>
  <c r="U13" i="14" s="1"/>
  <c r="W9" i="14" a="1"/>
  <c r="W9" i="14" s="1"/>
  <c r="T6" i="14" a="1"/>
  <c r="T6" i="14" s="1"/>
  <c r="V2" i="14" a="1"/>
  <c r="V2" i="14" s="1"/>
  <c r="Z13" i="14" a="1"/>
  <c r="Z13" i="14" s="1"/>
  <c r="AG21" i="14"/>
  <c r="AG5" i="14"/>
  <c r="AB24" i="14" a="1"/>
  <c r="AB24" i="14" s="1"/>
  <c r="AA21" i="14" a="1"/>
  <c r="AA21" i="14" s="1"/>
  <c r="AE17" i="14" a="1"/>
  <c r="AE17" i="14" s="1"/>
  <c r="AD14" i="14" a="1"/>
  <c r="AD14" i="14" s="1"/>
  <c r="AE11" i="14" a="1"/>
  <c r="AE11" i="14" s="1"/>
  <c r="AA9" i="14" a="1"/>
  <c r="AA9" i="14" s="1"/>
  <c r="AB3" i="14" a="1"/>
  <c r="AB3" i="14" s="1"/>
  <c r="T24" i="19" a="1"/>
  <c r="T24" i="19" s="1"/>
  <c r="T8" i="19" a="1"/>
  <c r="T8" i="19" s="1"/>
  <c r="Y36" i="19" a="1"/>
  <c r="Y36" i="19" s="1"/>
  <c r="U34" i="19" a="1"/>
  <c r="U34" i="19" s="1"/>
  <c r="V31" i="19" a="1"/>
  <c r="V31" i="19" s="1"/>
  <c r="W28" i="19" a="1"/>
  <c r="W28" i="19" s="1"/>
  <c r="W25" i="19" a="1"/>
  <c r="W25" i="19" s="1"/>
  <c r="X22" i="19" a="1"/>
  <c r="X22" i="19" s="1"/>
  <c r="Y19" i="19" a="1"/>
  <c r="Y19" i="19" s="1"/>
  <c r="U17" i="19" a="1"/>
  <c r="U17" i="19" s="1"/>
  <c r="V11" i="19" a="1"/>
  <c r="V11" i="19" s="1"/>
  <c r="W8" i="19" a="1"/>
  <c r="W8" i="19" s="1"/>
  <c r="X5" i="19" a="1"/>
  <c r="X5" i="19" s="1"/>
  <c r="AA37" i="19" a="1"/>
  <c r="AA37" i="19" s="1"/>
  <c r="AA22" i="19" a="1"/>
  <c r="AA22" i="19" s="1"/>
  <c r="AA8" i="19" a="1"/>
  <c r="AA8" i="19" s="1"/>
  <c r="AF27" i="19" a="1"/>
  <c r="AF27" i="19" s="1"/>
  <c r="AF11" i="19" a="1"/>
  <c r="AF11" i="19" s="1"/>
  <c r="AC36" i="19" a="1"/>
  <c r="AC36" i="19" s="1"/>
  <c r="AE32" i="19" a="1"/>
  <c r="AE32" i="19" s="1"/>
  <c r="AC29" i="19" a="1"/>
  <c r="AC29" i="19" s="1"/>
  <c r="AE25" i="19" a="1"/>
  <c r="AE25" i="19" s="1"/>
  <c r="AB22" i="19" a="1"/>
  <c r="AB22" i="19" s="1"/>
  <c r="AD18" i="19" a="1"/>
  <c r="AD18" i="19" s="1"/>
  <c r="AB15" i="19" a="1"/>
  <c r="AB15" i="19" s="1"/>
  <c r="AD11" i="19" a="1"/>
  <c r="AD11" i="19" s="1"/>
  <c r="AC4" i="19" a="1"/>
  <c r="AC4" i="19" s="1"/>
  <c r="AH32" i="19"/>
  <c r="AH16" i="19"/>
  <c r="S16" i="14" a="1"/>
  <c r="S16" i="14" s="1"/>
  <c r="X24" i="14" a="1"/>
  <c r="X24" i="14" s="1"/>
  <c r="X9" i="14" a="1"/>
  <c r="X9" i="14" s="1"/>
  <c r="W23" i="14" a="1"/>
  <c r="W23" i="14" s="1"/>
  <c r="T20" i="14" a="1"/>
  <c r="T20" i="14" s="1"/>
  <c r="V16" i="14" a="1"/>
  <c r="V16" i="14" s="1"/>
  <c r="T13" i="14" a="1"/>
  <c r="T13" i="14" s="1"/>
  <c r="V9" i="14" a="1"/>
  <c r="V9" i="14" s="1"/>
  <c r="U2" i="14" a="1"/>
  <c r="U2" i="14" s="1"/>
  <c r="Z12" i="14" a="1"/>
  <c r="Z12" i="14" s="1"/>
  <c r="AG20" i="14"/>
  <c r="AG4" i="14"/>
  <c r="AA24" i="14" a="1"/>
  <c r="AA24" i="14" s="1"/>
  <c r="AE20" i="14" a="1"/>
  <c r="AE20" i="14" s="1"/>
  <c r="AD17" i="14" a="1"/>
  <c r="AD17" i="14" s="1"/>
  <c r="AC14" i="14" a="1"/>
  <c r="AC14" i="14" s="1"/>
  <c r="AD11" i="14" a="1"/>
  <c r="AD11" i="14" s="1"/>
  <c r="AE8" i="14" a="1"/>
  <c r="AE8" i="14" s="1"/>
  <c r="AA6" i="14" a="1"/>
  <c r="AA6" i="14" s="1"/>
  <c r="AA3" i="14" a="1"/>
  <c r="AA3" i="14" s="1"/>
  <c r="T23" i="19" a="1"/>
  <c r="T23" i="19" s="1"/>
  <c r="T7" i="19" a="1"/>
  <c r="T7" i="19" s="1"/>
  <c r="X36" i="19" a="1"/>
  <c r="X36" i="19" s="1"/>
  <c r="Y33" i="19" a="1"/>
  <c r="Y33" i="19" s="1"/>
  <c r="U31" i="19" a="1"/>
  <c r="U31" i="19" s="1"/>
  <c r="V28" i="19" a="1"/>
  <c r="V28" i="19" s="1"/>
  <c r="W22" i="19" a="1"/>
  <c r="W22" i="19" s="1"/>
  <c r="X19" i="19" a="1"/>
  <c r="X19" i="19" s="1"/>
  <c r="Y16" i="19" a="1"/>
  <c r="Y16" i="19" s="1"/>
  <c r="U14" i="19" a="1"/>
  <c r="U14" i="19" s="1"/>
  <c r="U11" i="19" a="1"/>
  <c r="U11" i="19" s="1"/>
  <c r="V8" i="19" a="1"/>
  <c r="V8" i="19" s="1"/>
  <c r="W5" i="19" a="1"/>
  <c r="W5" i="19" s="1"/>
  <c r="AA36" i="19" a="1"/>
  <c r="AA36" i="19" s="1"/>
  <c r="AA21" i="19" a="1"/>
  <c r="AA21" i="19" s="1"/>
  <c r="AA7" i="19" a="1"/>
  <c r="AA7" i="19" s="1"/>
  <c r="AF26" i="19" a="1"/>
  <c r="AF26" i="19" s="1"/>
  <c r="AF10" i="19" a="1"/>
  <c r="AF10" i="19" s="1"/>
  <c r="AB36" i="19" a="1"/>
  <c r="AB36" i="19" s="1"/>
  <c r="AD32" i="19" a="1"/>
  <c r="AD32" i="19" s="1"/>
  <c r="AB29" i="19" a="1"/>
  <c r="AB29" i="19" s="1"/>
  <c r="AD25" i="19" a="1"/>
  <c r="AD25" i="19" s="1"/>
  <c r="AC18" i="19" a="1"/>
  <c r="AC18" i="19" s="1"/>
  <c r="AE14" i="19" a="1"/>
  <c r="AE14" i="19" s="1"/>
  <c r="AC11" i="19" a="1"/>
  <c r="AC11" i="19" s="1"/>
  <c r="AE7" i="19" a="1"/>
  <c r="AE7" i="19" s="1"/>
  <c r="AB4" i="19" a="1"/>
  <c r="AB4" i="19" s="1"/>
  <c r="AH31" i="19"/>
  <c r="AH15" i="19"/>
  <c r="S15" i="14" a="1"/>
  <c r="S15" i="14" s="1"/>
  <c r="X23" i="14" a="1"/>
  <c r="X23" i="14" s="1"/>
  <c r="X8" i="14" a="1"/>
  <c r="X8" i="14" s="1"/>
  <c r="V23" i="14" a="1"/>
  <c r="V23" i="14" s="1"/>
  <c r="U16" i="14" a="1"/>
  <c r="U16" i="14" s="1"/>
  <c r="W12" i="14" a="1"/>
  <c r="W12" i="14" s="1"/>
  <c r="U9" i="14" a="1"/>
  <c r="U9" i="14" s="1"/>
  <c r="W5" i="14" a="1"/>
  <c r="W5" i="14" s="1"/>
  <c r="T2" i="14" a="1"/>
  <c r="T2" i="14" s="1"/>
  <c r="Z11" i="14" a="1"/>
  <c r="Z11" i="14" s="1"/>
  <c r="AG19" i="14"/>
  <c r="AG3" i="14"/>
  <c r="AE23" i="14" a="1"/>
  <c r="AE23" i="14" s="1"/>
  <c r="AD20" i="14" a="1"/>
  <c r="AD20" i="14" s="1"/>
  <c r="AC17" i="14" a="1"/>
  <c r="AC17" i="14" s="1"/>
  <c r="AB14" i="14" a="1"/>
  <c r="AB14" i="14" s="1"/>
  <c r="AC11" i="14" a="1"/>
  <c r="AC11" i="14" s="1"/>
  <c r="AD8" i="14" a="1"/>
  <c r="AD8" i="14" s="1"/>
  <c r="AE5" i="14" a="1"/>
  <c r="AE5" i="14" s="1"/>
  <c r="T2" i="19" a="1"/>
  <c r="T2" i="19" s="1"/>
  <c r="T22" i="19" a="1"/>
  <c r="T22" i="19" s="1"/>
  <c r="T6" i="19" a="1"/>
  <c r="T6" i="19" s="1"/>
  <c r="X33" i="19" a="1"/>
  <c r="X33" i="19" s="1"/>
  <c r="Y30" i="19" a="1"/>
  <c r="Y30" i="19" s="1"/>
  <c r="U28" i="19" a="1"/>
  <c r="U28" i="19" s="1"/>
  <c r="V25" i="19" a="1"/>
  <c r="V25" i="19" s="1"/>
  <c r="V22" i="19" a="1"/>
  <c r="V22" i="19" s="1"/>
  <c r="W19" i="19" a="1"/>
  <c r="W19" i="19" s="1"/>
  <c r="X16" i="19" a="1"/>
  <c r="X16" i="19" s="1"/>
  <c r="Y13" i="19" a="1"/>
  <c r="Y13" i="19" s="1"/>
  <c r="U8" i="19" a="1"/>
  <c r="U8" i="19" s="1"/>
  <c r="V5" i="19" a="1"/>
  <c r="V5" i="19" s="1"/>
  <c r="AA35" i="19" a="1"/>
  <c r="AA35" i="19" s="1"/>
  <c r="AA20" i="19" a="1"/>
  <c r="AA20" i="19" s="1"/>
  <c r="AA6" i="19" a="1"/>
  <c r="AA6" i="19" s="1"/>
  <c r="AF25" i="19" a="1"/>
  <c r="AF25" i="19" s="1"/>
  <c r="AC32" i="19" a="1"/>
  <c r="AC32" i="19" s="1"/>
  <c r="AE28" i="19" a="1"/>
  <c r="AE28" i="19" s="1"/>
  <c r="AC25" i="19" a="1"/>
  <c r="AC25" i="19" s="1"/>
  <c r="AE21" i="19" a="1"/>
  <c r="AE21" i="19" s="1"/>
  <c r="AB18" i="19" a="1"/>
  <c r="AB18" i="19" s="1"/>
  <c r="AD14" i="19" a="1"/>
  <c r="AD14" i="19" s="1"/>
  <c r="AB11" i="19" a="1"/>
  <c r="AB11" i="19" s="1"/>
  <c r="AD7" i="19" a="1"/>
  <c r="AD7" i="19" s="1"/>
  <c r="W32" i="19" a="1"/>
  <c r="W32" i="19" s="1"/>
  <c r="AD16" i="19" a="1"/>
  <c r="AD16" i="19" s="1"/>
  <c r="AH30" i="19"/>
  <c r="AH14" i="19"/>
  <c r="S14" i="14" a="1"/>
  <c r="S14" i="14" s="1"/>
  <c r="X22" i="14" a="1"/>
  <c r="X22" i="14" s="1"/>
  <c r="X7" i="14" a="1"/>
  <c r="X7" i="14" s="1"/>
  <c r="U23" i="14" a="1"/>
  <c r="U23" i="14" s="1"/>
  <c r="W19" i="14" a="1"/>
  <c r="W19" i="14" s="1"/>
  <c r="T16" i="14" a="1"/>
  <c r="T16" i="14" s="1"/>
  <c r="V12" i="14" a="1"/>
  <c r="V12" i="14" s="1"/>
  <c r="T9" i="14" a="1"/>
  <c r="T9" i="14" s="1"/>
  <c r="V5" i="14" a="1"/>
  <c r="V5" i="14" s="1"/>
  <c r="Z2" i="14" a="1"/>
  <c r="Z2" i="14" s="1"/>
  <c r="AG18" i="14"/>
  <c r="AE2" i="14" a="1"/>
  <c r="AE2" i="14" s="1"/>
  <c r="AD23" i="14" a="1"/>
  <c r="AD23" i="14" s="1"/>
  <c r="AC20" i="14" a="1"/>
  <c r="AC20" i="14" s="1"/>
  <c r="AB17" i="14" a="1"/>
  <c r="AB17" i="14" s="1"/>
  <c r="AB11" i="14" a="1"/>
  <c r="AB11" i="14" s="1"/>
  <c r="AC8" i="14" a="1"/>
  <c r="AC8" i="14" s="1"/>
  <c r="AD5" i="14" a="1"/>
  <c r="AD5" i="14" s="1"/>
  <c r="T21" i="19" a="1"/>
  <c r="T21" i="19" s="1"/>
  <c r="T5" i="19" a="1"/>
  <c r="T5" i="19" s="1"/>
  <c r="W36" i="19" a="1"/>
  <c r="W36" i="19" s="1"/>
  <c r="W33" i="19" a="1"/>
  <c r="W33" i="19" s="1"/>
  <c r="X30" i="19" a="1"/>
  <c r="X30" i="19" s="1"/>
  <c r="Y27" i="19" a="1"/>
  <c r="Y27" i="19" s="1"/>
  <c r="U25" i="19" a="1"/>
  <c r="U25" i="19" s="1"/>
  <c r="V19" i="19" a="1"/>
  <c r="V19" i="19" s="1"/>
  <c r="W16" i="19" a="1"/>
  <c r="W16" i="19" s="1"/>
  <c r="X13" i="19" a="1"/>
  <c r="X13" i="19" s="1"/>
  <c r="Y10" i="19" a="1"/>
  <c r="Y10" i="19" s="1"/>
  <c r="Y7" i="19" a="1"/>
  <c r="Y7" i="19" s="1"/>
  <c r="U5" i="19" a="1"/>
  <c r="U5" i="19" s="1"/>
  <c r="AA34" i="19" a="1"/>
  <c r="AA34" i="19" s="1"/>
  <c r="AA19" i="19" a="1"/>
  <c r="AA19" i="19" s="1"/>
  <c r="AA5" i="19" a="1"/>
  <c r="AA5" i="19" s="1"/>
  <c r="AF24" i="19" a="1"/>
  <c r="AF24" i="19" s="1"/>
  <c r="AE35" i="19" a="1"/>
  <c r="AE35" i="19" s="1"/>
  <c r="AB32" i="19" a="1"/>
  <c r="AB32" i="19" s="1"/>
  <c r="AD28" i="19" a="1"/>
  <c r="AD28" i="19" s="1"/>
  <c r="AD21" i="19" a="1"/>
  <c r="AD21" i="19" s="1"/>
  <c r="AC14" i="19" a="1"/>
  <c r="AC14" i="19" s="1"/>
  <c r="AE10" i="19" a="1"/>
  <c r="AE10" i="19" s="1"/>
  <c r="AC7" i="19" a="1"/>
  <c r="AC7" i="19" s="1"/>
  <c r="AE3" i="19" a="1"/>
  <c r="AE3" i="19" s="1"/>
  <c r="AH13" i="19"/>
  <c r="S13" i="14" a="1"/>
  <c r="S13" i="14" s="1"/>
  <c r="T23" i="14" a="1"/>
  <c r="T23" i="14" s="1"/>
  <c r="V19" i="14" a="1"/>
  <c r="V19" i="14" s="1"/>
  <c r="U12" i="14" a="1"/>
  <c r="U12" i="14" s="1"/>
  <c r="W8" i="14" a="1"/>
  <c r="W8" i="14" s="1"/>
  <c r="U5" i="14" a="1"/>
  <c r="U5" i="14" s="1"/>
  <c r="Z10" i="14" a="1"/>
  <c r="Z10" i="14" s="1"/>
  <c r="AG17" i="14"/>
  <c r="AD2" i="14" a="1"/>
  <c r="AD2" i="14" s="1"/>
  <c r="AC23" i="14" a="1"/>
  <c r="AC23" i="14" s="1"/>
  <c r="AB20" i="14" a="1"/>
  <c r="AB20" i="14" s="1"/>
  <c r="AA14" i="14" a="1"/>
  <c r="AA14" i="14" s="1"/>
  <c r="AA11" i="14" a="1"/>
  <c r="AA11" i="14" s="1"/>
  <c r="AB8" i="14" a="1"/>
  <c r="AB8" i="14" s="1"/>
  <c r="AC5" i="14" a="1"/>
  <c r="AC5" i="14" s="1"/>
  <c r="T36" i="19" a="1"/>
  <c r="T36" i="19" s="1"/>
  <c r="T20" i="19" a="1"/>
  <c r="T20" i="19" s="1"/>
  <c r="T4" i="19" a="1"/>
  <c r="T4" i="19" s="1"/>
  <c r="V36" i="19" a="1"/>
  <c r="V36" i="19" s="1"/>
  <c r="W30" i="19" a="1"/>
  <c r="W30" i="19" s="1"/>
  <c r="X27" i="19" a="1"/>
  <c r="X27" i="19" s="1"/>
  <c r="Y24" i="19" a="1"/>
  <c r="Y24" i="19" s="1"/>
  <c r="U22" i="19" a="1"/>
  <c r="U22" i="19" s="1"/>
  <c r="U19" i="19" a="1"/>
  <c r="U19" i="19" s="1"/>
  <c r="V16" i="19" a="1"/>
  <c r="V16" i="19" s="1"/>
  <c r="W13" i="19" a="1"/>
  <c r="W13" i="19" s="1"/>
  <c r="X10" i="19" a="1"/>
  <c r="X10" i="19" s="1"/>
  <c r="Y4" i="19" a="1"/>
  <c r="Y4" i="19" s="1"/>
  <c r="AA33" i="19" a="1"/>
  <c r="AA33" i="19" s="1"/>
  <c r="AA4" i="19" a="1"/>
  <c r="AA4" i="19" s="1"/>
  <c r="AF7" i="19" a="1"/>
  <c r="AF7" i="19" s="1"/>
  <c r="AD35" i="19" a="1"/>
  <c r="AD35" i="19" s="1"/>
  <c r="AC28" i="19" a="1"/>
  <c r="AC28" i="19" s="1"/>
  <c r="AE24" i="19" a="1"/>
  <c r="AE24" i="19" s="1"/>
  <c r="AC21" i="19" a="1"/>
  <c r="AC21" i="19" s="1"/>
  <c r="AE17" i="19" a="1"/>
  <c r="AE17" i="19" s="1"/>
  <c r="AD10" i="19" a="1"/>
  <c r="AD10" i="19" s="1"/>
  <c r="AB7" i="19" a="1"/>
  <c r="AB7" i="19" s="1"/>
  <c r="AD3" i="19" a="1"/>
  <c r="AD3" i="19" s="1"/>
  <c r="X16" i="14" a="1"/>
  <c r="X16" i="14" s="1"/>
  <c r="AH28" i="19"/>
  <c r="AH12" i="19"/>
  <c r="S12" i="14" a="1"/>
  <c r="S12" i="14" s="1"/>
  <c r="X20" i="14" a="1"/>
  <c r="X20" i="14" s="1"/>
  <c r="X5" i="14" a="1"/>
  <c r="X5" i="14" s="1"/>
  <c r="W22" i="14" a="1"/>
  <c r="W22" i="14" s="1"/>
  <c r="U19" i="14" a="1"/>
  <c r="U19" i="14" s="1"/>
  <c r="W15" i="14" a="1"/>
  <c r="W15" i="14" s="1"/>
  <c r="V8" i="14" a="1"/>
  <c r="V8" i="14" s="1"/>
  <c r="T5" i="14" a="1"/>
  <c r="T5" i="14" s="1"/>
  <c r="AG16" i="14"/>
  <c r="AC2" i="14" a="1"/>
  <c r="AC2" i="14" s="1"/>
  <c r="AB23" i="14" a="1"/>
  <c r="AB23" i="14" s="1"/>
  <c r="AE16" i="14" a="1"/>
  <c r="AE16" i="14" s="1"/>
  <c r="AE13" i="14" a="1"/>
  <c r="AE13" i="14" s="1"/>
  <c r="AA8" i="14" a="1"/>
  <c r="AA8" i="14" s="1"/>
  <c r="AB5" i="14" a="1"/>
  <c r="AB5" i="14" s="1"/>
  <c r="T35" i="19" a="1"/>
  <c r="T35" i="19" s="1"/>
  <c r="T3" i="19" a="1"/>
  <c r="T3" i="19" s="1"/>
  <c r="U36" i="19" a="1"/>
  <c r="U36" i="19" s="1"/>
  <c r="V33" i="19" a="1"/>
  <c r="V33" i="19" s="1"/>
  <c r="V30" i="19" a="1"/>
  <c r="V30" i="19" s="1"/>
  <c r="W27" i="19" a="1"/>
  <c r="W27" i="19" s="1"/>
  <c r="X24" i="19" a="1"/>
  <c r="X24" i="19" s="1"/>
  <c r="Y21" i="19" a="1"/>
  <c r="Y21" i="19" s="1"/>
  <c r="U16" i="19" a="1"/>
  <c r="U16" i="19" s="1"/>
  <c r="V13" i="19" a="1"/>
  <c r="V13" i="19" s="1"/>
  <c r="W10" i="19" a="1"/>
  <c r="W10" i="19" s="1"/>
  <c r="X7" i="19" a="1"/>
  <c r="X7" i="19" s="1"/>
  <c r="X4" i="19" a="1"/>
  <c r="X4" i="19" s="1"/>
  <c r="AA32" i="19" a="1"/>
  <c r="AA32" i="19" s="1"/>
  <c r="AA18" i="19" a="1"/>
  <c r="AA18" i="19" s="1"/>
  <c r="AA3" i="19" a="1"/>
  <c r="AA3" i="19" s="1"/>
  <c r="AF6" i="19" a="1"/>
  <c r="AF6" i="19" s="1"/>
  <c r="AC35" i="19" a="1"/>
  <c r="AC35" i="19" s="1"/>
  <c r="AE31" i="19" a="1"/>
  <c r="AE31" i="19" s="1"/>
  <c r="AD24" i="19" a="1"/>
  <c r="AD24" i="19" s="1"/>
  <c r="AB21" i="19" a="1"/>
  <c r="AB21" i="19" s="1"/>
  <c r="AD17" i="19" a="1"/>
  <c r="AD17" i="19" s="1"/>
  <c r="AC10" i="19" a="1"/>
  <c r="AC10" i="19" s="1"/>
  <c r="AE6" i="19" a="1"/>
  <c r="AE6" i="19" s="1"/>
  <c r="AC3" i="19" a="1"/>
  <c r="AC3" i="19" s="1"/>
  <c r="AH27" i="19"/>
  <c r="S11" i="14" a="1"/>
  <c r="S11" i="14" s="1"/>
  <c r="X19" i="14" a="1"/>
  <c r="X19" i="14" s="1"/>
  <c r="X4" i="14" a="1"/>
  <c r="X4" i="14" s="1"/>
  <c r="V22" i="14" a="1"/>
  <c r="V22" i="14" s="1"/>
  <c r="T19" i="14" a="1"/>
  <c r="T19" i="14" s="1"/>
  <c r="V15" i="14" a="1"/>
  <c r="V15" i="14" s="1"/>
  <c r="U8" i="14" a="1"/>
  <c r="U8" i="14" s="1"/>
  <c r="W4" i="14" a="1"/>
  <c r="W4" i="14" s="1"/>
  <c r="Z23" i="14" a="1"/>
  <c r="Z23" i="14" s="1"/>
  <c r="Z8" i="14" a="1"/>
  <c r="Z8" i="14" s="1"/>
  <c r="AG15" i="14"/>
  <c r="AB2" i="14" a="1"/>
  <c r="AB2" i="14" s="1"/>
  <c r="AE19" i="14" a="1"/>
  <c r="AE19" i="14" s="1"/>
  <c r="AD16" i="14" a="1"/>
  <c r="AD16" i="14" s="1"/>
  <c r="AD13" i="14" a="1"/>
  <c r="AD13" i="14" s="1"/>
  <c r="AE10" i="14" a="1"/>
  <c r="AE10" i="14" s="1"/>
  <c r="AE7" i="14" a="1"/>
  <c r="AE7" i="14" s="1"/>
  <c r="T34" i="19" a="1"/>
  <c r="T34" i="19" s="1"/>
  <c r="T18" i="19" a="1"/>
  <c r="T18" i="19" s="1"/>
  <c r="Y2" i="19" a="1"/>
  <c r="Y2" i="19" s="1"/>
  <c r="Y35" i="19" a="1"/>
  <c r="Y35" i="19" s="1"/>
  <c r="U33" i="19" a="1"/>
  <c r="U33" i="19" s="1"/>
  <c r="V27" i="19" a="1"/>
  <c r="V27" i="19" s="1"/>
  <c r="W24" i="19" a="1"/>
  <c r="W24" i="19" s="1"/>
  <c r="X21" i="19" a="1"/>
  <c r="X21" i="19" s="1"/>
  <c r="Y18" i="19" a="1"/>
  <c r="Y18" i="19" s="1"/>
  <c r="U13" i="19" a="1"/>
  <c r="U13" i="19" s="1"/>
  <c r="V10" i="19" a="1"/>
  <c r="V10" i="19" s="1"/>
  <c r="W7" i="19" a="1"/>
  <c r="W7" i="19" s="1"/>
  <c r="AA31" i="19" a="1"/>
  <c r="AA31" i="19" s="1"/>
  <c r="AA17" i="19" a="1"/>
  <c r="AA17" i="19" s="1"/>
  <c r="AF2" i="19" a="1"/>
  <c r="AF2" i="19" s="1"/>
  <c r="AF21" i="19" a="1"/>
  <c r="AF21" i="19" s="1"/>
  <c r="AB35" i="19" a="1"/>
  <c r="AB35" i="19" s="1"/>
  <c r="AD31" i="19" a="1"/>
  <c r="AD31" i="19" s="1"/>
  <c r="AC24" i="19" a="1"/>
  <c r="AC24" i="19" s="1"/>
  <c r="AE20" i="19" a="1"/>
  <c r="AE20" i="19" s="1"/>
  <c r="AC17" i="19" a="1"/>
  <c r="AC17" i="19" s="1"/>
  <c r="AE13" i="19" a="1"/>
  <c r="AE13" i="19" s="1"/>
  <c r="AB10" i="19" a="1"/>
  <c r="AB10" i="19" s="1"/>
  <c r="AD6" i="19" a="1"/>
  <c r="AD6" i="19" s="1"/>
  <c r="AH10" i="19"/>
  <c r="S2" i="14" a="1"/>
  <c r="S2" i="14" s="1"/>
  <c r="S10" i="14" a="1"/>
  <c r="S10" i="14" s="1"/>
  <c r="X18" i="14" a="1"/>
  <c r="X18" i="14" s="1"/>
  <c r="U22" i="14" a="1"/>
  <c r="U22" i="14" s="1"/>
  <c r="V4" i="14" a="1"/>
  <c r="V4" i="14" s="1"/>
  <c r="Z22" i="14" a="1"/>
  <c r="Z22" i="14" s="1"/>
  <c r="T17" i="19" a="1"/>
  <c r="T17" i="19" s="1"/>
  <c r="X2" i="19" a="1"/>
  <c r="X2" i="19" s="1"/>
  <c r="U30" i="19" a="1"/>
  <c r="U30" i="19" s="1"/>
  <c r="U27" i="19" a="1"/>
  <c r="U27" i="19" s="1"/>
  <c r="V24" i="19" a="1"/>
  <c r="V24" i="19" s="1"/>
  <c r="W4" i="19" a="1"/>
  <c r="W4" i="19" s="1"/>
  <c r="AF20" i="19" a="1"/>
  <c r="AF20" i="19" s="1"/>
  <c r="W16" i="15" a="1"/>
  <c r="W16" i="15" s="1"/>
  <c r="CA287" i="33"/>
  <c r="T9" i="15" a="1"/>
  <c r="T9" i="15" s="1"/>
  <c r="V13" i="15" a="1"/>
  <c r="V13" i="15" s="1"/>
  <c r="U10" i="15" a="1"/>
  <c r="U10" i="15" s="1"/>
  <c r="Y6" i="15" a="1"/>
  <c r="Y6" i="15" s="1"/>
  <c r="AA8" i="15" a="1"/>
  <c r="AA8" i="15" s="1"/>
  <c r="AF10" i="15" a="1"/>
  <c r="AF10" i="15" s="1"/>
  <c r="AE17" i="15" a="1"/>
  <c r="AE17" i="15" s="1"/>
  <c r="AE13" i="15" a="1"/>
  <c r="AE13" i="15" s="1"/>
  <c r="AE9" i="15" a="1"/>
  <c r="AE9" i="15" s="1"/>
  <c r="AE5" i="15" a="1"/>
  <c r="AE5" i="15" s="1"/>
  <c r="T8" i="15" a="1"/>
  <c r="T8" i="15" s="1"/>
  <c r="W19" i="15" a="1"/>
  <c r="W19" i="15" s="1"/>
  <c r="V16" i="15" a="1"/>
  <c r="V16" i="15" s="1"/>
  <c r="U13" i="15" a="1"/>
  <c r="U13" i="15" s="1"/>
  <c r="Y9" i="15" a="1"/>
  <c r="Y9" i="15" s="1"/>
  <c r="X6" i="15" a="1"/>
  <c r="X6" i="15" s="1"/>
  <c r="W3" i="15" a="1"/>
  <c r="W3" i="15" s="1"/>
  <c r="AA7" i="15" a="1"/>
  <c r="AA7" i="15" s="1"/>
  <c r="AF9" i="15" a="1"/>
  <c r="AF9" i="15" s="1"/>
  <c r="AD17" i="15" a="1"/>
  <c r="AD17" i="15" s="1"/>
  <c r="AD13" i="15" a="1"/>
  <c r="AD13" i="15" s="1"/>
  <c r="AD9" i="15" a="1"/>
  <c r="AD9" i="15" s="1"/>
  <c r="AD5" i="15" a="1"/>
  <c r="AD5" i="15" s="1"/>
  <c r="T7" i="15" a="1"/>
  <c r="T7" i="15" s="1"/>
  <c r="V19" i="15" a="1"/>
  <c r="V19" i="15" s="1"/>
  <c r="U16" i="15" a="1"/>
  <c r="U16" i="15" s="1"/>
  <c r="Y12" i="15" a="1"/>
  <c r="Y12" i="15" s="1"/>
  <c r="X9" i="15" a="1"/>
  <c r="X9" i="15" s="1"/>
  <c r="W6" i="15" a="1"/>
  <c r="W6" i="15" s="1"/>
  <c r="V3" i="15" a="1"/>
  <c r="V3" i="15" s="1"/>
  <c r="AA6" i="15" a="1"/>
  <c r="AA6" i="15" s="1"/>
  <c r="AF8" i="15" a="1"/>
  <c r="AF8" i="15" s="1"/>
  <c r="AC17" i="15" a="1"/>
  <c r="AC17" i="15" s="1"/>
  <c r="AC13" i="15" a="1"/>
  <c r="AC13" i="15" s="1"/>
  <c r="AC9" i="15" a="1"/>
  <c r="AC9" i="15" s="1"/>
  <c r="AC5" i="15" a="1"/>
  <c r="AC5" i="15" s="1"/>
  <c r="T6" i="15" a="1"/>
  <c r="T6" i="15" s="1"/>
  <c r="U19" i="15" a="1"/>
  <c r="U19" i="15" s="1"/>
  <c r="Y15" i="15" a="1"/>
  <c r="Y15" i="15" s="1"/>
  <c r="X12" i="15" a="1"/>
  <c r="X12" i="15" s="1"/>
  <c r="W9" i="15" a="1"/>
  <c r="W9" i="15" s="1"/>
  <c r="V6" i="15" a="1"/>
  <c r="V6" i="15" s="1"/>
  <c r="U3" i="15" a="1"/>
  <c r="U3" i="15" s="1"/>
  <c r="AA5" i="15" a="1"/>
  <c r="AA5" i="15" s="1"/>
  <c r="AF7" i="15" a="1"/>
  <c r="AF7" i="15" s="1"/>
  <c r="AB17" i="15" a="1"/>
  <c r="AB17" i="15" s="1"/>
  <c r="AB13" i="15" a="1"/>
  <c r="AB13" i="15" s="1"/>
  <c r="AB9" i="15" a="1"/>
  <c r="AB9" i="15" s="1"/>
  <c r="AB5" i="15" a="1"/>
  <c r="AB5" i="15" s="1"/>
  <c r="T5" i="15" a="1"/>
  <c r="T5" i="15" s="1"/>
  <c r="Y18" i="15" a="1"/>
  <c r="Y18" i="15" s="1"/>
  <c r="X15" i="15" a="1"/>
  <c r="X15" i="15" s="1"/>
  <c r="W12" i="15" a="1"/>
  <c r="W12" i="15" s="1"/>
  <c r="V9" i="15" a="1"/>
  <c r="V9" i="15" s="1"/>
  <c r="U6" i="15" a="1"/>
  <c r="U6" i="15" s="1"/>
  <c r="AA2" i="15" a="1"/>
  <c r="AA2" i="15" s="1"/>
  <c r="AA4" i="15" a="1"/>
  <c r="AA4" i="15" s="1"/>
  <c r="AF6" i="15" a="1"/>
  <c r="AF6" i="15" s="1"/>
  <c r="AE16" i="15" a="1"/>
  <c r="AE16" i="15" s="1"/>
  <c r="AE12" i="15" a="1"/>
  <c r="AE12" i="15" s="1"/>
  <c r="AE8" i="15" a="1"/>
  <c r="AE8" i="15" s="1"/>
  <c r="AE4" i="15" a="1"/>
  <c r="AE4" i="15" s="1"/>
  <c r="T4" i="15" a="1"/>
  <c r="T4" i="15" s="1"/>
  <c r="X18" i="15" a="1"/>
  <c r="X18" i="15" s="1"/>
  <c r="W15" i="15" a="1"/>
  <c r="W15" i="15" s="1"/>
  <c r="V12" i="15" a="1"/>
  <c r="V12" i="15" s="1"/>
  <c r="U9" i="15" a="1"/>
  <c r="U9" i="15" s="1"/>
  <c r="Y5" i="15" a="1"/>
  <c r="Y5" i="15" s="1"/>
  <c r="AA19" i="15" a="1"/>
  <c r="AA19" i="15" s="1"/>
  <c r="AA3" i="15" a="1"/>
  <c r="AA3" i="15" s="1"/>
  <c r="AF5" i="15" a="1"/>
  <c r="AF5" i="15" s="1"/>
  <c r="AD16" i="15" a="1"/>
  <c r="AD16" i="15" s="1"/>
  <c r="AD12" i="15" a="1"/>
  <c r="AD12" i="15" s="1"/>
  <c r="AD8" i="15" a="1"/>
  <c r="AD8" i="15" s="1"/>
  <c r="AD4" i="15" a="1"/>
  <c r="AD4" i="15" s="1"/>
  <c r="T19" i="15" a="1"/>
  <c r="T19" i="15" s="1"/>
  <c r="T3" i="15" a="1"/>
  <c r="T3" i="15" s="1"/>
  <c r="W18" i="15" a="1"/>
  <c r="W18" i="15" s="1"/>
  <c r="V15" i="15" a="1"/>
  <c r="V15" i="15" s="1"/>
  <c r="U12" i="15" a="1"/>
  <c r="U12" i="15" s="1"/>
  <c r="Y8" i="15" a="1"/>
  <c r="Y8" i="15" s="1"/>
  <c r="X5" i="15" a="1"/>
  <c r="X5" i="15" s="1"/>
  <c r="AA18" i="15" a="1"/>
  <c r="AA18" i="15" s="1"/>
  <c r="AF2" i="15" a="1"/>
  <c r="AF2" i="15" s="1"/>
  <c r="AF4" i="15" a="1"/>
  <c r="AF4" i="15" s="1"/>
  <c r="AC16" i="15" a="1"/>
  <c r="AC16" i="15" s="1"/>
  <c r="AC12" i="15" a="1"/>
  <c r="AC12" i="15" s="1"/>
  <c r="AC8" i="15" a="1"/>
  <c r="AC8" i="15" s="1"/>
  <c r="AC4" i="15" a="1"/>
  <c r="AC4" i="15" s="1"/>
  <c r="X3" i="15" a="1"/>
  <c r="X3" i="15" s="1"/>
  <c r="T18" i="15" a="1"/>
  <c r="T18" i="15" s="1"/>
  <c r="V18" i="15" a="1"/>
  <c r="V18" i="15" s="1"/>
  <c r="U15" i="15" a="1"/>
  <c r="U15" i="15" s="1"/>
  <c r="Y11" i="15" a="1"/>
  <c r="Y11" i="15" s="1"/>
  <c r="X8" i="15" a="1"/>
  <c r="X8" i="15" s="1"/>
  <c r="W5" i="15" a="1"/>
  <c r="W5" i="15" s="1"/>
  <c r="AA17" i="15" a="1"/>
  <c r="AA17" i="15" s="1"/>
  <c r="AF19" i="15" a="1"/>
  <c r="AF19" i="15" s="1"/>
  <c r="AF3" i="15" a="1"/>
  <c r="AF3" i="15" s="1"/>
  <c r="AB16" i="15" a="1"/>
  <c r="AB16" i="15" s="1"/>
  <c r="AB12" i="15" a="1"/>
  <c r="AB12" i="15" s="1"/>
  <c r="AB8" i="15" a="1"/>
  <c r="AB8" i="15" s="1"/>
  <c r="AB4" i="15" a="1"/>
  <c r="AB4" i="15" s="1"/>
  <c r="T17" i="15" a="1"/>
  <c r="T17" i="15" s="1"/>
  <c r="U18" i="15" a="1"/>
  <c r="U18" i="15" s="1"/>
  <c r="Y14" i="15" a="1"/>
  <c r="Y14" i="15" s="1"/>
  <c r="X11" i="15" a="1"/>
  <c r="X11" i="15" s="1"/>
  <c r="W8" i="15" a="1"/>
  <c r="W8" i="15" s="1"/>
  <c r="V5" i="15" a="1"/>
  <c r="V5" i="15" s="1"/>
  <c r="AA16" i="15" a="1"/>
  <c r="AA16" i="15" s="1"/>
  <c r="AF18" i="15" a="1"/>
  <c r="AF18" i="15" s="1"/>
  <c r="AE19" i="15" a="1"/>
  <c r="AE19" i="15" s="1"/>
  <c r="AE15" i="15" a="1"/>
  <c r="AE15" i="15" s="1"/>
  <c r="AE11" i="15" a="1"/>
  <c r="AE11" i="15" s="1"/>
  <c r="AE7" i="15" a="1"/>
  <c r="AE7" i="15" s="1"/>
  <c r="AE3" i="15" a="1"/>
  <c r="AE3" i="15" s="1"/>
  <c r="T16" i="15" a="1"/>
  <c r="T16" i="15" s="1"/>
  <c r="T2" i="15" a="1"/>
  <c r="T2" i="15" s="1"/>
  <c r="Y17" i="15" a="1"/>
  <c r="Y17" i="15" s="1"/>
  <c r="X14" i="15" a="1"/>
  <c r="X14" i="15" s="1"/>
  <c r="W11" i="15" a="1"/>
  <c r="W11" i="15" s="1"/>
  <c r="V8" i="15" a="1"/>
  <c r="V8" i="15" s="1"/>
  <c r="AA15" i="15" a="1"/>
  <c r="AA15" i="15" s="1"/>
  <c r="AF17" i="15" a="1"/>
  <c r="AF17" i="15" s="1"/>
  <c r="AD19" i="15" a="1"/>
  <c r="AD19" i="15" s="1"/>
  <c r="AD15" i="15" a="1"/>
  <c r="AD15" i="15" s="1"/>
  <c r="AD11" i="15" a="1"/>
  <c r="AD11" i="15" s="1"/>
  <c r="AD7" i="15" a="1"/>
  <c r="AD7" i="15" s="1"/>
  <c r="AD3" i="15" a="1"/>
  <c r="AD3" i="15" s="1"/>
  <c r="T15" i="15" a="1"/>
  <c r="T15" i="15" s="1"/>
  <c r="Y2" i="15" a="1"/>
  <c r="Y2" i="15" s="1"/>
  <c r="X17" i="15" a="1"/>
  <c r="X17" i="15" s="1"/>
  <c r="W14" i="15" a="1"/>
  <c r="W14" i="15" s="1"/>
  <c r="V11" i="15" a="1"/>
  <c r="V11" i="15" s="1"/>
  <c r="Y4" i="15" a="1"/>
  <c r="Y4" i="15" s="1"/>
  <c r="AA14" i="15" a="1"/>
  <c r="AA14" i="15" s="1"/>
  <c r="AF16" i="15" a="1"/>
  <c r="AF16" i="15" s="1"/>
  <c r="AC19" i="15" a="1"/>
  <c r="AC19" i="15" s="1"/>
  <c r="AC15" i="15" a="1"/>
  <c r="AC15" i="15" s="1"/>
  <c r="AC11" i="15" a="1"/>
  <c r="AC11" i="15" s="1"/>
  <c r="AC7" i="15" a="1"/>
  <c r="AC7" i="15" s="1"/>
  <c r="AC3" i="15" a="1"/>
  <c r="AC3" i="15" s="1"/>
  <c r="T14" i="15" a="1"/>
  <c r="T14" i="15" s="1"/>
  <c r="X2" i="15" a="1"/>
  <c r="X2" i="15" s="1"/>
  <c r="W17" i="15" a="1"/>
  <c r="W17" i="15" s="1"/>
  <c r="V14" i="15" a="1"/>
  <c r="V14" i="15" s="1"/>
  <c r="U11" i="15" a="1"/>
  <c r="U11" i="15" s="1"/>
  <c r="Y7" i="15" a="1"/>
  <c r="Y7" i="15" s="1"/>
  <c r="X4" i="15" a="1"/>
  <c r="X4" i="15" s="1"/>
  <c r="AA13" i="15" a="1"/>
  <c r="AA13" i="15" s="1"/>
  <c r="AF15" i="15" a="1"/>
  <c r="AF15" i="15" s="1"/>
  <c r="AB19" i="15" a="1"/>
  <c r="AB19" i="15" s="1"/>
  <c r="AB11" i="15" a="1"/>
  <c r="AB11" i="15" s="1"/>
  <c r="AB7" i="15" a="1"/>
  <c r="AB7" i="15" s="1"/>
  <c r="AB3" i="15" a="1"/>
  <c r="AB3" i="15" s="1"/>
  <c r="T13" i="15" a="1"/>
  <c r="T13" i="15" s="1"/>
  <c r="W2" i="15" a="1"/>
  <c r="W2" i="15" s="1"/>
  <c r="V17" i="15" a="1"/>
  <c r="V17" i="15" s="1"/>
  <c r="U14" i="15" a="1"/>
  <c r="U14" i="15" s="1"/>
  <c r="Y10" i="15" a="1"/>
  <c r="Y10" i="15" s="1"/>
  <c r="X7" i="15" a="1"/>
  <c r="X7" i="15" s="1"/>
  <c r="W4" i="15" a="1"/>
  <c r="W4" i="15" s="1"/>
  <c r="AA12" i="15" a="1"/>
  <c r="AA12" i="15" s="1"/>
  <c r="AF14" i="15" a="1"/>
  <c r="AF14" i="15" s="1"/>
  <c r="AE18" i="15" a="1"/>
  <c r="AE18" i="15" s="1"/>
  <c r="AE14" i="15" a="1"/>
  <c r="AE14" i="15" s="1"/>
  <c r="AE10" i="15" a="1"/>
  <c r="AE10" i="15" s="1"/>
  <c r="AE6" i="15" a="1"/>
  <c r="AE6" i="15" s="1"/>
  <c r="AE2" i="15" a="1"/>
  <c r="AE2" i="15" s="1"/>
  <c r="X19" i="15" a="1"/>
  <c r="X19" i="15" s="1"/>
  <c r="T12" i="15" a="1"/>
  <c r="T12" i="15" s="1"/>
  <c r="V2" i="15" a="1"/>
  <c r="V2" i="15" s="1"/>
  <c r="Y13" i="15" a="1"/>
  <c r="Y13" i="15" s="1"/>
  <c r="X10" i="15" a="1"/>
  <c r="X10" i="15" s="1"/>
  <c r="W7" i="15" a="1"/>
  <c r="W7" i="15" s="1"/>
  <c r="V4" i="15" a="1"/>
  <c r="V4" i="15" s="1"/>
  <c r="AA11" i="15" a="1"/>
  <c r="AA11" i="15" s="1"/>
  <c r="AF13" i="15" a="1"/>
  <c r="AF13" i="15" s="1"/>
  <c r="AD18" i="15" a="1"/>
  <c r="AD18" i="15" s="1"/>
  <c r="AD14" i="15" a="1"/>
  <c r="AD14" i="15" s="1"/>
  <c r="AD10" i="15" a="1"/>
  <c r="AD10" i="15" s="1"/>
  <c r="AD6" i="15" a="1"/>
  <c r="AD6" i="15" s="1"/>
  <c r="AD2" i="15" a="1"/>
  <c r="AD2" i="15" s="1"/>
  <c r="T11" i="15" a="1"/>
  <c r="T11" i="15" s="1"/>
  <c r="U2" i="15" a="1"/>
  <c r="U2" i="15" s="1"/>
  <c r="Y16" i="15" a="1"/>
  <c r="Y16" i="15" s="1"/>
  <c r="X13" i="15" a="1"/>
  <c r="X13" i="15" s="1"/>
  <c r="W10" i="15" a="1"/>
  <c r="W10" i="15" s="1"/>
  <c r="V7" i="15" a="1"/>
  <c r="V7" i="15" s="1"/>
  <c r="AA10" i="15" a="1"/>
  <c r="AA10" i="15" s="1"/>
  <c r="AC18" i="15" a="1"/>
  <c r="AC18" i="15" s="1"/>
  <c r="AC14" i="15" a="1"/>
  <c r="AC14" i="15" s="1"/>
  <c r="AC10" i="15" a="1"/>
  <c r="AC10" i="15" s="1"/>
  <c r="AC6" i="15" a="1"/>
  <c r="AC6" i="15" s="1"/>
  <c r="AC2" i="15" a="1"/>
  <c r="AC2" i="15" s="1"/>
  <c r="T10" i="15" a="1"/>
  <c r="T10" i="15" s="1"/>
  <c r="V10" i="15" a="1"/>
  <c r="V10" i="15" s="1"/>
  <c r="BZ287" i="33"/>
  <c r="CB287" i="33"/>
  <c r="CG287" i="33"/>
  <c r="CF287" i="33"/>
  <c r="CE287" i="33"/>
  <c r="CD287" i="33"/>
  <c r="CC287" i="33"/>
  <c r="DE287" i="33" l="1"/>
  <c r="H287" i="33"/>
  <c r="G2" i="15" l="1"/>
  <c r="H295" i="17"/>
  <c r="DK287" i="33"/>
  <c r="DL287" i="33"/>
  <c r="DF287" i="33"/>
  <c r="DH287" i="33"/>
  <c r="DI287" i="33"/>
  <c r="DG287" i="33"/>
  <c r="DJ287" i="33"/>
  <c r="DM287" i="33"/>
  <c r="G287" i="33" l="1"/>
  <c r="F2" i="15" s="1"/>
  <c r="E40" i="8"/>
  <c r="E38" i="8"/>
  <c r="E32" i="8"/>
  <c r="E22" i="8"/>
  <c r="E13" i="8"/>
  <c r="E7" i="8"/>
  <c r="B3" i="8"/>
  <c r="C3" i="8"/>
  <c r="B4" i="8"/>
  <c r="C4" i="8"/>
  <c r="B5" i="8"/>
  <c r="C5" i="8"/>
  <c r="B6" i="8"/>
  <c r="C6" i="8"/>
  <c r="B7" i="8"/>
  <c r="C7" i="8"/>
  <c r="B8" i="8"/>
  <c r="C8" i="8"/>
  <c r="B9" i="8"/>
  <c r="C9" i="8"/>
  <c r="B10" i="8"/>
  <c r="C10" i="8"/>
  <c r="B11" i="8"/>
  <c r="C11" i="8"/>
  <c r="B12" i="8"/>
  <c r="C12" i="8"/>
  <c r="B13" i="8"/>
  <c r="C13" i="8"/>
  <c r="B14" i="8"/>
  <c r="C14" i="8"/>
  <c r="B15" i="8"/>
  <c r="C15" i="8"/>
  <c r="B16" i="8"/>
  <c r="C16" i="8"/>
  <c r="B17" i="8"/>
  <c r="C17" i="8"/>
  <c r="B18" i="8"/>
  <c r="C18" i="8"/>
  <c r="B19" i="8"/>
  <c r="C19" i="8"/>
  <c r="B20" i="8"/>
  <c r="C20" i="8"/>
  <c r="B21" i="8"/>
  <c r="C21" i="8"/>
  <c r="B22" i="8"/>
  <c r="C22" i="8"/>
  <c r="B23" i="8"/>
  <c r="C23" i="8"/>
  <c r="B24" i="8"/>
  <c r="C24" i="8"/>
  <c r="B25" i="8"/>
  <c r="C25" i="8"/>
  <c r="B26" i="8"/>
  <c r="C26" i="8"/>
  <c r="B27" i="8"/>
  <c r="C27" i="8"/>
  <c r="B28" i="8"/>
  <c r="C28" i="8"/>
  <c r="B29" i="8"/>
  <c r="C29" i="8"/>
  <c r="B30" i="8"/>
  <c r="C30" i="8"/>
  <c r="B31" i="8"/>
  <c r="C31" i="8"/>
  <c r="B32" i="8"/>
  <c r="C32" i="8"/>
  <c r="B33" i="8"/>
  <c r="C33" i="8"/>
  <c r="B34" i="8"/>
  <c r="C34" i="8"/>
  <c r="B35" i="8"/>
  <c r="C35" i="8"/>
  <c r="B36" i="8"/>
  <c r="C36" i="8"/>
  <c r="B37" i="8"/>
  <c r="C37" i="8"/>
  <c r="B38" i="8"/>
  <c r="C38" i="8"/>
  <c r="B39" i="8"/>
  <c r="C39" i="8"/>
  <c r="B40" i="8"/>
  <c r="C40" i="8"/>
  <c r="B41" i="8"/>
  <c r="C41" i="8"/>
  <c r="B42" i="8"/>
  <c r="C42" i="8"/>
  <c r="B43" i="8"/>
  <c r="C43" i="8"/>
  <c r="B44" i="8"/>
  <c r="C44" i="8"/>
  <c r="B45" i="8"/>
  <c r="C45" i="8"/>
  <c r="B46" i="8"/>
  <c r="C46" i="8"/>
  <c r="B47" i="8"/>
  <c r="C47" i="8"/>
  <c r="B48" i="8"/>
  <c r="C48" i="8"/>
  <c r="B49" i="8"/>
  <c r="C49" i="8"/>
  <c r="C2" i="8"/>
  <c r="B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2" i="8"/>
  <c r="E3" i="8"/>
  <c r="E4" i="8"/>
  <c r="E5" i="8"/>
  <c r="E6" i="8"/>
  <c r="E8" i="8"/>
  <c r="E9" i="8"/>
  <c r="E10" i="8"/>
  <c r="E11" i="8"/>
  <c r="E12" i="8"/>
  <c r="E14" i="8"/>
  <c r="E15" i="8"/>
  <c r="E16" i="8"/>
  <c r="E17" i="8"/>
  <c r="E18" i="8"/>
  <c r="E19" i="8"/>
  <c r="E20" i="8"/>
  <c r="E21" i="8"/>
  <c r="E23" i="8"/>
  <c r="E24" i="8"/>
  <c r="E25" i="8"/>
  <c r="E26" i="8"/>
  <c r="E27" i="8"/>
  <c r="E28" i="8"/>
  <c r="E29" i="8"/>
  <c r="E30" i="8"/>
  <c r="E31" i="8"/>
  <c r="E33" i="8"/>
  <c r="E34" i="8"/>
  <c r="E35" i="8"/>
  <c r="E36" i="8"/>
  <c r="E37" i="8"/>
  <c r="E39" i="8"/>
  <c r="E41" i="8"/>
  <c r="E42" i="8"/>
  <c r="E43" i="8"/>
  <c r="E44" i="8"/>
  <c r="E45" i="8"/>
  <c r="E46" i="8"/>
  <c r="E47" i="8"/>
  <c r="E48" i="8"/>
  <c r="E49" i="8"/>
  <c r="E2" i="8"/>
  <c r="O3" i="8"/>
  <c r="P3" i="8"/>
  <c r="Q3" i="8"/>
  <c r="R3" i="8"/>
  <c r="S3" i="8"/>
  <c r="T3" i="8"/>
  <c r="O4" i="8"/>
  <c r="P4" i="8"/>
  <c r="Q4" i="8"/>
  <c r="R4" i="8"/>
  <c r="S4" i="8"/>
  <c r="T4" i="8"/>
  <c r="O5" i="8"/>
  <c r="P5" i="8"/>
  <c r="Q5" i="8"/>
  <c r="R5" i="8"/>
  <c r="S5" i="8"/>
  <c r="T5" i="8"/>
  <c r="O6" i="8"/>
  <c r="P6" i="8"/>
  <c r="Q6" i="8"/>
  <c r="R6" i="8"/>
  <c r="S6" i="8"/>
  <c r="T6" i="8"/>
  <c r="O7" i="8"/>
  <c r="P7" i="8"/>
  <c r="Q7" i="8"/>
  <c r="R7" i="8"/>
  <c r="S7" i="8"/>
  <c r="T7" i="8"/>
  <c r="O8" i="8"/>
  <c r="P8" i="8"/>
  <c r="Q8" i="8"/>
  <c r="R8" i="8"/>
  <c r="S8" i="8"/>
  <c r="T8" i="8"/>
  <c r="O9" i="8"/>
  <c r="P9" i="8"/>
  <c r="Q9" i="8"/>
  <c r="R9" i="8"/>
  <c r="S9" i="8"/>
  <c r="T9" i="8"/>
  <c r="O10" i="8"/>
  <c r="P10" i="8"/>
  <c r="Q10" i="8"/>
  <c r="R10" i="8"/>
  <c r="S10" i="8"/>
  <c r="T10" i="8"/>
  <c r="O11" i="8"/>
  <c r="P11" i="8"/>
  <c r="Q11" i="8"/>
  <c r="R11" i="8"/>
  <c r="S11" i="8"/>
  <c r="T11" i="8"/>
  <c r="O12" i="8"/>
  <c r="P12" i="8"/>
  <c r="Q12" i="8"/>
  <c r="R12" i="8"/>
  <c r="S12" i="8"/>
  <c r="T12" i="8"/>
  <c r="O13" i="8"/>
  <c r="P13" i="8"/>
  <c r="Q13" i="8"/>
  <c r="R13" i="8"/>
  <c r="S13" i="8"/>
  <c r="T13" i="8"/>
  <c r="O14" i="8"/>
  <c r="P14" i="8"/>
  <c r="Q14" i="8"/>
  <c r="R14" i="8"/>
  <c r="S14" i="8"/>
  <c r="T14" i="8"/>
  <c r="O15" i="8"/>
  <c r="P15" i="8"/>
  <c r="Q15" i="8"/>
  <c r="R15" i="8"/>
  <c r="S15" i="8"/>
  <c r="T15" i="8"/>
  <c r="O16" i="8"/>
  <c r="P16" i="8"/>
  <c r="Q16" i="8"/>
  <c r="R16" i="8"/>
  <c r="S16" i="8"/>
  <c r="T16" i="8"/>
  <c r="O17" i="8"/>
  <c r="P17" i="8"/>
  <c r="Q17" i="8"/>
  <c r="R17" i="8"/>
  <c r="S17" i="8"/>
  <c r="T17" i="8"/>
  <c r="O18" i="8"/>
  <c r="P18" i="8"/>
  <c r="Q18" i="8"/>
  <c r="R18" i="8"/>
  <c r="S18" i="8"/>
  <c r="T18" i="8"/>
  <c r="O19" i="8"/>
  <c r="P19" i="8"/>
  <c r="Q19" i="8"/>
  <c r="R19" i="8"/>
  <c r="S19" i="8"/>
  <c r="T19" i="8"/>
  <c r="O20" i="8"/>
  <c r="P20" i="8"/>
  <c r="Q20" i="8"/>
  <c r="R20" i="8"/>
  <c r="S20" i="8"/>
  <c r="T20" i="8"/>
  <c r="O21" i="8"/>
  <c r="P21" i="8"/>
  <c r="Q21" i="8"/>
  <c r="R21" i="8"/>
  <c r="S21" i="8"/>
  <c r="T21" i="8"/>
  <c r="O22" i="8"/>
  <c r="P22" i="8"/>
  <c r="Q22" i="8"/>
  <c r="R22" i="8"/>
  <c r="S22" i="8"/>
  <c r="T22" i="8"/>
  <c r="O23" i="8"/>
  <c r="P23" i="8"/>
  <c r="Q23" i="8"/>
  <c r="R23" i="8"/>
  <c r="S23" i="8"/>
  <c r="T23" i="8"/>
  <c r="O24" i="8"/>
  <c r="P24" i="8"/>
  <c r="Q24" i="8"/>
  <c r="R24" i="8"/>
  <c r="S24" i="8"/>
  <c r="T24" i="8"/>
  <c r="O25" i="8"/>
  <c r="P25" i="8"/>
  <c r="Q25" i="8"/>
  <c r="R25" i="8"/>
  <c r="S25" i="8"/>
  <c r="T25" i="8"/>
  <c r="O26" i="8"/>
  <c r="P26" i="8"/>
  <c r="Q26" i="8"/>
  <c r="R26" i="8"/>
  <c r="S26" i="8"/>
  <c r="T26" i="8"/>
  <c r="O27" i="8"/>
  <c r="P27" i="8"/>
  <c r="Q27" i="8"/>
  <c r="R27" i="8"/>
  <c r="S27" i="8"/>
  <c r="T27" i="8"/>
  <c r="O28" i="8"/>
  <c r="P28" i="8"/>
  <c r="Q28" i="8"/>
  <c r="R28" i="8"/>
  <c r="S28" i="8"/>
  <c r="T28" i="8"/>
  <c r="O29" i="8"/>
  <c r="P29" i="8"/>
  <c r="Q29" i="8"/>
  <c r="R29" i="8"/>
  <c r="S29" i="8"/>
  <c r="T29" i="8"/>
  <c r="O30" i="8"/>
  <c r="P30" i="8"/>
  <c r="Q30" i="8"/>
  <c r="R30" i="8"/>
  <c r="S30" i="8"/>
  <c r="T30" i="8"/>
  <c r="O31" i="8"/>
  <c r="P31" i="8"/>
  <c r="Q31" i="8"/>
  <c r="R31" i="8"/>
  <c r="S31" i="8"/>
  <c r="T31" i="8"/>
  <c r="O32" i="8"/>
  <c r="P32" i="8"/>
  <c r="Q32" i="8"/>
  <c r="R32" i="8"/>
  <c r="S32" i="8"/>
  <c r="T32" i="8"/>
  <c r="O33" i="8"/>
  <c r="P33" i="8"/>
  <c r="Q33" i="8"/>
  <c r="R33" i="8"/>
  <c r="S33" i="8"/>
  <c r="T33" i="8"/>
  <c r="O34" i="8"/>
  <c r="P34" i="8"/>
  <c r="Q34" i="8"/>
  <c r="R34" i="8"/>
  <c r="S34" i="8"/>
  <c r="T34" i="8"/>
  <c r="O35" i="8"/>
  <c r="P35" i="8"/>
  <c r="Q35" i="8"/>
  <c r="R35" i="8"/>
  <c r="S35" i="8"/>
  <c r="T35" i="8"/>
  <c r="O36" i="8"/>
  <c r="P36" i="8"/>
  <c r="Q36" i="8"/>
  <c r="R36" i="8"/>
  <c r="S36" i="8"/>
  <c r="T36" i="8"/>
  <c r="O37" i="8"/>
  <c r="P37" i="8"/>
  <c r="Q37" i="8"/>
  <c r="R37" i="8"/>
  <c r="S37" i="8"/>
  <c r="T37" i="8"/>
  <c r="O38" i="8"/>
  <c r="P38" i="8"/>
  <c r="Q38" i="8"/>
  <c r="R38" i="8"/>
  <c r="S38" i="8"/>
  <c r="T38" i="8"/>
  <c r="O39" i="8"/>
  <c r="P39" i="8"/>
  <c r="Q39" i="8"/>
  <c r="R39" i="8"/>
  <c r="S39" i="8"/>
  <c r="T39" i="8"/>
  <c r="O40" i="8"/>
  <c r="P40" i="8"/>
  <c r="Q40" i="8"/>
  <c r="R40" i="8"/>
  <c r="S40" i="8"/>
  <c r="T40" i="8"/>
  <c r="O41" i="8"/>
  <c r="P41" i="8"/>
  <c r="Q41" i="8"/>
  <c r="R41" i="8"/>
  <c r="S41" i="8"/>
  <c r="T41" i="8"/>
  <c r="O42" i="8"/>
  <c r="P42" i="8"/>
  <c r="Q42" i="8"/>
  <c r="R42" i="8"/>
  <c r="S42" i="8"/>
  <c r="T42" i="8"/>
  <c r="O43" i="8"/>
  <c r="P43" i="8"/>
  <c r="Q43" i="8"/>
  <c r="R43" i="8"/>
  <c r="S43" i="8"/>
  <c r="T43" i="8"/>
  <c r="O44" i="8"/>
  <c r="P44" i="8"/>
  <c r="Q44" i="8"/>
  <c r="R44" i="8"/>
  <c r="S44" i="8"/>
  <c r="T44" i="8"/>
  <c r="O45" i="8"/>
  <c r="P45" i="8"/>
  <c r="Q45" i="8"/>
  <c r="R45" i="8"/>
  <c r="S45" i="8"/>
  <c r="T45" i="8"/>
  <c r="O46" i="8"/>
  <c r="P46" i="8"/>
  <c r="Q46" i="8"/>
  <c r="R46" i="8"/>
  <c r="S46" i="8"/>
  <c r="T46" i="8"/>
  <c r="O47" i="8"/>
  <c r="P47" i="8"/>
  <c r="Q47" i="8"/>
  <c r="R47" i="8"/>
  <c r="S47" i="8"/>
  <c r="T47" i="8"/>
  <c r="O48" i="8"/>
  <c r="P48" i="8"/>
  <c r="Q48" i="8"/>
  <c r="R48" i="8"/>
  <c r="S48" i="8"/>
  <c r="T48" i="8"/>
  <c r="O49" i="8"/>
  <c r="P49" i="8"/>
  <c r="Q49" i="8"/>
  <c r="R49" i="8"/>
  <c r="S49" i="8"/>
  <c r="T49" i="8"/>
  <c r="P2" i="8"/>
  <c r="Q2" i="8"/>
  <c r="R2" i="8"/>
  <c r="S2" i="8"/>
  <c r="T2" i="8"/>
  <c r="O2" i="8"/>
  <c r="F49" i="8"/>
  <c r="G49" i="8"/>
  <c r="H49" i="8"/>
  <c r="A49" i="8"/>
  <c r="AD49" i="8" s="1" a="1"/>
  <c r="AD49" i="8" s="1"/>
  <c r="A3" i="8"/>
  <c r="A4" i="8"/>
  <c r="A5" i="8"/>
  <c r="A6" i="8"/>
  <c r="A7" i="8"/>
  <c r="V7" i="8" s="1" a="1"/>
  <c r="V7" i="8" s="1"/>
  <c r="A8" i="8"/>
  <c r="A9" i="8"/>
  <c r="A10" i="8"/>
  <c r="A11" i="8"/>
  <c r="A12" i="8"/>
  <c r="A13" i="8"/>
  <c r="AC13" i="8" s="1" a="1"/>
  <c r="AC13" i="8" s="1"/>
  <c r="A14" i="8"/>
  <c r="AG14" i="8" s="1" a="1"/>
  <c r="AG14" i="8" s="1"/>
  <c r="A15" i="8"/>
  <c r="A16" i="8"/>
  <c r="A17" i="8"/>
  <c r="A18" i="8"/>
  <c r="A19" i="8"/>
  <c r="A20" i="8"/>
  <c r="A21" i="8"/>
  <c r="A22" i="8"/>
  <c r="A23" i="8"/>
  <c r="A24" i="8"/>
  <c r="A25" i="8"/>
  <c r="A26" i="8"/>
  <c r="A27" i="8"/>
  <c r="A28" i="8"/>
  <c r="A29" i="8"/>
  <c r="A30" i="8"/>
  <c r="A31" i="8"/>
  <c r="A32" i="8"/>
  <c r="A33" i="8"/>
  <c r="A34" i="8"/>
  <c r="AG34" i="8" s="1" a="1"/>
  <c r="AG34" i="8" s="1"/>
  <c r="A35" i="8"/>
  <c r="A36" i="8"/>
  <c r="A37" i="8"/>
  <c r="A38" i="8"/>
  <c r="A39" i="8"/>
  <c r="AC39" i="8" s="1" a="1"/>
  <c r="AC39" i="8" s="1"/>
  <c r="A40" i="8"/>
  <c r="A41" i="8"/>
  <c r="A42" i="8"/>
  <c r="A43" i="8"/>
  <c r="A44" i="8"/>
  <c r="A45" i="8"/>
  <c r="A46" i="8"/>
  <c r="A47" i="8"/>
  <c r="A48" i="8"/>
  <c r="A2" i="8"/>
  <c r="H3"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2"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2" i="8"/>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2" i="8"/>
  <c r="AE295" i="2"/>
  <c r="AF295" i="2"/>
  <c r="BC280" i="2"/>
  <c r="BB280" i="2"/>
  <c r="BA280" i="2"/>
  <c r="AZ280" i="2"/>
  <c r="AY280" i="2"/>
  <c r="AE294" i="2"/>
  <c r="BC276" i="2"/>
  <c r="BB276" i="2"/>
  <c r="BA276" i="2"/>
  <c r="AZ276" i="2"/>
  <c r="AY276" i="2"/>
  <c r="AE292" i="2"/>
  <c r="AF292" i="2"/>
  <c r="AH292" i="2"/>
  <c r="BE272" i="2"/>
  <c r="BD272" i="2"/>
  <c r="BC272" i="2"/>
  <c r="BB272" i="2"/>
  <c r="BA272" i="2"/>
  <c r="AE276" i="2"/>
  <c r="AF276" i="2"/>
  <c r="BC268" i="2"/>
  <c r="BB268" i="2"/>
  <c r="BA268" i="2"/>
  <c r="AZ268" i="2"/>
  <c r="AY268" i="2"/>
  <c r="AZ264" i="2"/>
  <c r="BA264" i="2"/>
  <c r="BB264" i="2"/>
  <c r="BC264" i="2"/>
  <c r="AY264" i="2"/>
  <c r="AE271" i="2"/>
  <c r="AE268" i="2"/>
  <c r="AE266" i="2"/>
  <c r="AE265" i="2"/>
  <c r="AZ259" i="2"/>
  <c r="AY259" i="2"/>
  <c r="AX259" i="2"/>
  <c r="AW259" i="2"/>
  <c r="AV259" i="2"/>
  <c r="D296" i="2"/>
  <c r="D294" i="2"/>
  <c r="D288" i="2"/>
  <c r="D278" i="2"/>
  <c r="D269" i="2"/>
  <c r="D263" i="2"/>
  <c r="E296" i="2"/>
  <c r="F296" i="2"/>
  <c r="G296" i="2"/>
  <c r="E297" i="2"/>
  <c r="F297" i="2"/>
  <c r="G297" i="2"/>
  <c r="E298" i="2"/>
  <c r="F298" i="2"/>
  <c r="G298" i="2"/>
  <c r="E299" i="2"/>
  <c r="F299" i="2"/>
  <c r="AC299" i="2" s="1"/>
  <c r="G299" i="2"/>
  <c r="E300" i="2"/>
  <c r="F300" i="2"/>
  <c r="G300" i="2"/>
  <c r="E301" i="2"/>
  <c r="F301" i="2"/>
  <c r="G301" i="2"/>
  <c r="E302" i="2"/>
  <c r="F302" i="2"/>
  <c r="AC302" i="2" s="1"/>
  <c r="G302" i="2"/>
  <c r="E303" i="2"/>
  <c r="F303" i="2"/>
  <c r="G303" i="2"/>
  <c r="E304" i="2"/>
  <c r="F304" i="2"/>
  <c r="G304" i="2"/>
  <c r="E305" i="2"/>
  <c r="F305" i="2"/>
  <c r="G305" i="2"/>
  <c r="F258" i="2"/>
  <c r="G258" i="2"/>
  <c r="F259" i="2"/>
  <c r="G259" i="2"/>
  <c r="F260" i="2"/>
  <c r="G260" i="2"/>
  <c r="F261" i="2"/>
  <c r="G261" i="2"/>
  <c r="F262" i="2"/>
  <c r="G262" i="2"/>
  <c r="F263" i="2"/>
  <c r="G263" i="2"/>
  <c r="F264" i="2"/>
  <c r="AC264" i="2" s="1"/>
  <c r="G264" i="2"/>
  <c r="F265" i="2"/>
  <c r="AC265" i="2" s="1"/>
  <c r="G265" i="2"/>
  <c r="F266" i="2"/>
  <c r="AC266" i="2" s="1"/>
  <c r="G266" i="2"/>
  <c r="F267" i="2"/>
  <c r="AC267" i="2" s="1"/>
  <c r="G267" i="2"/>
  <c r="F268" i="2"/>
  <c r="AC268" i="2" s="1"/>
  <c r="G268" i="2"/>
  <c r="F269" i="2"/>
  <c r="AC269" i="2" s="1"/>
  <c r="G269" i="2"/>
  <c r="F270" i="2"/>
  <c r="AC270" i="2" s="1"/>
  <c r="G270" i="2"/>
  <c r="F271" i="2"/>
  <c r="AC271" i="2" s="1"/>
  <c r="G271" i="2"/>
  <c r="F272" i="2"/>
  <c r="AC272" i="2" s="1"/>
  <c r="G272" i="2"/>
  <c r="F273" i="2"/>
  <c r="AC273" i="2" s="1"/>
  <c r="G273" i="2"/>
  <c r="F274" i="2"/>
  <c r="AC274" i="2" s="1"/>
  <c r="G274" i="2"/>
  <c r="F275" i="2"/>
  <c r="AC275" i="2" s="1"/>
  <c r="G275" i="2"/>
  <c r="F276" i="2"/>
  <c r="AC276" i="2" s="1"/>
  <c r="G276" i="2"/>
  <c r="F277" i="2"/>
  <c r="AC277" i="2" s="1"/>
  <c r="G277" i="2"/>
  <c r="F278" i="2"/>
  <c r="G278" i="2"/>
  <c r="F279" i="2"/>
  <c r="G279" i="2"/>
  <c r="F280" i="2"/>
  <c r="G280" i="2"/>
  <c r="F281" i="2"/>
  <c r="G281" i="2"/>
  <c r="F282" i="2"/>
  <c r="G282" i="2"/>
  <c r="F283" i="2"/>
  <c r="AC283" i="2" s="1"/>
  <c r="G283" i="2"/>
  <c r="F284" i="2"/>
  <c r="AC284" i="2" s="1"/>
  <c r="G284" i="2"/>
  <c r="F285" i="2"/>
  <c r="G285" i="2"/>
  <c r="F286" i="2"/>
  <c r="AC286" i="2" s="1"/>
  <c r="G286" i="2"/>
  <c r="F287" i="2"/>
  <c r="G287" i="2"/>
  <c r="F288" i="2"/>
  <c r="AC288" i="2" s="1"/>
  <c r="G288" i="2"/>
  <c r="F289" i="2"/>
  <c r="G289" i="2"/>
  <c r="F290" i="2"/>
  <c r="AC290" i="2" s="1"/>
  <c r="G290" i="2"/>
  <c r="F291" i="2"/>
  <c r="AC291" i="2" s="1"/>
  <c r="G291" i="2"/>
  <c r="F292" i="2"/>
  <c r="AC292" i="2" s="1"/>
  <c r="G292" i="2"/>
  <c r="F293" i="2"/>
  <c r="AC293" i="2" s="1"/>
  <c r="G293" i="2"/>
  <c r="F294" i="2"/>
  <c r="AC294" i="2" s="1"/>
  <c r="G294" i="2"/>
  <c r="F295" i="2"/>
  <c r="AC295" i="2" s="1"/>
  <c r="G295"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58" i="2"/>
  <c r="D259" i="2"/>
  <c r="D260" i="2"/>
  <c r="D261" i="2"/>
  <c r="D262" i="2"/>
  <c r="D264" i="2"/>
  <c r="D265" i="2"/>
  <c r="D266" i="2"/>
  <c r="D267" i="2"/>
  <c r="D268" i="2"/>
  <c r="D270" i="2"/>
  <c r="D271" i="2"/>
  <c r="D272" i="2"/>
  <c r="D273" i="2"/>
  <c r="D274" i="2"/>
  <c r="D275" i="2"/>
  <c r="D276" i="2"/>
  <c r="D277" i="2"/>
  <c r="D279" i="2"/>
  <c r="D280" i="2"/>
  <c r="D281" i="2"/>
  <c r="D282" i="2"/>
  <c r="D283" i="2"/>
  <c r="D284" i="2"/>
  <c r="D285" i="2"/>
  <c r="D286" i="2"/>
  <c r="D287" i="2"/>
  <c r="D289" i="2"/>
  <c r="D290" i="2"/>
  <c r="D291" i="2"/>
  <c r="D292" i="2"/>
  <c r="D293" i="2"/>
  <c r="D295" i="2"/>
  <c r="D297" i="2"/>
  <c r="D298" i="2"/>
  <c r="D299" i="2"/>
  <c r="D300" i="2"/>
  <c r="D301" i="2"/>
  <c r="D302" i="2"/>
  <c r="D303" i="2"/>
  <c r="D304" i="2"/>
  <c r="D305" i="2"/>
  <c r="D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258" i="2"/>
  <c r="A305"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258" i="2"/>
  <c r="X257" i="2"/>
  <c r="W257" i="2"/>
  <c r="V257" i="2"/>
  <c r="U257" i="2"/>
  <c r="T257" i="2"/>
  <c r="AC237" i="33"/>
  <c r="AC238" i="33"/>
  <c r="AC239" i="33"/>
  <c r="AC240" i="33"/>
  <c r="AC241" i="33"/>
  <c r="AC242" i="33"/>
  <c r="AC243" i="33"/>
  <c r="AC244" i="33"/>
  <c r="AC245" i="33"/>
  <c r="AC246" i="33"/>
  <c r="AC247" i="33"/>
  <c r="AC248" i="33"/>
  <c r="AC249" i="33"/>
  <c r="AC250" i="33"/>
  <c r="AC251" i="33"/>
  <c r="AC252" i="33"/>
  <c r="AC253" i="33"/>
  <c r="AC254" i="33"/>
  <c r="AC255" i="33"/>
  <c r="AC256" i="33"/>
  <c r="AC257" i="33"/>
  <c r="AC258" i="33"/>
  <c r="AC259" i="33"/>
  <c r="AC260" i="33"/>
  <c r="AC261" i="33"/>
  <c r="AC262" i="33"/>
  <c r="AC263" i="33"/>
  <c r="AC264" i="33"/>
  <c r="AC265" i="33"/>
  <c r="AC266" i="33"/>
  <c r="AC267" i="33"/>
  <c r="AC268" i="33"/>
  <c r="AC269" i="33"/>
  <c r="AC270" i="33"/>
  <c r="AC271" i="33"/>
  <c r="AC272" i="33"/>
  <c r="AC273" i="33"/>
  <c r="AC274" i="33"/>
  <c r="AC275" i="33"/>
  <c r="AC276" i="33"/>
  <c r="AC277" i="33"/>
  <c r="AC278" i="33"/>
  <c r="AC279" i="33"/>
  <c r="AC280" i="33"/>
  <c r="AC281" i="33"/>
  <c r="AC282" i="33"/>
  <c r="AC283" i="33"/>
  <c r="AC284" i="33"/>
  <c r="AB238" i="33"/>
  <c r="AB239" i="33"/>
  <c r="AB240" i="33"/>
  <c r="AB241" i="33"/>
  <c r="AB242" i="33"/>
  <c r="AB243" i="33"/>
  <c r="AB244" i="33"/>
  <c r="AB245" i="33"/>
  <c r="AB246" i="33"/>
  <c r="AB247" i="33"/>
  <c r="AB248" i="33"/>
  <c r="AB249" i="33"/>
  <c r="AB250" i="33"/>
  <c r="AB251" i="33"/>
  <c r="AB252" i="33"/>
  <c r="AB253" i="33"/>
  <c r="AB254" i="33"/>
  <c r="AB255" i="33"/>
  <c r="AB256" i="33"/>
  <c r="AB257" i="33"/>
  <c r="AB258" i="33"/>
  <c r="AB259" i="33"/>
  <c r="AB260" i="33"/>
  <c r="AB261" i="33"/>
  <c r="AB262" i="33"/>
  <c r="AB263" i="33"/>
  <c r="AB264" i="33"/>
  <c r="AB265" i="33"/>
  <c r="AB266" i="33"/>
  <c r="AB267" i="33"/>
  <c r="AB268" i="33"/>
  <c r="AB269" i="33"/>
  <c r="AB270" i="33"/>
  <c r="AB271" i="33"/>
  <c r="AB272" i="33"/>
  <c r="AB273" i="33"/>
  <c r="AB274" i="33"/>
  <c r="AB275" i="33"/>
  <c r="AB276" i="33"/>
  <c r="AB277" i="33"/>
  <c r="AB278" i="33"/>
  <c r="AB279" i="33"/>
  <c r="AB280" i="33"/>
  <c r="AB281" i="33"/>
  <c r="AB282" i="33"/>
  <c r="AB283" i="33"/>
  <c r="AB284" i="33"/>
  <c r="AB237" i="33"/>
  <c r="A274" i="6"/>
  <c r="C274" i="6" s="1"/>
  <c r="J273" i="17" s="1"/>
  <c r="X265" i="33" s="1"/>
  <c r="A266" i="6"/>
  <c r="C266" i="6" s="1"/>
  <c r="J265" i="17" s="1"/>
  <c r="X257" i="33" s="1"/>
  <c r="B266" i="6"/>
  <c r="B247" i="6"/>
  <c r="B248" i="6"/>
  <c r="B249" i="6"/>
  <c r="B250" i="6"/>
  <c r="B251" i="6"/>
  <c r="B252" i="6"/>
  <c r="B253" i="6"/>
  <c r="B254" i="6"/>
  <c r="B255" i="6"/>
  <c r="B256" i="6"/>
  <c r="B257" i="6"/>
  <c r="B258" i="6"/>
  <c r="B259" i="6"/>
  <c r="B260" i="6"/>
  <c r="B261" i="6"/>
  <c r="B262" i="6"/>
  <c r="B263" i="6"/>
  <c r="B264" i="6"/>
  <c r="B265" i="6"/>
  <c r="B267" i="6"/>
  <c r="B268" i="6"/>
  <c r="B269" i="6"/>
  <c r="B270" i="6"/>
  <c r="B271" i="6"/>
  <c r="B272" i="6"/>
  <c r="B273" i="6"/>
  <c r="B274" i="6"/>
  <c r="B275" i="6"/>
  <c r="B277" i="6"/>
  <c r="B278" i="6"/>
  <c r="B276" i="6"/>
  <c r="B279" i="6"/>
  <c r="B280" i="6"/>
  <c r="B281" i="6"/>
  <c r="B283" i="6"/>
  <c r="B282" i="6"/>
  <c r="B284" i="6"/>
  <c r="B285" i="6"/>
  <c r="B286" i="6"/>
  <c r="B287" i="6"/>
  <c r="B288" i="6"/>
  <c r="B289" i="6"/>
  <c r="B290" i="6"/>
  <c r="B291" i="6"/>
  <c r="B292" i="6"/>
  <c r="B293" i="6"/>
  <c r="B246" i="6"/>
  <c r="A247" i="6"/>
  <c r="C247" i="6" s="1"/>
  <c r="J246" i="17" s="1"/>
  <c r="X238" i="33" s="1"/>
  <c r="A248" i="6"/>
  <c r="C248" i="6" s="1"/>
  <c r="J247" i="17" s="1"/>
  <c r="X239" i="33" s="1"/>
  <c r="A249" i="6"/>
  <c r="C249" i="6" s="1"/>
  <c r="J248" i="17" s="1"/>
  <c r="X240" i="33" s="1"/>
  <c r="A250" i="6"/>
  <c r="C250" i="6" s="1"/>
  <c r="J249" i="17" s="1"/>
  <c r="X241" i="33" s="1"/>
  <c r="A251" i="6"/>
  <c r="C251" i="6" s="1"/>
  <c r="J250" i="17" s="1"/>
  <c r="X242" i="33" s="1"/>
  <c r="A252" i="6"/>
  <c r="C252" i="6" s="1"/>
  <c r="J251" i="17" s="1"/>
  <c r="X243" i="33" s="1"/>
  <c r="A253" i="6"/>
  <c r="C253" i="6" s="1"/>
  <c r="J252" i="17" s="1"/>
  <c r="X244" i="33" s="1"/>
  <c r="A254" i="6"/>
  <c r="C254" i="6" s="1"/>
  <c r="J253" i="17" s="1"/>
  <c r="X245" i="33" s="1"/>
  <c r="A255" i="6"/>
  <c r="C255" i="6" s="1"/>
  <c r="J254" i="17" s="1"/>
  <c r="X246" i="33" s="1"/>
  <c r="A256" i="6"/>
  <c r="C256" i="6" s="1"/>
  <c r="J255" i="17" s="1"/>
  <c r="X247" i="33" s="1"/>
  <c r="A257" i="6"/>
  <c r="C257" i="6" s="1"/>
  <c r="J256" i="17" s="1"/>
  <c r="X248" i="33" s="1"/>
  <c r="A258" i="6"/>
  <c r="C258" i="6" s="1"/>
  <c r="J257" i="17" s="1"/>
  <c r="X249" i="33" s="1"/>
  <c r="A259" i="6"/>
  <c r="C259" i="6" s="1"/>
  <c r="J258" i="17" s="1"/>
  <c r="X250" i="33" s="1"/>
  <c r="A260" i="6"/>
  <c r="C260" i="6" s="1"/>
  <c r="J259" i="17" s="1"/>
  <c r="X251" i="33" s="1"/>
  <c r="A261" i="6"/>
  <c r="C261" i="6" s="1"/>
  <c r="J260" i="17" s="1"/>
  <c r="X252" i="33" s="1"/>
  <c r="A262" i="6"/>
  <c r="C262" i="6" s="1"/>
  <c r="J261" i="17" s="1"/>
  <c r="X253" i="33" s="1"/>
  <c r="A263" i="6"/>
  <c r="C263" i="6" s="1"/>
  <c r="J262" i="17" s="1"/>
  <c r="X254" i="33" s="1"/>
  <c r="A264" i="6"/>
  <c r="C264" i="6" s="1"/>
  <c r="J263" i="17" s="1"/>
  <c r="X255" i="33" s="1"/>
  <c r="A265" i="6"/>
  <c r="C265" i="6" s="1"/>
  <c r="J264" i="17" s="1"/>
  <c r="X256" i="33" s="1"/>
  <c r="A267" i="6"/>
  <c r="C267" i="6" s="1"/>
  <c r="J266" i="17" s="1"/>
  <c r="X258" i="33" s="1"/>
  <c r="A268" i="6"/>
  <c r="C268" i="6" s="1"/>
  <c r="J267" i="17" s="1"/>
  <c r="X259" i="33" s="1"/>
  <c r="A269" i="6"/>
  <c r="C269" i="6" s="1"/>
  <c r="J268" i="17" s="1"/>
  <c r="X260" i="33" s="1"/>
  <c r="A270" i="6"/>
  <c r="C270" i="6" s="1"/>
  <c r="J269" i="17" s="1"/>
  <c r="X261" i="33" s="1"/>
  <c r="A271" i="6"/>
  <c r="C271" i="6" s="1"/>
  <c r="J270" i="17" s="1"/>
  <c r="X262" i="33" s="1"/>
  <c r="A272" i="6"/>
  <c r="C272" i="6" s="1"/>
  <c r="J271" i="17" s="1"/>
  <c r="X263" i="33" s="1"/>
  <c r="A273" i="6"/>
  <c r="C273" i="6" s="1"/>
  <c r="J272" i="17" s="1"/>
  <c r="X264" i="33" s="1"/>
  <c r="A275" i="6"/>
  <c r="C275" i="6" s="1"/>
  <c r="J274" i="17" s="1"/>
  <c r="X266" i="33" s="1"/>
  <c r="A277" i="6"/>
  <c r="C277" i="6" s="1"/>
  <c r="J276" i="17" s="1"/>
  <c r="X268" i="33" s="1"/>
  <c r="A278" i="6"/>
  <c r="C278" i="6" s="1"/>
  <c r="J277" i="17" s="1"/>
  <c r="X269" i="33" s="1"/>
  <c r="A276" i="6"/>
  <c r="C276" i="6" s="1"/>
  <c r="J275" i="17" s="1"/>
  <c r="X267" i="33" s="1"/>
  <c r="A279" i="6"/>
  <c r="C279" i="6" s="1"/>
  <c r="J278" i="17" s="1"/>
  <c r="X270" i="33" s="1"/>
  <c r="A280" i="6"/>
  <c r="C280" i="6" s="1"/>
  <c r="J279" i="17" s="1"/>
  <c r="X271" i="33" s="1"/>
  <c r="A281" i="6"/>
  <c r="C281" i="6" s="1"/>
  <c r="J280" i="17" s="1"/>
  <c r="X272" i="33" s="1"/>
  <c r="A283" i="6"/>
  <c r="C283" i="6" s="1"/>
  <c r="J282" i="17" s="1"/>
  <c r="X274" i="33" s="1"/>
  <c r="A282" i="6"/>
  <c r="C282" i="6" s="1"/>
  <c r="J281" i="17" s="1"/>
  <c r="X273" i="33" s="1"/>
  <c r="A284" i="6"/>
  <c r="C284" i="6" s="1"/>
  <c r="J283" i="17" s="1"/>
  <c r="X275" i="33" s="1"/>
  <c r="A285" i="6"/>
  <c r="C285" i="6" s="1"/>
  <c r="J284" i="17" s="1"/>
  <c r="X276" i="33" s="1"/>
  <c r="A286" i="6"/>
  <c r="C286" i="6" s="1"/>
  <c r="J285" i="17" s="1"/>
  <c r="X277" i="33" s="1"/>
  <c r="A287" i="6"/>
  <c r="C287" i="6" s="1"/>
  <c r="J286" i="17" s="1"/>
  <c r="X278" i="33" s="1"/>
  <c r="A288" i="6"/>
  <c r="C288" i="6" s="1"/>
  <c r="J287" i="17" s="1"/>
  <c r="X279" i="33" s="1"/>
  <c r="A289" i="6"/>
  <c r="C289" i="6" s="1"/>
  <c r="J288" i="17" s="1"/>
  <c r="X280" i="33" s="1"/>
  <c r="A290" i="6"/>
  <c r="C290" i="6" s="1"/>
  <c r="J289" i="17" s="1"/>
  <c r="X281" i="33" s="1"/>
  <c r="A291" i="6"/>
  <c r="C291" i="6" s="1"/>
  <c r="J290" i="17" s="1"/>
  <c r="X282" i="33" s="1"/>
  <c r="A292" i="6"/>
  <c r="C292" i="6" s="1"/>
  <c r="J291" i="17" s="1"/>
  <c r="X283" i="33" s="1"/>
  <c r="A293" i="6"/>
  <c r="C293" i="6" s="1"/>
  <c r="J292" i="17" s="1"/>
  <c r="X284" i="33" s="1"/>
  <c r="A246" i="6"/>
  <c r="C246" i="6" s="1"/>
  <c r="J245" i="17" s="1"/>
  <c r="X237" i="33" s="1"/>
  <c r="Q50" i="28" l="1"/>
  <c r="Q41" i="28"/>
  <c r="Q49" i="28"/>
  <c r="Q40" i="28"/>
  <c r="Q48" i="28"/>
  <c r="Q39" i="28"/>
  <c r="Q74" i="28"/>
  <c r="Q66" i="28"/>
  <c r="Q64" i="28"/>
  <c r="Q62" i="28"/>
  <c r="Q70" i="28"/>
  <c r="Q47" i="28"/>
  <c r="Q45" i="28"/>
  <c r="Q46" i="28"/>
  <c r="Q69" i="28"/>
  <c r="Q53" i="28"/>
  <c r="Q44" i="28"/>
  <c r="Q77" i="28"/>
  <c r="Q68" i="28"/>
  <c r="Q60" i="28"/>
  <c r="Q52" i="28"/>
  <c r="Q43" i="28"/>
  <c r="Q67" i="28"/>
  <c r="Q59" i="28"/>
  <c r="Q51" i="28"/>
  <c r="Q42" i="28"/>
  <c r="L48" i="8"/>
  <c r="L40" i="8"/>
  <c r="L32" i="8"/>
  <c r="L24" i="8"/>
  <c r="L16" i="8"/>
  <c r="L8" i="8"/>
  <c r="L47" i="8"/>
  <c r="L39" i="8"/>
  <c r="L31" i="8"/>
  <c r="L23" i="8"/>
  <c r="L15" i="8"/>
  <c r="L7" i="8"/>
  <c r="L46" i="8"/>
  <c r="L38" i="8"/>
  <c r="L30" i="8"/>
  <c r="L22" i="8"/>
  <c r="L14" i="8"/>
  <c r="L6" i="8"/>
  <c r="L45" i="8"/>
  <c r="L37" i="8"/>
  <c r="L29" i="8"/>
  <c r="L21" i="8"/>
  <c r="L13" i="8"/>
  <c r="L5" i="8"/>
  <c r="L44" i="8"/>
  <c r="L36" i="8"/>
  <c r="L28" i="8"/>
  <c r="L20" i="8"/>
  <c r="L12" i="8"/>
  <c r="L4" i="8"/>
  <c r="L43" i="8"/>
  <c r="L35" i="8"/>
  <c r="L27" i="8"/>
  <c r="L19" i="8"/>
  <c r="L11" i="8"/>
  <c r="L3" i="8"/>
  <c r="L2" i="8"/>
  <c r="L42" i="8"/>
  <c r="L34" i="8"/>
  <c r="L26" i="8"/>
  <c r="L18" i="8"/>
  <c r="L10" i="8"/>
  <c r="G295" i="17"/>
  <c r="L49" i="8"/>
  <c r="L41" i="8"/>
  <c r="L33" i="8"/>
  <c r="L25" i="8"/>
  <c r="L17" i="8"/>
  <c r="L9" i="8"/>
  <c r="W45" i="8" a="1"/>
  <c r="W45" i="8" s="1"/>
  <c r="AA44" i="8" a="1"/>
  <c r="AA44" i="8" s="1"/>
  <c r="AH28" i="8" a="1"/>
  <c r="AH28" i="8" s="1"/>
  <c r="AD12" i="8" a="1"/>
  <c r="AD12" i="8" s="1"/>
  <c r="W30" i="8" a="1"/>
  <c r="W30" i="8" s="1"/>
  <c r="AD43" i="8" a="1"/>
  <c r="AD43" i="8" s="1"/>
  <c r="W27" i="8" a="1"/>
  <c r="W27" i="8" s="1"/>
  <c r="AH11" i="8" a="1"/>
  <c r="AH11" i="8" s="1"/>
  <c r="W42" i="8" a="1"/>
  <c r="W42" i="8" s="1"/>
  <c r="AD26" i="8" a="1"/>
  <c r="AD26" i="8" s="1"/>
  <c r="AC10" i="8" a="1"/>
  <c r="AC10" i="8" s="1"/>
  <c r="AD46" i="8" a="1"/>
  <c r="AD46" i="8" s="1"/>
  <c r="X29" i="8" a="1"/>
  <c r="X29" i="8" s="1"/>
  <c r="Z41" i="8" a="1"/>
  <c r="Z41" i="8" s="1"/>
  <c r="AC25" i="8" a="1"/>
  <c r="AC25" i="8" s="1"/>
  <c r="AD9" i="8" a="1"/>
  <c r="AD9" i="8" s="1"/>
  <c r="AE40" i="8" a="1"/>
  <c r="AE40" i="8" s="1"/>
  <c r="AC24" i="8" a="1"/>
  <c r="AC24" i="8" s="1"/>
  <c r="V8" i="8" a="1"/>
  <c r="V8" i="8" s="1"/>
  <c r="AE23" i="8" a="1"/>
  <c r="AE23" i="8" s="1"/>
  <c r="Y38" i="8" a="1"/>
  <c r="Y38" i="8" s="1"/>
  <c r="AJ22" i="8"/>
  <c r="AE6" i="8" a="1"/>
  <c r="AE6" i="8" s="1"/>
  <c r="AF37" i="8" a="1"/>
  <c r="AF37" i="8" s="1"/>
  <c r="AJ21" i="8"/>
  <c r="V5" i="8" a="1"/>
  <c r="V5" i="8" s="1"/>
  <c r="AJ36" i="8"/>
  <c r="AF20" i="8" a="1"/>
  <c r="AF20" i="8" s="1"/>
  <c r="V4" i="8" a="1"/>
  <c r="V4" i="8" s="1"/>
  <c r="AJ35" i="8"/>
  <c r="AJ19" i="8"/>
  <c r="AJ3" i="8"/>
  <c r="AD18" i="8" a="1"/>
  <c r="AD18" i="8" s="1"/>
  <c r="V2" i="8" a="1"/>
  <c r="V2" i="8" s="1"/>
  <c r="V33" i="8" a="1"/>
  <c r="V33" i="8" s="1"/>
  <c r="AF17" i="8" a="1"/>
  <c r="AF17" i="8" s="1"/>
  <c r="W48" i="8" a="1"/>
  <c r="W48" i="8" s="1"/>
  <c r="W32" i="8" a="1"/>
  <c r="W32" i="8" s="1"/>
  <c r="AD16" i="8" a="1"/>
  <c r="AD16" i="8" s="1"/>
  <c r="V47" i="8" a="1"/>
  <c r="V47" i="8" s="1"/>
  <c r="AH31" i="8" a="1"/>
  <c r="AH31" i="8" s="1"/>
  <c r="AD15" i="8" a="1"/>
  <c r="AD15" i="8" s="1"/>
  <c r="V46" i="8" a="1"/>
  <c r="V46" i="8" s="1"/>
  <c r="V45" i="8" a="1"/>
  <c r="V45" i="8" s="1"/>
  <c r="Y44" i="8" a="1"/>
  <c r="Y44" i="8" s="1"/>
  <c r="X44" i="8" a="1"/>
  <c r="X44" i="8" s="1"/>
  <c r="Z28" i="8" a="1"/>
  <c r="Z28" i="8" s="1"/>
  <c r="W26" i="8" a="1"/>
  <c r="W26" i="8" s="1"/>
  <c r="Y8" i="8" a="1"/>
  <c r="Y8" i="8" s="1"/>
  <c r="W6" i="8" a="1"/>
  <c r="W6" i="8" s="1"/>
  <c r="AG45" i="8" a="1"/>
  <c r="AG45" i="8" s="1"/>
  <c r="AD40" i="8" a="1"/>
  <c r="AD40" i="8" s="1"/>
  <c r="V44" i="8" a="1"/>
  <c r="V44" i="8" s="1"/>
  <c r="Y41" i="8" a="1"/>
  <c r="Y41" i="8" s="1"/>
  <c r="AA25" i="8" a="1"/>
  <c r="AA25" i="8" s="1"/>
  <c r="AA5" i="8" a="1"/>
  <c r="AA5" i="8" s="1"/>
  <c r="AH39" i="8" a="1"/>
  <c r="AH39" i="8" s="1"/>
  <c r="AF14" i="8" a="1"/>
  <c r="AF14" i="8" s="1"/>
  <c r="V32" i="8" a="1"/>
  <c r="V32" i="8" s="1"/>
  <c r="X41" i="8" a="1"/>
  <c r="X41" i="8" s="1"/>
  <c r="W23" i="8" a="1"/>
  <c r="W23" i="8" s="1"/>
  <c r="Z5" i="8" a="1"/>
  <c r="Z5" i="8" s="1"/>
  <c r="AE37" i="8" a="1"/>
  <c r="AE37" i="8" s="1"/>
  <c r="AE14" i="8" a="1"/>
  <c r="AE14" i="8" s="1"/>
  <c r="V31" i="8" a="1"/>
  <c r="V31" i="8" s="1"/>
  <c r="W41" i="8" a="1"/>
  <c r="W41" i="8" s="1"/>
  <c r="AA22" i="8" a="1"/>
  <c r="AA22" i="8" s="1"/>
  <c r="W3" i="8" a="1"/>
  <c r="W3" i="8" s="1"/>
  <c r="AD37" i="8" a="1"/>
  <c r="AD37" i="8" s="1"/>
  <c r="AH8" i="8" a="1"/>
  <c r="AH8" i="8" s="1"/>
  <c r="AE17" i="8" a="1"/>
  <c r="AE17" i="8" s="1"/>
  <c r="V30" i="8" a="1"/>
  <c r="V30" i="8" s="1"/>
  <c r="X38" i="8" a="1"/>
  <c r="X38" i="8" s="1"/>
  <c r="Z22" i="8" a="1"/>
  <c r="Z22" i="8" s="1"/>
  <c r="AC2" i="8" a="1"/>
  <c r="AC2" i="8" s="1"/>
  <c r="AF34" i="8" a="1"/>
  <c r="AF34" i="8" s="1"/>
  <c r="AG8" i="8" a="1"/>
  <c r="AG8" i="8" s="1"/>
  <c r="V18" i="8" a="1"/>
  <c r="V18" i="8" s="1"/>
  <c r="W38" i="8" a="1"/>
  <c r="W38" i="8" s="1"/>
  <c r="X20" i="8" a="1"/>
  <c r="X20" i="8" s="1"/>
  <c r="AC49" i="8" a="1"/>
  <c r="AC49" i="8" s="1"/>
  <c r="AE34" i="8" a="1"/>
  <c r="AE34" i="8" s="1"/>
  <c r="AD6" i="8" a="1"/>
  <c r="AD6" i="8" s="1"/>
  <c r="V17" i="8" a="1"/>
  <c r="V17" i="8" s="1"/>
  <c r="AA37" i="8" a="1"/>
  <c r="AA37" i="8" s="1"/>
  <c r="W20" i="8" a="1"/>
  <c r="W20" i="8" s="1"/>
  <c r="AC36" i="8" a="1"/>
  <c r="AC36" i="8" s="1"/>
  <c r="AG31" i="8" a="1"/>
  <c r="AG31" i="8" s="1"/>
  <c r="AH5" i="8" a="1"/>
  <c r="AH5" i="8" s="1"/>
  <c r="V16" i="8" a="1"/>
  <c r="V16" i="8" s="1"/>
  <c r="W35" i="8" a="1"/>
  <c r="W35" i="8" s="1"/>
  <c r="AA19" i="8" a="1"/>
  <c r="AA19" i="8" s="1"/>
  <c r="AC35" i="8" a="1"/>
  <c r="AC35" i="8" s="1"/>
  <c r="AF31" i="8" a="1"/>
  <c r="AF31" i="8" s="1"/>
  <c r="AD3" i="8" a="1"/>
  <c r="AD3" i="8" s="1"/>
  <c r="V3" i="8" a="1"/>
  <c r="V3" i="8" s="1"/>
  <c r="AA34" i="8" a="1"/>
  <c r="AA34" i="8" s="1"/>
  <c r="AC22" i="8" a="1"/>
  <c r="AC22" i="8" s="1"/>
  <c r="AG28" i="8" a="1"/>
  <c r="AG28" i="8" s="1"/>
  <c r="AJ49" i="8"/>
  <c r="AA2" i="8" a="1"/>
  <c r="AA2" i="8" s="1"/>
  <c r="Z34" i="8" a="1"/>
  <c r="Z34" i="8" s="1"/>
  <c r="X17" i="8" a="1"/>
  <c r="X17" i="8" s="1"/>
  <c r="AC21" i="8" a="1"/>
  <c r="AC21" i="8" s="1"/>
  <c r="AH25" i="8" a="1"/>
  <c r="AH25" i="8" s="1"/>
  <c r="AJ34" i="8"/>
  <c r="Z2" i="8" a="1"/>
  <c r="Z2" i="8" s="1"/>
  <c r="AA31" i="8" a="1"/>
  <c r="AA31" i="8" s="1"/>
  <c r="W17" i="8" a="1"/>
  <c r="W17" i="8" s="1"/>
  <c r="AC8" i="8" a="1"/>
  <c r="AC8" i="8" s="1"/>
  <c r="AG25" i="8" a="1"/>
  <c r="AG25" i="8" s="1"/>
  <c r="AJ33" i="8"/>
  <c r="AA47" i="8" a="1"/>
  <c r="AA47" i="8" s="1"/>
  <c r="Y14" i="8" a="1"/>
  <c r="Y14" i="8" s="1"/>
  <c r="AC7" i="8" a="1"/>
  <c r="AC7" i="8" s="1"/>
  <c r="AD23" i="8" a="1"/>
  <c r="AD23" i="8" s="1"/>
  <c r="AJ18" i="8"/>
  <c r="Z47" i="8" a="1"/>
  <c r="Z47" i="8" s="1"/>
  <c r="Z31" i="8" a="1"/>
  <c r="Z31" i="8" s="1"/>
  <c r="X14" i="8" a="1"/>
  <c r="X14" i="8" s="1"/>
  <c r="AH48" i="8" a="1"/>
  <c r="AH48" i="8" s="1"/>
  <c r="AH22" i="8" a="1"/>
  <c r="AH22" i="8" s="1"/>
  <c r="AJ17" i="8"/>
  <c r="Y47" i="8" a="1"/>
  <c r="Y47" i="8" s="1"/>
  <c r="W29" i="8" a="1"/>
  <c r="W29" i="8" s="1"/>
  <c r="AA8" i="8" a="1"/>
  <c r="AA8" i="8" s="1"/>
  <c r="AG48" i="8" a="1"/>
  <c r="AG48" i="8" s="1"/>
  <c r="AE20" i="8" a="1"/>
  <c r="AE20" i="8" s="1"/>
  <c r="Z44" i="8" a="1"/>
  <c r="Z44" i="8" s="1"/>
  <c r="AA28" i="8" a="1"/>
  <c r="AA28" i="8" s="1"/>
  <c r="Z8" i="8" a="1"/>
  <c r="Z8" i="8" s="1"/>
  <c r="AH45" i="8" a="1"/>
  <c r="AH45" i="8" s="1"/>
  <c r="AD20" i="8" a="1"/>
  <c r="AD20" i="8" s="1"/>
  <c r="Z11" i="8" a="1"/>
  <c r="Z11" i="8" s="1"/>
  <c r="AG11" i="8" a="1"/>
  <c r="AG11" i="8" s="1"/>
  <c r="Z25" i="8" a="1"/>
  <c r="Z25" i="8" s="1"/>
  <c r="X11" i="8" a="1"/>
  <c r="X11" i="8" s="1"/>
  <c r="AC20" i="8" a="1"/>
  <c r="AC20" i="8" s="1"/>
  <c r="AC6" i="8" a="1"/>
  <c r="AC6" i="8" s="1"/>
  <c r="AF48" i="8" a="1"/>
  <c r="AF48" i="8" s="1"/>
  <c r="AF45" i="8" a="1"/>
  <c r="AF45" i="8" s="1"/>
  <c r="AG42" i="8" a="1"/>
  <c r="AG42" i="8" s="1"/>
  <c r="AH36" i="8" a="1"/>
  <c r="AH36" i="8" s="1"/>
  <c r="AD34" i="8" a="1"/>
  <c r="AD34" i="8" s="1"/>
  <c r="AE31" i="8" a="1"/>
  <c r="AE31" i="8" s="1"/>
  <c r="AF28" i="8" a="1"/>
  <c r="AF28" i="8" s="1"/>
  <c r="AF25" i="8" a="1"/>
  <c r="AF25" i="8" s="1"/>
  <c r="AG22" i="8" a="1"/>
  <c r="AG22" i="8" s="1"/>
  <c r="AH19" i="8" a="1"/>
  <c r="AH19" i="8" s="1"/>
  <c r="AD17" i="8" a="1"/>
  <c r="AD17" i="8" s="1"/>
  <c r="AE11" i="8" a="1"/>
  <c r="AE11" i="8" s="1"/>
  <c r="AF8" i="8" a="1"/>
  <c r="AF8" i="8" s="1"/>
  <c r="AG5" i="8" a="1"/>
  <c r="AG5" i="8" s="1"/>
  <c r="AJ48" i="8"/>
  <c r="AJ32" i="8"/>
  <c r="AJ16" i="8"/>
  <c r="V43" i="8" a="1"/>
  <c r="V43" i="8" s="1"/>
  <c r="V29" i="8" a="1"/>
  <c r="V29" i="8" s="1"/>
  <c r="V15" i="8" a="1"/>
  <c r="V15" i="8" s="1"/>
  <c r="Y2" i="8" a="1"/>
  <c r="Y2" i="8" s="1"/>
  <c r="X47" i="8" a="1"/>
  <c r="X47" i="8" s="1"/>
  <c r="W44" i="8" a="1"/>
  <c r="W44" i="8" s="1"/>
  <c r="AA40" i="8" a="1"/>
  <c r="AA40" i="8" s="1"/>
  <c r="Z37" i="8" a="1"/>
  <c r="Z37" i="8" s="1"/>
  <c r="Y34" i="8" a="1"/>
  <c r="Y34" i="8" s="1"/>
  <c r="Y31" i="8" a="1"/>
  <c r="Y31" i="8" s="1"/>
  <c r="Y25" i="8" a="1"/>
  <c r="Y25" i="8" s="1"/>
  <c r="Y22" i="8" a="1"/>
  <c r="Y22" i="8" s="1"/>
  <c r="Z19" i="8" a="1"/>
  <c r="Z19" i="8" s="1"/>
  <c r="AA16" i="8" a="1"/>
  <c r="AA16" i="8" s="1"/>
  <c r="W14" i="8" a="1"/>
  <c r="W14" i="8" s="1"/>
  <c r="W11" i="8" a="1"/>
  <c r="W11" i="8" s="1"/>
  <c r="X8" i="8" a="1"/>
  <c r="X8" i="8" s="1"/>
  <c r="Y5" i="8" a="1"/>
  <c r="Y5" i="8" s="1"/>
  <c r="AC48" i="8" a="1"/>
  <c r="AC48" i="8" s="1"/>
  <c r="AC34" i="8" a="1"/>
  <c r="AC34" i="8" s="1"/>
  <c r="AC19" i="8" a="1"/>
  <c r="AC19" i="8" s="1"/>
  <c r="AC5" i="8" a="1"/>
  <c r="AC5" i="8" s="1"/>
  <c r="AE48" i="8" a="1"/>
  <c r="AE48" i="8" s="1"/>
  <c r="AE45" i="8" a="1"/>
  <c r="AE45" i="8" s="1"/>
  <c r="AF42" i="8" a="1"/>
  <c r="AF42" i="8" s="1"/>
  <c r="AG39" i="8" a="1"/>
  <c r="AG39" i="8" s="1"/>
  <c r="AG36" i="8" a="1"/>
  <c r="AG36" i="8" s="1"/>
  <c r="AH33" i="8" a="1"/>
  <c r="AH33" i="8" s="1"/>
  <c r="AD31" i="8" a="1"/>
  <c r="AD31" i="8" s="1"/>
  <c r="AE28" i="8" a="1"/>
  <c r="AE28" i="8" s="1"/>
  <c r="AF22" i="8" a="1"/>
  <c r="AF22" i="8" s="1"/>
  <c r="AG19" i="8" a="1"/>
  <c r="AG19" i="8" s="1"/>
  <c r="AH16" i="8" a="1"/>
  <c r="AH16" i="8" s="1"/>
  <c r="AD14" i="8" a="1"/>
  <c r="AD14" i="8" s="1"/>
  <c r="AD11" i="8" a="1"/>
  <c r="AD11" i="8" s="1"/>
  <c r="AE8" i="8" a="1"/>
  <c r="AE8" i="8" s="1"/>
  <c r="AF5" i="8" a="1"/>
  <c r="AF5" i="8" s="1"/>
  <c r="AJ47" i="8"/>
  <c r="AJ31" i="8"/>
  <c r="AJ15" i="8"/>
  <c r="V28" i="8" a="1"/>
  <c r="V28" i="8" s="1"/>
  <c r="V14" i="8" a="1"/>
  <c r="V14" i="8" s="1"/>
  <c r="X2" i="8" a="1"/>
  <c r="X2" i="8" s="1"/>
  <c r="W47" i="8" a="1"/>
  <c r="W47" i="8" s="1"/>
  <c r="AA43" i="8" a="1"/>
  <c r="AA43" i="8" s="1"/>
  <c r="Z40" i="8" a="1"/>
  <c r="Z40" i="8" s="1"/>
  <c r="Y37" i="8" a="1"/>
  <c r="Y37" i="8" s="1"/>
  <c r="X34" i="8" a="1"/>
  <c r="X34" i="8" s="1"/>
  <c r="X31" i="8" a="1"/>
  <c r="X31" i="8" s="1"/>
  <c r="Y28" i="8" a="1"/>
  <c r="Y28" i="8" s="1"/>
  <c r="X22" i="8" a="1"/>
  <c r="X22" i="8" s="1"/>
  <c r="Y19" i="8" a="1"/>
  <c r="Y19" i="8" s="1"/>
  <c r="Z16" i="8" a="1"/>
  <c r="Z16" i="8" s="1"/>
  <c r="AA13" i="8" a="1"/>
  <c r="AA13" i="8" s="1"/>
  <c r="W8" i="8" a="1"/>
  <c r="W8" i="8" s="1"/>
  <c r="X5" i="8" a="1"/>
  <c r="X5" i="8" s="1"/>
  <c r="AC47" i="8" a="1"/>
  <c r="AC47" i="8" s="1"/>
  <c r="AC33" i="8" a="1"/>
  <c r="AC33" i="8" s="1"/>
  <c r="AC4" i="8" a="1"/>
  <c r="AC4" i="8" s="1"/>
  <c r="AD48" i="8" a="1"/>
  <c r="AD48" i="8" s="1"/>
  <c r="AD45" i="8" a="1"/>
  <c r="AD45" i="8" s="1"/>
  <c r="AE42" i="8" a="1"/>
  <c r="AE42" i="8" s="1"/>
  <c r="AF39" i="8" a="1"/>
  <c r="AF39" i="8" s="1"/>
  <c r="AG33" i="8" a="1"/>
  <c r="AG33" i="8" s="1"/>
  <c r="AH30" i="8" a="1"/>
  <c r="AH30" i="8" s="1"/>
  <c r="AD28" i="8" a="1"/>
  <c r="AD28" i="8" s="1"/>
  <c r="AE25" i="8" a="1"/>
  <c r="AE25" i="8" s="1"/>
  <c r="AE22" i="8" a="1"/>
  <c r="AE22" i="8" s="1"/>
  <c r="AF19" i="8" a="1"/>
  <c r="AF19" i="8" s="1"/>
  <c r="AG16" i="8" a="1"/>
  <c r="AG16" i="8" s="1"/>
  <c r="AH13" i="8" a="1"/>
  <c r="AH13" i="8" s="1"/>
  <c r="AD8" i="8" a="1"/>
  <c r="AD8" i="8" s="1"/>
  <c r="AE5" i="8" a="1"/>
  <c r="AE5" i="8" s="1"/>
  <c r="AJ46" i="8"/>
  <c r="AJ30" i="8"/>
  <c r="AJ14" i="8"/>
  <c r="V42" i="8" a="1"/>
  <c r="V42" i="8" s="1"/>
  <c r="V27" i="8" a="1"/>
  <c r="V27" i="8" s="1"/>
  <c r="V13" i="8" a="1"/>
  <c r="V13" i="8" s="1"/>
  <c r="W2" i="8" a="1"/>
  <c r="W2" i="8" s="1"/>
  <c r="AA46" i="8" a="1"/>
  <c r="AA46" i="8" s="1"/>
  <c r="Z43" i="8" a="1"/>
  <c r="Z43" i="8" s="1"/>
  <c r="Y40" i="8" a="1"/>
  <c r="Y40" i="8" s="1"/>
  <c r="X37" i="8" a="1"/>
  <c r="X37" i="8" s="1"/>
  <c r="W34" i="8" a="1"/>
  <c r="W34" i="8" s="1"/>
  <c r="W31" i="8" a="1"/>
  <c r="W31" i="8" s="1"/>
  <c r="X28" i="8" a="1"/>
  <c r="X28" i="8" s="1"/>
  <c r="X25" i="8" a="1"/>
  <c r="X25" i="8" s="1"/>
  <c r="X19" i="8" a="1"/>
  <c r="X19" i="8" s="1"/>
  <c r="Y16" i="8" a="1"/>
  <c r="Y16" i="8" s="1"/>
  <c r="Z13" i="8" a="1"/>
  <c r="Z13" i="8" s="1"/>
  <c r="AA10" i="8" a="1"/>
  <c r="AA10" i="8" s="1"/>
  <c r="AA7" i="8" a="1"/>
  <c r="AA7" i="8" s="1"/>
  <c r="W5" i="8" a="1"/>
  <c r="W5" i="8" s="1"/>
  <c r="AC46" i="8" a="1"/>
  <c r="AC46" i="8" s="1"/>
  <c r="AC32" i="8" a="1"/>
  <c r="AC32" i="8" s="1"/>
  <c r="AC18" i="8" a="1"/>
  <c r="AC18" i="8" s="1"/>
  <c r="AC3" i="8" a="1"/>
  <c r="AC3" i="8" s="1"/>
  <c r="AH47" i="8" a="1"/>
  <c r="AH47" i="8" s="1"/>
  <c r="AH44" i="8" a="1"/>
  <c r="AH44" i="8" s="1"/>
  <c r="AD42" i="8" a="1"/>
  <c r="AD42" i="8" s="1"/>
  <c r="AE39" i="8" a="1"/>
  <c r="AE39" i="8" s="1"/>
  <c r="AF36" i="8" a="1"/>
  <c r="AF36" i="8" s="1"/>
  <c r="AF33" i="8" a="1"/>
  <c r="AF33" i="8" s="1"/>
  <c r="AG30" i="8" a="1"/>
  <c r="AG30" i="8" s="1"/>
  <c r="AH27" i="8" a="1"/>
  <c r="AH27" i="8" s="1"/>
  <c r="AD25" i="8" a="1"/>
  <c r="AD25" i="8" s="1"/>
  <c r="AE19" i="8" a="1"/>
  <c r="AE19" i="8" s="1"/>
  <c r="AF16" i="8" a="1"/>
  <c r="AF16" i="8" s="1"/>
  <c r="AG13" i="8" a="1"/>
  <c r="AG13" i="8" s="1"/>
  <c r="AH10" i="8" a="1"/>
  <c r="AH10" i="8" s="1"/>
  <c r="AH7" i="8" a="1"/>
  <c r="AH7" i="8" s="1"/>
  <c r="AD5" i="8" a="1"/>
  <c r="AD5" i="8" s="1"/>
  <c r="AJ45" i="8"/>
  <c r="AJ29" i="8"/>
  <c r="AJ13" i="8"/>
  <c r="V41" i="8" a="1"/>
  <c r="V41" i="8" s="1"/>
  <c r="V12" i="8" a="1"/>
  <c r="V12" i="8" s="1"/>
  <c r="AA49" i="8" a="1"/>
  <c r="AA49" i="8" s="1"/>
  <c r="Z46" i="8" a="1"/>
  <c r="Z46" i="8" s="1"/>
  <c r="Y43" i="8" a="1"/>
  <c r="Y43" i="8" s="1"/>
  <c r="X40" i="8" a="1"/>
  <c r="X40" i="8" s="1"/>
  <c r="W37" i="8" a="1"/>
  <c r="W37" i="8" s="1"/>
  <c r="AA33" i="8" a="1"/>
  <c r="AA33" i="8" s="1"/>
  <c r="AA30" i="8" a="1"/>
  <c r="AA30" i="8" s="1"/>
  <c r="W28" i="8" a="1"/>
  <c r="W28" i="8" s="1"/>
  <c r="W25" i="8" a="1"/>
  <c r="W25" i="8" s="1"/>
  <c r="W22" i="8" a="1"/>
  <c r="W22" i="8" s="1"/>
  <c r="W19" i="8" a="1"/>
  <c r="W19" i="8" s="1"/>
  <c r="X16" i="8" a="1"/>
  <c r="X16" i="8" s="1"/>
  <c r="Y13" i="8" a="1"/>
  <c r="Y13" i="8" s="1"/>
  <c r="Z10" i="8" a="1"/>
  <c r="Z10" i="8" s="1"/>
  <c r="AA4" i="8" a="1"/>
  <c r="AA4" i="8" s="1"/>
  <c r="AC45" i="8" a="1"/>
  <c r="AC45" i="8" s="1"/>
  <c r="AC31" i="8" a="1"/>
  <c r="AC31" i="8" s="1"/>
  <c r="AC17" i="8" a="1"/>
  <c r="AC17" i="8" s="1"/>
  <c r="AH2" i="8" a="1"/>
  <c r="AH2" i="8" s="1"/>
  <c r="AG47" i="8" a="1"/>
  <c r="AG47" i="8" s="1"/>
  <c r="AG44" i="8" a="1"/>
  <c r="AG44" i="8" s="1"/>
  <c r="AH41" i="8" a="1"/>
  <c r="AH41" i="8" s="1"/>
  <c r="AD39" i="8" a="1"/>
  <c r="AD39" i="8" s="1"/>
  <c r="AE36" i="8" a="1"/>
  <c r="AE36" i="8" s="1"/>
  <c r="AF30" i="8" a="1"/>
  <c r="AF30" i="8" s="1"/>
  <c r="AG27" i="8" a="1"/>
  <c r="AG27" i="8" s="1"/>
  <c r="AH24" i="8" a="1"/>
  <c r="AH24" i="8" s="1"/>
  <c r="AD22" i="8" a="1"/>
  <c r="AD22" i="8" s="1"/>
  <c r="AD19" i="8" a="1"/>
  <c r="AD19" i="8" s="1"/>
  <c r="AE16" i="8" a="1"/>
  <c r="AE16" i="8" s="1"/>
  <c r="AF13" i="8" a="1"/>
  <c r="AF13" i="8" s="1"/>
  <c r="AG10" i="8" a="1"/>
  <c r="AG10" i="8" s="1"/>
  <c r="AH4" i="8" a="1"/>
  <c r="AH4" i="8" s="1"/>
  <c r="AJ44" i="8"/>
  <c r="AJ28" i="8"/>
  <c r="AJ12" i="8"/>
  <c r="AH42" i="8" a="1"/>
  <c r="AH42" i="8" s="1"/>
  <c r="V40" i="8" a="1"/>
  <c r="V40" i="8" s="1"/>
  <c r="V26" i="8" a="1"/>
  <c r="V26" i="8" s="1"/>
  <c r="V11" i="8" a="1"/>
  <c r="V11" i="8" s="1"/>
  <c r="Z49" i="8" a="1"/>
  <c r="Z49" i="8" s="1"/>
  <c r="Y46" i="8" a="1"/>
  <c r="Y46" i="8" s="1"/>
  <c r="X43" i="8" a="1"/>
  <c r="X43" i="8" s="1"/>
  <c r="W40" i="8" a="1"/>
  <c r="W40" i="8" s="1"/>
  <c r="AA36" i="8" a="1"/>
  <c r="AA36" i="8" s="1"/>
  <c r="Z33" i="8" a="1"/>
  <c r="Z33" i="8" s="1"/>
  <c r="Z30" i="8" a="1"/>
  <c r="Z30" i="8" s="1"/>
  <c r="AA27" i="8" a="1"/>
  <c r="AA27" i="8" s="1"/>
  <c r="AA24" i="8" a="1"/>
  <c r="AA24" i="8" s="1"/>
  <c r="AA21" i="8" a="1"/>
  <c r="AA21" i="8" s="1"/>
  <c r="W16" i="8" a="1"/>
  <c r="W16" i="8" s="1"/>
  <c r="X13" i="8" a="1"/>
  <c r="X13" i="8" s="1"/>
  <c r="Y10" i="8" a="1"/>
  <c r="Y10" i="8" s="1"/>
  <c r="Z7" i="8" a="1"/>
  <c r="Z7" i="8" s="1"/>
  <c r="Z4" i="8" a="1"/>
  <c r="Z4" i="8" s="1"/>
  <c r="AC44" i="8" a="1"/>
  <c r="AC44" i="8" s="1"/>
  <c r="AC30" i="8" a="1"/>
  <c r="AC30" i="8" s="1"/>
  <c r="AC16" i="8" a="1"/>
  <c r="AC16" i="8" s="1"/>
  <c r="AG2" i="8" a="1"/>
  <c r="AG2" i="8" s="1"/>
  <c r="AF47" i="8" a="1"/>
  <c r="AF47" i="8" s="1"/>
  <c r="AG41" i="8" a="1"/>
  <c r="AG41" i="8" s="1"/>
  <c r="AH38" i="8" a="1"/>
  <c r="AH38" i="8" s="1"/>
  <c r="AD36" i="8" a="1"/>
  <c r="AD36" i="8" s="1"/>
  <c r="AE33" i="8" a="1"/>
  <c r="AE33" i="8" s="1"/>
  <c r="AE30" i="8" a="1"/>
  <c r="AE30" i="8" s="1"/>
  <c r="AF27" i="8" a="1"/>
  <c r="AF27" i="8" s="1"/>
  <c r="AG24" i="8" a="1"/>
  <c r="AG24" i="8" s="1"/>
  <c r="AH21" i="8" a="1"/>
  <c r="AH21" i="8" s="1"/>
  <c r="AE13" i="8" a="1"/>
  <c r="AE13" i="8" s="1"/>
  <c r="AF10" i="8" a="1"/>
  <c r="AF10" i="8" s="1"/>
  <c r="AG7" i="8" a="1"/>
  <c r="AG7" i="8" s="1"/>
  <c r="AG4" i="8" a="1"/>
  <c r="AG4" i="8" s="1"/>
  <c r="AJ43" i="8"/>
  <c r="AJ27" i="8"/>
  <c r="AJ11" i="8"/>
  <c r="AF11" i="8" a="1"/>
  <c r="AF11" i="8" s="1"/>
  <c r="V39" i="8" a="1"/>
  <c r="V39" i="8" s="1"/>
  <c r="V25" i="8" a="1"/>
  <c r="V25" i="8" s="1"/>
  <c r="Y49" i="8" a="1"/>
  <c r="Y49" i="8" s="1"/>
  <c r="X46" i="8" a="1"/>
  <c r="X46" i="8" s="1"/>
  <c r="W43" i="8" a="1"/>
  <c r="W43" i="8" s="1"/>
  <c r="AA39" i="8" a="1"/>
  <c r="AA39" i="8" s="1"/>
  <c r="Z36" i="8" a="1"/>
  <c r="Z36" i="8" s="1"/>
  <c r="Y33" i="8" a="1"/>
  <c r="Y33" i="8" s="1"/>
  <c r="Y30" i="8" a="1"/>
  <c r="Y30" i="8" s="1"/>
  <c r="Z27" i="8" a="1"/>
  <c r="Z27" i="8" s="1"/>
  <c r="Z24" i="8" a="1"/>
  <c r="Z24" i="8" s="1"/>
  <c r="Z21" i="8" a="1"/>
  <c r="Z21" i="8" s="1"/>
  <c r="AA18" i="8" a="1"/>
  <c r="AA18" i="8" s="1"/>
  <c r="AA15" i="8" a="1"/>
  <c r="AA15" i="8" s="1"/>
  <c r="W13" i="8" a="1"/>
  <c r="W13" i="8" s="1"/>
  <c r="X10" i="8" a="1"/>
  <c r="X10" i="8" s="1"/>
  <c r="Y7" i="8" a="1"/>
  <c r="Y7" i="8" s="1"/>
  <c r="AC43" i="8" a="1"/>
  <c r="AC43" i="8" s="1"/>
  <c r="AC29" i="8" a="1"/>
  <c r="AC29" i="8" s="1"/>
  <c r="AC15" i="8" a="1"/>
  <c r="AC15" i="8" s="1"/>
  <c r="AF2" i="8" a="1"/>
  <c r="AF2" i="8" s="1"/>
  <c r="AE47" i="8" a="1"/>
  <c r="AE47" i="8" s="1"/>
  <c r="AF44" i="8" a="1"/>
  <c r="AF44" i="8" s="1"/>
  <c r="AF41" i="8" a="1"/>
  <c r="AF41" i="8" s="1"/>
  <c r="AG38" i="8" a="1"/>
  <c r="AG38" i="8" s="1"/>
  <c r="AH35" i="8" a="1"/>
  <c r="AH35" i="8" s="1"/>
  <c r="AD33" i="8" a="1"/>
  <c r="AD33" i="8" s="1"/>
  <c r="AE27" i="8" a="1"/>
  <c r="AE27" i="8" s="1"/>
  <c r="AF24" i="8" a="1"/>
  <c r="AF24" i="8" s="1"/>
  <c r="AG21" i="8" a="1"/>
  <c r="AG21" i="8" s="1"/>
  <c r="AH18" i="8" a="1"/>
  <c r="AH18" i="8" s="1"/>
  <c r="AH15" i="8" a="1"/>
  <c r="AH15" i="8" s="1"/>
  <c r="AD13" i="8" a="1"/>
  <c r="AD13" i="8" s="1"/>
  <c r="AE10" i="8" a="1"/>
  <c r="AE10" i="8" s="1"/>
  <c r="AF7" i="8" a="1"/>
  <c r="AF7" i="8" s="1"/>
  <c r="AJ42" i="8"/>
  <c r="AJ26" i="8"/>
  <c r="AJ10" i="8"/>
  <c r="V38" i="8" a="1"/>
  <c r="V38" i="8" s="1"/>
  <c r="V24" i="8" a="1"/>
  <c r="V24" i="8" s="1"/>
  <c r="V10" i="8" a="1"/>
  <c r="V10" i="8" s="1"/>
  <c r="X49" i="8" a="1"/>
  <c r="X49" i="8" s="1"/>
  <c r="W46" i="8" a="1"/>
  <c r="W46" i="8" s="1"/>
  <c r="AA42" i="8" a="1"/>
  <c r="AA42" i="8" s="1"/>
  <c r="Z39" i="8" a="1"/>
  <c r="Z39" i="8" s="1"/>
  <c r="Y36" i="8" a="1"/>
  <c r="Y36" i="8" s="1"/>
  <c r="X33" i="8" a="1"/>
  <c r="X33" i="8" s="1"/>
  <c r="X30" i="8" a="1"/>
  <c r="X30" i="8" s="1"/>
  <c r="Y27" i="8" a="1"/>
  <c r="Y27" i="8" s="1"/>
  <c r="Y24" i="8" a="1"/>
  <c r="Y24" i="8" s="1"/>
  <c r="Y21" i="8" a="1"/>
  <c r="Y21" i="8" s="1"/>
  <c r="Z18" i="8" a="1"/>
  <c r="Z18" i="8" s="1"/>
  <c r="AA12" i="8" a="1"/>
  <c r="AA12" i="8" s="1"/>
  <c r="W10" i="8" a="1"/>
  <c r="W10" i="8" s="1"/>
  <c r="X7" i="8" a="1"/>
  <c r="X7" i="8" s="1"/>
  <c r="Y4" i="8" a="1"/>
  <c r="Y4" i="8" s="1"/>
  <c r="AC28" i="8" a="1"/>
  <c r="AC28" i="8" s="1"/>
  <c r="AC14" i="8" a="1"/>
  <c r="AC14" i="8" s="1"/>
  <c r="AE2" i="8" a="1"/>
  <c r="AE2" i="8" s="1"/>
  <c r="AD47" i="8" a="1"/>
  <c r="AD47" i="8" s="1"/>
  <c r="AE44" i="8" a="1"/>
  <c r="AE44" i="8" s="1"/>
  <c r="AF38" i="8" a="1"/>
  <c r="AF38" i="8" s="1"/>
  <c r="AG35" i="8" a="1"/>
  <c r="AG35" i="8" s="1"/>
  <c r="AH32" i="8" a="1"/>
  <c r="AH32" i="8" s="1"/>
  <c r="AD30" i="8" a="1"/>
  <c r="AD30" i="8" s="1"/>
  <c r="AD27" i="8" a="1"/>
  <c r="AD27" i="8" s="1"/>
  <c r="AE24" i="8" a="1"/>
  <c r="AE24" i="8" s="1"/>
  <c r="AF21" i="8" a="1"/>
  <c r="AF21" i="8" s="1"/>
  <c r="AG18" i="8" a="1"/>
  <c r="AG18" i="8" s="1"/>
  <c r="AH12" i="8" a="1"/>
  <c r="AH12" i="8" s="1"/>
  <c r="AD10" i="8" a="1"/>
  <c r="AD10" i="8" s="1"/>
  <c r="AE7" i="8" a="1"/>
  <c r="AE7" i="8" s="1"/>
  <c r="AF4" i="8" a="1"/>
  <c r="AF4" i="8" s="1"/>
  <c r="AJ41" i="8"/>
  <c r="AJ25" i="8"/>
  <c r="AJ9" i="8"/>
  <c r="V37" i="8" a="1"/>
  <c r="V37" i="8" s="1"/>
  <c r="V23" i="8" a="1"/>
  <c r="V23" i="8" s="1"/>
  <c r="V9" i="8" a="1"/>
  <c r="V9" i="8" s="1"/>
  <c r="W49" i="8" a="1"/>
  <c r="W49" i="8" s="1"/>
  <c r="AA45" i="8" a="1"/>
  <c r="AA45" i="8" s="1"/>
  <c r="Z42" i="8" a="1"/>
  <c r="Z42" i="8" s="1"/>
  <c r="Y39" i="8" a="1"/>
  <c r="Y39" i="8" s="1"/>
  <c r="X36" i="8" a="1"/>
  <c r="X36" i="8" s="1"/>
  <c r="W33" i="8" a="1"/>
  <c r="W33" i="8" s="1"/>
  <c r="X27" i="8" a="1"/>
  <c r="X27" i="8" s="1"/>
  <c r="X24" i="8" a="1"/>
  <c r="X24" i="8" s="1"/>
  <c r="X21" i="8" a="1"/>
  <c r="X21" i="8" s="1"/>
  <c r="Y18" i="8" a="1"/>
  <c r="Y18" i="8" s="1"/>
  <c r="Z15" i="8" a="1"/>
  <c r="Z15" i="8" s="1"/>
  <c r="Z12" i="8" a="1"/>
  <c r="Z12" i="8" s="1"/>
  <c r="AA9" i="8" a="1"/>
  <c r="AA9" i="8" s="1"/>
  <c r="W7" i="8" a="1"/>
  <c r="W7" i="8" s="1"/>
  <c r="X4" i="8" a="1"/>
  <c r="X4" i="8" s="1"/>
  <c r="AC42" i="8" a="1"/>
  <c r="AC42" i="8" s="1"/>
  <c r="AC27" i="8" a="1"/>
  <c r="AC27" i="8" s="1"/>
  <c r="AD2" i="8" a="1"/>
  <c r="AD2" i="8" s="1"/>
  <c r="AH46" i="8" a="1"/>
  <c r="AH46" i="8" s="1"/>
  <c r="AD44" i="8" a="1"/>
  <c r="AD44" i="8" s="1"/>
  <c r="AE41" i="8" a="1"/>
  <c r="AE41" i="8" s="1"/>
  <c r="AE38" i="8" a="1"/>
  <c r="AE38" i="8" s="1"/>
  <c r="AF35" i="8" a="1"/>
  <c r="AF35" i="8" s="1"/>
  <c r="AG32" i="8" a="1"/>
  <c r="AG32" i="8" s="1"/>
  <c r="AH29" i="8" a="1"/>
  <c r="AH29" i="8" s="1"/>
  <c r="AD24" i="8" a="1"/>
  <c r="AD24" i="8" s="1"/>
  <c r="AE21" i="8" a="1"/>
  <c r="AE21" i="8" s="1"/>
  <c r="AF18" i="8" a="1"/>
  <c r="AF18" i="8" s="1"/>
  <c r="AG15" i="8" a="1"/>
  <c r="AG15" i="8" s="1"/>
  <c r="AG12" i="8" a="1"/>
  <c r="AG12" i="8" s="1"/>
  <c r="AH9" i="8" a="1"/>
  <c r="AH9" i="8" s="1"/>
  <c r="AD7" i="8" a="1"/>
  <c r="AD7" i="8" s="1"/>
  <c r="AE4" i="8" a="1"/>
  <c r="AE4" i="8" s="1"/>
  <c r="AJ40" i="8"/>
  <c r="AJ24" i="8"/>
  <c r="AJ8" i="8"/>
  <c r="V36" i="8" a="1"/>
  <c r="V36" i="8" s="1"/>
  <c r="V22" i="8" a="1"/>
  <c r="V22" i="8" s="1"/>
  <c r="AA48" i="8" a="1"/>
  <c r="AA48" i="8" s="1"/>
  <c r="Z45" i="8" a="1"/>
  <c r="Z45" i="8" s="1"/>
  <c r="Y42" i="8" a="1"/>
  <c r="Y42" i="8" s="1"/>
  <c r="X39" i="8" a="1"/>
  <c r="X39" i="8" s="1"/>
  <c r="W36" i="8" a="1"/>
  <c r="W36" i="8" s="1"/>
  <c r="AA32" i="8" a="1"/>
  <c r="AA32" i="8" s="1"/>
  <c r="W24" i="8" a="1"/>
  <c r="W24" i="8" s="1"/>
  <c r="W21" i="8" a="1"/>
  <c r="W21" i="8" s="1"/>
  <c r="X18" i="8" a="1"/>
  <c r="X18" i="8" s="1"/>
  <c r="Y15" i="8" a="1"/>
  <c r="Y15" i="8" s="1"/>
  <c r="Z9" i="8" a="1"/>
  <c r="Z9" i="8" s="1"/>
  <c r="AA6" i="8" a="1"/>
  <c r="AA6" i="8" s="1"/>
  <c r="W4" i="8" a="1"/>
  <c r="W4" i="8" s="1"/>
  <c r="AC41" i="8" a="1"/>
  <c r="AC41" i="8" s="1"/>
  <c r="AC12" i="8" a="1"/>
  <c r="AC12" i="8" s="1"/>
  <c r="AH49" i="8" a="1"/>
  <c r="AH49" i="8" s="1"/>
  <c r="AG46" i="8" a="1"/>
  <c r="AG46" i="8" s="1"/>
  <c r="AH43" i="8" a="1"/>
  <c r="AH43" i="8" s="1"/>
  <c r="AD41" i="8" a="1"/>
  <c r="AD41" i="8" s="1"/>
  <c r="AE35" i="8" a="1"/>
  <c r="AE35" i="8" s="1"/>
  <c r="AF32" i="8" a="1"/>
  <c r="AF32" i="8" s="1"/>
  <c r="AG29" i="8" a="1"/>
  <c r="AG29" i="8" s="1"/>
  <c r="AH26" i="8" a="1"/>
  <c r="AH26" i="8" s="1"/>
  <c r="AH23" i="8" a="1"/>
  <c r="AH23" i="8" s="1"/>
  <c r="AD21" i="8" a="1"/>
  <c r="AD21" i="8" s="1"/>
  <c r="AE18" i="8" a="1"/>
  <c r="AE18" i="8" s="1"/>
  <c r="AF15" i="8" a="1"/>
  <c r="AF15" i="8" s="1"/>
  <c r="AG9" i="8" a="1"/>
  <c r="AG9" i="8" s="1"/>
  <c r="AH6" i="8" a="1"/>
  <c r="AH6" i="8" s="1"/>
  <c r="AD4" i="8" a="1"/>
  <c r="AD4" i="8" s="1"/>
  <c r="AJ39" i="8"/>
  <c r="AJ23" i="8"/>
  <c r="AJ7" i="8"/>
  <c r="V35" i="8" a="1"/>
  <c r="V35" i="8" s="1"/>
  <c r="V21" i="8" a="1"/>
  <c r="V21" i="8" s="1"/>
  <c r="Z48" i="8" a="1"/>
  <c r="Z48" i="8" s="1"/>
  <c r="Y45" i="8" a="1"/>
  <c r="Y45" i="8" s="1"/>
  <c r="X42" i="8" a="1"/>
  <c r="X42" i="8" s="1"/>
  <c r="W39" i="8" a="1"/>
  <c r="W39" i="8" s="1"/>
  <c r="AA35" i="8" a="1"/>
  <c r="AA35" i="8" s="1"/>
  <c r="Z32" i="8" a="1"/>
  <c r="Z32" i="8" s="1"/>
  <c r="AA29" i="8" a="1"/>
  <c r="AA29" i="8" s="1"/>
  <c r="AA26" i="8" a="1"/>
  <c r="AA26" i="8" s="1"/>
  <c r="AA23" i="8" a="1"/>
  <c r="AA23" i="8" s="1"/>
  <c r="AA20" i="8" a="1"/>
  <c r="AA20" i="8" s="1"/>
  <c r="W18" i="8" a="1"/>
  <c r="W18" i="8" s="1"/>
  <c r="X15" i="8" a="1"/>
  <c r="X15" i="8" s="1"/>
  <c r="Y12" i="8" a="1"/>
  <c r="Y12" i="8" s="1"/>
  <c r="Y9" i="8" a="1"/>
  <c r="Y9" i="8" s="1"/>
  <c r="Z6" i="8" a="1"/>
  <c r="Z6" i="8" s="1"/>
  <c r="AA3" i="8" a="1"/>
  <c r="AA3" i="8" s="1"/>
  <c r="AC40" i="8" a="1"/>
  <c r="AC40" i="8" s="1"/>
  <c r="AC26" i="8" a="1"/>
  <c r="AC26" i="8" s="1"/>
  <c r="AC11" i="8" a="1"/>
  <c r="AC11" i="8" s="1"/>
  <c r="AG49" i="8" a="1"/>
  <c r="AG49" i="8" s="1"/>
  <c r="AF46" i="8" a="1"/>
  <c r="AF46" i="8" s="1"/>
  <c r="AG43" i="8" a="1"/>
  <c r="AG43" i="8" s="1"/>
  <c r="AH40" i="8" a="1"/>
  <c r="AH40" i="8" s="1"/>
  <c r="AD38" i="8" a="1"/>
  <c r="AD38" i="8" s="1"/>
  <c r="AD35" i="8" a="1"/>
  <c r="AD35" i="8" s="1"/>
  <c r="AE32" i="8" a="1"/>
  <c r="AE32" i="8" s="1"/>
  <c r="AF29" i="8" a="1"/>
  <c r="AF29" i="8" s="1"/>
  <c r="AG26" i="8" a="1"/>
  <c r="AG26" i="8" s="1"/>
  <c r="AH20" i="8" a="1"/>
  <c r="AH20" i="8" s="1"/>
  <c r="AE15" i="8" a="1"/>
  <c r="AE15" i="8" s="1"/>
  <c r="AF12" i="8" a="1"/>
  <c r="AF12" i="8" s="1"/>
  <c r="AF9" i="8" a="1"/>
  <c r="AF9" i="8" s="1"/>
  <c r="AG6" i="8" a="1"/>
  <c r="AG6" i="8" s="1"/>
  <c r="AH3" i="8" a="1"/>
  <c r="AH3" i="8" s="1"/>
  <c r="AJ38" i="8"/>
  <c r="AJ6" i="8"/>
  <c r="V49" i="8" a="1"/>
  <c r="V49" i="8" s="1"/>
  <c r="V20" i="8" a="1"/>
  <c r="V20" i="8" s="1"/>
  <c r="V6" i="8" a="1"/>
  <c r="V6" i="8" s="1"/>
  <c r="Y48" i="8" a="1"/>
  <c r="Y48" i="8" s="1"/>
  <c r="X45" i="8" a="1"/>
  <c r="X45" i="8" s="1"/>
  <c r="AA38" i="8" a="1"/>
  <c r="AA38" i="8" s="1"/>
  <c r="Z35" i="8" a="1"/>
  <c r="Z35" i="8" s="1"/>
  <c r="Y32" i="8" a="1"/>
  <c r="Y32" i="8" s="1"/>
  <c r="Z29" i="8" a="1"/>
  <c r="Z29" i="8" s="1"/>
  <c r="Z26" i="8" a="1"/>
  <c r="Z26" i="8" s="1"/>
  <c r="Z23" i="8" a="1"/>
  <c r="Z23" i="8" s="1"/>
  <c r="Z20" i="8" a="1"/>
  <c r="Z20" i="8" s="1"/>
  <c r="AA17" i="8" a="1"/>
  <c r="AA17" i="8" s="1"/>
  <c r="W15" i="8" a="1"/>
  <c r="W15" i="8" s="1"/>
  <c r="X12" i="8" a="1"/>
  <c r="X12" i="8" s="1"/>
  <c r="Y6" i="8" a="1"/>
  <c r="Y6" i="8" s="1"/>
  <c r="Z3" i="8" a="1"/>
  <c r="Z3" i="8" s="1"/>
  <c r="AF49" i="8" a="1"/>
  <c r="AF49" i="8" s="1"/>
  <c r="AE46" i="8" a="1"/>
  <c r="AE46" i="8" s="1"/>
  <c r="AF43" i="8" a="1"/>
  <c r="AF43" i="8" s="1"/>
  <c r="AG40" i="8" a="1"/>
  <c r="AG40" i="8" s="1"/>
  <c r="AH37" i="8" a="1"/>
  <c r="AH37" i="8" s="1"/>
  <c r="AD32" i="8" a="1"/>
  <c r="AD32" i="8" s="1"/>
  <c r="AE29" i="8" a="1"/>
  <c r="AE29" i="8" s="1"/>
  <c r="AF26" i="8" a="1"/>
  <c r="AF26" i="8" s="1"/>
  <c r="AG23" i="8" a="1"/>
  <c r="AG23" i="8" s="1"/>
  <c r="AG20" i="8" a="1"/>
  <c r="AG20" i="8" s="1"/>
  <c r="AH17" i="8" a="1"/>
  <c r="AH17" i="8" s="1"/>
  <c r="AE12" i="8" a="1"/>
  <c r="AE12" i="8" s="1"/>
  <c r="AF6" i="8" a="1"/>
  <c r="AF6" i="8" s="1"/>
  <c r="AG3" i="8" a="1"/>
  <c r="AG3" i="8" s="1"/>
  <c r="AJ37" i="8"/>
  <c r="AJ5" i="8"/>
  <c r="Y11" i="8" a="1"/>
  <c r="Y11" i="8" s="1"/>
  <c r="V48" i="8" a="1"/>
  <c r="V48" i="8" s="1"/>
  <c r="V34" i="8" a="1"/>
  <c r="V34" i="8" s="1"/>
  <c r="V19" i="8" a="1"/>
  <c r="V19" i="8" s="1"/>
  <c r="X48" i="8" a="1"/>
  <c r="X48" i="8" s="1"/>
  <c r="AA41" i="8" a="1"/>
  <c r="AA41" i="8" s="1"/>
  <c r="Z38" i="8" a="1"/>
  <c r="Z38" i="8" s="1"/>
  <c r="Y35" i="8" a="1"/>
  <c r="Y35" i="8" s="1"/>
  <c r="X32" i="8" a="1"/>
  <c r="X32" i="8" s="1"/>
  <c r="Y29" i="8" a="1"/>
  <c r="Y29" i="8" s="1"/>
  <c r="Y26" i="8" a="1"/>
  <c r="Y26" i="8" s="1"/>
  <c r="Y23" i="8" a="1"/>
  <c r="Y23" i="8" s="1"/>
  <c r="Z17" i="8" a="1"/>
  <c r="Z17" i="8" s="1"/>
  <c r="AA14" i="8" a="1"/>
  <c r="AA14" i="8" s="1"/>
  <c r="W12" i="8" a="1"/>
  <c r="W12" i="8" s="1"/>
  <c r="X9" i="8" a="1"/>
  <c r="X9" i="8" s="1"/>
  <c r="X6" i="8" a="1"/>
  <c r="X6" i="8" s="1"/>
  <c r="Y3" i="8" a="1"/>
  <c r="Y3" i="8" s="1"/>
  <c r="AC38" i="8" a="1"/>
  <c r="AC38" i="8" s="1"/>
  <c r="AE49" i="8" a="1"/>
  <c r="AE49" i="8" s="1"/>
  <c r="AE43" i="8" a="1"/>
  <c r="AE43" i="8" s="1"/>
  <c r="AF40" i="8" a="1"/>
  <c r="AF40" i="8" s="1"/>
  <c r="AG37" i="8" a="1"/>
  <c r="AG37" i="8" s="1"/>
  <c r="AH34" i="8" a="1"/>
  <c r="AH34" i="8" s="1"/>
  <c r="AD29" i="8" a="1"/>
  <c r="AD29" i="8" s="1"/>
  <c r="AE26" i="8" a="1"/>
  <c r="AE26" i="8" s="1"/>
  <c r="AF23" i="8" a="1"/>
  <c r="AF23" i="8" s="1"/>
  <c r="AG17" i="8" a="1"/>
  <c r="AG17" i="8" s="1"/>
  <c r="AH14" i="8" a="1"/>
  <c r="AH14" i="8" s="1"/>
  <c r="AE9" i="8" a="1"/>
  <c r="AE9" i="8" s="1"/>
  <c r="AF3" i="8" a="1"/>
  <c r="AF3" i="8" s="1"/>
  <c r="AJ20" i="8"/>
  <c r="AJ4" i="8"/>
  <c r="X35" i="8" a="1"/>
  <c r="X35" i="8" s="1"/>
  <c r="X26" i="8" a="1"/>
  <c r="X26" i="8" s="1"/>
  <c r="X23" i="8" a="1"/>
  <c r="X23" i="8" s="1"/>
  <c r="Y20" i="8" a="1"/>
  <c r="Y20" i="8" s="1"/>
  <c r="Y17" i="8" a="1"/>
  <c r="Y17" i="8" s="1"/>
  <c r="Z14" i="8" a="1"/>
  <c r="Z14" i="8" s="1"/>
  <c r="AA11" i="8" a="1"/>
  <c r="AA11" i="8" s="1"/>
  <c r="W9" i="8" a="1"/>
  <c r="W9" i="8" s="1"/>
  <c r="X3" i="8" a="1"/>
  <c r="X3" i="8" s="1"/>
  <c r="AC37" i="8" a="1"/>
  <c r="AC37" i="8" s="1"/>
  <c r="AC23" i="8" a="1"/>
  <c r="AC23" i="8" s="1"/>
  <c r="AC9" i="8" a="1"/>
  <c r="AC9" i="8" s="1"/>
  <c r="AE3" i="8" a="1"/>
  <c r="AE3" i="8" s="1"/>
  <c r="AE254" i="2" l="1"/>
  <c r="AF254" i="2"/>
  <c r="AE252" i="2"/>
  <c r="AF252" i="2"/>
  <c r="AT252" i="2"/>
  <c r="BE252" i="2"/>
  <c r="BD252" i="2"/>
  <c r="BC252" i="2"/>
  <c r="BB252" i="2"/>
  <c r="BA252" i="2"/>
  <c r="AE255" i="2"/>
  <c r="AF255" i="2"/>
  <c r="AE250" i="2"/>
  <c r="AF250" i="2"/>
  <c r="BA248" i="2"/>
  <c r="BE248" i="2"/>
  <c r="BD248" i="2"/>
  <c r="BC248" i="2"/>
  <c r="BB248" i="2"/>
  <c r="AE246" i="2"/>
  <c r="AF246" i="2"/>
  <c r="AE247" i="2"/>
  <c r="AF247" i="2"/>
  <c r="AE239" i="2"/>
  <c r="AF239" i="2"/>
  <c r="BA244" i="2"/>
  <c r="BE244" i="2"/>
  <c r="BD244" i="2"/>
  <c r="BC244" i="2"/>
  <c r="BB244" i="2"/>
  <c r="AT244" i="2"/>
  <c r="AE235" i="2"/>
  <c r="AF235" i="2"/>
  <c r="AT231" i="2"/>
  <c r="BD227" i="2"/>
  <c r="AT227" i="2"/>
  <c r="BE240" i="2"/>
  <c r="BD240" i="2"/>
  <c r="BC240" i="2"/>
  <c r="BB240" i="2"/>
  <c r="BA240" i="2"/>
  <c r="AE236" i="2"/>
  <c r="AF236" i="2"/>
  <c r="AE234" i="2"/>
  <c r="AF234" i="2"/>
  <c r="BA235" i="2"/>
  <c r="BE235" i="2"/>
  <c r="BD235" i="2"/>
  <c r="BC235" i="2"/>
  <c r="BB235" i="2"/>
  <c r="AE233" i="2"/>
  <c r="AF233" i="2"/>
  <c r="AE232" i="2"/>
  <c r="AF232" i="2"/>
  <c r="BH231" i="2"/>
  <c r="BG231" i="2"/>
  <c r="BF231" i="2"/>
  <c r="BE231" i="2"/>
  <c r="BD231" i="2"/>
  <c r="U229" i="2"/>
  <c r="V229" i="2"/>
  <c r="W229" i="2"/>
  <c r="X229" i="2"/>
  <c r="T229" i="2"/>
  <c r="U159" i="2"/>
  <c r="V159" i="2"/>
  <c r="W159" i="2"/>
  <c r="X159" i="2"/>
  <c r="T159" i="2"/>
  <c r="U112" i="2"/>
  <c r="V112" i="2"/>
  <c r="W112" i="2"/>
  <c r="X112" i="2"/>
  <c r="T112" i="2"/>
  <c r="U89" i="2"/>
  <c r="V89" i="2"/>
  <c r="W89" i="2"/>
  <c r="X89" i="2"/>
  <c r="T89" i="2"/>
  <c r="AE231" i="2"/>
  <c r="AF231" i="2"/>
  <c r="BE227" i="2"/>
  <c r="BF227" i="2"/>
  <c r="BG227" i="2"/>
  <c r="BH227" i="2"/>
  <c r="AE230" i="2"/>
  <c r="AF230" i="2"/>
  <c r="AW6" i="2"/>
  <c r="BB223" i="2"/>
  <c r="BC223" i="2"/>
  <c r="BA223" i="2"/>
  <c r="BD223" i="2"/>
  <c r="BE223" i="2"/>
  <c r="AT223" i="2"/>
  <c r="E255" i="2"/>
  <c r="F255" i="2"/>
  <c r="AC255" i="2" s="1"/>
  <c r="G255" i="2"/>
  <c r="E231" i="2"/>
  <c r="F231" i="2"/>
  <c r="AC231" i="2" s="1"/>
  <c r="G231" i="2"/>
  <c r="E232" i="2"/>
  <c r="F232" i="2"/>
  <c r="AC232" i="2" s="1"/>
  <c r="G232" i="2"/>
  <c r="E233" i="2"/>
  <c r="F233" i="2"/>
  <c r="AC233" i="2" s="1"/>
  <c r="G233" i="2"/>
  <c r="E234" i="2"/>
  <c r="F234" i="2"/>
  <c r="AC234" i="2" s="1"/>
  <c r="G234" i="2"/>
  <c r="E235" i="2"/>
  <c r="F235" i="2"/>
  <c r="AC235" i="2" s="1"/>
  <c r="G235" i="2"/>
  <c r="E236" i="2"/>
  <c r="F236" i="2"/>
  <c r="AC236" i="2" s="1"/>
  <c r="G236" i="2"/>
  <c r="E237" i="2"/>
  <c r="F237" i="2"/>
  <c r="AC237" i="2" s="1"/>
  <c r="G237" i="2"/>
  <c r="E238" i="2"/>
  <c r="F238" i="2"/>
  <c r="AC238" i="2" s="1"/>
  <c r="G238" i="2"/>
  <c r="E239" i="2"/>
  <c r="F239" i="2"/>
  <c r="AC239" i="2" s="1"/>
  <c r="G239" i="2"/>
  <c r="E240" i="2"/>
  <c r="F240" i="2"/>
  <c r="AC240" i="2" s="1"/>
  <c r="G240" i="2"/>
  <c r="E241" i="2"/>
  <c r="F241" i="2"/>
  <c r="AC241" i="2" s="1"/>
  <c r="G241" i="2"/>
  <c r="E242" i="2"/>
  <c r="F242" i="2"/>
  <c r="AC242" i="2" s="1"/>
  <c r="G242" i="2"/>
  <c r="E243" i="2"/>
  <c r="F243" i="2"/>
  <c r="AC243" i="2" s="1"/>
  <c r="G243" i="2"/>
  <c r="E244" i="2"/>
  <c r="F244" i="2"/>
  <c r="AC244" i="2" s="1"/>
  <c r="G244" i="2"/>
  <c r="E245" i="2"/>
  <c r="F245" i="2"/>
  <c r="AC245" i="2" s="1"/>
  <c r="G245" i="2"/>
  <c r="E246" i="2"/>
  <c r="F246" i="2"/>
  <c r="AC246" i="2" s="1"/>
  <c r="G246" i="2"/>
  <c r="E247" i="2"/>
  <c r="F247" i="2"/>
  <c r="AC247" i="2" s="1"/>
  <c r="G247" i="2"/>
  <c r="E248" i="2"/>
  <c r="F248" i="2"/>
  <c r="AC248" i="2" s="1"/>
  <c r="G248" i="2"/>
  <c r="E249" i="2"/>
  <c r="F249" i="2"/>
  <c r="AC249" i="2" s="1"/>
  <c r="G249" i="2"/>
  <c r="E250" i="2"/>
  <c r="F250" i="2"/>
  <c r="AC250" i="2" s="1"/>
  <c r="G250" i="2"/>
  <c r="E251" i="2"/>
  <c r="F251" i="2"/>
  <c r="AC251" i="2" s="1"/>
  <c r="G251" i="2"/>
  <c r="E252" i="2"/>
  <c r="F252" i="2"/>
  <c r="AC252" i="2" s="1"/>
  <c r="G252" i="2"/>
  <c r="E253" i="2"/>
  <c r="F253" i="2"/>
  <c r="AC253" i="2" s="1"/>
  <c r="G253" i="2"/>
  <c r="E254" i="2"/>
  <c r="F254" i="2"/>
  <c r="AC254" i="2" s="1"/>
  <c r="G254" i="2"/>
  <c r="F230" i="2"/>
  <c r="AC230" i="2" s="1"/>
  <c r="G230" i="2"/>
  <c r="E230" i="2"/>
  <c r="D254" i="2"/>
  <c r="D231" i="2"/>
  <c r="D232" i="2"/>
  <c r="D233" i="2"/>
  <c r="D234" i="2"/>
  <c r="D235" i="2"/>
  <c r="D236" i="2"/>
  <c r="D237" i="2"/>
  <c r="D238" i="2"/>
  <c r="D239" i="2"/>
  <c r="D240" i="2"/>
  <c r="D241" i="2"/>
  <c r="D242" i="2"/>
  <c r="D243" i="2"/>
  <c r="D244" i="2"/>
  <c r="D245" i="2"/>
  <c r="D246" i="2"/>
  <c r="D247" i="2"/>
  <c r="D248" i="2"/>
  <c r="D249" i="2"/>
  <c r="D250" i="2"/>
  <c r="D251" i="2"/>
  <c r="D252" i="2"/>
  <c r="D253" i="2"/>
  <c r="D255" i="2"/>
  <c r="D230" i="2"/>
  <c r="C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30" i="2"/>
  <c r="O2" i="10" l="1"/>
  <c r="P2" i="10"/>
  <c r="Q2" i="10"/>
  <c r="R2" i="10"/>
  <c r="S2" i="10"/>
  <c r="O3" i="10"/>
  <c r="P3" i="10"/>
  <c r="Q3" i="10"/>
  <c r="R3" i="10"/>
  <c r="S3" i="10"/>
  <c r="O4" i="10"/>
  <c r="P4" i="10"/>
  <c r="Q4" i="10"/>
  <c r="R4" i="10"/>
  <c r="S4" i="10"/>
  <c r="O5" i="10"/>
  <c r="P5" i="10"/>
  <c r="Q5" i="10"/>
  <c r="R5" i="10"/>
  <c r="S5" i="10"/>
  <c r="O6" i="10"/>
  <c r="P6" i="10"/>
  <c r="Q6" i="10"/>
  <c r="R6" i="10"/>
  <c r="S6" i="10"/>
  <c r="O7" i="10"/>
  <c r="P7" i="10"/>
  <c r="Q7" i="10"/>
  <c r="R7" i="10"/>
  <c r="S7" i="10"/>
  <c r="O8" i="10"/>
  <c r="P8" i="10"/>
  <c r="Q8" i="10"/>
  <c r="R8" i="10"/>
  <c r="S8" i="10"/>
  <c r="O9" i="10"/>
  <c r="P9" i="10"/>
  <c r="Q9" i="10"/>
  <c r="R9" i="10"/>
  <c r="S9" i="10"/>
  <c r="O10" i="10"/>
  <c r="P10" i="10"/>
  <c r="Q10" i="10"/>
  <c r="R10" i="10"/>
  <c r="S10" i="10"/>
  <c r="O11" i="10"/>
  <c r="P11" i="10"/>
  <c r="Q11" i="10"/>
  <c r="R11" i="10"/>
  <c r="S11" i="10"/>
  <c r="O12" i="10"/>
  <c r="P12" i="10"/>
  <c r="Q12" i="10"/>
  <c r="R12" i="10"/>
  <c r="S12" i="10"/>
  <c r="O13" i="10"/>
  <c r="P13" i="10"/>
  <c r="Q13" i="10"/>
  <c r="R13" i="10"/>
  <c r="S13" i="10"/>
  <c r="O14" i="10"/>
  <c r="P14" i="10"/>
  <c r="Q14" i="10"/>
  <c r="R14" i="10"/>
  <c r="S14" i="10"/>
  <c r="O15" i="10"/>
  <c r="P15" i="10"/>
  <c r="Q15" i="10"/>
  <c r="R15" i="10"/>
  <c r="S15" i="10"/>
  <c r="O16" i="10"/>
  <c r="P16" i="10"/>
  <c r="Q16" i="10"/>
  <c r="R16" i="10"/>
  <c r="S16" i="10"/>
  <c r="O17" i="10"/>
  <c r="P17" i="10"/>
  <c r="Q17" i="10"/>
  <c r="R17" i="10"/>
  <c r="S17" i="10"/>
  <c r="O18" i="10"/>
  <c r="P18" i="10"/>
  <c r="Q18" i="10"/>
  <c r="R18" i="10"/>
  <c r="S18" i="10"/>
  <c r="O19" i="10"/>
  <c r="P19" i="10"/>
  <c r="Q19" i="10"/>
  <c r="R19" i="10"/>
  <c r="S19" i="10"/>
  <c r="O20" i="10"/>
  <c r="P20" i="10"/>
  <c r="Q20" i="10"/>
  <c r="R20" i="10"/>
  <c r="S20" i="10"/>
  <c r="O21" i="10"/>
  <c r="P21" i="10"/>
  <c r="Q21" i="10"/>
  <c r="R21" i="10"/>
  <c r="S21" i="10"/>
  <c r="O22" i="10"/>
  <c r="P22" i="10"/>
  <c r="Q22" i="10"/>
  <c r="R22" i="10"/>
  <c r="S22" i="10"/>
  <c r="O23" i="10"/>
  <c r="P23" i="10"/>
  <c r="Q23" i="10"/>
  <c r="R23" i="10"/>
  <c r="S23" i="10"/>
  <c r="O24" i="10"/>
  <c r="P24" i="10"/>
  <c r="Q24" i="10"/>
  <c r="R24" i="10"/>
  <c r="S24" i="10"/>
  <c r="O25" i="10"/>
  <c r="P25" i="10"/>
  <c r="Q25" i="10"/>
  <c r="R25" i="10"/>
  <c r="S25" i="10"/>
  <c r="O26" i="10"/>
  <c r="P26" i="10"/>
  <c r="Q26" i="10"/>
  <c r="R26" i="10"/>
  <c r="S26" i="10"/>
  <c r="O27" i="10"/>
  <c r="P27" i="10"/>
  <c r="Q27" i="10"/>
  <c r="R27" i="10"/>
  <c r="S27" i="10"/>
  <c r="N3" i="10"/>
  <c r="N4" i="10"/>
  <c r="N5" i="10"/>
  <c r="N6" i="10"/>
  <c r="N7" i="10"/>
  <c r="N8" i="10"/>
  <c r="N9" i="10"/>
  <c r="N10" i="10"/>
  <c r="N11" i="10"/>
  <c r="N12" i="10"/>
  <c r="N13" i="10"/>
  <c r="N14" i="10"/>
  <c r="N15" i="10"/>
  <c r="N16" i="10"/>
  <c r="N17" i="10"/>
  <c r="N18" i="10"/>
  <c r="N19" i="10"/>
  <c r="N20" i="10"/>
  <c r="N21" i="10"/>
  <c r="N22" i="10"/>
  <c r="N23" i="10"/>
  <c r="N24" i="10"/>
  <c r="N25" i="10"/>
  <c r="N26" i="10"/>
  <c r="N27" i="10"/>
  <c r="N2" i="10"/>
  <c r="F3" i="10"/>
  <c r="G3" i="10"/>
  <c r="F4" i="10"/>
  <c r="G4" i="10"/>
  <c r="F5" i="10"/>
  <c r="G5" i="10"/>
  <c r="F6" i="10"/>
  <c r="G6" i="10"/>
  <c r="F7" i="10"/>
  <c r="G7" i="10"/>
  <c r="F8" i="10"/>
  <c r="G8" i="10"/>
  <c r="F9" i="10"/>
  <c r="G9" i="10"/>
  <c r="F10" i="10"/>
  <c r="G10" i="10"/>
  <c r="F11" i="10"/>
  <c r="G11" i="10"/>
  <c r="F12" i="10"/>
  <c r="G12" i="10"/>
  <c r="F13" i="10"/>
  <c r="G13" i="10"/>
  <c r="F14" i="10"/>
  <c r="G14" i="10"/>
  <c r="F15" i="10"/>
  <c r="G15" i="10"/>
  <c r="F16" i="10"/>
  <c r="G16" i="10"/>
  <c r="F17" i="10"/>
  <c r="G17" i="10"/>
  <c r="F18" i="10"/>
  <c r="G18" i="10"/>
  <c r="F19" i="10"/>
  <c r="G19" i="10"/>
  <c r="F20" i="10"/>
  <c r="G20" i="10"/>
  <c r="F21" i="10"/>
  <c r="G21" i="10"/>
  <c r="F22" i="10"/>
  <c r="G22" i="10"/>
  <c r="F23" i="10"/>
  <c r="G23" i="10"/>
  <c r="F24" i="10"/>
  <c r="G24" i="10"/>
  <c r="F25" i="10"/>
  <c r="G25" i="10"/>
  <c r="F26" i="10"/>
  <c r="G26" i="10"/>
  <c r="F27" i="10"/>
  <c r="G27" i="10"/>
  <c r="G2" i="10"/>
  <c r="F2" i="10"/>
  <c r="AB210" i="33" l="1"/>
  <c r="AC210" i="33"/>
  <c r="AB211" i="33"/>
  <c r="AC211" i="33"/>
  <c r="AB212" i="33"/>
  <c r="AC212" i="33"/>
  <c r="AB213" i="33"/>
  <c r="AC213" i="33"/>
  <c r="AB214" i="33"/>
  <c r="AC214" i="33"/>
  <c r="AB215" i="33"/>
  <c r="AC215" i="33"/>
  <c r="AB216" i="33"/>
  <c r="AC216" i="33"/>
  <c r="AB217" i="33"/>
  <c r="AC217" i="33"/>
  <c r="AB218" i="33"/>
  <c r="AC218" i="33"/>
  <c r="AB219" i="33"/>
  <c r="AC219" i="33"/>
  <c r="AB220" i="33"/>
  <c r="AC220" i="33"/>
  <c r="AB221" i="33"/>
  <c r="AC221" i="33"/>
  <c r="AB222" i="33"/>
  <c r="AC222" i="33"/>
  <c r="AB223" i="33"/>
  <c r="AC223" i="33"/>
  <c r="AB224" i="33"/>
  <c r="AC224" i="33"/>
  <c r="AB225" i="33"/>
  <c r="AC225" i="33"/>
  <c r="AB226" i="33"/>
  <c r="AC226" i="33"/>
  <c r="AB227" i="33"/>
  <c r="AC227" i="33"/>
  <c r="AB228" i="33"/>
  <c r="AC228" i="33"/>
  <c r="AB229" i="33"/>
  <c r="AC229" i="33"/>
  <c r="AB230" i="33"/>
  <c r="AC230" i="33"/>
  <c r="AB231" i="33"/>
  <c r="AC231" i="33"/>
  <c r="AB232" i="33"/>
  <c r="AC232" i="33"/>
  <c r="AB233" i="33"/>
  <c r="AC233" i="33"/>
  <c r="AB234" i="33"/>
  <c r="AC234" i="33"/>
  <c r="AC209" i="33"/>
  <c r="AB209" i="33"/>
  <c r="AF235" i="6"/>
  <c r="AF219" i="6"/>
  <c r="L21" i="17"/>
  <c r="Z13" i="33" s="1"/>
  <c r="K21" i="17"/>
  <c r="Y13" i="33" s="1"/>
  <c r="F21" i="17"/>
  <c r="E21" i="17"/>
  <c r="D21" i="17"/>
  <c r="C21" i="17"/>
  <c r="B21" i="17"/>
  <c r="A21" i="17"/>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18" i="6"/>
  <c r="A219" i="6"/>
  <c r="C219" i="6" s="1"/>
  <c r="A220" i="6"/>
  <c r="C220" i="6" s="1"/>
  <c r="J219" i="17" s="1"/>
  <c r="X211" i="33" s="1"/>
  <c r="A221" i="6"/>
  <c r="C221" i="6" s="1"/>
  <c r="A222" i="6"/>
  <c r="C222" i="6" s="1"/>
  <c r="A223" i="6"/>
  <c r="C223" i="6" s="1"/>
  <c r="A224" i="6"/>
  <c r="C224" i="6" s="1"/>
  <c r="A225" i="6"/>
  <c r="C225" i="6" s="1"/>
  <c r="A226" i="6"/>
  <c r="C226" i="6" s="1"/>
  <c r="A227" i="6"/>
  <c r="C227" i="6" s="1"/>
  <c r="A228" i="6"/>
  <c r="C228" i="6" s="1"/>
  <c r="A229" i="6"/>
  <c r="C229" i="6" s="1"/>
  <c r="A230" i="6"/>
  <c r="C230" i="6" s="1"/>
  <c r="J229" i="17" s="1"/>
  <c r="X221" i="33" s="1"/>
  <c r="A231" i="6"/>
  <c r="C231" i="6" s="1"/>
  <c r="J230" i="17" s="1"/>
  <c r="X222" i="33" s="1"/>
  <c r="A232" i="6"/>
  <c r="C232" i="6" s="1"/>
  <c r="J231" i="17" s="1"/>
  <c r="X223" i="33" s="1"/>
  <c r="A233" i="6"/>
  <c r="C233" i="6" s="1"/>
  <c r="A234" i="6"/>
  <c r="C234" i="6" s="1"/>
  <c r="A235" i="6"/>
  <c r="C235" i="6" s="1"/>
  <c r="A236" i="6"/>
  <c r="C236" i="6" s="1"/>
  <c r="A237" i="6"/>
  <c r="C237" i="6" s="1"/>
  <c r="A238" i="6"/>
  <c r="C238" i="6" s="1"/>
  <c r="A239" i="6"/>
  <c r="C239" i="6" s="1"/>
  <c r="A240" i="6"/>
  <c r="C240" i="6" s="1"/>
  <c r="A241" i="6"/>
  <c r="C241" i="6" s="1"/>
  <c r="A242" i="6"/>
  <c r="C242" i="6" s="1"/>
  <c r="A243" i="6"/>
  <c r="C243" i="6" s="1"/>
  <c r="A218" i="6"/>
  <c r="C218" i="6" s="1"/>
  <c r="B3" i="10"/>
  <c r="B4" i="10"/>
  <c r="B5" i="10"/>
  <c r="B6" i="10"/>
  <c r="B7" i="10"/>
  <c r="B8" i="10"/>
  <c r="B9" i="10"/>
  <c r="B10" i="10"/>
  <c r="B11" i="10"/>
  <c r="B12" i="10"/>
  <c r="B13" i="10"/>
  <c r="B14" i="10"/>
  <c r="B15" i="10"/>
  <c r="B16" i="10"/>
  <c r="B17" i="10"/>
  <c r="B18" i="10"/>
  <c r="B19" i="10"/>
  <c r="B20" i="10"/>
  <c r="B21" i="10"/>
  <c r="B22" i="10"/>
  <c r="B23" i="10"/>
  <c r="B24" i="10"/>
  <c r="B25" i="10"/>
  <c r="B26" i="10"/>
  <c r="B27" i="10"/>
  <c r="B2" i="10"/>
  <c r="C3" i="10"/>
  <c r="C4" i="10"/>
  <c r="C5" i="10"/>
  <c r="C6" i="10"/>
  <c r="C7" i="10"/>
  <c r="C8" i="10"/>
  <c r="C9" i="10"/>
  <c r="C10" i="10"/>
  <c r="C11" i="10"/>
  <c r="C12" i="10"/>
  <c r="C13" i="10"/>
  <c r="C14" i="10"/>
  <c r="C15" i="10"/>
  <c r="C16" i="10"/>
  <c r="C17" i="10"/>
  <c r="C18" i="10"/>
  <c r="C19" i="10"/>
  <c r="C20" i="10"/>
  <c r="C21" i="10"/>
  <c r="C22" i="10"/>
  <c r="C23" i="10"/>
  <c r="C24" i="10"/>
  <c r="C25" i="10"/>
  <c r="C26" i="10"/>
  <c r="C27" i="10"/>
  <c r="C2" i="10"/>
  <c r="A3" i="10"/>
  <c r="A4" i="10"/>
  <c r="A5" i="10"/>
  <c r="A6" i="10"/>
  <c r="A7" i="10"/>
  <c r="A8" i="10"/>
  <c r="A9" i="10"/>
  <c r="A10" i="10"/>
  <c r="A11" i="10"/>
  <c r="A12" i="10"/>
  <c r="A13" i="10"/>
  <c r="A14" i="10"/>
  <c r="A15" i="10"/>
  <c r="A16" i="10"/>
  <c r="A17" i="10"/>
  <c r="A18" i="10"/>
  <c r="A19" i="10"/>
  <c r="A20" i="10"/>
  <c r="A21" i="10"/>
  <c r="A22" i="10"/>
  <c r="A23" i="10"/>
  <c r="A24" i="10"/>
  <c r="A25" i="10"/>
  <c r="A26" i="10"/>
  <c r="A27" i="10"/>
  <c r="A2" i="10"/>
  <c r="D213" i="2"/>
  <c r="D212" i="2"/>
  <c r="D208" i="2"/>
  <c r="D196" i="2"/>
  <c r="D195" i="2"/>
  <c r="D190" i="2"/>
  <c r="D191" i="2"/>
  <c r="D192" i="2"/>
  <c r="D189" i="2"/>
  <c r="AY178" i="2"/>
  <c r="AS178" i="2"/>
  <c r="AQ177" i="2"/>
  <c r="AR177" i="2"/>
  <c r="AS177" i="2"/>
  <c r="AT177" i="2"/>
  <c r="AP177" i="2"/>
  <c r="AT170" i="2"/>
  <c r="AE178" i="2"/>
  <c r="AQ166" i="2"/>
  <c r="AQ165" i="2"/>
  <c r="AR165" i="2"/>
  <c r="AS165" i="2"/>
  <c r="AT165" i="2"/>
  <c r="AP165" i="2"/>
  <c r="E163" i="2"/>
  <c r="F163" i="2"/>
  <c r="G163" i="2"/>
  <c r="E164" i="2"/>
  <c r="F164" i="2"/>
  <c r="G164" i="2"/>
  <c r="E165" i="2"/>
  <c r="F165" i="2"/>
  <c r="G165" i="2"/>
  <c r="E166" i="2"/>
  <c r="F166" i="2"/>
  <c r="G166" i="2"/>
  <c r="E167" i="2"/>
  <c r="F167" i="2"/>
  <c r="G167" i="2"/>
  <c r="E168" i="2"/>
  <c r="F168" i="2"/>
  <c r="G168" i="2"/>
  <c r="E169" i="2"/>
  <c r="F169" i="2"/>
  <c r="G169" i="2"/>
  <c r="E170" i="2"/>
  <c r="F170" i="2"/>
  <c r="G170" i="2"/>
  <c r="E171" i="2"/>
  <c r="F171" i="2"/>
  <c r="G171" i="2"/>
  <c r="E172" i="2"/>
  <c r="F172" i="2"/>
  <c r="G172" i="2"/>
  <c r="E173" i="2"/>
  <c r="F173" i="2"/>
  <c r="G173" i="2"/>
  <c r="E174" i="2"/>
  <c r="F174" i="2"/>
  <c r="G174" i="2"/>
  <c r="E175" i="2"/>
  <c r="F175" i="2"/>
  <c r="G175" i="2"/>
  <c r="E176" i="2"/>
  <c r="F176" i="2"/>
  <c r="G176" i="2"/>
  <c r="E177" i="2"/>
  <c r="F177" i="2"/>
  <c r="G177" i="2"/>
  <c r="E178" i="2"/>
  <c r="F178" i="2"/>
  <c r="G178" i="2"/>
  <c r="E179" i="2"/>
  <c r="F179" i="2"/>
  <c r="G179" i="2"/>
  <c r="E180" i="2"/>
  <c r="F180" i="2"/>
  <c r="G180" i="2"/>
  <c r="E181" i="2"/>
  <c r="F181" i="2"/>
  <c r="G181" i="2"/>
  <c r="E182" i="2"/>
  <c r="F182" i="2"/>
  <c r="G182" i="2"/>
  <c r="E183" i="2"/>
  <c r="F183" i="2"/>
  <c r="G183" i="2"/>
  <c r="E184" i="2"/>
  <c r="F184" i="2"/>
  <c r="G184" i="2"/>
  <c r="E185" i="2"/>
  <c r="F185" i="2"/>
  <c r="G185" i="2"/>
  <c r="E186" i="2"/>
  <c r="F186" i="2"/>
  <c r="G186" i="2"/>
  <c r="E187" i="2"/>
  <c r="F187" i="2"/>
  <c r="G187" i="2"/>
  <c r="E188" i="2"/>
  <c r="F188" i="2"/>
  <c r="G188" i="2"/>
  <c r="E189" i="2"/>
  <c r="F189" i="2"/>
  <c r="G189" i="2"/>
  <c r="E190" i="2"/>
  <c r="F190" i="2"/>
  <c r="G190" i="2"/>
  <c r="E191" i="2"/>
  <c r="F191" i="2"/>
  <c r="G191" i="2"/>
  <c r="E192" i="2"/>
  <c r="F192" i="2"/>
  <c r="G192" i="2"/>
  <c r="E193" i="2"/>
  <c r="F193" i="2"/>
  <c r="G193" i="2"/>
  <c r="E194" i="2"/>
  <c r="F194" i="2"/>
  <c r="G194" i="2"/>
  <c r="E195" i="2"/>
  <c r="F195" i="2"/>
  <c r="G195" i="2"/>
  <c r="E196" i="2"/>
  <c r="F196" i="2"/>
  <c r="G196" i="2"/>
  <c r="E197" i="2"/>
  <c r="F197" i="2"/>
  <c r="G197" i="2"/>
  <c r="E198" i="2"/>
  <c r="F198" i="2"/>
  <c r="G198" i="2"/>
  <c r="E199" i="2"/>
  <c r="F199" i="2"/>
  <c r="G199" i="2"/>
  <c r="E200" i="2"/>
  <c r="F200" i="2"/>
  <c r="G200" i="2"/>
  <c r="E201" i="2"/>
  <c r="F201" i="2"/>
  <c r="G201" i="2"/>
  <c r="E202" i="2"/>
  <c r="F202" i="2"/>
  <c r="G202" i="2"/>
  <c r="E203" i="2"/>
  <c r="F203" i="2"/>
  <c r="G203" i="2"/>
  <c r="E204" i="2"/>
  <c r="F204" i="2"/>
  <c r="G204" i="2"/>
  <c r="E205" i="2"/>
  <c r="F205" i="2"/>
  <c r="G205" i="2"/>
  <c r="E206" i="2"/>
  <c r="F206" i="2"/>
  <c r="AC206" i="2" s="1"/>
  <c r="G206" i="2"/>
  <c r="E207" i="2"/>
  <c r="F207" i="2"/>
  <c r="AC207" i="2" s="1"/>
  <c r="G207" i="2"/>
  <c r="E208" i="2"/>
  <c r="F208" i="2"/>
  <c r="AC208" i="2" s="1"/>
  <c r="G208" i="2"/>
  <c r="E209" i="2"/>
  <c r="F209" i="2"/>
  <c r="G209" i="2"/>
  <c r="E210" i="2"/>
  <c r="F210" i="2"/>
  <c r="G210" i="2"/>
  <c r="E211" i="2"/>
  <c r="F211" i="2"/>
  <c r="G211" i="2"/>
  <c r="E212" i="2"/>
  <c r="F212" i="2"/>
  <c r="G212" i="2"/>
  <c r="E213" i="2"/>
  <c r="F213" i="2"/>
  <c r="G213" i="2"/>
  <c r="E214" i="2"/>
  <c r="F214" i="2"/>
  <c r="G214" i="2"/>
  <c r="E215" i="2"/>
  <c r="F215" i="2"/>
  <c r="G215" i="2"/>
  <c r="E216" i="2"/>
  <c r="F216" i="2"/>
  <c r="G216" i="2"/>
  <c r="E217" i="2"/>
  <c r="F217" i="2"/>
  <c r="G217" i="2"/>
  <c r="E218" i="2"/>
  <c r="F218" i="2"/>
  <c r="G218" i="2"/>
  <c r="E219" i="2"/>
  <c r="F219" i="2"/>
  <c r="G219" i="2"/>
  <c r="E220" i="2"/>
  <c r="F220" i="2"/>
  <c r="G220" i="2"/>
  <c r="E221" i="2"/>
  <c r="F221" i="2"/>
  <c r="G221" i="2"/>
  <c r="E222" i="2"/>
  <c r="F222" i="2"/>
  <c r="G222" i="2"/>
  <c r="E223" i="2"/>
  <c r="F223" i="2"/>
  <c r="G223" i="2"/>
  <c r="E224" i="2"/>
  <c r="F224" i="2"/>
  <c r="G224" i="2"/>
  <c r="E225" i="2"/>
  <c r="F225" i="2"/>
  <c r="G225" i="2"/>
  <c r="E226" i="2"/>
  <c r="F226" i="2"/>
  <c r="G226" i="2"/>
  <c r="E227" i="2"/>
  <c r="F227" i="2"/>
  <c r="G227" i="2"/>
  <c r="F160" i="2"/>
  <c r="G160" i="2"/>
  <c r="F161" i="2"/>
  <c r="G161" i="2"/>
  <c r="F162" i="2"/>
  <c r="G162" i="2"/>
  <c r="E160" i="2"/>
  <c r="E161" i="2"/>
  <c r="E162"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93" i="2"/>
  <c r="D194" i="2"/>
  <c r="D197" i="2"/>
  <c r="D198" i="2"/>
  <c r="D199" i="2"/>
  <c r="D200" i="2"/>
  <c r="D201" i="2"/>
  <c r="D202" i="2"/>
  <c r="D203" i="2"/>
  <c r="D204" i="2"/>
  <c r="D205" i="2"/>
  <c r="D206" i="2"/>
  <c r="D207" i="2"/>
  <c r="D209" i="2"/>
  <c r="D210" i="2"/>
  <c r="D211" i="2"/>
  <c r="D214" i="2"/>
  <c r="D215" i="2"/>
  <c r="D216" i="2"/>
  <c r="D217" i="2"/>
  <c r="D218" i="2"/>
  <c r="D219" i="2"/>
  <c r="D220" i="2"/>
  <c r="D221" i="2"/>
  <c r="D222" i="2"/>
  <c r="D223" i="2"/>
  <c r="D224" i="2"/>
  <c r="D225" i="2"/>
  <c r="D226" i="2"/>
  <c r="D227" i="2"/>
  <c r="D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160" i="2"/>
  <c r="A227" i="2"/>
  <c r="AN227" i="2" s="1"/>
  <c r="A225" i="2"/>
  <c r="A226" i="2"/>
  <c r="A221" i="2"/>
  <c r="A222" i="2"/>
  <c r="A223" i="2"/>
  <c r="A224" i="2"/>
  <c r="A161" i="2"/>
  <c r="A162" i="2"/>
  <c r="A163" i="2"/>
  <c r="A164" i="2"/>
  <c r="A165" i="2"/>
  <c r="A166" i="2"/>
  <c r="A167" i="2"/>
  <c r="A168" i="2"/>
  <c r="A169" i="2"/>
  <c r="A170" i="2"/>
  <c r="A171" i="2"/>
  <c r="A172" i="2"/>
  <c r="A173" i="2"/>
  <c r="AN173" i="2" s="1"/>
  <c r="A174" i="2"/>
  <c r="A175" i="2"/>
  <c r="AN175" i="2" s="1"/>
  <c r="A176" i="2"/>
  <c r="AN176" i="2" s="1"/>
  <c r="A177" i="2"/>
  <c r="AN177" i="2" s="1"/>
  <c r="A178" i="2"/>
  <c r="AN178" i="2" s="1"/>
  <c r="A179" i="2"/>
  <c r="AN179" i="2" s="1"/>
  <c r="A180" i="2"/>
  <c r="AN180" i="2" s="1"/>
  <c r="A181" i="2"/>
  <c r="A182" i="2"/>
  <c r="AN182" i="2" s="1"/>
  <c r="A183" i="2"/>
  <c r="A184" i="2"/>
  <c r="AN184" i="2" s="1"/>
  <c r="A185" i="2"/>
  <c r="AN185" i="2" s="1"/>
  <c r="A186" i="2"/>
  <c r="AN186" i="2" s="1"/>
  <c r="A187" i="2"/>
  <c r="AN187" i="2" s="1"/>
  <c r="A188" i="2"/>
  <c r="A189" i="2"/>
  <c r="A190" i="2"/>
  <c r="A191" i="2"/>
  <c r="A192" i="2"/>
  <c r="A193" i="2"/>
  <c r="A194" i="2"/>
  <c r="A195" i="2"/>
  <c r="A196" i="2"/>
  <c r="A197" i="2"/>
  <c r="A198" i="2"/>
  <c r="A199" i="2"/>
  <c r="A200" i="2"/>
  <c r="AN200" i="2" s="1"/>
  <c r="A201" i="2"/>
  <c r="AN201" i="2" s="1"/>
  <c r="A202" i="2"/>
  <c r="A203" i="2"/>
  <c r="AN203" i="2" s="1"/>
  <c r="A204" i="2"/>
  <c r="A205" i="2"/>
  <c r="A206" i="2"/>
  <c r="A207" i="2"/>
  <c r="A208" i="2"/>
  <c r="A209" i="2"/>
  <c r="A210" i="2"/>
  <c r="A211" i="2"/>
  <c r="A212" i="2"/>
  <c r="A213" i="2"/>
  <c r="A214" i="2"/>
  <c r="A215" i="2"/>
  <c r="A216" i="2"/>
  <c r="A217" i="2"/>
  <c r="A218" i="2"/>
  <c r="A219" i="2"/>
  <c r="AN219" i="2" s="1"/>
  <c r="A220" i="2"/>
  <c r="A160" i="2"/>
  <c r="E50" i="21"/>
  <c r="F14" i="21"/>
  <c r="G14" i="21"/>
  <c r="H14" i="21"/>
  <c r="F31" i="21"/>
  <c r="G31" i="21"/>
  <c r="H31" i="21"/>
  <c r="F32" i="21"/>
  <c r="G32" i="21"/>
  <c r="H32" i="21"/>
  <c r="F33" i="21"/>
  <c r="G33" i="21"/>
  <c r="H33" i="21"/>
  <c r="F34" i="21"/>
  <c r="G34" i="21"/>
  <c r="H34" i="21"/>
  <c r="F37" i="21"/>
  <c r="G37" i="21"/>
  <c r="H37" i="21"/>
  <c r="F38" i="21"/>
  <c r="G38" i="21"/>
  <c r="H38" i="21"/>
  <c r="F50" i="21"/>
  <c r="G50" i="21"/>
  <c r="H50" i="21"/>
  <c r="F54" i="21"/>
  <c r="G54" i="21"/>
  <c r="H54" i="21"/>
  <c r="F55" i="21"/>
  <c r="G55" i="21"/>
  <c r="H55" i="21"/>
  <c r="EP187" i="33"/>
  <c r="EQ187" i="33"/>
  <c r="ER187" i="33"/>
  <c r="ES187" i="33"/>
  <c r="EP191" i="33"/>
  <c r="EQ191" i="33"/>
  <c r="ER191" i="33"/>
  <c r="ES191" i="33"/>
  <c r="EP192" i="33"/>
  <c r="EQ192" i="33"/>
  <c r="ER192" i="33"/>
  <c r="ES192" i="33"/>
  <c r="EP168" i="33"/>
  <c r="EQ168" i="33"/>
  <c r="ER168" i="33"/>
  <c r="ES168" i="33"/>
  <c r="EP169" i="33"/>
  <c r="EQ169" i="33"/>
  <c r="ER169" i="33"/>
  <c r="ES169" i="33"/>
  <c r="EP170" i="33"/>
  <c r="EQ170" i="33"/>
  <c r="ER170" i="33"/>
  <c r="ES170" i="33"/>
  <c r="EP171" i="33"/>
  <c r="EQ171" i="33"/>
  <c r="ER171" i="33"/>
  <c r="ES171" i="33"/>
  <c r="EP174" i="33"/>
  <c r="EQ174" i="33"/>
  <c r="ER174" i="33"/>
  <c r="ES174" i="33"/>
  <c r="EP175" i="33"/>
  <c r="EQ175" i="33"/>
  <c r="ER175" i="33"/>
  <c r="ES175" i="33"/>
  <c r="EL182" i="33"/>
  <c r="EM182" i="33"/>
  <c r="EN182" i="33"/>
  <c r="EO182" i="33"/>
  <c r="EL184" i="33"/>
  <c r="EM184" i="33"/>
  <c r="EN184" i="33"/>
  <c r="EO184" i="33"/>
  <c r="EL185" i="33"/>
  <c r="EM185" i="33"/>
  <c r="EN185" i="33"/>
  <c r="EO185" i="33"/>
  <c r="EL187" i="33"/>
  <c r="EM187" i="33"/>
  <c r="EN187" i="33"/>
  <c r="EO187" i="33"/>
  <c r="EL191" i="33"/>
  <c r="EM191" i="33"/>
  <c r="EN191" i="33"/>
  <c r="EO191" i="33"/>
  <c r="EL192" i="33"/>
  <c r="EM192" i="33"/>
  <c r="EN192" i="33"/>
  <c r="EO192" i="33"/>
  <c r="EL198" i="33"/>
  <c r="EM198" i="33"/>
  <c r="EN198" i="33"/>
  <c r="EO198" i="33"/>
  <c r="EL206" i="33"/>
  <c r="EM206" i="33"/>
  <c r="EN206" i="33"/>
  <c r="EO206" i="33"/>
  <c r="EM181" i="33"/>
  <c r="EN181" i="33"/>
  <c r="EO181" i="33"/>
  <c r="EL181" i="33"/>
  <c r="EL155" i="33"/>
  <c r="EM155" i="33"/>
  <c r="EN155" i="33"/>
  <c r="EO155" i="33"/>
  <c r="EL161" i="33"/>
  <c r="EM161" i="33"/>
  <c r="EN161" i="33"/>
  <c r="EO161" i="33"/>
  <c r="EL168" i="33"/>
  <c r="EM168" i="33"/>
  <c r="EN168" i="33"/>
  <c r="EO168" i="33"/>
  <c r="EL169" i="33"/>
  <c r="EM169" i="33"/>
  <c r="EN169" i="33"/>
  <c r="EO169" i="33"/>
  <c r="EL170" i="33"/>
  <c r="EM170" i="33"/>
  <c r="EN170" i="33"/>
  <c r="EO170" i="33"/>
  <c r="EL171" i="33"/>
  <c r="EM171" i="33"/>
  <c r="EN171" i="33"/>
  <c r="EO171" i="33"/>
  <c r="EL174" i="33"/>
  <c r="EM174" i="33"/>
  <c r="EN174" i="33"/>
  <c r="EO174" i="33"/>
  <c r="EL175" i="33"/>
  <c r="EM175" i="33"/>
  <c r="EN175" i="33"/>
  <c r="EO175" i="33"/>
  <c r="DJ187" i="33"/>
  <c r="DK187" i="33"/>
  <c r="DL187" i="33"/>
  <c r="DM187" i="33"/>
  <c r="DJ191" i="33"/>
  <c r="DK191" i="33"/>
  <c r="DL191" i="33"/>
  <c r="DM191" i="33"/>
  <c r="DJ192" i="33"/>
  <c r="DK192" i="33"/>
  <c r="DL192" i="33"/>
  <c r="DM192" i="33"/>
  <c r="DJ168" i="33"/>
  <c r="DK168" i="33"/>
  <c r="DL168" i="33"/>
  <c r="DM168" i="33"/>
  <c r="DJ169" i="33"/>
  <c r="DK169" i="33"/>
  <c r="DL169" i="33"/>
  <c r="DM169" i="33"/>
  <c r="DJ170" i="33"/>
  <c r="DK170" i="33"/>
  <c r="DL170" i="33"/>
  <c r="DM170" i="33"/>
  <c r="DJ171" i="33"/>
  <c r="DK171" i="33"/>
  <c r="DL171" i="33"/>
  <c r="DM171" i="33"/>
  <c r="DJ174" i="33"/>
  <c r="DK174" i="33"/>
  <c r="DL174" i="33"/>
  <c r="DM174" i="33"/>
  <c r="DJ175" i="33"/>
  <c r="DK175" i="33"/>
  <c r="DL175" i="33"/>
  <c r="DM175" i="33"/>
  <c r="DF182" i="33"/>
  <c r="DG182" i="33"/>
  <c r="DH182" i="33"/>
  <c r="DI182" i="33"/>
  <c r="DF184" i="33"/>
  <c r="DG184" i="33"/>
  <c r="DH184" i="33"/>
  <c r="DI184" i="33"/>
  <c r="DF185" i="33"/>
  <c r="DG185" i="33"/>
  <c r="DH185" i="33"/>
  <c r="DI185" i="33"/>
  <c r="DF187" i="33"/>
  <c r="DG187" i="33"/>
  <c r="DH187" i="33"/>
  <c r="DI187" i="33"/>
  <c r="DF191" i="33"/>
  <c r="DG191" i="33"/>
  <c r="DH191" i="33"/>
  <c r="DI191" i="33"/>
  <c r="DF192" i="33"/>
  <c r="DG192" i="33"/>
  <c r="DH192" i="33"/>
  <c r="DI192" i="33"/>
  <c r="DF198" i="33"/>
  <c r="DG198" i="33"/>
  <c r="DH198" i="33"/>
  <c r="DI198" i="33"/>
  <c r="DF206" i="33"/>
  <c r="DG206" i="33"/>
  <c r="DH206" i="33"/>
  <c r="DI206" i="33"/>
  <c r="DG181" i="33"/>
  <c r="DH181" i="33"/>
  <c r="DI181" i="33"/>
  <c r="DF181" i="33"/>
  <c r="DF155" i="33"/>
  <c r="DG155" i="33"/>
  <c r="DH155" i="33"/>
  <c r="DI155" i="33"/>
  <c r="DF161" i="33"/>
  <c r="DG161" i="33"/>
  <c r="DH161" i="33"/>
  <c r="DI161" i="33"/>
  <c r="DF168" i="33"/>
  <c r="DG168" i="33"/>
  <c r="DH168" i="33"/>
  <c r="DI168" i="33"/>
  <c r="DF169" i="33"/>
  <c r="DG169" i="33"/>
  <c r="DH169" i="33"/>
  <c r="DI169" i="33"/>
  <c r="DF170" i="33"/>
  <c r="DG170" i="33"/>
  <c r="DH170" i="33"/>
  <c r="DI170" i="33"/>
  <c r="DF171" i="33"/>
  <c r="DG171" i="33"/>
  <c r="DH171" i="33"/>
  <c r="DI171" i="33"/>
  <c r="DF174" i="33"/>
  <c r="DG174" i="33"/>
  <c r="DH174" i="33"/>
  <c r="DI174" i="33"/>
  <c r="DF175" i="33"/>
  <c r="DG175" i="33"/>
  <c r="DH175" i="33"/>
  <c r="DI175" i="33"/>
  <c r="CX139" i="33"/>
  <c r="DE206" i="33"/>
  <c r="DD206" i="33"/>
  <c r="DC206" i="33"/>
  <c r="DB206" i="33"/>
  <c r="DA206" i="33"/>
  <c r="CZ206" i="33"/>
  <c r="CY206" i="33"/>
  <c r="CX206" i="33"/>
  <c r="DE205" i="33"/>
  <c r="DD205" i="33"/>
  <c r="DC205" i="33"/>
  <c r="DB205" i="33"/>
  <c r="DA205" i="33"/>
  <c r="CZ205" i="33"/>
  <c r="CY205" i="33"/>
  <c r="CX205" i="33"/>
  <c r="DE204" i="33"/>
  <c r="DD204" i="33"/>
  <c r="DC204" i="33"/>
  <c r="DB204" i="33"/>
  <c r="DA204" i="33"/>
  <c r="CZ204" i="33"/>
  <c r="CY204" i="33"/>
  <c r="CX204" i="33"/>
  <c r="DE203" i="33"/>
  <c r="DD203" i="33"/>
  <c r="DC203" i="33"/>
  <c r="DB203" i="33"/>
  <c r="DA203" i="33"/>
  <c r="CZ203" i="33"/>
  <c r="CY203" i="33"/>
  <c r="CX203" i="33"/>
  <c r="DE202" i="33"/>
  <c r="DD202" i="33"/>
  <c r="DC202" i="33"/>
  <c r="DB202" i="33"/>
  <c r="DA202" i="33"/>
  <c r="CZ202" i="33"/>
  <c r="CY202" i="33"/>
  <c r="CX202" i="33"/>
  <c r="DE201" i="33"/>
  <c r="DD201" i="33"/>
  <c r="DC201" i="33"/>
  <c r="DB201" i="33"/>
  <c r="DA201" i="33"/>
  <c r="CZ201" i="33"/>
  <c r="CY201" i="33"/>
  <c r="CX201" i="33"/>
  <c r="DE200" i="33"/>
  <c r="DD200" i="33"/>
  <c r="DC200" i="33"/>
  <c r="DB200" i="33"/>
  <c r="DA200" i="33"/>
  <c r="CZ200" i="33"/>
  <c r="CY200" i="33"/>
  <c r="CX200" i="33"/>
  <c r="DE199" i="33"/>
  <c r="DD199" i="33"/>
  <c r="DC199" i="33"/>
  <c r="DB199" i="33"/>
  <c r="DA199" i="33"/>
  <c r="CZ199" i="33"/>
  <c r="CY199" i="33"/>
  <c r="CX199" i="33"/>
  <c r="DE198" i="33"/>
  <c r="DD198" i="33"/>
  <c r="DC198" i="33"/>
  <c r="DB198" i="33"/>
  <c r="DA198" i="33"/>
  <c r="CZ198" i="33"/>
  <c r="CY198" i="33"/>
  <c r="CX198" i="33"/>
  <c r="DE197" i="33"/>
  <c r="DD197" i="33"/>
  <c r="DC197" i="33"/>
  <c r="DB197" i="33"/>
  <c r="DA197" i="33"/>
  <c r="CZ197" i="33"/>
  <c r="CY197" i="33"/>
  <c r="CX197" i="33"/>
  <c r="DE196" i="33"/>
  <c r="DD196" i="33"/>
  <c r="DC196" i="33"/>
  <c r="DB196" i="33"/>
  <c r="DA196" i="33"/>
  <c r="CZ196" i="33"/>
  <c r="CY196" i="33"/>
  <c r="CX196" i="33"/>
  <c r="DE195" i="33"/>
  <c r="DD195" i="33"/>
  <c r="DC195" i="33"/>
  <c r="DB195" i="33"/>
  <c r="DA195" i="33"/>
  <c r="CZ195" i="33"/>
  <c r="CY195" i="33"/>
  <c r="CX195" i="33"/>
  <c r="DE194" i="33"/>
  <c r="DD194" i="33"/>
  <c r="DC194" i="33"/>
  <c r="DB194" i="33"/>
  <c r="DA194" i="33"/>
  <c r="CZ194" i="33"/>
  <c r="CY194" i="33"/>
  <c r="CX194" i="33"/>
  <c r="DE193" i="33"/>
  <c r="DD193" i="33"/>
  <c r="DC193" i="33"/>
  <c r="DB193" i="33"/>
  <c r="DA193" i="33"/>
  <c r="CZ193" i="33"/>
  <c r="CY193" i="33"/>
  <c r="CX193" i="33"/>
  <c r="DE192" i="33"/>
  <c r="DD192" i="33"/>
  <c r="DC192" i="33"/>
  <c r="DB192" i="33"/>
  <c r="DA192" i="33"/>
  <c r="CZ192" i="33"/>
  <c r="CY192" i="33"/>
  <c r="CX192" i="33"/>
  <c r="DE191" i="33"/>
  <c r="DD191" i="33"/>
  <c r="DC191" i="33"/>
  <c r="DB191" i="33"/>
  <c r="DA191" i="33"/>
  <c r="CZ191" i="33"/>
  <c r="CY191" i="33"/>
  <c r="CX191" i="33"/>
  <c r="DE190" i="33"/>
  <c r="DD190" i="33"/>
  <c r="DC190" i="33"/>
  <c r="DB190" i="33"/>
  <c r="DA190" i="33"/>
  <c r="CZ190" i="33"/>
  <c r="CY190" i="33"/>
  <c r="CX190" i="33"/>
  <c r="DE189" i="33"/>
  <c r="DD189" i="33"/>
  <c r="DC189" i="33"/>
  <c r="DB189" i="33"/>
  <c r="DA189" i="33"/>
  <c r="CZ189" i="33"/>
  <c r="CY189" i="33"/>
  <c r="CX189" i="33"/>
  <c r="DE188" i="33"/>
  <c r="DD188" i="33"/>
  <c r="DC188" i="33"/>
  <c r="DB188" i="33"/>
  <c r="DA188" i="33"/>
  <c r="CZ188" i="33"/>
  <c r="CY188" i="33"/>
  <c r="CX188" i="33"/>
  <c r="DE187" i="33"/>
  <c r="DD187" i="33"/>
  <c r="DC187" i="33"/>
  <c r="DB187" i="33"/>
  <c r="DA187" i="33"/>
  <c r="CZ187" i="33"/>
  <c r="CY187" i="33"/>
  <c r="CX187" i="33"/>
  <c r="DE186" i="33"/>
  <c r="DD186" i="33"/>
  <c r="DC186" i="33"/>
  <c r="DB186" i="33"/>
  <c r="DA186" i="33"/>
  <c r="CZ186" i="33"/>
  <c r="CY186" i="33"/>
  <c r="CX186" i="33"/>
  <c r="DE185" i="33"/>
  <c r="DD185" i="33"/>
  <c r="DC185" i="33"/>
  <c r="DB185" i="33"/>
  <c r="DA185" i="33"/>
  <c r="CZ185" i="33"/>
  <c r="CY185" i="33"/>
  <c r="CX185" i="33"/>
  <c r="DE184" i="33"/>
  <c r="DD184" i="33"/>
  <c r="DC184" i="33"/>
  <c r="DB184" i="33"/>
  <c r="DA184" i="33"/>
  <c r="CZ184" i="33"/>
  <c r="CY184" i="33"/>
  <c r="CX184" i="33"/>
  <c r="DE183" i="33"/>
  <c r="DD183" i="33"/>
  <c r="DC183" i="33"/>
  <c r="DB183" i="33"/>
  <c r="DA183" i="33"/>
  <c r="CZ183" i="33"/>
  <c r="CY183" i="33"/>
  <c r="CX183" i="33"/>
  <c r="DE182" i="33"/>
  <c r="DD182" i="33"/>
  <c r="DC182" i="33"/>
  <c r="DB182" i="33"/>
  <c r="DA182" i="33"/>
  <c r="CZ182" i="33"/>
  <c r="CY182" i="33"/>
  <c r="CX182" i="33"/>
  <c r="DE181" i="33"/>
  <c r="DD181" i="33"/>
  <c r="DC181" i="33"/>
  <c r="DB181" i="33"/>
  <c r="DA181" i="33"/>
  <c r="CZ181" i="33"/>
  <c r="CY181" i="33"/>
  <c r="CX181" i="33"/>
  <c r="DE180" i="33"/>
  <c r="DD180" i="33"/>
  <c r="DC180" i="33"/>
  <c r="DB180" i="33"/>
  <c r="DA180" i="33"/>
  <c r="CZ180" i="33"/>
  <c r="CY180" i="33"/>
  <c r="CX180" i="33"/>
  <c r="DE179" i="33"/>
  <c r="DD179" i="33"/>
  <c r="DC179" i="33"/>
  <c r="DB179" i="33"/>
  <c r="DA179" i="33"/>
  <c r="CZ179" i="33"/>
  <c r="CY179" i="33"/>
  <c r="CX179" i="33"/>
  <c r="DE178" i="33"/>
  <c r="DD178" i="33"/>
  <c r="DC178" i="33"/>
  <c r="DB178" i="33"/>
  <c r="DA178" i="33"/>
  <c r="CZ178" i="33"/>
  <c r="CY178" i="33"/>
  <c r="CX178" i="33"/>
  <c r="DE177" i="33"/>
  <c r="DD177" i="33"/>
  <c r="DC177" i="33"/>
  <c r="DB177" i="33"/>
  <c r="DA177" i="33"/>
  <c r="CZ177" i="33"/>
  <c r="CY177" i="33"/>
  <c r="CX177" i="33"/>
  <c r="DE176" i="33"/>
  <c r="DD176" i="33"/>
  <c r="DC176" i="33"/>
  <c r="DB176" i="33"/>
  <c r="DA176" i="33"/>
  <c r="CZ176" i="33"/>
  <c r="CY176" i="33"/>
  <c r="CX176" i="33"/>
  <c r="DE175" i="33"/>
  <c r="DD175" i="33"/>
  <c r="DC175" i="33"/>
  <c r="DB175" i="33"/>
  <c r="DA175" i="33"/>
  <c r="CZ175" i="33"/>
  <c r="CY175" i="33"/>
  <c r="CX175" i="33"/>
  <c r="DE174" i="33"/>
  <c r="DD174" i="33"/>
  <c r="DC174" i="33"/>
  <c r="DB174" i="33"/>
  <c r="DA174" i="33"/>
  <c r="CZ174" i="33"/>
  <c r="CY174" i="33"/>
  <c r="CX174" i="33"/>
  <c r="DE173" i="33"/>
  <c r="DD173" i="33"/>
  <c r="DC173" i="33"/>
  <c r="DB173" i="33"/>
  <c r="DA173" i="33"/>
  <c r="CZ173" i="33"/>
  <c r="CY173" i="33"/>
  <c r="CX173" i="33"/>
  <c r="DE172" i="33"/>
  <c r="DD172" i="33"/>
  <c r="DC172" i="33"/>
  <c r="DB172" i="33"/>
  <c r="DA172" i="33"/>
  <c r="CZ172" i="33"/>
  <c r="CY172" i="33"/>
  <c r="CX172" i="33"/>
  <c r="DE171" i="33"/>
  <c r="DD171" i="33"/>
  <c r="DC171" i="33"/>
  <c r="DB171" i="33"/>
  <c r="DA171" i="33"/>
  <c r="CZ171" i="33"/>
  <c r="CY171" i="33"/>
  <c r="CX171" i="33"/>
  <c r="DE170" i="33"/>
  <c r="DD170" i="33"/>
  <c r="DC170" i="33"/>
  <c r="DB170" i="33"/>
  <c r="DA170" i="33"/>
  <c r="CZ170" i="33"/>
  <c r="CY170" i="33"/>
  <c r="CX170" i="33"/>
  <c r="DE169" i="33"/>
  <c r="DD169" i="33"/>
  <c r="DC169" i="33"/>
  <c r="DB169" i="33"/>
  <c r="DA169" i="33"/>
  <c r="CZ169" i="33"/>
  <c r="CY169" i="33"/>
  <c r="CX169" i="33"/>
  <c r="DE168" i="33"/>
  <c r="DD168" i="33"/>
  <c r="DC168" i="33"/>
  <c r="DB168" i="33"/>
  <c r="DA168" i="33"/>
  <c r="CZ168" i="33"/>
  <c r="CY168" i="33"/>
  <c r="CX168" i="33"/>
  <c r="DE167" i="33"/>
  <c r="DD167" i="33"/>
  <c r="DC167" i="33"/>
  <c r="DB167" i="33"/>
  <c r="DA167" i="33"/>
  <c r="CZ167" i="33"/>
  <c r="CY167" i="33"/>
  <c r="CX167" i="33"/>
  <c r="DE166" i="33"/>
  <c r="DD166" i="33"/>
  <c r="DC166" i="33"/>
  <c r="DB166" i="33"/>
  <c r="DA166" i="33"/>
  <c r="CZ166" i="33"/>
  <c r="CY166" i="33"/>
  <c r="CX166" i="33"/>
  <c r="DE165" i="33"/>
  <c r="DD165" i="33"/>
  <c r="DC165" i="33"/>
  <c r="DB165" i="33"/>
  <c r="DA165" i="33"/>
  <c r="CZ165" i="33"/>
  <c r="CY165" i="33"/>
  <c r="CX165" i="33"/>
  <c r="DE164" i="33"/>
  <c r="DD164" i="33"/>
  <c r="DC164" i="33"/>
  <c r="DB164" i="33"/>
  <c r="DA164" i="33"/>
  <c r="CZ164" i="33"/>
  <c r="CY164" i="33"/>
  <c r="CX164" i="33"/>
  <c r="DE163" i="33"/>
  <c r="DD163" i="33"/>
  <c r="DC163" i="33"/>
  <c r="DB163" i="33"/>
  <c r="DA163" i="33"/>
  <c r="CZ163" i="33"/>
  <c r="CY163" i="33"/>
  <c r="CX163" i="33"/>
  <c r="DE162" i="33"/>
  <c r="DD162" i="33"/>
  <c r="DC162" i="33"/>
  <c r="DB162" i="33"/>
  <c r="DA162" i="33"/>
  <c r="CZ162" i="33"/>
  <c r="CY162" i="33"/>
  <c r="CX162" i="33"/>
  <c r="DE161" i="33"/>
  <c r="DD161" i="33"/>
  <c r="DC161" i="33"/>
  <c r="DB161" i="33"/>
  <c r="DA161" i="33"/>
  <c r="CZ161" i="33"/>
  <c r="CY161" i="33"/>
  <c r="CX161" i="33"/>
  <c r="DE160" i="33"/>
  <c r="DD160" i="33"/>
  <c r="DC160" i="33"/>
  <c r="DB160" i="33"/>
  <c r="DA160" i="33"/>
  <c r="CZ160" i="33"/>
  <c r="CY160" i="33"/>
  <c r="CX160" i="33"/>
  <c r="DE159" i="33"/>
  <c r="DD159" i="33"/>
  <c r="DC159" i="33"/>
  <c r="DB159" i="33"/>
  <c r="DA159" i="33"/>
  <c r="CZ159" i="33"/>
  <c r="CY159" i="33"/>
  <c r="CX159" i="33"/>
  <c r="DE158" i="33"/>
  <c r="DD158" i="33"/>
  <c r="DC158" i="33"/>
  <c r="DB158" i="33"/>
  <c r="DA158" i="33"/>
  <c r="CZ158" i="33"/>
  <c r="CY158" i="33"/>
  <c r="CX158" i="33"/>
  <c r="DE157" i="33"/>
  <c r="DD157" i="33"/>
  <c r="DC157" i="33"/>
  <c r="DB157" i="33"/>
  <c r="DA157" i="33"/>
  <c r="CZ157" i="33"/>
  <c r="CY157" i="33"/>
  <c r="CX157" i="33"/>
  <c r="DE156" i="33"/>
  <c r="DD156" i="33"/>
  <c r="DC156" i="33"/>
  <c r="DB156" i="33"/>
  <c r="DA156" i="33"/>
  <c r="CZ156" i="33"/>
  <c r="CY156" i="33"/>
  <c r="CX156" i="33"/>
  <c r="DE155" i="33"/>
  <c r="DD155" i="33"/>
  <c r="DC155" i="33"/>
  <c r="DB155" i="33"/>
  <c r="DA155" i="33"/>
  <c r="CZ155" i="33"/>
  <c r="CY155" i="33"/>
  <c r="CX155" i="33"/>
  <c r="DE154" i="33"/>
  <c r="DD154" i="33"/>
  <c r="DC154" i="33"/>
  <c r="DB154" i="33"/>
  <c r="DA154" i="33"/>
  <c r="CZ154" i="33"/>
  <c r="CY154" i="33"/>
  <c r="CX154" i="33"/>
  <c r="DE153" i="33"/>
  <c r="DD153" i="33"/>
  <c r="DC153" i="33"/>
  <c r="DB153" i="33"/>
  <c r="DA153" i="33"/>
  <c r="CZ153" i="33"/>
  <c r="CY153" i="33"/>
  <c r="CX153" i="33"/>
  <c r="DE152" i="33"/>
  <c r="DD152" i="33"/>
  <c r="DC152" i="33"/>
  <c r="DB152" i="33"/>
  <c r="DA152" i="33"/>
  <c r="CZ152" i="33"/>
  <c r="CY152" i="33"/>
  <c r="CX152" i="33"/>
  <c r="DE151" i="33"/>
  <c r="DD151" i="33"/>
  <c r="DC151" i="33"/>
  <c r="DB151" i="33"/>
  <c r="DA151" i="33"/>
  <c r="CZ151" i="33"/>
  <c r="CY151" i="33"/>
  <c r="CX151" i="33"/>
  <c r="DE150" i="33"/>
  <c r="DD150" i="33"/>
  <c r="DC150" i="33"/>
  <c r="DB150" i="33"/>
  <c r="DA150" i="33"/>
  <c r="CZ150" i="33"/>
  <c r="CY150" i="33"/>
  <c r="CX150" i="33"/>
  <c r="DE149" i="33"/>
  <c r="DD149" i="33"/>
  <c r="DC149" i="33"/>
  <c r="DB149" i="33"/>
  <c r="DA149" i="33"/>
  <c r="CZ149" i="33"/>
  <c r="CY149" i="33"/>
  <c r="CX149" i="33"/>
  <c r="DE148" i="33"/>
  <c r="DD148" i="33"/>
  <c r="DC148" i="33"/>
  <c r="DB148" i="33"/>
  <c r="DA148" i="33"/>
  <c r="CZ148" i="33"/>
  <c r="CY148" i="33"/>
  <c r="CX148" i="33"/>
  <c r="DE147" i="33"/>
  <c r="DD147" i="33"/>
  <c r="DC147" i="33"/>
  <c r="DB147" i="33"/>
  <c r="DA147" i="33"/>
  <c r="CZ147" i="33"/>
  <c r="CY147" i="33"/>
  <c r="CX147" i="33"/>
  <c r="DE146" i="33"/>
  <c r="DD146" i="33"/>
  <c r="DC146" i="33"/>
  <c r="DB146" i="33"/>
  <c r="DA146" i="33"/>
  <c r="CZ146" i="33"/>
  <c r="CY146" i="33"/>
  <c r="CX146" i="33"/>
  <c r="DE145" i="33"/>
  <c r="DD145" i="33"/>
  <c r="DC145" i="33"/>
  <c r="DB145" i="33"/>
  <c r="DA145" i="33"/>
  <c r="CZ145" i="33"/>
  <c r="CY145" i="33"/>
  <c r="CX145" i="33"/>
  <c r="DE144" i="33"/>
  <c r="DD144" i="33"/>
  <c r="DC144" i="33"/>
  <c r="DB144" i="33"/>
  <c r="DA144" i="33"/>
  <c r="CZ144" i="33"/>
  <c r="CY144" i="33"/>
  <c r="CX144" i="33"/>
  <c r="DE143" i="33"/>
  <c r="DD143" i="33"/>
  <c r="DC143" i="33"/>
  <c r="DB143" i="33"/>
  <c r="DA143" i="33"/>
  <c r="CZ143" i="33"/>
  <c r="CY143" i="33"/>
  <c r="CX143" i="33"/>
  <c r="DE142" i="33"/>
  <c r="DD142" i="33"/>
  <c r="DC142" i="33"/>
  <c r="DB142" i="33"/>
  <c r="DA142" i="33"/>
  <c r="CZ142" i="33"/>
  <c r="CY142" i="33"/>
  <c r="CX142" i="33"/>
  <c r="DE141" i="33"/>
  <c r="DD141" i="33"/>
  <c r="DC141" i="33"/>
  <c r="DB141" i="33"/>
  <c r="DA141" i="33"/>
  <c r="CZ141" i="33"/>
  <c r="CY141" i="33"/>
  <c r="CX141" i="33"/>
  <c r="DE140" i="33"/>
  <c r="DD140" i="33"/>
  <c r="DC140" i="33"/>
  <c r="DB140" i="33"/>
  <c r="DA140" i="33"/>
  <c r="CZ140" i="33"/>
  <c r="CY140" i="33"/>
  <c r="CX140" i="33"/>
  <c r="DE139" i="33"/>
  <c r="DD139" i="33"/>
  <c r="DC139" i="33"/>
  <c r="DB139" i="33"/>
  <c r="DA139" i="33"/>
  <c r="CZ139" i="33"/>
  <c r="CY139" i="33"/>
  <c r="ED139" i="33"/>
  <c r="BZ191" i="33"/>
  <c r="BZ187" i="33"/>
  <c r="BR140" i="33"/>
  <c r="BR141" i="33"/>
  <c r="BR142" i="33"/>
  <c r="BR143" i="33"/>
  <c r="BR144" i="33"/>
  <c r="BR145" i="33"/>
  <c r="BR146" i="33"/>
  <c r="BR147" i="33"/>
  <c r="BR148" i="33"/>
  <c r="BR149" i="33"/>
  <c r="BR150" i="33"/>
  <c r="BR152" i="33"/>
  <c r="BR153" i="33"/>
  <c r="BR154" i="33"/>
  <c r="BR155" i="33"/>
  <c r="BR156" i="33"/>
  <c r="BR157" i="33"/>
  <c r="BR158" i="33"/>
  <c r="BR159" i="33"/>
  <c r="BR160" i="33"/>
  <c r="BR161" i="33"/>
  <c r="BR162" i="33"/>
  <c r="BR163" i="33"/>
  <c r="BR164" i="33"/>
  <c r="BR165" i="33"/>
  <c r="BR166" i="33"/>
  <c r="BR167" i="33"/>
  <c r="BR172" i="33"/>
  <c r="BR173" i="33"/>
  <c r="BR176" i="33"/>
  <c r="BR177" i="33"/>
  <c r="BR178" i="33"/>
  <c r="BR179" i="33"/>
  <c r="BR180" i="33"/>
  <c r="BR181" i="33"/>
  <c r="BR182" i="33"/>
  <c r="BR183" i="33"/>
  <c r="BR184" i="33"/>
  <c r="BR185" i="33"/>
  <c r="BR186" i="33"/>
  <c r="BR188" i="33"/>
  <c r="BR189" i="33"/>
  <c r="BR190" i="33"/>
  <c r="BR193" i="33"/>
  <c r="BR194" i="33"/>
  <c r="BR195" i="33"/>
  <c r="BR196" i="33"/>
  <c r="BR197" i="33"/>
  <c r="BR198" i="33"/>
  <c r="BR199" i="33"/>
  <c r="BR200" i="33"/>
  <c r="BR201" i="33"/>
  <c r="BR202" i="33"/>
  <c r="BR203" i="33"/>
  <c r="BR204" i="33"/>
  <c r="BR205" i="33"/>
  <c r="BR206" i="33"/>
  <c r="BR139" i="33"/>
  <c r="ED140" i="33"/>
  <c r="EE140" i="33"/>
  <c r="EF140" i="33"/>
  <c r="EG140" i="33"/>
  <c r="EH140" i="33"/>
  <c r="EI140" i="33"/>
  <c r="EJ140" i="33"/>
  <c r="EK140" i="33"/>
  <c r="ED141" i="33"/>
  <c r="EE141" i="33"/>
  <c r="EF141" i="33"/>
  <c r="EG141" i="33"/>
  <c r="EH141" i="33"/>
  <c r="EI141" i="33"/>
  <c r="EJ141" i="33"/>
  <c r="EK141" i="33"/>
  <c r="ED142" i="33"/>
  <c r="EE142" i="33"/>
  <c r="EF142" i="33"/>
  <c r="EG142" i="33"/>
  <c r="EH142" i="33"/>
  <c r="EI142" i="33"/>
  <c r="EJ142" i="33"/>
  <c r="EK142" i="33"/>
  <c r="ED143" i="33"/>
  <c r="EE143" i="33"/>
  <c r="EF143" i="33"/>
  <c r="EG143" i="33"/>
  <c r="EH143" i="33"/>
  <c r="EI143" i="33"/>
  <c r="EJ143" i="33"/>
  <c r="EK143" i="33"/>
  <c r="ED144" i="33"/>
  <c r="EE144" i="33"/>
  <c r="EF144" i="33"/>
  <c r="EG144" i="33"/>
  <c r="EH144" i="33"/>
  <c r="EI144" i="33"/>
  <c r="EJ144" i="33"/>
  <c r="EK144" i="33"/>
  <c r="ED145" i="33"/>
  <c r="EE145" i="33"/>
  <c r="EF145" i="33"/>
  <c r="EG145" i="33"/>
  <c r="EH145" i="33"/>
  <c r="EI145" i="33"/>
  <c r="EJ145" i="33"/>
  <c r="EK145" i="33"/>
  <c r="ED146" i="33"/>
  <c r="EE146" i="33"/>
  <c r="EF146" i="33"/>
  <c r="EG146" i="33"/>
  <c r="EH146" i="33"/>
  <c r="EI146" i="33"/>
  <c r="EJ146" i="33"/>
  <c r="EK146" i="33"/>
  <c r="ED147" i="33"/>
  <c r="EE147" i="33"/>
  <c r="EF147" i="33"/>
  <c r="EG147" i="33"/>
  <c r="EH147" i="33"/>
  <c r="EI147" i="33"/>
  <c r="EJ147" i="33"/>
  <c r="EK147" i="33"/>
  <c r="ED148" i="33"/>
  <c r="EE148" i="33"/>
  <c r="EF148" i="33"/>
  <c r="EG148" i="33"/>
  <c r="EH148" i="33"/>
  <c r="EI148" i="33"/>
  <c r="EJ148" i="33"/>
  <c r="EK148" i="33"/>
  <c r="ED149" i="33"/>
  <c r="EE149" i="33"/>
  <c r="EF149" i="33"/>
  <c r="EG149" i="33"/>
  <c r="EH149" i="33"/>
  <c r="EI149" i="33"/>
  <c r="EJ149" i="33"/>
  <c r="EK149" i="33"/>
  <c r="ED150" i="33"/>
  <c r="EE150" i="33"/>
  <c r="EF150" i="33"/>
  <c r="EG150" i="33"/>
  <c r="EH150" i="33"/>
  <c r="EI150" i="33"/>
  <c r="EJ150" i="33"/>
  <c r="EK150" i="33"/>
  <c r="ED151" i="33"/>
  <c r="EL151" i="33" s="1"/>
  <c r="EE151" i="33"/>
  <c r="EF151" i="33"/>
  <c r="EG151" i="33"/>
  <c r="EH151" i="33"/>
  <c r="EI151" i="33"/>
  <c r="EJ151" i="33"/>
  <c r="EK151" i="33"/>
  <c r="ED152" i="33"/>
  <c r="EE152" i="33"/>
  <c r="EF152" i="33"/>
  <c r="EG152" i="33"/>
  <c r="EH152" i="33"/>
  <c r="EI152" i="33"/>
  <c r="EJ152" i="33"/>
  <c r="EK152" i="33"/>
  <c r="ED153" i="33"/>
  <c r="EE153" i="33"/>
  <c r="EF153" i="33"/>
  <c r="EG153" i="33"/>
  <c r="EH153" i="33"/>
  <c r="EI153" i="33"/>
  <c r="EJ153" i="33"/>
  <c r="EK153" i="33"/>
  <c r="ED154" i="33"/>
  <c r="EE154" i="33"/>
  <c r="EF154" i="33"/>
  <c r="EG154" i="33"/>
  <c r="EH154" i="33"/>
  <c r="EI154" i="33"/>
  <c r="EJ154" i="33"/>
  <c r="EK154" i="33"/>
  <c r="ED155" i="33"/>
  <c r="EE155" i="33"/>
  <c r="EF155" i="33"/>
  <c r="EG155" i="33"/>
  <c r="EH155" i="33"/>
  <c r="EI155" i="33"/>
  <c r="EJ155" i="33"/>
  <c r="EK155" i="33"/>
  <c r="ED156" i="33"/>
  <c r="EE156" i="33"/>
  <c r="EF156" i="33"/>
  <c r="EG156" i="33"/>
  <c r="EH156" i="33"/>
  <c r="EI156" i="33"/>
  <c r="EJ156" i="33"/>
  <c r="EK156" i="33"/>
  <c r="ED157" i="33"/>
  <c r="EE157" i="33"/>
  <c r="EF157" i="33"/>
  <c r="EG157" i="33"/>
  <c r="EH157" i="33"/>
  <c r="EI157" i="33"/>
  <c r="EJ157" i="33"/>
  <c r="EK157" i="33"/>
  <c r="ED158" i="33"/>
  <c r="EE158" i="33"/>
  <c r="EF158" i="33"/>
  <c r="EG158" i="33"/>
  <c r="EH158" i="33"/>
  <c r="EI158" i="33"/>
  <c r="EJ158" i="33"/>
  <c r="EK158" i="33"/>
  <c r="ED159" i="33"/>
  <c r="EE159" i="33"/>
  <c r="EF159" i="33"/>
  <c r="EG159" i="33"/>
  <c r="EH159" i="33"/>
  <c r="EI159" i="33"/>
  <c r="EJ159" i="33"/>
  <c r="EK159" i="33"/>
  <c r="ED160" i="33"/>
  <c r="EE160" i="33"/>
  <c r="EF160" i="33"/>
  <c r="EG160" i="33"/>
  <c r="EH160" i="33"/>
  <c r="EI160" i="33"/>
  <c r="EJ160" i="33"/>
  <c r="EK160" i="33"/>
  <c r="ED161" i="33"/>
  <c r="EE161" i="33"/>
  <c r="EF161" i="33"/>
  <c r="EG161" i="33"/>
  <c r="EH161" i="33"/>
  <c r="EI161" i="33"/>
  <c r="EJ161" i="33"/>
  <c r="EK161" i="33"/>
  <c r="ED162" i="33"/>
  <c r="EE162" i="33"/>
  <c r="EF162" i="33"/>
  <c r="EG162" i="33"/>
  <c r="EH162" i="33"/>
  <c r="EI162" i="33"/>
  <c r="EJ162" i="33"/>
  <c r="EK162" i="33"/>
  <c r="ED163" i="33"/>
  <c r="EE163" i="33"/>
  <c r="EF163" i="33"/>
  <c r="EG163" i="33"/>
  <c r="EH163" i="33"/>
  <c r="EI163" i="33"/>
  <c r="EJ163" i="33"/>
  <c r="EK163" i="33"/>
  <c r="ED164" i="33"/>
  <c r="EE164" i="33"/>
  <c r="EF164" i="33"/>
  <c r="EG164" i="33"/>
  <c r="EH164" i="33"/>
  <c r="EI164" i="33"/>
  <c r="EJ164" i="33"/>
  <c r="EK164" i="33"/>
  <c r="ED165" i="33"/>
  <c r="EE165" i="33"/>
  <c r="EF165" i="33"/>
  <c r="EG165" i="33"/>
  <c r="EH165" i="33"/>
  <c r="EI165" i="33"/>
  <c r="EJ165" i="33"/>
  <c r="EK165" i="33"/>
  <c r="ED166" i="33"/>
  <c r="EE166" i="33"/>
  <c r="EF166" i="33"/>
  <c r="EG166" i="33"/>
  <c r="EH166" i="33"/>
  <c r="EI166" i="33"/>
  <c r="EJ166" i="33"/>
  <c r="EK166" i="33"/>
  <c r="ED167" i="33"/>
  <c r="EE167" i="33"/>
  <c r="EF167" i="33"/>
  <c r="EG167" i="33"/>
  <c r="EH167" i="33"/>
  <c r="EI167" i="33"/>
  <c r="EJ167" i="33"/>
  <c r="EK167" i="33"/>
  <c r="ED168" i="33"/>
  <c r="EE168" i="33"/>
  <c r="EF168" i="33"/>
  <c r="EG168" i="33"/>
  <c r="EH168" i="33"/>
  <c r="EI168" i="33"/>
  <c r="EJ168" i="33"/>
  <c r="EK168" i="33"/>
  <c r="ED169" i="33"/>
  <c r="EE169" i="33"/>
  <c r="EF169" i="33"/>
  <c r="EG169" i="33"/>
  <c r="EH169" i="33"/>
  <c r="EI169" i="33"/>
  <c r="EJ169" i="33"/>
  <c r="EK169" i="33"/>
  <c r="ED170" i="33"/>
  <c r="EE170" i="33"/>
  <c r="EF170" i="33"/>
  <c r="EG170" i="33"/>
  <c r="EH170" i="33"/>
  <c r="EI170" i="33"/>
  <c r="EJ170" i="33"/>
  <c r="EK170" i="33"/>
  <c r="ED171" i="33"/>
  <c r="EE171" i="33"/>
  <c r="EF171" i="33"/>
  <c r="EG171" i="33"/>
  <c r="EH171" i="33"/>
  <c r="EI171" i="33"/>
  <c r="EJ171" i="33"/>
  <c r="EK171" i="33"/>
  <c r="ED172" i="33"/>
  <c r="EE172" i="33"/>
  <c r="EF172" i="33"/>
  <c r="EG172" i="33"/>
  <c r="EH172" i="33"/>
  <c r="EI172" i="33"/>
  <c r="EJ172" i="33"/>
  <c r="EK172" i="33"/>
  <c r="ED173" i="33"/>
  <c r="EE173" i="33"/>
  <c r="EF173" i="33"/>
  <c r="EG173" i="33"/>
  <c r="EH173" i="33"/>
  <c r="EI173" i="33"/>
  <c r="EJ173" i="33"/>
  <c r="EK173" i="33"/>
  <c r="ED174" i="33"/>
  <c r="EE174" i="33"/>
  <c r="EF174" i="33"/>
  <c r="EG174" i="33"/>
  <c r="EH174" i="33"/>
  <c r="EI174" i="33"/>
  <c r="EJ174" i="33"/>
  <c r="EK174" i="33"/>
  <c r="ED175" i="33"/>
  <c r="EE175" i="33"/>
  <c r="EF175" i="33"/>
  <c r="EG175" i="33"/>
  <c r="EH175" i="33"/>
  <c r="EI175" i="33"/>
  <c r="EJ175" i="33"/>
  <c r="EK175" i="33"/>
  <c r="ED176" i="33"/>
  <c r="EE176" i="33"/>
  <c r="EF176" i="33"/>
  <c r="EG176" i="33"/>
  <c r="EH176" i="33"/>
  <c r="EI176" i="33"/>
  <c r="EJ176" i="33"/>
  <c r="EK176" i="33"/>
  <c r="ED177" i="33"/>
  <c r="EE177" i="33"/>
  <c r="EF177" i="33"/>
  <c r="EG177" i="33"/>
  <c r="EH177" i="33"/>
  <c r="EI177" i="33"/>
  <c r="EJ177" i="33"/>
  <c r="EK177" i="33"/>
  <c r="ED178" i="33"/>
  <c r="EE178" i="33"/>
  <c r="EF178" i="33"/>
  <c r="EG178" i="33"/>
  <c r="EH178" i="33"/>
  <c r="EI178" i="33"/>
  <c r="EJ178" i="33"/>
  <c r="EK178" i="33"/>
  <c r="ED179" i="33"/>
  <c r="EE179" i="33"/>
  <c r="EF179" i="33"/>
  <c r="EG179" i="33"/>
  <c r="EH179" i="33"/>
  <c r="EI179" i="33"/>
  <c r="EJ179" i="33"/>
  <c r="EK179" i="33"/>
  <c r="ED180" i="33"/>
  <c r="EE180" i="33"/>
  <c r="EF180" i="33"/>
  <c r="EG180" i="33"/>
  <c r="EH180" i="33"/>
  <c r="EI180" i="33"/>
  <c r="EJ180" i="33"/>
  <c r="EK180" i="33"/>
  <c r="ED181" i="33"/>
  <c r="EE181" i="33"/>
  <c r="EF181" i="33"/>
  <c r="EG181" i="33"/>
  <c r="EH181" i="33"/>
  <c r="EI181" i="33"/>
  <c r="EJ181" i="33"/>
  <c r="EK181" i="33"/>
  <c r="ED182" i="33"/>
  <c r="EE182" i="33"/>
  <c r="EF182" i="33"/>
  <c r="EG182" i="33"/>
  <c r="EH182" i="33"/>
  <c r="EI182" i="33"/>
  <c r="EJ182" i="33"/>
  <c r="EK182" i="33"/>
  <c r="ED183" i="33"/>
  <c r="EE183" i="33"/>
  <c r="EF183" i="33"/>
  <c r="EG183" i="33"/>
  <c r="EH183" i="33"/>
  <c r="EI183" i="33"/>
  <c r="EJ183" i="33"/>
  <c r="EK183" i="33"/>
  <c r="ED184" i="33"/>
  <c r="EE184" i="33"/>
  <c r="EF184" i="33"/>
  <c r="EG184" i="33"/>
  <c r="EH184" i="33"/>
  <c r="EI184" i="33"/>
  <c r="EJ184" i="33"/>
  <c r="EK184" i="33"/>
  <c r="ED185" i="33"/>
  <c r="EE185" i="33"/>
  <c r="EF185" i="33"/>
  <c r="EG185" i="33"/>
  <c r="EH185" i="33"/>
  <c r="EI185" i="33"/>
  <c r="EJ185" i="33"/>
  <c r="EK185" i="33"/>
  <c r="ED186" i="33"/>
  <c r="EE186" i="33"/>
  <c r="EF186" i="33"/>
  <c r="EG186" i="33"/>
  <c r="EH186" i="33"/>
  <c r="EI186" i="33"/>
  <c r="EJ186" i="33"/>
  <c r="EK186" i="33"/>
  <c r="ED187" i="33"/>
  <c r="EE187" i="33"/>
  <c r="EF187" i="33"/>
  <c r="EG187" i="33"/>
  <c r="EH187" i="33"/>
  <c r="EI187" i="33"/>
  <c r="EJ187" i="33"/>
  <c r="EK187" i="33"/>
  <c r="ED188" i="33"/>
  <c r="EE188" i="33"/>
  <c r="EF188" i="33"/>
  <c r="EG188" i="33"/>
  <c r="EH188" i="33"/>
  <c r="EI188" i="33"/>
  <c r="EJ188" i="33"/>
  <c r="EK188" i="33"/>
  <c r="ED189" i="33"/>
  <c r="EE189" i="33"/>
  <c r="EF189" i="33"/>
  <c r="EG189" i="33"/>
  <c r="EH189" i="33"/>
  <c r="EI189" i="33"/>
  <c r="EJ189" i="33"/>
  <c r="EK189" i="33"/>
  <c r="ED190" i="33"/>
  <c r="EE190" i="33"/>
  <c r="EF190" i="33"/>
  <c r="EG190" i="33"/>
  <c r="EH190" i="33"/>
  <c r="EI190" i="33"/>
  <c r="EJ190" i="33"/>
  <c r="EK190" i="33"/>
  <c r="ED191" i="33"/>
  <c r="EE191" i="33"/>
  <c r="EF191" i="33"/>
  <c r="EG191" i="33"/>
  <c r="EH191" i="33"/>
  <c r="EI191" i="33"/>
  <c r="EJ191" i="33"/>
  <c r="EK191" i="33"/>
  <c r="ED192" i="33"/>
  <c r="EE192" i="33"/>
  <c r="EF192" i="33"/>
  <c r="EG192" i="33"/>
  <c r="EH192" i="33"/>
  <c r="EI192" i="33"/>
  <c r="EJ192" i="33"/>
  <c r="EK192" i="33"/>
  <c r="ED193" i="33"/>
  <c r="EE193" i="33"/>
  <c r="EF193" i="33"/>
  <c r="EG193" i="33"/>
  <c r="EH193" i="33"/>
  <c r="EI193" i="33"/>
  <c r="EJ193" i="33"/>
  <c r="EK193" i="33"/>
  <c r="ED194" i="33"/>
  <c r="EE194" i="33"/>
  <c r="EF194" i="33"/>
  <c r="EG194" i="33"/>
  <c r="EH194" i="33"/>
  <c r="EI194" i="33"/>
  <c r="EJ194" i="33"/>
  <c r="EK194" i="33"/>
  <c r="ED195" i="33"/>
  <c r="EE195" i="33"/>
  <c r="EF195" i="33"/>
  <c r="EG195" i="33"/>
  <c r="EH195" i="33"/>
  <c r="EI195" i="33"/>
  <c r="EJ195" i="33"/>
  <c r="EK195" i="33"/>
  <c r="ED196" i="33"/>
  <c r="EE196" i="33"/>
  <c r="EF196" i="33"/>
  <c r="EG196" i="33"/>
  <c r="EH196" i="33"/>
  <c r="EI196" i="33"/>
  <c r="EJ196" i="33"/>
  <c r="EK196" i="33"/>
  <c r="ED197" i="33"/>
  <c r="EE197" i="33"/>
  <c r="EF197" i="33"/>
  <c r="EG197" i="33"/>
  <c r="EH197" i="33"/>
  <c r="EI197" i="33"/>
  <c r="EJ197" i="33"/>
  <c r="EK197" i="33"/>
  <c r="ED198" i="33"/>
  <c r="EE198" i="33"/>
  <c r="EF198" i="33"/>
  <c r="EG198" i="33"/>
  <c r="EH198" i="33"/>
  <c r="EI198" i="33"/>
  <c r="EJ198" i="33"/>
  <c r="EK198" i="33"/>
  <c r="ED199" i="33"/>
  <c r="EE199" i="33"/>
  <c r="EF199" i="33"/>
  <c r="EG199" i="33"/>
  <c r="EH199" i="33"/>
  <c r="EI199" i="33"/>
  <c r="EJ199" i="33"/>
  <c r="EK199" i="33"/>
  <c r="ED200" i="33"/>
  <c r="EE200" i="33"/>
  <c r="EF200" i="33"/>
  <c r="EG200" i="33"/>
  <c r="EH200" i="33"/>
  <c r="EI200" i="33"/>
  <c r="EJ200" i="33"/>
  <c r="EK200" i="33"/>
  <c r="ED201" i="33"/>
  <c r="EE201" i="33"/>
  <c r="EF201" i="33"/>
  <c r="EG201" i="33"/>
  <c r="EH201" i="33"/>
  <c r="EI201" i="33"/>
  <c r="EJ201" i="33"/>
  <c r="EK201" i="33"/>
  <c r="ED202" i="33"/>
  <c r="EE202" i="33"/>
  <c r="EF202" i="33"/>
  <c r="EG202" i="33"/>
  <c r="EH202" i="33"/>
  <c r="EI202" i="33"/>
  <c r="EJ202" i="33"/>
  <c r="EK202" i="33"/>
  <c r="ED203" i="33"/>
  <c r="EE203" i="33"/>
  <c r="EF203" i="33"/>
  <c r="EG203" i="33"/>
  <c r="EH203" i="33"/>
  <c r="EI203" i="33"/>
  <c r="EJ203" i="33"/>
  <c r="EK203" i="33"/>
  <c r="ED204" i="33"/>
  <c r="EE204" i="33"/>
  <c r="EF204" i="33"/>
  <c r="EG204" i="33"/>
  <c r="EH204" i="33"/>
  <c r="EI204" i="33"/>
  <c r="EJ204" i="33"/>
  <c r="EK204" i="33"/>
  <c r="ED205" i="33"/>
  <c r="EE205" i="33"/>
  <c r="EF205" i="33"/>
  <c r="EG205" i="33"/>
  <c r="EH205" i="33"/>
  <c r="EI205" i="33"/>
  <c r="EJ205" i="33"/>
  <c r="EK205" i="33"/>
  <c r="ED206" i="33"/>
  <c r="EE206" i="33"/>
  <c r="EF206" i="33"/>
  <c r="EG206" i="33"/>
  <c r="EH206" i="33"/>
  <c r="EI206" i="33"/>
  <c r="EJ206" i="33"/>
  <c r="EK206" i="33"/>
  <c r="EE139" i="33"/>
  <c r="EF139" i="33"/>
  <c r="EG139" i="33"/>
  <c r="EH139" i="33"/>
  <c r="EI139" i="33"/>
  <c r="EJ139" i="33"/>
  <c r="EK139" i="33"/>
  <c r="CD168" i="33"/>
  <c r="CE168" i="33"/>
  <c r="CF168" i="33"/>
  <c r="CG168" i="33"/>
  <c r="CD169" i="33"/>
  <c r="CE169" i="33"/>
  <c r="CF169" i="33"/>
  <c r="CG169" i="33"/>
  <c r="CD170" i="33"/>
  <c r="CE170" i="33"/>
  <c r="CF170" i="33"/>
  <c r="CG170" i="33"/>
  <c r="CD171" i="33"/>
  <c r="CE171" i="33"/>
  <c r="CF171" i="33"/>
  <c r="CG171" i="33"/>
  <c r="CD174" i="33"/>
  <c r="CE174" i="33"/>
  <c r="CF174" i="33"/>
  <c r="CG174" i="33"/>
  <c r="CD175" i="33"/>
  <c r="CE175" i="33"/>
  <c r="CF175" i="33"/>
  <c r="CG175" i="33"/>
  <c r="CD191" i="33"/>
  <c r="CE191" i="33"/>
  <c r="CF191" i="33"/>
  <c r="CG191" i="33"/>
  <c r="CD192" i="33"/>
  <c r="CE192" i="33"/>
  <c r="CF192" i="33"/>
  <c r="CG192" i="33"/>
  <c r="BZ155" i="33"/>
  <c r="CA155" i="33"/>
  <c r="CB155" i="33"/>
  <c r="CC155" i="33"/>
  <c r="BZ161" i="33"/>
  <c r="CA161" i="33"/>
  <c r="CB161" i="33"/>
  <c r="CC161" i="33"/>
  <c r="BZ168" i="33"/>
  <c r="CA168" i="33"/>
  <c r="CB168" i="33"/>
  <c r="CC168" i="33"/>
  <c r="BZ169" i="33"/>
  <c r="CA169" i="33"/>
  <c r="CB169" i="33"/>
  <c r="CC169" i="33"/>
  <c r="BZ170" i="33"/>
  <c r="CA170" i="33"/>
  <c r="CB170" i="33"/>
  <c r="CC170" i="33"/>
  <c r="BZ171" i="33"/>
  <c r="CA171" i="33"/>
  <c r="CB171" i="33"/>
  <c r="CC171" i="33"/>
  <c r="BZ174" i="33"/>
  <c r="CA174" i="33"/>
  <c r="CB174" i="33"/>
  <c r="CC174" i="33"/>
  <c r="BZ175" i="33"/>
  <c r="CA175" i="33"/>
  <c r="CB175" i="33"/>
  <c r="CC175" i="33"/>
  <c r="BZ181" i="33"/>
  <c r="CA181" i="33"/>
  <c r="CB181" i="33"/>
  <c r="CC181" i="33"/>
  <c r="BZ182" i="33"/>
  <c r="CA182" i="33"/>
  <c r="CB182" i="33"/>
  <c r="CC182" i="33"/>
  <c r="BZ184" i="33"/>
  <c r="CA184" i="33"/>
  <c r="CB184" i="33"/>
  <c r="CC184" i="33"/>
  <c r="BZ185" i="33"/>
  <c r="CA185" i="33"/>
  <c r="CB185" i="33"/>
  <c r="CC185" i="33"/>
  <c r="CA191" i="33"/>
  <c r="CB191" i="33"/>
  <c r="CC191" i="33"/>
  <c r="BZ192" i="33"/>
  <c r="CA192" i="33"/>
  <c r="CB192" i="33"/>
  <c r="CC192" i="33"/>
  <c r="BZ198" i="33"/>
  <c r="CA198" i="33"/>
  <c r="CB198" i="33"/>
  <c r="CC198" i="33"/>
  <c r="BZ206" i="33"/>
  <c r="CA206" i="33"/>
  <c r="CB206" i="33"/>
  <c r="CC206" i="33"/>
  <c r="BS140" i="33"/>
  <c r="BT140" i="33"/>
  <c r="BU140" i="33"/>
  <c r="BV140" i="33"/>
  <c r="BW140" i="33"/>
  <c r="BX140" i="33"/>
  <c r="BY140" i="33"/>
  <c r="BS141" i="33"/>
  <c r="BT141" i="33"/>
  <c r="BU141" i="33"/>
  <c r="BV141" i="33"/>
  <c r="BW141" i="33"/>
  <c r="BX141" i="33"/>
  <c r="BY141" i="33"/>
  <c r="BS142" i="33"/>
  <c r="BT142" i="33"/>
  <c r="BU142" i="33"/>
  <c r="BV142" i="33"/>
  <c r="BW142" i="33"/>
  <c r="BX142" i="33"/>
  <c r="BY142" i="33"/>
  <c r="BS143" i="33"/>
  <c r="BT143" i="33"/>
  <c r="BU143" i="33"/>
  <c r="BV143" i="33"/>
  <c r="BW143" i="33"/>
  <c r="BX143" i="33"/>
  <c r="BY143" i="33"/>
  <c r="BS144" i="33"/>
  <c r="BT144" i="33"/>
  <c r="BU144" i="33"/>
  <c r="BV144" i="33"/>
  <c r="BW144" i="33"/>
  <c r="BX144" i="33"/>
  <c r="BY144" i="33"/>
  <c r="BS145" i="33"/>
  <c r="BT145" i="33"/>
  <c r="BU145" i="33"/>
  <c r="BV145" i="33"/>
  <c r="BW145" i="33"/>
  <c r="BX145" i="33"/>
  <c r="BY145" i="33"/>
  <c r="BS146" i="33"/>
  <c r="BT146" i="33"/>
  <c r="BU146" i="33"/>
  <c r="BV146" i="33"/>
  <c r="BW146" i="33"/>
  <c r="BX146" i="33"/>
  <c r="BY146" i="33"/>
  <c r="BS147" i="33"/>
  <c r="BT147" i="33"/>
  <c r="BU147" i="33"/>
  <c r="BV147" i="33"/>
  <c r="BW147" i="33"/>
  <c r="BX147" i="33"/>
  <c r="BY147" i="33"/>
  <c r="BS148" i="33"/>
  <c r="BT148" i="33"/>
  <c r="BU148" i="33"/>
  <c r="BV148" i="33"/>
  <c r="BW148" i="33"/>
  <c r="BX148" i="33"/>
  <c r="BY148" i="33"/>
  <c r="BS149" i="33"/>
  <c r="BT149" i="33"/>
  <c r="BU149" i="33"/>
  <c r="BV149" i="33"/>
  <c r="BW149" i="33"/>
  <c r="BX149" i="33"/>
  <c r="BY149" i="33"/>
  <c r="BS150" i="33"/>
  <c r="BT150" i="33"/>
  <c r="BU150" i="33"/>
  <c r="BV150" i="33"/>
  <c r="BW150" i="33"/>
  <c r="BX150" i="33"/>
  <c r="BY150" i="33"/>
  <c r="BS152" i="33"/>
  <c r="BT152" i="33"/>
  <c r="BU152" i="33"/>
  <c r="BV152" i="33"/>
  <c r="BW152" i="33"/>
  <c r="BX152" i="33"/>
  <c r="BY152" i="33"/>
  <c r="BS153" i="33"/>
  <c r="BT153" i="33"/>
  <c r="BU153" i="33"/>
  <c r="BV153" i="33"/>
  <c r="BW153" i="33"/>
  <c r="BX153" i="33"/>
  <c r="BY153" i="33"/>
  <c r="BS154" i="33"/>
  <c r="BT154" i="33"/>
  <c r="BU154" i="33"/>
  <c r="BV154" i="33"/>
  <c r="BW154" i="33"/>
  <c r="BX154" i="33"/>
  <c r="BY154" i="33"/>
  <c r="BS155" i="33"/>
  <c r="BT155" i="33"/>
  <c r="BU155" i="33"/>
  <c r="BV155" i="33"/>
  <c r="BW155" i="33"/>
  <c r="BX155" i="33"/>
  <c r="BY155" i="33"/>
  <c r="BS156" i="33"/>
  <c r="BT156" i="33"/>
  <c r="BU156" i="33"/>
  <c r="BV156" i="33"/>
  <c r="BW156" i="33"/>
  <c r="BX156" i="33"/>
  <c r="BY156" i="33"/>
  <c r="BS157" i="33"/>
  <c r="BT157" i="33"/>
  <c r="BU157" i="33"/>
  <c r="BV157" i="33"/>
  <c r="BW157" i="33"/>
  <c r="BX157" i="33"/>
  <c r="BY157" i="33"/>
  <c r="BS158" i="33"/>
  <c r="BT158" i="33"/>
  <c r="BU158" i="33"/>
  <c r="BV158" i="33"/>
  <c r="BW158" i="33"/>
  <c r="BX158" i="33"/>
  <c r="BY158" i="33"/>
  <c r="BS159" i="33"/>
  <c r="BT159" i="33"/>
  <c r="BU159" i="33"/>
  <c r="BV159" i="33"/>
  <c r="BW159" i="33"/>
  <c r="BX159" i="33"/>
  <c r="BY159" i="33"/>
  <c r="BS160" i="33"/>
  <c r="BT160" i="33"/>
  <c r="BU160" i="33"/>
  <c r="BV160" i="33"/>
  <c r="BW160" i="33"/>
  <c r="BX160" i="33"/>
  <c r="BY160" i="33"/>
  <c r="BS161" i="33"/>
  <c r="BT161" i="33"/>
  <c r="BU161" i="33"/>
  <c r="BV161" i="33"/>
  <c r="BW161" i="33"/>
  <c r="BX161" i="33"/>
  <c r="BY161" i="33"/>
  <c r="BS162" i="33"/>
  <c r="BT162" i="33"/>
  <c r="BU162" i="33"/>
  <c r="BV162" i="33"/>
  <c r="BW162" i="33"/>
  <c r="BX162" i="33"/>
  <c r="BY162" i="33"/>
  <c r="BS163" i="33"/>
  <c r="BT163" i="33"/>
  <c r="BU163" i="33"/>
  <c r="BV163" i="33"/>
  <c r="BW163" i="33"/>
  <c r="BX163" i="33"/>
  <c r="BY163" i="33"/>
  <c r="BS164" i="33"/>
  <c r="BT164" i="33"/>
  <c r="BU164" i="33"/>
  <c r="BV164" i="33"/>
  <c r="BW164" i="33"/>
  <c r="BX164" i="33"/>
  <c r="BY164" i="33"/>
  <c r="BS165" i="33"/>
  <c r="BT165" i="33"/>
  <c r="BU165" i="33"/>
  <c r="BV165" i="33"/>
  <c r="BW165" i="33"/>
  <c r="BX165" i="33"/>
  <c r="BY165" i="33"/>
  <c r="BS166" i="33"/>
  <c r="BT166" i="33"/>
  <c r="BU166" i="33"/>
  <c r="BV166" i="33"/>
  <c r="BW166" i="33"/>
  <c r="BX166" i="33"/>
  <c r="BY166" i="33"/>
  <c r="BS167" i="33"/>
  <c r="BT167" i="33"/>
  <c r="BU167" i="33"/>
  <c r="BV167" i="33"/>
  <c r="BW167" i="33"/>
  <c r="BX167" i="33"/>
  <c r="BY167" i="33"/>
  <c r="BS172" i="33"/>
  <c r="BT172" i="33"/>
  <c r="BU172" i="33"/>
  <c r="BV172" i="33"/>
  <c r="BW172" i="33"/>
  <c r="BX172" i="33"/>
  <c r="BY172" i="33"/>
  <c r="BS173" i="33"/>
  <c r="BT173" i="33"/>
  <c r="BU173" i="33"/>
  <c r="BV173" i="33"/>
  <c r="BW173" i="33"/>
  <c r="BX173" i="33"/>
  <c r="BY173" i="33"/>
  <c r="BS176" i="33"/>
  <c r="BT176" i="33"/>
  <c r="BU176" i="33"/>
  <c r="BV176" i="33"/>
  <c r="BW176" i="33"/>
  <c r="BX176" i="33"/>
  <c r="BY176" i="33"/>
  <c r="BS177" i="33"/>
  <c r="BT177" i="33"/>
  <c r="BU177" i="33"/>
  <c r="BV177" i="33"/>
  <c r="BW177" i="33"/>
  <c r="BX177" i="33"/>
  <c r="BY177" i="33"/>
  <c r="BS178" i="33"/>
  <c r="BT178" i="33"/>
  <c r="BU178" i="33"/>
  <c r="BV178" i="33"/>
  <c r="BW178" i="33"/>
  <c r="BX178" i="33"/>
  <c r="BY178" i="33"/>
  <c r="BS179" i="33"/>
  <c r="BT179" i="33"/>
  <c r="BU179" i="33"/>
  <c r="BV179" i="33"/>
  <c r="BW179" i="33"/>
  <c r="BX179" i="33"/>
  <c r="BY179" i="33"/>
  <c r="BS180" i="33"/>
  <c r="BT180" i="33"/>
  <c r="BU180" i="33"/>
  <c r="BV180" i="33"/>
  <c r="BW180" i="33"/>
  <c r="BX180" i="33"/>
  <c r="BY180" i="33"/>
  <c r="BS181" i="33"/>
  <c r="BT181" i="33"/>
  <c r="BU181" i="33"/>
  <c r="BV181" i="33"/>
  <c r="BW181" i="33"/>
  <c r="BX181" i="33"/>
  <c r="BY181" i="33"/>
  <c r="BS182" i="33"/>
  <c r="BT182" i="33"/>
  <c r="BU182" i="33"/>
  <c r="BV182" i="33"/>
  <c r="BW182" i="33"/>
  <c r="BX182" i="33"/>
  <c r="BY182" i="33"/>
  <c r="BS183" i="33"/>
  <c r="BT183" i="33"/>
  <c r="BU183" i="33"/>
  <c r="BV183" i="33"/>
  <c r="BW183" i="33"/>
  <c r="BX183" i="33"/>
  <c r="BY183" i="33"/>
  <c r="BS184" i="33"/>
  <c r="BT184" i="33"/>
  <c r="BU184" i="33"/>
  <c r="BV184" i="33"/>
  <c r="BW184" i="33"/>
  <c r="BX184" i="33"/>
  <c r="BY184" i="33"/>
  <c r="BS185" i="33"/>
  <c r="BT185" i="33"/>
  <c r="BU185" i="33"/>
  <c r="BV185" i="33"/>
  <c r="BW185" i="33"/>
  <c r="BX185" i="33"/>
  <c r="BY185" i="33"/>
  <c r="BS186" i="33"/>
  <c r="BT186" i="33"/>
  <c r="BU186" i="33"/>
  <c r="BV186" i="33"/>
  <c r="BW186" i="33"/>
  <c r="BX186" i="33"/>
  <c r="BY186" i="33"/>
  <c r="BS188" i="33"/>
  <c r="BT188" i="33"/>
  <c r="BU188" i="33"/>
  <c r="BV188" i="33"/>
  <c r="BW188" i="33"/>
  <c r="BX188" i="33"/>
  <c r="BY188" i="33"/>
  <c r="BS189" i="33"/>
  <c r="BT189" i="33"/>
  <c r="BU189" i="33"/>
  <c r="BV189" i="33"/>
  <c r="BW189" i="33"/>
  <c r="BX189" i="33"/>
  <c r="BY189" i="33"/>
  <c r="BS190" i="33"/>
  <c r="BT190" i="33"/>
  <c r="BU190" i="33"/>
  <c r="BV190" i="33"/>
  <c r="BW190" i="33"/>
  <c r="BX190" i="33"/>
  <c r="BY190" i="33"/>
  <c r="BS193" i="33"/>
  <c r="BT193" i="33"/>
  <c r="BU193" i="33"/>
  <c r="BV193" i="33"/>
  <c r="BW193" i="33"/>
  <c r="BX193" i="33"/>
  <c r="BY193" i="33"/>
  <c r="BS194" i="33"/>
  <c r="BT194" i="33"/>
  <c r="BU194" i="33"/>
  <c r="BV194" i="33"/>
  <c r="BW194" i="33"/>
  <c r="BX194" i="33"/>
  <c r="BY194" i="33"/>
  <c r="BS195" i="33"/>
  <c r="BT195" i="33"/>
  <c r="BU195" i="33"/>
  <c r="BV195" i="33"/>
  <c r="BW195" i="33"/>
  <c r="BX195" i="33"/>
  <c r="BY195" i="33"/>
  <c r="BS196" i="33"/>
  <c r="BT196" i="33"/>
  <c r="BU196" i="33"/>
  <c r="BV196" i="33"/>
  <c r="BW196" i="33"/>
  <c r="BX196" i="33"/>
  <c r="BY196" i="33"/>
  <c r="BS197" i="33"/>
  <c r="BT197" i="33"/>
  <c r="BU197" i="33"/>
  <c r="BV197" i="33"/>
  <c r="BW197" i="33"/>
  <c r="BX197" i="33"/>
  <c r="BY197" i="33"/>
  <c r="BS198" i="33"/>
  <c r="BT198" i="33"/>
  <c r="BU198" i="33"/>
  <c r="BV198" i="33"/>
  <c r="BW198" i="33"/>
  <c r="BX198" i="33"/>
  <c r="BY198" i="33"/>
  <c r="BS199" i="33"/>
  <c r="BT199" i="33"/>
  <c r="BU199" i="33"/>
  <c r="BV199" i="33"/>
  <c r="BW199" i="33"/>
  <c r="BX199" i="33"/>
  <c r="BY199" i="33"/>
  <c r="BS200" i="33"/>
  <c r="BT200" i="33"/>
  <c r="BU200" i="33"/>
  <c r="BV200" i="33"/>
  <c r="BW200" i="33"/>
  <c r="BX200" i="33"/>
  <c r="BY200" i="33"/>
  <c r="BS201" i="33"/>
  <c r="BT201" i="33"/>
  <c r="BU201" i="33"/>
  <c r="BV201" i="33"/>
  <c r="BW201" i="33"/>
  <c r="BX201" i="33"/>
  <c r="BY201" i="33"/>
  <c r="BS202" i="33"/>
  <c r="BT202" i="33"/>
  <c r="BU202" i="33"/>
  <c r="BV202" i="33"/>
  <c r="BW202" i="33"/>
  <c r="BX202" i="33"/>
  <c r="BY202" i="33"/>
  <c r="BS203" i="33"/>
  <c r="BT203" i="33"/>
  <c r="BU203" i="33"/>
  <c r="BV203" i="33"/>
  <c r="BW203" i="33"/>
  <c r="BX203" i="33"/>
  <c r="BY203" i="33"/>
  <c r="BS204" i="33"/>
  <c r="BT204" i="33"/>
  <c r="BU204" i="33"/>
  <c r="BV204" i="33"/>
  <c r="BW204" i="33"/>
  <c r="BX204" i="33"/>
  <c r="BY204" i="33"/>
  <c r="BS205" i="33"/>
  <c r="BT205" i="33"/>
  <c r="BU205" i="33"/>
  <c r="BV205" i="33"/>
  <c r="BW205" i="33"/>
  <c r="BX205" i="33"/>
  <c r="BY205" i="33"/>
  <c r="BS206" i="33"/>
  <c r="BT206" i="33"/>
  <c r="BU206" i="33"/>
  <c r="BV206" i="33"/>
  <c r="BW206" i="33"/>
  <c r="BX206" i="33"/>
  <c r="BY206" i="33"/>
  <c r="BS139" i="33"/>
  <c r="BT139" i="33"/>
  <c r="BU139" i="33"/>
  <c r="BV139" i="33"/>
  <c r="BW139" i="33"/>
  <c r="BX139" i="33"/>
  <c r="BY139" i="33"/>
  <c r="BR89" i="33"/>
  <c r="J241" i="17" l="1"/>
  <c r="X233" i="33" s="1"/>
  <c r="K26" i="10"/>
  <c r="J233" i="17"/>
  <c r="X225" i="33" s="1"/>
  <c r="K18" i="10"/>
  <c r="J225" i="17"/>
  <c r="X217" i="33" s="1"/>
  <c r="K10" i="10"/>
  <c r="J240" i="17"/>
  <c r="X232" i="33" s="1"/>
  <c r="K25" i="10"/>
  <c r="J232" i="17"/>
  <c r="X224" i="33" s="1"/>
  <c r="K17" i="10"/>
  <c r="J224" i="17"/>
  <c r="X216" i="33" s="1"/>
  <c r="K9" i="10"/>
  <c r="J239" i="17"/>
  <c r="X231" i="33" s="1"/>
  <c r="K24" i="10"/>
  <c r="J223" i="17"/>
  <c r="X215" i="33" s="1"/>
  <c r="K8" i="10"/>
  <c r="J238" i="17"/>
  <c r="X230" i="33" s="1"/>
  <c r="K23" i="10"/>
  <c r="J222" i="17"/>
  <c r="X214" i="33" s="1"/>
  <c r="K7" i="10"/>
  <c r="J237" i="17"/>
  <c r="X229" i="33" s="1"/>
  <c r="K22" i="10"/>
  <c r="J221" i="17"/>
  <c r="X213" i="33" s="1"/>
  <c r="K6" i="10"/>
  <c r="J236" i="17"/>
  <c r="X228" i="33" s="1"/>
  <c r="K21" i="10"/>
  <c r="J228" i="17"/>
  <c r="X220" i="33" s="1"/>
  <c r="K13" i="10"/>
  <c r="J220" i="17"/>
  <c r="X212" i="33" s="1"/>
  <c r="K5" i="10"/>
  <c r="J217" i="17"/>
  <c r="X209" i="33" s="1"/>
  <c r="K2" i="10"/>
  <c r="J235" i="17"/>
  <c r="X227" i="33" s="1"/>
  <c r="K20" i="10"/>
  <c r="J227" i="17"/>
  <c r="X219" i="33" s="1"/>
  <c r="K12" i="10"/>
  <c r="J242" i="17"/>
  <c r="X234" i="33" s="1"/>
  <c r="K27" i="10"/>
  <c r="J234" i="17"/>
  <c r="X226" i="33" s="1"/>
  <c r="K19" i="10"/>
  <c r="J226" i="17"/>
  <c r="X218" i="33" s="1"/>
  <c r="K11" i="10"/>
  <c r="J218" i="17"/>
  <c r="X210" i="33" s="1"/>
  <c r="K3" i="10"/>
  <c r="Z23" i="10" a="1"/>
  <c r="Z23" i="10" s="1"/>
  <c r="AC23" i="10" a="1"/>
  <c r="AC23" i="10" s="1"/>
  <c r="V23" i="10" a="1"/>
  <c r="V23" i="10" s="1"/>
  <c r="W23" i="10" a="1"/>
  <c r="W23" i="10" s="1"/>
  <c r="X23" i="10" a="1"/>
  <c r="X23" i="10" s="1"/>
  <c r="U23" i="10" a="1"/>
  <c r="U23" i="10" s="1"/>
  <c r="AG23" i="10" a="1"/>
  <c r="AG23" i="10" s="1"/>
  <c r="Y23" i="10" a="1"/>
  <c r="Y23" i="10" s="1"/>
  <c r="AD23" i="10" a="1"/>
  <c r="AD23" i="10" s="1"/>
  <c r="AE23" i="10" a="1"/>
  <c r="AE23" i="10" s="1"/>
  <c r="AF23" i="10" a="1"/>
  <c r="AF23" i="10" s="1"/>
  <c r="AB23" i="10" a="1"/>
  <c r="AB23" i="10" s="1"/>
  <c r="Z7" i="10" a="1"/>
  <c r="Z7" i="10" s="1"/>
  <c r="AC7" i="10" a="1"/>
  <c r="AC7" i="10" s="1"/>
  <c r="AG7" i="10" a="1"/>
  <c r="AG7" i="10" s="1"/>
  <c r="V7" i="10" a="1"/>
  <c r="V7" i="10" s="1"/>
  <c r="W7" i="10" a="1"/>
  <c r="W7" i="10" s="1"/>
  <c r="X7" i="10" a="1"/>
  <c r="X7" i="10" s="1"/>
  <c r="U7" i="10" a="1"/>
  <c r="U7" i="10" s="1"/>
  <c r="Y7" i="10" a="1"/>
  <c r="Y7" i="10" s="1"/>
  <c r="AD7" i="10" a="1"/>
  <c r="AD7" i="10" s="1"/>
  <c r="AE7" i="10" a="1"/>
  <c r="AE7" i="10" s="1"/>
  <c r="AF7" i="10" a="1"/>
  <c r="AF7" i="10" s="1"/>
  <c r="AB7" i="10" a="1"/>
  <c r="AB7" i="10" s="1"/>
  <c r="AC22" i="10" a="1"/>
  <c r="AC22" i="10" s="1"/>
  <c r="V22" i="10" a="1"/>
  <c r="V22" i="10" s="1"/>
  <c r="W22" i="10" a="1"/>
  <c r="W22" i="10" s="1"/>
  <c r="X22" i="10" a="1"/>
  <c r="X22" i="10" s="1"/>
  <c r="Y22" i="10" a="1"/>
  <c r="Y22" i="10" s="1"/>
  <c r="AD22" i="10" a="1"/>
  <c r="AD22" i="10" s="1"/>
  <c r="AE22" i="10" a="1"/>
  <c r="AE22" i="10" s="1"/>
  <c r="U22" i="10" a="1"/>
  <c r="U22" i="10" s="1"/>
  <c r="AF22" i="10" a="1"/>
  <c r="AF22" i="10" s="1"/>
  <c r="AG22" i="10" a="1"/>
  <c r="AG22" i="10" s="1"/>
  <c r="AB22" i="10" a="1"/>
  <c r="AB22" i="10" s="1"/>
  <c r="Z22" i="10" a="1"/>
  <c r="Z22" i="10" s="1"/>
  <c r="AC6" i="10" a="1"/>
  <c r="AC6" i="10" s="1"/>
  <c r="V6" i="10" a="1"/>
  <c r="V6" i="10" s="1"/>
  <c r="W6" i="10" a="1"/>
  <c r="W6" i="10" s="1"/>
  <c r="X6" i="10" a="1"/>
  <c r="X6" i="10" s="1"/>
  <c r="Y6" i="10" a="1"/>
  <c r="Y6" i="10" s="1"/>
  <c r="AD6" i="10" a="1"/>
  <c r="AD6" i="10" s="1"/>
  <c r="AE6" i="10" a="1"/>
  <c r="AE6" i="10" s="1"/>
  <c r="U6" i="10" a="1"/>
  <c r="U6" i="10" s="1"/>
  <c r="AF6" i="10" a="1"/>
  <c r="AF6" i="10" s="1"/>
  <c r="AG6" i="10" a="1"/>
  <c r="AG6" i="10" s="1"/>
  <c r="AB6" i="10" a="1"/>
  <c r="AB6" i="10" s="1"/>
  <c r="Z6" i="10" a="1"/>
  <c r="Z6" i="10" s="1"/>
  <c r="V21" i="10" a="1"/>
  <c r="V21" i="10" s="1"/>
  <c r="W21" i="10" a="1"/>
  <c r="W21" i="10" s="1"/>
  <c r="AC21" i="10" a="1"/>
  <c r="AC21" i="10" s="1"/>
  <c r="X21" i="10" a="1"/>
  <c r="X21" i="10" s="1"/>
  <c r="Y21" i="10" a="1"/>
  <c r="Y21" i="10" s="1"/>
  <c r="AD21" i="10" a="1"/>
  <c r="AD21" i="10" s="1"/>
  <c r="AE21" i="10" a="1"/>
  <c r="AE21" i="10" s="1"/>
  <c r="AF21" i="10" a="1"/>
  <c r="AF21" i="10" s="1"/>
  <c r="AG21" i="10" a="1"/>
  <c r="AG21" i="10" s="1"/>
  <c r="U21" i="10" a="1"/>
  <c r="U21" i="10" s="1"/>
  <c r="AB21" i="10" a="1"/>
  <c r="AB21" i="10" s="1"/>
  <c r="Z21" i="10" a="1"/>
  <c r="Z21" i="10" s="1"/>
  <c r="V5" i="10" a="1"/>
  <c r="V5" i="10" s="1"/>
  <c r="W5" i="10" a="1"/>
  <c r="W5" i="10" s="1"/>
  <c r="AC5" i="10" a="1"/>
  <c r="AC5" i="10" s="1"/>
  <c r="X5" i="10" a="1"/>
  <c r="X5" i="10" s="1"/>
  <c r="Y5" i="10" a="1"/>
  <c r="Y5" i="10" s="1"/>
  <c r="AD5" i="10" a="1"/>
  <c r="AD5" i="10" s="1"/>
  <c r="AE5" i="10" a="1"/>
  <c r="AE5" i="10" s="1"/>
  <c r="AF5" i="10" a="1"/>
  <c r="AF5" i="10" s="1"/>
  <c r="AG5" i="10" a="1"/>
  <c r="AG5" i="10" s="1"/>
  <c r="U5" i="10" a="1"/>
  <c r="U5" i="10" s="1"/>
  <c r="AB5" i="10" a="1"/>
  <c r="AB5" i="10" s="1"/>
  <c r="Z5" i="10" a="1"/>
  <c r="Z5" i="10" s="1"/>
  <c r="AD20" i="10" a="1"/>
  <c r="AD20" i="10" s="1"/>
  <c r="AE20" i="10" a="1"/>
  <c r="AE20" i="10" s="1"/>
  <c r="AC20" i="10" a="1"/>
  <c r="AC20" i="10" s="1"/>
  <c r="AF20" i="10" a="1"/>
  <c r="AF20" i="10" s="1"/>
  <c r="AG20" i="10" a="1"/>
  <c r="AG20" i="10" s="1"/>
  <c r="U20" i="10" a="1"/>
  <c r="U20" i="10" s="1"/>
  <c r="AB20" i="10" a="1"/>
  <c r="AB20" i="10" s="1"/>
  <c r="V20" i="10" a="1"/>
  <c r="V20" i="10" s="1"/>
  <c r="W20" i="10" a="1"/>
  <c r="W20" i="10" s="1"/>
  <c r="Z20" i="10" a="1"/>
  <c r="Z20" i="10" s="1"/>
  <c r="X20" i="10" a="1"/>
  <c r="X20" i="10" s="1"/>
  <c r="Y20" i="10" a="1"/>
  <c r="Y20" i="10" s="1"/>
  <c r="AD4" i="10" a="1"/>
  <c r="AD4" i="10" s="1"/>
  <c r="AE4" i="10" a="1"/>
  <c r="AE4" i="10" s="1"/>
  <c r="AC4" i="10" a="1"/>
  <c r="AC4" i="10" s="1"/>
  <c r="AF4" i="10" a="1"/>
  <c r="AF4" i="10" s="1"/>
  <c r="AG4" i="10" a="1"/>
  <c r="AG4" i="10" s="1"/>
  <c r="U4" i="10" a="1"/>
  <c r="U4" i="10" s="1"/>
  <c r="Y4" i="10" a="1"/>
  <c r="Y4" i="10" s="1"/>
  <c r="AB4" i="10" a="1"/>
  <c r="AB4" i="10" s="1"/>
  <c r="V4" i="10" a="1"/>
  <c r="V4" i="10" s="1"/>
  <c r="W4" i="10" a="1"/>
  <c r="W4" i="10" s="1"/>
  <c r="Z4" i="10" a="1"/>
  <c r="Z4" i="10" s="1"/>
  <c r="X4" i="10" a="1"/>
  <c r="X4" i="10" s="1"/>
  <c r="AC19" i="10" a="1"/>
  <c r="AC19" i="10" s="1"/>
  <c r="U19" i="10" a="1"/>
  <c r="U19" i="10" s="1"/>
  <c r="V19" i="10" a="1"/>
  <c r="V19" i="10" s="1"/>
  <c r="AG19" i="10" a="1"/>
  <c r="AG19" i="10" s="1"/>
  <c r="W19" i="10" a="1"/>
  <c r="W19" i="10" s="1"/>
  <c r="AB19" i="10" a="1"/>
  <c r="AB19" i="10" s="1"/>
  <c r="X19" i="10" a="1"/>
  <c r="X19" i="10" s="1"/>
  <c r="Y19" i="10" a="1"/>
  <c r="Y19" i="10" s="1"/>
  <c r="AD19" i="10" a="1"/>
  <c r="AD19" i="10" s="1"/>
  <c r="Z19" i="10" a="1"/>
  <c r="Z19" i="10" s="1"/>
  <c r="AE19" i="10" a="1"/>
  <c r="AE19" i="10" s="1"/>
  <c r="AF19" i="10" a="1"/>
  <c r="AF19" i="10" s="1"/>
  <c r="AC3" i="10" a="1"/>
  <c r="AC3" i="10" s="1"/>
  <c r="U3" i="10" a="1"/>
  <c r="U3" i="10" s="1"/>
  <c r="V3" i="10" a="1"/>
  <c r="V3" i="10" s="1"/>
  <c r="W3" i="10" a="1"/>
  <c r="W3" i="10" s="1"/>
  <c r="AB3" i="10" a="1"/>
  <c r="AB3" i="10" s="1"/>
  <c r="X3" i="10" a="1"/>
  <c r="X3" i="10" s="1"/>
  <c r="Y3" i="10" a="1"/>
  <c r="Y3" i="10" s="1"/>
  <c r="AD3" i="10" a="1"/>
  <c r="AD3" i="10" s="1"/>
  <c r="Z3" i="10" a="1"/>
  <c r="Z3" i="10" s="1"/>
  <c r="AE3" i="10" a="1"/>
  <c r="AE3" i="10" s="1"/>
  <c r="AG3" i="10" a="1"/>
  <c r="AG3" i="10" s="1"/>
  <c r="AF3" i="10" a="1"/>
  <c r="AF3" i="10" s="1"/>
  <c r="AD8" i="10" a="1"/>
  <c r="AD8" i="10" s="1"/>
  <c r="AE8" i="10" a="1"/>
  <c r="AE8" i="10" s="1"/>
  <c r="Z8" i="10" a="1"/>
  <c r="Z8" i="10" s="1"/>
  <c r="AF8" i="10" a="1"/>
  <c r="AF8" i="10" s="1"/>
  <c r="AG8" i="10" a="1"/>
  <c r="AG8" i="10" s="1"/>
  <c r="AC8" i="10" a="1"/>
  <c r="AC8" i="10" s="1"/>
  <c r="AB8" i="10" a="1"/>
  <c r="AB8" i="10" s="1"/>
  <c r="Y8" i="10" a="1"/>
  <c r="Y8" i="10" s="1"/>
  <c r="U8" i="10" a="1"/>
  <c r="U8" i="10" s="1"/>
  <c r="V8" i="10" a="1"/>
  <c r="V8" i="10" s="1"/>
  <c r="W8" i="10" a="1"/>
  <c r="W8" i="10" s="1"/>
  <c r="X8" i="10" a="1"/>
  <c r="X8" i="10" s="1"/>
  <c r="V18" i="10" a="1"/>
  <c r="V18" i="10" s="1"/>
  <c r="W18" i="10" a="1"/>
  <c r="W18" i="10" s="1"/>
  <c r="U18" i="10" a="1"/>
  <c r="U18" i="10" s="1"/>
  <c r="X18" i="10" a="1"/>
  <c r="X18" i="10" s="1"/>
  <c r="Y18" i="10" a="1"/>
  <c r="Y18" i="10" s="1"/>
  <c r="AD18" i="10" a="1"/>
  <c r="AD18" i="10" s="1"/>
  <c r="AE18" i="10" a="1"/>
  <c r="AE18" i="10" s="1"/>
  <c r="AB18" i="10" a="1"/>
  <c r="AB18" i="10" s="1"/>
  <c r="AF18" i="10" a="1"/>
  <c r="AF18" i="10" s="1"/>
  <c r="AG18" i="10" a="1"/>
  <c r="AG18" i="10" s="1"/>
  <c r="Z18" i="10" a="1"/>
  <c r="Z18" i="10" s="1"/>
  <c r="AC18" i="10" a="1"/>
  <c r="AC18" i="10" s="1"/>
  <c r="V17" i="10" a="1"/>
  <c r="V17" i="10" s="1"/>
  <c r="W17" i="10" a="1"/>
  <c r="W17" i="10" s="1"/>
  <c r="X17" i="10" a="1"/>
  <c r="X17" i="10" s="1"/>
  <c r="Y17" i="10" a="1"/>
  <c r="Y17" i="10" s="1"/>
  <c r="AD17" i="10" a="1"/>
  <c r="AD17" i="10" s="1"/>
  <c r="U17" i="10" a="1"/>
  <c r="U17" i="10" s="1"/>
  <c r="AE17" i="10" a="1"/>
  <c r="AE17" i="10" s="1"/>
  <c r="AF17" i="10" a="1"/>
  <c r="AF17" i="10" s="1"/>
  <c r="AG17" i="10" a="1"/>
  <c r="AG17" i="10" s="1"/>
  <c r="AB17" i="10" a="1"/>
  <c r="AB17" i="10" s="1"/>
  <c r="Z17" i="10" a="1"/>
  <c r="Z17" i="10" s="1"/>
  <c r="AC17" i="10" a="1"/>
  <c r="AC17" i="10" s="1"/>
  <c r="AD16" i="10" a="1"/>
  <c r="AD16" i="10" s="1"/>
  <c r="AE16" i="10" a="1"/>
  <c r="AE16" i="10" s="1"/>
  <c r="AF16" i="10" a="1"/>
  <c r="AF16" i="10" s="1"/>
  <c r="AG16" i="10" a="1"/>
  <c r="AG16" i="10" s="1"/>
  <c r="U16" i="10" a="1"/>
  <c r="U16" i="10" s="1"/>
  <c r="Y16" i="10" a="1"/>
  <c r="Y16" i="10" s="1"/>
  <c r="AB16" i="10" a="1"/>
  <c r="AB16" i="10" s="1"/>
  <c r="Z16" i="10" a="1"/>
  <c r="Z16" i="10" s="1"/>
  <c r="V16" i="10" a="1"/>
  <c r="V16" i="10" s="1"/>
  <c r="AC16" i="10" a="1"/>
  <c r="AC16" i="10" s="1"/>
  <c r="W16" i="10" a="1"/>
  <c r="W16" i="10" s="1"/>
  <c r="X16" i="10" a="1"/>
  <c r="X16" i="10" s="1"/>
  <c r="AG15" i="10" a="1"/>
  <c r="AG15" i="10" s="1"/>
  <c r="U15" i="10" a="1"/>
  <c r="U15" i="10" s="1"/>
  <c r="AB15" i="10" a="1"/>
  <c r="AB15" i="10" s="1"/>
  <c r="V15" i="10" a="1"/>
  <c r="V15" i="10" s="1"/>
  <c r="Z15" i="10" a="1"/>
  <c r="Z15" i="10" s="1"/>
  <c r="W15" i="10" a="1"/>
  <c r="W15" i="10" s="1"/>
  <c r="X15" i="10" a="1"/>
  <c r="X15" i="10" s="1"/>
  <c r="Y15" i="10" a="1"/>
  <c r="Y15" i="10" s="1"/>
  <c r="AD15" i="10" a="1"/>
  <c r="AD15" i="10" s="1"/>
  <c r="AC15" i="10" a="1"/>
  <c r="AC15" i="10" s="1"/>
  <c r="AE15" i="10" a="1"/>
  <c r="AE15" i="10" s="1"/>
  <c r="AF15" i="10" a="1"/>
  <c r="AF15" i="10" s="1"/>
  <c r="U14" i="10" a="1"/>
  <c r="U14" i="10" s="1"/>
  <c r="V14" i="10" a="1"/>
  <c r="V14" i="10" s="1"/>
  <c r="AB14" i="10" a="1"/>
  <c r="AB14" i="10" s="1"/>
  <c r="W14" i="10" a="1"/>
  <c r="W14" i="10" s="1"/>
  <c r="X14" i="10" a="1"/>
  <c r="X14" i="10" s="1"/>
  <c r="Y14" i="10" a="1"/>
  <c r="Y14" i="10" s="1"/>
  <c r="Z14" i="10" a="1"/>
  <c r="Z14" i="10" s="1"/>
  <c r="AD14" i="10" a="1"/>
  <c r="AD14" i="10" s="1"/>
  <c r="AE14" i="10" a="1"/>
  <c r="AE14" i="10" s="1"/>
  <c r="AF14" i="10" a="1"/>
  <c r="AF14" i="10" s="1"/>
  <c r="AG14" i="10" a="1"/>
  <c r="AG14" i="10" s="1"/>
  <c r="AC14" i="10" a="1"/>
  <c r="AC14" i="10" s="1"/>
  <c r="V13" i="10" a="1"/>
  <c r="V13" i="10" s="1"/>
  <c r="U13" i="10" a="1"/>
  <c r="U13" i="10" s="1"/>
  <c r="W13" i="10" a="1"/>
  <c r="W13" i="10" s="1"/>
  <c r="X13" i="10" a="1"/>
  <c r="X13" i="10" s="1"/>
  <c r="Y13" i="10" a="1"/>
  <c r="Y13" i="10" s="1"/>
  <c r="AD13" i="10" a="1"/>
  <c r="AD13" i="10" s="1"/>
  <c r="AB13" i="10" a="1"/>
  <c r="AB13" i="10" s="1"/>
  <c r="AE13" i="10" a="1"/>
  <c r="AE13" i="10" s="1"/>
  <c r="AF13" i="10" a="1"/>
  <c r="AF13" i="10" s="1"/>
  <c r="Z13" i="10" a="1"/>
  <c r="Z13" i="10" s="1"/>
  <c r="AG13" i="10" a="1"/>
  <c r="AG13" i="10" s="1"/>
  <c r="AC13" i="10" a="1"/>
  <c r="AC13" i="10" s="1"/>
  <c r="AD24" i="10" a="1"/>
  <c r="AD24" i="10" s="1"/>
  <c r="AE24" i="10" a="1"/>
  <c r="AE24" i="10" s="1"/>
  <c r="Z24" i="10" a="1"/>
  <c r="Z24" i="10" s="1"/>
  <c r="AF24" i="10" a="1"/>
  <c r="AF24" i="10" s="1"/>
  <c r="AB24" i="10" a="1"/>
  <c r="AB24" i="10" s="1"/>
  <c r="AG24" i="10" a="1"/>
  <c r="AG24" i="10" s="1"/>
  <c r="AC24" i="10" a="1"/>
  <c r="AC24" i="10" s="1"/>
  <c r="Y24" i="10" a="1"/>
  <c r="Y24" i="10" s="1"/>
  <c r="U24" i="10" a="1"/>
  <c r="U24" i="10" s="1"/>
  <c r="V24" i="10" a="1"/>
  <c r="V24" i="10" s="1"/>
  <c r="W24" i="10" a="1"/>
  <c r="W24" i="10" s="1"/>
  <c r="X24" i="10" a="1"/>
  <c r="X24" i="10" s="1"/>
  <c r="AB2" i="10" a="1"/>
  <c r="AB2" i="10" s="1"/>
  <c r="V2" i="10" a="1"/>
  <c r="V2" i="10" s="1"/>
  <c r="W2" i="10" a="1"/>
  <c r="W2" i="10" s="1"/>
  <c r="Z2" i="10" a="1"/>
  <c r="Z2" i="10" s="1"/>
  <c r="X2" i="10" a="1"/>
  <c r="X2" i="10" s="1"/>
  <c r="Y2" i="10" a="1"/>
  <c r="Y2" i="10" s="1"/>
  <c r="AD2" i="10" a="1"/>
  <c r="AD2" i="10" s="1"/>
  <c r="AE2" i="10" a="1"/>
  <c r="AE2" i="10" s="1"/>
  <c r="AC2" i="10" a="1"/>
  <c r="AC2" i="10" s="1"/>
  <c r="AF2" i="10" a="1"/>
  <c r="AF2" i="10" s="1"/>
  <c r="AG2" i="10" a="1"/>
  <c r="AG2" i="10" s="1"/>
  <c r="U2" i="10" a="1"/>
  <c r="U2" i="10" s="1"/>
  <c r="AD12" i="10" a="1"/>
  <c r="AD12" i="10" s="1"/>
  <c r="AE12" i="10" a="1"/>
  <c r="AE12" i="10" s="1"/>
  <c r="AF12" i="10" a="1"/>
  <c r="AF12" i="10" s="1"/>
  <c r="AG12" i="10" a="1"/>
  <c r="AG12" i="10" s="1"/>
  <c r="AB12" i="10" a="1"/>
  <c r="AB12" i="10" s="1"/>
  <c r="Z12" i="10" a="1"/>
  <c r="Z12" i="10" s="1"/>
  <c r="U12" i="10" a="1"/>
  <c r="U12" i="10" s="1"/>
  <c r="AC12" i="10" a="1"/>
  <c r="AC12" i="10" s="1"/>
  <c r="V12" i="10" a="1"/>
  <c r="V12" i="10" s="1"/>
  <c r="Y12" i="10" a="1"/>
  <c r="Y12" i="10" s="1"/>
  <c r="W12" i="10" a="1"/>
  <c r="W12" i="10" s="1"/>
  <c r="X12" i="10" a="1"/>
  <c r="X12" i="10" s="1"/>
  <c r="AB27" i="10" a="1"/>
  <c r="AB27" i="10" s="1"/>
  <c r="AG27" i="10" a="1"/>
  <c r="AG27" i="10" s="1"/>
  <c r="Z27" i="10" a="1"/>
  <c r="Z27" i="10" s="1"/>
  <c r="AC27" i="10" a="1"/>
  <c r="AC27" i="10" s="1"/>
  <c r="V27" i="10" a="1"/>
  <c r="V27" i="10" s="1"/>
  <c r="W27" i="10" a="1"/>
  <c r="W27" i="10" s="1"/>
  <c r="X27" i="10" a="1"/>
  <c r="X27" i="10" s="1"/>
  <c r="Y27" i="10" a="1"/>
  <c r="Y27" i="10" s="1"/>
  <c r="AD27" i="10" a="1"/>
  <c r="AD27" i="10" s="1"/>
  <c r="AE27" i="10" a="1"/>
  <c r="AE27" i="10" s="1"/>
  <c r="AF27" i="10" a="1"/>
  <c r="AF27" i="10" s="1"/>
  <c r="U27" i="10" a="1"/>
  <c r="U27" i="10" s="1"/>
  <c r="AG11" i="10" a="1"/>
  <c r="AG11" i="10" s="1"/>
  <c r="AB11" i="10" a="1"/>
  <c r="AB11" i="10" s="1"/>
  <c r="Z11" i="10" a="1"/>
  <c r="Z11" i="10" s="1"/>
  <c r="AC11" i="10" a="1"/>
  <c r="AC11" i="10" s="1"/>
  <c r="V11" i="10" a="1"/>
  <c r="V11" i="10" s="1"/>
  <c r="W11" i="10" a="1"/>
  <c r="W11" i="10" s="1"/>
  <c r="X11" i="10" a="1"/>
  <c r="X11" i="10" s="1"/>
  <c r="Y11" i="10" a="1"/>
  <c r="Y11" i="10" s="1"/>
  <c r="AD11" i="10" a="1"/>
  <c r="AD11" i="10" s="1"/>
  <c r="AE11" i="10" a="1"/>
  <c r="AE11" i="10" s="1"/>
  <c r="AF11" i="10" a="1"/>
  <c r="AF11" i="10" s="1"/>
  <c r="U11" i="10" a="1"/>
  <c r="U11" i="10" s="1"/>
  <c r="AB26" i="10" a="1"/>
  <c r="AB26" i="10" s="1"/>
  <c r="Z26" i="10" a="1"/>
  <c r="Z26" i="10" s="1"/>
  <c r="V26" i="10" a="1"/>
  <c r="V26" i="10" s="1"/>
  <c r="W26" i="10" a="1"/>
  <c r="W26" i="10" s="1"/>
  <c r="X26" i="10" a="1"/>
  <c r="X26" i="10" s="1"/>
  <c r="AC26" i="10" a="1"/>
  <c r="AC26" i="10" s="1"/>
  <c r="Y26" i="10" a="1"/>
  <c r="Y26" i="10" s="1"/>
  <c r="AD26" i="10" a="1"/>
  <c r="AD26" i="10" s="1"/>
  <c r="AE26" i="10" a="1"/>
  <c r="AE26" i="10" s="1"/>
  <c r="AF26" i="10" a="1"/>
  <c r="AF26" i="10" s="1"/>
  <c r="AG26" i="10" a="1"/>
  <c r="AG26" i="10" s="1"/>
  <c r="U26" i="10" a="1"/>
  <c r="U26" i="10" s="1"/>
  <c r="AB10" i="10" a="1"/>
  <c r="AB10" i="10" s="1"/>
  <c r="Z10" i="10" a="1"/>
  <c r="Z10" i="10" s="1"/>
  <c r="V10" i="10" a="1"/>
  <c r="V10" i="10" s="1"/>
  <c r="W10" i="10" a="1"/>
  <c r="W10" i="10" s="1"/>
  <c r="X10" i="10" a="1"/>
  <c r="X10" i="10" s="1"/>
  <c r="AC10" i="10" a="1"/>
  <c r="AC10" i="10" s="1"/>
  <c r="Y10" i="10" a="1"/>
  <c r="Y10" i="10" s="1"/>
  <c r="AD10" i="10" a="1"/>
  <c r="AD10" i="10" s="1"/>
  <c r="AE10" i="10" a="1"/>
  <c r="AE10" i="10" s="1"/>
  <c r="AF10" i="10" a="1"/>
  <c r="AF10" i="10" s="1"/>
  <c r="AG10" i="10" a="1"/>
  <c r="AG10" i="10" s="1"/>
  <c r="U10" i="10" a="1"/>
  <c r="U10" i="10" s="1"/>
  <c r="AB25" i="10" a="1"/>
  <c r="AB25" i="10" s="1"/>
  <c r="V25" i="10" a="1"/>
  <c r="V25" i="10" s="1"/>
  <c r="W25" i="10" a="1"/>
  <c r="W25" i="10" s="1"/>
  <c r="X25" i="10" a="1"/>
  <c r="X25" i="10" s="1"/>
  <c r="Z25" i="10" a="1"/>
  <c r="Z25" i="10" s="1"/>
  <c r="Y25" i="10" a="1"/>
  <c r="Y25" i="10" s="1"/>
  <c r="AD25" i="10" a="1"/>
  <c r="AD25" i="10" s="1"/>
  <c r="AE25" i="10" a="1"/>
  <c r="AE25" i="10" s="1"/>
  <c r="AF25" i="10" a="1"/>
  <c r="AF25" i="10" s="1"/>
  <c r="AC25" i="10" a="1"/>
  <c r="AC25" i="10" s="1"/>
  <c r="AG25" i="10" a="1"/>
  <c r="AG25" i="10" s="1"/>
  <c r="U25" i="10" a="1"/>
  <c r="U25" i="10" s="1"/>
  <c r="AB9" i="10" a="1"/>
  <c r="AB9" i="10" s="1"/>
  <c r="V9" i="10" a="1"/>
  <c r="V9" i="10" s="1"/>
  <c r="W9" i="10" a="1"/>
  <c r="W9" i="10" s="1"/>
  <c r="X9" i="10" a="1"/>
  <c r="X9" i="10" s="1"/>
  <c r="Z9" i="10" a="1"/>
  <c r="Z9" i="10" s="1"/>
  <c r="Y9" i="10" a="1"/>
  <c r="Y9" i="10" s="1"/>
  <c r="AD9" i="10" a="1"/>
  <c r="AD9" i="10" s="1"/>
  <c r="AE9" i="10" a="1"/>
  <c r="AE9" i="10" s="1"/>
  <c r="AF9" i="10" a="1"/>
  <c r="AF9" i="10" s="1"/>
  <c r="AC9" i="10" a="1"/>
  <c r="AC9" i="10" s="1"/>
  <c r="AG9" i="10" a="1"/>
  <c r="AG9" i="10" s="1"/>
  <c r="U9" i="10" a="1"/>
  <c r="U9" i="10" s="1"/>
  <c r="EP180" i="33"/>
  <c r="ES151" i="33"/>
  <c r="EO151" i="33"/>
  <c r="EQ151" i="33"/>
  <c r="EP185" i="33"/>
  <c r="EP181" i="33"/>
  <c r="EP179" i="33"/>
  <c r="EP151" i="33"/>
  <c r="EN151" i="33"/>
  <c r="EM151" i="33"/>
  <c r="ES180" i="33"/>
  <c r="CG155" i="33"/>
  <c r="DG148" i="33"/>
  <c r="DJ206" i="33"/>
  <c r="DJ151" i="33"/>
  <c r="DK151" i="33"/>
  <c r="EQ179" i="33"/>
  <c r="CF180" i="33"/>
  <c r="EN205" i="33"/>
  <c r="CD179" i="33"/>
  <c r="ER180" i="33"/>
  <c r="EQ206" i="33"/>
  <c r="EQ198" i="33"/>
  <c r="EQ184" i="33"/>
  <c r="EQ182" i="33"/>
  <c r="EQ180" i="33"/>
  <c r="DL182" i="33"/>
  <c r="DL184" i="33"/>
  <c r="DL198" i="33"/>
  <c r="DL206" i="33"/>
  <c r="EP184" i="33"/>
  <c r="EP182" i="33"/>
  <c r="DM206" i="33"/>
  <c r="EM204" i="33"/>
  <c r="EM202" i="33"/>
  <c r="EM200" i="33"/>
  <c r="EM196" i="33"/>
  <c r="EM194" i="33"/>
  <c r="EM190" i="33"/>
  <c r="EM188" i="33"/>
  <c r="EM186" i="33"/>
  <c r="EM178" i="33"/>
  <c r="EM176" i="33"/>
  <c r="EM172" i="33"/>
  <c r="EM166" i="33"/>
  <c r="EM164" i="33"/>
  <c r="EM162" i="33"/>
  <c r="EM160" i="33"/>
  <c r="EM158" i="33"/>
  <c r="EM156" i="33"/>
  <c r="EM154" i="33"/>
  <c r="EM152" i="33"/>
  <c r="EM150" i="33"/>
  <c r="EM148" i="33"/>
  <c r="EM146" i="33"/>
  <c r="EM144" i="33"/>
  <c r="EM142" i="33"/>
  <c r="EM140" i="33"/>
  <c r="ER182" i="33"/>
  <c r="ES179" i="33"/>
  <c r="ES155" i="33"/>
  <c r="DJ161" i="33"/>
  <c r="DJ181" i="33"/>
  <c r="DJ185" i="33"/>
  <c r="ER206" i="33"/>
  <c r="ER179" i="33"/>
  <c r="ER184" i="33"/>
  <c r="ER198" i="33"/>
  <c r="DF140" i="33"/>
  <c r="DF142" i="33"/>
  <c r="DF144" i="33"/>
  <c r="DF146" i="33"/>
  <c r="DF148" i="33"/>
  <c r="DF150" i="33"/>
  <c r="DF152" i="33"/>
  <c r="DF154" i="33"/>
  <c r="DF156" i="33"/>
  <c r="DF158" i="33"/>
  <c r="DF160" i="33"/>
  <c r="DF162" i="33"/>
  <c r="DF164" i="33"/>
  <c r="DF166" i="33"/>
  <c r="DF172" i="33"/>
  <c r="DF176" i="33"/>
  <c r="DF178" i="33"/>
  <c r="DF186" i="33"/>
  <c r="DF188" i="33"/>
  <c r="DF190" i="33"/>
  <c r="DF194" i="33"/>
  <c r="DF196" i="33"/>
  <c r="DF200" i="33"/>
  <c r="EN201" i="33"/>
  <c r="EN197" i="33"/>
  <c r="EN193" i="33"/>
  <c r="EN189" i="33"/>
  <c r="EN177" i="33"/>
  <c r="EN173" i="33"/>
  <c r="EN165" i="33"/>
  <c r="EN157" i="33"/>
  <c r="EN153" i="33"/>
  <c r="EN149" i="33"/>
  <c r="EN145" i="33"/>
  <c r="EN141" i="33"/>
  <c r="DG144" i="33"/>
  <c r="DK206" i="33"/>
  <c r="EP194" i="33"/>
  <c r="EP178" i="33"/>
  <c r="CD139" i="33"/>
  <c r="CD189" i="33"/>
  <c r="CE181" i="33"/>
  <c r="EL204" i="33"/>
  <c r="EL202" i="33"/>
  <c r="EL200" i="33"/>
  <c r="EL196" i="33"/>
  <c r="EL194" i="33"/>
  <c r="EL190" i="33"/>
  <c r="EL188" i="33"/>
  <c r="EL186" i="33"/>
  <c r="EL178" i="33"/>
  <c r="EL176" i="33"/>
  <c r="EL172" i="33"/>
  <c r="EL166" i="33"/>
  <c r="EL164" i="33"/>
  <c r="EL162" i="33"/>
  <c r="EL160" i="33"/>
  <c r="EL158" i="33"/>
  <c r="EL156" i="33"/>
  <c r="EL154" i="33"/>
  <c r="EL152" i="33"/>
  <c r="EL150" i="33"/>
  <c r="EL148" i="33"/>
  <c r="EL146" i="33"/>
  <c r="EL144" i="33"/>
  <c r="EL142" i="33"/>
  <c r="EL140" i="33"/>
  <c r="ES203" i="33"/>
  <c r="ES199" i="33"/>
  <c r="ES183" i="33"/>
  <c r="ES181" i="33"/>
  <c r="ES167" i="33"/>
  <c r="ES163" i="33"/>
  <c r="ES159" i="33"/>
  <c r="ES147" i="33"/>
  <c r="ES143" i="33"/>
  <c r="DI139" i="33"/>
  <c r="DI141" i="33"/>
  <c r="DI143" i="33"/>
  <c r="DI145" i="33"/>
  <c r="DI147" i="33"/>
  <c r="DI149" i="33"/>
  <c r="DI153" i="33"/>
  <c r="DI157" i="33"/>
  <c r="DI163" i="33"/>
  <c r="DI165" i="33"/>
  <c r="DI167" i="33"/>
  <c r="DI177" i="33"/>
  <c r="DI183" i="33"/>
  <c r="DI189" i="33"/>
  <c r="DI193" i="33"/>
  <c r="DI195" i="33"/>
  <c r="DI197" i="33"/>
  <c r="DI199" i="33"/>
  <c r="DI201" i="33"/>
  <c r="DI203" i="33"/>
  <c r="DI205" i="33"/>
  <c r="CB139" i="33"/>
  <c r="ES139" i="33"/>
  <c r="ER203" i="33"/>
  <c r="ER199" i="33"/>
  <c r="ER183" i="33"/>
  <c r="ER181" i="33"/>
  <c r="ER167" i="33"/>
  <c r="ER163" i="33"/>
  <c r="ER159" i="33"/>
  <c r="ER155" i="33"/>
  <c r="ER151" i="33"/>
  <c r="ER147" i="33"/>
  <c r="ER143" i="33"/>
  <c r="DJ155" i="33"/>
  <c r="ER139" i="33"/>
  <c r="ES205" i="33"/>
  <c r="EQ203" i="33"/>
  <c r="ES201" i="33"/>
  <c r="EO199" i="33"/>
  <c r="ES197" i="33"/>
  <c r="EQ195" i="33"/>
  <c r="ES193" i="33"/>
  <c r="ES189" i="33"/>
  <c r="ES185" i="33"/>
  <c r="EO183" i="33"/>
  <c r="EQ181" i="33"/>
  <c r="ES177" i="33"/>
  <c r="ES173" i="33"/>
  <c r="EQ167" i="33"/>
  <c r="ES165" i="33"/>
  <c r="EO163" i="33"/>
  <c r="ES161" i="33"/>
  <c r="EQ159" i="33"/>
  <c r="ES157" i="33"/>
  <c r="EQ155" i="33"/>
  <c r="ES153" i="33"/>
  <c r="EQ149" i="33"/>
  <c r="EO147" i="33"/>
  <c r="ES145" i="33"/>
  <c r="EQ143" i="33"/>
  <c r="ES141" i="33"/>
  <c r="EQ139" i="33"/>
  <c r="ER205" i="33"/>
  <c r="EP203" i="33"/>
  <c r="ER201" i="33"/>
  <c r="EP199" i="33"/>
  <c r="ER197" i="33"/>
  <c r="ER193" i="33"/>
  <c r="EP189" i="33"/>
  <c r="EP183" i="33"/>
  <c r="ER177" i="33"/>
  <c r="EP173" i="33"/>
  <c r="EP167" i="33"/>
  <c r="ER165" i="33"/>
  <c r="EP163" i="33"/>
  <c r="ER161" i="33"/>
  <c r="EP159" i="33"/>
  <c r="ER157" i="33"/>
  <c r="EP155" i="33"/>
  <c r="ER153" i="33"/>
  <c r="ER149" i="33"/>
  <c r="EP147" i="33"/>
  <c r="ER145" i="33"/>
  <c r="EP143" i="33"/>
  <c r="ER141" i="33"/>
  <c r="CF206" i="33"/>
  <c r="CC195" i="33"/>
  <c r="CG180" i="33"/>
  <c r="EP139" i="33"/>
  <c r="EO205" i="33"/>
  <c r="EO201" i="33"/>
  <c r="EO197" i="33"/>
  <c r="EO193" i="33"/>
  <c r="EO189" i="33"/>
  <c r="EO177" i="33"/>
  <c r="EO173" i="33"/>
  <c r="EO165" i="33"/>
  <c r="EO157" i="33"/>
  <c r="EO153" i="33"/>
  <c r="EO149" i="33"/>
  <c r="EO145" i="33"/>
  <c r="EO141" i="33"/>
  <c r="DF202" i="33"/>
  <c r="DF204" i="33"/>
  <c r="CE180" i="33"/>
  <c r="EN139" i="33"/>
  <c r="EM205" i="33"/>
  <c r="EM203" i="33"/>
  <c r="EM201" i="33"/>
  <c r="EM199" i="33"/>
  <c r="EM197" i="33"/>
  <c r="EM193" i="33"/>
  <c r="EM189" i="33"/>
  <c r="EM183" i="33"/>
  <c r="EM177" i="33"/>
  <c r="EM173" i="33"/>
  <c r="EM167" i="33"/>
  <c r="EM165" i="33"/>
  <c r="EM163" i="33"/>
  <c r="EM159" i="33"/>
  <c r="EM157" i="33"/>
  <c r="EM153" i="33"/>
  <c r="EM149" i="33"/>
  <c r="EM147" i="33"/>
  <c r="EM145" i="33"/>
  <c r="EM143" i="33"/>
  <c r="EM141" i="33"/>
  <c r="CD180" i="33"/>
  <c r="EM139" i="33"/>
  <c r="EL205" i="33"/>
  <c r="EL203" i="33"/>
  <c r="EL201" i="33"/>
  <c r="EL199" i="33"/>
  <c r="EL197" i="33"/>
  <c r="EL193" i="33"/>
  <c r="EL189" i="33"/>
  <c r="EL183" i="33"/>
  <c r="EL177" i="33"/>
  <c r="EL173" i="33"/>
  <c r="EL167" i="33"/>
  <c r="EL165" i="33"/>
  <c r="EL163" i="33"/>
  <c r="EL159" i="33"/>
  <c r="EL157" i="33"/>
  <c r="EL153" i="33"/>
  <c r="EL149" i="33"/>
  <c r="EL147" i="33"/>
  <c r="EL145" i="33"/>
  <c r="EL143" i="33"/>
  <c r="EL141" i="33"/>
  <c r="DH156" i="33"/>
  <c r="DH164" i="33"/>
  <c r="DH172" i="33"/>
  <c r="DH176" i="33"/>
  <c r="ES206" i="33"/>
  <c r="ES204" i="33"/>
  <c r="ES202" i="33"/>
  <c r="ES200" i="33"/>
  <c r="ES198" i="33"/>
  <c r="ES196" i="33"/>
  <c r="ES194" i="33"/>
  <c r="ES190" i="33"/>
  <c r="ES188" i="33"/>
  <c r="ES186" i="33"/>
  <c r="ES184" i="33"/>
  <c r="ES182" i="33"/>
  <c r="ES178" i="33"/>
  <c r="ES176" i="33"/>
  <c r="ES172" i="33"/>
  <c r="ES166" i="33"/>
  <c r="ES164" i="33"/>
  <c r="ES162" i="33"/>
  <c r="ES160" i="33"/>
  <c r="ES158" i="33"/>
  <c r="ES156" i="33"/>
  <c r="ES154" i="33"/>
  <c r="ES152" i="33"/>
  <c r="ES150" i="33"/>
  <c r="ES148" i="33"/>
  <c r="ES146" i="33"/>
  <c r="ES144" i="33"/>
  <c r="ES142" i="33"/>
  <c r="ES140" i="33"/>
  <c r="CG196" i="33"/>
  <c r="ER204" i="33"/>
  <c r="ER202" i="33"/>
  <c r="ER200" i="33"/>
  <c r="ER196" i="33"/>
  <c r="ER194" i="33"/>
  <c r="ER190" i="33"/>
  <c r="ER188" i="33"/>
  <c r="ER186" i="33"/>
  <c r="ER178" i="33"/>
  <c r="ER176" i="33"/>
  <c r="ER172" i="33"/>
  <c r="ER166" i="33"/>
  <c r="ER164" i="33"/>
  <c r="ER162" i="33"/>
  <c r="ER160" i="33"/>
  <c r="ER158" i="33"/>
  <c r="ER156" i="33"/>
  <c r="ER154" i="33"/>
  <c r="ER152" i="33"/>
  <c r="ER150" i="33"/>
  <c r="ER148" i="33"/>
  <c r="ER146" i="33"/>
  <c r="ER144" i="33"/>
  <c r="ER142" i="33"/>
  <c r="ER140" i="33"/>
  <c r="EQ204" i="33"/>
  <c r="EQ202" i="33"/>
  <c r="EQ200" i="33"/>
  <c r="EQ196" i="33"/>
  <c r="EQ194" i="33"/>
  <c r="EQ190" i="33"/>
  <c r="EQ188" i="33"/>
  <c r="EQ186" i="33"/>
  <c r="EQ178" i="33"/>
  <c r="EQ176" i="33"/>
  <c r="EQ172" i="33"/>
  <c r="EQ166" i="33"/>
  <c r="EQ164" i="33"/>
  <c r="EQ162" i="33"/>
  <c r="EQ160" i="33"/>
  <c r="EQ158" i="33"/>
  <c r="EQ156" i="33"/>
  <c r="EQ154" i="33"/>
  <c r="EQ152" i="33"/>
  <c r="EQ150" i="33"/>
  <c r="EQ148" i="33"/>
  <c r="EQ146" i="33"/>
  <c r="EQ144" i="33"/>
  <c r="EQ142" i="33"/>
  <c r="EQ140" i="33"/>
  <c r="CG179" i="33"/>
  <c r="EP206" i="33"/>
  <c r="EP204" i="33"/>
  <c r="EP202" i="33"/>
  <c r="EP200" i="33"/>
  <c r="EP198" i="33"/>
  <c r="EP196" i="33"/>
  <c r="EP190" i="33"/>
  <c r="EP188" i="33"/>
  <c r="EP186" i="33"/>
  <c r="EP176" i="33"/>
  <c r="EP172" i="33"/>
  <c r="EP166" i="33"/>
  <c r="EP164" i="33"/>
  <c r="EP162" i="33"/>
  <c r="EP160" i="33"/>
  <c r="EP158" i="33"/>
  <c r="EP156" i="33"/>
  <c r="EP154" i="33"/>
  <c r="EP152" i="33"/>
  <c r="EP150" i="33"/>
  <c r="EP148" i="33"/>
  <c r="EP146" i="33"/>
  <c r="EP144" i="33"/>
  <c r="EP142" i="33"/>
  <c r="EP140" i="33"/>
  <c r="CF179" i="33"/>
  <c r="EO204" i="33"/>
  <c r="EO202" i="33"/>
  <c r="EO200" i="33"/>
  <c r="EO196" i="33"/>
  <c r="EO194" i="33"/>
  <c r="EO190" i="33"/>
  <c r="EO188" i="33"/>
  <c r="EO186" i="33"/>
  <c r="EO178" i="33"/>
  <c r="EO176" i="33"/>
  <c r="EO172" i="33"/>
  <c r="EO166" i="33"/>
  <c r="EO164" i="33"/>
  <c r="EO162" i="33"/>
  <c r="EO160" i="33"/>
  <c r="EO158" i="33"/>
  <c r="EO156" i="33"/>
  <c r="EO154" i="33"/>
  <c r="EO152" i="33"/>
  <c r="EO150" i="33"/>
  <c r="EO148" i="33"/>
  <c r="EO146" i="33"/>
  <c r="EO144" i="33"/>
  <c r="EO142" i="33"/>
  <c r="EO140" i="33"/>
  <c r="CE179" i="33"/>
  <c r="EN204" i="33"/>
  <c r="EN202" i="33"/>
  <c r="EN200" i="33"/>
  <c r="EN196" i="33"/>
  <c r="EN194" i="33"/>
  <c r="EN190" i="33"/>
  <c r="EN188" i="33"/>
  <c r="EN186" i="33"/>
  <c r="EN178" i="33"/>
  <c r="EN176" i="33"/>
  <c r="EN172" i="33"/>
  <c r="EN166" i="33"/>
  <c r="EN164" i="33"/>
  <c r="EN162" i="33"/>
  <c r="EN160" i="33"/>
  <c r="EN158" i="33"/>
  <c r="EN156" i="33"/>
  <c r="EN154" i="33"/>
  <c r="EN152" i="33"/>
  <c r="EN150" i="33"/>
  <c r="EN148" i="33"/>
  <c r="EN146" i="33"/>
  <c r="EN144" i="33"/>
  <c r="EN142" i="33"/>
  <c r="EN140" i="33"/>
  <c r="AD176" i="2"/>
  <c r="AE176" i="2"/>
  <c r="AF176" i="2"/>
  <c r="AG176" i="2"/>
  <c r="AD206" i="2"/>
  <c r="AE206" i="2"/>
  <c r="AF206" i="2"/>
  <c r="AG206" i="2"/>
  <c r="AD205" i="2"/>
  <c r="AE205" i="2"/>
  <c r="AF205" i="2"/>
  <c r="AD227" i="2"/>
  <c r="AE227" i="2"/>
  <c r="AF227" i="2"/>
  <c r="AG227" i="2"/>
  <c r="AD219" i="2"/>
  <c r="AE219" i="2"/>
  <c r="AF219" i="2"/>
  <c r="AG219" i="2"/>
  <c r="AD203" i="2"/>
  <c r="AE203" i="2"/>
  <c r="AF203" i="2"/>
  <c r="AG203" i="2"/>
  <c r="AD202" i="2"/>
  <c r="AE202" i="2"/>
  <c r="AF202" i="2"/>
  <c r="AG202" i="2"/>
  <c r="AD182" i="2"/>
  <c r="AE182" i="2"/>
  <c r="AF182" i="2"/>
  <c r="AG182" i="2"/>
  <c r="AD213" i="2"/>
  <c r="AE213" i="2"/>
  <c r="AF213" i="2"/>
  <c r="AG213" i="2"/>
  <c r="AG205" i="2"/>
  <c r="EM195" i="33"/>
  <c r="EL195" i="33"/>
  <c r="ES195" i="33"/>
  <c r="ER195" i="33"/>
  <c r="EP195" i="33"/>
  <c r="DI173" i="33"/>
  <c r="DI159" i="33"/>
  <c r="ES149" i="33"/>
  <c r="DJ153" i="33"/>
  <c r="DJ177" i="33"/>
  <c r="DJ193" i="33"/>
  <c r="EN159" i="33"/>
  <c r="EN147" i="33"/>
  <c r="EN199" i="33"/>
  <c r="EN183" i="33"/>
  <c r="ER189" i="33"/>
  <c r="DK139" i="33"/>
  <c r="DK141" i="33"/>
  <c r="DK143" i="33"/>
  <c r="DK145" i="33"/>
  <c r="DK147" i="33"/>
  <c r="DK149" i="33"/>
  <c r="DK153" i="33"/>
  <c r="DK155" i="33"/>
  <c r="DK157" i="33"/>
  <c r="DK159" i="33"/>
  <c r="DK161" i="33"/>
  <c r="DK163" i="33"/>
  <c r="DK165" i="33"/>
  <c r="DK167" i="33"/>
  <c r="DK173" i="33"/>
  <c r="DK177" i="33"/>
  <c r="DK179" i="33"/>
  <c r="DK181" i="33"/>
  <c r="DK183" i="33"/>
  <c r="DK185" i="33"/>
  <c r="DK189" i="33"/>
  <c r="DK193" i="33"/>
  <c r="DK195" i="33"/>
  <c r="DK197" i="33"/>
  <c r="DK199" i="33"/>
  <c r="DK201" i="33"/>
  <c r="DK203" i="33"/>
  <c r="DK205" i="33"/>
  <c r="DG140" i="33"/>
  <c r="DH160" i="33"/>
  <c r="EQ177" i="33"/>
  <c r="EQ173" i="33"/>
  <c r="EQ165" i="33"/>
  <c r="EQ161" i="33"/>
  <c r="EQ157" i="33"/>
  <c r="EQ153" i="33"/>
  <c r="EQ145" i="33"/>
  <c r="EQ141" i="33"/>
  <c r="EQ205" i="33"/>
  <c r="EQ201" i="33"/>
  <c r="EQ197" i="33"/>
  <c r="EQ193" i="33"/>
  <c r="EQ189" i="33"/>
  <c r="EQ185" i="33"/>
  <c r="EN163" i="33"/>
  <c r="EN143" i="33"/>
  <c r="EN195" i="33"/>
  <c r="ER173" i="33"/>
  <c r="ER185" i="33"/>
  <c r="CE150" i="33"/>
  <c r="DL139" i="33"/>
  <c r="DM141" i="33"/>
  <c r="DL143" i="33"/>
  <c r="DM145" i="33"/>
  <c r="DL147" i="33"/>
  <c r="DM149" i="33"/>
  <c r="DL151" i="33"/>
  <c r="DM153" i="33"/>
  <c r="DL155" i="33"/>
  <c r="DM157" i="33"/>
  <c r="DL159" i="33"/>
  <c r="DM161" i="33"/>
  <c r="DL163" i="33"/>
  <c r="DM165" i="33"/>
  <c r="DL167" i="33"/>
  <c r="DM173" i="33"/>
  <c r="DM177" i="33"/>
  <c r="DL179" i="33"/>
  <c r="DL181" i="33"/>
  <c r="DL183" i="33"/>
  <c r="DL185" i="33"/>
  <c r="DM189" i="33"/>
  <c r="DM193" i="33"/>
  <c r="DH195" i="33"/>
  <c r="DM197" i="33"/>
  <c r="DH199" i="33"/>
  <c r="DM201" i="33"/>
  <c r="DL203" i="33"/>
  <c r="DM205" i="33"/>
  <c r="EP177" i="33"/>
  <c r="EP165" i="33"/>
  <c r="EP161" i="33"/>
  <c r="EP157" i="33"/>
  <c r="EP153" i="33"/>
  <c r="EP149" i="33"/>
  <c r="EP145" i="33"/>
  <c r="EP141" i="33"/>
  <c r="EP205" i="33"/>
  <c r="EP201" i="33"/>
  <c r="EP197" i="33"/>
  <c r="EP193" i="33"/>
  <c r="EO167" i="33"/>
  <c r="DJ147" i="33"/>
  <c r="DJ173" i="33"/>
  <c r="DJ195" i="33"/>
  <c r="EO139" i="33"/>
  <c r="EN167" i="33"/>
  <c r="EN203" i="33"/>
  <c r="CE182" i="33"/>
  <c r="DM139" i="33"/>
  <c r="DM143" i="33"/>
  <c r="DM147" i="33"/>
  <c r="DM151" i="33"/>
  <c r="DM155" i="33"/>
  <c r="DM159" i="33"/>
  <c r="DM163" i="33"/>
  <c r="DM167" i="33"/>
  <c r="DM179" i="33"/>
  <c r="DM181" i="33"/>
  <c r="DM183" i="33"/>
  <c r="DM195" i="33"/>
  <c r="DM199" i="33"/>
  <c r="DM203" i="33"/>
  <c r="EO143" i="33"/>
  <c r="DJ163" i="33"/>
  <c r="DJ201" i="33"/>
  <c r="EO203" i="33"/>
  <c r="DJ141" i="33"/>
  <c r="DJ157" i="33"/>
  <c r="DJ197" i="33"/>
  <c r="CG164" i="33"/>
  <c r="DG142" i="33"/>
  <c r="DG146" i="33"/>
  <c r="DG150" i="33"/>
  <c r="DG152" i="33"/>
  <c r="DG154" i="33"/>
  <c r="DG156" i="33"/>
  <c r="DG158" i="33"/>
  <c r="DG160" i="33"/>
  <c r="DG162" i="33"/>
  <c r="DG164" i="33"/>
  <c r="DG166" i="33"/>
  <c r="DG172" i="33"/>
  <c r="DG176" i="33"/>
  <c r="DG178" i="33"/>
  <c r="DG186" i="33"/>
  <c r="DG188" i="33"/>
  <c r="DG190" i="33"/>
  <c r="DG194" i="33"/>
  <c r="DG196" i="33"/>
  <c r="DG200" i="33"/>
  <c r="DG202" i="33"/>
  <c r="DG204" i="33"/>
  <c r="DJ159" i="33"/>
  <c r="DH140" i="33"/>
  <c r="DH142" i="33"/>
  <c r="DH144" i="33"/>
  <c r="DH146" i="33"/>
  <c r="DH148" i="33"/>
  <c r="DH150" i="33"/>
  <c r="DH152" i="33"/>
  <c r="DH154" i="33"/>
  <c r="DH158" i="33"/>
  <c r="DH162" i="33"/>
  <c r="DH166" i="33"/>
  <c r="DH178" i="33"/>
  <c r="DH186" i="33"/>
  <c r="DH188" i="33"/>
  <c r="DH190" i="33"/>
  <c r="DH194" i="33"/>
  <c r="DH196" i="33"/>
  <c r="DH200" i="33"/>
  <c r="DH202" i="33"/>
  <c r="DH204" i="33"/>
  <c r="EO159" i="33"/>
  <c r="DJ139" i="33"/>
  <c r="DJ183" i="33"/>
  <c r="DI140" i="33"/>
  <c r="DI142" i="33"/>
  <c r="DI144" i="33"/>
  <c r="DI146" i="33"/>
  <c r="DI148" i="33"/>
  <c r="DI150" i="33"/>
  <c r="DI152" i="33"/>
  <c r="DI154" i="33"/>
  <c r="DI156" i="33"/>
  <c r="DI158" i="33"/>
  <c r="DI160" i="33"/>
  <c r="DI162" i="33"/>
  <c r="DI164" i="33"/>
  <c r="DI166" i="33"/>
  <c r="DI172" i="33"/>
  <c r="DI176" i="33"/>
  <c r="DI178" i="33"/>
  <c r="DI186" i="33"/>
  <c r="DI188" i="33"/>
  <c r="DI190" i="33"/>
  <c r="DI194" i="33"/>
  <c r="DI196" i="33"/>
  <c r="DI200" i="33"/>
  <c r="DI202" i="33"/>
  <c r="DI204" i="33"/>
  <c r="EL139" i="33"/>
  <c r="EO195" i="33"/>
  <c r="DJ167" i="33"/>
  <c r="DJ205" i="33"/>
  <c r="CF139" i="33"/>
  <c r="DJ140" i="33"/>
  <c r="DJ142" i="33"/>
  <c r="DJ144" i="33"/>
  <c r="DJ146" i="33"/>
  <c r="DJ148" i="33"/>
  <c r="DJ150" i="33"/>
  <c r="DJ152" i="33"/>
  <c r="DJ154" i="33"/>
  <c r="DJ156" i="33"/>
  <c r="DJ158" i="33"/>
  <c r="DJ160" i="33"/>
  <c r="DJ162" i="33"/>
  <c r="DJ164" i="33"/>
  <c r="DJ166" i="33"/>
  <c r="DJ172" i="33"/>
  <c r="DJ176" i="33"/>
  <c r="DJ178" i="33"/>
  <c r="DJ182" i="33"/>
  <c r="DJ184" i="33"/>
  <c r="DJ186" i="33"/>
  <c r="DJ188" i="33"/>
  <c r="DJ190" i="33"/>
  <c r="DJ194" i="33"/>
  <c r="DJ196" i="33"/>
  <c r="DJ198" i="33"/>
  <c r="DJ200" i="33"/>
  <c r="DJ202" i="33"/>
  <c r="DJ204" i="33"/>
  <c r="DJ199" i="33"/>
  <c r="CG152" i="33"/>
  <c r="CC147" i="33"/>
  <c r="DK140" i="33"/>
  <c r="DK142" i="33"/>
  <c r="DK144" i="33"/>
  <c r="DK146" i="33"/>
  <c r="DK148" i="33"/>
  <c r="DK150" i="33"/>
  <c r="DK152" i="33"/>
  <c r="DK154" i="33"/>
  <c r="DK156" i="33"/>
  <c r="DK158" i="33"/>
  <c r="DK160" i="33"/>
  <c r="DK162" i="33"/>
  <c r="DK164" i="33"/>
  <c r="DK166" i="33"/>
  <c r="DK172" i="33"/>
  <c r="DK176" i="33"/>
  <c r="DK178" i="33"/>
  <c r="DK180" i="33"/>
  <c r="DK182" i="33"/>
  <c r="DK184" i="33"/>
  <c r="DK186" i="33"/>
  <c r="DK188" i="33"/>
  <c r="DK190" i="33"/>
  <c r="DK194" i="33"/>
  <c r="DK196" i="33"/>
  <c r="DK198" i="33"/>
  <c r="DK200" i="33"/>
  <c r="DK202" i="33"/>
  <c r="DK204" i="33"/>
  <c r="EQ163" i="33"/>
  <c r="EQ147" i="33"/>
  <c r="EQ199" i="33"/>
  <c r="EQ183" i="33"/>
  <c r="DJ143" i="33"/>
  <c r="BZ177" i="33"/>
  <c r="DL140" i="33"/>
  <c r="DL142" i="33"/>
  <c r="DL144" i="33"/>
  <c r="DL146" i="33"/>
  <c r="DL148" i="33"/>
  <c r="DL150" i="33"/>
  <c r="DL152" i="33"/>
  <c r="DL154" i="33"/>
  <c r="DL156" i="33"/>
  <c r="DL158" i="33"/>
  <c r="DL160" i="33"/>
  <c r="DL162" i="33"/>
  <c r="DL164" i="33"/>
  <c r="DL166" i="33"/>
  <c r="DL172" i="33"/>
  <c r="DL176" i="33"/>
  <c r="DL178" i="33"/>
  <c r="DL180" i="33"/>
  <c r="DL186" i="33"/>
  <c r="DL188" i="33"/>
  <c r="DL190" i="33"/>
  <c r="DL194" i="33"/>
  <c r="DL196" i="33"/>
  <c r="DL200" i="33"/>
  <c r="DL202" i="33"/>
  <c r="DL204" i="33"/>
  <c r="CA164" i="33"/>
  <c r="DM140" i="33"/>
  <c r="DM142" i="33"/>
  <c r="DM144" i="33"/>
  <c r="DM146" i="33"/>
  <c r="DM148" i="33"/>
  <c r="DM150" i="33"/>
  <c r="DM152" i="33"/>
  <c r="DM154" i="33"/>
  <c r="DM156" i="33"/>
  <c r="DM158" i="33"/>
  <c r="DM160" i="33"/>
  <c r="DM162" i="33"/>
  <c r="DM164" i="33"/>
  <c r="DM166" i="33"/>
  <c r="DM172" i="33"/>
  <c r="DM176" i="33"/>
  <c r="DM178" i="33"/>
  <c r="DM180" i="33"/>
  <c r="DM182" i="33"/>
  <c r="DM184" i="33"/>
  <c r="DM186" i="33"/>
  <c r="DM188" i="33"/>
  <c r="DM190" i="33"/>
  <c r="DM194" i="33"/>
  <c r="DM196" i="33"/>
  <c r="DM198" i="33"/>
  <c r="DM200" i="33"/>
  <c r="DM202" i="33"/>
  <c r="DM204" i="33"/>
  <c r="DJ149" i="33"/>
  <c r="DF141" i="33"/>
  <c r="DF143" i="33"/>
  <c r="DF145" i="33"/>
  <c r="DF147" i="33"/>
  <c r="DF149" i="33"/>
  <c r="DF153" i="33"/>
  <c r="DF157" i="33"/>
  <c r="DF159" i="33"/>
  <c r="DF163" i="33"/>
  <c r="DF165" i="33"/>
  <c r="DF167" i="33"/>
  <c r="DF173" i="33"/>
  <c r="DF177" i="33"/>
  <c r="DF183" i="33"/>
  <c r="DF189" i="33"/>
  <c r="DF193" i="33"/>
  <c r="DF195" i="33"/>
  <c r="DF197" i="33"/>
  <c r="DF199" i="33"/>
  <c r="DF201" i="33"/>
  <c r="DF203" i="33"/>
  <c r="DF205" i="33"/>
  <c r="DF139" i="33"/>
  <c r="DJ165" i="33"/>
  <c r="DJ203" i="33"/>
  <c r="CE195" i="33"/>
  <c r="DG139" i="33"/>
  <c r="DG141" i="33"/>
  <c r="DG143" i="33"/>
  <c r="DG145" i="33"/>
  <c r="DG147" i="33"/>
  <c r="DG149" i="33"/>
  <c r="DG153" i="33"/>
  <c r="DG157" i="33"/>
  <c r="DG159" i="33"/>
  <c r="DG163" i="33"/>
  <c r="DG165" i="33"/>
  <c r="DG167" i="33"/>
  <c r="DG173" i="33"/>
  <c r="DG177" i="33"/>
  <c r="DG183" i="33"/>
  <c r="DG189" i="33"/>
  <c r="DG193" i="33"/>
  <c r="DG195" i="33"/>
  <c r="DG197" i="33"/>
  <c r="DG199" i="33"/>
  <c r="DG201" i="33"/>
  <c r="DG203" i="33"/>
  <c r="DG205" i="33"/>
  <c r="DJ145" i="33"/>
  <c r="DJ189" i="33"/>
  <c r="CG148" i="33"/>
  <c r="DH139" i="33"/>
  <c r="DH141" i="33"/>
  <c r="DH143" i="33"/>
  <c r="DH145" i="33"/>
  <c r="DH147" i="33"/>
  <c r="DH149" i="33"/>
  <c r="DH153" i="33"/>
  <c r="DH157" i="33"/>
  <c r="DH159" i="33"/>
  <c r="DH163" i="33"/>
  <c r="DH165" i="33"/>
  <c r="DH167" i="33"/>
  <c r="DH173" i="33"/>
  <c r="DH177" i="33"/>
  <c r="DH189" i="33"/>
  <c r="DH193" i="33"/>
  <c r="DH197" i="33"/>
  <c r="DH201" i="33"/>
  <c r="DH205" i="33"/>
  <c r="DH183" i="33"/>
  <c r="DM185" i="33"/>
  <c r="DL177" i="33"/>
  <c r="DL173" i="33"/>
  <c r="DL165" i="33"/>
  <c r="DL161" i="33"/>
  <c r="DL157" i="33"/>
  <c r="DL153" i="33"/>
  <c r="DL149" i="33"/>
  <c r="DL145" i="33"/>
  <c r="DL141" i="33"/>
  <c r="DL205" i="33"/>
  <c r="DL201" i="33"/>
  <c r="DL197" i="33"/>
  <c r="DL193" i="33"/>
  <c r="DL189" i="33"/>
  <c r="DH203" i="33"/>
  <c r="DL199" i="33"/>
  <c r="DL195" i="33"/>
  <c r="CD176" i="33"/>
  <c r="CG189" i="33"/>
  <c r="CF146" i="33"/>
  <c r="CF178" i="33"/>
  <c r="CB142" i="33"/>
  <c r="CF143" i="33"/>
  <c r="CD141" i="33"/>
  <c r="CE185" i="33"/>
  <c r="CB158" i="33"/>
  <c r="CE153" i="33"/>
  <c r="H157" i="33"/>
  <c r="CF162" i="33"/>
  <c r="CC183" i="33"/>
  <c r="CC167" i="33"/>
  <c r="CD144" i="33"/>
  <c r="CB202" i="33"/>
  <c r="BZ193" i="33"/>
  <c r="CD188" i="33"/>
  <c r="CD156" i="33"/>
  <c r="CB154" i="33"/>
  <c r="BZ145" i="33"/>
  <c r="CD140" i="33"/>
  <c r="BZ197" i="33"/>
  <c r="BZ149" i="33"/>
  <c r="CA195" i="33"/>
  <c r="CF194" i="33"/>
  <c r="CG205" i="33"/>
  <c r="CD205" i="33"/>
  <c r="CE198" i="33"/>
  <c r="CC199" i="33"/>
  <c r="CD204" i="33"/>
  <c r="CG203" i="33"/>
  <c r="CE201" i="33"/>
  <c r="CG200" i="33"/>
  <c r="CB190" i="33"/>
  <c r="CG187" i="33"/>
  <c r="CE187" i="33"/>
  <c r="CF187" i="33"/>
  <c r="CD187" i="33"/>
  <c r="CC187" i="33"/>
  <c r="CB187" i="33"/>
  <c r="CA187" i="33"/>
  <c r="CB186" i="33"/>
  <c r="CG184" i="33"/>
  <c r="CG173" i="33"/>
  <c r="CD173" i="33"/>
  <c r="CD172" i="33"/>
  <c r="CE166" i="33"/>
  <c r="BZ165" i="33"/>
  <c r="CE163" i="33"/>
  <c r="CC163" i="33"/>
  <c r="CA163" i="33"/>
  <c r="CD161" i="33"/>
  <c r="CF161" i="33"/>
  <c r="CD160" i="33"/>
  <c r="CF159" i="33"/>
  <c r="CE159" i="33"/>
  <c r="CA159" i="33"/>
  <c r="CD185" i="33"/>
  <c r="CE146" i="33"/>
  <c r="CA203" i="33"/>
  <c r="CC201" i="33"/>
  <c r="CA199" i="33"/>
  <c r="CF196" i="33"/>
  <c r="CD194" i="33"/>
  <c r="CE183" i="33"/>
  <c r="CD178" i="33"/>
  <c r="CB176" i="33"/>
  <c r="CE167" i="33"/>
  <c r="CF164" i="33"/>
  <c r="CD162" i="33"/>
  <c r="CB160" i="33"/>
  <c r="CE155" i="33"/>
  <c r="CC153" i="33"/>
  <c r="CF148" i="33"/>
  <c r="CD146" i="33"/>
  <c r="CB199" i="33"/>
  <c r="CB167" i="33"/>
  <c r="CF205" i="33"/>
  <c r="CD203" i="33"/>
  <c r="CB201" i="33"/>
  <c r="CG198" i="33"/>
  <c r="CE196" i="33"/>
  <c r="CC194" i="33"/>
  <c r="CF189" i="33"/>
  <c r="CG182" i="33"/>
  <c r="CC178" i="33"/>
  <c r="BZ176" i="33"/>
  <c r="CF173" i="33"/>
  <c r="CG166" i="33"/>
  <c r="CE164" i="33"/>
  <c r="CC162" i="33"/>
  <c r="BZ160" i="33"/>
  <c r="CD155" i="33"/>
  <c r="CB153" i="33"/>
  <c r="CF203" i="33"/>
  <c r="CG139" i="33"/>
  <c r="CE205" i="33"/>
  <c r="CC203" i="33"/>
  <c r="BZ201" i="33"/>
  <c r="CF198" i="33"/>
  <c r="CD196" i="33"/>
  <c r="CB194" i="33"/>
  <c r="CE189" i="33"/>
  <c r="CF182" i="33"/>
  <c r="CB178" i="33"/>
  <c r="CE173" i="33"/>
  <c r="CF166" i="33"/>
  <c r="CD164" i="33"/>
  <c r="CB162" i="33"/>
  <c r="CG159" i="33"/>
  <c r="BZ153" i="33"/>
  <c r="CF150" i="33"/>
  <c r="CD148" i="33"/>
  <c r="BZ158" i="33"/>
  <c r="CB203" i="33"/>
  <c r="CC196" i="33"/>
  <c r="BZ194" i="33"/>
  <c r="BZ178" i="33"/>
  <c r="CC164" i="33"/>
  <c r="BZ162" i="33"/>
  <c r="CC148" i="33"/>
  <c r="BZ146" i="33"/>
  <c r="CE194" i="33"/>
  <c r="CE139" i="33"/>
  <c r="CC205" i="33"/>
  <c r="BZ203" i="33"/>
  <c r="CF200" i="33"/>
  <c r="CD198" i="33"/>
  <c r="CB196" i="33"/>
  <c r="CG193" i="33"/>
  <c r="CC189" i="33"/>
  <c r="CF184" i="33"/>
  <c r="CD182" i="33"/>
  <c r="CG177" i="33"/>
  <c r="CC173" i="33"/>
  <c r="CD166" i="33"/>
  <c r="CB164" i="33"/>
  <c r="CG161" i="33"/>
  <c r="CF152" i="33"/>
  <c r="CD150" i="33"/>
  <c r="BZ190" i="33"/>
  <c r="CD153" i="33"/>
  <c r="CB205" i="33"/>
  <c r="CG202" i="33"/>
  <c r="CE200" i="33"/>
  <c r="BZ196" i="33"/>
  <c r="CF193" i="33"/>
  <c r="CB189" i="33"/>
  <c r="CG186" i="33"/>
  <c r="CE184" i="33"/>
  <c r="CF177" i="33"/>
  <c r="CB173" i="33"/>
  <c r="CD159" i="33"/>
  <c r="CG154" i="33"/>
  <c r="CE152" i="33"/>
  <c r="BZ148" i="33"/>
  <c r="CF145" i="33"/>
  <c r="CA143" i="33"/>
  <c r="CC176" i="33"/>
  <c r="CF155" i="33"/>
  <c r="CC139" i="33"/>
  <c r="BZ205" i="33"/>
  <c r="CF202" i="33"/>
  <c r="CD200" i="33"/>
  <c r="CG195" i="33"/>
  <c r="CE193" i="33"/>
  <c r="BZ189" i="33"/>
  <c r="CF186" i="33"/>
  <c r="CD184" i="33"/>
  <c r="CE177" i="33"/>
  <c r="BZ173" i="33"/>
  <c r="CG163" i="33"/>
  <c r="CE161" i="33"/>
  <c r="CC159" i="33"/>
  <c r="CF154" i="33"/>
  <c r="CD152" i="33"/>
  <c r="CG204" i="33"/>
  <c r="CE202" i="33"/>
  <c r="CC200" i="33"/>
  <c r="CF195" i="33"/>
  <c r="CD193" i="33"/>
  <c r="CG188" i="33"/>
  <c r="CE186" i="33"/>
  <c r="CD177" i="33"/>
  <c r="CG172" i="33"/>
  <c r="BZ166" i="33"/>
  <c r="CF163" i="33"/>
  <c r="CB159" i="33"/>
  <c r="CG156" i="33"/>
  <c r="CE154" i="33"/>
  <c r="CC152" i="33"/>
  <c r="BZ150" i="33"/>
  <c r="CF147" i="33"/>
  <c r="CD145" i="33"/>
  <c r="CD201" i="33"/>
  <c r="BZ139" i="33"/>
  <c r="CF204" i="33"/>
  <c r="CD202" i="33"/>
  <c r="CB200" i="33"/>
  <c r="CG197" i="33"/>
  <c r="CC193" i="33"/>
  <c r="CF188" i="33"/>
  <c r="CD186" i="33"/>
  <c r="CG181" i="33"/>
  <c r="CC177" i="33"/>
  <c r="CF172" i="33"/>
  <c r="CG165" i="33"/>
  <c r="BZ159" i="33"/>
  <c r="CF156" i="33"/>
  <c r="CD154" i="33"/>
  <c r="CB152" i="33"/>
  <c r="CG206" i="33"/>
  <c r="CE204" i="33"/>
  <c r="CC202" i="33"/>
  <c r="BZ200" i="33"/>
  <c r="CF197" i="33"/>
  <c r="CD195" i="33"/>
  <c r="CB193" i="33"/>
  <c r="CG190" i="33"/>
  <c r="CE188" i="33"/>
  <c r="CC186" i="33"/>
  <c r="CF181" i="33"/>
  <c r="CB177" i="33"/>
  <c r="CE172" i="33"/>
  <c r="CF165" i="33"/>
  <c r="CD163" i="33"/>
  <c r="CG158" i="33"/>
  <c r="CE156" i="33"/>
  <c r="CC154" i="33"/>
  <c r="BZ152" i="33"/>
  <c r="CF149" i="33"/>
  <c r="CA147" i="33"/>
  <c r="CG199" i="33"/>
  <c r="CE197" i="33"/>
  <c r="CF190" i="33"/>
  <c r="CG183" i="33"/>
  <c r="CG167" i="33"/>
  <c r="CE165" i="33"/>
  <c r="CF158" i="33"/>
  <c r="CE149" i="33"/>
  <c r="CF142" i="33"/>
  <c r="CB183" i="33"/>
  <c r="CE162" i="33"/>
  <c r="CE206" i="33"/>
  <c r="CC204" i="33"/>
  <c r="BZ202" i="33"/>
  <c r="CF199" i="33"/>
  <c r="CD197" i="33"/>
  <c r="CB195" i="33"/>
  <c r="CE190" i="33"/>
  <c r="CC188" i="33"/>
  <c r="BZ186" i="33"/>
  <c r="CF183" i="33"/>
  <c r="CD181" i="33"/>
  <c r="CG176" i="33"/>
  <c r="CC172" i="33"/>
  <c r="CF167" i="33"/>
  <c r="CD165" i="33"/>
  <c r="CB163" i="33"/>
  <c r="CG160" i="33"/>
  <c r="CE158" i="33"/>
  <c r="CC156" i="33"/>
  <c r="BZ154" i="33"/>
  <c r="CD149" i="33"/>
  <c r="CC160" i="33"/>
  <c r="CD206" i="33"/>
  <c r="CB204" i="33"/>
  <c r="CG201" i="33"/>
  <c r="CC197" i="33"/>
  <c r="BZ195" i="33"/>
  <c r="CD190" i="33"/>
  <c r="CB188" i="33"/>
  <c r="CG185" i="33"/>
  <c r="CF176" i="33"/>
  <c r="CB172" i="33"/>
  <c r="CC165" i="33"/>
  <c r="BZ163" i="33"/>
  <c r="CF160" i="33"/>
  <c r="CD158" i="33"/>
  <c r="CB156" i="33"/>
  <c r="CG153" i="33"/>
  <c r="CC149" i="33"/>
  <c r="BZ147" i="33"/>
  <c r="CD142" i="33"/>
  <c r="CE178" i="33"/>
  <c r="BZ142" i="33"/>
  <c r="BZ204" i="33"/>
  <c r="CF201" i="33"/>
  <c r="CD199" i="33"/>
  <c r="CB197" i="33"/>
  <c r="CG194" i="33"/>
  <c r="CC190" i="33"/>
  <c r="BZ188" i="33"/>
  <c r="CF185" i="33"/>
  <c r="CD183" i="33"/>
  <c r="CG178" i="33"/>
  <c r="CE176" i="33"/>
  <c r="BZ172" i="33"/>
  <c r="CD167" i="33"/>
  <c r="CB165" i="33"/>
  <c r="CG162" i="33"/>
  <c r="CE160" i="33"/>
  <c r="CC158" i="33"/>
  <c r="BZ156" i="33"/>
  <c r="CF153" i="33"/>
  <c r="CC144" i="33"/>
  <c r="CB144" i="33"/>
  <c r="CG141" i="33"/>
  <c r="CG150" i="33"/>
  <c r="CE148" i="33"/>
  <c r="CC146" i="33"/>
  <c r="BZ144" i="33"/>
  <c r="CF141" i="33"/>
  <c r="CB146" i="33"/>
  <c r="CG143" i="33"/>
  <c r="CE141" i="33"/>
  <c r="CB148" i="33"/>
  <c r="CG145" i="33"/>
  <c r="CE143" i="33"/>
  <c r="CC141" i="33"/>
  <c r="CC150" i="33"/>
  <c r="CB141" i="33"/>
  <c r="CB150" i="33"/>
  <c r="CG147" i="33"/>
  <c r="CE145" i="33"/>
  <c r="CC143" i="33"/>
  <c r="BZ141" i="33"/>
  <c r="CB143" i="33"/>
  <c r="CG140" i="33"/>
  <c r="CG149" i="33"/>
  <c r="CE147" i="33"/>
  <c r="CC145" i="33"/>
  <c r="BZ143" i="33"/>
  <c r="CF140" i="33"/>
  <c r="CB145" i="33"/>
  <c r="CG142" i="33"/>
  <c r="CE140" i="33"/>
  <c r="CD147" i="33"/>
  <c r="CB147" i="33"/>
  <c r="CG144" i="33"/>
  <c r="CE142" i="33"/>
  <c r="CC140" i="33"/>
  <c r="CD143" i="33"/>
  <c r="CF144" i="33"/>
  <c r="CB140" i="33"/>
  <c r="CB149" i="33"/>
  <c r="CG146" i="33"/>
  <c r="CE144" i="33"/>
  <c r="CC142" i="33"/>
  <c r="BZ140" i="33"/>
  <c r="CA139" i="33"/>
  <c r="BZ199" i="33"/>
  <c r="BZ183" i="33"/>
  <c r="BZ167" i="33"/>
  <c r="CE203" i="33"/>
  <c r="CE199" i="33"/>
  <c r="CA202" i="33"/>
  <c r="CA194" i="33"/>
  <c r="CA190" i="33"/>
  <c r="CA186" i="33"/>
  <c r="CA178" i="33"/>
  <c r="CA166" i="33"/>
  <c r="CA162" i="33"/>
  <c r="CA158" i="33"/>
  <c r="CA154" i="33"/>
  <c r="CA150" i="33"/>
  <c r="CA146" i="33"/>
  <c r="CA142" i="33"/>
  <c r="CA183" i="33"/>
  <c r="CA167" i="33"/>
  <c r="CA205" i="33"/>
  <c r="CA201" i="33"/>
  <c r="CA197" i="33"/>
  <c r="CA193" i="33"/>
  <c r="CA189" i="33"/>
  <c r="CA177" i="33"/>
  <c r="CA173" i="33"/>
  <c r="CA153" i="33"/>
  <c r="CA149" i="33"/>
  <c r="CA145" i="33"/>
  <c r="CA141" i="33"/>
  <c r="CA204" i="33"/>
  <c r="CA200" i="33"/>
  <c r="CA196" i="33"/>
  <c r="CA188" i="33"/>
  <c r="CA176" i="33"/>
  <c r="CA172" i="33"/>
  <c r="CA160" i="33"/>
  <c r="CA156" i="33"/>
  <c r="CA152" i="33"/>
  <c r="CA148" i="33"/>
  <c r="CA144" i="33"/>
  <c r="CA140" i="33"/>
  <c r="H165" i="17" l="1"/>
  <c r="F17" i="28"/>
  <c r="F161" i="33"/>
  <c r="H180" i="33"/>
  <c r="F180" i="33"/>
  <c r="G155" i="33"/>
  <c r="F179" i="33"/>
  <c r="D25" i="28" s="1"/>
  <c r="F182" i="33"/>
  <c r="G172" i="33"/>
  <c r="G180" i="17" s="1"/>
  <c r="G180" i="33"/>
  <c r="G139" i="33"/>
  <c r="G206" i="33"/>
  <c r="G144" i="33"/>
  <c r="G152" i="17" s="1"/>
  <c r="H179" i="33"/>
  <c r="H42" i="21" s="1"/>
  <c r="F155" i="33"/>
  <c r="D15" i="28" s="1"/>
  <c r="G167" i="33"/>
  <c r="F181" i="33"/>
  <c r="G161" i="33"/>
  <c r="F206" i="33"/>
  <c r="G177" i="33"/>
  <c r="G185" i="17" s="1"/>
  <c r="G181" i="33"/>
  <c r="F165" i="33"/>
  <c r="F158" i="33"/>
  <c r="D18" i="28" s="1"/>
  <c r="G190" i="33"/>
  <c r="G198" i="17" s="1"/>
  <c r="G150" i="33"/>
  <c r="G158" i="17" s="1"/>
  <c r="F185" i="33"/>
  <c r="F193" i="17" s="1"/>
  <c r="F167" i="33"/>
  <c r="F175" i="17" s="1"/>
  <c r="G203" i="33"/>
  <c r="G211" i="17" s="1"/>
  <c r="G142" i="33"/>
  <c r="G150" i="17" s="1"/>
  <c r="G204" i="33"/>
  <c r="G158" i="33"/>
  <c r="E18" i="28" s="1"/>
  <c r="F184" i="33"/>
  <c r="F192" i="17" s="1"/>
  <c r="G179" i="33"/>
  <c r="E25" i="28" s="1"/>
  <c r="G164" i="33"/>
  <c r="F198" i="33"/>
  <c r="D28" i="28" s="1"/>
  <c r="F160" i="33"/>
  <c r="F168" i="17" s="1"/>
  <c r="G193" i="33"/>
  <c r="G201" i="17" s="1"/>
  <c r="G154" i="33"/>
  <c r="G148" i="33"/>
  <c r="G156" i="17" s="1"/>
  <c r="F173" i="33"/>
  <c r="F181" i="17" s="1"/>
  <c r="F162" i="33"/>
  <c r="F170" i="17" s="1"/>
  <c r="F177" i="33"/>
  <c r="F185" i="17" s="1"/>
  <c r="F164" i="33"/>
  <c r="G147" i="33"/>
  <c r="G155" i="17" s="1"/>
  <c r="G163" i="33"/>
  <c r="F183" i="33"/>
  <c r="F191" i="17" s="1"/>
  <c r="F166" i="33"/>
  <c r="G159" i="33"/>
  <c r="F189" i="33"/>
  <c r="F197" i="17" s="1"/>
  <c r="F172" i="33"/>
  <c r="F180" i="17" s="1"/>
  <c r="G141" i="33"/>
  <c r="G149" i="17" s="1"/>
  <c r="G205" i="33"/>
  <c r="G213" i="17" s="1"/>
  <c r="G146" i="33"/>
  <c r="G154" i="17" s="1"/>
  <c r="G188" i="33"/>
  <c r="G196" i="17" s="1"/>
  <c r="F193" i="33"/>
  <c r="F201" i="17" s="1"/>
  <c r="F176" i="33"/>
  <c r="F184" i="17" s="1"/>
  <c r="G145" i="33"/>
  <c r="G153" i="17" s="1"/>
  <c r="G182" i="33"/>
  <c r="G176" i="33"/>
  <c r="G184" i="17" s="1"/>
  <c r="G152" i="33"/>
  <c r="F141" i="33"/>
  <c r="F149" i="17" s="1"/>
  <c r="F197" i="33"/>
  <c r="F205" i="17" s="1"/>
  <c r="F140" i="33"/>
  <c r="F148" i="17" s="1"/>
  <c r="F178" i="33"/>
  <c r="F186" i="17" s="1"/>
  <c r="F143" i="33"/>
  <c r="F151" i="17" s="1"/>
  <c r="F199" i="33"/>
  <c r="F207" i="17" s="1"/>
  <c r="F142" i="33"/>
  <c r="F150" i="17" s="1"/>
  <c r="F186" i="33"/>
  <c r="F194" i="17" s="1"/>
  <c r="H181" i="33"/>
  <c r="H189" i="17" s="1"/>
  <c r="G178" i="33"/>
  <c r="G186" i="17" s="1"/>
  <c r="G140" i="33"/>
  <c r="G148" i="17" s="1"/>
  <c r="G185" i="33"/>
  <c r="G193" i="17" s="1"/>
  <c r="F145" i="33"/>
  <c r="F153" i="17" s="1"/>
  <c r="F201" i="33"/>
  <c r="F209" i="17" s="1"/>
  <c r="F144" i="33"/>
  <c r="F152" i="17" s="1"/>
  <c r="F188" i="33"/>
  <c r="F196" i="17" s="1"/>
  <c r="G196" i="33"/>
  <c r="G204" i="17" s="1"/>
  <c r="F147" i="33"/>
  <c r="F155" i="17" s="1"/>
  <c r="F203" i="33"/>
  <c r="F211" i="17" s="1"/>
  <c r="F146" i="33"/>
  <c r="F154" i="17" s="1"/>
  <c r="F190" i="33"/>
  <c r="F198" i="17" s="1"/>
  <c r="G197" i="33"/>
  <c r="G205" i="17" s="1"/>
  <c r="G143" i="33"/>
  <c r="G151" i="17" s="1"/>
  <c r="F149" i="33"/>
  <c r="F157" i="17" s="1"/>
  <c r="F205" i="33"/>
  <c r="F213" i="17" s="1"/>
  <c r="F148" i="33"/>
  <c r="F156" i="17" s="1"/>
  <c r="F194" i="33"/>
  <c r="F202" i="17" s="1"/>
  <c r="G156" i="33"/>
  <c r="G35" i="21"/>
  <c r="G200" i="33"/>
  <c r="G208" i="17" s="1"/>
  <c r="F153" i="33"/>
  <c r="F161" i="17" s="1"/>
  <c r="F150" i="33"/>
  <c r="F158" i="17" s="1"/>
  <c r="F196" i="33"/>
  <c r="F204" i="17" s="1"/>
  <c r="H43" i="21"/>
  <c r="G166" i="33"/>
  <c r="F139" i="33"/>
  <c r="F147" i="17" s="1"/>
  <c r="F157" i="33"/>
  <c r="F152" i="33"/>
  <c r="F200" i="33"/>
  <c r="F208" i="17" s="1"/>
  <c r="G189" i="33"/>
  <c r="G197" i="17" s="1"/>
  <c r="G202" i="33"/>
  <c r="G210" i="17" s="1"/>
  <c r="G194" i="33"/>
  <c r="G202" i="17" s="1"/>
  <c r="G160" i="33"/>
  <c r="G168" i="17" s="1"/>
  <c r="F159" i="33"/>
  <c r="F154" i="33"/>
  <c r="F202" i="33"/>
  <c r="F210" i="17" s="1"/>
  <c r="G165" i="33"/>
  <c r="H20" i="21"/>
  <c r="F163" i="33"/>
  <c r="F156" i="33"/>
  <c r="F204" i="33"/>
  <c r="F212" i="17" s="1"/>
  <c r="G186" i="33"/>
  <c r="G194" i="17" s="1"/>
  <c r="F195" i="33"/>
  <c r="F203" i="17" s="1"/>
  <c r="G162" i="33"/>
  <c r="G170" i="17" s="1"/>
  <c r="G201" i="33"/>
  <c r="G209" i="17" s="1"/>
  <c r="G198" i="33"/>
  <c r="G149" i="33"/>
  <c r="G157" i="17" s="1"/>
  <c r="G153" i="33"/>
  <c r="G161" i="17" s="1"/>
  <c r="G195" i="33"/>
  <c r="G203" i="17" s="1"/>
  <c r="G157" i="33"/>
  <c r="G199" i="33"/>
  <c r="G207" i="17" s="1"/>
  <c r="G184" i="33"/>
  <c r="G192" i="17" s="1"/>
  <c r="H165" i="33"/>
  <c r="G173" i="33"/>
  <c r="G181" i="17" s="1"/>
  <c r="G183" i="33"/>
  <c r="G191" i="17" s="1"/>
  <c r="H195" i="33"/>
  <c r="H203" i="17" s="1"/>
  <c r="H145" i="33"/>
  <c r="H153" i="17" s="1"/>
  <c r="H164" i="33"/>
  <c r="H141" i="33"/>
  <c r="H149" i="17" s="1"/>
  <c r="H154" i="33"/>
  <c r="H193" i="33"/>
  <c r="H201" i="17" s="1"/>
  <c r="H198" i="33"/>
  <c r="H200" i="33"/>
  <c r="H208" i="17" s="1"/>
  <c r="H197" i="33"/>
  <c r="H205" i="17" s="1"/>
  <c r="H159" i="33"/>
  <c r="H161" i="33"/>
  <c r="H149" i="33"/>
  <c r="H157" i="17" s="1"/>
  <c r="H155" i="33"/>
  <c r="H206" i="33"/>
  <c r="H177" i="33"/>
  <c r="H185" i="17" s="1"/>
  <c r="H184" i="33"/>
  <c r="H192" i="17" s="1"/>
  <c r="H185" i="33"/>
  <c r="H193" i="17" s="1"/>
  <c r="H182" i="33"/>
  <c r="H163" i="33"/>
  <c r="H202" i="33"/>
  <c r="H210" i="17" s="1"/>
  <c r="H188" i="33"/>
  <c r="H196" i="17" s="1"/>
  <c r="H139" i="33"/>
  <c r="H147" i="17" s="1"/>
  <c r="H162" i="33"/>
  <c r="H170" i="17" s="1"/>
  <c r="H152" i="33"/>
  <c r="H176" i="33"/>
  <c r="H184" i="17" s="1"/>
  <c r="H167" i="33"/>
  <c r="H175" i="17" s="1"/>
  <c r="H178" i="33"/>
  <c r="H186" i="17" s="1"/>
  <c r="H183" i="33"/>
  <c r="H191" i="17" s="1"/>
  <c r="H205" i="33"/>
  <c r="H213" i="17" s="1"/>
  <c r="H194" i="33"/>
  <c r="H202" i="17" s="1"/>
  <c r="H189" i="33"/>
  <c r="H197" i="17" s="1"/>
  <c r="H199" i="33"/>
  <c r="H207" i="17" s="1"/>
  <c r="H156" i="33"/>
  <c r="H150" i="33"/>
  <c r="H158" i="17" s="1"/>
  <c r="H204" i="33"/>
  <c r="H212" i="17" s="1"/>
  <c r="H196" i="33"/>
  <c r="H204" i="17" s="1"/>
  <c r="H201" i="33"/>
  <c r="H209" i="17" s="1"/>
  <c r="H140" i="33"/>
  <c r="H148" i="17" s="1"/>
  <c r="H142" i="33"/>
  <c r="H150" i="17" s="1"/>
  <c r="H158" i="33"/>
  <c r="H143" i="33"/>
  <c r="H151" i="17" s="1"/>
  <c r="H186" i="33"/>
  <c r="H194" i="17" s="1"/>
  <c r="H147" i="33"/>
  <c r="H155" i="17" s="1"/>
  <c r="H148" i="33"/>
  <c r="H156" i="17" s="1"/>
  <c r="H153" i="33"/>
  <c r="H161" i="17" s="1"/>
  <c r="H172" i="33"/>
  <c r="H180" i="17" s="1"/>
  <c r="H166" i="33"/>
  <c r="H173" i="33"/>
  <c r="H181" i="17" s="1"/>
  <c r="H203" i="33"/>
  <c r="H211" i="17" s="1"/>
  <c r="H190" i="33"/>
  <c r="H198" i="17" s="1"/>
  <c r="H146" i="33"/>
  <c r="H154" i="17" s="1"/>
  <c r="H144" i="33"/>
  <c r="H152" i="17" s="1"/>
  <c r="H160" i="33"/>
  <c r="H168" i="17" s="1"/>
  <c r="H163" i="17" l="1"/>
  <c r="F15" i="28"/>
  <c r="H172" i="17"/>
  <c r="F22" i="28"/>
  <c r="H190" i="17"/>
  <c r="F27" i="28"/>
  <c r="H167" i="17"/>
  <c r="F19" i="28"/>
  <c r="F167" i="17"/>
  <c r="D19" i="28"/>
  <c r="G164" i="17"/>
  <c r="E16" i="28"/>
  <c r="G167" i="17"/>
  <c r="E19" i="28"/>
  <c r="F190" i="17"/>
  <c r="D27" i="28"/>
  <c r="H166" i="17"/>
  <c r="F18" i="28"/>
  <c r="H160" i="17"/>
  <c r="F13" i="28"/>
  <c r="F171" i="17"/>
  <c r="D21" i="28"/>
  <c r="G162" i="17"/>
  <c r="E14" i="28"/>
  <c r="F173" i="17"/>
  <c r="D23" i="28"/>
  <c r="H187" i="17"/>
  <c r="F25" i="28"/>
  <c r="G163" i="17"/>
  <c r="E15" i="28"/>
  <c r="F164" i="17"/>
  <c r="D16" i="28"/>
  <c r="H174" i="17"/>
  <c r="F24" i="28"/>
  <c r="H206" i="17"/>
  <c r="F28" i="28"/>
  <c r="G206" i="17"/>
  <c r="E28" i="28"/>
  <c r="G171" i="17"/>
  <c r="E21" i="28"/>
  <c r="F188" i="17"/>
  <c r="D26" i="28"/>
  <c r="H164" i="17"/>
  <c r="F16" i="28"/>
  <c r="G174" i="17"/>
  <c r="E24" i="28"/>
  <c r="F174" i="17"/>
  <c r="D24" i="28"/>
  <c r="H214" i="17"/>
  <c r="F29" i="28"/>
  <c r="H173" i="17"/>
  <c r="F23" i="28"/>
  <c r="G173" i="17"/>
  <c r="E23" i="28"/>
  <c r="G160" i="17"/>
  <c r="E13" i="28"/>
  <c r="G214" i="17"/>
  <c r="E29" i="28"/>
  <c r="H188" i="17"/>
  <c r="F26" i="28"/>
  <c r="H162" i="17"/>
  <c r="F14" i="28"/>
  <c r="F172" i="17"/>
  <c r="D22" i="28"/>
  <c r="F214" i="17"/>
  <c r="D29" i="28"/>
  <c r="F169" i="17"/>
  <c r="D20" i="28"/>
  <c r="F160" i="17"/>
  <c r="D13" i="28"/>
  <c r="G190" i="17"/>
  <c r="E27" i="28"/>
  <c r="G172" i="17"/>
  <c r="E22" i="28"/>
  <c r="G169" i="17"/>
  <c r="E20" i="28"/>
  <c r="G188" i="17"/>
  <c r="E26" i="28"/>
  <c r="H171" i="17"/>
  <c r="F21" i="28"/>
  <c r="H169" i="17"/>
  <c r="F20" i="28"/>
  <c r="G165" i="17"/>
  <c r="E17" i="28"/>
  <c r="F162" i="17"/>
  <c r="D14" i="28"/>
  <c r="F165" i="17"/>
  <c r="D17" i="28"/>
  <c r="G69" i="21"/>
  <c r="G7" i="21"/>
  <c r="G43" i="21"/>
  <c r="F24" i="21"/>
  <c r="F61" i="21"/>
  <c r="F206" i="17"/>
  <c r="G18" i="21"/>
  <c r="G42" i="21"/>
  <c r="G187" i="17"/>
  <c r="F44" i="21"/>
  <c r="F189" i="17"/>
  <c r="G30" i="21"/>
  <c r="G175" i="17"/>
  <c r="G21" i="21"/>
  <c r="G166" i="17"/>
  <c r="F18" i="21"/>
  <c r="F163" i="17"/>
  <c r="G67" i="21"/>
  <c r="G212" i="17"/>
  <c r="G44" i="21"/>
  <c r="G189" i="17"/>
  <c r="F43" i="21"/>
  <c r="F28" i="21"/>
  <c r="G2" i="21"/>
  <c r="G147" i="17"/>
  <c r="F21" i="21"/>
  <c r="F166" i="17"/>
  <c r="F42" i="21"/>
  <c r="F187" i="17"/>
  <c r="F45" i="21"/>
  <c r="G5" i="21"/>
  <c r="G24" i="21"/>
  <c r="F69" i="21"/>
  <c r="G66" i="21"/>
  <c r="F48" i="21"/>
  <c r="G53" i="21"/>
  <c r="G13" i="21"/>
  <c r="F30" i="21"/>
  <c r="G40" i="21"/>
  <c r="F47" i="21"/>
  <c r="G27" i="21"/>
  <c r="F5" i="21"/>
  <c r="H56" i="21"/>
  <c r="G64" i="21"/>
  <c r="F22" i="21"/>
  <c r="F16" i="21"/>
  <c r="F62" i="21"/>
  <c r="G68" i="21"/>
  <c r="G10" i="21"/>
  <c r="G23" i="21"/>
  <c r="G63" i="21"/>
  <c r="F53" i="21"/>
  <c r="F6" i="21"/>
  <c r="G4" i="21"/>
  <c r="F27" i="21"/>
  <c r="G61" i="21"/>
  <c r="H4" i="21"/>
  <c r="F58" i="21"/>
  <c r="G57" i="21"/>
  <c r="F9" i="21"/>
  <c r="F41" i="21"/>
  <c r="F35" i="21"/>
  <c r="F40" i="21"/>
  <c r="F13" i="21"/>
  <c r="H67" i="21"/>
  <c r="G49" i="21"/>
  <c r="G65" i="21"/>
  <c r="F66" i="21"/>
  <c r="F3" i="21"/>
  <c r="F52" i="21"/>
  <c r="F25" i="21"/>
  <c r="H61" i="21"/>
  <c r="H51" i="21"/>
  <c r="H8" i="21"/>
  <c r="F67" i="21"/>
  <c r="G52" i="21"/>
  <c r="G19" i="21"/>
  <c r="F10" i="21"/>
  <c r="F60" i="21"/>
  <c r="G22" i="21"/>
  <c r="F36" i="21"/>
  <c r="F17" i="21"/>
  <c r="H64" i="21"/>
  <c r="H58" i="21"/>
  <c r="F19" i="21"/>
  <c r="F57" i="21"/>
  <c r="G59" i="21"/>
  <c r="F4" i="21"/>
  <c r="G11" i="21"/>
  <c r="H23" i="21"/>
  <c r="H26" i="21"/>
  <c r="H62" i="21"/>
  <c r="H47" i="21"/>
  <c r="G46" i="21"/>
  <c r="F26" i="21"/>
  <c r="F11" i="21"/>
  <c r="F51" i="21"/>
  <c r="G15" i="21"/>
  <c r="G17" i="21"/>
  <c r="H5" i="21"/>
  <c r="H2" i="21"/>
  <c r="G36" i="21"/>
  <c r="F63" i="21"/>
  <c r="F68" i="21"/>
  <c r="F7" i="21"/>
  <c r="G39" i="21"/>
  <c r="G56" i="21"/>
  <c r="H7" i="21"/>
  <c r="H45" i="21"/>
  <c r="H29" i="21"/>
  <c r="H35" i="21"/>
  <c r="H57" i="21"/>
  <c r="H69" i="21"/>
  <c r="H28" i="21"/>
  <c r="F15" i="21"/>
  <c r="F12" i="21"/>
  <c r="F64" i="21"/>
  <c r="G45" i="21"/>
  <c r="H27" i="21"/>
  <c r="H16" i="21"/>
  <c r="H18" i="21"/>
  <c r="G47" i="21"/>
  <c r="F20" i="21"/>
  <c r="G6" i="21"/>
  <c r="F8" i="21"/>
  <c r="G8" i="21"/>
  <c r="H17" i="21"/>
  <c r="H13" i="21"/>
  <c r="H36" i="21"/>
  <c r="H11" i="21"/>
  <c r="H46" i="21"/>
  <c r="H12" i="21"/>
  <c r="G62" i="21"/>
  <c r="F2" i="21"/>
  <c r="G48" i="21"/>
  <c r="F23" i="21"/>
  <c r="G9" i="21"/>
  <c r="H65" i="21"/>
  <c r="H19" i="21"/>
  <c r="H52" i="21"/>
  <c r="H41" i="21"/>
  <c r="H24" i="21"/>
  <c r="G20" i="21"/>
  <c r="G28" i="21"/>
  <c r="G29" i="21"/>
  <c r="G3" i="21"/>
  <c r="F29" i="21"/>
  <c r="G25" i="21"/>
  <c r="H53" i="21"/>
  <c r="H40" i="21"/>
  <c r="H49" i="21"/>
  <c r="H30" i="21"/>
  <c r="H22" i="21"/>
  <c r="G58" i="21"/>
  <c r="G41" i="21"/>
  <c r="F39" i="21"/>
  <c r="F46" i="21"/>
  <c r="H25" i="21"/>
  <c r="H3" i="21"/>
  <c r="H9" i="21"/>
  <c r="H48" i="21"/>
  <c r="H68" i="21"/>
  <c r="H39" i="21"/>
  <c r="H60" i="21"/>
  <c r="G16" i="21"/>
  <c r="H44" i="21"/>
  <c r="F56" i="21"/>
  <c r="G26" i="21"/>
  <c r="H59" i="21"/>
  <c r="H66" i="21"/>
  <c r="H10" i="21"/>
  <c r="H6" i="21"/>
  <c r="H21" i="21"/>
  <c r="H15" i="21"/>
  <c r="H63" i="21"/>
  <c r="G12" i="21"/>
  <c r="F65" i="21"/>
  <c r="F59" i="21"/>
  <c r="G60" i="21"/>
  <c r="F49" i="21"/>
  <c r="G51" i="21"/>
  <c r="AE189" i="6" l="1"/>
  <c r="AF189" i="6"/>
  <c r="AB189" i="6"/>
  <c r="AC189" i="6"/>
  <c r="AD189" i="6"/>
  <c r="AH92" i="33"/>
  <c r="AI92" i="33"/>
  <c r="AH93" i="33"/>
  <c r="AI93" i="33"/>
  <c r="AH94" i="33"/>
  <c r="AI94" i="33"/>
  <c r="AH95" i="33"/>
  <c r="AI95" i="33"/>
  <c r="AH96" i="33"/>
  <c r="AI96" i="33"/>
  <c r="AH97" i="33"/>
  <c r="AI97" i="33"/>
  <c r="AH98" i="33"/>
  <c r="AI98" i="33"/>
  <c r="AH99" i="33"/>
  <c r="AI99" i="33"/>
  <c r="AH100" i="33"/>
  <c r="AI100" i="33"/>
  <c r="AH101" i="33"/>
  <c r="AI101" i="33"/>
  <c r="AH102" i="33"/>
  <c r="AI102" i="33"/>
  <c r="AH103" i="33"/>
  <c r="AI103" i="33"/>
  <c r="AH104" i="33"/>
  <c r="AI104" i="33"/>
  <c r="AH105" i="33"/>
  <c r="AI105" i="33"/>
  <c r="AH106" i="33"/>
  <c r="AI106" i="33"/>
  <c r="AH107" i="33"/>
  <c r="AI107" i="33"/>
  <c r="AH108" i="33"/>
  <c r="AI108" i="33"/>
  <c r="AH109" i="33"/>
  <c r="AI109" i="33"/>
  <c r="AH110" i="33"/>
  <c r="AI110" i="33"/>
  <c r="AH111" i="33"/>
  <c r="AI111" i="33"/>
  <c r="AH112" i="33"/>
  <c r="AI112" i="33"/>
  <c r="AH113" i="33"/>
  <c r="AI113" i="33"/>
  <c r="AH114" i="33"/>
  <c r="AI114" i="33"/>
  <c r="AH115" i="33"/>
  <c r="AI115" i="33"/>
  <c r="AH116" i="33"/>
  <c r="AI116" i="33"/>
  <c r="AH117" i="33"/>
  <c r="AI117" i="33"/>
  <c r="AH118" i="33"/>
  <c r="AI118" i="33"/>
  <c r="AH119" i="33"/>
  <c r="AI119" i="33"/>
  <c r="AH120" i="33"/>
  <c r="AI120" i="33"/>
  <c r="AH121" i="33"/>
  <c r="AI121" i="33"/>
  <c r="AH122" i="33"/>
  <c r="AI122" i="33"/>
  <c r="AH123" i="33"/>
  <c r="AI123" i="33"/>
  <c r="AH125" i="33"/>
  <c r="AI125" i="33"/>
  <c r="AH126" i="33"/>
  <c r="AI126" i="33"/>
  <c r="AH127" i="33"/>
  <c r="AI127" i="33"/>
  <c r="AH128" i="33"/>
  <c r="AI128" i="33"/>
  <c r="AH129" i="33"/>
  <c r="AI129" i="33"/>
  <c r="AH130" i="33"/>
  <c r="AI130" i="33"/>
  <c r="AH131" i="33"/>
  <c r="AI131" i="33"/>
  <c r="AH132" i="33"/>
  <c r="AI132" i="33"/>
  <c r="AH133" i="33"/>
  <c r="AI133" i="33"/>
  <c r="AH134" i="33"/>
  <c r="AI134" i="33"/>
  <c r="AH135" i="33"/>
  <c r="AI135" i="33"/>
  <c r="AH136" i="33"/>
  <c r="AI136" i="33"/>
  <c r="AG93" i="33"/>
  <c r="AG94" i="33"/>
  <c r="AG95" i="33"/>
  <c r="AG96" i="33"/>
  <c r="AG97" i="33"/>
  <c r="AG98" i="33"/>
  <c r="AG99" i="33"/>
  <c r="AG100" i="33"/>
  <c r="AG101" i="33"/>
  <c r="AG102" i="33"/>
  <c r="AG103" i="33"/>
  <c r="AG104" i="33"/>
  <c r="AG105" i="33"/>
  <c r="AG106" i="33"/>
  <c r="AG107" i="33"/>
  <c r="AG108" i="33"/>
  <c r="AG109" i="33"/>
  <c r="AG110" i="33"/>
  <c r="AG111" i="33"/>
  <c r="AG112" i="33"/>
  <c r="AG113" i="33"/>
  <c r="AG114" i="33"/>
  <c r="AG115" i="33"/>
  <c r="AG116" i="33"/>
  <c r="AG117" i="33"/>
  <c r="AG118" i="33"/>
  <c r="AG119" i="33"/>
  <c r="AG120" i="33"/>
  <c r="AG121" i="33"/>
  <c r="AG122" i="33"/>
  <c r="AG123" i="33"/>
  <c r="AG125" i="33"/>
  <c r="AG126" i="33"/>
  <c r="AG127" i="33"/>
  <c r="AG128" i="33"/>
  <c r="AG129" i="33"/>
  <c r="AG130" i="33"/>
  <c r="AG131" i="33"/>
  <c r="AG132" i="33"/>
  <c r="AG133" i="33"/>
  <c r="AG134" i="33"/>
  <c r="AG135" i="33"/>
  <c r="AG136" i="33"/>
  <c r="AG92" i="33"/>
  <c r="AB140" i="33"/>
  <c r="AC140" i="33"/>
  <c r="AB141" i="33"/>
  <c r="AC141" i="33"/>
  <c r="AB142" i="33"/>
  <c r="AC142" i="33"/>
  <c r="AB143" i="33"/>
  <c r="AC143" i="33"/>
  <c r="AB144" i="33"/>
  <c r="AC144" i="33"/>
  <c r="AB145" i="33"/>
  <c r="AC145" i="33"/>
  <c r="AB146" i="33"/>
  <c r="AC146" i="33"/>
  <c r="AB147" i="33"/>
  <c r="AC147" i="33"/>
  <c r="AB148" i="33"/>
  <c r="AC148" i="33"/>
  <c r="AB149" i="33"/>
  <c r="AC149" i="33"/>
  <c r="AB150" i="33"/>
  <c r="AC150" i="33"/>
  <c r="AB151" i="33"/>
  <c r="AC151" i="33"/>
  <c r="AB152" i="33"/>
  <c r="AC152" i="33"/>
  <c r="AB153" i="33"/>
  <c r="AC153" i="33"/>
  <c r="AB154" i="33"/>
  <c r="AC154" i="33"/>
  <c r="AB155" i="33"/>
  <c r="AC155" i="33"/>
  <c r="AB156" i="33"/>
  <c r="AC156" i="33"/>
  <c r="AB157" i="33"/>
  <c r="AC157" i="33"/>
  <c r="AB158" i="33"/>
  <c r="AC158" i="33"/>
  <c r="AB159" i="33"/>
  <c r="AC159" i="33"/>
  <c r="AB160" i="33"/>
  <c r="AC160" i="33"/>
  <c r="AB161" i="33"/>
  <c r="AC161" i="33"/>
  <c r="AB162" i="33"/>
  <c r="AC162" i="33"/>
  <c r="AB163" i="33"/>
  <c r="AC163" i="33"/>
  <c r="AB164" i="33"/>
  <c r="AC164" i="33"/>
  <c r="AB165" i="33"/>
  <c r="AC165" i="33"/>
  <c r="AB166" i="33"/>
  <c r="AC166" i="33"/>
  <c r="AB167" i="33"/>
  <c r="AC167" i="33"/>
  <c r="AB168" i="33"/>
  <c r="AC168" i="33"/>
  <c r="AB169" i="33"/>
  <c r="AC169" i="33"/>
  <c r="AB170" i="33"/>
  <c r="AC170" i="33"/>
  <c r="AB171" i="33"/>
  <c r="AC171" i="33"/>
  <c r="AB172" i="33"/>
  <c r="AC172" i="33"/>
  <c r="AB173" i="33"/>
  <c r="AC173" i="33"/>
  <c r="AB174" i="33"/>
  <c r="AC174" i="33"/>
  <c r="AB175" i="33"/>
  <c r="AC175" i="33"/>
  <c r="AB176" i="33"/>
  <c r="AC176" i="33"/>
  <c r="AB177" i="33"/>
  <c r="AC177" i="33"/>
  <c r="AB178" i="33"/>
  <c r="AC178" i="33"/>
  <c r="AB179" i="33"/>
  <c r="AC179" i="33"/>
  <c r="AB180" i="33"/>
  <c r="AC180" i="33"/>
  <c r="AB181" i="33"/>
  <c r="AC181" i="33"/>
  <c r="AB182" i="33"/>
  <c r="AC182" i="33"/>
  <c r="AB183" i="33"/>
  <c r="AC183" i="33"/>
  <c r="AB184" i="33"/>
  <c r="AC184" i="33"/>
  <c r="AB185" i="33"/>
  <c r="AC185" i="33"/>
  <c r="AB186" i="33"/>
  <c r="AC186" i="33"/>
  <c r="AB187" i="33"/>
  <c r="AC187" i="33"/>
  <c r="AB188" i="33"/>
  <c r="AC188" i="33"/>
  <c r="AB189" i="33"/>
  <c r="AC189" i="33"/>
  <c r="AB190" i="33"/>
  <c r="AC190" i="33"/>
  <c r="AB191" i="33"/>
  <c r="AC191" i="33"/>
  <c r="AB192" i="33"/>
  <c r="AC192" i="33"/>
  <c r="AB193" i="33"/>
  <c r="AC193" i="33"/>
  <c r="AB194" i="33"/>
  <c r="AC194" i="33"/>
  <c r="AB195" i="33"/>
  <c r="AC195" i="33"/>
  <c r="AB196" i="33"/>
  <c r="AC196" i="33"/>
  <c r="AB197" i="33"/>
  <c r="AC197" i="33"/>
  <c r="AB198" i="33"/>
  <c r="AC198" i="33"/>
  <c r="AB199" i="33"/>
  <c r="AC199" i="33"/>
  <c r="AB200" i="33"/>
  <c r="AC200" i="33"/>
  <c r="AB201" i="33"/>
  <c r="AC201" i="33"/>
  <c r="AB202" i="33"/>
  <c r="AC202" i="33"/>
  <c r="AB203" i="33"/>
  <c r="AC203" i="33"/>
  <c r="AB204" i="33"/>
  <c r="AC204" i="33"/>
  <c r="AB205" i="33"/>
  <c r="AC205" i="33"/>
  <c r="AB206" i="33"/>
  <c r="AC206" i="33"/>
  <c r="AB139" i="33"/>
  <c r="AC139" i="33"/>
  <c r="AB96" i="33"/>
  <c r="AC96" i="33"/>
  <c r="AB97" i="33"/>
  <c r="AC97" i="33"/>
  <c r="AB98" i="33"/>
  <c r="AC98" i="33"/>
  <c r="AB99" i="33"/>
  <c r="AC99" i="33"/>
  <c r="AB100" i="33"/>
  <c r="AC100" i="33"/>
  <c r="AB101" i="33"/>
  <c r="AC101" i="33"/>
  <c r="AB102" i="33"/>
  <c r="AC102" i="33"/>
  <c r="AB103" i="33"/>
  <c r="AC103" i="33"/>
  <c r="AB104" i="33"/>
  <c r="AC104" i="33"/>
  <c r="AB105" i="33"/>
  <c r="AC105" i="33"/>
  <c r="AB106" i="33"/>
  <c r="AC106" i="33"/>
  <c r="AB107" i="33"/>
  <c r="AC107" i="33"/>
  <c r="AB108" i="33"/>
  <c r="AC108" i="33"/>
  <c r="AB109" i="33"/>
  <c r="AC109" i="33"/>
  <c r="AB110" i="33"/>
  <c r="AC110" i="33"/>
  <c r="AB111" i="33"/>
  <c r="AC111" i="33"/>
  <c r="AB112" i="33"/>
  <c r="AC112" i="33"/>
  <c r="AB113" i="33"/>
  <c r="AC113" i="33"/>
  <c r="AB114" i="33"/>
  <c r="AC114" i="33"/>
  <c r="AB115" i="33"/>
  <c r="AC115" i="33"/>
  <c r="AB116" i="33"/>
  <c r="AC116" i="33"/>
  <c r="AB117" i="33"/>
  <c r="AC117" i="33"/>
  <c r="AB118" i="33"/>
  <c r="AC118" i="33"/>
  <c r="AB119" i="33"/>
  <c r="AC119" i="33"/>
  <c r="AB120" i="33"/>
  <c r="AC120" i="33"/>
  <c r="AB121" i="33"/>
  <c r="AC121" i="33"/>
  <c r="AB122" i="33"/>
  <c r="AC122" i="33"/>
  <c r="AB123" i="33"/>
  <c r="AC123" i="33"/>
  <c r="AB124" i="33"/>
  <c r="AC124" i="33"/>
  <c r="AB125" i="33"/>
  <c r="AC125" i="33"/>
  <c r="AB126" i="33"/>
  <c r="AC126" i="33"/>
  <c r="AB127" i="33"/>
  <c r="AC127" i="33"/>
  <c r="AB128" i="33"/>
  <c r="AC128" i="33"/>
  <c r="AB129" i="33"/>
  <c r="AC129" i="33"/>
  <c r="AB130" i="33"/>
  <c r="AC130" i="33"/>
  <c r="AB131" i="33"/>
  <c r="AC131" i="33"/>
  <c r="AB132" i="33"/>
  <c r="AC132" i="33"/>
  <c r="AB133" i="33"/>
  <c r="AC133" i="33"/>
  <c r="AB134" i="33"/>
  <c r="AC134" i="33"/>
  <c r="AB135" i="33"/>
  <c r="AC135" i="33"/>
  <c r="AB136" i="33"/>
  <c r="AC136" i="33"/>
  <c r="AB92" i="33"/>
  <c r="AC92" i="33"/>
  <c r="AB93" i="33"/>
  <c r="AC93" i="33"/>
  <c r="AB94" i="33"/>
  <c r="AC94" i="33"/>
  <c r="AB95" i="33"/>
  <c r="AC95" i="33"/>
  <c r="L3" i="21"/>
  <c r="L4" i="21"/>
  <c r="L5" i="21"/>
  <c r="L6" i="21"/>
  <c r="L7" i="21"/>
  <c r="L8" i="21"/>
  <c r="L9" i="21"/>
  <c r="L10" i="21"/>
  <c r="L11" i="21"/>
  <c r="L12" i="21"/>
  <c r="L13" i="21"/>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3" i="21"/>
  <c r="L44" i="21"/>
  <c r="L45" i="21"/>
  <c r="L46" i="21"/>
  <c r="L47" i="21"/>
  <c r="L48" i="21"/>
  <c r="L49" i="21"/>
  <c r="L50" i="21"/>
  <c r="L51" i="21"/>
  <c r="L52" i="21"/>
  <c r="L53" i="21"/>
  <c r="L54" i="21"/>
  <c r="L55" i="21"/>
  <c r="L56" i="21"/>
  <c r="L57" i="21"/>
  <c r="L58" i="21"/>
  <c r="L59" i="21"/>
  <c r="L60" i="21"/>
  <c r="L61" i="21"/>
  <c r="L62" i="21"/>
  <c r="L63" i="21"/>
  <c r="L64" i="21"/>
  <c r="L65" i="21"/>
  <c r="L66" i="21"/>
  <c r="L67" i="21"/>
  <c r="L68" i="21"/>
  <c r="L69" i="21"/>
  <c r="L2" i="21"/>
  <c r="E55" i="21"/>
  <c r="E54" i="21"/>
  <c r="E38" i="21"/>
  <c r="E37" i="21"/>
  <c r="E32" i="21"/>
  <c r="E33" i="21"/>
  <c r="E34" i="21"/>
  <c r="E31" i="2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5" i="21"/>
  <c r="E36" i="21"/>
  <c r="E39" i="21"/>
  <c r="E40" i="21"/>
  <c r="E41" i="21"/>
  <c r="E42" i="21"/>
  <c r="E43" i="21"/>
  <c r="E44" i="21"/>
  <c r="E45" i="21"/>
  <c r="E46" i="21"/>
  <c r="E47" i="21"/>
  <c r="E48" i="21"/>
  <c r="E49" i="21"/>
  <c r="E51" i="21"/>
  <c r="E52" i="21"/>
  <c r="E53" i="21"/>
  <c r="E56" i="21"/>
  <c r="E57" i="21"/>
  <c r="E58" i="21"/>
  <c r="E59" i="21"/>
  <c r="E60" i="21"/>
  <c r="E61" i="21"/>
  <c r="E62" i="21"/>
  <c r="E63" i="21"/>
  <c r="E64" i="21"/>
  <c r="E65" i="21"/>
  <c r="E66" i="21"/>
  <c r="E67" i="21"/>
  <c r="E68" i="21"/>
  <c r="E69" i="21"/>
  <c r="E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2" i="21"/>
  <c r="B55" i="21"/>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1" i="21"/>
  <c r="B52" i="21"/>
  <c r="B53" i="21"/>
  <c r="B54" i="21"/>
  <c r="B56" i="21"/>
  <c r="B57" i="21"/>
  <c r="B58" i="21"/>
  <c r="B59" i="21"/>
  <c r="B60" i="21"/>
  <c r="B61" i="21"/>
  <c r="B62" i="21"/>
  <c r="B63" i="21"/>
  <c r="B64" i="21"/>
  <c r="B65" i="21"/>
  <c r="B66" i="21"/>
  <c r="B67" i="21"/>
  <c r="B68" i="21"/>
  <c r="B69" i="21"/>
  <c r="B2" i="21"/>
  <c r="A3" i="21"/>
  <c r="A4" i="21"/>
  <c r="A5" i="21"/>
  <c r="A6" i="21"/>
  <c r="A7" i="21"/>
  <c r="A8" i="21"/>
  <c r="A9" i="21"/>
  <c r="A10" i="21"/>
  <c r="A11" i="21"/>
  <c r="A12" i="21"/>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42" i="21"/>
  <c r="A43" i="21"/>
  <c r="A44" i="21"/>
  <c r="A45" i="21"/>
  <c r="A46" i="21"/>
  <c r="A47" i="21"/>
  <c r="A48" i="21"/>
  <c r="A49" i="21"/>
  <c r="A50" i="21"/>
  <c r="A51" i="21"/>
  <c r="A52" i="21"/>
  <c r="A53" i="21"/>
  <c r="A54" i="21"/>
  <c r="A55" i="21"/>
  <c r="A56" i="21"/>
  <c r="A57" i="21"/>
  <c r="A58" i="21"/>
  <c r="A59" i="21"/>
  <c r="A60" i="21"/>
  <c r="A61" i="21"/>
  <c r="A62" i="21"/>
  <c r="A63" i="21"/>
  <c r="A64" i="21"/>
  <c r="A65" i="21"/>
  <c r="A66" i="21"/>
  <c r="A67" i="21"/>
  <c r="A68" i="21"/>
  <c r="A69" i="21"/>
  <c r="A2" i="21"/>
  <c r="AD2" i="21" s="1" a="1"/>
  <c r="AD2" i="21" s="1"/>
  <c r="O69" i="21"/>
  <c r="P69" i="21"/>
  <c r="Q69" i="21"/>
  <c r="R69" i="21"/>
  <c r="S69" i="21"/>
  <c r="T69" i="21"/>
  <c r="O63" i="21"/>
  <c r="P63" i="21"/>
  <c r="Q63" i="21"/>
  <c r="R63" i="21"/>
  <c r="S63" i="21"/>
  <c r="T63" i="21"/>
  <c r="O64" i="21"/>
  <c r="P64" i="21"/>
  <c r="Q64" i="21"/>
  <c r="R64" i="21"/>
  <c r="S64" i="21"/>
  <c r="T64" i="21"/>
  <c r="O65" i="21"/>
  <c r="P65" i="21"/>
  <c r="Q65" i="21"/>
  <c r="R65" i="21"/>
  <c r="S65" i="21"/>
  <c r="T65" i="21"/>
  <c r="O66" i="21"/>
  <c r="P66" i="21"/>
  <c r="Q66" i="21"/>
  <c r="R66" i="21"/>
  <c r="S66" i="21"/>
  <c r="T66" i="21"/>
  <c r="O67" i="21"/>
  <c r="P67" i="21"/>
  <c r="Q67" i="21"/>
  <c r="R67" i="21"/>
  <c r="S67" i="21"/>
  <c r="T67" i="21"/>
  <c r="O68" i="21"/>
  <c r="P68" i="21"/>
  <c r="Q68" i="21"/>
  <c r="R68" i="21"/>
  <c r="S68" i="21"/>
  <c r="T68" i="21"/>
  <c r="O3" i="21"/>
  <c r="P3" i="21"/>
  <c r="Q3" i="21"/>
  <c r="R3" i="21"/>
  <c r="S3" i="21"/>
  <c r="T3" i="21"/>
  <c r="O4" i="21"/>
  <c r="P4" i="21"/>
  <c r="Q4" i="21"/>
  <c r="R4" i="21"/>
  <c r="S4" i="21"/>
  <c r="T4" i="21"/>
  <c r="O5" i="21"/>
  <c r="P5" i="21"/>
  <c r="Q5" i="21"/>
  <c r="R5" i="21"/>
  <c r="S5" i="21"/>
  <c r="T5" i="21"/>
  <c r="O6" i="21"/>
  <c r="P6" i="21"/>
  <c r="Q6" i="21"/>
  <c r="R6" i="21"/>
  <c r="S6" i="21"/>
  <c r="T6" i="21"/>
  <c r="O7" i="21"/>
  <c r="P7" i="21"/>
  <c r="Q7" i="21"/>
  <c r="R7" i="21"/>
  <c r="S7" i="21"/>
  <c r="T7" i="21"/>
  <c r="O8" i="21"/>
  <c r="P8" i="21"/>
  <c r="Q8" i="21"/>
  <c r="R8" i="21"/>
  <c r="S8" i="21"/>
  <c r="T8" i="21"/>
  <c r="O9" i="21"/>
  <c r="P9" i="21"/>
  <c r="Q9" i="21"/>
  <c r="R9" i="21"/>
  <c r="S9" i="21"/>
  <c r="T9" i="21"/>
  <c r="O10" i="21"/>
  <c r="P10" i="21"/>
  <c r="Q10" i="21"/>
  <c r="R10" i="21"/>
  <c r="S10" i="21"/>
  <c r="T10" i="21"/>
  <c r="O11" i="21"/>
  <c r="P11" i="21"/>
  <c r="Q11" i="21"/>
  <c r="R11" i="21"/>
  <c r="S11" i="21"/>
  <c r="T11" i="21"/>
  <c r="O12" i="21"/>
  <c r="P12" i="21"/>
  <c r="Q12" i="21"/>
  <c r="R12" i="21"/>
  <c r="S12" i="21"/>
  <c r="T12" i="21"/>
  <c r="O13" i="21"/>
  <c r="P13" i="21"/>
  <c r="Q13" i="21"/>
  <c r="R13" i="21"/>
  <c r="S13" i="21"/>
  <c r="T13" i="21"/>
  <c r="O14" i="21"/>
  <c r="P14" i="21"/>
  <c r="Q14" i="21"/>
  <c r="R14" i="21"/>
  <c r="S14" i="21"/>
  <c r="T14" i="21"/>
  <c r="O15" i="21"/>
  <c r="P15" i="21"/>
  <c r="Q15" i="21"/>
  <c r="R15" i="21"/>
  <c r="S15" i="21"/>
  <c r="T15" i="21"/>
  <c r="O16" i="21"/>
  <c r="P16" i="21"/>
  <c r="Q16" i="21"/>
  <c r="R16" i="21"/>
  <c r="S16" i="21"/>
  <c r="T16" i="21"/>
  <c r="O17" i="21"/>
  <c r="P17" i="21"/>
  <c r="Q17" i="21"/>
  <c r="R17" i="21"/>
  <c r="S17" i="21"/>
  <c r="T17" i="21"/>
  <c r="O18" i="21"/>
  <c r="P18" i="21"/>
  <c r="Q18" i="21"/>
  <c r="R18" i="21"/>
  <c r="S18" i="21"/>
  <c r="T18" i="21"/>
  <c r="O19" i="21"/>
  <c r="P19" i="21"/>
  <c r="Q19" i="21"/>
  <c r="R19" i="21"/>
  <c r="S19" i="21"/>
  <c r="T19" i="21"/>
  <c r="O20" i="21"/>
  <c r="P20" i="21"/>
  <c r="Q20" i="21"/>
  <c r="R20" i="21"/>
  <c r="S20" i="21"/>
  <c r="T20" i="21"/>
  <c r="O21" i="21"/>
  <c r="P21" i="21"/>
  <c r="Q21" i="21"/>
  <c r="R21" i="21"/>
  <c r="S21" i="21"/>
  <c r="T21" i="21"/>
  <c r="O22" i="21"/>
  <c r="P22" i="21"/>
  <c r="Q22" i="21"/>
  <c r="R22" i="21"/>
  <c r="S22" i="21"/>
  <c r="T22" i="21"/>
  <c r="O23" i="21"/>
  <c r="P23" i="21"/>
  <c r="Q23" i="21"/>
  <c r="R23" i="21"/>
  <c r="S23" i="21"/>
  <c r="T23" i="21"/>
  <c r="O24" i="21"/>
  <c r="P24" i="21"/>
  <c r="Q24" i="21"/>
  <c r="R24" i="21"/>
  <c r="S24" i="21"/>
  <c r="T24" i="21"/>
  <c r="O25" i="21"/>
  <c r="P25" i="21"/>
  <c r="Q25" i="21"/>
  <c r="R25" i="21"/>
  <c r="S25" i="21"/>
  <c r="T25" i="21"/>
  <c r="O26" i="21"/>
  <c r="P26" i="21"/>
  <c r="Q26" i="21"/>
  <c r="R26" i="21"/>
  <c r="S26" i="21"/>
  <c r="T26" i="21"/>
  <c r="O27" i="21"/>
  <c r="P27" i="21"/>
  <c r="Q27" i="21"/>
  <c r="R27" i="21"/>
  <c r="S27" i="21"/>
  <c r="T27" i="21"/>
  <c r="O28" i="21"/>
  <c r="P28" i="21"/>
  <c r="Q28" i="21"/>
  <c r="R28" i="21"/>
  <c r="S28" i="21"/>
  <c r="T28" i="21"/>
  <c r="O29" i="21"/>
  <c r="P29" i="21"/>
  <c r="Q29" i="21"/>
  <c r="R29" i="21"/>
  <c r="S29" i="21"/>
  <c r="T29" i="21"/>
  <c r="O30" i="21"/>
  <c r="P30" i="21"/>
  <c r="Q30" i="21"/>
  <c r="R30" i="21"/>
  <c r="S30" i="21"/>
  <c r="T30" i="21"/>
  <c r="O31" i="21"/>
  <c r="P31" i="21"/>
  <c r="Q31" i="21"/>
  <c r="R31" i="21"/>
  <c r="S31" i="21"/>
  <c r="T31" i="21"/>
  <c r="O32" i="21"/>
  <c r="P32" i="21"/>
  <c r="Q32" i="21"/>
  <c r="R32" i="21"/>
  <c r="S32" i="21"/>
  <c r="T32" i="21"/>
  <c r="O33" i="21"/>
  <c r="P33" i="21"/>
  <c r="Q33" i="21"/>
  <c r="R33" i="21"/>
  <c r="S33" i="21"/>
  <c r="T33" i="21"/>
  <c r="O34" i="21"/>
  <c r="P34" i="21"/>
  <c r="Q34" i="21"/>
  <c r="R34" i="21"/>
  <c r="S34" i="21"/>
  <c r="T34" i="21"/>
  <c r="O35" i="21"/>
  <c r="P35" i="21"/>
  <c r="Q35" i="21"/>
  <c r="R35" i="21"/>
  <c r="S35" i="21"/>
  <c r="T35" i="21"/>
  <c r="O36" i="21"/>
  <c r="P36" i="21"/>
  <c r="Q36" i="21"/>
  <c r="R36" i="21"/>
  <c r="S36" i="21"/>
  <c r="T36" i="21"/>
  <c r="O37" i="21"/>
  <c r="P37" i="21"/>
  <c r="Q37" i="21"/>
  <c r="R37" i="21"/>
  <c r="S37" i="21"/>
  <c r="T37" i="21"/>
  <c r="O38" i="21"/>
  <c r="P38" i="21"/>
  <c r="Q38" i="21"/>
  <c r="R38" i="21"/>
  <c r="S38" i="21"/>
  <c r="T38" i="21"/>
  <c r="O39" i="21"/>
  <c r="P39" i="21"/>
  <c r="Q39" i="21"/>
  <c r="R39" i="21"/>
  <c r="S39" i="21"/>
  <c r="T39" i="21"/>
  <c r="O40" i="21"/>
  <c r="P40" i="21"/>
  <c r="Q40" i="21"/>
  <c r="R40" i="21"/>
  <c r="S40" i="21"/>
  <c r="T40" i="21"/>
  <c r="O41" i="21"/>
  <c r="P41" i="21"/>
  <c r="Q41" i="21"/>
  <c r="R41" i="21"/>
  <c r="S41" i="21"/>
  <c r="T41" i="21"/>
  <c r="O42" i="21"/>
  <c r="P42" i="21"/>
  <c r="Q42" i="21"/>
  <c r="R42" i="21"/>
  <c r="S42" i="21"/>
  <c r="T42" i="21"/>
  <c r="O43" i="21"/>
  <c r="P43" i="21"/>
  <c r="Q43" i="21"/>
  <c r="R43" i="21"/>
  <c r="S43" i="21"/>
  <c r="T43" i="21"/>
  <c r="O44" i="21"/>
  <c r="P44" i="21"/>
  <c r="Q44" i="21"/>
  <c r="R44" i="21"/>
  <c r="S44" i="21"/>
  <c r="T44" i="21"/>
  <c r="O45" i="21"/>
  <c r="P45" i="21"/>
  <c r="Q45" i="21"/>
  <c r="R45" i="21"/>
  <c r="S45" i="21"/>
  <c r="T45" i="21"/>
  <c r="O46" i="21"/>
  <c r="P46" i="21"/>
  <c r="Q46" i="21"/>
  <c r="R46" i="21"/>
  <c r="S46" i="21"/>
  <c r="T46" i="21"/>
  <c r="O47" i="21"/>
  <c r="P47" i="21"/>
  <c r="Q47" i="21"/>
  <c r="R47" i="21"/>
  <c r="S47" i="21"/>
  <c r="T47" i="21"/>
  <c r="O48" i="21"/>
  <c r="P48" i="21"/>
  <c r="Q48" i="21"/>
  <c r="R48" i="21"/>
  <c r="S48" i="21"/>
  <c r="T48" i="21"/>
  <c r="O49" i="21"/>
  <c r="P49" i="21"/>
  <c r="Q49" i="21"/>
  <c r="R49" i="21"/>
  <c r="S49" i="21"/>
  <c r="T49" i="21"/>
  <c r="O50" i="21"/>
  <c r="P50" i="21"/>
  <c r="Q50" i="21"/>
  <c r="R50" i="21"/>
  <c r="S50" i="21"/>
  <c r="T50" i="21"/>
  <c r="O51" i="21"/>
  <c r="P51" i="21"/>
  <c r="Q51" i="21"/>
  <c r="R51" i="21"/>
  <c r="S51" i="21"/>
  <c r="T51" i="21"/>
  <c r="O52" i="21"/>
  <c r="P52" i="21"/>
  <c r="Q52" i="21"/>
  <c r="R52" i="21"/>
  <c r="S52" i="21"/>
  <c r="T52" i="21"/>
  <c r="O53" i="21"/>
  <c r="P53" i="21"/>
  <c r="Q53" i="21"/>
  <c r="R53" i="21"/>
  <c r="S53" i="21"/>
  <c r="T53" i="21"/>
  <c r="O54" i="21"/>
  <c r="P54" i="21"/>
  <c r="Q54" i="21"/>
  <c r="R54" i="21"/>
  <c r="S54" i="21"/>
  <c r="T54" i="21"/>
  <c r="O55" i="21"/>
  <c r="P55" i="21"/>
  <c r="Q55" i="21"/>
  <c r="R55" i="21"/>
  <c r="S55" i="21"/>
  <c r="T55" i="21"/>
  <c r="O56" i="21"/>
  <c r="P56" i="21"/>
  <c r="Q56" i="21"/>
  <c r="R56" i="21"/>
  <c r="S56" i="21"/>
  <c r="T56" i="21"/>
  <c r="O57" i="21"/>
  <c r="P57" i="21"/>
  <c r="Q57" i="21"/>
  <c r="R57" i="21"/>
  <c r="S57" i="21"/>
  <c r="T57" i="21"/>
  <c r="O58" i="21"/>
  <c r="P58" i="21"/>
  <c r="Q58" i="21"/>
  <c r="R58" i="21"/>
  <c r="S58" i="21"/>
  <c r="T58" i="21"/>
  <c r="O59" i="21"/>
  <c r="P59" i="21"/>
  <c r="Q59" i="21"/>
  <c r="R59" i="21"/>
  <c r="S59" i="21"/>
  <c r="T59" i="21"/>
  <c r="O60" i="21"/>
  <c r="P60" i="21"/>
  <c r="Q60" i="21"/>
  <c r="R60" i="21"/>
  <c r="S60" i="21"/>
  <c r="T60" i="21"/>
  <c r="O61" i="21"/>
  <c r="P61" i="21"/>
  <c r="Q61" i="21"/>
  <c r="R61" i="21"/>
  <c r="S61" i="21"/>
  <c r="T61" i="21"/>
  <c r="O62" i="21"/>
  <c r="P62" i="21"/>
  <c r="Q62" i="21"/>
  <c r="R62" i="21"/>
  <c r="S62" i="21"/>
  <c r="T62" i="21"/>
  <c r="P2" i="21"/>
  <c r="Q2" i="21"/>
  <c r="R2" i="21"/>
  <c r="S2" i="21"/>
  <c r="T2" i="21"/>
  <c r="O2" i="21"/>
  <c r="AF184" i="6"/>
  <c r="AF176" i="6"/>
  <c r="AF172" i="6"/>
  <c r="AF161" i="6"/>
  <c r="AF157" i="6"/>
  <c r="AF152"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148" i="6"/>
  <c r="A215" i="6"/>
  <c r="A212" i="6"/>
  <c r="A213" i="6"/>
  <c r="A214" i="6"/>
  <c r="A210" i="6"/>
  <c r="A211"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148" i="6"/>
  <c r="Z68" i="21" l="1" a="1"/>
  <c r="Z68" i="21" s="1"/>
  <c r="AJ68" i="21"/>
  <c r="AA52" i="21" a="1"/>
  <c r="AA52" i="21" s="1"/>
  <c r="AJ52" i="21"/>
  <c r="AD36" i="21" a="1"/>
  <c r="AD36" i="21" s="1"/>
  <c r="AJ36" i="21"/>
  <c r="V20" i="21" a="1"/>
  <c r="V20" i="21" s="1"/>
  <c r="AJ20" i="21"/>
  <c r="AG4" i="21" a="1"/>
  <c r="AG4" i="21" s="1"/>
  <c r="AJ4" i="21"/>
  <c r="AD19" i="21" a="1"/>
  <c r="AD19" i="21" s="1"/>
  <c r="AJ19" i="21"/>
  <c r="W3" i="21" a="1"/>
  <c r="W3" i="21" s="1"/>
  <c r="AJ3" i="21"/>
  <c r="AG66" i="21" a="1"/>
  <c r="AG66" i="21" s="1"/>
  <c r="AJ66" i="21"/>
  <c r="AG50" i="21" a="1"/>
  <c r="AG50" i="21" s="1"/>
  <c r="AJ50" i="21"/>
  <c r="X34" i="21" a="1"/>
  <c r="X34" i="21" s="1"/>
  <c r="AJ34" i="21"/>
  <c r="AH18" i="21" a="1"/>
  <c r="AH18" i="21" s="1"/>
  <c r="AJ18" i="21"/>
  <c r="Y65" i="21" a="1"/>
  <c r="Y65" i="21" s="1"/>
  <c r="AJ65" i="21"/>
  <c r="AD49" i="21" a="1"/>
  <c r="AD49" i="21" s="1"/>
  <c r="AJ49" i="21"/>
  <c r="AD33" i="21" a="1"/>
  <c r="AD33" i="21" s="1"/>
  <c r="AJ33" i="21"/>
  <c r="AC17" i="21" a="1"/>
  <c r="AC17" i="21" s="1"/>
  <c r="AJ17" i="21"/>
  <c r="AD64" i="21" a="1"/>
  <c r="AD64" i="21" s="1"/>
  <c r="AJ64" i="21"/>
  <c r="AD48" i="21" a="1"/>
  <c r="AD48" i="21" s="1"/>
  <c r="AJ48" i="21"/>
  <c r="W32" i="21" a="1"/>
  <c r="W32" i="21" s="1"/>
  <c r="AJ32" i="21"/>
  <c r="AD16" i="21" a="1"/>
  <c r="AD16" i="21" s="1"/>
  <c r="AJ16" i="21"/>
  <c r="AF63" i="21" a="1"/>
  <c r="AF63" i="21" s="1"/>
  <c r="AJ63" i="21"/>
  <c r="AF47" i="21" a="1"/>
  <c r="AF47" i="21" s="1"/>
  <c r="AJ47" i="21"/>
  <c r="W31" i="21" a="1"/>
  <c r="W31" i="21" s="1"/>
  <c r="AJ31" i="21"/>
  <c r="AH15" i="21" a="1"/>
  <c r="AH15" i="21" s="1"/>
  <c r="AJ15" i="21"/>
  <c r="X62" i="21" a="1"/>
  <c r="X62" i="21" s="1"/>
  <c r="AJ62" i="21"/>
  <c r="AC46" i="21" a="1"/>
  <c r="AC46" i="21" s="1"/>
  <c r="AJ46" i="21"/>
  <c r="AE30" i="21" a="1"/>
  <c r="AE30" i="21" s="1"/>
  <c r="AJ30" i="21"/>
  <c r="AC14" i="21" a="1"/>
  <c r="AC14" i="21" s="1"/>
  <c r="AJ14" i="21"/>
  <c r="AD61" i="21" a="1"/>
  <c r="AD61" i="21" s="1"/>
  <c r="AJ61" i="21"/>
  <c r="AD45" i="21" a="1"/>
  <c r="AD45" i="21" s="1"/>
  <c r="AJ45" i="21"/>
  <c r="AC29" i="21" a="1"/>
  <c r="AC29" i="21" s="1"/>
  <c r="AJ29" i="21"/>
  <c r="AD13" i="21" a="1"/>
  <c r="AD13" i="21" s="1"/>
  <c r="AJ13" i="21"/>
  <c r="AE60" i="21" a="1"/>
  <c r="AE60" i="21" s="1"/>
  <c r="AJ60" i="21"/>
  <c r="AF44" i="21" a="1"/>
  <c r="AF44" i="21" s="1"/>
  <c r="AJ44" i="21"/>
  <c r="W28" i="21" a="1"/>
  <c r="W28" i="21" s="1"/>
  <c r="AJ28" i="21"/>
  <c r="AC12" i="21" a="1"/>
  <c r="AC12" i="21" s="1"/>
  <c r="AJ12" i="21"/>
  <c r="W59" i="21" a="1"/>
  <c r="W59" i="21" s="1"/>
  <c r="AJ59" i="21"/>
  <c r="AA43" i="21" a="1"/>
  <c r="AA43" i="21" s="1"/>
  <c r="AJ43" i="21"/>
  <c r="AE27" i="21" a="1"/>
  <c r="AE27" i="21" s="1"/>
  <c r="AJ27" i="21"/>
  <c r="V11" i="21" a="1"/>
  <c r="V11" i="21" s="1"/>
  <c r="AJ11" i="21"/>
  <c r="AD67" i="21" a="1"/>
  <c r="AD67" i="21" s="1"/>
  <c r="AJ67" i="21"/>
  <c r="AC58" i="21" a="1"/>
  <c r="AC58" i="21" s="1"/>
  <c r="AJ58" i="21"/>
  <c r="AC42" i="21" a="1"/>
  <c r="AC42" i="21" s="1"/>
  <c r="AJ42" i="21"/>
  <c r="V26" i="21" a="1"/>
  <c r="V26" i="21" s="1"/>
  <c r="AJ26" i="21"/>
  <c r="AE10" i="21" a="1"/>
  <c r="AE10" i="21" s="1"/>
  <c r="AJ10" i="21"/>
  <c r="AD57" i="21" a="1"/>
  <c r="AD57" i="21" s="1"/>
  <c r="AJ57" i="21"/>
  <c r="AF41" i="21" a="1"/>
  <c r="AF41" i="21" s="1"/>
  <c r="AJ41" i="21"/>
  <c r="W25" i="21" a="1"/>
  <c r="W25" i="21" s="1"/>
  <c r="AJ25" i="21"/>
  <c r="W9" i="21" a="1"/>
  <c r="W9" i="21" s="1"/>
  <c r="AJ9" i="21"/>
  <c r="AC56" i="21" a="1"/>
  <c r="AC56" i="21" s="1"/>
  <c r="AJ56" i="21"/>
  <c r="Z40" i="21" a="1"/>
  <c r="Z40" i="21" s="1"/>
  <c r="AJ40" i="21"/>
  <c r="AF24" i="21" a="1"/>
  <c r="AF24" i="21" s="1"/>
  <c r="AJ24" i="21"/>
  <c r="V8" i="21" a="1"/>
  <c r="V8" i="21" s="1"/>
  <c r="AJ8" i="21"/>
  <c r="AC55" i="21" a="1"/>
  <c r="AC55" i="21" s="1"/>
  <c r="AJ55" i="21"/>
  <c r="V39" i="21" a="1"/>
  <c r="V39" i="21" s="1"/>
  <c r="AJ39" i="21"/>
  <c r="V23" i="21" a="1"/>
  <c r="V23" i="21" s="1"/>
  <c r="AJ23" i="21"/>
  <c r="AF7" i="21" a="1"/>
  <c r="AF7" i="21" s="1"/>
  <c r="AJ7" i="21"/>
  <c r="AH35" i="21" a="1"/>
  <c r="AH35" i="21" s="1"/>
  <c r="AJ35" i="21"/>
  <c r="AD54" i="21" a="1"/>
  <c r="AD54" i="21" s="1"/>
  <c r="AJ54" i="21"/>
  <c r="AG38" i="21" a="1"/>
  <c r="AG38" i="21" s="1"/>
  <c r="AJ38" i="21"/>
  <c r="W22" i="21" a="1"/>
  <c r="W22" i="21" s="1"/>
  <c r="AJ22" i="21"/>
  <c r="W6" i="21" a="1"/>
  <c r="W6" i="21" s="1"/>
  <c r="AJ6" i="21"/>
  <c r="AD51" i="21" a="1"/>
  <c r="AD51" i="21" s="1"/>
  <c r="AJ51" i="21"/>
  <c r="AH69" i="21" a="1"/>
  <c r="AH69" i="21" s="1"/>
  <c r="AJ69" i="21"/>
  <c r="AH53" i="21" a="1"/>
  <c r="AH53" i="21" s="1"/>
  <c r="AJ53" i="21"/>
  <c r="Y37" i="21" a="1"/>
  <c r="Y37" i="21" s="1"/>
  <c r="AJ37" i="21"/>
  <c r="AG21" i="21" a="1"/>
  <c r="AG21" i="21" s="1"/>
  <c r="AJ21" i="21"/>
  <c r="AA5" i="21" a="1"/>
  <c r="AA5" i="21" s="1"/>
  <c r="AJ5" i="21"/>
  <c r="X65" i="21" a="1"/>
  <c r="X65" i="21" s="1"/>
  <c r="AA46" i="21" a="1"/>
  <c r="AA46" i="21" s="1"/>
  <c r="Z27" i="21" a="1"/>
  <c r="Z27" i="21" s="1"/>
  <c r="Y8" i="21" a="1"/>
  <c r="Y8" i="21" s="1"/>
  <c r="AE63" i="21" a="1"/>
  <c r="AE63" i="21" s="1"/>
  <c r="AD44" i="21" a="1"/>
  <c r="AD44" i="21" s="1"/>
  <c r="AE7" i="21" a="1"/>
  <c r="AE7" i="21" s="1"/>
  <c r="W65" i="21" a="1"/>
  <c r="W65" i="21" s="1"/>
  <c r="Z46" i="21" a="1"/>
  <c r="Z46" i="21" s="1"/>
  <c r="Y27" i="21" a="1"/>
  <c r="Y27" i="21" s="1"/>
  <c r="AC68" i="21" a="1"/>
  <c r="AC68" i="21" s="1"/>
  <c r="AD63" i="21" a="1"/>
  <c r="AD63" i="21" s="1"/>
  <c r="AH43" i="21" a="1"/>
  <c r="AH43" i="21" s="1"/>
  <c r="AH26" i="21" a="1"/>
  <c r="AH26" i="21" s="1"/>
  <c r="AD7" i="21" a="1"/>
  <c r="AD7" i="21" s="1"/>
  <c r="AA64" i="21" a="1"/>
  <c r="AA64" i="21" s="1"/>
  <c r="Y46" i="21" a="1"/>
  <c r="Y46" i="21" s="1"/>
  <c r="AA24" i="21" a="1"/>
  <c r="AA24" i="21" s="1"/>
  <c r="AC67" i="21" a="1"/>
  <c r="AC67" i="21" s="1"/>
  <c r="AH62" i="21" a="1"/>
  <c r="AH62" i="21" s="1"/>
  <c r="AE24" i="21" a="1"/>
  <c r="AE24" i="21" s="1"/>
  <c r="AH6" i="21" a="1"/>
  <c r="AH6" i="21" s="1"/>
  <c r="W62" i="21" a="1"/>
  <c r="W62" i="21" s="1"/>
  <c r="Z43" i="21" a="1"/>
  <c r="Z43" i="21" s="1"/>
  <c r="Z24" i="21" a="1"/>
  <c r="Z24" i="21" s="1"/>
  <c r="AC54" i="21" a="1"/>
  <c r="AC54" i="21" s="1"/>
  <c r="AD60" i="21" a="1"/>
  <c r="AD60" i="21" s="1"/>
  <c r="AE41" i="21" a="1"/>
  <c r="AE41" i="21" s="1"/>
  <c r="AD24" i="21" a="1"/>
  <c r="AD24" i="21" s="1"/>
  <c r="AF4" i="21" a="1"/>
  <c r="AF4" i="21" s="1"/>
  <c r="AA61" i="21" a="1"/>
  <c r="AA61" i="21" s="1"/>
  <c r="Y43" i="21" a="1"/>
  <c r="Y43" i="21" s="1"/>
  <c r="Y24" i="21" a="1"/>
  <c r="Y24" i="21" s="1"/>
  <c r="AC40" i="21" a="1"/>
  <c r="AC40" i="21" s="1"/>
  <c r="AH59" i="21" a="1"/>
  <c r="AH59" i="21" s="1"/>
  <c r="AD41" i="21" a="1"/>
  <c r="AD41" i="21" s="1"/>
  <c r="AH23" i="21" a="1"/>
  <c r="AH23" i="21" s="1"/>
  <c r="Z61" i="21" a="1"/>
  <c r="Z61" i="21" s="1"/>
  <c r="X43" i="21" a="1"/>
  <c r="X43" i="21" s="1"/>
  <c r="Y18" i="21" a="1"/>
  <c r="Y18" i="21" s="1"/>
  <c r="AC39" i="21" a="1"/>
  <c r="AC39" i="21" s="1"/>
  <c r="AG59" i="21" a="1"/>
  <c r="AG59" i="21" s="1"/>
  <c r="AF38" i="21" a="1"/>
  <c r="AF38" i="21" s="1"/>
  <c r="AG18" i="21" a="1"/>
  <c r="AG18" i="21" s="1"/>
  <c r="V2" i="21" a="1"/>
  <c r="V2" i="21" s="1"/>
  <c r="AA58" i="21" a="1"/>
  <c r="AA58" i="21" s="1"/>
  <c r="Y40" i="21" a="1"/>
  <c r="Y40" i="21" s="1"/>
  <c r="X18" i="21" a="1"/>
  <c r="X18" i="21" s="1"/>
  <c r="AC38" i="21" a="1"/>
  <c r="AC38" i="21" s="1"/>
  <c r="AH56" i="21" a="1"/>
  <c r="AH56" i="21" s="1"/>
  <c r="AE38" i="21" a="1"/>
  <c r="AE38" i="21" s="1"/>
  <c r="AF18" i="21" a="1"/>
  <c r="AF18" i="21" s="1"/>
  <c r="V65" i="21" a="1"/>
  <c r="V65" i="21" s="1"/>
  <c r="Z58" i="21" a="1"/>
  <c r="Z58" i="21" s="1"/>
  <c r="X40" i="21" a="1"/>
  <c r="X40" i="21" s="1"/>
  <c r="W18" i="21" a="1"/>
  <c r="W18" i="21" s="1"/>
  <c r="AC26" i="21" a="1"/>
  <c r="AC26" i="21" s="1"/>
  <c r="AG56" i="21" a="1"/>
  <c r="AG56" i="21" s="1"/>
  <c r="AG35" i="21" a="1"/>
  <c r="AG35" i="21" s="1"/>
  <c r="AE18" i="21" a="1"/>
  <c r="AE18" i="21" s="1"/>
  <c r="V54" i="21" a="1"/>
  <c r="V54" i="21" s="1"/>
  <c r="Y58" i="21" a="1"/>
  <c r="Y58" i="21" s="1"/>
  <c r="W40" i="21" a="1"/>
  <c r="W40" i="21" s="1"/>
  <c r="X15" i="21" a="1"/>
  <c r="X15" i="21" s="1"/>
  <c r="AC25" i="21" a="1"/>
  <c r="AC25" i="21" s="1"/>
  <c r="AF56" i="21" a="1"/>
  <c r="AF56" i="21" s="1"/>
  <c r="AF35" i="21" a="1"/>
  <c r="AF35" i="21" s="1"/>
  <c r="V49" i="21" a="1"/>
  <c r="V49" i="21" s="1"/>
  <c r="Z55" i="21" a="1"/>
  <c r="Z55" i="21" s="1"/>
  <c r="W34" i="21" a="1"/>
  <c r="W34" i="21" s="1"/>
  <c r="W15" i="21" a="1"/>
  <c r="W15" i="21" s="1"/>
  <c r="AC24" i="21" a="1"/>
  <c r="AC24" i="21" s="1"/>
  <c r="AF50" i="21" a="1"/>
  <c r="AF50" i="21" s="1"/>
  <c r="AH32" i="21" a="1"/>
  <c r="AH32" i="21" s="1"/>
  <c r="AG15" i="21" a="1"/>
  <c r="AG15" i="21" s="1"/>
  <c r="V38" i="21" a="1"/>
  <c r="V38" i="21" s="1"/>
  <c r="Y55" i="21" a="1"/>
  <c r="Y55" i="21" s="1"/>
  <c r="AA33" i="21" a="1"/>
  <c r="AA33" i="21" s="1"/>
  <c r="AA14" i="21" a="1"/>
  <c r="AA14" i="21" s="1"/>
  <c r="AC11" i="21" a="1"/>
  <c r="AC11" i="21" s="1"/>
  <c r="AE50" i="21" a="1"/>
  <c r="AE50" i="21" s="1"/>
  <c r="AG32" i="21" a="1"/>
  <c r="AG32" i="21" s="1"/>
  <c r="AF15" i="21" a="1"/>
  <c r="AF15" i="21" s="1"/>
  <c r="V33" i="21" a="1"/>
  <c r="V33" i="21" s="1"/>
  <c r="X55" i="21" a="1"/>
  <c r="X55" i="21" s="1"/>
  <c r="Z33" i="21" a="1"/>
  <c r="Z33" i="21" s="1"/>
  <c r="W12" i="21" a="1"/>
  <c r="W12" i="21" s="1"/>
  <c r="AD50" i="21" a="1"/>
  <c r="AD50" i="21" s="1"/>
  <c r="AF32" i="21" a="1"/>
  <c r="AF32" i="21" s="1"/>
  <c r="AH12" i="21" a="1"/>
  <c r="AH12" i="21" s="1"/>
  <c r="V22" i="21" a="1"/>
  <c r="V22" i="21" s="1"/>
  <c r="Z52" i="21" a="1"/>
  <c r="Z52" i="21" s="1"/>
  <c r="AA30" i="21" a="1"/>
  <c r="AA30" i="21" s="1"/>
  <c r="AA11" i="21" a="1"/>
  <c r="AA11" i="21" s="1"/>
  <c r="AC10" i="21" a="1"/>
  <c r="AC10" i="21" s="1"/>
  <c r="AE47" i="21" a="1"/>
  <c r="AE47" i="21" s="1"/>
  <c r="AD30" i="21" a="1"/>
  <c r="AD30" i="21" s="1"/>
  <c r="AG12" i="21" a="1"/>
  <c r="AG12" i="21" s="1"/>
  <c r="V17" i="21" a="1"/>
  <c r="V17" i="21" s="1"/>
  <c r="AA49" i="21" a="1"/>
  <c r="AA49" i="21" s="1"/>
  <c r="Z30" i="21" a="1"/>
  <c r="Z30" i="21" s="1"/>
  <c r="Z11" i="21" a="1"/>
  <c r="Z11" i="21" s="1"/>
  <c r="AF66" i="21" a="1"/>
  <c r="AF66" i="21" s="1"/>
  <c r="AD47" i="21" a="1"/>
  <c r="AD47" i="21" s="1"/>
  <c r="AH29" i="21" a="1"/>
  <c r="AH29" i="21" s="1"/>
  <c r="AD10" i="21" a="1"/>
  <c r="AD10" i="21" s="1"/>
  <c r="V6" i="21" a="1"/>
  <c r="V6" i="21" s="1"/>
  <c r="Z49" i="21" a="1"/>
  <c r="Z49" i="21" s="1"/>
  <c r="Y30" i="21" a="1"/>
  <c r="Y30" i="21" s="1"/>
  <c r="AA8" i="21" a="1"/>
  <c r="AA8" i="21" s="1"/>
  <c r="AE66" i="21" a="1"/>
  <c r="AE66" i="21" s="1"/>
  <c r="AH46" i="21" a="1"/>
  <c r="AH46" i="21" s="1"/>
  <c r="AG29" i="21" a="1"/>
  <c r="AG29" i="21" s="1"/>
  <c r="AH9" i="21" a="1"/>
  <c r="AH9" i="21" s="1"/>
  <c r="Y68" i="21" a="1"/>
  <c r="Y68" i="21" s="1"/>
  <c r="Y49" i="21" a="1"/>
  <c r="Y49" i="21" s="1"/>
  <c r="AA27" i="21" a="1"/>
  <c r="AA27" i="21" s="1"/>
  <c r="Z8" i="21" a="1"/>
  <c r="Z8" i="21" s="1"/>
  <c r="AD66" i="21" a="1"/>
  <c r="AD66" i="21" s="1"/>
  <c r="AE44" i="21" a="1"/>
  <c r="AE44" i="21" s="1"/>
  <c r="AD27" i="21" a="1"/>
  <c r="AD27" i="21" s="1"/>
  <c r="AG9" i="21" a="1"/>
  <c r="AG9" i="21" s="1"/>
  <c r="Y21" i="21" a="1"/>
  <c r="Y21" i="21" s="1"/>
  <c r="AE4" i="21" a="1"/>
  <c r="AE4" i="21" s="1"/>
  <c r="Z21" i="21" a="1"/>
  <c r="Z21" i="21" s="1"/>
  <c r="AC53" i="21" a="1"/>
  <c r="AC53" i="21" s="1"/>
  <c r="V36" i="21" a="1"/>
  <c r="V36" i="21" s="1"/>
  <c r="AD21" i="21" a="1"/>
  <c r="AD21" i="21" s="1"/>
  <c r="AD4" i="21" a="1"/>
  <c r="AD4" i="21" s="1"/>
  <c r="Y5" i="21" a="1"/>
  <c r="Y5" i="21" s="1"/>
  <c r="V68" i="21" a="1"/>
  <c r="V68" i="21" s="1"/>
  <c r="V4" i="21" a="1"/>
  <c r="V4" i="21" s="1"/>
  <c r="X21" i="21" a="1"/>
  <c r="X21" i="21" s="1"/>
  <c r="V67" i="21" a="1"/>
  <c r="V67" i="21" s="1"/>
  <c r="V51" i="21" a="1"/>
  <c r="V51" i="21" s="1"/>
  <c r="V35" i="21" a="1"/>
  <c r="V35" i="21" s="1"/>
  <c r="V19" i="21" a="1"/>
  <c r="V19" i="21" s="1"/>
  <c r="V3" i="21" a="1"/>
  <c r="V3" i="21" s="1"/>
  <c r="AA67" i="21" a="1"/>
  <c r="AA67" i="21" s="1"/>
  <c r="Z64" i="21" a="1"/>
  <c r="Z64" i="21" s="1"/>
  <c r="Y61" i="21" a="1"/>
  <c r="Y61" i="21" s="1"/>
  <c r="X58" i="21" a="1"/>
  <c r="X58" i="21" s="1"/>
  <c r="W55" i="21" a="1"/>
  <c r="W55" i="21" s="1"/>
  <c r="X52" i="21" a="1"/>
  <c r="X52" i="21" s="1"/>
  <c r="X49" i="21" a="1"/>
  <c r="X49" i="21" s="1"/>
  <c r="X46" i="21" a="1"/>
  <c r="X46" i="21" s="1"/>
  <c r="W43" i="21" a="1"/>
  <c r="W43" i="21" s="1"/>
  <c r="AA39" i="21" a="1"/>
  <c r="AA39" i="21" s="1"/>
  <c r="Z36" i="21" a="1"/>
  <c r="Z36" i="21" s="1"/>
  <c r="Y33" i="21" a="1"/>
  <c r="Y33" i="21" s="1"/>
  <c r="X30" i="21" a="1"/>
  <c r="X30" i="21" s="1"/>
  <c r="X27" i="21" a="1"/>
  <c r="X27" i="21" s="1"/>
  <c r="X24" i="21" a="1"/>
  <c r="X24" i="21" s="1"/>
  <c r="W21" i="21" a="1"/>
  <c r="W21" i="21" s="1"/>
  <c r="AA17" i="21" a="1"/>
  <c r="AA17" i="21" s="1"/>
  <c r="Z14" i="21" a="1"/>
  <c r="Z14" i="21" s="1"/>
  <c r="Y11" i="21" a="1"/>
  <c r="Y11" i="21" s="1"/>
  <c r="X8" i="21" a="1"/>
  <c r="X8" i="21" s="1"/>
  <c r="W5" i="21" a="1"/>
  <c r="W5" i="21" s="1"/>
  <c r="AC66" i="21" a="1"/>
  <c r="AC66" i="21" s="1"/>
  <c r="AC51" i="21" a="1"/>
  <c r="AC51" i="21" s="1"/>
  <c r="AC37" i="21" a="1"/>
  <c r="AC37" i="21" s="1"/>
  <c r="AC23" i="21" a="1"/>
  <c r="AC23" i="21" s="1"/>
  <c r="AC9" i="21" a="1"/>
  <c r="AC9" i="21" s="1"/>
  <c r="AD69" i="21" a="1"/>
  <c r="AD69" i="21" s="1"/>
  <c r="AH65" i="21" a="1"/>
  <c r="AH65" i="21" s="1"/>
  <c r="AG62" i="21" a="1"/>
  <c r="AG62" i="21" s="1"/>
  <c r="AF59" i="21" a="1"/>
  <c r="AF59" i="21" s="1"/>
  <c r="AE56" i="21" a="1"/>
  <c r="AE56" i="21" s="1"/>
  <c r="AD53" i="21" a="1"/>
  <c r="AD53" i="21" s="1"/>
  <c r="AH49" i="21" a="1"/>
  <c r="AH49" i="21" s="1"/>
  <c r="AG46" i="21" a="1"/>
  <c r="AG46" i="21" s="1"/>
  <c r="AG43" i="21" a="1"/>
  <c r="AG43" i="21" s="1"/>
  <c r="AH40" i="21" a="1"/>
  <c r="AH40" i="21" s="1"/>
  <c r="AD38" i="21" a="1"/>
  <c r="AD38" i="21" s="1"/>
  <c r="AD35" i="21" a="1"/>
  <c r="AD35" i="21" s="1"/>
  <c r="AE32" i="21" a="1"/>
  <c r="AE32" i="21" s="1"/>
  <c r="AF29" i="21" a="1"/>
  <c r="AF29" i="21" s="1"/>
  <c r="AG26" i="21" a="1"/>
  <c r="AG26" i="21" s="1"/>
  <c r="AH20" i="21" a="1"/>
  <c r="AH20" i="21" s="1"/>
  <c r="AD18" i="21" a="1"/>
  <c r="AD18" i="21" s="1"/>
  <c r="AE15" i="21" a="1"/>
  <c r="AE15" i="21" s="1"/>
  <c r="AF12" i="21" a="1"/>
  <c r="AF12" i="21" s="1"/>
  <c r="AF9" i="21" a="1"/>
  <c r="AF9" i="21" s="1"/>
  <c r="AG6" i="21" a="1"/>
  <c r="AG6" i="21" s="1"/>
  <c r="AH3" i="21" a="1"/>
  <c r="AH3" i="21" s="1"/>
  <c r="X37" i="21" a="1"/>
  <c r="X37" i="21" s="1"/>
  <c r="AA36" i="21" a="1"/>
  <c r="AA36" i="21" s="1"/>
  <c r="V66" i="21" a="1"/>
  <c r="V66" i="21" s="1"/>
  <c r="V50" i="21" a="1"/>
  <c r="V50" i="21" s="1"/>
  <c r="V34" i="21" a="1"/>
  <c r="V34" i="21" s="1"/>
  <c r="V18" i="21" a="1"/>
  <c r="V18" i="21" s="1"/>
  <c r="AA2" i="21" a="1"/>
  <c r="AA2" i="21" s="1"/>
  <c r="Z67" i="21" a="1"/>
  <c r="Z67" i="21" s="1"/>
  <c r="Y64" i="21" a="1"/>
  <c r="Y64" i="21" s="1"/>
  <c r="X61" i="21" a="1"/>
  <c r="X61" i="21" s="1"/>
  <c r="W58" i="21" a="1"/>
  <c r="W58" i="21" s="1"/>
  <c r="AA54" i="21" a="1"/>
  <c r="AA54" i="21" s="1"/>
  <c r="W52" i="21" a="1"/>
  <c r="W52" i="21" s="1"/>
  <c r="W49" i="21" a="1"/>
  <c r="W49" i="21" s="1"/>
  <c r="W46" i="21" a="1"/>
  <c r="W46" i="21" s="1"/>
  <c r="AA42" i="21" a="1"/>
  <c r="AA42" i="21" s="1"/>
  <c r="Z39" i="21" a="1"/>
  <c r="Z39" i="21" s="1"/>
  <c r="Y36" i="21" a="1"/>
  <c r="Y36" i="21" s="1"/>
  <c r="X33" i="21" a="1"/>
  <c r="X33" i="21" s="1"/>
  <c r="W30" i="21" a="1"/>
  <c r="W30" i="21" s="1"/>
  <c r="W27" i="21" a="1"/>
  <c r="W27" i="21" s="1"/>
  <c r="W24" i="21" a="1"/>
  <c r="W24" i="21" s="1"/>
  <c r="AA20" i="21" a="1"/>
  <c r="AA20" i="21" s="1"/>
  <c r="Z17" i="21" a="1"/>
  <c r="Z17" i="21" s="1"/>
  <c r="Y14" i="21" a="1"/>
  <c r="Y14" i="21" s="1"/>
  <c r="X11" i="21" a="1"/>
  <c r="X11" i="21" s="1"/>
  <c r="W8" i="21" a="1"/>
  <c r="W8" i="21" s="1"/>
  <c r="AA4" i="21" a="1"/>
  <c r="AA4" i="21" s="1"/>
  <c r="AC65" i="21" a="1"/>
  <c r="AC65" i="21" s="1"/>
  <c r="AC36" i="21" a="1"/>
  <c r="AC36" i="21" s="1"/>
  <c r="AC22" i="21" a="1"/>
  <c r="AC22" i="21" s="1"/>
  <c r="AC8" i="21" a="1"/>
  <c r="AC8" i="21" s="1"/>
  <c r="AH68" i="21" a="1"/>
  <c r="AH68" i="21" s="1"/>
  <c r="AG65" i="21" a="1"/>
  <c r="AG65" i="21" s="1"/>
  <c r="AF62" i="21" a="1"/>
  <c r="AF62" i="21" s="1"/>
  <c r="AE59" i="21" a="1"/>
  <c r="AE59" i="21" s="1"/>
  <c r="AD56" i="21" a="1"/>
  <c r="AD56" i="21" s="1"/>
  <c r="AH52" i="21" a="1"/>
  <c r="AH52" i="21" s="1"/>
  <c r="AG49" i="21" a="1"/>
  <c r="AG49" i="21" s="1"/>
  <c r="AF46" i="21" a="1"/>
  <c r="AF46" i="21" s="1"/>
  <c r="AF43" i="21" a="1"/>
  <c r="AF43" i="21" s="1"/>
  <c r="AG40" i="21" a="1"/>
  <c r="AG40" i="21" s="1"/>
  <c r="AH37" i="21" a="1"/>
  <c r="AH37" i="21" s="1"/>
  <c r="AD32" i="21" a="1"/>
  <c r="AD32" i="21" s="1"/>
  <c r="AE29" i="21" a="1"/>
  <c r="AE29" i="21" s="1"/>
  <c r="AF26" i="21" a="1"/>
  <c r="AF26" i="21" s="1"/>
  <c r="AG23" i="21" a="1"/>
  <c r="AG23" i="21" s="1"/>
  <c r="AG20" i="21" a="1"/>
  <c r="AG20" i="21" s="1"/>
  <c r="AH17" i="21" a="1"/>
  <c r="AH17" i="21" s="1"/>
  <c r="AD15" i="21" a="1"/>
  <c r="AD15" i="21" s="1"/>
  <c r="AE12" i="21" a="1"/>
  <c r="AE12" i="21" s="1"/>
  <c r="AF6" i="21" a="1"/>
  <c r="AF6" i="21" s="1"/>
  <c r="AG3" i="21" a="1"/>
  <c r="AG3" i="21" s="1"/>
  <c r="AF69" i="21" a="1"/>
  <c r="AF69" i="21" s="1"/>
  <c r="Z2" i="21" a="1"/>
  <c r="Z2" i="21" s="1"/>
  <c r="Y67" i="21" a="1"/>
  <c r="Y67" i="21" s="1"/>
  <c r="X64" i="21" a="1"/>
  <c r="X64" i="21" s="1"/>
  <c r="W61" i="21" a="1"/>
  <c r="W61" i="21" s="1"/>
  <c r="AA57" i="21" a="1"/>
  <c r="AA57" i="21" s="1"/>
  <c r="Z54" i="21" a="1"/>
  <c r="Z54" i="21" s="1"/>
  <c r="AA51" i="21" a="1"/>
  <c r="AA51" i="21" s="1"/>
  <c r="AA48" i="21" a="1"/>
  <c r="AA48" i="21" s="1"/>
  <c r="AA45" i="21" a="1"/>
  <c r="AA45" i="21" s="1"/>
  <c r="Z42" i="21" a="1"/>
  <c r="Z42" i="21" s="1"/>
  <c r="Y39" i="21" a="1"/>
  <c r="Y39" i="21" s="1"/>
  <c r="X36" i="21" a="1"/>
  <c r="X36" i="21" s="1"/>
  <c r="W33" i="21" a="1"/>
  <c r="W33" i="21" s="1"/>
  <c r="AA29" i="21" a="1"/>
  <c r="AA29" i="21" s="1"/>
  <c r="AA23" i="21" a="1"/>
  <c r="AA23" i="21" s="1"/>
  <c r="Z20" i="21" a="1"/>
  <c r="Z20" i="21" s="1"/>
  <c r="Y17" i="21" a="1"/>
  <c r="Y17" i="21" s="1"/>
  <c r="X14" i="21" a="1"/>
  <c r="X14" i="21" s="1"/>
  <c r="W11" i="21" a="1"/>
  <c r="W11" i="21" s="1"/>
  <c r="AA7" i="21" a="1"/>
  <c r="AA7" i="21" s="1"/>
  <c r="Z4" i="21" a="1"/>
  <c r="Z4" i="21" s="1"/>
  <c r="AC64" i="21" a="1"/>
  <c r="AC64" i="21" s="1"/>
  <c r="AC50" i="21" a="1"/>
  <c r="AC50" i="21" s="1"/>
  <c r="AC35" i="21" a="1"/>
  <c r="AC35" i="21" s="1"/>
  <c r="AC21" i="21" a="1"/>
  <c r="AC21" i="21" s="1"/>
  <c r="AC7" i="21" a="1"/>
  <c r="AC7" i="21" s="1"/>
  <c r="AG68" i="21" a="1"/>
  <c r="AG68" i="21" s="1"/>
  <c r="AF65" i="21" a="1"/>
  <c r="AF65" i="21" s="1"/>
  <c r="AE62" i="21" a="1"/>
  <c r="AE62" i="21" s="1"/>
  <c r="AD59" i="21" a="1"/>
  <c r="AD59" i="21" s="1"/>
  <c r="AH55" i="21" a="1"/>
  <c r="AH55" i="21" s="1"/>
  <c r="AG52" i="21" a="1"/>
  <c r="AG52" i="21" s="1"/>
  <c r="AF49" i="21" a="1"/>
  <c r="AF49" i="21" s="1"/>
  <c r="AE46" i="21" a="1"/>
  <c r="AE46" i="21" s="1"/>
  <c r="AE43" i="21" a="1"/>
  <c r="AE43" i="21" s="1"/>
  <c r="AF40" i="21" a="1"/>
  <c r="AF40" i="21" s="1"/>
  <c r="AG37" i="21" a="1"/>
  <c r="AG37" i="21" s="1"/>
  <c r="AH34" i="21" a="1"/>
  <c r="AH34" i="21" s="1"/>
  <c r="AH31" i="21" a="1"/>
  <c r="AH31" i="21" s="1"/>
  <c r="AD29" i="21" a="1"/>
  <c r="AD29" i="21" s="1"/>
  <c r="AE26" i="21" a="1"/>
  <c r="AE26" i="21" s="1"/>
  <c r="AF23" i="21" a="1"/>
  <c r="AF23" i="21" s="1"/>
  <c r="AG17" i="21" a="1"/>
  <c r="AG17" i="21" s="1"/>
  <c r="AH14" i="21" a="1"/>
  <c r="AH14" i="21" s="1"/>
  <c r="AD12" i="21" a="1"/>
  <c r="AD12" i="21" s="1"/>
  <c r="AE9" i="21" a="1"/>
  <c r="AE9" i="21" s="1"/>
  <c r="AE6" i="21" a="1"/>
  <c r="AE6" i="21" s="1"/>
  <c r="AF3" i="21" a="1"/>
  <c r="AF3" i="21" s="1"/>
  <c r="Z5" i="21" a="1"/>
  <c r="Z5" i="21" s="1"/>
  <c r="Y52" i="21" a="1"/>
  <c r="Y52" i="21" s="1"/>
  <c r="V64" i="21" a="1"/>
  <c r="V64" i="21" s="1"/>
  <c r="V48" i="21" a="1"/>
  <c r="V48" i="21" s="1"/>
  <c r="V32" i="21" a="1"/>
  <c r="V32" i="21" s="1"/>
  <c r="V16" i="21" a="1"/>
  <c r="V16" i="21" s="1"/>
  <c r="Y2" i="21" a="1"/>
  <c r="Y2" i="21" s="1"/>
  <c r="X67" i="21" a="1"/>
  <c r="X67" i="21" s="1"/>
  <c r="W64" i="21" a="1"/>
  <c r="W64" i="21" s="1"/>
  <c r="AA60" i="21" a="1"/>
  <c r="AA60" i="21" s="1"/>
  <c r="Z57" i="21" a="1"/>
  <c r="Z57" i="21" s="1"/>
  <c r="Y54" i="21" a="1"/>
  <c r="Y54" i="21" s="1"/>
  <c r="Z51" i="21" a="1"/>
  <c r="Z51" i="21" s="1"/>
  <c r="Z48" i="21" a="1"/>
  <c r="Z48" i="21" s="1"/>
  <c r="Z45" i="21" a="1"/>
  <c r="Z45" i="21" s="1"/>
  <c r="Y42" i="21" a="1"/>
  <c r="Y42" i="21" s="1"/>
  <c r="X39" i="21" a="1"/>
  <c r="X39" i="21" s="1"/>
  <c r="W36" i="21" a="1"/>
  <c r="W36" i="21" s="1"/>
  <c r="AA32" i="21" a="1"/>
  <c r="AA32" i="21" s="1"/>
  <c r="Z29" i="21" a="1"/>
  <c r="Z29" i="21" s="1"/>
  <c r="AA26" i="21" a="1"/>
  <c r="AA26" i="21" s="1"/>
  <c r="Z23" i="21" a="1"/>
  <c r="Z23" i="21" s="1"/>
  <c r="Y20" i="21" a="1"/>
  <c r="Y20" i="21" s="1"/>
  <c r="X17" i="21" a="1"/>
  <c r="X17" i="21" s="1"/>
  <c r="W14" i="21" a="1"/>
  <c r="W14" i="21" s="1"/>
  <c r="AA10" i="21" a="1"/>
  <c r="AA10" i="21" s="1"/>
  <c r="Z7" i="21" a="1"/>
  <c r="Z7" i="21" s="1"/>
  <c r="Y4" i="21" a="1"/>
  <c r="Y4" i="21" s="1"/>
  <c r="AC63" i="21" a="1"/>
  <c r="AC63" i="21" s="1"/>
  <c r="AC49" i="21" a="1"/>
  <c r="AC49" i="21" s="1"/>
  <c r="AC20" i="21" a="1"/>
  <c r="AC20" i="21" s="1"/>
  <c r="AC6" i="21" a="1"/>
  <c r="AC6" i="21" s="1"/>
  <c r="AF68" i="21" a="1"/>
  <c r="AF68" i="21" s="1"/>
  <c r="AE65" i="21" a="1"/>
  <c r="AE65" i="21" s="1"/>
  <c r="AD62" i="21" a="1"/>
  <c r="AD62" i="21" s="1"/>
  <c r="AH58" i="21" a="1"/>
  <c r="AH58" i="21" s="1"/>
  <c r="AG55" i="21" a="1"/>
  <c r="AG55" i="21" s="1"/>
  <c r="AF52" i="21" a="1"/>
  <c r="AF52" i="21" s="1"/>
  <c r="AE49" i="21" a="1"/>
  <c r="AE49" i="21" s="1"/>
  <c r="AD46" i="21" a="1"/>
  <c r="AD46" i="21" s="1"/>
  <c r="AD43" i="21" a="1"/>
  <c r="AD43" i="21" s="1"/>
  <c r="AE40" i="21" a="1"/>
  <c r="AE40" i="21" s="1"/>
  <c r="AF37" i="21" a="1"/>
  <c r="AF37" i="21" s="1"/>
  <c r="AG34" i="21" a="1"/>
  <c r="AG34" i="21" s="1"/>
  <c r="AH28" i="21" a="1"/>
  <c r="AH28" i="21" s="1"/>
  <c r="AD26" i="21" a="1"/>
  <c r="AD26" i="21" s="1"/>
  <c r="AE23" i="21" a="1"/>
  <c r="AE23" i="21" s="1"/>
  <c r="AF20" i="21" a="1"/>
  <c r="AF20" i="21" s="1"/>
  <c r="AF17" i="21" a="1"/>
  <c r="AF17" i="21" s="1"/>
  <c r="AG14" i="21" a="1"/>
  <c r="AG14" i="21" s="1"/>
  <c r="AH11" i="21" a="1"/>
  <c r="AH11" i="21" s="1"/>
  <c r="AD9" i="21" a="1"/>
  <c r="AD9" i="21" s="1"/>
  <c r="AE3" i="21" a="1"/>
  <c r="AE3" i="21" s="1"/>
  <c r="AE69" i="21" a="1"/>
  <c r="AE69" i="21" s="1"/>
  <c r="V63" i="21" a="1"/>
  <c r="V63" i="21" s="1"/>
  <c r="V47" i="21" a="1"/>
  <c r="V47" i="21" s="1"/>
  <c r="V31" i="21" a="1"/>
  <c r="V31" i="21" s="1"/>
  <c r="V15" i="21" a="1"/>
  <c r="V15" i="21" s="1"/>
  <c r="X2" i="21" a="1"/>
  <c r="X2" i="21" s="1"/>
  <c r="W67" i="21" a="1"/>
  <c r="W67" i="21" s="1"/>
  <c r="AA63" i="21" a="1"/>
  <c r="AA63" i="21" s="1"/>
  <c r="Z60" i="21" a="1"/>
  <c r="Z60" i="21" s="1"/>
  <c r="Y57" i="21" a="1"/>
  <c r="Y57" i="21" s="1"/>
  <c r="X54" i="21" a="1"/>
  <c r="X54" i="21" s="1"/>
  <c r="Y51" i="21" a="1"/>
  <c r="Y51" i="21" s="1"/>
  <c r="Y48" i="21" a="1"/>
  <c r="Y48" i="21" s="1"/>
  <c r="Y45" i="21" a="1"/>
  <c r="Y45" i="21" s="1"/>
  <c r="X42" i="21" a="1"/>
  <c r="X42" i="21" s="1"/>
  <c r="W39" i="21" a="1"/>
  <c r="W39" i="21" s="1"/>
  <c r="AA35" i="21" a="1"/>
  <c r="AA35" i="21" s="1"/>
  <c r="Z32" i="21" a="1"/>
  <c r="Z32" i="21" s="1"/>
  <c r="Y29" i="21" a="1"/>
  <c r="Y29" i="21" s="1"/>
  <c r="Z26" i="21" a="1"/>
  <c r="Z26" i="21" s="1"/>
  <c r="Y23" i="21" a="1"/>
  <c r="Y23" i="21" s="1"/>
  <c r="X20" i="21" a="1"/>
  <c r="X20" i="21" s="1"/>
  <c r="W17" i="21" a="1"/>
  <c r="W17" i="21" s="1"/>
  <c r="AA13" i="21" a="1"/>
  <c r="AA13" i="21" s="1"/>
  <c r="Z10" i="21" a="1"/>
  <c r="Z10" i="21" s="1"/>
  <c r="Y7" i="21" a="1"/>
  <c r="Y7" i="21" s="1"/>
  <c r="X4" i="21" a="1"/>
  <c r="X4" i="21" s="1"/>
  <c r="AC62" i="21" a="1"/>
  <c r="AC62" i="21" s="1"/>
  <c r="AC48" i="21" a="1"/>
  <c r="AC48" i="21" s="1"/>
  <c r="AC34" i="21" a="1"/>
  <c r="AC34" i="21" s="1"/>
  <c r="AC19" i="21" a="1"/>
  <c r="AC19" i="21" s="1"/>
  <c r="AC5" i="21" a="1"/>
  <c r="AC5" i="21" s="1"/>
  <c r="AE68" i="21" a="1"/>
  <c r="AE68" i="21" s="1"/>
  <c r="AD65" i="21" a="1"/>
  <c r="AD65" i="21" s="1"/>
  <c r="AH61" i="21" a="1"/>
  <c r="AH61" i="21" s="1"/>
  <c r="AG58" i="21" a="1"/>
  <c r="AG58" i="21" s="1"/>
  <c r="AF55" i="21" a="1"/>
  <c r="AF55" i="21" s="1"/>
  <c r="AE52" i="21" a="1"/>
  <c r="AE52" i="21" s="1"/>
  <c r="AH45" i="21" a="1"/>
  <c r="AH45" i="21" s="1"/>
  <c r="AD40" i="21" a="1"/>
  <c r="AD40" i="21" s="1"/>
  <c r="AE37" i="21" a="1"/>
  <c r="AE37" i="21" s="1"/>
  <c r="AF34" i="21" a="1"/>
  <c r="AF34" i="21" s="1"/>
  <c r="AG31" i="21" a="1"/>
  <c r="AG31" i="21" s="1"/>
  <c r="AG28" i="21" a="1"/>
  <c r="AG28" i="21" s="1"/>
  <c r="AH25" i="21" a="1"/>
  <c r="AH25" i="21" s="1"/>
  <c r="AD23" i="21" a="1"/>
  <c r="AD23" i="21" s="1"/>
  <c r="AE20" i="21" a="1"/>
  <c r="AE20" i="21" s="1"/>
  <c r="AF14" i="21" a="1"/>
  <c r="AF14" i="21" s="1"/>
  <c r="AG11" i="21" a="1"/>
  <c r="AG11" i="21" s="1"/>
  <c r="AH8" i="21" a="1"/>
  <c r="AH8" i="21" s="1"/>
  <c r="AD6" i="21" a="1"/>
  <c r="AD6" i="21" s="1"/>
  <c r="AD3" i="21" a="1"/>
  <c r="AD3" i="21" s="1"/>
  <c r="AG69" i="21" a="1"/>
  <c r="AG69" i="21" s="1"/>
  <c r="V62" i="21" a="1"/>
  <c r="V62" i="21" s="1"/>
  <c r="V46" i="21" a="1"/>
  <c r="V46" i="21" s="1"/>
  <c r="V30" i="21" a="1"/>
  <c r="V30" i="21" s="1"/>
  <c r="V14" i="21" a="1"/>
  <c r="V14" i="21" s="1"/>
  <c r="W2" i="21" a="1"/>
  <c r="W2" i="21" s="1"/>
  <c r="AA66" i="21" a="1"/>
  <c r="AA66" i="21" s="1"/>
  <c r="Z63" i="21" a="1"/>
  <c r="Z63" i="21" s="1"/>
  <c r="Y60" i="21" a="1"/>
  <c r="Y60" i="21" s="1"/>
  <c r="X57" i="21" a="1"/>
  <c r="X57" i="21" s="1"/>
  <c r="X51" i="21" a="1"/>
  <c r="X51" i="21" s="1"/>
  <c r="X48" i="21" a="1"/>
  <c r="X48" i="21" s="1"/>
  <c r="X45" i="21" a="1"/>
  <c r="X45" i="21" s="1"/>
  <c r="W42" i="21" a="1"/>
  <c r="W42" i="21" s="1"/>
  <c r="AA38" i="21" a="1"/>
  <c r="AA38" i="21" s="1"/>
  <c r="Z35" i="21" a="1"/>
  <c r="Z35" i="21" s="1"/>
  <c r="Y32" i="21" a="1"/>
  <c r="Y32" i="21" s="1"/>
  <c r="X29" i="21" a="1"/>
  <c r="X29" i="21" s="1"/>
  <c r="Y26" i="21" a="1"/>
  <c r="Y26" i="21" s="1"/>
  <c r="X23" i="21" a="1"/>
  <c r="X23" i="21" s="1"/>
  <c r="W20" i="21" a="1"/>
  <c r="W20" i="21" s="1"/>
  <c r="AA16" i="21" a="1"/>
  <c r="AA16" i="21" s="1"/>
  <c r="Z13" i="21" a="1"/>
  <c r="Z13" i="21" s="1"/>
  <c r="Y10" i="21" a="1"/>
  <c r="Y10" i="21" s="1"/>
  <c r="X7" i="21" a="1"/>
  <c r="X7" i="21" s="1"/>
  <c r="W4" i="21" a="1"/>
  <c r="W4" i="21" s="1"/>
  <c r="AC61" i="21" a="1"/>
  <c r="AC61" i="21" s="1"/>
  <c r="AC47" i="21" a="1"/>
  <c r="AC47" i="21" s="1"/>
  <c r="AC33" i="21" a="1"/>
  <c r="AC33" i="21" s="1"/>
  <c r="AC4" i="21" a="1"/>
  <c r="AC4" i="21" s="1"/>
  <c r="AD68" i="21" a="1"/>
  <c r="AD68" i="21" s="1"/>
  <c r="AH64" i="21" a="1"/>
  <c r="AH64" i="21" s="1"/>
  <c r="AG61" i="21" a="1"/>
  <c r="AG61" i="21" s="1"/>
  <c r="AF58" i="21" a="1"/>
  <c r="AF58" i="21" s="1"/>
  <c r="AE55" i="21" a="1"/>
  <c r="AE55" i="21" s="1"/>
  <c r="AD52" i="21" a="1"/>
  <c r="AD52" i="21" s="1"/>
  <c r="AH48" i="21" a="1"/>
  <c r="AH48" i="21" s="1"/>
  <c r="AG45" i="21" a="1"/>
  <c r="AG45" i="21" s="1"/>
  <c r="AH42" i="21" a="1"/>
  <c r="AH42" i="21" s="1"/>
  <c r="AH39" i="21" a="1"/>
  <c r="AH39" i="21" s="1"/>
  <c r="AD37" i="21" a="1"/>
  <c r="AD37" i="21" s="1"/>
  <c r="AE34" i="21" a="1"/>
  <c r="AE34" i="21" s="1"/>
  <c r="AF31" i="21" a="1"/>
  <c r="AF31" i="21" s="1"/>
  <c r="AG25" i="21" a="1"/>
  <c r="AG25" i="21" s="1"/>
  <c r="AH22" i="21" a="1"/>
  <c r="AH22" i="21" s="1"/>
  <c r="AD20" i="21" a="1"/>
  <c r="AD20" i="21" s="1"/>
  <c r="AE17" i="21" a="1"/>
  <c r="AE17" i="21" s="1"/>
  <c r="AE14" i="21" a="1"/>
  <c r="AE14" i="21" s="1"/>
  <c r="AF11" i="21" a="1"/>
  <c r="AF11" i="21" s="1"/>
  <c r="AG8" i="21" a="1"/>
  <c r="AG8" i="21" s="1"/>
  <c r="AH5" i="21" a="1"/>
  <c r="AH5" i="21" s="1"/>
  <c r="V69" i="21" a="1"/>
  <c r="V69" i="21" s="1"/>
  <c r="V53" i="21" a="1"/>
  <c r="V53" i="21" s="1"/>
  <c r="V37" i="21" a="1"/>
  <c r="V37" i="21" s="1"/>
  <c r="V21" i="21" a="1"/>
  <c r="V21" i="21" s="1"/>
  <c r="V5" i="21" a="1"/>
  <c r="V5" i="21" s="1"/>
  <c r="X68" i="21" a="1"/>
  <c r="X68" i="21" s="1"/>
  <c r="AE21" i="21" a="1"/>
  <c r="AE21" i="21" s="1"/>
  <c r="V61" i="21" a="1"/>
  <c r="V61" i="21" s="1"/>
  <c r="V45" i="21" a="1"/>
  <c r="V45" i="21" s="1"/>
  <c r="V29" i="21" a="1"/>
  <c r="V29" i="21" s="1"/>
  <c r="V13" i="21" a="1"/>
  <c r="V13" i="21" s="1"/>
  <c r="AA69" i="21" a="1"/>
  <c r="AA69" i="21" s="1"/>
  <c r="Z66" i="21" a="1"/>
  <c r="Z66" i="21" s="1"/>
  <c r="Y63" i="21" a="1"/>
  <c r="Y63" i="21" s="1"/>
  <c r="X60" i="21" a="1"/>
  <c r="X60" i="21" s="1"/>
  <c r="W57" i="21" a="1"/>
  <c r="W57" i="21" s="1"/>
  <c r="W54" i="21" a="1"/>
  <c r="W54" i="21" s="1"/>
  <c r="W51" i="21" a="1"/>
  <c r="W51" i="21" s="1"/>
  <c r="W48" i="21" a="1"/>
  <c r="W48" i="21" s="1"/>
  <c r="W45" i="21" a="1"/>
  <c r="W45" i="21" s="1"/>
  <c r="AA41" i="21" a="1"/>
  <c r="AA41" i="21" s="1"/>
  <c r="Z38" i="21" a="1"/>
  <c r="Z38" i="21" s="1"/>
  <c r="Y35" i="21" a="1"/>
  <c r="Y35" i="21" s="1"/>
  <c r="X32" i="21" a="1"/>
  <c r="X32" i="21" s="1"/>
  <c r="W29" i="21" a="1"/>
  <c r="W29" i="21" s="1"/>
  <c r="X26" i="21" a="1"/>
  <c r="X26" i="21" s="1"/>
  <c r="W23" i="21" a="1"/>
  <c r="W23" i="21" s="1"/>
  <c r="AA19" i="21" a="1"/>
  <c r="AA19" i="21" s="1"/>
  <c r="Z16" i="21" a="1"/>
  <c r="Z16" i="21" s="1"/>
  <c r="Y13" i="21" a="1"/>
  <c r="Y13" i="21" s="1"/>
  <c r="X10" i="21" a="1"/>
  <c r="X10" i="21" s="1"/>
  <c r="W7" i="21" a="1"/>
  <c r="W7" i="21" s="1"/>
  <c r="AA3" i="21" a="1"/>
  <c r="AA3" i="21" s="1"/>
  <c r="AC60" i="21" a="1"/>
  <c r="AC60" i="21" s="1"/>
  <c r="AC32" i="21" a="1"/>
  <c r="AC32" i="21" s="1"/>
  <c r="AC18" i="21" a="1"/>
  <c r="AC18" i="21" s="1"/>
  <c r="AC3" i="21" a="1"/>
  <c r="AC3" i="21" s="1"/>
  <c r="AH67" i="21" a="1"/>
  <c r="AH67" i="21" s="1"/>
  <c r="AG64" i="21" a="1"/>
  <c r="AG64" i="21" s="1"/>
  <c r="AF61" i="21" a="1"/>
  <c r="AF61" i="21" s="1"/>
  <c r="AE58" i="21" a="1"/>
  <c r="AE58" i="21" s="1"/>
  <c r="AD55" i="21" a="1"/>
  <c r="AD55" i="21" s="1"/>
  <c r="AH51" i="21" a="1"/>
  <c r="AH51" i="21" s="1"/>
  <c r="AG48" i="21" a="1"/>
  <c r="AG48" i="21" s="1"/>
  <c r="AF45" i="21" a="1"/>
  <c r="AF45" i="21" s="1"/>
  <c r="AG42" i="21" a="1"/>
  <c r="AG42" i="21" s="1"/>
  <c r="AH36" i="21" a="1"/>
  <c r="AH36" i="21" s="1"/>
  <c r="AD34" i="21" a="1"/>
  <c r="AD34" i="21" s="1"/>
  <c r="AE31" i="21" a="1"/>
  <c r="AE31" i="21" s="1"/>
  <c r="AF28" i="21" a="1"/>
  <c r="AF28" i="21" s="1"/>
  <c r="AF25" i="21" a="1"/>
  <c r="AF25" i="21" s="1"/>
  <c r="AG22" i="21" a="1"/>
  <c r="AG22" i="21" s="1"/>
  <c r="AH19" i="21" a="1"/>
  <c r="AH19" i="21" s="1"/>
  <c r="AD17" i="21" a="1"/>
  <c r="AD17" i="21" s="1"/>
  <c r="AE11" i="21" a="1"/>
  <c r="AE11" i="21" s="1"/>
  <c r="AF8" i="21" a="1"/>
  <c r="AF8" i="21" s="1"/>
  <c r="AG5" i="21" a="1"/>
  <c r="AG5" i="21" s="1"/>
  <c r="V60" i="21" a="1"/>
  <c r="V60" i="21" s="1"/>
  <c r="V44" i="21" a="1"/>
  <c r="V44" i="21" s="1"/>
  <c r="V28" i="21" a="1"/>
  <c r="V28" i="21" s="1"/>
  <c r="V12" i="21" a="1"/>
  <c r="V12" i="21" s="1"/>
  <c r="Z69" i="21" a="1"/>
  <c r="Z69" i="21" s="1"/>
  <c r="Y66" i="21" a="1"/>
  <c r="Y66" i="21" s="1"/>
  <c r="X63" i="21" a="1"/>
  <c r="X63" i="21" s="1"/>
  <c r="W60" i="21" a="1"/>
  <c r="W60" i="21" s="1"/>
  <c r="AA56" i="21" a="1"/>
  <c r="AA56" i="21" s="1"/>
  <c r="AA53" i="21" a="1"/>
  <c r="AA53" i="21" s="1"/>
  <c r="AA47" i="21" a="1"/>
  <c r="AA47" i="21" s="1"/>
  <c r="AA44" i="21" a="1"/>
  <c r="AA44" i="21" s="1"/>
  <c r="Z41" i="21" a="1"/>
  <c r="Z41" i="21" s="1"/>
  <c r="Y38" i="21" a="1"/>
  <c r="Y38" i="21" s="1"/>
  <c r="X35" i="21" a="1"/>
  <c r="X35" i="21" s="1"/>
  <c r="AA28" i="21" a="1"/>
  <c r="AA28" i="21" s="1"/>
  <c r="W26" i="21" a="1"/>
  <c r="W26" i="21" s="1"/>
  <c r="AA22" i="21" a="1"/>
  <c r="AA22" i="21" s="1"/>
  <c r="Z19" i="21" a="1"/>
  <c r="Z19" i="21" s="1"/>
  <c r="Y16" i="21" a="1"/>
  <c r="Y16" i="21" s="1"/>
  <c r="X13" i="21" a="1"/>
  <c r="X13" i="21" s="1"/>
  <c r="W10" i="21" a="1"/>
  <c r="W10" i="21" s="1"/>
  <c r="AA6" i="21" a="1"/>
  <c r="AA6" i="21" s="1"/>
  <c r="Z3" i="21" a="1"/>
  <c r="Z3" i="21" s="1"/>
  <c r="AC59" i="21" a="1"/>
  <c r="AC59" i="21" s="1"/>
  <c r="AC45" i="21" a="1"/>
  <c r="AC45" i="21" s="1"/>
  <c r="AC31" i="21" a="1"/>
  <c r="AC31" i="21" s="1"/>
  <c r="AH2" i="21" a="1"/>
  <c r="AH2" i="21" s="1"/>
  <c r="AG67" i="21" a="1"/>
  <c r="AG67" i="21" s="1"/>
  <c r="AF64" i="21" a="1"/>
  <c r="AF64" i="21" s="1"/>
  <c r="AE61" i="21" a="1"/>
  <c r="AE61" i="21" s="1"/>
  <c r="AD58" i="21" a="1"/>
  <c r="AD58" i="21" s="1"/>
  <c r="AH54" i="21" a="1"/>
  <c r="AH54" i="21" s="1"/>
  <c r="AG51" i="21" a="1"/>
  <c r="AG51" i="21" s="1"/>
  <c r="AF48" i="21" a="1"/>
  <c r="AF48" i="21" s="1"/>
  <c r="AE45" i="21" a="1"/>
  <c r="AE45" i="21" s="1"/>
  <c r="AF42" i="21" a="1"/>
  <c r="AF42" i="21" s="1"/>
  <c r="AG39" i="21" a="1"/>
  <c r="AG39" i="21" s="1"/>
  <c r="AG36" i="21" a="1"/>
  <c r="AG36" i="21" s="1"/>
  <c r="AH33" i="21" a="1"/>
  <c r="AH33" i="21" s="1"/>
  <c r="AD31" i="21" a="1"/>
  <c r="AD31" i="21" s="1"/>
  <c r="AE28" i="21" a="1"/>
  <c r="AE28" i="21" s="1"/>
  <c r="AF22" i="21" a="1"/>
  <c r="AF22" i="21" s="1"/>
  <c r="AG19" i="21" a="1"/>
  <c r="AG19" i="21" s="1"/>
  <c r="AH16" i="21" a="1"/>
  <c r="AH16" i="21" s="1"/>
  <c r="AD14" i="21" a="1"/>
  <c r="AD14" i="21" s="1"/>
  <c r="AD11" i="21" a="1"/>
  <c r="AD11" i="21" s="1"/>
  <c r="AE8" i="21" a="1"/>
  <c r="AE8" i="21" s="1"/>
  <c r="AF5" i="21" a="1"/>
  <c r="AF5" i="21" s="1"/>
  <c r="AG53" i="21" a="1"/>
  <c r="AG53" i="21" s="1"/>
  <c r="V52" i="21" a="1"/>
  <c r="V52" i="21" s="1"/>
  <c r="W68" i="21" a="1"/>
  <c r="W68" i="21" s="1"/>
  <c r="AE35" i="21" a="1"/>
  <c r="AE35" i="21" s="1"/>
  <c r="V59" i="21" a="1"/>
  <c r="V59" i="21" s="1"/>
  <c r="V43" i="21" a="1"/>
  <c r="V43" i="21" s="1"/>
  <c r="V27" i="21" a="1"/>
  <c r="V27" i="21" s="1"/>
  <c r="Y69" i="21" a="1"/>
  <c r="Y69" i="21" s="1"/>
  <c r="X66" i="21" a="1"/>
  <c r="X66" i="21" s="1"/>
  <c r="W63" i="21" a="1"/>
  <c r="W63" i="21" s="1"/>
  <c r="AA59" i="21" a="1"/>
  <c r="AA59" i="21" s="1"/>
  <c r="Z56" i="21" a="1"/>
  <c r="Z56" i="21" s="1"/>
  <c r="Z53" i="21" a="1"/>
  <c r="Z53" i="21" s="1"/>
  <c r="AA50" i="21" a="1"/>
  <c r="AA50" i="21" s="1"/>
  <c r="Z44" i="21" a="1"/>
  <c r="Z44" i="21" s="1"/>
  <c r="Y41" i="21" a="1"/>
  <c r="Y41" i="21" s="1"/>
  <c r="X38" i="21" a="1"/>
  <c r="X38" i="21" s="1"/>
  <c r="W35" i="21" a="1"/>
  <c r="W35" i="21" s="1"/>
  <c r="AA31" i="21" a="1"/>
  <c r="AA31" i="21" s="1"/>
  <c r="Z28" i="21" a="1"/>
  <c r="Z28" i="21" s="1"/>
  <c r="AA25" i="21" a="1"/>
  <c r="AA25" i="21" s="1"/>
  <c r="Z22" i="21" a="1"/>
  <c r="Z22" i="21" s="1"/>
  <c r="Y19" i="21" a="1"/>
  <c r="Y19" i="21" s="1"/>
  <c r="X16" i="21" a="1"/>
  <c r="X16" i="21" s="1"/>
  <c r="W13" i="21" a="1"/>
  <c r="W13" i="21" s="1"/>
  <c r="AA9" i="21" a="1"/>
  <c r="AA9" i="21" s="1"/>
  <c r="Z6" i="21" a="1"/>
  <c r="Z6" i="21" s="1"/>
  <c r="Y3" i="21" a="1"/>
  <c r="Y3" i="21" s="1"/>
  <c r="AC44" i="21" a="1"/>
  <c r="AC44" i="21" s="1"/>
  <c r="AC30" i="21" a="1"/>
  <c r="AC30" i="21" s="1"/>
  <c r="AC16" i="21" a="1"/>
  <c r="AC16" i="21" s="1"/>
  <c r="AG2" i="21" a="1"/>
  <c r="AG2" i="21" s="1"/>
  <c r="AF67" i="21" a="1"/>
  <c r="AF67" i="21" s="1"/>
  <c r="AE64" i="21" a="1"/>
  <c r="AE64" i="21" s="1"/>
  <c r="AH57" i="21" a="1"/>
  <c r="AH57" i="21" s="1"/>
  <c r="AG54" i="21" a="1"/>
  <c r="AG54" i="21" s="1"/>
  <c r="AF51" i="21" a="1"/>
  <c r="AF51" i="21" s="1"/>
  <c r="AE48" i="21" a="1"/>
  <c r="AE48" i="21" s="1"/>
  <c r="AE42" i="21" a="1"/>
  <c r="AE42" i="21" s="1"/>
  <c r="AF39" i="21" a="1"/>
  <c r="AF39" i="21" s="1"/>
  <c r="AG33" i="21" a="1"/>
  <c r="AG33" i="21" s="1"/>
  <c r="AH30" i="21" a="1"/>
  <c r="AH30" i="21" s="1"/>
  <c r="AD28" i="21" a="1"/>
  <c r="AD28" i="21" s="1"/>
  <c r="AE25" i="21" a="1"/>
  <c r="AE25" i="21" s="1"/>
  <c r="AE22" i="21" a="1"/>
  <c r="AE22" i="21" s="1"/>
  <c r="AF19" i="21" a="1"/>
  <c r="AF19" i="21" s="1"/>
  <c r="AG16" i="21" a="1"/>
  <c r="AG16" i="21" s="1"/>
  <c r="AH13" i="21" a="1"/>
  <c r="AH13" i="21" s="1"/>
  <c r="AD8" i="21" a="1"/>
  <c r="AD8" i="21" s="1"/>
  <c r="AE5" i="21" a="1"/>
  <c r="AE5" i="21" s="1"/>
  <c r="V58" i="21" a="1"/>
  <c r="V58" i="21" s="1"/>
  <c r="V42" i="21" a="1"/>
  <c r="V42" i="21" s="1"/>
  <c r="V10" i="21" a="1"/>
  <c r="V10" i="21" s="1"/>
  <c r="X69" i="21" a="1"/>
  <c r="X69" i="21" s="1"/>
  <c r="W66" i="21" a="1"/>
  <c r="W66" i="21" s="1"/>
  <c r="AA62" i="21" a="1"/>
  <c r="AA62" i="21" s="1"/>
  <c r="Z59" i="21" a="1"/>
  <c r="Z59" i="21" s="1"/>
  <c r="Y56" i="21" a="1"/>
  <c r="Y56" i="21" s="1"/>
  <c r="Y53" i="21" a="1"/>
  <c r="Y53" i="21" s="1"/>
  <c r="Z50" i="21" a="1"/>
  <c r="Z50" i="21" s="1"/>
  <c r="Z47" i="21" a="1"/>
  <c r="Z47" i="21" s="1"/>
  <c r="Y44" i="21" a="1"/>
  <c r="Y44" i="21" s="1"/>
  <c r="X41" i="21" a="1"/>
  <c r="X41" i="21" s="1"/>
  <c r="W38" i="21" a="1"/>
  <c r="W38" i="21" s="1"/>
  <c r="AA34" i="21" a="1"/>
  <c r="AA34" i="21" s="1"/>
  <c r="Z31" i="21" a="1"/>
  <c r="Z31" i="21" s="1"/>
  <c r="Z25" i="21" a="1"/>
  <c r="Z25" i="21" s="1"/>
  <c r="Y22" i="21" a="1"/>
  <c r="Y22" i="21" s="1"/>
  <c r="X19" i="21" a="1"/>
  <c r="X19" i="21" s="1"/>
  <c r="W16" i="21" a="1"/>
  <c r="W16" i="21" s="1"/>
  <c r="AA12" i="21" a="1"/>
  <c r="AA12" i="21" s="1"/>
  <c r="Z9" i="21" a="1"/>
  <c r="Z9" i="21" s="1"/>
  <c r="Y6" i="21" a="1"/>
  <c r="Y6" i="21" s="1"/>
  <c r="X3" i="21" a="1"/>
  <c r="X3" i="21" s="1"/>
  <c r="AC43" i="21" a="1"/>
  <c r="AC43" i="21" s="1"/>
  <c r="AC15" i="21" a="1"/>
  <c r="AC15" i="21" s="1"/>
  <c r="AF2" i="21" a="1"/>
  <c r="AF2" i="21" s="1"/>
  <c r="AE67" i="21" a="1"/>
  <c r="AE67" i="21" s="1"/>
  <c r="AH60" i="21" a="1"/>
  <c r="AH60" i="21" s="1"/>
  <c r="AG57" i="21" a="1"/>
  <c r="AG57" i="21" s="1"/>
  <c r="AF54" i="21" a="1"/>
  <c r="AF54" i="21" s="1"/>
  <c r="AE51" i="21" a="1"/>
  <c r="AE51" i="21" s="1"/>
  <c r="AH44" i="21" a="1"/>
  <c r="AH44" i="21" s="1"/>
  <c r="AD42" i="21" a="1"/>
  <c r="AD42" i="21" s="1"/>
  <c r="AE39" i="21" a="1"/>
  <c r="AE39" i="21" s="1"/>
  <c r="AF36" i="21" a="1"/>
  <c r="AF36" i="21" s="1"/>
  <c r="AF33" i="21" a="1"/>
  <c r="AF33" i="21" s="1"/>
  <c r="AG30" i="21" a="1"/>
  <c r="AG30" i="21" s="1"/>
  <c r="AH27" i="21" a="1"/>
  <c r="AH27" i="21" s="1"/>
  <c r="AD25" i="21" a="1"/>
  <c r="AD25" i="21" s="1"/>
  <c r="AE19" i="21" a="1"/>
  <c r="AE19" i="21" s="1"/>
  <c r="AF16" i="21" a="1"/>
  <c r="AF16" i="21" s="1"/>
  <c r="AG13" i="21" a="1"/>
  <c r="AG13" i="21" s="1"/>
  <c r="AH10" i="21" a="1"/>
  <c r="AH10" i="21" s="1"/>
  <c r="AH7" i="21" a="1"/>
  <c r="AH7" i="21" s="1"/>
  <c r="AD5" i="21" a="1"/>
  <c r="AD5" i="21" s="1"/>
  <c r="V57" i="21" a="1"/>
  <c r="V57" i="21" s="1"/>
  <c r="V41" i="21" a="1"/>
  <c r="V41" i="21" s="1"/>
  <c r="V25" i="21" a="1"/>
  <c r="V25" i="21" s="1"/>
  <c r="V9" i="21" a="1"/>
  <c r="V9" i="21" s="1"/>
  <c r="W69" i="21" a="1"/>
  <c r="W69" i="21" s="1"/>
  <c r="AA65" i="21" a="1"/>
  <c r="AA65" i="21" s="1"/>
  <c r="Z62" i="21" a="1"/>
  <c r="Z62" i="21" s="1"/>
  <c r="Y59" i="21" a="1"/>
  <c r="Y59" i="21" s="1"/>
  <c r="X56" i="21" a="1"/>
  <c r="X56" i="21" s="1"/>
  <c r="X53" i="21" a="1"/>
  <c r="X53" i="21" s="1"/>
  <c r="Y50" i="21" a="1"/>
  <c r="Y50" i="21" s="1"/>
  <c r="Y47" i="21" a="1"/>
  <c r="Y47" i="21" s="1"/>
  <c r="X44" i="21" a="1"/>
  <c r="X44" i="21" s="1"/>
  <c r="W41" i="21" a="1"/>
  <c r="W41" i="21" s="1"/>
  <c r="AA37" i="21" a="1"/>
  <c r="AA37" i="21" s="1"/>
  <c r="Z34" i="21" a="1"/>
  <c r="Z34" i="21" s="1"/>
  <c r="Y31" i="21" a="1"/>
  <c r="Y31" i="21" s="1"/>
  <c r="Y28" i="21" a="1"/>
  <c r="Y28" i="21" s="1"/>
  <c r="Y25" i="21" a="1"/>
  <c r="Y25" i="21" s="1"/>
  <c r="X22" i="21" a="1"/>
  <c r="X22" i="21" s="1"/>
  <c r="W19" i="21" a="1"/>
  <c r="W19" i="21" s="1"/>
  <c r="AA15" i="21" a="1"/>
  <c r="AA15" i="21" s="1"/>
  <c r="Z12" i="21" a="1"/>
  <c r="Z12" i="21" s="1"/>
  <c r="Y9" i="21" a="1"/>
  <c r="Y9" i="21" s="1"/>
  <c r="X6" i="21" a="1"/>
  <c r="X6" i="21" s="1"/>
  <c r="AC57" i="21" a="1"/>
  <c r="AC57" i="21" s="1"/>
  <c r="AC28" i="21" a="1"/>
  <c r="AC28" i="21" s="1"/>
  <c r="AE2" i="21" a="1"/>
  <c r="AE2" i="21" s="1"/>
  <c r="AH63" i="21" a="1"/>
  <c r="AH63" i="21" s="1"/>
  <c r="AG60" i="21" a="1"/>
  <c r="AG60" i="21" s="1"/>
  <c r="AF57" i="21" a="1"/>
  <c r="AF57" i="21" s="1"/>
  <c r="AE54" i="21" a="1"/>
  <c r="AE54" i="21" s="1"/>
  <c r="AH47" i="21" a="1"/>
  <c r="AH47" i="21" s="1"/>
  <c r="AG44" i="21" a="1"/>
  <c r="AG44" i="21" s="1"/>
  <c r="AH41" i="21" a="1"/>
  <c r="AH41" i="21" s="1"/>
  <c r="AD39" i="21" a="1"/>
  <c r="AD39" i="21" s="1"/>
  <c r="AE36" i="21" a="1"/>
  <c r="AE36" i="21" s="1"/>
  <c r="AF30" i="21" a="1"/>
  <c r="AF30" i="21" s="1"/>
  <c r="AG27" i="21" a="1"/>
  <c r="AG27" i="21" s="1"/>
  <c r="AH24" i="21" a="1"/>
  <c r="AH24" i="21" s="1"/>
  <c r="AD22" i="21" a="1"/>
  <c r="AD22" i="21" s="1"/>
  <c r="AE16" i="21" a="1"/>
  <c r="AE16" i="21" s="1"/>
  <c r="AF13" i="21" a="1"/>
  <c r="AF13" i="21" s="1"/>
  <c r="AG10" i="21" a="1"/>
  <c r="AG10" i="21" s="1"/>
  <c r="AH4" i="21" a="1"/>
  <c r="AH4" i="21" s="1"/>
  <c r="AF21" i="21" a="1"/>
  <c r="AF21" i="21" s="1"/>
  <c r="W37" i="21" a="1"/>
  <c r="W37" i="21" s="1"/>
  <c r="AF53" i="21" a="1"/>
  <c r="AF53" i="21" s="1"/>
  <c r="V56" i="21" a="1"/>
  <c r="V56" i="21" s="1"/>
  <c r="V40" i="21" a="1"/>
  <c r="V40" i="21" s="1"/>
  <c r="V24" i="21" a="1"/>
  <c r="V24" i="21" s="1"/>
  <c r="AA68" i="21" a="1"/>
  <c r="AA68" i="21" s="1"/>
  <c r="Z65" i="21" a="1"/>
  <c r="Z65" i="21" s="1"/>
  <c r="Y62" i="21" a="1"/>
  <c r="Y62" i="21" s="1"/>
  <c r="X59" i="21" a="1"/>
  <c r="X59" i="21" s="1"/>
  <c r="W56" i="21" a="1"/>
  <c r="W56" i="21" s="1"/>
  <c r="W53" i="21" a="1"/>
  <c r="W53" i="21" s="1"/>
  <c r="X50" i="21" a="1"/>
  <c r="X50" i="21" s="1"/>
  <c r="X47" i="21" a="1"/>
  <c r="X47" i="21" s="1"/>
  <c r="W44" i="21" a="1"/>
  <c r="W44" i="21" s="1"/>
  <c r="AA40" i="21" a="1"/>
  <c r="AA40" i="21" s="1"/>
  <c r="Z37" i="21" a="1"/>
  <c r="Z37" i="21" s="1"/>
  <c r="Y34" i="21" a="1"/>
  <c r="Y34" i="21" s="1"/>
  <c r="X31" i="21" a="1"/>
  <c r="X31" i="21" s="1"/>
  <c r="X28" i="21" a="1"/>
  <c r="X28" i="21" s="1"/>
  <c r="X25" i="21" a="1"/>
  <c r="X25" i="21" s="1"/>
  <c r="AA18" i="21" a="1"/>
  <c r="AA18" i="21" s="1"/>
  <c r="Z15" i="21" a="1"/>
  <c r="Z15" i="21" s="1"/>
  <c r="Y12" i="21" a="1"/>
  <c r="Y12" i="21" s="1"/>
  <c r="X9" i="21" a="1"/>
  <c r="X9" i="21" s="1"/>
  <c r="AC2" i="21" a="1"/>
  <c r="AC2" i="21" s="1"/>
  <c r="AC27" i="21" a="1"/>
  <c r="AC27" i="21" s="1"/>
  <c r="AC13" i="21" a="1"/>
  <c r="AC13" i="21" s="1"/>
  <c r="AH66" i="21" a="1"/>
  <c r="AH66" i="21" s="1"/>
  <c r="AG63" i="21" a="1"/>
  <c r="AG63" i="21" s="1"/>
  <c r="AF60" i="21" a="1"/>
  <c r="AF60" i="21" s="1"/>
  <c r="AE57" i="21" a="1"/>
  <c r="AE57" i="21" s="1"/>
  <c r="AH50" i="21" a="1"/>
  <c r="AH50" i="21" s="1"/>
  <c r="AG47" i="21" a="1"/>
  <c r="AG47" i="21" s="1"/>
  <c r="AG41" i="21" a="1"/>
  <c r="AG41" i="21" s="1"/>
  <c r="AH38" i="21" a="1"/>
  <c r="AH38" i="21" s="1"/>
  <c r="AE33" i="21" a="1"/>
  <c r="AE33" i="21" s="1"/>
  <c r="AF27" i="21" a="1"/>
  <c r="AF27" i="21" s="1"/>
  <c r="AG24" i="21" a="1"/>
  <c r="AG24" i="21" s="1"/>
  <c r="AH21" i="21" a="1"/>
  <c r="AH21" i="21" s="1"/>
  <c r="AE13" i="21" a="1"/>
  <c r="AE13" i="21" s="1"/>
  <c r="AF10" i="21" a="1"/>
  <c r="AF10" i="21" s="1"/>
  <c r="AG7" i="21" a="1"/>
  <c r="AG7" i="21" s="1"/>
  <c r="X5" i="21" a="1"/>
  <c r="X5" i="21" s="1"/>
  <c r="AC52" i="21" a="1"/>
  <c r="AC52" i="21" s="1"/>
  <c r="AE53" i="21" a="1"/>
  <c r="AE53" i="21" s="1"/>
  <c r="V55" i="21" a="1"/>
  <c r="V55" i="21" s="1"/>
  <c r="V7" i="21" a="1"/>
  <c r="V7" i="21" s="1"/>
  <c r="AA55" i="21" a="1"/>
  <c r="AA55" i="21" s="1"/>
  <c r="W50" i="21" a="1"/>
  <c r="W50" i="21" s="1"/>
  <c r="W47" i="21" a="1"/>
  <c r="W47" i="21" s="1"/>
  <c r="AA21" i="21" a="1"/>
  <c r="AA21" i="21" s="1"/>
  <c r="Z18" i="21" a="1"/>
  <c r="Z18" i="21" s="1"/>
  <c r="Y15" i="21" a="1"/>
  <c r="Y15" i="21" s="1"/>
  <c r="X12" i="21" a="1"/>
  <c r="X12" i="21" s="1"/>
  <c r="AC69" i="21" a="1"/>
  <c r="AC69" i="21" s="1"/>
  <c r="AC41" i="21" a="1"/>
  <c r="AC41" i="21" s="1"/>
  <c r="V93" i="33" l="1"/>
  <c r="F3" i="9" s="1"/>
  <c r="V94" i="33"/>
  <c r="F4" i="9" s="1"/>
  <c r="V95" i="33"/>
  <c r="F5" i="9" s="1"/>
  <c r="V96" i="33"/>
  <c r="F6" i="9" s="1"/>
  <c r="V97" i="33"/>
  <c r="F7" i="9" s="1"/>
  <c r="V98" i="33"/>
  <c r="F8" i="9" s="1"/>
  <c r="V99" i="33"/>
  <c r="F9" i="9" s="1"/>
  <c r="V100" i="33"/>
  <c r="F10" i="9" s="1"/>
  <c r="V101" i="33"/>
  <c r="F11" i="9" s="1"/>
  <c r="V102" i="33"/>
  <c r="F12" i="9" s="1"/>
  <c r="V103" i="33"/>
  <c r="F13" i="9" s="1"/>
  <c r="V104" i="33"/>
  <c r="F14" i="9" s="1"/>
  <c r="V105" i="33"/>
  <c r="F15" i="9" s="1"/>
  <c r="V106" i="33"/>
  <c r="F16" i="9" s="1"/>
  <c r="V107" i="33"/>
  <c r="F17" i="9" s="1"/>
  <c r="V108" i="33"/>
  <c r="F18" i="9" s="1"/>
  <c r="V109" i="33"/>
  <c r="F19" i="9" s="1"/>
  <c r="V110" i="33"/>
  <c r="F20" i="9" s="1"/>
  <c r="V111" i="33"/>
  <c r="F21" i="9" s="1"/>
  <c r="V112" i="33"/>
  <c r="F22" i="9" s="1"/>
  <c r="V113" i="33"/>
  <c r="F23" i="9" s="1"/>
  <c r="V114" i="33"/>
  <c r="F24" i="9" s="1"/>
  <c r="V115" i="33"/>
  <c r="F25" i="9" s="1"/>
  <c r="V116" i="33"/>
  <c r="F26" i="9" s="1"/>
  <c r="V117" i="33"/>
  <c r="F27" i="9" s="1"/>
  <c r="V118" i="33"/>
  <c r="F28" i="9" s="1"/>
  <c r="V119" i="33"/>
  <c r="F29" i="9" s="1"/>
  <c r="V120" i="33"/>
  <c r="F30" i="9" s="1"/>
  <c r="V121" i="33"/>
  <c r="F31" i="9" s="1"/>
  <c r="V122" i="33"/>
  <c r="F32" i="9" s="1"/>
  <c r="V123" i="33"/>
  <c r="F33" i="9" s="1"/>
  <c r="V125" i="33"/>
  <c r="F35" i="9" s="1"/>
  <c r="V126" i="33"/>
  <c r="F36" i="9" s="1"/>
  <c r="V127" i="33"/>
  <c r="F37" i="9" s="1"/>
  <c r="V128" i="33"/>
  <c r="F38" i="9" s="1"/>
  <c r="V129" i="33"/>
  <c r="F39" i="9" s="1"/>
  <c r="V130" i="33"/>
  <c r="F40" i="9" s="1"/>
  <c r="V131" i="33"/>
  <c r="F41" i="9" s="1"/>
  <c r="V132" i="33"/>
  <c r="F42" i="9" s="1"/>
  <c r="V133" i="33"/>
  <c r="F43" i="9" s="1"/>
  <c r="V134" i="33"/>
  <c r="F44" i="9" s="1"/>
  <c r="V135" i="33"/>
  <c r="F45" i="9" s="1"/>
  <c r="V136" i="33"/>
  <c r="F46" i="9" s="1"/>
  <c r="V92" i="33"/>
  <c r="F2" i="9" s="1"/>
  <c r="T93" i="33"/>
  <c r="D101" i="17" s="1"/>
  <c r="T94" i="33"/>
  <c r="D102" i="17" s="1"/>
  <c r="T95" i="33"/>
  <c r="D103" i="17" s="1"/>
  <c r="T96" i="33"/>
  <c r="D104" i="17" s="1"/>
  <c r="T97" i="33"/>
  <c r="D105" i="17" s="1"/>
  <c r="T98" i="33"/>
  <c r="D106" i="17" s="1"/>
  <c r="T99" i="33"/>
  <c r="D107" i="17" s="1"/>
  <c r="T100" i="33"/>
  <c r="D108" i="17" s="1"/>
  <c r="T101" i="33"/>
  <c r="D109" i="17" s="1"/>
  <c r="T102" i="33"/>
  <c r="D110" i="17" s="1"/>
  <c r="T103" i="33"/>
  <c r="D111" i="17" s="1"/>
  <c r="T104" i="33"/>
  <c r="D112" i="17" s="1"/>
  <c r="T105" i="33"/>
  <c r="D113" i="17" s="1"/>
  <c r="T106" i="33"/>
  <c r="D114" i="17" s="1"/>
  <c r="T107" i="33"/>
  <c r="D115" i="17" s="1"/>
  <c r="T108" i="33"/>
  <c r="D116" i="17" s="1"/>
  <c r="T109" i="33"/>
  <c r="D117" i="17" s="1"/>
  <c r="T110" i="33"/>
  <c r="D118" i="17" s="1"/>
  <c r="T111" i="33"/>
  <c r="D119" i="17" s="1"/>
  <c r="T112" i="33"/>
  <c r="D120" i="17" s="1"/>
  <c r="T113" i="33"/>
  <c r="D121" i="17" s="1"/>
  <c r="T114" i="33"/>
  <c r="D122" i="17" s="1"/>
  <c r="T115" i="33"/>
  <c r="D123" i="17" s="1"/>
  <c r="T116" i="33"/>
  <c r="D124" i="17" s="1"/>
  <c r="T117" i="33"/>
  <c r="D125" i="17" s="1"/>
  <c r="T118" i="33"/>
  <c r="D126" i="17" s="1"/>
  <c r="T119" i="33"/>
  <c r="D127" i="17" s="1"/>
  <c r="T120" i="33"/>
  <c r="D128" i="17" s="1"/>
  <c r="T121" i="33"/>
  <c r="D129" i="17" s="1"/>
  <c r="T122" i="33"/>
  <c r="D130" i="17" s="1"/>
  <c r="T123" i="33"/>
  <c r="D131" i="17" s="1"/>
  <c r="T125" i="33"/>
  <c r="D133" i="17" s="1"/>
  <c r="T126" i="33"/>
  <c r="D134" i="17" s="1"/>
  <c r="T127" i="33"/>
  <c r="D135" i="17" s="1"/>
  <c r="T128" i="33"/>
  <c r="D136" i="17" s="1"/>
  <c r="T129" i="33"/>
  <c r="D137" i="17" s="1"/>
  <c r="T130" i="33"/>
  <c r="D138" i="17" s="1"/>
  <c r="T131" i="33"/>
  <c r="D139" i="17" s="1"/>
  <c r="T132" i="33"/>
  <c r="D140" i="17" s="1"/>
  <c r="T133" i="33"/>
  <c r="D141" i="17" s="1"/>
  <c r="T134" i="33"/>
  <c r="D142" i="17" s="1"/>
  <c r="T135" i="33"/>
  <c r="D143" i="17" s="1"/>
  <c r="T136" i="33"/>
  <c r="D144" i="17" s="1"/>
  <c r="T92" i="33"/>
  <c r="D100" i="17" s="1"/>
  <c r="C93" i="33"/>
  <c r="C94" i="33"/>
  <c r="C95" i="33"/>
  <c r="C96" i="33"/>
  <c r="C97" i="33"/>
  <c r="C98" i="33"/>
  <c r="C99" i="33"/>
  <c r="C100" i="33"/>
  <c r="C101" i="33"/>
  <c r="C102" i="33"/>
  <c r="C103" i="33"/>
  <c r="C104" i="33"/>
  <c r="C105" i="33"/>
  <c r="C106" i="33"/>
  <c r="C107" i="33"/>
  <c r="C108" i="33"/>
  <c r="C109" i="33"/>
  <c r="C110" i="33"/>
  <c r="C111" i="33"/>
  <c r="C112" i="33"/>
  <c r="C113" i="33"/>
  <c r="C114" i="33"/>
  <c r="C115" i="33"/>
  <c r="C116" i="33"/>
  <c r="C117" i="33"/>
  <c r="C118" i="33"/>
  <c r="C119" i="33"/>
  <c r="C120" i="33"/>
  <c r="C121" i="33"/>
  <c r="C122" i="33"/>
  <c r="C123" i="33"/>
  <c r="C125" i="33"/>
  <c r="C126" i="33"/>
  <c r="C127" i="33"/>
  <c r="C128" i="33"/>
  <c r="C129" i="33"/>
  <c r="C130" i="33"/>
  <c r="C131" i="33"/>
  <c r="C132" i="33"/>
  <c r="C133" i="33"/>
  <c r="C134" i="33"/>
  <c r="C135" i="33"/>
  <c r="C136" i="33"/>
  <c r="C92" i="33"/>
  <c r="D93" i="33"/>
  <c r="C101" i="17" s="1"/>
  <c r="D94" i="33"/>
  <c r="C102" i="17" s="1"/>
  <c r="D95" i="33"/>
  <c r="C103" i="17" s="1"/>
  <c r="D96" i="33"/>
  <c r="C104" i="17" s="1"/>
  <c r="D97" i="33"/>
  <c r="C105" i="17" s="1"/>
  <c r="D98" i="33"/>
  <c r="C106" i="17" s="1"/>
  <c r="D99" i="33"/>
  <c r="C107" i="17" s="1"/>
  <c r="D100" i="33"/>
  <c r="C108" i="17" s="1"/>
  <c r="D101" i="33"/>
  <c r="C109" i="17" s="1"/>
  <c r="D102" i="33"/>
  <c r="C110" i="17" s="1"/>
  <c r="D103" i="33"/>
  <c r="C111" i="17" s="1"/>
  <c r="D104" i="33"/>
  <c r="C112" i="17" s="1"/>
  <c r="D105" i="33"/>
  <c r="C113" i="17" s="1"/>
  <c r="D106" i="33"/>
  <c r="C114" i="17" s="1"/>
  <c r="D107" i="33"/>
  <c r="C115" i="17" s="1"/>
  <c r="D108" i="33"/>
  <c r="C116" i="17" s="1"/>
  <c r="D109" i="33"/>
  <c r="C117" i="17" s="1"/>
  <c r="D110" i="33"/>
  <c r="C118" i="17" s="1"/>
  <c r="D111" i="33"/>
  <c r="C119" i="17" s="1"/>
  <c r="D112" i="33"/>
  <c r="C120" i="17" s="1"/>
  <c r="D113" i="33"/>
  <c r="C121" i="17" s="1"/>
  <c r="D114" i="33"/>
  <c r="C122" i="17" s="1"/>
  <c r="D115" i="33"/>
  <c r="C123" i="17" s="1"/>
  <c r="D116" i="33"/>
  <c r="C124" i="17" s="1"/>
  <c r="D117" i="33"/>
  <c r="C125" i="17" s="1"/>
  <c r="D118" i="33"/>
  <c r="C126" i="17" s="1"/>
  <c r="D119" i="33"/>
  <c r="C127" i="17" s="1"/>
  <c r="D120" i="33"/>
  <c r="C128" i="17" s="1"/>
  <c r="D121" i="33"/>
  <c r="C129" i="17" s="1"/>
  <c r="D122" i="33"/>
  <c r="C130" i="17" s="1"/>
  <c r="D123" i="33"/>
  <c r="C131" i="17" s="1"/>
  <c r="D125" i="33"/>
  <c r="C133" i="17" s="1"/>
  <c r="D126" i="33"/>
  <c r="C134" i="17" s="1"/>
  <c r="D127" i="33"/>
  <c r="C135" i="17" s="1"/>
  <c r="D128" i="33"/>
  <c r="C136" i="17" s="1"/>
  <c r="D129" i="33"/>
  <c r="C137" i="17" s="1"/>
  <c r="D130" i="33"/>
  <c r="C138" i="17" s="1"/>
  <c r="D131" i="33"/>
  <c r="C139" i="17" s="1"/>
  <c r="D132" i="33"/>
  <c r="C140" i="17" s="1"/>
  <c r="D133" i="33"/>
  <c r="C141" i="17" s="1"/>
  <c r="D134" i="33"/>
  <c r="C142" i="17" s="1"/>
  <c r="D135" i="33"/>
  <c r="C143" i="17" s="1"/>
  <c r="D136" i="33"/>
  <c r="C144" i="17" s="1"/>
  <c r="D92" i="33"/>
  <c r="C100" i="17" s="1"/>
  <c r="B116" i="6"/>
  <c r="E93" i="33"/>
  <c r="E3" i="9" s="1"/>
  <c r="E94" i="33"/>
  <c r="E4" i="9" s="1"/>
  <c r="E95" i="33"/>
  <c r="E5" i="9" s="1"/>
  <c r="E96" i="33"/>
  <c r="E6" i="9" s="1"/>
  <c r="E97" i="33"/>
  <c r="E7" i="9" s="1"/>
  <c r="E98" i="33"/>
  <c r="E8" i="9" s="1"/>
  <c r="E99" i="33"/>
  <c r="E9" i="9" s="1"/>
  <c r="E100" i="33"/>
  <c r="E10" i="9" s="1"/>
  <c r="E101" i="33"/>
  <c r="E11" i="9" s="1"/>
  <c r="E102" i="33"/>
  <c r="E12" i="9" s="1"/>
  <c r="E103" i="33"/>
  <c r="E104" i="33"/>
  <c r="E14" i="9" s="1"/>
  <c r="E105" i="33"/>
  <c r="E15" i="9" s="1"/>
  <c r="E106" i="33"/>
  <c r="E16" i="9" s="1"/>
  <c r="E107" i="33"/>
  <c r="E17" i="9" s="1"/>
  <c r="E108" i="33"/>
  <c r="E18" i="9" s="1"/>
  <c r="E109" i="33"/>
  <c r="E19" i="9" s="1"/>
  <c r="E110" i="33"/>
  <c r="E20" i="9" s="1"/>
  <c r="E111" i="33"/>
  <c r="E21" i="9" s="1"/>
  <c r="E112" i="33"/>
  <c r="E22" i="9" s="1"/>
  <c r="E113" i="33"/>
  <c r="E23" i="9" s="1"/>
  <c r="E114" i="33"/>
  <c r="E24" i="9" s="1"/>
  <c r="E115" i="33"/>
  <c r="E25" i="9" s="1"/>
  <c r="E116" i="33"/>
  <c r="E26" i="9" s="1"/>
  <c r="E117" i="33"/>
  <c r="E27" i="9" s="1"/>
  <c r="E118" i="33"/>
  <c r="E28" i="9" s="1"/>
  <c r="E119" i="33"/>
  <c r="E29" i="9" s="1"/>
  <c r="E120" i="33"/>
  <c r="E30" i="9" s="1"/>
  <c r="E121" i="33"/>
  <c r="E31" i="9" s="1"/>
  <c r="E122" i="33"/>
  <c r="E32" i="9" s="1"/>
  <c r="E123" i="33"/>
  <c r="E33" i="9" s="1"/>
  <c r="E125" i="33"/>
  <c r="E35" i="9" s="1"/>
  <c r="E126" i="33"/>
  <c r="E36" i="9" s="1"/>
  <c r="E127" i="33"/>
  <c r="E37" i="9" s="1"/>
  <c r="E128" i="33"/>
  <c r="E38" i="9" s="1"/>
  <c r="E129" i="33"/>
  <c r="E39" i="9" s="1"/>
  <c r="E130" i="33"/>
  <c r="E40" i="9" s="1"/>
  <c r="E131" i="33"/>
  <c r="E41" i="9" s="1"/>
  <c r="E132" i="33"/>
  <c r="E42" i="9" s="1"/>
  <c r="E133" i="33"/>
  <c r="E43" i="9" s="1"/>
  <c r="E134" i="33"/>
  <c r="E44" i="9" s="1"/>
  <c r="E135" i="33"/>
  <c r="E45" i="9" s="1"/>
  <c r="E136" i="33"/>
  <c r="E46" i="9" s="1"/>
  <c r="E92" i="33"/>
  <c r="E2" i="9" s="1"/>
  <c r="E13" i="9"/>
  <c r="AN3" i="9"/>
  <c r="AN4" i="9"/>
  <c r="AN5" i="9"/>
  <c r="AN6" i="9"/>
  <c r="AN7" i="9"/>
  <c r="AN8" i="9"/>
  <c r="AN9" i="9"/>
  <c r="AN10" i="9"/>
  <c r="AN11"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38" i="9"/>
  <c r="AN39" i="9"/>
  <c r="AN40" i="9"/>
  <c r="AN41" i="9"/>
  <c r="AN42" i="9"/>
  <c r="AN43" i="9"/>
  <c r="AN44" i="9"/>
  <c r="AN45" i="9"/>
  <c r="AN46" i="9"/>
  <c r="AN2" i="9"/>
  <c r="AG2" i="9" a="1"/>
  <c r="AG2" i="9" s="1"/>
  <c r="AG3" i="9" a="1"/>
  <c r="AG3" i="9" s="1"/>
  <c r="AG4" i="9" a="1"/>
  <c r="AG4" i="9" s="1"/>
  <c r="AG5" i="9" a="1"/>
  <c r="AG5" i="9" s="1"/>
  <c r="AG6" i="9" a="1"/>
  <c r="AG6" i="9" s="1"/>
  <c r="AG7" i="9" a="1"/>
  <c r="AG7" i="9" s="1"/>
  <c r="AG8" i="9" a="1"/>
  <c r="AG8" i="9" s="1"/>
  <c r="AG9" i="9" a="1"/>
  <c r="AG9" i="9" s="1"/>
  <c r="AG10" i="9" a="1"/>
  <c r="AG10" i="9" s="1"/>
  <c r="AG11" i="9" a="1"/>
  <c r="AG11" i="9" s="1"/>
  <c r="AG12" i="9" a="1"/>
  <c r="AG12" i="9" s="1"/>
  <c r="AG13" i="9" a="1"/>
  <c r="AG13" i="9" s="1"/>
  <c r="AG14" i="9" a="1"/>
  <c r="AG14" i="9" s="1"/>
  <c r="AG15" i="9" a="1"/>
  <c r="AG15" i="9" s="1"/>
  <c r="AG16" i="9" a="1"/>
  <c r="AG16" i="9" s="1"/>
  <c r="AG17" i="9" a="1"/>
  <c r="AG17" i="9" s="1"/>
  <c r="AG18" i="9" a="1"/>
  <c r="AG18" i="9" s="1"/>
  <c r="AG19" i="9" a="1"/>
  <c r="AG19" i="9" s="1"/>
  <c r="AG20" i="9" a="1"/>
  <c r="AG20" i="9" s="1"/>
  <c r="AG21" i="9" a="1"/>
  <c r="AG21" i="9" s="1"/>
  <c r="AG22" i="9" a="1"/>
  <c r="AG22" i="9" s="1"/>
  <c r="AG23" i="9" a="1"/>
  <c r="AG23" i="9" s="1"/>
  <c r="AG24" i="9" a="1"/>
  <c r="AG24" i="9" s="1"/>
  <c r="AG25" i="9" a="1"/>
  <c r="AG25" i="9" s="1"/>
  <c r="AG26" i="9" a="1"/>
  <c r="AG26" i="9" s="1"/>
  <c r="AG27" i="9" a="1"/>
  <c r="AG27" i="9" s="1"/>
  <c r="AG28" i="9" a="1"/>
  <c r="AG28" i="9" s="1"/>
  <c r="AG29" i="9" a="1"/>
  <c r="AG29" i="9" s="1"/>
  <c r="AG30" i="9" a="1"/>
  <c r="AG30" i="9" s="1"/>
  <c r="AG31" i="9" a="1"/>
  <c r="AG31" i="9" s="1"/>
  <c r="AG32" i="9" a="1"/>
  <c r="AG32" i="9" s="1"/>
  <c r="AG33" i="9" a="1"/>
  <c r="AG33" i="9" s="1"/>
  <c r="AG34" i="9" a="1"/>
  <c r="AG34" i="9" s="1"/>
  <c r="AG35" i="9" a="1"/>
  <c r="AG35" i="9" s="1"/>
  <c r="AG36" i="9" a="1"/>
  <c r="AG36" i="9" s="1"/>
  <c r="AG37" i="9" a="1"/>
  <c r="AG37" i="9" s="1"/>
  <c r="AG38" i="9" a="1"/>
  <c r="AG38" i="9" s="1"/>
  <c r="AG39" i="9" a="1"/>
  <c r="AG39" i="9" s="1"/>
  <c r="AG40" i="9" a="1"/>
  <c r="AG40" i="9" s="1"/>
  <c r="AG41" i="9" a="1"/>
  <c r="AG41" i="9" s="1"/>
  <c r="AG42" i="9" a="1"/>
  <c r="AG42" i="9" s="1"/>
  <c r="AG43" i="9" a="1"/>
  <c r="AG43" i="9" s="1"/>
  <c r="AG44" i="9" a="1"/>
  <c r="AG44" i="9" s="1"/>
  <c r="AG45" i="9" a="1"/>
  <c r="AG45" i="9" s="1"/>
  <c r="AH3" i="9" a="1"/>
  <c r="AH3" i="9" s="1"/>
  <c r="AI3" i="9" a="1"/>
  <c r="AI3" i="9" s="1"/>
  <c r="AJ3" i="9" a="1"/>
  <c r="AJ3" i="9" s="1"/>
  <c r="AK3" i="9" a="1"/>
  <c r="AK3" i="9" s="1"/>
  <c r="AL3" i="9" a="1"/>
  <c r="AL3" i="9" s="1"/>
  <c r="AH4" i="9" a="1"/>
  <c r="AH4" i="9" s="1"/>
  <c r="AI4" i="9" a="1"/>
  <c r="AI4" i="9" s="1"/>
  <c r="AJ4" i="9" a="1"/>
  <c r="AJ4" i="9" s="1"/>
  <c r="AK4" i="9" a="1"/>
  <c r="AK4" i="9" s="1"/>
  <c r="AL4" i="9" a="1"/>
  <c r="AL4" i="9" s="1"/>
  <c r="AH8" i="9" a="1"/>
  <c r="AH8" i="9" s="1"/>
  <c r="AI8" i="9" a="1"/>
  <c r="AI8" i="9" s="1"/>
  <c r="AJ8" i="9" a="1"/>
  <c r="AJ8" i="9" s="1"/>
  <c r="AK8" i="9" a="1"/>
  <c r="AK8" i="9" s="1"/>
  <c r="AL8" i="9" a="1"/>
  <c r="AL8" i="9" s="1"/>
  <c r="AH9" i="9" a="1"/>
  <c r="AH9" i="9" s="1"/>
  <c r="AI9" i="9" a="1"/>
  <c r="AI9" i="9" s="1"/>
  <c r="AJ9" i="9" a="1"/>
  <c r="AJ9" i="9" s="1"/>
  <c r="AK9" i="9" a="1"/>
  <c r="AK9" i="9" s="1"/>
  <c r="AL9" i="9" a="1"/>
  <c r="AL9" i="9" s="1"/>
  <c r="AH11" i="9" a="1"/>
  <c r="AH11" i="9" s="1"/>
  <c r="AI11" i="9" a="1"/>
  <c r="AI11" i="9" s="1"/>
  <c r="AJ11" i="9" a="1"/>
  <c r="AJ11" i="9" s="1"/>
  <c r="AK11" i="9" a="1"/>
  <c r="AK11" i="9" s="1"/>
  <c r="AL11" i="9" a="1"/>
  <c r="AL11" i="9" s="1"/>
  <c r="AH13" i="9" a="1"/>
  <c r="AH13" i="9" s="1"/>
  <c r="AI13" i="9" a="1"/>
  <c r="AI13" i="9" s="1"/>
  <c r="AJ13" i="9" a="1"/>
  <c r="AJ13" i="9" s="1"/>
  <c r="AK13" i="9" a="1"/>
  <c r="AK13" i="9" s="1"/>
  <c r="AL13" i="9" a="1"/>
  <c r="AL13" i="9" s="1"/>
  <c r="AH15" i="9" a="1"/>
  <c r="AH15" i="9" s="1"/>
  <c r="AI15" i="9" a="1"/>
  <c r="AI15" i="9" s="1"/>
  <c r="AJ15" i="9" a="1"/>
  <c r="AJ15" i="9" s="1"/>
  <c r="AK15" i="9" a="1"/>
  <c r="AK15" i="9" s="1"/>
  <c r="AL15" i="9" a="1"/>
  <c r="AL15" i="9" s="1"/>
  <c r="AH16" i="9" a="1"/>
  <c r="AH16" i="9" s="1"/>
  <c r="AI16" i="9" a="1"/>
  <c r="AI16" i="9" s="1"/>
  <c r="AJ16" i="9" a="1"/>
  <c r="AJ16" i="9" s="1"/>
  <c r="AK16" i="9" a="1"/>
  <c r="AK16" i="9" s="1"/>
  <c r="AL16" i="9" a="1"/>
  <c r="AL16" i="9" s="1"/>
  <c r="AH19" i="9" a="1"/>
  <c r="AH19" i="9" s="1"/>
  <c r="AI19" i="9" a="1"/>
  <c r="AI19" i="9" s="1"/>
  <c r="AJ19" i="9" a="1"/>
  <c r="AJ19" i="9" s="1"/>
  <c r="AK19" i="9" a="1"/>
  <c r="AK19" i="9" s="1"/>
  <c r="AL19" i="9" a="1"/>
  <c r="AL19" i="9" s="1"/>
  <c r="AH20" i="9" a="1"/>
  <c r="AH20" i="9" s="1"/>
  <c r="AI20" i="9" a="1"/>
  <c r="AI20" i="9" s="1"/>
  <c r="AJ20" i="9" a="1"/>
  <c r="AJ20" i="9" s="1"/>
  <c r="AK20" i="9" a="1"/>
  <c r="AK20" i="9" s="1"/>
  <c r="AL20" i="9" a="1"/>
  <c r="AL20" i="9" s="1"/>
  <c r="AH25" i="9" a="1"/>
  <c r="AH25" i="9" s="1"/>
  <c r="AI25" i="9" a="1"/>
  <c r="AI25" i="9" s="1"/>
  <c r="AJ25" i="9" a="1"/>
  <c r="AJ25" i="9" s="1"/>
  <c r="AK25" i="9" a="1"/>
  <c r="AK25" i="9" s="1"/>
  <c r="AL25" i="9" a="1"/>
  <c r="AL25" i="9" s="1"/>
  <c r="AH27" i="9" a="1"/>
  <c r="AH27" i="9" s="1"/>
  <c r="AI27" i="9" a="1"/>
  <c r="AI27" i="9" s="1"/>
  <c r="AJ27" i="9" a="1"/>
  <c r="AJ27" i="9" s="1"/>
  <c r="AK27" i="9" a="1"/>
  <c r="AK27" i="9" s="1"/>
  <c r="AL27" i="9" a="1"/>
  <c r="AL27" i="9" s="1"/>
  <c r="AH35" i="9" a="1"/>
  <c r="AH35" i="9" s="1"/>
  <c r="AI35" i="9" a="1"/>
  <c r="AI35" i="9" s="1"/>
  <c r="AJ35" i="9" a="1"/>
  <c r="AJ35" i="9" s="1"/>
  <c r="AK35" i="9" a="1"/>
  <c r="AK35" i="9" s="1"/>
  <c r="AL35" i="9" a="1"/>
  <c r="AL35" i="9" s="1"/>
  <c r="AH39" i="9" a="1"/>
  <c r="AH39" i="9" s="1"/>
  <c r="AI39" i="9" a="1"/>
  <c r="AI39" i="9" s="1"/>
  <c r="AJ39" i="9" a="1"/>
  <c r="AJ39" i="9" s="1"/>
  <c r="AK39" i="9" a="1"/>
  <c r="AK39" i="9" s="1"/>
  <c r="AL39" i="9" a="1"/>
  <c r="AL39" i="9" s="1"/>
  <c r="AG46" i="9" a="1"/>
  <c r="AG46" i="9" s="1"/>
  <c r="AA8" i="9" a="1"/>
  <c r="AA8" i="9" s="1"/>
  <c r="AB8" i="9" a="1"/>
  <c r="AB8" i="9" s="1"/>
  <c r="AC8" i="9" a="1"/>
  <c r="AC8" i="9" s="1"/>
  <c r="AD8" i="9" a="1"/>
  <c r="AD8" i="9" s="1"/>
  <c r="AE8" i="9" a="1"/>
  <c r="AE8" i="9" s="1"/>
  <c r="AA9" i="9" a="1"/>
  <c r="AA9" i="9" s="1"/>
  <c r="AB9" i="9" a="1"/>
  <c r="AB9" i="9" s="1"/>
  <c r="AC9" i="9" a="1"/>
  <c r="AC9" i="9" s="1"/>
  <c r="AD9" i="9" a="1"/>
  <c r="AD9" i="9" s="1"/>
  <c r="AE9" i="9" a="1"/>
  <c r="AE9" i="9" s="1"/>
  <c r="AA11" i="9" a="1"/>
  <c r="AA11" i="9" s="1"/>
  <c r="AB11" i="9" a="1"/>
  <c r="AB11" i="9" s="1"/>
  <c r="AC11" i="9" a="1"/>
  <c r="AC11" i="9" s="1"/>
  <c r="AD11" i="9" a="1"/>
  <c r="AD11" i="9" s="1"/>
  <c r="AE11" i="9" a="1"/>
  <c r="AE11" i="9" s="1"/>
  <c r="AA13" i="9" a="1"/>
  <c r="AA13" i="9" s="1"/>
  <c r="AB13" i="9" a="1"/>
  <c r="AB13" i="9" s="1"/>
  <c r="AC13" i="9" a="1"/>
  <c r="AC13" i="9" s="1"/>
  <c r="AD13" i="9" a="1"/>
  <c r="AD13" i="9" s="1"/>
  <c r="AE13" i="9" a="1"/>
  <c r="AE13" i="9" s="1"/>
  <c r="AA15" i="9" a="1"/>
  <c r="AA15" i="9" s="1"/>
  <c r="AB15" i="9" a="1"/>
  <c r="AB15" i="9" s="1"/>
  <c r="AC15" i="9" a="1"/>
  <c r="AC15" i="9" s="1"/>
  <c r="AD15" i="9" a="1"/>
  <c r="AD15" i="9" s="1"/>
  <c r="AE15" i="9" a="1"/>
  <c r="AE15" i="9" s="1"/>
  <c r="AA16" i="9" a="1"/>
  <c r="AA16" i="9" s="1"/>
  <c r="AB16" i="9" a="1"/>
  <c r="AB16" i="9" s="1"/>
  <c r="AC16" i="9" a="1"/>
  <c r="AC16" i="9" s="1"/>
  <c r="AD16" i="9" a="1"/>
  <c r="AD16" i="9" s="1"/>
  <c r="AE16" i="9" a="1"/>
  <c r="AE16" i="9" s="1"/>
  <c r="AA19" i="9" a="1"/>
  <c r="AA19" i="9" s="1"/>
  <c r="AB19" i="9" a="1"/>
  <c r="AB19" i="9" s="1"/>
  <c r="AC19" i="9" a="1"/>
  <c r="AC19" i="9" s="1"/>
  <c r="AD19" i="9" a="1"/>
  <c r="AD19" i="9" s="1"/>
  <c r="AE19" i="9" a="1"/>
  <c r="AE19" i="9" s="1"/>
  <c r="AA20" i="9" a="1"/>
  <c r="AA20" i="9" s="1"/>
  <c r="AB20" i="9" a="1"/>
  <c r="AB20" i="9" s="1"/>
  <c r="AC20" i="9" a="1"/>
  <c r="AC20" i="9" s="1"/>
  <c r="AD20" i="9" a="1"/>
  <c r="AD20" i="9" s="1"/>
  <c r="AE20" i="9" a="1"/>
  <c r="AE20" i="9" s="1"/>
  <c r="AA25" i="9" a="1"/>
  <c r="AA25" i="9" s="1"/>
  <c r="AB25" i="9" a="1"/>
  <c r="AB25" i="9" s="1"/>
  <c r="AC25" i="9" a="1"/>
  <c r="AC25" i="9" s="1"/>
  <c r="AD25" i="9" a="1"/>
  <c r="AD25" i="9" s="1"/>
  <c r="AE25" i="9" a="1"/>
  <c r="AE25" i="9" s="1"/>
  <c r="AA27" i="9" a="1"/>
  <c r="AA27" i="9" s="1"/>
  <c r="AB27" i="9" a="1"/>
  <c r="AB27" i="9" s="1"/>
  <c r="AC27" i="9" a="1"/>
  <c r="AC27" i="9" s="1"/>
  <c r="AD27" i="9" a="1"/>
  <c r="AD27" i="9" s="1"/>
  <c r="AE27" i="9" a="1"/>
  <c r="AE27" i="9" s="1"/>
  <c r="AA35" i="9" a="1"/>
  <c r="AA35" i="9" s="1"/>
  <c r="AB35" i="9" a="1"/>
  <c r="AB35" i="9" s="1"/>
  <c r="AC35" i="9" a="1"/>
  <c r="AC35" i="9" s="1"/>
  <c r="AD35" i="9" a="1"/>
  <c r="AD35" i="9" s="1"/>
  <c r="AE35" i="9" a="1"/>
  <c r="AE35" i="9" s="1"/>
  <c r="AA39" i="9" a="1"/>
  <c r="AA39" i="9" s="1"/>
  <c r="AB39" i="9" a="1"/>
  <c r="AB39" i="9" s="1"/>
  <c r="AC39" i="9" a="1"/>
  <c r="AC39" i="9" s="1"/>
  <c r="AD39" i="9" a="1"/>
  <c r="AD39" i="9" s="1"/>
  <c r="AE39" i="9" a="1"/>
  <c r="AE39" i="9" s="1"/>
  <c r="Z3" i="9" a="1"/>
  <c r="Z3" i="9" s="1"/>
  <c r="Z4" i="9" a="1"/>
  <c r="Z4" i="9" s="1"/>
  <c r="Z5" i="9" a="1"/>
  <c r="Z5" i="9" s="1"/>
  <c r="Z6" i="9" a="1"/>
  <c r="Z6" i="9" s="1"/>
  <c r="Z7" i="9" a="1"/>
  <c r="Z7" i="9" s="1"/>
  <c r="Z8" i="9" a="1"/>
  <c r="Z8" i="9" s="1"/>
  <c r="Z9" i="9" a="1"/>
  <c r="Z9" i="9" s="1"/>
  <c r="Z10" i="9" a="1"/>
  <c r="Z10" i="9" s="1"/>
  <c r="Z11" i="9" a="1"/>
  <c r="Z11" i="9" s="1"/>
  <c r="Z12" i="9" a="1"/>
  <c r="Z12" i="9" s="1"/>
  <c r="Z13" i="9" a="1"/>
  <c r="Z13" i="9" s="1"/>
  <c r="Z14" i="9" a="1"/>
  <c r="Z14" i="9" s="1"/>
  <c r="Z15" i="9" a="1"/>
  <c r="Z15" i="9" s="1"/>
  <c r="Z16" i="9" a="1"/>
  <c r="Z16" i="9" s="1"/>
  <c r="Z17" i="9" a="1"/>
  <c r="Z17" i="9" s="1"/>
  <c r="Z18" i="9" a="1"/>
  <c r="Z18" i="9" s="1"/>
  <c r="Z19" i="9" a="1"/>
  <c r="Z19" i="9" s="1"/>
  <c r="Z20" i="9" a="1"/>
  <c r="Z20" i="9" s="1"/>
  <c r="Z21" i="9" a="1"/>
  <c r="Z21" i="9" s="1"/>
  <c r="Z22" i="9" a="1"/>
  <c r="Z22" i="9" s="1"/>
  <c r="Z23" i="9" a="1"/>
  <c r="Z23" i="9" s="1"/>
  <c r="Z24" i="9" a="1"/>
  <c r="Z24" i="9" s="1"/>
  <c r="Z25" i="9" a="1"/>
  <c r="Z25" i="9" s="1"/>
  <c r="Z26" i="9" a="1"/>
  <c r="Z26" i="9" s="1"/>
  <c r="Z27" i="9" a="1"/>
  <c r="Z27" i="9" s="1"/>
  <c r="Z28" i="9" a="1"/>
  <c r="Z28" i="9" s="1"/>
  <c r="Z29" i="9" a="1"/>
  <c r="Z29" i="9" s="1"/>
  <c r="Z30" i="9" a="1"/>
  <c r="Z30" i="9" s="1"/>
  <c r="Z31" i="9" a="1"/>
  <c r="Z31" i="9" s="1"/>
  <c r="Z32" i="9" a="1"/>
  <c r="Z32" i="9" s="1"/>
  <c r="Z33" i="9" a="1"/>
  <c r="Z33" i="9" s="1"/>
  <c r="Z34" i="9" a="1"/>
  <c r="Z34" i="9" s="1"/>
  <c r="Z35" i="9" a="1"/>
  <c r="Z35" i="9" s="1"/>
  <c r="Z36" i="9" a="1"/>
  <c r="Z36" i="9" s="1"/>
  <c r="Z37" i="9" a="1"/>
  <c r="Z37" i="9" s="1"/>
  <c r="Z38" i="9" a="1"/>
  <c r="Z38" i="9" s="1"/>
  <c r="Z39" i="9" a="1"/>
  <c r="Z39" i="9" s="1"/>
  <c r="Z40" i="9" a="1"/>
  <c r="Z40" i="9" s="1"/>
  <c r="Z41" i="9" a="1"/>
  <c r="Z41" i="9" s="1"/>
  <c r="Z42" i="9" a="1"/>
  <c r="Z42" i="9" s="1"/>
  <c r="Z43" i="9" a="1"/>
  <c r="Z43" i="9" s="1"/>
  <c r="Z44" i="9" a="1"/>
  <c r="Z44" i="9" s="1"/>
  <c r="Z45" i="9" a="1"/>
  <c r="Z45" i="9" s="1"/>
  <c r="Z46" i="9" a="1"/>
  <c r="Z46" i="9" s="1"/>
  <c r="Z2" i="9" a="1"/>
  <c r="Z2" i="9" s="1"/>
  <c r="AA2" i="9" a="1"/>
  <c r="AA2" i="9" s="1"/>
  <c r="AB2" i="9" a="1"/>
  <c r="AB2" i="9" s="1"/>
  <c r="AC2" i="9" a="1"/>
  <c r="AC2" i="9" s="1"/>
  <c r="AD2" i="9" a="1"/>
  <c r="AD2" i="9" s="1"/>
  <c r="AE2" i="9" a="1"/>
  <c r="AE2" i="9" s="1"/>
  <c r="AA3" i="9" a="1"/>
  <c r="AA3" i="9" s="1"/>
  <c r="AB3" i="9" a="1"/>
  <c r="AB3" i="9" s="1"/>
  <c r="AC3" i="9" a="1"/>
  <c r="AC3" i="9" s="1"/>
  <c r="AD3" i="9" a="1"/>
  <c r="AD3" i="9" s="1"/>
  <c r="AE3" i="9" a="1"/>
  <c r="AE3" i="9" s="1"/>
  <c r="AA4" i="9" a="1"/>
  <c r="AA4" i="9" s="1"/>
  <c r="AB4" i="9" a="1"/>
  <c r="AB4" i="9" s="1"/>
  <c r="AC4" i="9" a="1"/>
  <c r="AC4" i="9" s="1"/>
  <c r="AD4" i="9" a="1"/>
  <c r="AD4" i="9" s="1"/>
  <c r="AE4" i="9" a="1"/>
  <c r="AE4" i="9" s="1"/>
  <c r="AF2" i="9"/>
  <c r="S17" i="9"/>
  <c r="T17" i="9"/>
  <c r="AH17" i="9" s="1" a="1"/>
  <c r="AH17" i="9" s="1"/>
  <c r="U17" i="9"/>
  <c r="AI17" i="9" s="1" a="1"/>
  <c r="AI17" i="9" s="1"/>
  <c r="V17" i="9"/>
  <c r="AJ17" i="9" s="1" a="1"/>
  <c r="AJ17" i="9" s="1"/>
  <c r="W17" i="9"/>
  <c r="AK17" i="9" s="1" a="1"/>
  <c r="AK17" i="9" s="1"/>
  <c r="X17" i="9"/>
  <c r="AE17" i="9" s="1" a="1"/>
  <c r="AE17" i="9" s="1"/>
  <c r="S18" i="9"/>
  <c r="T18" i="9"/>
  <c r="AA18" i="9" s="1" a="1"/>
  <c r="AA18" i="9" s="1"/>
  <c r="U18" i="9"/>
  <c r="AB18" i="9" s="1" a="1"/>
  <c r="AB18" i="9" s="1"/>
  <c r="V18" i="9"/>
  <c r="AC18" i="9" s="1" a="1"/>
  <c r="AC18" i="9" s="1"/>
  <c r="W18" i="9"/>
  <c r="AK18" i="9" s="1" a="1"/>
  <c r="AK18" i="9" s="1"/>
  <c r="X18" i="9"/>
  <c r="AL18" i="9" s="1" a="1"/>
  <c r="AL18" i="9" s="1"/>
  <c r="S21" i="9"/>
  <c r="T21" i="9"/>
  <c r="AA21" i="9" s="1" a="1"/>
  <c r="AA21" i="9" s="1"/>
  <c r="U21" i="9"/>
  <c r="AB21" i="9" s="1" a="1"/>
  <c r="AB21" i="9" s="1"/>
  <c r="V21" i="9"/>
  <c r="AC21" i="9" s="1" a="1"/>
  <c r="AC21" i="9" s="1"/>
  <c r="W21" i="9"/>
  <c r="AK21" i="9" s="1" a="1"/>
  <c r="AK21" i="9" s="1"/>
  <c r="X21" i="9"/>
  <c r="AL21" i="9" s="1" a="1"/>
  <c r="AL21" i="9" s="1"/>
  <c r="S22" i="9"/>
  <c r="T22" i="9"/>
  <c r="AH22" i="9" s="1" a="1"/>
  <c r="AH22" i="9" s="1"/>
  <c r="U22" i="9"/>
  <c r="AI22" i="9" s="1" a="1"/>
  <c r="AI22" i="9" s="1"/>
  <c r="V22" i="9"/>
  <c r="AJ22" i="9" s="1" a="1"/>
  <c r="AJ22" i="9" s="1"/>
  <c r="W22" i="9"/>
  <c r="AK22" i="9" s="1" a="1"/>
  <c r="AK22" i="9" s="1"/>
  <c r="X22" i="9"/>
  <c r="AL22" i="9" s="1" a="1"/>
  <c r="AL22" i="9" s="1"/>
  <c r="S23" i="9"/>
  <c r="T23" i="9"/>
  <c r="AH23" i="9" s="1" a="1"/>
  <c r="AH23" i="9" s="1"/>
  <c r="U23" i="9"/>
  <c r="AI23" i="9" s="1" a="1"/>
  <c r="AI23" i="9" s="1"/>
  <c r="V23" i="9"/>
  <c r="AJ23" i="9" s="1" a="1"/>
  <c r="AJ23" i="9" s="1"/>
  <c r="W23" i="9"/>
  <c r="AK23" i="9" s="1" a="1"/>
  <c r="AK23" i="9" s="1"/>
  <c r="X23" i="9"/>
  <c r="AE23" i="9" s="1" a="1"/>
  <c r="AE23" i="9" s="1"/>
  <c r="S24" i="9"/>
  <c r="T24" i="9"/>
  <c r="AA24" i="9" s="1" a="1"/>
  <c r="AA24" i="9" s="1"/>
  <c r="U24" i="9"/>
  <c r="AB24" i="9" s="1" a="1"/>
  <c r="AB24" i="9" s="1"/>
  <c r="V24" i="9"/>
  <c r="AC24" i="9" s="1" a="1"/>
  <c r="AC24" i="9" s="1"/>
  <c r="W24" i="9"/>
  <c r="AK24" i="9" s="1" a="1"/>
  <c r="AK24" i="9" s="1"/>
  <c r="X24" i="9"/>
  <c r="AL24" i="9" s="1" a="1"/>
  <c r="AL24" i="9" s="1"/>
  <c r="S26" i="9"/>
  <c r="T26" i="9"/>
  <c r="AH26" i="9" s="1" a="1"/>
  <c r="AH26" i="9" s="1"/>
  <c r="U26" i="9"/>
  <c r="AI26" i="9" s="1" a="1"/>
  <c r="AI26" i="9" s="1"/>
  <c r="V26" i="9"/>
  <c r="AJ26" i="9" s="1" a="1"/>
  <c r="AJ26" i="9" s="1"/>
  <c r="W26" i="9"/>
  <c r="AK26" i="9" s="1" a="1"/>
  <c r="AK26" i="9" s="1"/>
  <c r="X26" i="9"/>
  <c r="AL26" i="9" s="1" a="1"/>
  <c r="AL26" i="9" s="1"/>
  <c r="S28" i="9"/>
  <c r="T28" i="9"/>
  <c r="AH28" i="9" s="1" a="1"/>
  <c r="AH28" i="9" s="1"/>
  <c r="U28" i="9"/>
  <c r="AI28" i="9" s="1" a="1"/>
  <c r="AI28" i="9" s="1"/>
  <c r="V28" i="9"/>
  <c r="AJ28" i="9" s="1" a="1"/>
  <c r="AJ28" i="9" s="1"/>
  <c r="W28" i="9"/>
  <c r="AK28" i="9" s="1" a="1"/>
  <c r="AK28" i="9" s="1"/>
  <c r="X28" i="9"/>
  <c r="AL28" i="9" s="1" a="1"/>
  <c r="AL28" i="9" s="1"/>
  <c r="S29" i="9"/>
  <c r="T29" i="9"/>
  <c r="AH29" i="9" s="1" a="1"/>
  <c r="AH29" i="9" s="1"/>
  <c r="U29" i="9"/>
  <c r="AI29" i="9" s="1" a="1"/>
  <c r="AI29" i="9" s="1"/>
  <c r="V29" i="9"/>
  <c r="AJ29" i="9" s="1" a="1"/>
  <c r="AJ29" i="9" s="1"/>
  <c r="W29" i="9"/>
  <c r="AK29" i="9" s="1" a="1"/>
  <c r="AK29" i="9" s="1"/>
  <c r="X29" i="9"/>
  <c r="AL29" i="9" s="1" a="1"/>
  <c r="AL29" i="9" s="1"/>
  <c r="S30" i="9"/>
  <c r="T30" i="9"/>
  <c r="AH30" i="9" s="1" a="1"/>
  <c r="AH30" i="9" s="1"/>
  <c r="U30" i="9"/>
  <c r="AB30" i="9" s="1" a="1"/>
  <c r="AB30" i="9" s="1"/>
  <c r="V30" i="9"/>
  <c r="AC30" i="9" s="1" a="1"/>
  <c r="AC30" i="9" s="1"/>
  <c r="W30" i="9"/>
  <c r="AK30" i="9" s="1" a="1"/>
  <c r="AK30" i="9" s="1"/>
  <c r="X30" i="9"/>
  <c r="AL30" i="9" s="1" a="1"/>
  <c r="AL30" i="9" s="1"/>
  <c r="S31" i="9"/>
  <c r="T31" i="9"/>
  <c r="AH31" i="9" s="1" a="1"/>
  <c r="AH31" i="9" s="1"/>
  <c r="U31" i="9"/>
  <c r="AI31" i="9" s="1" a="1"/>
  <c r="AI31" i="9" s="1"/>
  <c r="V31" i="9"/>
  <c r="AJ31" i="9" s="1" a="1"/>
  <c r="AJ31" i="9" s="1"/>
  <c r="W31" i="9"/>
  <c r="AK31" i="9" s="1" a="1"/>
  <c r="AK31" i="9" s="1"/>
  <c r="X31" i="9"/>
  <c r="AL31" i="9" s="1" a="1"/>
  <c r="AL31" i="9" s="1"/>
  <c r="S32" i="9"/>
  <c r="T32" i="9"/>
  <c r="AH32" i="9" s="1" a="1"/>
  <c r="AH32" i="9" s="1"/>
  <c r="U32" i="9"/>
  <c r="AI32" i="9" s="1" a="1"/>
  <c r="AI32" i="9" s="1"/>
  <c r="V32" i="9"/>
  <c r="AJ32" i="9" s="1" a="1"/>
  <c r="AJ32" i="9" s="1"/>
  <c r="W32" i="9"/>
  <c r="AK32" i="9" s="1" a="1"/>
  <c r="AK32" i="9" s="1"/>
  <c r="X32" i="9"/>
  <c r="AL32" i="9" s="1" a="1"/>
  <c r="AL32" i="9" s="1"/>
  <c r="S33" i="9"/>
  <c r="T33" i="9"/>
  <c r="AH33" i="9" s="1" a="1"/>
  <c r="AH33" i="9" s="1"/>
  <c r="U33" i="9"/>
  <c r="AI33" i="9" s="1" a="1"/>
  <c r="AI33" i="9" s="1"/>
  <c r="V33" i="9"/>
  <c r="AC33" i="9" s="1" a="1"/>
  <c r="AC33" i="9" s="1"/>
  <c r="W33" i="9"/>
  <c r="AK33" i="9" s="1" a="1"/>
  <c r="AK33" i="9" s="1"/>
  <c r="X33" i="9"/>
  <c r="AL33" i="9" s="1" a="1"/>
  <c r="AL33" i="9" s="1"/>
  <c r="S34" i="9"/>
  <c r="T34" i="9"/>
  <c r="AH34" i="9" s="1" a="1"/>
  <c r="AH34" i="9" s="1"/>
  <c r="U34" i="9"/>
  <c r="AI34" i="9" s="1" a="1"/>
  <c r="AI34" i="9" s="1"/>
  <c r="V34" i="9"/>
  <c r="AJ34" i="9" s="1" a="1"/>
  <c r="AJ34" i="9" s="1"/>
  <c r="W34" i="9"/>
  <c r="AK34" i="9" s="1" a="1"/>
  <c r="AK34" i="9" s="1"/>
  <c r="X34" i="9"/>
  <c r="AL34" i="9" s="1" a="1"/>
  <c r="AL34" i="9" s="1"/>
  <c r="S36" i="9"/>
  <c r="T36" i="9"/>
  <c r="AH36" i="9" s="1" a="1"/>
  <c r="AH36" i="9" s="1"/>
  <c r="U36" i="9"/>
  <c r="AI36" i="9" s="1" a="1"/>
  <c r="AI36" i="9" s="1"/>
  <c r="V36" i="9"/>
  <c r="AC36" i="9" s="1" a="1"/>
  <c r="AC36" i="9" s="1"/>
  <c r="W36" i="9"/>
  <c r="AK36" i="9" s="1" a="1"/>
  <c r="AK36" i="9" s="1"/>
  <c r="X36" i="9"/>
  <c r="AL36" i="9" s="1" a="1"/>
  <c r="AL36" i="9" s="1"/>
  <c r="S37" i="9"/>
  <c r="T37" i="9"/>
  <c r="AH37" i="9" s="1" a="1"/>
  <c r="AH37" i="9" s="1"/>
  <c r="U37" i="9"/>
  <c r="AI37" i="9" s="1" a="1"/>
  <c r="AI37" i="9" s="1"/>
  <c r="V37" i="9"/>
  <c r="AJ37" i="9" s="1" a="1"/>
  <c r="AJ37" i="9" s="1"/>
  <c r="W37" i="9"/>
  <c r="AK37" i="9" s="1" a="1"/>
  <c r="AK37" i="9" s="1"/>
  <c r="X37" i="9"/>
  <c r="AL37" i="9" s="1" a="1"/>
  <c r="AL37" i="9" s="1"/>
  <c r="S38" i="9"/>
  <c r="T38" i="9"/>
  <c r="AH38" i="9" s="1" a="1"/>
  <c r="AH38" i="9" s="1"/>
  <c r="U38" i="9"/>
  <c r="AI38" i="9" s="1" a="1"/>
  <c r="AI38" i="9" s="1"/>
  <c r="V38" i="9"/>
  <c r="AJ38" i="9" s="1" a="1"/>
  <c r="AJ38" i="9" s="1"/>
  <c r="W38" i="9"/>
  <c r="AK38" i="9" s="1" a="1"/>
  <c r="AK38" i="9" s="1"/>
  <c r="X38" i="9"/>
  <c r="AL38" i="9" s="1" a="1"/>
  <c r="AL38" i="9" s="1"/>
  <c r="S40" i="9"/>
  <c r="T40" i="9"/>
  <c r="AH40" i="9" s="1" a="1"/>
  <c r="AH40" i="9" s="1"/>
  <c r="U40" i="9"/>
  <c r="AI40" i="9" s="1" a="1"/>
  <c r="AI40" i="9" s="1"/>
  <c r="V40" i="9"/>
  <c r="AJ40" i="9" s="1" a="1"/>
  <c r="AJ40" i="9" s="1"/>
  <c r="W40" i="9"/>
  <c r="AK40" i="9" s="1" a="1"/>
  <c r="AK40" i="9" s="1"/>
  <c r="X40" i="9"/>
  <c r="AL40" i="9" s="1" a="1"/>
  <c r="AL40" i="9" s="1"/>
  <c r="S41" i="9"/>
  <c r="T41" i="9"/>
  <c r="AH41" i="9" s="1" a="1"/>
  <c r="AH41" i="9" s="1"/>
  <c r="U41" i="9"/>
  <c r="AI41" i="9" s="1" a="1"/>
  <c r="AI41" i="9" s="1"/>
  <c r="V41" i="9"/>
  <c r="AJ41" i="9" s="1" a="1"/>
  <c r="AJ41" i="9" s="1"/>
  <c r="W41" i="9"/>
  <c r="AK41" i="9" s="1" a="1"/>
  <c r="AK41" i="9" s="1"/>
  <c r="X41" i="9"/>
  <c r="AL41" i="9" s="1" a="1"/>
  <c r="AL41" i="9" s="1"/>
  <c r="S42" i="9"/>
  <c r="T42" i="9"/>
  <c r="AH42" i="9" s="1" a="1"/>
  <c r="AH42" i="9" s="1"/>
  <c r="U42" i="9"/>
  <c r="AB42" i="9" s="1" a="1"/>
  <c r="AB42" i="9" s="1"/>
  <c r="V42" i="9"/>
  <c r="AC42" i="9" s="1" a="1"/>
  <c r="AC42" i="9" s="1"/>
  <c r="W42" i="9"/>
  <c r="AD42" i="9" s="1" a="1"/>
  <c r="AD42" i="9" s="1"/>
  <c r="X42" i="9"/>
  <c r="AL42" i="9" s="1" a="1"/>
  <c r="AL42" i="9" s="1"/>
  <c r="S43" i="9"/>
  <c r="T43" i="9"/>
  <c r="AH43" i="9" s="1" a="1"/>
  <c r="AH43" i="9" s="1"/>
  <c r="U43" i="9"/>
  <c r="AI43" i="9" s="1" a="1"/>
  <c r="AI43" i="9" s="1"/>
  <c r="V43" i="9"/>
  <c r="AJ43" i="9" s="1" a="1"/>
  <c r="AJ43" i="9" s="1"/>
  <c r="W43" i="9"/>
  <c r="AK43" i="9" s="1" a="1"/>
  <c r="AK43" i="9" s="1"/>
  <c r="X43" i="9"/>
  <c r="AL43" i="9" s="1" a="1"/>
  <c r="AL43" i="9" s="1"/>
  <c r="S44" i="9"/>
  <c r="T44" i="9"/>
  <c r="AH44" i="9" s="1" a="1"/>
  <c r="AH44" i="9" s="1"/>
  <c r="U44" i="9"/>
  <c r="AI44" i="9" s="1" a="1"/>
  <c r="AI44" i="9" s="1"/>
  <c r="V44" i="9"/>
  <c r="AJ44" i="9" s="1" a="1"/>
  <c r="AJ44" i="9" s="1"/>
  <c r="W44" i="9"/>
  <c r="AK44" i="9" s="1" a="1"/>
  <c r="AK44" i="9" s="1"/>
  <c r="X44" i="9"/>
  <c r="AL44" i="9" s="1" a="1"/>
  <c r="AL44" i="9" s="1"/>
  <c r="S45" i="9"/>
  <c r="T45" i="9"/>
  <c r="AA45" i="9" s="1" a="1"/>
  <c r="AA45" i="9" s="1"/>
  <c r="U45" i="9"/>
  <c r="AB45" i="9" s="1" a="1"/>
  <c r="AB45" i="9" s="1"/>
  <c r="V45" i="9"/>
  <c r="AC45" i="9" s="1" a="1"/>
  <c r="AC45" i="9" s="1"/>
  <c r="W45" i="9"/>
  <c r="AD45" i="9" s="1" a="1"/>
  <c r="AD45" i="9" s="1"/>
  <c r="X45" i="9"/>
  <c r="AL45" i="9" s="1" a="1"/>
  <c r="AL45" i="9" s="1"/>
  <c r="S46" i="9"/>
  <c r="T46" i="9"/>
  <c r="AH46" i="9" s="1" a="1"/>
  <c r="AH46" i="9" s="1"/>
  <c r="U46" i="9"/>
  <c r="AI46" i="9" s="1" a="1"/>
  <c r="AI46" i="9" s="1"/>
  <c r="V46" i="9"/>
  <c r="AJ46" i="9" s="1" a="1"/>
  <c r="AJ46" i="9" s="1"/>
  <c r="W46" i="9"/>
  <c r="AK46" i="9" s="1" a="1"/>
  <c r="AK46" i="9" s="1"/>
  <c r="X46" i="9"/>
  <c r="AL46" i="9" s="1" a="1"/>
  <c r="AL46" i="9" s="1"/>
  <c r="S14" i="9"/>
  <c r="T14" i="9"/>
  <c r="AH14" i="9" s="1" a="1"/>
  <c r="AH14" i="9" s="1"/>
  <c r="U14" i="9"/>
  <c r="AI14" i="9" s="1" a="1"/>
  <c r="AI14" i="9" s="1"/>
  <c r="V14" i="9"/>
  <c r="AJ14" i="9" s="1" a="1"/>
  <c r="AJ14" i="9" s="1"/>
  <c r="W14" i="9"/>
  <c r="AD14" i="9" s="1" a="1"/>
  <c r="AD14" i="9" s="1"/>
  <c r="X14" i="9"/>
  <c r="AE14" i="9" s="1" a="1"/>
  <c r="AE14" i="9" s="1"/>
  <c r="T12" i="9"/>
  <c r="AA12" i="9" s="1" a="1"/>
  <c r="AA12" i="9" s="1"/>
  <c r="U12" i="9"/>
  <c r="AB12" i="9" s="1" a="1"/>
  <c r="AB12" i="9" s="1"/>
  <c r="V12" i="9"/>
  <c r="AJ12" i="9" s="1" a="1"/>
  <c r="AJ12" i="9" s="1"/>
  <c r="W12" i="9"/>
  <c r="AK12" i="9" s="1" a="1"/>
  <c r="AK12" i="9" s="1"/>
  <c r="X12" i="9"/>
  <c r="AL12" i="9" s="1" a="1"/>
  <c r="AL12" i="9" s="1"/>
  <c r="S12" i="9"/>
  <c r="T10" i="9"/>
  <c r="AH10" i="9" s="1" a="1"/>
  <c r="AH10" i="9" s="1"/>
  <c r="U10" i="9"/>
  <c r="AI10" i="9" s="1" a="1"/>
  <c r="AI10" i="9" s="1"/>
  <c r="V10" i="9"/>
  <c r="AJ10" i="9" s="1" a="1"/>
  <c r="AJ10" i="9" s="1"/>
  <c r="W10" i="9"/>
  <c r="AK10" i="9" s="1" a="1"/>
  <c r="AK10" i="9" s="1"/>
  <c r="X10" i="9"/>
  <c r="AL10" i="9" s="1" a="1"/>
  <c r="AL10" i="9" s="1"/>
  <c r="S10" i="9"/>
  <c r="T7" i="9"/>
  <c r="AA7" i="9" s="1" a="1"/>
  <c r="AA7" i="9" s="1"/>
  <c r="U7" i="9"/>
  <c r="AB7" i="9" s="1" a="1"/>
  <c r="AB7" i="9" s="1"/>
  <c r="V7" i="9"/>
  <c r="AC7" i="9" s="1" a="1"/>
  <c r="AC7" i="9" s="1"/>
  <c r="W7" i="9"/>
  <c r="AD7" i="9" s="1" a="1"/>
  <c r="AD7" i="9" s="1"/>
  <c r="X7" i="9"/>
  <c r="AE7" i="9" s="1" a="1"/>
  <c r="AE7" i="9" s="1"/>
  <c r="S7" i="9"/>
  <c r="T6" i="9"/>
  <c r="AH6" i="9" s="1" a="1"/>
  <c r="AH6" i="9" s="1"/>
  <c r="U6" i="9"/>
  <c r="AI6" i="9" s="1" a="1"/>
  <c r="AI6" i="9" s="1"/>
  <c r="V6" i="9"/>
  <c r="AJ6" i="9" s="1" a="1"/>
  <c r="AJ6" i="9" s="1"/>
  <c r="W6" i="9"/>
  <c r="AD6" i="9" s="1" a="1"/>
  <c r="AD6" i="9" s="1"/>
  <c r="X6" i="9"/>
  <c r="AE6" i="9" s="1" a="1"/>
  <c r="AE6" i="9" s="1"/>
  <c r="S6" i="9"/>
  <c r="U5" i="9"/>
  <c r="AB5" i="9" s="1" a="1"/>
  <c r="AB5" i="9" s="1"/>
  <c r="V5" i="9"/>
  <c r="AC5" i="9" s="1" a="1"/>
  <c r="AC5" i="9" s="1"/>
  <c r="W5" i="9"/>
  <c r="AD5" i="9" s="1" a="1"/>
  <c r="AD5" i="9" s="1"/>
  <c r="X5" i="9"/>
  <c r="AE5" i="9" s="1" a="1"/>
  <c r="AE5" i="9" s="1"/>
  <c r="T5" i="9"/>
  <c r="AA5" i="9" s="1" a="1"/>
  <c r="AA5" i="9" s="1"/>
  <c r="S5" i="9"/>
  <c r="T2" i="9"/>
  <c r="AH2" i="9" s="1" a="1"/>
  <c r="AH2" i="9" s="1"/>
  <c r="U2" i="9"/>
  <c r="AI2" i="9" s="1" a="1"/>
  <c r="AI2" i="9" s="1"/>
  <c r="V2" i="9"/>
  <c r="AJ2" i="9" s="1" a="1"/>
  <c r="AJ2" i="9" s="1"/>
  <c r="W2" i="9"/>
  <c r="AK2" i="9" s="1" a="1"/>
  <c r="AK2" i="9" s="1"/>
  <c r="X2" i="9"/>
  <c r="AL2" i="9" s="1" a="1"/>
  <c r="AL2" i="9" s="1"/>
  <c r="S2" i="9"/>
  <c r="P5" i="9"/>
  <c r="X112" i="33" s="1"/>
  <c r="P6" i="9"/>
  <c r="X132" i="33" s="1"/>
  <c r="P7" i="9"/>
  <c r="X92" i="33" s="1"/>
  <c r="P10" i="9"/>
  <c r="X98" i="33" s="1"/>
  <c r="P12" i="9"/>
  <c r="X124" i="33" s="1"/>
  <c r="P14" i="9"/>
  <c r="X104" i="33" s="1"/>
  <c r="P17" i="9"/>
  <c r="X107" i="33" s="1"/>
  <c r="P18" i="9"/>
  <c r="X108" i="33" s="1"/>
  <c r="P21" i="9"/>
  <c r="X136" i="33" s="1"/>
  <c r="P22" i="9"/>
  <c r="X97" i="33" s="1"/>
  <c r="P23" i="9"/>
  <c r="X100" i="33" s="1"/>
  <c r="P24" i="9"/>
  <c r="X114" i="33" s="1"/>
  <c r="P26" i="9"/>
  <c r="X120" i="33" s="1"/>
  <c r="P28" i="9"/>
  <c r="X111" i="33" s="1"/>
  <c r="P29" i="9"/>
  <c r="X123" i="33" s="1"/>
  <c r="P30" i="9"/>
  <c r="X134" i="33" s="1"/>
  <c r="P31" i="9"/>
  <c r="X126" i="33" s="1"/>
  <c r="P32" i="9"/>
  <c r="X122" i="33" s="1"/>
  <c r="P33" i="9"/>
  <c r="X116" i="33" s="1"/>
  <c r="P34" i="9"/>
  <c r="X118" i="33" s="1"/>
  <c r="P36" i="9"/>
  <c r="X117" i="33" s="1"/>
  <c r="P37" i="9"/>
  <c r="X113" i="33" s="1"/>
  <c r="P38" i="9"/>
  <c r="X95" i="33" s="1"/>
  <c r="P40" i="9"/>
  <c r="X131" i="33" s="1"/>
  <c r="P41" i="9"/>
  <c r="X128" i="33" s="1"/>
  <c r="P42" i="9"/>
  <c r="X127" i="33" s="1"/>
  <c r="P43" i="9"/>
  <c r="X135" i="33" s="1"/>
  <c r="P44" i="9"/>
  <c r="X130" i="33" s="1"/>
  <c r="P45" i="9"/>
  <c r="X133" i="33" s="1"/>
  <c r="P46" i="9"/>
  <c r="X129" i="33" s="1"/>
  <c r="P2" i="9"/>
  <c r="X101" i="33" s="1"/>
  <c r="E114" i="2"/>
  <c r="F114" i="2"/>
  <c r="G114" i="2"/>
  <c r="E115" i="2"/>
  <c r="F115" i="2"/>
  <c r="G115" i="2"/>
  <c r="E116" i="2"/>
  <c r="F116" i="2"/>
  <c r="G116" i="2"/>
  <c r="E117" i="2"/>
  <c r="F117" i="2"/>
  <c r="G117" i="2"/>
  <c r="E118" i="2"/>
  <c r="F118" i="2"/>
  <c r="G118" i="2"/>
  <c r="E119" i="2"/>
  <c r="F119" i="2"/>
  <c r="G119" i="2"/>
  <c r="E120" i="2"/>
  <c r="F120" i="2"/>
  <c r="G120" i="2"/>
  <c r="E121" i="2"/>
  <c r="F121" i="2"/>
  <c r="G121" i="2"/>
  <c r="E122" i="2"/>
  <c r="F122" i="2"/>
  <c r="G122" i="2"/>
  <c r="E123" i="2"/>
  <c r="F123" i="2"/>
  <c r="G123" i="2"/>
  <c r="E124" i="2"/>
  <c r="F124" i="2"/>
  <c r="G124" i="2"/>
  <c r="E125" i="2"/>
  <c r="F125" i="2"/>
  <c r="G125" i="2"/>
  <c r="E126" i="2"/>
  <c r="F126" i="2"/>
  <c r="G126" i="2"/>
  <c r="E127" i="2"/>
  <c r="F127" i="2"/>
  <c r="G127" i="2"/>
  <c r="E128" i="2"/>
  <c r="F128" i="2"/>
  <c r="G128" i="2"/>
  <c r="E129" i="2"/>
  <c r="F129" i="2"/>
  <c r="G129" i="2"/>
  <c r="E130" i="2"/>
  <c r="F130" i="2"/>
  <c r="G130" i="2"/>
  <c r="E131" i="2"/>
  <c r="F131" i="2"/>
  <c r="G131" i="2"/>
  <c r="E132" i="2"/>
  <c r="F132" i="2"/>
  <c r="G132" i="2"/>
  <c r="E133" i="2"/>
  <c r="F133" i="2"/>
  <c r="G133" i="2"/>
  <c r="E134" i="2"/>
  <c r="F134" i="2"/>
  <c r="G134" i="2"/>
  <c r="E135" i="2"/>
  <c r="F135" i="2"/>
  <c r="G135" i="2"/>
  <c r="E136" i="2"/>
  <c r="F136" i="2"/>
  <c r="G136" i="2"/>
  <c r="E137" i="2"/>
  <c r="F137" i="2"/>
  <c r="G137" i="2"/>
  <c r="E138" i="2"/>
  <c r="F138" i="2"/>
  <c r="G138" i="2"/>
  <c r="E139" i="2"/>
  <c r="F139" i="2"/>
  <c r="G139" i="2"/>
  <c r="E140" i="2"/>
  <c r="F140" i="2"/>
  <c r="G140" i="2"/>
  <c r="E141" i="2"/>
  <c r="F141" i="2"/>
  <c r="G141" i="2"/>
  <c r="E142" i="2"/>
  <c r="F142" i="2"/>
  <c r="G142" i="2"/>
  <c r="E143" i="2"/>
  <c r="F143" i="2"/>
  <c r="G143" i="2"/>
  <c r="E144" i="2"/>
  <c r="F144" i="2"/>
  <c r="G144" i="2"/>
  <c r="E145" i="2"/>
  <c r="F145" i="2"/>
  <c r="G145" i="2"/>
  <c r="E146" i="2"/>
  <c r="F146" i="2"/>
  <c r="G146" i="2"/>
  <c r="E147" i="2"/>
  <c r="F147" i="2"/>
  <c r="G147" i="2"/>
  <c r="E148" i="2"/>
  <c r="F148" i="2"/>
  <c r="G148" i="2"/>
  <c r="E149" i="2"/>
  <c r="F149" i="2"/>
  <c r="G149" i="2"/>
  <c r="E150" i="2"/>
  <c r="F150" i="2"/>
  <c r="G150" i="2"/>
  <c r="E151" i="2"/>
  <c r="F151" i="2"/>
  <c r="G151" i="2"/>
  <c r="E152" i="2"/>
  <c r="F152" i="2"/>
  <c r="AC152" i="2" s="1"/>
  <c r="G152" i="2"/>
  <c r="E153" i="2"/>
  <c r="F153" i="2"/>
  <c r="G153" i="2"/>
  <c r="E154" i="2"/>
  <c r="F154" i="2"/>
  <c r="G154" i="2"/>
  <c r="E155" i="2"/>
  <c r="F155" i="2"/>
  <c r="G155" i="2"/>
  <c r="E156" i="2"/>
  <c r="F156" i="2"/>
  <c r="G156" i="2"/>
  <c r="E157" i="2"/>
  <c r="F157" i="2"/>
  <c r="AC157" i="2" s="1"/>
  <c r="G157" i="2"/>
  <c r="F113" i="2"/>
  <c r="G113" i="2"/>
  <c r="E113" i="2"/>
  <c r="C79" i="6"/>
  <c r="J78" i="17" s="1"/>
  <c r="X70" i="33" s="1"/>
  <c r="C80" i="6"/>
  <c r="J79" i="17" s="1"/>
  <c r="X71" i="33" s="1"/>
  <c r="C81" i="6"/>
  <c r="J80" i="17" s="1"/>
  <c r="X72" i="33" s="1"/>
  <c r="C82" i="6"/>
  <c r="J81" i="17" s="1"/>
  <c r="X73" i="33" s="1"/>
  <c r="C83" i="6"/>
  <c r="J82" i="17" s="1"/>
  <c r="X74" i="33" s="1"/>
  <c r="C84" i="6"/>
  <c r="J83" i="17" s="1"/>
  <c r="X75" i="33" s="1"/>
  <c r="C85" i="6"/>
  <c r="J84" i="17" s="1"/>
  <c r="X76" i="33" s="1"/>
  <c r="C86" i="6"/>
  <c r="J85" i="17" s="1"/>
  <c r="X77" i="33" s="1"/>
  <c r="C87" i="6"/>
  <c r="J86" i="17" s="1"/>
  <c r="X78" i="33" s="1"/>
  <c r="C88" i="6"/>
  <c r="J87" i="17" s="1"/>
  <c r="X79" i="33" s="1"/>
  <c r="C89" i="6"/>
  <c r="J88" i="17" s="1"/>
  <c r="X80" i="33" s="1"/>
  <c r="C90" i="6"/>
  <c r="J89" i="17" s="1"/>
  <c r="X81" i="33" s="1"/>
  <c r="C91" i="6"/>
  <c r="J90" i="17" s="1"/>
  <c r="X82" i="33" s="1"/>
  <c r="C92" i="6"/>
  <c r="J91" i="17" s="1"/>
  <c r="X83" i="33" s="1"/>
  <c r="C93" i="6"/>
  <c r="J92" i="17" s="1"/>
  <c r="X84" i="33" s="1"/>
  <c r="C94" i="6"/>
  <c r="J93" i="17" s="1"/>
  <c r="X85" i="33" s="1"/>
  <c r="C95" i="6"/>
  <c r="J94" i="17" s="1"/>
  <c r="X86" i="33" s="1"/>
  <c r="C96" i="6"/>
  <c r="J95" i="17" s="1"/>
  <c r="X87" i="33" s="1"/>
  <c r="C97" i="6"/>
  <c r="J96" i="17" s="1"/>
  <c r="X88" i="33" s="1"/>
  <c r="C98" i="6"/>
  <c r="J97" i="17" s="1"/>
  <c r="X89" i="33" s="1"/>
  <c r="C78" i="6"/>
  <c r="J77" i="17" s="1"/>
  <c r="X69" i="33" s="1"/>
  <c r="C23" i="6"/>
  <c r="J22" i="17" s="1"/>
  <c r="X14" i="33" s="1"/>
  <c r="C24" i="6"/>
  <c r="J23" i="17" s="1"/>
  <c r="X15" i="33" s="1"/>
  <c r="C25" i="6"/>
  <c r="J24" i="17" s="1"/>
  <c r="X16" i="33" s="1"/>
  <c r="C26" i="6"/>
  <c r="J25" i="17" s="1"/>
  <c r="X17" i="33" s="1"/>
  <c r="C27" i="6"/>
  <c r="J26" i="17" s="1"/>
  <c r="X18" i="33" s="1"/>
  <c r="C28" i="6"/>
  <c r="J27" i="17" s="1"/>
  <c r="X19" i="33" s="1"/>
  <c r="C29" i="6"/>
  <c r="J28" i="17" s="1"/>
  <c r="X20" i="33" s="1"/>
  <c r="C30" i="6"/>
  <c r="J29" i="17" s="1"/>
  <c r="X21" i="33" s="1"/>
  <c r="C31" i="6"/>
  <c r="J30" i="17" s="1"/>
  <c r="X22" i="33" s="1"/>
  <c r="C32" i="6"/>
  <c r="J31" i="17" s="1"/>
  <c r="X23" i="33" s="1"/>
  <c r="C33" i="6"/>
  <c r="J32" i="17" s="1"/>
  <c r="X24" i="33" s="1"/>
  <c r="C34" i="6"/>
  <c r="J33" i="17" s="1"/>
  <c r="X25" i="33" s="1"/>
  <c r="C35" i="6"/>
  <c r="J34" i="17" s="1"/>
  <c r="X26" i="33" s="1"/>
  <c r="C36" i="6"/>
  <c r="J35" i="17" s="1"/>
  <c r="X27" i="33" s="1"/>
  <c r="C37" i="6"/>
  <c r="J36" i="17" s="1"/>
  <c r="X28" i="33" s="1"/>
  <c r="C38" i="6"/>
  <c r="J37" i="17" s="1"/>
  <c r="X29" i="33" s="1"/>
  <c r="C39" i="6"/>
  <c r="J38" i="17" s="1"/>
  <c r="X30" i="33" s="1"/>
  <c r="C40" i="6"/>
  <c r="J39" i="17" s="1"/>
  <c r="X31" i="33" s="1"/>
  <c r="C41" i="6"/>
  <c r="J40" i="17" s="1"/>
  <c r="X32" i="33" s="1"/>
  <c r="C42" i="6"/>
  <c r="J41" i="17" s="1"/>
  <c r="X33" i="33" s="1"/>
  <c r="C43" i="6"/>
  <c r="J42" i="17" s="1"/>
  <c r="X34" i="33" s="1"/>
  <c r="C44" i="6"/>
  <c r="J43" i="17" s="1"/>
  <c r="X35" i="33" s="1"/>
  <c r="C45" i="6"/>
  <c r="J44" i="17" s="1"/>
  <c r="X36" i="33" s="1"/>
  <c r="C46" i="6"/>
  <c r="J45" i="17" s="1"/>
  <c r="X37" i="33" s="1"/>
  <c r="C47" i="6"/>
  <c r="J46" i="17" s="1"/>
  <c r="X38" i="33" s="1"/>
  <c r="C48" i="6"/>
  <c r="J47" i="17" s="1"/>
  <c r="X39" i="33" s="1"/>
  <c r="C49" i="6"/>
  <c r="J48" i="17" s="1"/>
  <c r="X40" i="33" s="1"/>
  <c r="C50" i="6"/>
  <c r="J49" i="17" s="1"/>
  <c r="X41" i="33" s="1"/>
  <c r="C51" i="6"/>
  <c r="J50" i="17" s="1"/>
  <c r="X42" i="33" s="1"/>
  <c r="C52" i="6"/>
  <c r="J51" i="17" s="1"/>
  <c r="X43" i="33" s="1"/>
  <c r="C53" i="6"/>
  <c r="J52" i="17" s="1"/>
  <c r="X44" i="33" s="1"/>
  <c r="C54" i="6"/>
  <c r="J53" i="17" s="1"/>
  <c r="X45" i="33" s="1"/>
  <c r="C55" i="6"/>
  <c r="J54" i="17" s="1"/>
  <c r="X46" i="33" s="1"/>
  <c r="C56" i="6"/>
  <c r="J55" i="17" s="1"/>
  <c r="X47" i="33" s="1"/>
  <c r="C57" i="6"/>
  <c r="J56" i="17" s="1"/>
  <c r="X48" i="33" s="1"/>
  <c r="C58" i="6"/>
  <c r="J57" i="17" s="1"/>
  <c r="X49" i="33" s="1"/>
  <c r="C59" i="6"/>
  <c r="J58" i="17" s="1"/>
  <c r="X50" i="33" s="1"/>
  <c r="C60" i="6"/>
  <c r="J59" i="17" s="1"/>
  <c r="X51" i="33" s="1"/>
  <c r="C61" i="6"/>
  <c r="J60" i="17" s="1"/>
  <c r="X52" i="33" s="1"/>
  <c r="C62" i="6"/>
  <c r="J61" i="17" s="1"/>
  <c r="X53" i="33" s="1"/>
  <c r="C63" i="6"/>
  <c r="J62" i="17" s="1"/>
  <c r="X54" i="33" s="1"/>
  <c r="C64" i="6"/>
  <c r="J63" i="17" s="1"/>
  <c r="X55" i="33" s="1"/>
  <c r="C65" i="6"/>
  <c r="J64" i="17" s="1"/>
  <c r="X56" i="33" s="1"/>
  <c r="C66" i="6"/>
  <c r="J65" i="17" s="1"/>
  <c r="X57" i="33" s="1"/>
  <c r="C67" i="6"/>
  <c r="J66" i="17" s="1"/>
  <c r="X58" i="33" s="1"/>
  <c r="C68" i="6"/>
  <c r="J67" i="17" s="1"/>
  <c r="X59" i="33" s="1"/>
  <c r="C69" i="6"/>
  <c r="J68" i="17" s="1"/>
  <c r="X60" i="33" s="1"/>
  <c r="C70" i="6"/>
  <c r="J69" i="17" s="1"/>
  <c r="X61" i="33" s="1"/>
  <c r="C71" i="6"/>
  <c r="J70" i="17" s="1"/>
  <c r="X62" i="33" s="1"/>
  <c r="C72" i="6"/>
  <c r="J71" i="17" s="1"/>
  <c r="X63" i="33" s="1"/>
  <c r="C73" i="6"/>
  <c r="J72" i="17" s="1"/>
  <c r="X64" i="33" s="1"/>
  <c r="C74" i="6"/>
  <c r="J73" i="17" s="1"/>
  <c r="X65" i="33" s="1"/>
  <c r="C75" i="6"/>
  <c r="J74" i="17" s="1"/>
  <c r="X66" i="33" s="1"/>
  <c r="C22" i="6"/>
  <c r="J21" i="17" s="1"/>
  <c r="X13" i="33" s="1"/>
  <c r="B114" i="6"/>
  <c r="B130" i="6"/>
  <c r="B135" i="6"/>
  <c r="B143" i="6"/>
  <c r="B123" i="2"/>
  <c r="B126" i="2"/>
  <c r="B142" i="2"/>
  <c r="B147" i="2"/>
  <c r="B155" i="2"/>
  <c r="CH92" i="33"/>
  <c r="CI92" i="33"/>
  <c r="CJ92" i="33"/>
  <c r="CK92" i="33"/>
  <c r="CL92" i="33"/>
  <c r="CM92" i="33"/>
  <c r="CN92" i="33"/>
  <c r="CO92" i="33"/>
  <c r="CP92" i="33"/>
  <c r="CQ92" i="33"/>
  <c r="CR92" i="33"/>
  <c r="CS92" i="33"/>
  <c r="CT92" i="33"/>
  <c r="CU92" i="33"/>
  <c r="CV92" i="33"/>
  <c r="CW92" i="33"/>
  <c r="DF92" i="33"/>
  <c r="CH93" i="33"/>
  <c r="CI93" i="33"/>
  <c r="CJ93" i="33"/>
  <c r="CK93" i="33"/>
  <c r="CL93" i="33"/>
  <c r="CM93" i="33"/>
  <c r="CN93" i="33"/>
  <c r="CO93" i="33"/>
  <c r="CP93" i="33"/>
  <c r="CQ93" i="33"/>
  <c r="CR93" i="33"/>
  <c r="CS93" i="33"/>
  <c r="CT93" i="33"/>
  <c r="CU93" i="33"/>
  <c r="CV93" i="33"/>
  <c r="CW93" i="33"/>
  <c r="CH94" i="33"/>
  <c r="CI94" i="33"/>
  <c r="CJ94" i="33"/>
  <c r="CK94" i="33"/>
  <c r="CL94" i="33"/>
  <c r="CM94" i="33"/>
  <c r="CN94" i="33"/>
  <c r="CO94" i="33"/>
  <c r="CP94" i="33"/>
  <c r="CQ94" i="33"/>
  <c r="CR94" i="33"/>
  <c r="CS94" i="33"/>
  <c r="CT94" i="33"/>
  <c r="CU94" i="33"/>
  <c r="CV94" i="33"/>
  <c r="CW94" i="33"/>
  <c r="CH95" i="33"/>
  <c r="CI95" i="33"/>
  <c r="CJ95" i="33"/>
  <c r="CK95" i="33"/>
  <c r="CL95" i="33"/>
  <c r="CM95" i="33"/>
  <c r="CN95" i="33"/>
  <c r="CO95" i="33"/>
  <c r="CP95" i="33"/>
  <c r="CQ95" i="33"/>
  <c r="CR95" i="33"/>
  <c r="CS95" i="33"/>
  <c r="CT95" i="33"/>
  <c r="CU95" i="33"/>
  <c r="CV95" i="33"/>
  <c r="CW95" i="33"/>
  <c r="BV96" i="33"/>
  <c r="BW96" i="33"/>
  <c r="BX96" i="33"/>
  <c r="BY96" i="33"/>
  <c r="BZ96" i="33"/>
  <c r="CA96" i="33"/>
  <c r="CB96" i="33"/>
  <c r="CC96" i="33"/>
  <c r="CD96" i="33"/>
  <c r="CE96" i="33"/>
  <c r="CF96" i="33"/>
  <c r="CG96" i="33"/>
  <c r="CH96" i="33"/>
  <c r="CI96" i="33"/>
  <c r="CJ96" i="33"/>
  <c r="CK96" i="33"/>
  <c r="CL96" i="33"/>
  <c r="CM96" i="33"/>
  <c r="CN96" i="33"/>
  <c r="CO96" i="33"/>
  <c r="CP96" i="33"/>
  <c r="CQ96" i="33"/>
  <c r="CR96" i="33"/>
  <c r="CS96" i="33"/>
  <c r="CT96" i="33"/>
  <c r="CU96" i="33"/>
  <c r="CV96" i="33"/>
  <c r="CW96" i="33"/>
  <c r="CX96" i="33"/>
  <c r="CY96" i="33"/>
  <c r="CZ96" i="33"/>
  <c r="DA96" i="33"/>
  <c r="DB96" i="33"/>
  <c r="DC96" i="33"/>
  <c r="DD96" i="33"/>
  <c r="DE96" i="33"/>
  <c r="DF96" i="33"/>
  <c r="DG96" i="33"/>
  <c r="DH96" i="33"/>
  <c r="DI96" i="33"/>
  <c r="DJ96" i="33"/>
  <c r="DK96" i="33"/>
  <c r="DL96" i="33"/>
  <c r="DM96" i="33"/>
  <c r="CH97" i="33"/>
  <c r="CI97" i="33"/>
  <c r="CJ97" i="33"/>
  <c r="CK97" i="33"/>
  <c r="CL97" i="33"/>
  <c r="CM97" i="33"/>
  <c r="CN97" i="33"/>
  <c r="CO97" i="33"/>
  <c r="CP97" i="33"/>
  <c r="CQ97" i="33"/>
  <c r="CR97" i="33"/>
  <c r="CS97" i="33"/>
  <c r="CT97" i="33"/>
  <c r="CU97" i="33"/>
  <c r="CV97" i="33"/>
  <c r="CW97" i="33"/>
  <c r="CH98" i="33"/>
  <c r="CI98" i="33"/>
  <c r="CJ98" i="33"/>
  <c r="CK98" i="33"/>
  <c r="CL98" i="33"/>
  <c r="CM98" i="33"/>
  <c r="CN98" i="33"/>
  <c r="CO98" i="33"/>
  <c r="CP98" i="33"/>
  <c r="CQ98" i="33"/>
  <c r="CR98" i="33"/>
  <c r="CS98" i="33"/>
  <c r="CT98" i="33"/>
  <c r="CU98" i="33"/>
  <c r="CV98" i="33"/>
  <c r="CW98" i="33"/>
  <c r="DK98" i="33"/>
  <c r="CH99" i="33"/>
  <c r="CI99" i="33"/>
  <c r="CJ99" i="33"/>
  <c r="CK99" i="33"/>
  <c r="CL99" i="33"/>
  <c r="CM99" i="33"/>
  <c r="CN99" i="33"/>
  <c r="CO99" i="33"/>
  <c r="CP99" i="33"/>
  <c r="CQ99" i="33"/>
  <c r="CR99" i="33"/>
  <c r="CS99" i="33"/>
  <c r="CT99" i="33"/>
  <c r="CU99" i="33"/>
  <c r="CV99" i="33"/>
  <c r="CW99" i="33"/>
  <c r="CH100" i="33"/>
  <c r="CI100" i="33"/>
  <c r="CJ100" i="33"/>
  <c r="CK100" i="33"/>
  <c r="CL100" i="33"/>
  <c r="CM100" i="33"/>
  <c r="CN100" i="33"/>
  <c r="CO100" i="33"/>
  <c r="CP100" i="33"/>
  <c r="CQ100" i="33"/>
  <c r="CR100" i="33"/>
  <c r="CS100" i="33"/>
  <c r="CT100" i="33"/>
  <c r="CU100" i="33"/>
  <c r="CV100" i="33"/>
  <c r="CW100" i="33"/>
  <c r="CH101" i="33"/>
  <c r="CI101" i="33"/>
  <c r="CJ101" i="33"/>
  <c r="CK101" i="33"/>
  <c r="CL101" i="33"/>
  <c r="CM101" i="33"/>
  <c r="CN101" i="33"/>
  <c r="CO101" i="33"/>
  <c r="CP101" i="33"/>
  <c r="CQ101" i="33"/>
  <c r="CR101" i="33"/>
  <c r="CS101" i="33"/>
  <c r="CT101" i="33"/>
  <c r="CU101" i="33"/>
  <c r="CV101" i="33"/>
  <c r="CW101" i="33"/>
  <c r="DK101" i="33"/>
  <c r="CH102" i="33"/>
  <c r="CI102" i="33"/>
  <c r="CJ102" i="33"/>
  <c r="CK102" i="33"/>
  <c r="CL102" i="33"/>
  <c r="CM102" i="33"/>
  <c r="CN102" i="33"/>
  <c r="CO102" i="33"/>
  <c r="CP102" i="33"/>
  <c r="CQ102" i="33"/>
  <c r="CR102" i="33"/>
  <c r="CS102" i="33"/>
  <c r="CT102" i="33"/>
  <c r="CU102" i="33"/>
  <c r="CV102" i="33"/>
  <c r="CW102" i="33"/>
  <c r="DK102" i="33"/>
  <c r="CE103" i="33"/>
  <c r="CH103" i="33"/>
  <c r="CI103" i="33"/>
  <c r="CJ103" i="33"/>
  <c r="CK103" i="33"/>
  <c r="CL103" i="33"/>
  <c r="CM103" i="33"/>
  <c r="CN103" i="33"/>
  <c r="CO103" i="33"/>
  <c r="CP103" i="33"/>
  <c r="CQ103" i="33"/>
  <c r="CR103" i="33"/>
  <c r="CS103" i="33"/>
  <c r="CT103" i="33"/>
  <c r="CU103" i="33"/>
  <c r="CV103" i="33"/>
  <c r="CW103" i="33"/>
  <c r="DK103" i="33"/>
  <c r="CH104" i="33"/>
  <c r="CI104" i="33"/>
  <c r="CJ104" i="33"/>
  <c r="CK104" i="33"/>
  <c r="CL104" i="33"/>
  <c r="CM104" i="33"/>
  <c r="CN104" i="33"/>
  <c r="CO104" i="33"/>
  <c r="CP104" i="33"/>
  <c r="CQ104" i="33"/>
  <c r="CR104" i="33"/>
  <c r="CS104" i="33"/>
  <c r="CT104" i="33"/>
  <c r="CU104" i="33"/>
  <c r="CV104" i="33"/>
  <c r="CW104" i="33"/>
  <c r="DK104" i="33"/>
  <c r="CE105" i="33"/>
  <c r="CH105" i="33"/>
  <c r="CI105" i="33"/>
  <c r="CJ105" i="33"/>
  <c r="CK105" i="33"/>
  <c r="CL105" i="33"/>
  <c r="CM105" i="33"/>
  <c r="CN105" i="33"/>
  <c r="CO105" i="33"/>
  <c r="CP105" i="33"/>
  <c r="CQ105" i="33"/>
  <c r="CR105" i="33"/>
  <c r="CS105" i="33"/>
  <c r="CT105" i="33"/>
  <c r="CU105" i="33"/>
  <c r="CV105" i="33"/>
  <c r="CW105" i="33"/>
  <c r="BZ106" i="33"/>
  <c r="CH106" i="33"/>
  <c r="CI106" i="33"/>
  <c r="CJ106" i="33"/>
  <c r="CK106" i="33"/>
  <c r="CL106" i="33"/>
  <c r="CM106" i="33"/>
  <c r="CN106" i="33"/>
  <c r="CO106" i="33"/>
  <c r="CP106" i="33"/>
  <c r="CQ106" i="33"/>
  <c r="CR106" i="33"/>
  <c r="CS106" i="33"/>
  <c r="CT106" i="33"/>
  <c r="CU106" i="33"/>
  <c r="CV106" i="33"/>
  <c r="CW106" i="33"/>
  <c r="CH107" i="33"/>
  <c r="CI107" i="33"/>
  <c r="CJ107" i="33"/>
  <c r="CK107" i="33"/>
  <c r="CL107" i="33"/>
  <c r="CM107" i="33"/>
  <c r="CN107" i="33"/>
  <c r="CO107" i="33"/>
  <c r="CP107" i="33"/>
  <c r="CQ107" i="33"/>
  <c r="CR107" i="33"/>
  <c r="CS107" i="33"/>
  <c r="CT107" i="33"/>
  <c r="CU107" i="33"/>
  <c r="CV107" i="33"/>
  <c r="CW107" i="33"/>
  <c r="CH108" i="33"/>
  <c r="CI108" i="33"/>
  <c r="CJ108" i="33"/>
  <c r="CK108" i="33"/>
  <c r="CL108" i="33"/>
  <c r="CM108" i="33"/>
  <c r="CN108" i="33"/>
  <c r="CO108" i="33"/>
  <c r="CP108" i="33"/>
  <c r="CQ108" i="33"/>
  <c r="CR108" i="33"/>
  <c r="CS108" i="33"/>
  <c r="CT108" i="33"/>
  <c r="CU108" i="33"/>
  <c r="CV108" i="33"/>
  <c r="CW108" i="33"/>
  <c r="DG108" i="33"/>
  <c r="DH108" i="33"/>
  <c r="CH109" i="33"/>
  <c r="CI109" i="33"/>
  <c r="CJ109" i="33"/>
  <c r="CK109" i="33"/>
  <c r="CL109" i="33"/>
  <c r="CM109" i="33"/>
  <c r="CN109" i="33"/>
  <c r="CO109" i="33"/>
  <c r="CP109" i="33"/>
  <c r="CQ109" i="33"/>
  <c r="CR109" i="33"/>
  <c r="CS109" i="33"/>
  <c r="CT109" i="33"/>
  <c r="CU109" i="33"/>
  <c r="CV109" i="33"/>
  <c r="CW109" i="33"/>
  <c r="BZ110" i="33"/>
  <c r="CH110" i="33"/>
  <c r="CI110" i="33"/>
  <c r="CJ110" i="33"/>
  <c r="CK110" i="33"/>
  <c r="CL110" i="33"/>
  <c r="CM110" i="33"/>
  <c r="CN110" i="33"/>
  <c r="CO110" i="33"/>
  <c r="CP110" i="33"/>
  <c r="CQ110" i="33"/>
  <c r="CR110" i="33"/>
  <c r="CS110" i="33"/>
  <c r="CT110" i="33"/>
  <c r="CU110" i="33"/>
  <c r="CV110" i="33"/>
  <c r="CW110" i="33"/>
  <c r="CH111" i="33"/>
  <c r="CI111" i="33"/>
  <c r="CJ111" i="33"/>
  <c r="CK111" i="33"/>
  <c r="CL111" i="33"/>
  <c r="CM111" i="33"/>
  <c r="CN111" i="33"/>
  <c r="CO111" i="33"/>
  <c r="CP111" i="33"/>
  <c r="CQ111" i="33"/>
  <c r="CR111" i="33"/>
  <c r="CS111" i="33"/>
  <c r="CT111" i="33"/>
  <c r="CU111" i="33"/>
  <c r="CV111" i="33"/>
  <c r="CW111" i="33"/>
  <c r="BZ112" i="33"/>
  <c r="CH112" i="33"/>
  <c r="CI112" i="33"/>
  <c r="CJ112" i="33"/>
  <c r="CK112" i="33"/>
  <c r="CL112" i="33"/>
  <c r="CM112" i="33"/>
  <c r="CN112" i="33"/>
  <c r="CO112" i="33"/>
  <c r="CP112" i="33"/>
  <c r="CQ112" i="33"/>
  <c r="CR112" i="33"/>
  <c r="CS112" i="33"/>
  <c r="CT112" i="33"/>
  <c r="CU112" i="33"/>
  <c r="CV112" i="33"/>
  <c r="CW112" i="33"/>
  <c r="CH113" i="33"/>
  <c r="CI113" i="33"/>
  <c r="CJ113" i="33"/>
  <c r="CK113" i="33"/>
  <c r="CL113" i="33"/>
  <c r="CM113" i="33"/>
  <c r="CN113" i="33"/>
  <c r="CO113" i="33"/>
  <c r="CP113" i="33"/>
  <c r="CQ113" i="33"/>
  <c r="CR113" i="33"/>
  <c r="CS113" i="33"/>
  <c r="CT113" i="33"/>
  <c r="CU113" i="33"/>
  <c r="CV113" i="33"/>
  <c r="CW113" i="33"/>
  <c r="DG113" i="33"/>
  <c r="BZ114" i="33"/>
  <c r="CH114" i="33"/>
  <c r="CI114" i="33"/>
  <c r="CJ114" i="33"/>
  <c r="CK114" i="33"/>
  <c r="CL114" i="33"/>
  <c r="CM114" i="33"/>
  <c r="CN114" i="33"/>
  <c r="CO114" i="33"/>
  <c r="CP114" i="33"/>
  <c r="CQ114" i="33"/>
  <c r="CR114" i="33"/>
  <c r="CS114" i="33"/>
  <c r="CT114" i="33"/>
  <c r="CU114" i="33"/>
  <c r="CV114" i="33"/>
  <c r="CW114" i="33"/>
  <c r="CH115" i="33"/>
  <c r="CI115" i="33"/>
  <c r="CJ115" i="33"/>
  <c r="CK115" i="33"/>
  <c r="CL115" i="33"/>
  <c r="CM115" i="33"/>
  <c r="CN115" i="33"/>
  <c r="CO115" i="33"/>
  <c r="CP115" i="33"/>
  <c r="CQ115" i="33"/>
  <c r="CR115" i="33"/>
  <c r="CS115" i="33"/>
  <c r="CT115" i="33"/>
  <c r="CU115" i="33"/>
  <c r="CV115" i="33"/>
  <c r="CW115" i="33"/>
  <c r="BZ116" i="33"/>
  <c r="CH116" i="33"/>
  <c r="CI116" i="33"/>
  <c r="CJ116" i="33"/>
  <c r="CK116" i="33"/>
  <c r="CL116" i="33"/>
  <c r="CM116" i="33"/>
  <c r="CN116" i="33"/>
  <c r="CO116" i="33"/>
  <c r="CP116" i="33"/>
  <c r="CQ116" i="33"/>
  <c r="CR116" i="33"/>
  <c r="CS116" i="33"/>
  <c r="CT116" i="33"/>
  <c r="CU116" i="33"/>
  <c r="CV116" i="33"/>
  <c r="CW116" i="33"/>
  <c r="CH117" i="33"/>
  <c r="CI117" i="33"/>
  <c r="CJ117" i="33"/>
  <c r="CK117" i="33"/>
  <c r="CL117" i="33"/>
  <c r="CM117" i="33"/>
  <c r="CN117" i="33"/>
  <c r="CO117" i="33"/>
  <c r="CP117" i="33"/>
  <c r="CQ117" i="33"/>
  <c r="CR117" i="33"/>
  <c r="CS117" i="33"/>
  <c r="CT117" i="33"/>
  <c r="CU117" i="33"/>
  <c r="CV117" i="33"/>
  <c r="CW117" i="33"/>
  <c r="CH118" i="33"/>
  <c r="CI118" i="33"/>
  <c r="CJ118" i="33"/>
  <c r="CK118" i="33"/>
  <c r="CL118" i="33"/>
  <c r="CM118" i="33"/>
  <c r="CN118" i="33"/>
  <c r="CO118" i="33"/>
  <c r="CP118" i="33"/>
  <c r="CQ118" i="33"/>
  <c r="CR118" i="33"/>
  <c r="CS118" i="33"/>
  <c r="CT118" i="33"/>
  <c r="CU118" i="33"/>
  <c r="CV118" i="33"/>
  <c r="CW118" i="33"/>
  <c r="CE119" i="33"/>
  <c r="CH119" i="33"/>
  <c r="CI119" i="33"/>
  <c r="CJ119" i="33"/>
  <c r="CK119" i="33"/>
  <c r="CL119" i="33"/>
  <c r="CM119" i="33"/>
  <c r="CN119" i="33"/>
  <c r="CO119" i="33"/>
  <c r="CP119" i="33"/>
  <c r="CQ119" i="33"/>
  <c r="CR119" i="33"/>
  <c r="CS119" i="33"/>
  <c r="CT119" i="33"/>
  <c r="CU119" i="33"/>
  <c r="CV119" i="33"/>
  <c r="CW119" i="33"/>
  <c r="DK119" i="33"/>
  <c r="CE120" i="33"/>
  <c r="CH120" i="33"/>
  <c r="CI120" i="33"/>
  <c r="CJ120" i="33"/>
  <c r="CK120" i="33"/>
  <c r="CL120" i="33"/>
  <c r="CM120" i="33"/>
  <c r="CN120" i="33"/>
  <c r="CO120" i="33"/>
  <c r="CP120" i="33"/>
  <c r="CQ120" i="33"/>
  <c r="CR120" i="33"/>
  <c r="CS120" i="33"/>
  <c r="CT120" i="33"/>
  <c r="CU120" i="33"/>
  <c r="CV120" i="33"/>
  <c r="CW120" i="33"/>
  <c r="DK120" i="33"/>
  <c r="CH121" i="33"/>
  <c r="CI121" i="33"/>
  <c r="CJ121" i="33"/>
  <c r="CK121" i="33"/>
  <c r="CL121" i="33"/>
  <c r="CM121" i="33"/>
  <c r="CN121" i="33"/>
  <c r="CO121" i="33"/>
  <c r="CP121" i="33"/>
  <c r="CQ121" i="33"/>
  <c r="CR121" i="33"/>
  <c r="CS121" i="33"/>
  <c r="CT121" i="33"/>
  <c r="CU121" i="33"/>
  <c r="CV121" i="33"/>
  <c r="CW121" i="33"/>
  <c r="BZ122" i="33"/>
  <c r="CA122" i="33"/>
  <c r="CD122" i="33"/>
  <c r="CE122" i="33"/>
  <c r="CF122" i="33"/>
  <c r="CG122" i="33"/>
  <c r="CH122" i="33"/>
  <c r="CI122" i="33"/>
  <c r="CJ122" i="33"/>
  <c r="CK122" i="33"/>
  <c r="CL122" i="33"/>
  <c r="CM122" i="33"/>
  <c r="CN122" i="33"/>
  <c r="CO122" i="33"/>
  <c r="CP122" i="33"/>
  <c r="CQ122" i="33"/>
  <c r="CR122" i="33"/>
  <c r="CS122" i="33"/>
  <c r="CT122" i="33"/>
  <c r="CU122" i="33"/>
  <c r="CV122" i="33"/>
  <c r="CW122" i="33"/>
  <c r="BZ123" i="33"/>
  <c r="CA123" i="33"/>
  <c r="CH123" i="33"/>
  <c r="CI123" i="33"/>
  <c r="CJ123" i="33"/>
  <c r="CK123" i="33"/>
  <c r="CL123" i="33"/>
  <c r="CM123" i="33"/>
  <c r="CN123" i="33"/>
  <c r="CO123" i="33"/>
  <c r="CP123" i="33"/>
  <c r="CQ123" i="33"/>
  <c r="CR123" i="33"/>
  <c r="CS123" i="33"/>
  <c r="CT123" i="33"/>
  <c r="CU123" i="33"/>
  <c r="CV123" i="33"/>
  <c r="CW123" i="33"/>
  <c r="CH125" i="33"/>
  <c r="CI125" i="33"/>
  <c r="CJ125" i="33"/>
  <c r="CK125" i="33"/>
  <c r="CL125" i="33"/>
  <c r="CM125" i="33"/>
  <c r="CN125" i="33"/>
  <c r="CO125" i="33"/>
  <c r="CP125" i="33"/>
  <c r="CQ125" i="33"/>
  <c r="CR125" i="33"/>
  <c r="CS125" i="33"/>
  <c r="CT125" i="33"/>
  <c r="CU125" i="33"/>
  <c r="CV125" i="33"/>
  <c r="CW125" i="33"/>
  <c r="DK125" i="33"/>
  <c r="CH126" i="33"/>
  <c r="CI126" i="33"/>
  <c r="CJ126" i="33"/>
  <c r="CK126" i="33"/>
  <c r="CL126" i="33"/>
  <c r="CM126" i="33"/>
  <c r="CN126" i="33"/>
  <c r="CO126" i="33"/>
  <c r="CP126" i="33"/>
  <c r="CQ126" i="33"/>
  <c r="CR126" i="33"/>
  <c r="CS126" i="33"/>
  <c r="CT126" i="33"/>
  <c r="CU126" i="33"/>
  <c r="CV126" i="33"/>
  <c r="CW126" i="33"/>
  <c r="DF126" i="33"/>
  <c r="DH126" i="33"/>
  <c r="CH127" i="33"/>
  <c r="CI127" i="33"/>
  <c r="CJ127" i="33"/>
  <c r="CK127" i="33"/>
  <c r="CL127" i="33"/>
  <c r="CM127" i="33"/>
  <c r="CN127" i="33"/>
  <c r="CO127" i="33"/>
  <c r="CP127" i="33"/>
  <c r="CQ127" i="33"/>
  <c r="CR127" i="33"/>
  <c r="CS127" i="33"/>
  <c r="CT127" i="33"/>
  <c r="CU127" i="33"/>
  <c r="CV127" i="33"/>
  <c r="CW127" i="33"/>
  <c r="DF127" i="33"/>
  <c r="DG127" i="33"/>
  <c r="DH127" i="33"/>
  <c r="DK127" i="33"/>
  <c r="DL127" i="33"/>
  <c r="CE128" i="33"/>
  <c r="CF128" i="33"/>
  <c r="CH128" i="33"/>
  <c r="CI128" i="33"/>
  <c r="CJ128" i="33"/>
  <c r="CK128" i="33"/>
  <c r="CL128" i="33"/>
  <c r="CM128" i="33"/>
  <c r="CN128" i="33"/>
  <c r="CO128" i="33"/>
  <c r="CP128" i="33"/>
  <c r="CQ128" i="33"/>
  <c r="CR128" i="33"/>
  <c r="CS128" i="33"/>
  <c r="CT128" i="33"/>
  <c r="CU128" i="33"/>
  <c r="CV128" i="33"/>
  <c r="CW128" i="33"/>
  <c r="DK128" i="33"/>
  <c r="DL128" i="33"/>
  <c r="CE129" i="33"/>
  <c r="CF129" i="33"/>
  <c r="CH129" i="33"/>
  <c r="CI129" i="33"/>
  <c r="CJ129" i="33"/>
  <c r="CK129" i="33"/>
  <c r="CL129" i="33"/>
  <c r="CM129" i="33"/>
  <c r="CN129" i="33"/>
  <c r="CO129" i="33"/>
  <c r="CP129" i="33"/>
  <c r="CQ129" i="33"/>
  <c r="CR129" i="33"/>
  <c r="CS129" i="33"/>
  <c r="CT129" i="33"/>
  <c r="CU129" i="33"/>
  <c r="CV129" i="33"/>
  <c r="CW129" i="33"/>
  <c r="DL129" i="33"/>
  <c r="CA130" i="33"/>
  <c r="CH130" i="33"/>
  <c r="CI130" i="33"/>
  <c r="CJ130" i="33"/>
  <c r="CK130" i="33"/>
  <c r="CL130" i="33"/>
  <c r="CM130" i="33"/>
  <c r="CN130" i="33"/>
  <c r="CO130" i="33"/>
  <c r="CP130" i="33"/>
  <c r="CQ130" i="33"/>
  <c r="CR130" i="33"/>
  <c r="CS130" i="33"/>
  <c r="CT130" i="33"/>
  <c r="CU130" i="33"/>
  <c r="CV130" i="33"/>
  <c r="CW130" i="33"/>
  <c r="DG130" i="33"/>
  <c r="CF131" i="33"/>
  <c r="CH131" i="33"/>
  <c r="CI131" i="33"/>
  <c r="CJ131" i="33"/>
  <c r="CK131" i="33"/>
  <c r="CL131" i="33"/>
  <c r="CM131" i="33"/>
  <c r="CN131" i="33"/>
  <c r="CO131" i="33"/>
  <c r="CP131" i="33"/>
  <c r="CQ131" i="33"/>
  <c r="CR131" i="33"/>
  <c r="CS131" i="33"/>
  <c r="CT131" i="33"/>
  <c r="CU131" i="33"/>
  <c r="CV131" i="33"/>
  <c r="CW131" i="33"/>
  <c r="DL131" i="33"/>
  <c r="CC132" i="33"/>
  <c r="CH132" i="33"/>
  <c r="CI132" i="33"/>
  <c r="CJ132" i="33"/>
  <c r="CK132" i="33"/>
  <c r="CL132" i="33"/>
  <c r="CM132" i="33"/>
  <c r="CN132" i="33"/>
  <c r="CO132" i="33"/>
  <c r="CP132" i="33"/>
  <c r="CQ132" i="33"/>
  <c r="CR132" i="33"/>
  <c r="CS132" i="33"/>
  <c r="CT132" i="33"/>
  <c r="CU132" i="33"/>
  <c r="CV132" i="33"/>
  <c r="CW132" i="33"/>
  <c r="DF132" i="33"/>
  <c r="CF133" i="33"/>
  <c r="CH133" i="33"/>
  <c r="CI133" i="33"/>
  <c r="CJ133" i="33"/>
  <c r="CK133" i="33"/>
  <c r="CL133" i="33"/>
  <c r="CM133" i="33"/>
  <c r="CN133" i="33"/>
  <c r="CO133" i="33"/>
  <c r="CP133" i="33"/>
  <c r="CQ133" i="33"/>
  <c r="CR133" i="33"/>
  <c r="CS133" i="33"/>
  <c r="CT133" i="33"/>
  <c r="CU133" i="33"/>
  <c r="CV133" i="33"/>
  <c r="CW133" i="33"/>
  <c r="DM133" i="33"/>
  <c r="CB134" i="33"/>
  <c r="CH134" i="33"/>
  <c r="CI134" i="33"/>
  <c r="CJ134" i="33"/>
  <c r="CK134" i="33"/>
  <c r="CL134" i="33"/>
  <c r="CM134" i="33"/>
  <c r="CN134" i="33"/>
  <c r="CO134" i="33"/>
  <c r="CP134" i="33"/>
  <c r="CQ134" i="33"/>
  <c r="CR134" i="33"/>
  <c r="CS134" i="33"/>
  <c r="CT134" i="33"/>
  <c r="CU134" i="33"/>
  <c r="CV134" i="33"/>
  <c r="CW134" i="33"/>
  <c r="DH134" i="33"/>
  <c r="DI134" i="33"/>
  <c r="CB135" i="33"/>
  <c r="CH135" i="33"/>
  <c r="CI135" i="33"/>
  <c r="CJ135" i="33"/>
  <c r="CK135" i="33"/>
  <c r="CL135" i="33"/>
  <c r="CM135" i="33"/>
  <c r="CN135" i="33"/>
  <c r="CO135" i="33"/>
  <c r="CP135" i="33"/>
  <c r="CQ135" i="33"/>
  <c r="CR135" i="33"/>
  <c r="CS135" i="33"/>
  <c r="CT135" i="33"/>
  <c r="CU135" i="33"/>
  <c r="CV135" i="33"/>
  <c r="CW135" i="33"/>
  <c r="DH135" i="33"/>
  <c r="DI135" i="33"/>
  <c r="CF136" i="33"/>
  <c r="CH136" i="33"/>
  <c r="CI136" i="33"/>
  <c r="CJ136" i="33"/>
  <c r="CK136" i="33"/>
  <c r="CL136" i="33"/>
  <c r="CM136" i="33"/>
  <c r="CN136" i="33"/>
  <c r="CO136" i="33"/>
  <c r="CP136" i="33"/>
  <c r="CQ136" i="33"/>
  <c r="CR136" i="33"/>
  <c r="CS136" i="33"/>
  <c r="CT136" i="33"/>
  <c r="CU136" i="33"/>
  <c r="CV136" i="33"/>
  <c r="CW136" i="33"/>
  <c r="DL136" i="33"/>
  <c r="BC92" i="33"/>
  <c r="BD92" i="33"/>
  <c r="BE92" i="33"/>
  <c r="BF92" i="33"/>
  <c r="BG92" i="33"/>
  <c r="BH92" i="33"/>
  <c r="BI92" i="33"/>
  <c r="BJ92" i="33"/>
  <c r="BK92" i="33"/>
  <c r="BL92" i="33"/>
  <c r="BM92" i="33"/>
  <c r="BN92" i="33"/>
  <c r="BO92" i="33"/>
  <c r="BP92" i="33"/>
  <c r="BQ92" i="33"/>
  <c r="BC93" i="33"/>
  <c r="BD93" i="33"/>
  <c r="BE93" i="33"/>
  <c r="BF93" i="33"/>
  <c r="BG93" i="33"/>
  <c r="BH93" i="33"/>
  <c r="BI93" i="33"/>
  <c r="BJ93" i="33"/>
  <c r="BK93" i="33"/>
  <c r="BL93" i="33"/>
  <c r="BM93" i="33"/>
  <c r="BN93" i="33"/>
  <c r="BO93" i="33"/>
  <c r="BP93" i="33"/>
  <c r="BQ93" i="33"/>
  <c r="BC94" i="33"/>
  <c r="BD94" i="33"/>
  <c r="BE94" i="33"/>
  <c r="BF94" i="33"/>
  <c r="BG94" i="33"/>
  <c r="BH94" i="33"/>
  <c r="BI94" i="33"/>
  <c r="BJ94" i="33"/>
  <c r="BK94" i="33"/>
  <c r="BL94" i="33"/>
  <c r="BM94" i="33"/>
  <c r="BN94" i="33"/>
  <c r="BO94" i="33"/>
  <c r="BP94" i="33"/>
  <c r="BQ94" i="33"/>
  <c r="BC95" i="33"/>
  <c r="BD95" i="33"/>
  <c r="BE95" i="33"/>
  <c r="BF95" i="33"/>
  <c r="BG95" i="33"/>
  <c r="BH95" i="33"/>
  <c r="BI95" i="33"/>
  <c r="BJ95" i="33"/>
  <c r="BK95" i="33"/>
  <c r="BL95" i="33"/>
  <c r="BM95" i="33"/>
  <c r="BN95" i="33"/>
  <c r="BO95" i="33"/>
  <c r="BP95" i="33"/>
  <c r="BQ95" i="33"/>
  <c r="BC96" i="33"/>
  <c r="BD96" i="33"/>
  <c r="BE96" i="33"/>
  <c r="BF96" i="33"/>
  <c r="BG96" i="33"/>
  <c r="BH96" i="33"/>
  <c r="BI96" i="33"/>
  <c r="BJ96" i="33"/>
  <c r="BK96" i="33"/>
  <c r="BL96" i="33"/>
  <c r="BM96" i="33"/>
  <c r="BN96" i="33"/>
  <c r="BO96" i="33"/>
  <c r="BP96" i="33"/>
  <c r="BQ96" i="33"/>
  <c r="BR96" i="33"/>
  <c r="BS96" i="33"/>
  <c r="BT96" i="33"/>
  <c r="BU96" i="33"/>
  <c r="BC97" i="33"/>
  <c r="BD97" i="33"/>
  <c r="BE97" i="33"/>
  <c r="BF97" i="33"/>
  <c r="BG97" i="33"/>
  <c r="BH97" i="33"/>
  <c r="BI97" i="33"/>
  <c r="BJ97" i="33"/>
  <c r="BK97" i="33"/>
  <c r="BL97" i="33"/>
  <c r="BM97" i="33"/>
  <c r="BN97" i="33"/>
  <c r="BO97" i="33"/>
  <c r="BP97" i="33"/>
  <c r="BQ97" i="33"/>
  <c r="BC98" i="33"/>
  <c r="BD98" i="33"/>
  <c r="BE98" i="33"/>
  <c r="BF98" i="33"/>
  <c r="BG98" i="33"/>
  <c r="BH98" i="33"/>
  <c r="BI98" i="33"/>
  <c r="BJ98" i="33"/>
  <c r="BK98" i="33"/>
  <c r="BL98" i="33"/>
  <c r="BM98" i="33"/>
  <c r="BN98" i="33"/>
  <c r="BO98" i="33"/>
  <c r="BP98" i="33"/>
  <c r="BQ98" i="33"/>
  <c r="BC99" i="33"/>
  <c r="BD99" i="33"/>
  <c r="BE99" i="33"/>
  <c r="BF99" i="33"/>
  <c r="BG99" i="33"/>
  <c r="BH99" i="33"/>
  <c r="BI99" i="33"/>
  <c r="BJ99" i="33"/>
  <c r="BK99" i="33"/>
  <c r="BL99" i="33"/>
  <c r="BM99" i="33"/>
  <c r="BN99" i="33"/>
  <c r="BO99" i="33"/>
  <c r="BP99" i="33"/>
  <c r="BQ99" i="33"/>
  <c r="BC100" i="33"/>
  <c r="BD100" i="33"/>
  <c r="BE100" i="33"/>
  <c r="BF100" i="33"/>
  <c r="BG100" i="33"/>
  <c r="BH100" i="33"/>
  <c r="BI100" i="33"/>
  <c r="BJ100" i="33"/>
  <c r="BK100" i="33"/>
  <c r="BL100" i="33"/>
  <c r="BM100" i="33"/>
  <c r="BN100" i="33"/>
  <c r="BO100" i="33"/>
  <c r="BP100" i="33"/>
  <c r="BQ100" i="33"/>
  <c r="BC101" i="33"/>
  <c r="BD101" i="33"/>
  <c r="BE101" i="33"/>
  <c r="BF101" i="33"/>
  <c r="BG101" i="33"/>
  <c r="BH101" i="33"/>
  <c r="BI101" i="33"/>
  <c r="BJ101" i="33"/>
  <c r="BK101" i="33"/>
  <c r="BL101" i="33"/>
  <c r="BM101" i="33"/>
  <c r="BN101" i="33"/>
  <c r="BO101" i="33"/>
  <c r="BP101" i="33"/>
  <c r="BQ101" i="33"/>
  <c r="BC102" i="33"/>
  <c r="BD102" i="33"/>
  <c r="BE102" i="33"/>
  <c r="BF102" i="33"/>
  <c r="BG102" i="33"/>
  <c r="BH102" i="33"/>
  <c r="BI102" i="33"/>
  <c r="BJ102" i="33"/>
  <c r="BK102" i="33"/>
  <c r="BL102" i="33"/>
  <c r="BM102" i="33"/>
  <c r="BN102" i="33"/>
  <c r="BO102" i="33"/>
  <c r="BP102" i="33"/>
  <c r="BQ102" i="33"/>
  <c r="BC103" i="33"/>
  <c r="BD103" i="33"/>
  <c r="BE103" i="33"/>
  <c r="BF103" i="33"/>
  <c r="BG103" i="33"/>
  <c r="BH103" i="33"/>
  <c r="BI103" i="33"/>
  <c r="BJ103" i="33"/>
  <c r="BK103" i="33"/>
  <c r="BL103" i="33"/>
  <c r="BM103" i="33"/>
  <c r="BN103" i="33"/>
  <c r="BO103" i="33"/>
  <c r="BP103" i="33"/>
  <c r="BQ103" i="33"/>
  <c r="BC104" i="33"/>
  <c r="BD104" i="33"/>
  <c r="BE104" i="33"/>
  <c r="BF104" i="33"/>
  <c r="BG104" i="33"/>
  <c r="BH104" i="33"/>
  <c r="BI104" i="33"/>
  <c r="BJ104" i="33"/>
  <c r="BK104" i="33"/>
  <c r="BL104" i="33"/>
  <c r="BM104" i="33"/>
  <c r="BN104" i="33"/>
  <c r="BO104" i="33"/>
  <c r="BP104" i="33"/>
  <c r="BQ104" i="33"/>
  <c r="BC105" i="33"/>
  <c r="BD105" i="33"/>
  <c r="BE105" i="33"/>
  <c r="BF105" i="33"/>
  <c r="BG105" i="33"/>
  <c r="BH105" i="33"/>
  <c r="BI105" i="33"/>
  <c r="BJ105" i="33"/>
  <c r="BK105" i="33"/>
  <c r="BL105" i="33"/>
  <c r="BM105" i="33"/>
  <c r="BN105" i="33"/>
  <c r="BO105" i="33"/>
  <c r="BP105" i="33"/>
  <c r="BQ105" i="33"/>
  <c r="BC106" i="33"/>
  <c r="BD106" i="33"/>
  <c r="BE106" i="33"/>
  <c r="BF106" i="33"/>
  <c r="BG106" i="33"/>
  <c r="BH106" i="33"/>
  <c r="BI106" i="33"/>
  <c r="BJ106" i="33"/>
  <c r="BK106" i="33"/>
  <c r="BL106" i="33"/>
  <c r="BM106" i="33"/>
  <c r="BN106" i="33"/>
  <c r="BO106" i="33"/>
  <c r="BP106" i="33"/>
  <c r="BQ106" i="33"/>
  <c r="BC107" i="33"/>
  <c r="BD107" i="33"/>
  <c r="BE107" i="33"/>
  <c r="BF107" i="33"/>
  <c r="BG107" i="33"/>
  <c r="BH107" i="33"/>
  <c r="BI107" i="33"/>
  <c r="BJ107" i="33"/>
  <c r="BK107" i="33"/>
  <c r="BL107" i="33"/>
  <c r="BM107" i="33"/>
  <c r="BN107" i="33"/>
  <c r="BO107" i="33"/>
  <c r="BP107" i="33"/>
  <c r="BQ107" i="33"/>
  <c r="BC108" i="33"/>
  <c r="BD108" i="33"/>
  <c r="BE108" i="33"/>
  <c r="BF108" i="33"/>
  <c r="BG108" i="33"/>
  <c r="BH108" i="33"/>
  <c r="BI108" i="33"/>
  <c r="BJ108" i="33"/>
  <c r="BK108" i="33"/>
  <c r="BL108" i="33"/>
  <c r="BM108" i="33"/>
  <c r="BN108" i="33"/>
  <c r="BO108" i="33"/>
  <c r="BP108" i="33"/>
  <c r="BQ108" i="33"/>
  <c r="BC109" i="33"/>
  <c r="BD109" i="33"/>
  <c r="BE109" i="33"/>
  <c r="BF109" i="33"/>
  <c r="BG109" i="33"/>
  <c r="BH109" i="33"/>
  <c r="BI109" i="33"/>
  <c r="BJ109" i="33"/>
  <c r="BK109" i="33"/>
  <c r="BL109" i="33"/>
  <c r="BM109" i="33"/>
  <c r="BN109" i="33"/>
  <c r="BO109" i="33"/>
  <c r="BP109" i="33"/>
  <c r="BQ109" i="33"/>
  <c r="BC110" i="33"/>
  <c r="BD110" i="33"/>
  <c r="BE110" i="33"/>
  <c r="BF110" i="33"/>
  <c r="BG110" i="33"/>
  <c r="BH110" i="33"/>
  <c r="BI110" i="33"/>
  <c r="BJ110" i="33"/>
  <c r="BK110" i="33"/>
  <c r="BL110" i="33"/>
  <c r="BM110" i="33"/>
  <c r="BN110" i="33"/>
  <c r="BO110" i="33"/>
  <c r="BP110" i="33"/>
  <c r="BQ110" i="33"/>
  <c r="BC111" i="33"/>
  <c r="BD111" i="33"/>
  <c r="BE111" i="33"/>
  <c r="BF111" i="33"/>
  <c r="BG111" i="33"/>
  <c r="BH111" i="33"/>
  <c r="BI111" i="33"/>
  <c r="BJ111" i="33"/>
  <c r="BK111" i="33"/>
  <c r="BL111" i="33"/>
  <c r="BM111" i="33"/>
  <c r="BN111" i="33"/>
  <c r="BO111" i="33"/>
  <c r="BP111" i="33"/>
  <c r="BQ111" i="33"/>
  <c r="BC112" i="33"/>
  <c r="BD112" i="33"/>
  <c r="BE112" i="33"/>
  <c r="BF112" i="33"/>
  <c r="BG112" i="33"/>
  <c r="BH112" i="33"/>
  <c r="BI112" i="33"/>
  <c r="BJ112" i="33"/>
  <c r="BK112" i="33"/>
  <c r="BL112" i="33"/>
  <c r="BM112" i="33"/>
  <c r="BN112" i="33"/>
  <c r="BO112" i="33"/>
  <c r="BP112" i="33"/>
  <c r="BQ112" i="33"/>
  <c r="BC113" i="33"/>
  <c r="BD113" i="33"/>
  <c r="BE113" i="33"/>
  <c r="BF113" i="33"/>
  <c r="BG113" i="33"/>
  <c r="BH113" i="33"/>
  <c r="BI113" i="33"/>
  <c r="BJ113" i="33"/>
  <c r="BK113" i="33"/>
  <c r="BL113" i="33"/>
  <c r="BM113" i="33"/>
  <c r="BN113" i="33"/>
  <c r="BO113" i="33"/>
  <c r="BP113" i="33"/>
  <c r="BQ113" i="33"/>
  <c r="BC114" i="33"/>
  <c r="BD114" i="33"/>
  <c r="BE114" i="33"/>
  <c r="BF114" i="33"/>
  <c r="BG114" i="33"/>
  <c r="BH114" i="33"/>
  <c r="BI114" i="33"/>
  <c r="BJ114" i="33"/>
  <c r="BK114" i="33"/>
  <c r="BL114" i="33"/>
  <c r="BM114" i="33"/>
  <c r="BN114" i="33"/>
  <c r="BO114" i="33"/>
  <c r="BP114" i="33"/>
  <c r="BQ114" i="33"/>
  <c r="BC115" i="33"/>
  <c r="BD115" i="33"/>
  <c r="BE115" i="33"/>
  <c r="BF115" i="33"/>
  <c r="BG115" i="33"/>
  <c r="BH115" i="33"/>
  <c r="BI115" i="33"/>
  <c r="BJ115" i="33"/>
  <c r="BK115" i="33"/>
  <c r="BL115" i="33"/>
  <c r="BM115" i="33"/>
  <c r="BN115" i="33"/>
  <c r="BO115" i="33"/>
  <c r="BP115" i="33"/>
  <c r="BQ115" i="33"/>
  <c r="BC116" i="33"/>
  <c r="BD116" i="33"/>
  <c r="BE116" i="33"/>
  <c r="BF116" i="33"/>
  <c r="BG116" i="33"/>
  <c r="BH116" i="33"/>
  <c r="BI116" i="33"/>
  <c r="BJ116" i="33"/>
  <c r="BK116" i="33"/>
  <c r="BL116" i="33"/>
  <c r="BM116" i="33"/>
  <c r="BN116" i="33"/>
  <c r="BO116" i="33"/>
  <c r="BP116" i="33"/>
  <c r="BQ116" i="33"/>
  <c r="BC117" i="33"/>
  <c r="BD117" i="33"/>
  <c r="BE117" i="33"/>
  <c r="BF117" i="33"/>
  <c r="BG117" i="33"/>
  <c r="BH117" i="33"/>
  <c r="BI117" i="33"/>
  <c r="BJ117" i="33"/>
  <c r="BK117" i="33"/>
  <c r="BL117" i="33"/>
  <c r="BM117" i="33"/>
  <c r="BN117" i="33"/>
  <c r="BO117" i="33"/>
  <c r="BP117" i="33"/>
  <c r="BQ117" i="33"/>
  <c r="BC118" i="33"/>
  <c r="BD118" i="33"/>
  <c r="BE118" i="33"/>
  <c r="BF118" i="33"/>
  <c r="BG118" i="33"/>
  <c r="BH118" i="33"/>
  <c r="BI118" i="33"/>
  <c r="BJ118" i="33"/>
  <c r="BK118" i="33"/>
  <c r="BL118" i="33"/>
  <c r="BM118" i="33"/>
  <c r="BN118" i="33"/>
  <c r="BO118" i="33"/>
  <c r="BP118" i="33"/>
  <c r="BQ118" i="33"/>
  <c r="BC119" i="33"/>
  <c r="BD119" i="33"/>
  <c r="BE119" i="33"/>
  <c r="BF119" i="33"/>
  <c r="BG119" i="33"/>
  <c r="BH119" i="33"/>
  <c r="BI119" i="33"/>
  <c r="BJ119" i="33"/>
  <c r="BK119" i="33"/>
  <c r="BL119" i="33"/>
  <c r="BM119" i="33"/>
  <c r="BN119" i="33"/>
  <c r="BO119" i="33"/>
  <c r="BP119" i="33"/>
  <c r="BQ119" i="33"/>
  <c r="BC120" i="33"/>
  <c r="BD120" i="33"/>
  <c r="BE120" i="33"/>
  <c r="BF120" i="33"/>
  <c r="BG120" i="33"/>
  <c r="BH120" i="33"/>
  <c r="BI120" i="33"/>
  <c r="BJ120" i="33"/>
  <c r="BK120" i="33"/>
  <c r="BL120" i="33"/>
  <c r="BM120" i="33"/>
  <c r="BN120" i="33"/>
  <c r="BO120" i="33"/>
  <c r="BP120" i="33"/>
  <c r="BQ120" i="33"/>
  <c r="BC121" i="33"/>
  <c r="BD121" i="33"/>
  <c r="BE121" i="33"/>
  <c r="BF121" i="33"/>
  <c r="BG121" i="33"/>
  <c r="BH121" i="33"/>
  <c r="BI121" i="33"/>
  <c r="BJ121" i="33"/>
  <c r="BK121" i="33"/>
  <c r="BL121" i="33"/>
  <c r="BM121" i="33"/>
  <c r="BN121" i="33"/>
  <c r="BO121" i="33"/>
  <c r="BP121" i="33"/>
  <c r="BQ121" i="33"/>
  <c r="BC122" i="33"/>
  <c r="BD122" i="33"/>
  <c r="BE122" i="33"/>
  <c r="BF122" i="33"/>
  <c r="BG122" i="33"/>
  <c r="BH122" i="33"/>
  <c r="BI122" i="33"/>
  <c r="BJ122" i="33"/>
  <c r="BK122" i="33"/>
  <c r="BL122" i="33"/>
  <c r="BM122" i="33"/>
  <c r="BN122" i="33"/>
  <c r="BO122" i="33"/>
  <c r="BP122" i="33"/>
  <c r="BQ122" i="33"/>
  <c r="BC123" i="33"/>
  <c r="BD123" i="33"/>
  <c r="BE123" i="33"/>
  <c r="BF123" i="33"/>
  <c r="BG123" i="33"/>
  <c r="BH123" i="33"/>
  <c r="BI123" i="33"/>
  <c r="BJ123" i="33"/>
  <c r="BK123" i="33"/>
  <c r="BL123" i="33"/>
  <c r="BM123" i="33"/>
  <c r="BN123" i="33"/>
  <c r="BO123" i="33"/>
  <c r="BP123" i="33"/>
  <c r="BQ123" i="33"/>
  <c r="BC125" i="33"/>
  <c r="BD125" i="33"/>
  <c r="BE125" i="33"/>
  <c r="BF125" i="33"/>
  <c r="BG125" i="33"/>
  <c r="BH125" i="33"/>
  <c r="BI125" i="33"/>
  <c r="BJ125" i="33"/>
  <c r="BK125" i="33"/>
  <c r="BL125" i="33"/>
  <c r="BM125" i="33"/>
  <c r="BN125" i="33"/>
  <c r="BO125" i="33"/>
  <c r="BP125" i="33"/>
  <c r="BQ125" i="33"/>
  <c r="BC126" i="33"/>
  <c r="BD126" i="33"/>
  <c r="BE126" i="33"/>
  <c r="BF126" i="33"/>
  <c r="BG126" i="33"/>
  <c r="BH126" i="33"/>
  <c r="BI126" i="33"/>
  <c r="BJ126" i="33"/>
  <c r="BK126" i="33"/>
  <c r="BL126" i="33"/>
  <c r="BM126" i="33"/>
  <c r="BN126" i="33"/>
  <c r="BO126" i="33"/>
  <c r="BP126" i="33"/>
  <c r="BQ126" i="33"/>
  <c r="BC127" i="33"/>
  <c r="BD127" i="33"/>
  <c r="BE127" i="33"/>
  <c r="BF127" i="33"/>
  <c r="BG127" i="33"/>
  <c r="BH127" i="33"/>
  <c r="BI127" i="33"/>
  <c r="BJ127" i="33"/>
  <c r="BK127" i="33"/>
  <c r="BL127" i="33"/>
  <c r="BM127" i="33"/>
  <c r="BN127" i="33"/>
  <c r="BO127" i="33"/>
  <c r="BP127" i="33"/>
  <c r="BQ127" i="33"/>
  <c r="BC128" i="33"/>
  <c r="BD128" i="33"/>
  <c r="BE128" i="33"/>
  <c r="BF128" i="33"/>
  <c r="BG128" i="33"/>
  <c r="BH128" i="33"/>
  <c r="BI128" i="33"/>
  <c r="BJ128" i="33"/>
  <c r="BK128" i="33"/>
  <c r="BL128" i="33"/>
  <c r="BM128" i="33"/>
  <c r="BN128" i="33"/>
  <c r="BO128" i="33"/>
  <c r="BP128" i="33"/>
  <c r="BQ128" i="33"/>
  <c r="BC129" i="33"/>
  <c r="BD129" i="33"/>
  <c r="BE129" i="33"/>
  <c r="BF129" i="33"/>
  <c r="BG129" i="33"/>
  <c r="BH129" i="33"/>
  <c r="BI129" i="33"/>
  <c r="BJ129" i="33"/>
  <c r="BK129" i="33"/>
  <c r="BL129" i="33"/>
  <c r="BM129" i="33"/>
  <c r="BN129" i="33"/>
  <c r="BO129" i="33"/>
  <c r="BP129" i="33"/>
  <c r="BQ129" i="33"/>
  <c r="BC130" i="33"/>
  <c r="BD130" i="33"/>
  <c r="BE130" i="33"/>
  <c r="BF130" i="33"/>
  <c r="BG130" i="33"/>
  <c r="BH130" i="33"/>
  <c r="BI130" i="33"/>
  <c r="BJ130" i="33"/>
  <c r="BK130" i="33"/>
  <c r="BL130" i="33"/>
  <c r="BM130" i="33"/>
  <c r="BN130" i="33"/>
  <c r="BO130" i="33"/>
  <c r="BP130" i="33"/>
  <c r="BQ130" i="33"/>
  <c r="BC131" i="33"/>
  <c r="BD131" i="33"/>
  <c r="BE131" i="33"/>
  <c r="BF131" i="33"/>
  <c r="BG131" i="33"/>
  <c r="BH131" i="33"/>
  <c r="BI131" i="33"/>
  <c r="BJ131" i="33"/>
  <c r="BK131" i="33"/>
  <c r="BL131" i="33"/>
  <c r="BM131" i="33"/>
  <c r="BN131" i="33"/>
  <c r="BO131" i="33"/>
  <c r="BP131" i="33"/>
  <c r="BQ131" i="33"/>
  <c r="BC132" i="33"/>
  <c r="BD132" i="33"/>
  <c r="BE132" i="33"/>
  <c r="BF132" i="33"/>
  <c r="BG132" i="33"/>
  <c r="BH132" i="33"/>
  <c r="BI132" i="33"/>
  <c r="BJ132" i="33"/>
  <c r="BK132" i="33"/>
  <c r="BL132" i="33"/>
  <c r="BM132" i="33"/>
  <c r="BN132" i="33"/>
  <c r="BO132" i="33"/>
  <c r="BP132" i="33"/>
  <c r="BQ132" i="33"/>
  <c r="BC133" i="33"/>
  <c r="BD133" i="33"/>
  <c r="BE133" i="33"/>
  <c r="BF133" i="33"/>
  <c r="BG133" i="33"/>
  <c r="BH133" i="33"/>
  <c r="BI133" i="33"/>
  <c r="BJ133" i="33"/>
  <c r="BK133" i="33"/>
  <c r="BL133" i="33"/>
  <c r="BM133" i="33"/>
  <c r="BN133" i="33"/>
  <c r="BO133" i="33"/>
  <c r="BP133" i="33"/>
  <c r="BQ133" i="33"/>
  <c r="BC134" i="33"/>
  <c r="BD134" i="33"/>
  <c r="BE134" i="33"/>
  <c r="BF134" i="33"/>
  <c r="BG134" i="33"/>
  <c r="BH134" i="33"/>
  <c r="BI134" i="33"/>
  <c r="BJ134" i="33"/>
  <c r="BK134" i="33"/>
  <c r="BL134" i="33"/>
  <c r="BM134" i="33"/>
  <c r="BN134" i="33"/>
  <c r="BO134" i="33"/>
  <c r="BP134" i="33"/>
  <c r="BQ134" i="33"/>
  <c r="BC135" i="33"/>
  <c r="BD135" i="33"/>
  <c r="BE135" i="33"/>
  <c r="BF135" i="33"/>
  <c r="BG135" i="33"/>
  <c r="BH135" i="33"/>
  <c r="BI135" i="33"/>
  <c r="BJ135" i="33"/>
  <c r="BK135" i="33"/>
  <c r="BL135" i="33"/>
  <c r="BM135" i="33"/>
  <c r="BN135" i="33"/>
  <c r="BO135" i="33"/>
  <c r="BP135" i="33"/>
  <c r="BQ135" i="33"/>
  <c r="BC136" i="33"/>
  <c r="BD136" i="33"/>
  <c r="BE136" i="33"/>
  <c r="BF136" i="33"/>
  <c r="BG136" i="33"/>
  <c r="BH136" i="33"/>
  <c r="BI136" i="33"/>
  <c r="BJ136" i="33"/>
  <c r="BK136" i="33"/>
  <c r="BL136" i="33"/>
  <c r="BM136" i="33"/>
  <c r="BN136" i="33"/>
  <c r="BO136" i="33"/>
  <c r="BP136" i="33"/>
  <c r="BQ136" i="33"/>
  <c r="BB93" i="33"/>
  <c r="BB94" i="33"/>
  <c r="BB95" i="33"/>
  <c r="BB96" i="33"/>
  <c r="BB97" i="33"/>
  <c r="BB98" i="33"/>
  <c r="BB99" i="33"/>
  <c r="BB100" i="33"/>
  <c r="BB101" i="33"/>
  <c r="BB102" i="33"/>
  <c r="BB103" i="33"/>
  <c r="BB104" i="33"/>
  <c r="BB105" i="33"/>
  <c r="BB106" i="33"/>
  <c r="BB107" i="33"/>
  <c r="BB108" i="33"/>
  <c r="BB109" i="33"/>
  <c r="BB110" i="33"/>
  <c r="BB111" i="33"/>
  <c r="BB112" i="33"/>
  <c r="BB113" i="33"/>
  <c r="BB114" i="33"/>
  <c r="BB115" i="33"/>
  <c r="BB116" i="33"/>
  <c r="BB117" i="33"/>
  <c r="BB118" i="33"/>
  <c r="BB119" i="33"/>
  <c r="BB120" i="33"/>
  <c r="BB121" i="33"/>
  <c r="BB122" i="33"/>
  <c r="BB123" i="33"/>
  <c r="BB125" i="33"/>
  <c r="BB126" i="33"/>
  <c r="BB127" i="33"/>
  <c r="BB128" i="33"/>
  <c r="BB129" i="33"/>
  <c r="BB130" i="33"/>
  <c r="BB131" i="33"/>
  <c r="BB132" i="33"/>
  <c r="BB133" i="33"/>
  <c r="BB134" i="33"/>
  <c r="BB135" i="33"/>
  <c r="BB136" i="33"/>
  <c r="BB92" i="33"/>
  <c r="H96" i="33"/>
  <c r="H104" i="17" s="1"/>
  <c r="G96" i="33"/>
  <c r="G104" i="17" s="1"/>
  <c r="W93" i="33"/>
  <c r="J3" i="9" s="1"/>
  <c r="W94" i="33"/>
  <c r="J4" i="9" s="1"/>
  <c r="W95" i="33"/>
  <c r="J5" i="9" s="1"/>
  <c r="W96" i="33"/>
  <c r="J6" i="9" s="1"/>
  <c r="W97" i="33"/>
  <c r="J7" i="9" s="1"/>
  <c r="W98" i="33"/>
  <c r="J8" i="9" s="1"/>
  <c r="W99" i="33"/>
  <c r="J9" i="9" s="1"/>
  <c r="W100" i="33"/>
  <c r="J10" i="9" s="1"/>
  <c r="W101" i="33"/>
  <c r="J11" i="9" s="1"/>
  <c r="W102" i="33"/>
  <c r="J12" i="9" s="1"/>
  <c r="W103" i="33"/>
  <c r="J13" i="9" s="1"/>
  <c r="W104" i="33"/>
  <c r="J14" i="9" s="1"/>
  <c r="W105" i="33"/>
  <c r="J15" i="9" s="1"/>
  <c r="W106" i="33"/>
  <c r="J16" i="9" s="1"/>
  <c r="W107" i="33"/>
  <c r="J17" i="9" s="1"/>
  <c r="W108" i="33"/>
  <c r="J18" i="9" s="1"/>
  <c r="W109" i="33"/>
  <c r="J19" i="9" s="1"/>
  <c r="W110" i="33"/>
  <c r="J20" i="9" s="1"/>
  <c r="W111" i="33"/>
  <c r="J21" i="9" s="1"/>
  <c r="W112" i="33"/>
  <c r="J22" i="9" s="1"/>
  <c r="W113" i="33"/>
  <c r="J23" i="9" s="1"/>
  <c r="W114" i="33"/>
  <c r="J24" i="9" s="1"/>
  <c r="W115" i="33"/>
  <c r="J25" i="9" s="1"/>
  <c r="W116" i="33"/>
  <c r="J26" i="9" s="1"/>
  <c r="W117" i="33"/>
  <c r="J27" i="9" s="1"/>
  <c r="W118" i="33"/>
  <c r="J28" i="9" s="1"/>
  <c r="W119" i="33"/>
  <c r="J29" i="9" s="1"/>
  <c r="W120" i="33"/>
  <c r="J30" i="9" s="1"/>
  <c r="W121" i="33"/>
  <c r="J31" i="9" s="1"/>
  <c r="W122" i="33"/>
  <c r="J32" i="9" s="1"/>
  <c r="W123" i="33"/>
  <c r="J33" i="9" s="1"/>
  <c r="W125" i="33"/>
  <c r="J35" i="9" s="1"/>
  <c r="W126" i="33"/>
  <c r="J36" i="9" s="1"/>
  <c r="W127" i="33"/>
  <c r="J37" i="9" s="1"/>
  <c r="W128" i="33"/>
  <c r="J38" i="9" s="1"/>
  <c r="W129" i="33"/>
  <c r="J39" i="9" s="1"/>
  <c r="W130" i="33"/>
  <c r="J40" i="9" s="1"/>
  <c r="W131" i="33"/>
  <c r="J41" i="9" s="1"/>
  <c r="W132" i="33"/>
  <c r="J42" i="9" s="1"/>
  <c r="W133" i="33"/>
  <c r="J43" i="9" s="1"/>
  <c r="W134" i="33"/>
  <c r="J44" i="9" s="1"/>
  <c r="W135" i="33"/>
  <c r="J45" i="9" s="1"/>
  <c r="W136" i="33"/>
  <c r="J46" i="9" s="1"/>
  <c r="Q93" i="33"/>
  <c r="R93" i="33"/>
  <c r="S93" i="33"/>
  <c r="Q94" i="33"/>
  <c r="R94" i="33"/>
  <c r="S94" i="33"/>
  <c r="Q95" i="33"/>
  <c r="R95" i="33"/>
  <c r="S95" i="33"/>
  <c r="Q96" i="33"/>
  <c r="R96" i="33"/>
  <c r="S96" i="33"/>
  <c r="Q97" i="33"/>
  <c r="R97" i="33"/>
  <c r="S97" i="33"/>
  <c r="Q98" i="33"/>
  <c r="R98" i="33"/>
  <c r="S98" i="33"/>
  <c r="Q99" i="33"/>
  <c r="R99" i="33"/>
  <c r="S99" i="33"/>
  <c r="Q100" i="33"/>
  <c r="R100" i="33"/>
  <c r="S100" i="33"/>
  <c r="Q101" i="33"/>
  <c r="R101" i="33"/>
  <c r="S101" i="33"/>
  <c r="Q102" i="33"/>
  <c r="R102" i="33"/>
  <c r="S102" i="33"/>
  <c r="Q103" i="33"/>
  <c r="R103" i="33"/>
  <c r="S103" i="33"/>
  <c r="Q104" i="33"/>
  <c r="R104" i="33"/>
  <c r="S104" i="33"/>
  <c r="Q105" i="33"/>
  <c r="R105" i="33"/>
  <c r="S105" i="33"/>
  <c r="Q106" i="33"/>
  <c r="R106" i="33"/>
  <c r="S106" i="33"/>
  <c r="Q107" i="33"/>
  <c r="R107" i="33"/>
  <c r="S107" i="33"/>
  <c r="Q108" i="33"/>
  <c r="R108" i="33"/>
  <c r="S108" i="33"/>
  <c r="Q109" i="33"/>
  <c r="R109" i="33"/>
  <c r="S109" i="33"/>
  <c r="Q110" i="33"/>
  <c r="R110" i="33"/>
  <c r="S110" i="33"/>
  <c r="Q111" i="33"/>
  <c r="R111" i="33"/>
  <c r="S111" i="33"/>
  <c r="Q112" i="33"/>
  <c r="R112" i="33"/>
  <c r="S112" i="33"/>
  <c r="Q113" i="33"/>
  <c r="R113" i="33"/>
  <c r="S113" i="33"/>
  <c r="Q114" i="33"/>
  <c r="R114" i="33"/>
  <c r="S114" i="33"/>
  <c r="Q115" i="33"/>
  <c r="R115" i="33"/>
  <c r="S115" i="33"/>
  <c r="Q116" i="33"/>
  <c r="R116" i="33"/>
  <c r="S116" i="33"/>
  <c r="Q117" i="33"/>
  <c r="R117" i="33"/>
  <c r="S117" i="33"/>
  <c r="Q118" i="33"/>
  <c r="R118" i="33"/>
  <c r="S118" i="33"/>
  <c r="Q119" i="33"/>
  <c r="R119" i="33"/>
  <c r="S119" i="33"/>
  <c r="Q120" i="33"/>
  <c r="R120" i="33"/>
  <c r="S120" i="33"/>
  <c r="Q121" i="33"/>
  <c r="R121" i="33"/>
  <c r="S121" i="33"/>
  <c r="Q122" i="33"/>
  <c r="R122" i="33"/>
  <c r="S122" i="33"/>
  <c r="Q123" i="33"/>
  <c r="R123" i="33"/>
  <c r="S123" i="33"/>
  <c r="Q125" i="33"/>
  <c r="R125" i="33"/>
  <c r="S125" i="33"/>
  <c r="Q126" i="33"/>
  <c r="R126" i="33"/>
  <c r="S126" i="33"/>
  <c r="Q127" i="33"/>
  <c r="R127" i="33"/>
  <c r="S127" i="33"/>
  <c r="Q128" i="33"/>
  <c r="R128" i="33"/>
  <c r="S128" i="33"/>
  <c r="Q129" i="33"/>
  <c r="R129" i="33"/>
  <c r="S129" i="33"/>
  <c r="Q130" i="33"/>
  <c r="R130" i="33"/>
  <c r="S130" i="33"/>
  <c r="Q131" i="33"/>
  <c r="R131" i="33"/>
  <c r="S131" i="33"/>
  <c r="Q132" i="33"/>
  <c r="R132" i="33"/>
  <c r="S132" i="33"/>
  <c r="Q133" i="33"/>
  <c r="R133" i="33"/>
  <c r="S133" i="33"/>
  <c r="Q134" i="33"/>
  <c r="R134" i="33"/>
  <c r="S134" i="33"/>
  <c r="Q135" i="33"/>
  <c r="R135" i="33"/>
  <c r="S135" i="33"/>
  <c r="Q136" i="33"/>
  <c r="R136" i="33"/>
  <c r="S136" i="33"/>
  <c r="P93" i="33"/>
  <c r="I3" i="9" s="1"/>
  <c r="P94" i="33"/>
  <c r="I4" i="9" s="1"/>
  <c r="P95" i="33"/>
  <c r="I5" i="9" s="1"/>
  <c r="P96" i="33"/>
  <c r="P97" i="33"/>
  <c r="I7" i="9" s="1"/>
  <c r="P98" i="33"/>
  <c r="I8" i="9" s="1"/>
  <c r="P99" i="33"/>
  <c r="I9" i="9" s="1"/>
  <c r="P100" i="33"/>
  <c r="D121" i="2" s="1"/>
  <c r="P101" i="33"/>
  <c r="D122" i="2" s="1"/>
  <c r="P102" i="33"/>
  <c r="D123" i="2" s="1"/>
  <c r="P103" i="33"/>
  <c r="D124" i="2" s="1"/>
  <c r="P104" i="33"/>
  <c r="D125" i="2" s="1"/>
  <c r="P105" i="33"/>
  <c r="D126" i="2" s="1"/>
  <c r="P106" i="33"/>
  <c r="D127" i="2" s="1"/>
  <c r="P107" i="33"/>
  <c r="D128" i="2" s="1"/>
  <c r="P108" i="33"/>
  <c r="I18" i="9" s="1"/>
  <c r="P109" i="33"/>
  <c r="I19" i="9" s="1"/>
  <c r="P110" i="33"/>
  <c r="I20" i="9" s="1"/>
  <c r="P111" i="33"/>
  <c r="I21" i="9" s="1"/>
  <c r="P112" i="33"/>
  <c r="I22" i="9" s="1"/>
  <c r="P113" i="33"/>
  <c r="I23" i="9" s="1"/>
  <c r="P114" i="33"/>
  <c r="I24" i="9" s="1"/>
  <c r="P115" i="33"/>
  <c r="I25" i="9" s="1"/>
  <c r="P116" i="33"/>
  <c r="D137" i="2" s="1"/>
  <c r="P117" i="33"/>
  <c r="D138" i="2" s="1"/>
  <c r="P118" i="33"/>
  <c r="D139" i="2" s="1"/>
  <c r="P119" i="33"/>
  <c r="D140" i="2" s="1"/>
  <c r="P120" i="33"/>
  <c r="D141" i="2" s="1"/>
  <c r="P121" i="33"/>
  <c r="D142" i="2" s="1"/>
  <c r="P122" i="33"/>
  <c r="D143" i="2" s="1"/>
  <c r="P123" i="33"/>
  <c r="D144" i="2" s="1"/>
  <c r="P125" i="33"/>
  <c r="I35" i="9" s="1"/>
  <c r="P126" i="33"/>
  <c r="I36" i="9" s="1"/>
  <c r="P127" i="33"/>
  <c r="I37" i="9" s="1"/>
  <c r="P128" i="33"/>
  <c r="I38" i="9" s="1"/>
  <c r="P129" i="33"/>
  <c r="I39" i="9" s="1"/>
  <c r="P130" i="33"/>
  <c r="I40" i="9" s="1"/>
  <c r="P131" i="33"/>
  <c r="I41" i="9" s="1"/>
  <c r="P132" i="33"/>
  <c r="D153" i="2" s="1"/>
  <c r="P133" i="33"/>
  <c r="D154" i="2" s="1"/>
  <c r="P134" i="33"/>
  <c r="D155" i="2" s="1"/>
  <c r="P135" i="33"/>
  <c r="D156" i="2" s="1"/>
  <c r="P136" i="33"/>
  <c r="D157" i="2" s="1"/>
  <c r="O93" i="33"/>
  <c r="O94" i="33"/>
  <c r="O95" i="33"/>
  <c r="O96" i="33"/>
  <c r="O97" i="33"/>
  <c r="O98" i="33"/>
  <c r="O99" i="33"/>
  <c r="O100" i="33"/>
  <c r="O101" i="33"/>
  <c r="O102" i="33"/>
  <c r="O103" i="33"/>
  <c r="O104" i="33"/>
  <c r="O105" i="33"/>
  <c r="O106" i="33"/>
  <c r="O107" i="33"/>
  <c r="O108" i="33"/>
  <c r="O109" i="33"/>
  <c r="O110" i="33"/>
  <c r="O111" i="33"/>
  <c r="O112" i="33"/>
  <c r="O113" i="33"/>
  <c r="O114" i="33"/>
  <c r="O115" i="33"/>
  <c r="O116" i="33"/>
  <c r="O117" i="33"/>
  <c r="O118" i="33"/>
  <c r="O119" i="33"/>
  <c r="O120" i="33"/>
  <c r="O121" i="33"/>
  <c r="O122" i="33"/>
  <c r="O123" i="33"/>
  <c r="O125" i="33"/>
  <c r="O126" i="33"/>
  <c r="O127" i="33"/>
  <c r="O128" i="33"/>
  <c r="O129" i="33"/>
  <c r="O130" i="33"/>
  <c r="O131" i="33"/>
  <c r="O132" i="33"/>
  <c r="O133" i="33"/>
  <c r="O134" i="33"/>
  <c r="O135" i="33"/>
  <c r="O136" i="33"/>
  <c r="N93" i="33"/>
  <c r="N94" i="33"/>
  <c r="N95" i="33"/>
  <c r="N96" i="33"/>
  <c r="C117" i="2" s="1"/>
  <c r="N97" i="33"/>
  <c r="N98" i="33"/>
  <c r="N99" i="33"/>
  <c r="N100" i="33"/>
  <c r="N101" i="33"/>
  <c r="N102" i="33"/>
  <c r="N103" i="33"/>
  <c r="C124" i="2" s="1"/>
  <c r="N104" i="33"/>
  <c r="C125" i="2" s="1"/>
  <c r="N105" i="33"/>
  <c r="C126" i="2" s="1"/>
  <c r="N106" i="33"/>
  <c r="C127" i="2" s="1"/>
  <c r="N107" i="33"/>
  <c r="C128" i="2" s="1"/>
  <c r="N108" i="33"/>
  <c r="C129" i="2" s="1"/>
  <c r="N109" i="33"/>
  <c r="N110" i="33"/>
  <c r="N111" i="33"/>
  <c r="N112" i="33"/>
  <c r="N113" i="33"/>
  <c r="N114" i="33"/>
  <c r="N115" i="33"/>
  <c r="N116" i="33"/>
  <c r="N117" i="33"/>
  <c r="N118" i="33"/>
  <c r="N119" i="33"/>
  <c r="C140" i="2" s="1"/>
  <c r="N120" i="33"/>
  <c r="C141" i="2" s="1"/>
  <c r="N121" i="33"/>
  <c r="C142" i="2" s="1"/>
  <c r="N122" i="33"/>
  <c r="C143" i="2" s="1"/>
  <c r="N123" i="33"/>
  <c r="C144" i="2" s="1"/>
  <c r="N125" i="33"/>
  <c r="N126" i="33"/>
  <c r="N127" i="33"/>
  <c r="N128" i="33"/>
  <c r="N129" i="33"/>
  <c r="N130" i="33"/>
  <c r="N131" i="33"/>
  <c r="N132" i="33"/>
  <c r="N133" i="33"/>
  <c r="N134" i="33"/>
  <c r="N135" i="33"/>
  <c r="C156" i="2" s="1"/>
  <c r="N136" i="33"/>
  <c r="C157" i="2" s="1"/>
  <c r="A39" i="36"/>
  <c r="A27" i="36"/>
  <c r="A25" i="36"/>
  <c r="A13" i="36"/>
  <c r="A11" i="36"/>
  <c r="A20" i="36"/>
  <c r="A19" i="36"/>
  <c r="A16" i="36"/>
  <c r="A15" i="36"/>
  <c r="A9" i="36"/>
  <c r="A8" i="36"/>
  <c r="A4" i="36"/>
  <c r="A3" i="36"/>
  <c r="W92" i="33"/>
  <c r="J2" i="9" s="1"/>
  <c r="R92" i="33"/>
  <c r="S92" i="33"/>
  <c r="Q92" i="33"/>
  <c r="O92" i="33"/>
  <c r="N92" i="33"/>
  <c r="C113" i="2" s="1"/>
  <c r="P92" i="33"/>
  <c r="D113" i="2" s="1"/>
  <c r="AD93" i="33"/>
  <c r="E101" i="17" s="1"/>
  <c r="AD94" i="33"/>
  <c r="E102" i="17" s="1"/>
  <c r="AD95" i="33"/>
  <c r="E103" i="17" s="1"/>
  <c r="AD96" i="33"/>
  <c r="E104" i="17" s="1"/>
  <c r="AD97" i="33"/>
  <c r="E105" i="17" s="1"/>
  <c r="AD98" i="33"/>
  <c r="E106" i="17" s="1"/>
  <c r="AD99" i="33"/>
  <c r="E107" i="17" s="1"/>
  <c r="AD100" i="33"/>
  <c r="E108" i="17" s="1"/>
  <c r="AD101" i="33"/>
  <c r="E109" i="17" s="1"/>
  <c r="AD102" i="33"/>
  <c r="E110" i="17" s="1"/>
  <c r="AD103" i="33"/>
  <c r="E111" i="17" s="1"/>
  <c r="AD104" i="33"/>
  <c r="E112" i="17" s="1"/>
  <c r="AD105" i="33"/>
  <c r="E113" i="17" s="1"/>
  <c r="AD106" i="33"/>
  <c r="E114" i="17" s="1"/>
  <c r="AD107" i="33"/>
  <c r="E115" i="17" s="1"/>
  <c r="AD108" i="33"/>
  <c r="E116" i="17" s="1"/>
  <c r="AD109" i="33"/>
  <c r="E117" i="17" s="1"/>
  <c r="AD110" i="33"/>
  <c r="E118" i="17" s="1"/>
  <c r="AD111" i="33"/>
  <c r="E119" i="17" s="1"/>
  <c r="AD112" i="33"/>
  <c r="E120" i="17" s="1"/>
  <c r="AD113" i="33"/>
  <c r="E121" i="17" s="1"/>
  <c r="AD114" i="33"/>
  <c r="E122" i="17" s="1"/>
  <c r="AD115" i="33"/>
  <c r="E123" i="17" s="1"/>
  <c r="AD116" i="33"/>
  <c r="E124" i="17" s="1"/>
  <c r="AD117" i="33"/>
  <c r="E125" i="17" s="1"/>
  <c r="AD118" i="33"/>
  <c r="E126" i="17" s="1"/>
  <c r="AD119" i="33"/>
  <c r="E127" i="17" s="1"/>
  <c r="AD120" i="33"/>
  <c r="E128" i="17" s="1"/>
  <c r="AD121" i="33"/>
  <c r="E129" i="17" s="1"/>
  <c r="AD122" i="33"/>
  <c r="E130" i="17" s="1"/>
  <c r="AD123" i="33"/>
  <c r="E131" i="17" s="1"/>
  <c r="AD125" i="33"/>
  <c r="E133" i="17" s="1"/>
  <c r="AD126" i="33"/>
  <c r="E134" i="17" s="1"/>
  <c r="AD127" i="33"/>
  <c r="E135" i="17" s="1"/>
  <c r="AD128" i="33"/>
  <c r="E136" i="17" s="1"/>
  <c r="AD129" i="33"/>
  <c r="E137" i="17" s="1"/>
  <c r="AD130" i="33"/>
  <c r="E138" i="17" s="1"/>
  <c r="AD131" i="33"/>
  <c r="E139" i="17" s="1"/>
  <c r="AD132" i="33"/>
  <c r="E140" i="17" s="1"/>
  <c r="AD133" i="33"/>
  <c r="E141" i="17" s="1"/>
  <c r="AD134" i="33"/>
  <c r="E142" i="17" s="1"/>
  <c r="AD135" i="33"/>
  <c r="E143" i="17" s="1"/>
  <c r="AD136" i="33"/>
  <c r="E144" i="17" s="1"/>
  <c r="AD92" i="33"/>
  <c r="E100" i="17" s="1"/>
  <c r="B115" i="6" l="1"/>
  <c r="B131" i="2"/>
  <c r="B127" i="6"/>
  <c r="B119" i="6"/>
  <c r="B115" i="2"/>
  <c r="B111" i="6"/>
  <c r="B144" i="6"/>
  <c r="B103" i="6"/>
  <c r="B139" i="2"/>
  <c r="B112" i="6"/>
  <c r="B140" i="2"/>
  <c r="B104" i="6"/>
  <c r="B129" i="6"/>
  <c r="B156" i="2"/>
  <c r="B124" i="2"/>
  <c r="B128" i="6"/>
  <c r="AD157" i="2"/>
  <c r="AE157" i="2"/>
  <c r="AF157" i="2"/>
  <c r="AG157" i="2"/>
  <c r="B120" i="6"/>
  <c r="B132" i="2"/>
  <c r="B116" i="2"/>
  <c r="B136" i="6"/>
  <c r="B148" i="2"/>
  <c r="B125" i="2"/>
  <c r="B113" i="6"/>
  <c r="B157" i="2"/>
  <c r="B145" i="6"/>
  <c r="B141" i="2"/>
  <c r="B105" i="6"/>
  <c r="B117" i="2"/>
  <c r="B149" i="2"/>
  <c r="B137" i="6"/>
  <c r="B133" i="2"/>
  <c r="B121" i="6"/>
  <c r="AN127" i="33"/>
  <c r="AN111" i="33"/>
  <c r="AN95" i="33"/>
  <c r="B126" i="6"/>
  <c r="B154" i="2"/>
  <c r="B122" i="2"/>
  <c r="B142" i="6"/>
  <c r="B110" i="6"/>
  <c r="B138" i="2"/>
  <c r="B141" i="6"/>
  <c r="B125" i="6"/>
  <c r="B109" i="6"/>
  <c r="B152" i="2"/>
  <c r="B124" i="6"/>
  <c r="B120" i="2"/>
  <c r="B151" i="2"/>
  <c r="B135" i="2"/>
  <c r="B119" i="2"/>
  <c r="B150" i="2"/>
  <c r="B134" i="2"/>
  <c r="B118" i="2"/>
  <c r="D117" i="2"/>
  <c r="B134" i="6"/>
  <c r="B130" i="2"/>
  <c r="B114" i="2"/>
  <c r="B117" i="6"/>
  <c r="B144" i="2"/>
  <c r="L6" i="9"/>
  <c r="B131" i="6"/>
  <c r="K6" i="9"/>
  <c r="AN125" i="33"/>
  <c r="AO124" i="33" s="1"/>
  <c r="AN109" i="33"/>
  <c r="AO108" i="33" s="1"/>
  <c r="AN93" i="33"/>
  <c r="AO92" i="33" s="1"/>
  <c r="AN126" i="33"/>
  <c r="AN110" i="33"/>
  <c r="AP108" i="33" s="1"/>
  <c r="AN94" i="33"/>
  <c r="AP92" i="33" s="1"/>
  <c r="AN132" i="33"/>
  <c r="AN116" i="33"/>
  <c r="AN100" i="33"/>
  <c r="B136" i="2"/>
  <c r="AN134" i="33"/>
  <c r="AN118" i="33"/>
  <c r="AN102" i="33"/>
  <c r="B140" i="6"/>
  <c r="B108" i="6"/>
  <c r="AN99" i="33"/>
  <c r="AP97" i="33" s="1"/>
  <c r="AN131" i="33"/>
  <c r="AN115" i="33"/>
  <c r="AO114" i="33" s="1"/>
  <c r="B146" i="2"/>
  <c r="B102" i="6"/>
  <c r="B118" i="6"/>
  <c r="AN96" i="33"/>
  <c r="B121" i="2"/>
  <c r="AN133" i="33"/>
  <c r="AN117" i="33"/>
  <c r="AO116" i="33" s="1"/>
  <c r="AN101" i="33"/>
  <c r="AO100" i="33" s="1"/>
  <c r="B137" i="2"/>
  <c r="D119" i="2"/>
  <c r="AN130" i="33"/>
  <c r="AN114" i="33"/>
  <c r="B153" i="2"/>
  <c r="AN98" i="33"/>
  <c r="AO97" i="33" s="1"/>
  <c r="AN129" i="33"/>
  <c r="AO128" i="33" s="1"/>
  <c r="AN113" i="33"/>
  <c r="AN97" i="33"/>
  <c r="AN112" i="33"/>
  <c r="C155" i="2"/>
  <c r="AN128" i="33"/>
  <c r="AN123" i="33"/>
  <c r="AN107" i="33"/>
  <c r="C154" i="2"/>
  <c r="C139" i="2"/>
  <c r="I33" i="9"/>
  <c r="C138" i="2"/>
  <c r="I32" i="9"/>
  <c r="C123" i="2"/>
  <c r="I17" i="9"/>
  <c r="AN108" i="33"/>
  <c r="C122" i="2"/>
  <c r="I16" i="9"/>
  <c r="D152" i="2"/>
  <c r="D151" i="2"/>
  <c r="D136" i="2"/>
  <c r="D135" i="2"/>
  <c r="D120" i="2"/>
  <c r="AN122" i="33"/>
  <c r="AN106" i="33"/>
  <c r="AP104" i="33" s="1"/>
  <c r="C153" i="2"/>
  <c r="C137" i="2"/>
  <c r="C121" i="2"/>
  <c r="D150" i="2"/>
  <c r="D134" i="2"/>
  <c r="D118" i="2"/>
  <c r="I2" i="9"/>
  <c r="I31" i="9"/>
  <c r="I15" i="9"/>
  <c r="AN92" i="33"/>
  <c r="AN121" i="33"/>
  <c r="AN105" i="33"/>
  <c r="AO104" i="33" s="1"/>
  <c r="C152" i="2"/>
  <c r="C136" i="2"/>
  <c r="C120" i="2"/>
  <c r="D149" i="2"/>
  <c r="D133" i="2"/>
  <c r="D116" i="2"/>
  <c r="I46" i="9"/>
  <c r="I30" i="9"/>
  <c r="I14" i="9"/>
  <c r="AN136" i="33"/>
  <c r="AN120" i="33"/>
  <c r="AN104" i="33"/>
  <c r="C151" i="2"/>
  <c r="C135" i="2"/>
  <c r="C119" i="2"/>
  <c r="D148" i="2"/>
  <c r="D132" i="2"/>
  <c r="D115" i="2"/>
  <c r="I45" i="9"/>
  <c r="I29" i="9"/>
  <c r="I13" i="9"/>
  <c r="AN135" i="33"/>
  <c r="AN119" i="33"/>
  <c r="AN103" i="33"/>
  <c r="AO102" i="33" s="1"/>
  <c r="C150" i="2"/>
  <c r="C134" i="2"/>
  <c r="C118" i="2"/>
  <c r="D147" i="2"/>
  <c r="D131" i="2"/>
  <c r="D114" i="2"/>
  <c r="I44" i="9"/>
  <c r="I28" i="9"/>
  <c r="I12" i="9"/>
  <c r="C149" i="2"/>
  <c r="C133" i="2"/>
  <c r="D146" i="2"/>
  <c r="D130" i="2"/>
  <c r="B107" i="6"/>
  <c r="I43" i="9"/>
  <c r="I27" i="9"/>
  <c r="I11" i="9"/>
  <c r="C148" i="2"/>
  <c r="C132" i="2"/>
  <c r="C116" i="2"/>
  <c r="D129" i="2"/>
  <c r="B106" i="6"/>
  <c r="I42" i="9"/>
  <c r="I26" i="9"/>
  <c r="I10" i="9"/>
  <c r="C147" i="2"/>
  <c r="C131" i="2"/>
  <c r="C115" i="2"/>
  <c r="C146" i="2"/>
  <c r="C130" i="2"/>
  <c r="C114" i="2"/>
  <c r="B123" i="6"/>
  <c r="B122" i="6"/>
  <c r="B139" i="6"/>
  <c r="B138" i="6"/>
  <c r="B129" i="2"/>
  <c r="B128" i="2"/>
  <c r="B143" i="2"/>
  <c r="B127" i="2"/>
  <c r="B132" i="6"/>
  <c r="I6" i="9"/>
  <c r="AJ30" i="9" a="1"/>
  <c r="AJ30" i="9" s="1"/>
  <c r="AC6" i="9" a="1"/>
  <c r="AC6" i="9" s="1"/>
  <c r="AD23" i="9" a="1"/>
  <c r="AD23" i="9" s="1"/>
  <c r="AK45" i="9" a="1"/>
  <c r="AK45" i="9" s="1"/>
  <c r="AB33" i="9" a="1"/>
  <c r="AB33" i="9" s="1"/>
  <c r="AC23" i="9" a="1"/>
  <c r="AC23" i="9" s="1"/>
  <c r="AJ45" i="9" a="1"/>
  <c r="AJ45" i="9" s="1"/>
  <c r="AE44" i="9" a="1"/>
  <c r="AE44" i="9" s="1"/>
  <c r="AA33" i="9" a="1"/>
  <c r="AA33" i="9" s="1"/>
  <c r="AA42" i="9" a="1"/>
  <c r="AA42" i="9" s="1"/>
  <c r="AA30" i="9" a="1"/>
  <c r="AA30" i="9" s="1"/>
  <c r="AE41" i="9" a="1"/>
  <c r="AE41" i="9" s="1"/>
  <c r="AE40" i="9" a="1"/>
  <c r="AE40" i="9" s="1"/>
  <c r="AJ18" i="9" a="1"/>
  <c r="AJ18" i="9" s="1"/>
  <c r="AI12" i="9" a="1"/>
  <c r="AI12" i="9" s="1"/>
  <c r="AL5" i="9" a="1"/>
  <c r="AL5" i="9" s="1"/>
  <c r="AJ36" i="9" a="1"/>
  <c r="AJ36" i="9" s="1"/>
  <c r="AE26" i="9" a="1"/>
  <c r="AE26" i="9" s="1"/>
  <c r="AC14" i="9" a="1"/>
  <c r="AC14" i="9" s="1"/>
  <c r="AJ24" i="9" a="1"/>
  <c r="AJ24" i="9" s="1"/>
  <c r="AD26" i="9" a="1"/>
  <c r="AD26" i="9" s="1"/>
  <c r="AJ21" i="9" a="1"/>
  <c r="AJ21" i="9" s="1"/>
  <c r="AB36" i="9" a="1"/>
  <c r="AB36" i="9" s="1"/>
  <c r="AD17" i="9" a="1"/>
  <c r="AD17" i="9" s="1"/>
  <c r="AC17" i="9" a="1"/>
  <c r="AC17" i="9" s="1"/>
  <c r="AJ33" i="9" a="1"/>
  <c r="AJ33" i="9" s="1"/>
  <c r="AK42" i="9" a="1"/>
  <c r="AK42" i="9" s="1"/>
  <c r="AE38" i="9" a="1"/>
  <c r="AE38" i="9" s="1"/>
  <c r="AA36" i="9" a="1"/>
  <c r="AA36" i="9" s="1"/>
  <c r="AE29" i="9" a="1"/>
  <c r="AE29" i="9" s="1"/>
  <c r="AJ42" i="9" a="1"/>
  <c r="AJ42" i="9" s="1"/>
  <c r="AI30" i="9" a="1"/>
  <c r="AI30" i="9" s="1"/>
  <c r="AI24" i="9" a="1"/>
  <c r="AI24" i="9" s="1"/>
  <c r="AI21" i="9" a="1"/>
  <c r="AI21" i="9" s="1"/>
  <c r="AI18" i="9" a="1"/>
  <c r="AI18" i="9" s="1"/>
  <c r="AH12" i="9" a="1"/>
  <c r="AH12" i="9" s="1"/>
  <c r="AK5" i="9" a="1"/>
  <c r="AK5" i="9" s="1"/>
  <c r="AD44" i="9" a="1"/>
  <c r="AD44" i="9" s="1"/>
  <c r="AD41" i="9" a="1"/>
  <c r="AD41" i="9" s="1"/>
  <c r="AD38" i="9" a="1"/>
  <c r="AD38" i="9" s="1"/>
  <c r="AE32" i="9" a="1"/>
  <c r="AE32" i="9" s="1"/>
  <c r="AD29" i="9" a="1"/>
  <c r="AD29" i="9" s="1"/>
  <c r="AC26" i="9" a="1"/>
  <c r="AC26" i="9" s="1"/>
  <c r="AB23" i="9" a="1"/>
  <c r="AB23" i="9" s="1"/>
  <c r="AB17" i="9" a="1"/>
  <c r="AB17" i="9" s="1"/>
  <c r="AB6" i="9" a="1"/>
  <c r="AB6" i="9" s="1"/>
  <c r="AI45" i="9" a="1"/>
  <c r="AI45" i="9" s="1"/>
  <c r="AI42" i="9" a="1"/>
  <c r="AI42" i="9" s="1"/>
  <c r="AH24" i="9" a="1"/>
  <c r="AH24" i="9" s="1"/>
  <c r="AH21" i="9" a="1"/>
  <c r="AH21" i="9" s="1"/>
  <c r="AH18" i="9" a="1"/>
  <c r="AH18" i="9" s="1"/>
  <c r="AL14" i="9" a="1"/>
  <c r="AL14" i="9" s="1"/>
  <c r="AJ5" i="9" a="1"/>
  <c r="AJ5" i="9" s="1"/>
  <c r="AC44" i="9" a="1"/>
  <c r="AC44" i="9" s="1"/>
  <c r="AC41" i="9" a="1"/>
  <c r="AC41" i="9" s="1"/>
  <c r="AD32" i="9" a="1"/>
  <c r="AD32" i="9" s="1"/>
  <c r="AC29" i="9" a="1"/>
  <c r="AC29" i="9" s="1"/>
  <c r="AB26" i="9" a="1"/>
  <c r="AB26" i="9" s="1"/>
  <c r="AA23" i="9" a="1"/>
  <c r="AA23" i="9" s="1"/>
  <c r="AA17" i="9" a="1"/>
  <c r="AA17" i="9" s="1"/>
  <c r="AB14" i="9" a="1"/>
  <c r="AB14" i="9" s="1"/>
  <c r="AA6" i="9" a="1"/>
  <c r="AA6" i="9" s="1"/>
  <c r="AL23" i="9" a="1"/>
  <c r="AL23" i="9" s="1"/>
  <c r="AL17" i="9" a="1"/>
  <c r="AL17" i="9" s="1"/>
  <c r="AK14" i="9" a="1"/>
  <c r="AK14" i="9" s="1"/>
  <c r="AI5" i="9" a="1"/>
  <c r="AI5" i="9" s="1"/>
  <c r="AB44" i="9" a="1"/>
  <c r="AB44" i="9" s="1"/>
  <c r="AB41" i="9" a="1"/>
  <c r="AB41" i="9" s="1"/>
  <c r="AC38" i="9" a="1"/>
  <c r="AC38" i="9" s="1"/>
  <c r="AC32" i="9" a="1"/>
  <c r="AC32" i="9" s="1"/>
  <c r="AB29" i="9" a="1"/>
  <c r="AB29" i="9" s="1"/>
  <c r="AA26" i="9" a="1"/>
  <c r="AA26" i="9" s="1"/>
  <c r="AE22" i="9" a="1"/>
  <c r="AE22" i="9" s="1"/>
  <c r="AA14" i="9" a="1"/>
  <c r="AA14" i="9" s="1"/>
  <c r="AH45" i="9" a="1"/>
  <c r="AH45" i="9" s="1"/>
  <c r="AH5" i="9" a="1"/>
  <c r="AH5" i="9" s="1"/>
  <c r="AA44" i="9" a="1"/>
  <c r="AA44" i="9" s="1"/>
  <c r="AA41" i="9" a="1"/>
  <c r="AA41" i="9" s="1"/>
  <c r="AB38" i="9" a="1"/>
  <c r="AB38" i="9" s="1"/>
  <c r="AB32" i="9" a="1"/>
  <c r="AB32" i="9" s="1"/>
  <c r="AA29" i="9" a="1"/>
  <c r="AA29" i="9" s="1"/>
  <c r="AD22" i="9" a="1"/>
  <c r="AD22" i="9" s="1"/>
  <c r="AE46" i="9" a="1"/>
  <c r="AE46" i="9" s="1"/>
  <c r="AE43" i="9" a="1"/>
  <c r="AE43" i="9" s="1"/>
  <c r="AA38" i="9" a="1"/>
  <c r="AA38" i="9" s="1"/>
  <c r="AA32" i="9" a="1"/>
  <c r="AA32" i="9" s="1"/>
  <c r="AE28" i="9" a="1"/>
  <c r="AE28" i="9" s="1"/>
  <c r="AC22" i="9" a="1"/>
  <c r="AC22" i="9" s="1"/>
  <c r="AL7" i="9" a="1"/>
  <c r="AL7" i="9" s="1"/>
  <c r="AD46" i="9" a="1"/>
  <c r="AD46" i="9" s="1"/>
  <c r="AD43" i="9" a="1"/>
  <c r="AD43" i="9" s="1"/>
  <c r="AD40" i="9" a="1"/>
  <c r="AD40" i="9" s="1"/>
  <c r="AE37" i="9" a="1"/>
  <c r="AE37" i="9" s="1"/>
  <c r="AE31" i="9" a="1"/>
  <c r="AE31" i="9" s="1"/>
  <c r="AD28" i="9" a="1"/>
  <c r="AD28" i="9" s="1"/>
  <c r="AE10" i="9" a="1"/>
  <c r="AE10" i="9" s="1"/>
  <c r="AK7" i="9" a="1"/>
  <c r="AK7" i="9" s="1"/>
  <c r="AC46" i="9" a="1"/>
  <c r="AC46" i="9" s="1"/>
  <c r="AC43" i="9" a="1"/>
  <c r="AC43" i="9" s="1"/>
  <c r="AC40" i="9" a="1"/>
  <c r="AC40" i="9" s="1"/>
  <c r="AD37" i="9" a="1"/>
  <c r="AD37" i="9" s="1"/>
  <c r="AE34" i="9" a="1"/>
  <c r="AE34" i="9" s="1"/>
  <c r="AD31" i="9" a="1"/>
  <c r="AD31" i="9" s="1"/>
  <c r="AC28" i="9" a="1"/>
  <c r="AC28" i="9" s="1"/>
  <c r="AB22" i="9" a="1"/>
  <c r="AB22" i="9" s="1"/>
  <c r="AD10" i="9" a="1"/>
  <c r="AD10" i="9" s="1"/>
  <c r="AJ7" i="9" a="1"/>
  <c r="AJ7" i="9" s="1"/>
  <c r="AB46" i="9" a="1"/>
  <c r="AB46" i="9" s="1"/>
  <c r="AB40" i="9" a="1"/>
  <c r="AB40" i="9" s="1"/>
  <c r="AC37" i="9" a="1"/>
  <c r="AC37" i="9" s="1"/>
  <c r="AD34" i="9" a="1"/>
  <c r="AD34" i="9" s="1"/>
  <c r="AC31" i="9" a="1"/>
  <c r="AC31" i="9" s="1"/>
  <c r="AB28" i="9" a="1"/>
  <c r="AB28" i="9" s="1"/>
  <c r="AA22" i="9" a="1"/>
  <c r="AA22" i="9" s="1"/>
  <c r="AC10" i="9" a="1"/>
  <c r="AC10" i="9" s="1"/>
  <c r="AI7" i="9" a="1"/>
  <c r="AI7" i="9" s="1"/>
  <c r="AA46" i="9" a="1"/>
  <c r="AA46" i="9" s="1"/>
  <c r="AB43" i="9" a="1"/>
  <c r="AB43" i="9" s="1"/>
  <c r="AB37" i="9" a="1"/>
  <c r="AB37" i="9" s="1"/>
  <c r="AC34" i="9" a="1"/>
  <c r="AC34" i="9" s="1"/>
  <c r="AB31" i="9" a="1"/>
  <c r="AB31" i="9" s="1"/>
  <c r="AA28" i="9" a="1"/>
  <c r="AA28" i="9" s="1"/>
  <c r="AE24" i="9" a="1"/>
  <c r="AE24" i="9" s="1"/>
  <c r="AE21" i="9" a="1"/>
  <c r="AE21" i="9" s="1"/>
  <c r="AE18" i="9" a="1"/>
  <c r="AE18" i="9" s="1"/>
  <c r="AE12" i="9" a="1"/>
  <c r="AE12" i="9" s="1"/>
  <c r="AB10" i="9" a="1"/>
  <c r="AB10" i="9" s="1"/>
  <c r="AH7" i="9" a="1"/>
  <c r="AH7" i="9" s="1"/>
  <c r="AE45" i="9" a="1"/>
  <c r="AE45" i="9" s="1"/>
  <c r="AA43" i="9" a="1"/>
  <c r="AA43" i="9" s="1"/>
  <c r="AA40" i="9" a="1"/>
  <c r="AA40" i="9" s="1"/>
  <c r="AA37" i="9" a="1"/>
  <c r="AA37" i="9" s="1"/>
  <c r="AB34" i="9" a="1"/>
  <c r="AB34" i="9" s="1"/>
  <c r="AA31" i="9" a="1"/>
  <c r="AA31" i="9" s="1"/>
  <c r="AD24" i="9" a="1"/>
  <c r="AD24" i="9" s="1"/>
  <c r="AD21" i="9" a="1"/>
  <c r="AD21" i="9" s="1"/>
  <c r="AD18" i="9" a="1"/>
  <c r="AD18" i="9" s="1"/>
  <c r="AA10" i="9" a="1"/>
  <c r="AA10" i="9" s="1"/>
  <c r="AL6" i="9" a="1"/>
  <c r="AL6" i="9" s="1"/>
  <c r="AE42" i="9" a="1"/>
  <c r="AE42" i="9" s="1"/>
  <c r="AA34" i="9" a="1"/>
  <c r="AA34" i="9" s="1"/>
  <c r="AE30" i="9" a="1"/>
  <c r="AE30" i="9" s="1"/>
  <c r="AD12" i="9" a="1"/>
  <c r="AD12" i="9" s="1"/>
  <c r="AK6" i="9" a="1"/>
  <c r="AK6" i="9" s="1"/>
  <c r="AE36" i="9" a="1"/>
  <c r="AE36" i="9" s="1"/>
  <c r="AE33" i="9" a="1"/>
  <c r="AE33" i="9" s="1"/>
  <c r="AD30" i="9" a="1"/>
  <c r="AD30" i="9" s="1"/>
  <c r="AC12" i="9" a="1"/>
  <c r="AC12" i="9" s="1"/>
  <c r="AD36" i="9" a="1"/>
  <c r="AD36" i="9" s="1"/>
  <c r="AD33" i="9" a="1"/>
  <c r="AD33" i="9" s="1"/>
  <c r="A93" i="33"/>
  <c r="A101" i="17" s="1"/>
  <c r="A94" i="33"/>
  <c r="A102" i="17" s="1"/>
  <c r="D97" i="34"/>
  <c r="D91" i="34"/>
  <c r="A95" i="33"/>
  <c r="A103" i="17" s="1"/>
  <c r="A96" i="33"/>
  <c r="A104" i="17" s="1"/>
  <c r="A97" i="33"/>
  <c r="A105" i="17" s="1"/>
  <c r="A98" i="33"/>
  <c r="A106" i="17" s="1"/>
  <c r="A99" i="33"/>
  <c r="A107" i="17" s="1"/>
  <c r="A100" i="33"/>
  <c r="A108" i="17" s="1"/>
  <c r="A101" i="33"/>
  <c r="A109" i="17" s="1"/>
  <c r="A102" i="33"/>
  <c r="A110" i="17" s="1"/>
  <c r="A103" i="33"/>
  <c r="A111" i="17" s="1"/>
  <c r="A104" i="33"/>
  <c r="A112" i="17" s="1"/>
  <c r="A105" i="33"/>
  <c r="A113" i="17" s="1"/>
  <c r="A106" i="33"/>
  <c r="A114" i="17" s="1"/>
  <c r="A107" i="33"/>
  <c r="A115" i="17" s="1"/>
  <c r="A108" i="33"/>
  <c r="A116" i="17" s="1"/>
  <c r="A109" i="33"/>
  <c r="A117" i="17" s="1"/>
  <c r="A110" i="33"/>
  <c r="A118" i="17" s="1"/>
  <c r="A111" i="33"/>
  <c r="A119" i="17" s="1"/>
  <c r="A112" i="33"/>
  <c r="A120" i="17" s="1"/>
  <c r="A113" i="33"/>
  <c r="A121" i="17" s="1"/>
  <c r="A114" i="33"/>
  <c r="A122" i="17" s="1"/>
  <c r="A115" i="33"/>
  <c r="A123" i="17" s="1"/>
  <c r="A116" i="33"/>
  <c r="A124" i="17" s="1"/>
  <c r="A117" i="33"/>
  <c r="A125" i="17" s="1"/>
  <c r="A118" i="33"/>
  <c r="A126" i="17" s="1"/>
  <c r="A119" i="33"/>
  <c r="A127" i="17" s="1"/>
  <c r="A120" i="33"/>
  <c r="A128" i="17" s="1"/>
  <c r="A121" i="33"/>
  <c r="A129" i="17" s="1"/>
  <c r="A122" i="33"/>
  <c r="A130" i="17" s="1"/>
  <c r="A123" i="33"/>
  <c r="A131" i="17" s="1"/>
  <c r="A126" i="33"/>
  <c r="A134" i="17" s="1"/>
  <c r="A127" i="33"/>
  <c r="A135" i="17" s="1"/>
  <c r="A128" i="33"/>
  <c r="A136" i="17" s="1"/>
  <c r="A129" i="33"/>
  <c r="A137" i="17" s="1"/>
  <c r="A130" i="33"/>
  <c r="A138" i="17" s="1"/>
  <c r="A131" i="33"/>
  <c r="A139" i="17" s="1"/>
  <c r="A132" i="33"/>
  <c r="A140" i="17" s="1"/>
  <c r="A133" i="33"/>
  <c r="A141" i="17" s="1"/>
  <c r="A134" i="33"/>
  <c r="A142" i="17" s="1"/>
  <c r="A135" i="33"/>
  <c r="A143" i="17" s="1"/>
  <c r="A136" i="33"/>
  <c r="A144" i="17" s="1"/>
  <c r="A92" i="33"/>
  <c r="A100" i="17" s="1"/>
  <c r="BT3" i="36"/>
  <c r="CX93" i="33" s="1"/>
  <c r="BU3" i="36"/>
  <c r="CY93" i="33" s="1"/>
  <c r="BV3" i="36"/>
  <c r="CZ93" i="33" s="1"/>
  <c r="BW3" i="36"/>
  <c r="DA93" i="33" s="1"/>
  <c r="BX3" i="36"/>
  <c r="DB93" i="33" s="1"/>
  <c r="BY3" i="36"/>
  <c r="DC93" i="33" s="1"/>
  <c r="BZ3" i="36"/>
  <c r="DD93" i="33" s="1"/>
  <c r="CA3" i="36"/>
  <c r="DE93" i="33" s="1"/>
  <c r="BT4" i="36"/>
  <c r="CX94" i="33" s="1"/>
  <c r="BU4" i="36"/>
  <c r="CY94" i="33" s="1"/>
  <c r="BV4" i="36"/>
  <c r="CZ94" i="33" s="1"/>
  <c r="BW4" i="36"/>
  <c r="DA94" i="33" s="1"/>
  <c r="BX4" i="36"/>
  <c r="DB94" i="33" s="1"/>
  <c r="BY4" i="36"/>
  <c r="DC94" i="33" s="1"/>
  <c r="BZ4" i="36"/>
  <c r="DD94" i="33" s="1"/>
  <c r="CA4" i="36"/>
  <c r="DE94" i="33" s="1"/>
  <c r="BT5" i="36"/>
  <c r="CX95" i="33" s="1"/>
  <c r="BU5" i="36"/>
  <c r="CY95" i="33" s="1"/>
  <c r="BV5" i="36"/>
  <c r="CZ95" i="33" s="1"/>
  <c r="BW5" i="36"/>
  <c r="DA95" i="33" s="1"/>
  <c r="BX5" i="36"/>
  <c r="DB95" i="33" s="1"/>
  <c r="BY5" i="36"/>
  <c r="DC95" i="33" s="1"/>
  <c r="BZ5" i="36"/>
  <c r="CA5" i="36"/>
  <c r="DE95" i="33" s="1"/>
  <c r="BT7" i="36"/>
  <c r="CX97" i="33" s="1"/>
  <c r="BU7" i="36"/>
  <c r="CY97" i="33" s="1"/>
  <c r="BV7" i="36"/>
  <c r="CZ97" i="33" s="1"/>
  <c r="BW7" i="36"/>
  <c r="DA97" i="33" s="1"/>
  <c r="BX7" i="36"/>
  <c r="DB97" i="33" s="1"/>
  <c r="BY7" i="36"/>
  <c r="DC97" i="33" s="1"/>
  <c r="BZ7" i="36"/>
  <c r="DD97" i="33" s="1"/>
  <c r="CA7" i="36"/>
  <c r="DE97" i="33" s="1"/>
  <c r="BT8" i="36"/>
  <c r="CX98" i="33" s="1"/>
  <c r="BU8" i="36"/>
  <c r="CY98" i="33" s="1"/>
  <c r="BV8" i="36"/>
  <c r="CZ98" i="33" s="1"/>
  <c r="BW8" i="36"/>
  <c r="DA98" i="33" s="1"/>
  <c r="BX8" i="36"/>
  <c r="DB98" i="33" s="1"/>
  <c r="BY8" i="36"/>
  <c r="DC98" i="33" s="1"/>
  <c r="BZ8" i="36"/>
  <c r="CA8" i="36"/>
  <c r="DE98" i="33" s="1"/>
  <c r="BT9" i="36"/>
  <c r="CX99" i="33" s="1"/>
  <c r="BU9" i="36"/>
  <c r="CY99" i="33" s="1"/>
  <c r="BV9" i="36"/>
  <c r="CZ99" i="33" s="1"/>
  <c r="BW9" i="36"/>
  <c r="DA99" i="33" s="1"/>
  <c r="BX9" i="36"/>
  <c r="BY9" i="36"/>
  <c r="DC99" i="33" s="1"/>
  <c r="BZ9" i="36"/>
  <c r="DD99" i="33" s="1"/>
  <c r="CA9" i="36"/>
  <c r="DE99" i="33" s="1"/>
  <c r="BT10" i="36"/>
  <c r="CX100" i="33" s="1"/>
  <c r="BU10" i="36"/>
  <c r="CY100" i="33" s="1"/>
  <c r="BV10" i="36"/>
  <c r="CZ100" i="33" s="1"/>
  <c r="BW10" i="36"/>
  <c r="DA100" i="33" s="1"/>
  <c r="BX10" i="36"/>
  <c r="DB100" i="33" s="1"/>
  <c r="BY10" i="36"/>
  <c r="DC100" i="33" s="1"/>
  <c r="BZ10" i="36"/>
  <c r="CA10" i="36"/>
  <c r="DE100" i="33" s="1"/>
  <c r="BT11" i="36"/>
  <c r="CX101" i="33" s="1"/>
  <c r="BU11" i="36"/>
  <c r="CY101" i="33" s="1"/>
  <c r="BV11" i="36"/>
  <c r="CZ101" i="33" s="1"/>
  <c r="BW11" i="36"/>
  <c r="DA101" i="33" s="1"/>
  <c r="BX11" i="36"/>
  <c r="DB101" i="33" s="1"/>
  <c r="BY11" i="36"/>
  <c r="DC101" i="33" s="1"/>
  <c r="BZ11" i="36"/>
  <c r="DD101" i="33" s="1"/>
  <c r="CA11" i="36"/>
  <c r="DE101" i="33" s="1"/>
  <c r="BT12" i="36"/>
  <c r="CX102" i="33" s="1"/>
  <c r="BU12" i="36"/>
  <c r="CY102" i="33" s="1"/>
  <c r="BV12" i="36"/>
  <c r="CZ102" i="33" s="1"/>
  <c r="BW12" i="36"/>
  <c r="DA102" i="33" s="1"/>
  <c r="BX12" i="36"/>
  <c r="DB102" i="33" s="1"/>
  <c r="BY12" i="36"/>
  <c r="DC102" i="33" s="1"/>
  <c r="BZ12" i="36"/>
  <c r="CA12" i="36"/>
  <c r="DE102" i="33" s="1"/>
  <c r="BT13" i="36"/>
  <c r="CX103" i="33" s="1"/>
  <c r="BU13" i="36"/>
  <c r="CY103" i="33" s="1"/>
  <c r="BV13" i="36"/>
  <c r="CZ103" i="33" s="1"/>
  <c r="BW13" i="36"/>
  <c r="DA103" i="33" s="1"/>
  <c r="BX13" i="36"/>
  <c r="DB103" i="33" s="1"/>
  <c r="BY13" i="36"/>
  <c r="DC103" i="33" s="1"/>
  <c r="BZ13" i="36"/>
  <c r="DD103" i="33" s="1"/>
  <c r="CA13" i="36"/>
  <c r="DE103" i="33" s="1"/>
  <c r="BT14" i="36"/>
  <c r="CX104" i="33" s="1"/>
  <c r="BU14" i="36"/>
  <c r="CY104" i="33" s="1"/>
  <c r="BV14" i="36"/>
  <c r="CZ104" i="33" s="1"/>
  <c r="BW14" i="36"/>
  <c r="DA104" i="33" s="1"/>
  <c r="BX14" i="36"/>
  <c r="DB104" i="33" s="1"/>
  <c r="BY14" i="36"/>
  <c r="DC104" i="33" s="1"/>
  <c r="BZ14" i="36"/>
  <c r="DD104" i="33" s="1"/>
  <c r="CA14" i="36"/>
  <c r="DE104" i="33" s="1"/>
  <c r="BT15" i="36"/>
  <c r="CX105" i="33" s="1"/>
  <c r="BU15" i="36"/>
  <c r="CY105" i="33" s="1"/>
  <c r="BV15" i="36"/>
  <c r="CZ105" i="33" s="1"/>
  <c r="BW15" i="36"/>
  <c r="DA105" i="33" s="1"/>
  <c r="BX15" i="36"/>
  <c r="DB105" i="33" s="1"/>
  <c r="BY15" i="36"/>
  <c r="DC105" i="33" s="1"/>
  <c r="BZ15" i="36"/>
  <c r="DD105" i="33" s="1"/>
  <c r="CA15" i="36"/>
  <c r="BT16" i="36"/>
  <c r="CX106" i="33" s="1"/>
  <c r="BU16" i="36"/>
  <c r="CY106" i="33" s="1"/>
  <c r="BV16" i="36"/>
  <c r="CZ106" i="33" s="1"/>
  <c r="BW16" i="36"/>
  <c r="DA106" i="33" s="1"/>
  <c r="BX16" i="36"/>
  <c r="DB106" i="33" s="1"/>
  <c r="BY16" i="36"/>
  <c r="DC106" i="33" s="1"/>
  <c r="BZ16" i="36"/>
  <c r="DD106" i="33" s="1"/>
  <c r="CA16" i="36"/>
  <c r="DE106" i="33" s="1"/>
  <c r="BT17" i="36"/>
  <c r="CX107" i="33" s="1"/>
  <c r="BU17" i="36"/>
  <c r="CY107" i="33" s="1"/>
  <c r="BV17" i="36"/>
  <c r="CZ107" i="33" s="1"/>
  <c r="BW17" i="36"/>
  <c r="DA107" i="33" s="1"/>
  <c r="BX17" i="36"/>
  <c r="DB107" i="33" s="1"/>
  <c r="BY17" i="36"/>
  <c r="DC107" i="33" s="1"/>
  <c r="BZ17" i="36"/>
  <c r="DD107" i="33" s="1"/>
  <c r="CA17" i="36"/>
  <c r="BT18" i="36"/>
  <c r="CX108" i="33" s="1"/>
  <c r="BU18" i="36"/>
  <c r="CY108" i="33" s="1"/>
  <c r="BV18" i="36"/>
  <c r="CZ108" i="33" s="1"/>
  <c r="BW18" i="36"/>
  <c r="DA108" i="33" s="1"/>
  <c r="BX18" i="36"/>
  <c r="DB108" i="33" s="1"/>
  <c r="BY18" i="36"/>
  <c r="DC108" i="33" s="1"/>
  <c r="BZ18" i="36"/>
  <c r="DD108" i="33" s="1"/>
  <c r="CA18" i="36"/>
  <c r="DE108" i="33" s="1"/>
  <c r="BT19" i="36"/>
  <c r="CX109" i="33" s="1"/>
  <c r="BU19" i="36"/>
  <c r="CY109" i="33" s="1"/>
  <c r="BV19" i="36"/>
  <c r="CZ109" i="33" s="1"/>
  <c r="BW19" i="36"/>
  <c r="DA109" i="33" s="1"/>
  <c r="BX19" i="36"/>
  <c r="DB109" i="33" s="1"/>
  <c r="BY19" i="36"/>
  <c r="DC109" i="33" s="1"/>
  <c r="BZ19" i="36"/>
  <c r="DD109" i="33" s="1"/>
  <c r="CA19" i="36"/>
  <c r="BT20" i="36"/>
  <c r="CX110" i="33" s="1"/>
  <c r="BU20" i="36"/>
  <c r="CY110" i="33" s="1"/>
  <c r="BV20" i="36"/>
  <c r="CZ110" i="33" s="1"/>
  <c r="BW20" i="36"/>
  <c r="DA110" i="33" s="1"/>
  <c r="BX20" i="36"/>
  <c r="DB110" i="33" s="1"/>
  <c r="BY20" i="36"/>
  <c r="DC110" i="33" s="1"/>
  <c r="BZ20" i="36"/>
  <c r="DD110" i="33" s="1"/>
  <c r="CA20" i="36"/>
  <c r="DE110" i="33" s="1"/>
  <c r="BT21" i="36"/>
  <c r="CX111" i="33" s="1"/>
  <c r="BU21" i="36"/>
  <c r="CY111" i="33" s="1"/>
  <c r="BV21" i="36"/>
  <c r="CZ111" i="33" s="1"/>
  <c r="BW21" i="36"/>
  <c r="DA111" i="33" s="1"/>
  <c r="BX21" i="36"/>
  <c r="DB111" i="33" s="1"/>
  <c r="BY21" i="36"/>
  <c r="DC111" i="33" s="1"/>
  <c r="BZ21" i="36"/>
  <c r="DD111" i="33" s="1"/>
  <c r="CA21" i="36"/>
  <c r="BT22" i="36"/>
  <c r="CX112" i="33" s="1"/>
  <c r="BU22" i="36"/>
  <c r="CY112" i="33" s="1"/>
  <c r="BV22" i="36"/>
  <c r="CZ112" i="33" s="1"/>
  <c r="BW22" i="36"/>
  <c r="DA112" i="33" s="1"/>
  <c r="BX22" i="36"/>
  <c r="DB112" i="33" s="1"/>
  <c r="BY22" i="36"/>
  <c r="DC112" i="33" s="1"/>
  <c r="BZ22" i="36"/>
  <c r="DD112" i="33" s="1"/>
  <c r="CA22" i="36"/>
  <c r="DE112" i="33" s="1"/>
  <c r="BT23" i="36"/>
  <c r="CX113" i="33" s="1"/>
  <c r="BU23" i="36"/>
  <c r="CY113" i="33" s="1"/>
  <c r="BV23" i="36"/>
  <c r="CZ113" i="33" s="1"/>
  <c r="BW23" i="36"/>
  <c r="DA113" i="33" s="1"/>
  <c r="BX23" i="36"/>
  <c r="DB113" i="33" s="1"/>
  <c r="BY23" i="36"/>
  <c r="DC113" i="33" s="1"/>
  <c r="BZ23" i="36"/>
  <c r="DD113" i="33" s="1"/>
  <c r="CA23" i="36"/>
  <c r="BT24" i="36"/>
  <c r="CX114" i="33" s="1"/>
  <c r="BU24" i="36"/>
  <c r="CY114" i="33" s="1"/>
  <c r="BV24" i="36"/>
  <c r="CZ114" i="33" s="1"/>
  <c r="BW24" i="36"/>
  <c r="DA114" i="33" s="1"/>
  <c r="BX24" i="36"/>
  <c r="DB114" i="33" s="1"/>
  <c r="BY24" i="36"/>
  <c r="DC114" i="33" s="1"/>
  <c r="BZ24" i="36"/>
  <c r="DD114" i="33" s="1"/>
  <c r="CA24" i="36"/>
  <c r="DE114" i="33" s="1"/>
  <c r="BT25" i="36"/>
  <c r="CX115" i="33" s="1"/>
  <c r="BU25" i="36"/>
  <c r="CY115" i="33" s="1"/>
  <c r="BV25" i="36"/>
  <c r="CZ115" i="33" s="1"/>
  <c r="BW25" i="36"/>
  <c r="DA115" i="33" s="1"/>
  <c r="BX25" i="36"/>
  <c r="DB115" i="33" s="1"/>
  <c r="BY25" i="36"/>
  <c r="DC115" i="33" s="1"/>
  <c r="BZ25" i="36"/>
  <c r="DD115" i="33" s="1"/>
  <c r="CA25" i="36"/>
  <c r="BT26" i="36"/>
  <c r="CX116" i="33" s="1"/>
  <c r="BU26" i="36"/>
  <c r="CY116" i="33" s="1"/>
  <c r="BV26" i="36"/>
  <c r="CZ116" i="33" s="1"/>
  <c r="BW26" i="36"/>
  <c r="DA116" i="33" s="1"/>
  <c r="BX26" i="36"/>
  <c r="DB116" i="33" s="1"/>
  <c r="BY26" i="36"/>
  <c r="DC116" i="33" s="1"/>
  <c r="BZ26" i="36"/>
  <c r="DD116" i="33" s="1"/>
  <c r="CA26" i="36"/>
  <c r="DE116" i="33" s="1"/>
  <c r="BT27" i="36"/>
  <c r="CX117" i="33" s="1"/>
  <c r="BU27" i="36"/>
  <c r="CY117" i="33" s="1"/>
  <c r="BV27" i="36"/>
  <c r="CZ117" i="33" s="1"/>
  <c r="BW27" i="36"/>
  <c r="DA117" i="33" s="1"/>
  <c r="BX27" i="36"/>
  <c r="DB117" i="33" s="1"/>
  <c r="BY27" i="36"/>
  <c r="DC117" i="33" s="1"/>
  <c r="BZ27" i="36"/>
  <c r="DD117" i="33" s="1"/>
  <c r="CA27" i="36"/>
  <c r="BT28" i="36"/>
  <c r="CX118" i="33" s="1"/>
  <c r="BU28" i="36"/>
  <c r="CY118" i="33" s="1"/>
  <c r="BV28" i="36"/>
  <c r="CZ118" i="33" s="1"/>
  <c r="BW28" i="36"/>
  <c r="DA118" i="33" s="1"/>
  <c r="BX28" i="36"/>
  <c r="DB118" i="33" s="1"/>
  <c r="BY28" i="36"/>
  <c r="DC118" i="33" s="1"/>
  <c r="BZ28" i="36"/>
  <c r="DD118" i="33" s="1"/>
  <c r="CA28" i="36"/>
  <c r="DE118" i="33" s="1"/>
  <c r="BT29" i="36"/>
  <c r="CX119" i="33" s="1"/>
  <c r="BU29" i="36"/>
  <c r="CY119" i="33" s="1"/>
  <c r="BV29" i="36"/>
  <c r="CZ119" i="33" s="1"/>
  <c r="BW29" i="36"/>
  <c r="DA119" i="33" s="1"/>
  <c r="BX29" i="36"/>
  <c r="DB119" i="33" s="1"/>
  <c r="BY29" i="36"/>
  <c r="DC119" i="33" s="1"/>
  <c r="BZ29" i="36"/>
  <c r="DD119" i="33" s="1"/>
  <c r="CA29" i="36"/>
  <c r="DE119" i="33" s="1"/>
  <c r="BT30" i="36"/>
  <c r="CX120" i="33" s="1"/>
  <c r="BU30" i="36"/>
  <c r="CY120" i="33" s="1"/>
  <c r="BV30" i="36"/>
  <c r="CZ120" i="33" s="1"/>
  <c r="BW30" i="36"/>
  <c r="DA120" i="33" s="1"/>
  <c r="BX30" i="36"/>
  <c r="DB120" i="33" s="1"/>
  <c r="BY30" i="36"/>
  <c r="DC120" i="33" s="1"/>
  <c r="BZ30" i="36"/>
  <c r="DD120" i="33" s="1"/>
  <c r="CA30" i="36"/>
  <c r="DE120" i="33" s="1"/>
  <c r="BT31" i="36"/>
  <c r="CX121" i="33" s="1"/>
  <c r="BU31" i="36"/>
  <c r="CY121" i="33" s="1"/>
  <c r="BV31" i="36"/>
  <c r="CZ121" i="33" s="1"/>
  <c r="BW31" i="36"/>
  <c r="DA121" i="33" s="1"/>
  <c r="BX31" i="36"/>
  <c r="DB121" i="33" s="1"/>
  <c r="BY31" i="36"/>
  <c r="DC121" i="33" s="1"/>
  <c r="BZ31" i="36"/>
  <c r="DD121" i="33" s="1"/>
  <c r="CA31" i="36"/>
  <c r="BT32" i="36"/>
  <c r="CX122" i="33" s="1"/>
  <c r="BU32" i="36"/>
  <c r="CY122" i="33" s="1"/>
  <c r="BV32" i="36"/>
  <c r="CZ122" i="33" s="1"/>
  <c r="BW32" i="36"/>
  <c r="DA122" i="33" s="1"/>
  <c r="BX32" i="36"/>
  <c r="DB122" i="33" s="1"/>
  <c r="BY32" i="36"/>
  <c r="DC122" i="33" s="1"/>
  <c r="BZ32" i="36"/>
  <c r="DD122" i="33" s="1"/>
  <c r="CA32" i="36"/>
  <c r="DE122" i="33" s="1"/>
  <c r="BT33" i="36"/>
  <c r="CX123" i="33" s="1"/>
  <c r="BU33" i="36"/>
  <c r="CY123" i="33" s="1"/>
  <c r="BV33" i="36"/>
  <c r="CZ123" i="33" s="1"/>
  <c r="BW33" i="36"/>
  <c r="DA123" i="33" s="1"/>
  <c r="BX33" i="36"/>
  <c r="DB123" i="33" s="1"/>
  <c r="BY33" i="36"/>
  <c r="DC123" i="33" s="1"/>
  <c r="BZ33" i="36"/>
  <c r="DD123" i="33" s="1"/>
  <c r="CA33" i="36"/>
  <c r="DE123" i="33" s="1"/>
  <c r="BT35" i="36"/>
  <c r="CX125" i="33" s="1"/>
  <c r="BU35" i="36"/>
  <c r="CY125" i="33" s="1"/>
  <c r="BV35" i="36"/>
  <c r="CZ125" i="33" s="1"/>
  <c r="BW35" i="36"/>
  <c r="DA125" i="33" s="1"/>
  <c r="BX35" i="36"/>
  <c r="DB125" i="33" s="1"/>
  <c r="BY35" i="36"/>
  <c r="DC125" i="33" s="1"/>
  <c r="BZ35" i="36"/>
  <c r="DD125" i="33" s="1"/>
  <c r="CA35" i="36"/>
  <c r="DE125" i="33" s="1"/>
  <c r="BT36" i="36"/>
  <c r="CX126" i="33" s="1"/>
  <c r="BU36" i="36"/>
  <c r="CY126" i="33" s="1"/>
  <c r="BV36" i="36"/>
  <c r="CZ126" i="33" s="1"/>
  <c r="BW36" i="36"/>
  <c r="DA126" i="33" s="1"/>
  <c r="BX36" i="36"/>
  <c r="DB126" i="33" s="1"/>
  <c r="BY36" i="36"/>
  <c r="DC126" i="33" s="1"/>
  <c r="BZ36" i="36"/>
  <c r="DD126" i="33" s="1"/>
  <c r="CA36" i="36"/>
  <c r="DE126" i="33" s="1"/>
  <c r="BT37" i="36"/>
  <c r="CX127" i="33" s="1"/>
  <c r="BU37" i="36"/>
  <c r="CY127" i="33" s="1"/>
  <c r="BV37" i="36"/>
  <c r="CZ127" i="33" s="1"/>
  <c r="BW37" i="36"/>
  <c r="DA127" i="33" s="1"/>
  <c r="BX37" i="36"/>
  <c r="DB127" i="33" s="1"/>
  <c r="BY37" i="36"/>
  <c r="DC127" i="33" s="1"/>
  <c r="BZ37" i="36"/>
  <c r="DD127" i="33" s="1"/>
  <c r="CA37" i="36"/>
  <c r="DE127" i="33" s="1"/>
  <c r="BT38" i="36"/>
  <c r="CX128" i="33" s="1"/>
  <c r="BU38" i="36"/>
  <c r="CY128" i="33" s="1"/>
  <c r="BV38" i="36"/>
  <c r="CZ128" i="33" s="1"/>
  <c r="BW38" i="36"/>
  <c r="DA128" i="33" s="1"/>
  <c r="BX38" i="36"/>
  <c r="DB128" i="33" s="1"/>
  <c r="BY38" i="36"/>
  <c r="DC128" i="33" s="1"/>
  <c r="BZ38" i="36"/>
  <c r="DD128" i="33" s="1"/>
  <c r="CA38" i="36"/>
  <c r="DE128" i="33" s="1"/>
  <c r="BT39" i="36"/>
  <c r="CX129" i="33" s="1"/>
  <c r="BU39" i="36"/>
  <c r="CY129" i="33" s="1"/>
  <c r="BV39" i="36"/>
  <c r="CZ129" i="33" s="1"/>
  <c r="BW39" i="36"/>
  <c r="DA129" i="33" s="1"/>
  <c r="BX39" i="36"/>
  <c r="DB129" i="33" s="1"/>
  <c r="BY39" i="36"/>
  <c r="DC129" i="33" s="1"/>
  <c r="BZ39" i="36"/>
  <c r="DD129" i="33" s="1"/>
  <c r="CA39" i="36"/>
  <c r="DE129" i="33" s="1"/>
  <c r="BT40" i="36"/>
  <c r="CX130" i="33" s="1"/>
  <c r="BU40" i="36"/>
  <c r="CY130" i="33" s="1"/>
  <c r="BV40" i="36"/>
  <c r="CZ130" i="33" s="1"/>
  <c r="BW40" i="36"/>
  <c r="DA130" i="33" s="1"/>
  <c r="BX40" i="36"/>
  <c r="DB130" i="33" s="1"/>
  <c r="BY40" i="36"/>
  <c r="DC130" i="33" s="1"/>
  <c r="BZ40" i="36"/>
  <c r="DD130" i="33" s="1"/>
  <c r="CA40" i="36"/>
  <c r="DE130" i="33" s="1"/>
  <c r="BT41" i="36"/>
  <c r="CX131" i="33" s="1"/>
  <c r="BU41" i="36"/>
  <c r="CY131" i="33" s="1"/>
  <c r="BV41" i="36"/>
  <c r="CZ131" i="33" s="1"/>
  <c r="BW41" i="36"/>
  <c r="DA131" i="33" s="1"/>
  <c r="BX41" i="36"/>
  <c r="DB131" i="33" s="1"/>
  <c r="BY41" i="36"/>
  <c r="DC131" i="33" s="1"/>
  <c r="BZ41" i="36"/>
  <c r="DD131" i="33" s="1"/>
  <c r="CA41" i="36"/>
  <c r="DE131" i="33" s="1"/>
  <c r="BT42" i="36"/>
  <c r="CX132" i="33" s="1"/>
  <c r="BU42" i="36"/>
  <c r="CY132" i="33" s="1"/>
  <c r="BV42" i="36"/>
  <c r="CZ132" i="33" s="1"/>
  <c r="BW42" i="36"/>
  <c r="DA132" i="33" s="1"/>
  <c r="BX42" i="36"/>
  <c r="DB132" i="33" s="1"/>
  <c r="BY42" i="36"/>
  <c r="DC132" i="33" s="1"/>
  <c r="BZ42" i="36"/>
  <c r="DD132" i="33" s="1"/>
  <c r="CA42" i="36"/>
  <c r="DE132" i="33" s="1"/>
  <c r="BT43" i="36"/>
  <c r="CX133" i="33" s="1"/>
  <c r="BU43" i="36"/>
  <c r="CY133" i="33" s="1"/>
  <c r="BV43" i="36"/>
  <c r="CZ133" i="33" s="1"/>
  <c r="BW43" i="36"/>
  <c r="DA133" i="33" s="1"/>
  <c r="BX43" i="36"/>
  <c r="DB133" i="33" s="1"/>
  <c r="BY43" i="36"/>
  <c r="DC133" i="33" s="1"/>
  <c r="BZ43" i="36"/>
  <c r="DD133" i="33" s="1"/>
  <c r="CA43" i="36"/>
  <c r="DE133" i="33" s="1"/>
  <c r="BT44" i="36"/>
  <c r="CX134" i="33" s="1"/>
  <c r="BU44" i="36"/>
  <c r="CY134" i="33" s="1"/>
  <c r="BV44" i="36"/>
  <c r="CZ134" i="33" s="1"/>
  <c r="BW44" i="36"/>
  <c r="DA134" i="33" s="1"/>
  <c r="BX44" i="36"/>
  <c r="DB134" i="33" s="1"/>
  <c r="BY44" i="36"/>
  <c r="DC134" i="33" s="1"/>
  <c r="BZ44" i="36"/>
  <c r="DD134" i="33" s="1"/>
  <c r="CA44" i="36"/>
  <c r="DE134" i="33" s="1"/>
  <c r="BT45" i="36"/>
  <c r="CX135" i="33" s="1"/>
  <c r="BU45" i="36"/>
  <c r="CY135" i="33" s="1"/>
  <c r="BV45" i="36"/>
  <c r="CZ135" i="33" s="1"/>
  <c r="BW45" i="36"/>
  <c r="DA135" i="33" s="1"/>
  <c r="BX45" i="36"/>
  <c r="DB135" i="33" s="1"/>
  <c r="BY45" i="36"/>
  <c r="DC135" i="33" s="1"/>
  <c r="BZ45" i="36"/>
  <c r="DD135" i="33" s="1"/>
  <c r="CA45" i="36"/>
  <c r="DE135" i="33" s="1"/>
  <c r="BT46" i="36"/>
  <c r="CX136" i="33" s="1"/>
  <c r="BU46" i="36"/>
  <c r="CY136" i="33" s="1"/>
  <c r="BV46" i="36"/>
  <c r="CZ136" i="33" s="1"/>
  <c r="BW46" i="36"/>
  <c r="DA136" i="33" s="1"/>
  <c r="BX46" i="36"/>
  <c r="DB136" i="33" s="1"/>
  <c r="BY46" i="36"/>
  <c r="DC136" i="33" s="1"/>
  <c r="BZ46" i="36"/>
  <c r="DD136" i="33" s="1"/>
  <c r="CA46" i="36"/>
  <c r="DE136" i="33" s="1"/>
  <c r="BU2" i="36"/>
  <c r="CY92" i="33" s="1"/>
  <c r="BV2" i="36"/>
  <c r="CZ92" i="33" s="1"/>
  <c r="BW2" i="36"/>
  <c r="DA92" i="33" s="1"/>
  <c r="BX2" i="36"/>
  <c r="DB92" i="33" s="1"/>
  <c r="BY2" i="36"/>
  <c r="DC92" i="33" s="1"/>
  <c r="BZ2" i="36"/>
  <c r="DD92" i="33" s="1"/>
  <c r="CA2" i="36"/>
  <c r="DE92" i="33" s="1"/>
  <c r="BT2" i="36"/>
  <c r="CX92" i="33" s="1"/>
  <c r="AW32" i="36"/>
  <c r="AW33" i="36"/>
  <c r="AV33" i="36"/>
  <c r="AV32" i="36"/>
  <c r="AN3" i="36"/>
  <c r="BR93" i="33" s="1"/>
  <c r="AO3" i="36"/>
  <c r="BS93" i="33" s="1"/>
  <c r="AP3" i="36"/>
  <c r="BT93" i="33" s="1"/>
  <c r="AQ3" i="36"/>
  <c r="BU93" i="33" s="1"/>
  <c r="AR3" i="36"/>
  <c r="BV93" i="33" s="1"/>
  <c r="AS3" i="36"/>
  <c r="BW93" i="33" s="1"/>
  <c r="AT3" i="36"/>
  <c r="BX93" i="33" s="1"/>
  <c r="AU3" i="36"/>
  <c r="BY93" i="33" s="1"/>
  <c r="AN4" i="36"/>
  <c r="BR94" i="33" s="1"/>
  <c r="AO4" i="36"/>
  <c r="BS94" i="33" s="1"/>
  <c r="AP4" i="36"/>
  <c r="BT94" i="33" s="1"/>
  <c r="AQ4" i="36"/>
  <c r="BU94" i="33" s="1"/>
  <c r="AR4" i="36"/>
  <c r="BV94" i="33" s="1"/>
  <c r="AS4" i="36"/>
  <c r="BW94" i="33" s="1"/>
  <c r="AT4" i="36"/>
  <c r="BX94" i="33" s="1"/>
  <c r="AU4" i="36"/>
  <c r="BY94" i="33" s="1"/>
  <c r="AN5" i="36"/>
  <c r="BR95" i="33" s="1"/>
  <c r="AO5" i="36"/>
  <c r="BS95" i="33" s="1"/>
  <c r="AP5" i="36"/>
  <c r="BT95" i="33" s="1"/>
  <c r="AQ5" i="36"/>
  <c r="BU95" i="33" s="1"/>
  <c r="AR5" i="36"/>
  <c r="BV95" i="33" s="1"/>
  <c r="AS5" i="36"/>
  <c r="BW95" i="33" s="1"/>
  <c r="AT5" i="36"/>
  <c r="BX95" i="33" s="1"/>
  <c r="AU5" i="36"/>
  <c r="BY95" i="33" s="1"/>
  <c r="AN7" i="36"/>
  <c r="BR97" i="33" s="1"/>
  <c r="AO7" i="36"/>
  <c r="BS97" i="33" s="1"/>
  <c r="AP7" i="36"/>
  <c r="BT97" i="33" s="1"/>
  <c r="AQ7" i="36"/>
  <c r="BU97" i="33" s="1"/>
  <c r="AR7" i="36"/>
  <c r="BV97" i="33" s="1"/>
  <c r="AS7" i="36"/>
  <c r="BW97" i="33" s="1"/>
  <c r="AT7" i="36"/>
  <c r="BX97" i="33" s="1"/>
  <c r="AU7" i="36"/>
  <c r="BY97" i="33" s="1"/>
  <c r="AN8" i="36"/>
  <c r="BR98" i="33" s="1"/>
  <c r="AO8" i="36"/>
  <c r="BS98" i="33" s="1"/>
  <c r="AP8" i="36"/>
  <c r="BT98" i="33" s="1"/>
  <c r="AQ8" i="36"/>
  <c r="BU98" i="33" s="1"/>
  <c r="AR8" i="36"/>
  <c r="BV98" i="33" s="1"/>
  <c r="AS8" i="36"/>
  <c r="BW98" i="33" s="1"/>
  <c r="AT8" i="36"/>
  <c r="BX98" i="33" s="1"/>
  <c r="AU8" i="36"/>
  <c r="BY98" i="33" s="1"/>
  <c r="AN9" i="36"/>
  <c r="BR99" i="33" s="1"/>
  <c r="AO9" i="36"/>
  <c r="BS99" i="33" s="1"/>
  <c r="AP9" i="36"/>
  <c r="BT99" i="33" s="1"/>
  <c r="AQ9" i="36"/>
  <c r="BU99" i="33" s="1"/>
  <c r="AR9" i="36"/>
  <c r="BV99" i="33" s="1"/>
  <c r="AS9" i="36"/>
  <c r="BW99" i="33" s="1"/>
  <c r="AT9" i="36"/>
  <c r="BX99" i="33" s="1"/>
  <c r="AU9" i="36"/>
  <c r="BY99" i="33" s="1"/>
  <c r="AN10" i="36"/>
  <c r="BR100" i="33" s="1"/>
  <c r="AO10" i="36"/>
  <c r="BS100" i="33" s="1"/>
  <c r="AP10" i="36"/>
  <c r="BT100" i="33" s="1"/>
  <c r="AQ10" i="36"/>
  <c r="BU100" i="33" s="1"/>
  <c r="AR10" i="36"/>
  <c r="BV100" i="33" s="1"/>
  <c r="AS10" i="36"/>
  <c r="BW100" i="33" s="1"/>
  <c r="AT10" i="36"/>
  <c r="BX100" i="33" s="1"/>
  <c r="AU10" i="36"/>
  <c r="BY100" i="33" s="1"/>
  <c r="AN11" i="36"/>
  <c r="BR101" i="33" s="1"/>
  <c r="AO11" i="36"/>
  <c r="BS101" i="33" s="1"/>
  <c r="AP11" i="36"/>
  <c r="BT101" i="33" s="1"/>
  <c r="AQ11" i="36"/>
  <c r="BU101" i="33" s="1"/>
  <c r="AR11" i="36"/>
  <c r="BV101" i="33" s="1"/>
  <c r="AS11" i="36"/>
  <c r="BW101" i="33" s="1"/>
  <c r="AT11" i="36"/>
  <c r="BX101" i="33" s="1"/>
  <c r="AU11" i="36"/>
  <c r="BY101" i="33" s="1"/>
  <c r="AN12" i="36"/>
  <c r="BR102" i="33" s="1"/>
  <c r="AO12" i="36"/>
  <c r="BS102" i="33" s="1"/>
  <c r="AP12" i="36"/>
  <c r="BT102" i="33" s="1"/>
  <c r="AQ12" i="36"/>
  <c r="BU102" i="33" s="1"/>
  <c r="AR12" i="36"/>
  <c r="BV102" i="33" s="1"/>
  <c r="AS12" i="36"/>
  <c r="BW102" i="33" s="1"/>
  <c r="AT12" i="36"/>
  <c r="BX102" i="33" s="1"/>
  <c r="AU12" i="36"/>
  <c r="BY102" i="33" s="1"/>
  <c r="AN13" i="36"/>
  <c r="BR103" i="33" s="1"/>
  <c r="AO13" i="36"/>
  <c r="BS103" i="33" s="1"/>
  <c r="AP13" i="36"/>
  <c r="BT103" i="33" s="1"/>
  <c r="AQ13" i="36"/>
  <c r="BU103" i="33" s="1"/>
  <c r="AR13" i="36"/>
  <c r="BV103" i="33" s="1"/>
  <c r="AS13" i="36"/>
  <c r="BW103" i="33" s="1"/>
  <c r="AT13" i="36"/>
  <c r="BX103" i="33" s="1"/>
  <c r="AU13" i="36"/>
  <c r="BY103" i="33" s="1"/>
  <c r="AN14" i="36"/>
  <c r="BR104" i="33" s="1"/>
  <c r="AO14" i="36"/>
  <c r="BS104" i="33" s="1"/>
  <c r="AP14" i="36"/>
  <c r="BT104" i="33" s="1"/>
  <c r="AQ14" i="36"/>
  <c r="BU104" i="33" s="1"/>
  <c r="AR14" i="36"/>
  <c r="BV104" i="33" s="1"/>
  <c r="AS14" i="36"/>
  <c r="BW104" i="33" s="1"/>
  <c r="AT14" i="36"/>
  <c r="BX104" i="33" s="1"/>
  <c r="AU14" i="36"/>
  <c r="BY104" i="33" s="1"/>
  <c r="AN15" i="36"/>
  <c r="BR105" i="33" s="1"/>
  <c r="AO15" i="36"/>
  <c r="BS105" i="33" s="1"/>
  <c r="AP15" i="36"/>
  <c r="BT105" i="33" s="1"/>
  <c r="AQ15" i="36"/>
  <c r="BU105" i="33" s="1"/>
  <c r="AR15" i="36"/>
  <c r="BV105" i="33" s="1"/>
  <c r="AS15" i="36"/>
  <c r="BW105" i="33" s="1"/>
  <c r="AT15" i="36"/>
  <c r="BX105" i="33" s="1"/>
  <c r="AU15" i="36"/>
  <c r="BY105" i="33" s="1"/>
  <c r="AN16" i="36"/>
  <c r="BR106" i="33" s="1"/>
  <c r="AO16" i="36"/>
  <c r="BS106" i="33" s="1"/>
  <c r="AP16" i="36"/>
  <c r="BT106" i="33" s="1"/>
  <c r="AQ16" i="36"/>
  <c r="BU106" i="33" s="1"/>
  <c r="AR16" i="36"/>
  <c r="BV106" i="33" s="1"/>
  <c r="AS16" i="36"/>
  <c r="BW106" i="33" s="1"/>
  <c r="AT16" i="36"/>
  <c r="BX106" i="33" s="1"/>
  <c r="AU16" i="36"/>
  <c r="BY106" i="33" s="1"/>
  <c r="AN17" i="36"/>
  <c r="BR107" i="33" s="1"/>
  <c r="AO17" i="36"/>
  <c r="BS107" i="33" s="1"/>
  <c r="AP17" i="36"/>
  <c r="BT107" i="33" s="1"/>
  <c r="AQ17" i="36"/>
  <c r="BU107" i="33" s="1"/>
  <c r="AR17" i="36"/>
  <c r="BV107" i="33" s="1"/>
  <c r="AS17" i="36"/>
  <c r="BW107" i="33" s="1"/>
  <c r="AT17" i="36"/>
  <c r="BX107" i="33" s="1"/>
  <c r="AU17" i="36"/>
  <c r="BY107" i="33" s="1"/>
  <c r="AN18" i="36"/>
  <c r="BR108" i="33" s="1"/>
  <c r="AO18" i="36"/>
  <c r="BS108" i="33" s="1"/>
  <c r="AP18" i="36"/>
  <c r="BT108" i="33" s="1"/>
  <c r="AQ18" i="36"/>
  <c r="BU108" i="33" s="1"/>
  <c r="AR18" i="36"/>
  <c r="BV108" i="33" s="1"/>
  <c r="AS18" i="36"/>
  <c r="BW108" i="33" s="1"/>
  <c r="AT18" i="36"/>
  <c r="BX108" i="33" s="1"/>
  <c r="AU18" i="36"/>
  <c r="BY108" i="33" s="1"/>
  <c r="AN19" i="36"/>
  <c r="BR109" i="33" s="1"/>
  <c r="AO19" i="36"/>
  <c r="BS109" i="33" s="1"/>
  <c r="AP19" i="36"/>
  <c r="BT109" i="33" s="1"/>
  <c r="AQ19" i="36"/>
  <c r="BU109" i="33" s="1"/>
  <c r="AR19" i="36"/>
  <c r="BV109" i="33" s="1"/>
  <c r="AS19" i="36"/>
  <c r="BW109" i="33" s="1"/>
  <c r="AT19" i="36"/>
  <c r="BX109" i="33" s="1"/>
  <c r="AU19" i="36"/>
  <c r="BY109" i="33" s="1"/>
  <c r="AN20" i="36"/>
  <c r="BR110" i="33" s="1"/>
  <c r="AO20" i="36"/>
  <c r="BS110" i="33" s="1"/>
  <c r="AP20" i="36"/>
  <c r="BT110" i="33" s="1"/>
  <c r="AQ20" i="36"/>
  <c r="BU110" i="33" s="1"/>
  <c r="AR20" i="36"/>
  <c r="BV110" i="33" s="1"/>
  <c r="AS20" i="36"/>
  <c r="BW110" i="33" s="1"/>
  <c r="AT20" i="36"/>
  <c r="BX110" i="33" s="1"/>
  <c r="AU20" i="36"/>
  <c r="BY110" i="33" s="1"/>
  <c r="AN21" i="36"/>
  <c r="BR111" i="33" s="1"/>
  <c r="AO21" i="36"/>
  <c r="BS111" i="33" s="1"/>
  <c r="AP21" i="36"/>
  <c r="BT111" i="33" s="1"/>
  <c r="AQ21" i="36"/>
  <c r="BU111" i="33" s="1"/>
  <c r="AR21" i="36"/>
  <c r="BV111" i="33" s="1"/>
  <c r="AS21" i="36"/>
  <c r="BW111" i="33" s="1"/>
  <c r="AT21" i="36"/>
  <c r="BX111" i="33" s="1"/>
  <c r="AU21" i="36"/>
  <c r="BY111" i="33" s="1"/>
  <c r="AN22" i="36"/>
  <c r="BR112" i="33" s="1"/>
  <c r="AO22" i="36"/>
  <c r="BS112" i="33" s="1"/>
  <c r="AP22" i="36"/>
  <c r="BT112" i="33" s="1"/>
  <c r="AQ22" i="36"/>
  <c r="BU112" i="33" s="1"/>
  <c r="AR22" i="36"/>
  <c r="BV112" i="33" s="1"/>
  <c r="AS22" i="36"/>
  <c r="BW112" i="33" s="1"/>
  <c r="AT22" i="36"/>
  <c r="BX112" i="33" s="1"/>
  <c r="AU22" i="36"/>
  <c r="BY112" i="33" s="1"/>
  <c r="AN23" i="36"/>
  <c r="BR113" i="33" s="1"/>
  <c r="AO23" i="36"/>
  <c r="BS113" i="33" s="1"/>
  <c r="AP23" i="36"/>
  <c r="BT113" i="33" s="1"/>
  <c r="AQ23" i="36"/>
  <c r="BU113" i="33" s="1"/>
  <c r="AR23" i="36"/>
  <c r="BV113" i="33" s="1"/>
  <c r="AS23" i="36"/>
  <c r="BW113" i="33" s="1"/>
  <c r="AT23" i="36"/>
  <c r="BX113" i="33" s="1"/>
  <c r="AU23" i="36"/>
  <c r="BY113" i="33" s="1"/>
  <c r="AN24" i="36"/>
  <c r="BR114" i="33" s="1"/>
  <c r="AO24" i="36"/>
  <c r="BS114" i="33" s="1"/>
  <c r="AP24" i="36"/>
  <c r="BT114" i="33" s="1"/>
  <c r="AQ24" i="36"/>
  <c r="BU114" i="33" s="1"/>
  <c r="AR24" i="36"/>
  <c r="BV114" i="33" s="1"/>
  <c r="AS24" i="36"/>
  <c r="BW114" i="33" s="1"/>
  <c r="AT24" i="36"/>
  <c r="BX114" i="33" s="1"/>
  <c r="AU24" i="36"/>
  <c r="BY114" i="33" s="1"/>
  <c r="AN25" i="36"/>
  <c r="BR115" i="33" s="1"/>
  <c r="AO25" i="36"/>
  <c r="BS115" i="33" s="1"/>
  <c r="AP25" i="36"/>
  <c r="BT115" i="33" s="1"/>
  <c r="AQ25" i="36"/>
  <c r="BU115" i="33" s="1"/>
  <c r="AR25" i="36"/>
  <c r="BV115" i="33" s="1"/>
  <c r="AS25" i="36"/>
  <c r="BW115" i="33" s="1"/>
  <c r="AT25" i="36"/>
  <c r="BX115" i="33" s="1"/>
  <c r="AU25" i="36"/>
  <c r="BY115" i="33" s="1"/>
  <c r="AN26" i="36"/>
  <c r="BR116" i="33" s="1"/>
  <c r="AO26" i="36"/>
  <c r="BS116" i="33" s="1"/>
  <c r="AP26" i="36"/>
  <c r="BT116" i="33" s="1"/>
  <c r="AQ26" i="36"/>
  <c r="BU116" i="33" s="1"/>
  <c r="AR26" i="36"/>
  <c r="BV116" i="33" s="1"/>
  <c r="AS26" i="36"/>
  <c r="BW116" i="33" s="1"/>
  <c r="AT26" i="36"/>
  <c r="BX116" i="33" s="1"/>
  <c r="AU26" i="36"/>
  <c r="BY116" i="33" s="1"/>
  <c r="AN27" i="36"/>
  <c r="BR117" i="33" s="1"/>
  <c r="AO27" i="36"/>
  <c r="BS117" i="33" s="1"/>
  <c r="AP27" i="36"/>
  <c r="BT117" i="33" s="1"/>
  <c r="AQ27" i="36"/>
  <c r="BU117" i="33" s="1"/>
  <c r="AR27" i="36"/>
  <c r="BV117" i="33" s="1"/>
  <c r="AS27" i="36"/>
  <c r="BW117" i="33" s="1"/>
  <c r="AT27" i="36"/>
  <c r="BX117" i="33" s="1"/>
  <c r="AU27" i="36"/>
  <c r="BY117" i="33" s="1"/>
  <c r="AN28" i="36"/>
  <c r="BR118" i="33" s="1"/>
  <c r="AO28" i="36"/>
  <c r="BS118" i="33" s="1"/>
  <c r="AP28" i="36"/>
  <c r="BT118" i="33" s="1"/>
  <c r="AQ28" i="36"/>
  <c r="BU118" i="33" s="1"/>
  <c r="AR28" i="36"/>
  <c r="BV118" i="33" s="1"/>
  <c r="AS28" i="36"/>
  <c r="BW118" i="33" s="1"/>
  <c r="AT28" i="36"/>
  <c r="BX118" i="33" s="1"/>
  <c r="AU28" i="36"/>
  <c r="BY118" i="33" s="1"/>
  <c r="AN29" i="36"/>
  <c r="BR119" i="33" s="1"/>
  <c r="AO29" i="36"/>
  <c r="BS119" i="33" s="1"/>
  <c r="AP29" i="36"/>
  <c r="BT119" i="33" s="1"/>
  <c r="AQ29" i="36"/>
  <c r="BU119" i="33" s="1"/>
  <c r="AR29" i="36"/>
  <c r="BV119" i="33" s="1"/>
  <c r="AS29" i="36"/>
  <c r="BW119" i="33" s="1"/>
  <c r="AT29" i="36"/>
  <c r="BX119" i="33" s="1"/>
  <c r="AU29" i="36"/>
  <c r="BY119" i="33" s="1"/>
  <c r="AN30" i="36"/>
  <c r="BR120" i="33" s="1"/>
  <c r="AO30" i="36"/>
  <c r="BS120" i="33" s="1"/>
  <c r="AP30" i="36"/>
  <c r="BT120" i="33" s="1"/>
  <c r="AQ30" i="36"/>
  <c r="BU120" i="33" s="1"/>
  <c r="AR30" i="36"/>
  <c r="BV120" i="33" s="1"/>
  <c r="AS30" i="36"/>
  <c r="BW120" i="33" s="1"/>
  <c r="AT30" i="36"/>
  <c r="BX120" i="33" s="1"/>
  <c r="AU30" i="36"/>
  <c r="BY120" i="33" s="1"/>
  <c r="AN31" i="36"/>
  <c r="BR121" i="33" s="1"/>
  <c r="AO31" i="36"/>
  <c r="BS121" i="33" s="1"/>
  <c r="AP31" i="36"/>
  <c r="BT121" i="33" s="1"/>
  <c r="AQ31" i="36"/>
  <c r="BU121" i="33" s="1"/>
  <c r="AR31" i="36"/>
  <c r="BV121" i="33" s="1"/>
  <c r="AS31" i="36"/>
  <c r="BW121" i="33" s="1"/>
  <c r="AT31" i="36"/>
  <c r="BX121" i="33" s="1"/>
  <c r="AU31" i="36"/>
  <c r="BY121" i="33" s="1"/>
  <c r="AN32" i="36"/>
  <c r="BR122" i="33" s="1"/>
  <c r="AO32" i="36"/>
  <c r="BS122" i="33" s="1"/>
  <c r="AP32" i="36"/>
  <c r="BT122" i="33" s="1"/>
  <c r="AQ32" i="36"/>
  <c r="BU122" i="33" s="1"/>
  <c r="AR32" i="36"/>
  <c r="BV122" i="33" s="1"/>
  <c r="AS32" i="36"/>
  <c r="BW122" i="33" s="1"/>
  <c r="AT32" i="36"/>
  <c r="BX122" i="33" s="1"/>
  <c r="AU32" i="36"/>
  <c r="BY122" i="33" s="1"/>
  <c r="AN33" i="36"/>
  <c r="BR123" i="33" s="1"/>
  <c r="AO33" i="36"/>
  <c r="BS123" i="33" s="1"/>
  <c r="AP33" i="36"/>
  <c r="BT123" i="33" s="1"/>
  <c r="AQ33" i="36"/>
  <c r="BU123" i="33" s="1"/>
  <c r="AR33" i="36"/>
  <c r="BV123" i="33" s="1"/>
  <c r="AS33" i="36"/>
  <c r="BW123" i="33" s="1"/>
  <c r="AT33" i="36"/>
  <c r="BX123" i="33" s="1"/>
  <c r="AU33" i="36"/>
  <c r="BY123" i="33" s="1"/>
  <c r="AN35" i="36"/>
  <c r="BR125" i="33" s="1"/>
  <c r="AO35" i="36"/>
  <c r="BS125" i="33" s="1"/>
  <c r="AP35" i="36"/>
  <c r="BT125" i="33" s="1"/>
  <c r="AQ35" i="36"/>
  <c r="BU125" i="33" s="1"/>
  <c r="AR35" i="36"/>
  <c r="BV125" i="33" s="1"/>
  <c r="AS35" i="36"/>
  <c r="BW125" i="33" s="1"/>
  <c r="AT35" i="36"/>
  <c r="BX125" i="33" s="1"/>
  <c r="AU35" i="36"/>
  <c r="BY125" i="33" s="1"/>
  <c r="AN36" i="36"/>
  <c r="BR126" i="33" s="1"/>
  <c r="AO36" i="36"/>
  <c r="BS126" i="33" s="1"/>
  <c r="AP36" i="36"/>
  <c r="BT126" i="33" s="1"/>
  <c r="AQ36" i="36"/>
  <c r="BU126" i="33" s="1"/>
  <c r="AR36" i="36"/>
  <c r="BV126" i="33" s="1"/>
  <c r="AS36" i="36"/>
  <c r="BW126" i="33" s="1"/>
  <c r="AT36" i="36"/>
  <c r="BX126" i="33" s="1"/>
  <c r="AU36" i="36"/>
  <c r="BY126" i="33" s="1"/>
  <c r="AN37" i="36"/>
  <c r="BR127" i="33" s="1"/>
  <c r="AO37" i="36"/>
  <c r="BS127" i="33" s="1"/>
  <c r="AP37" i="36"/>
  <c r="BT127" i="33" s="1"/>
  <c r="AQ37" i="36"/>
  <c r="BU127" i="33" s="1"/>
  <c r="AR37" i="36"/>
  <c r="BV127" i="33" s="1"/>
  <c r="AS37" i="36"/>
  <c r="BW127" i="33" s="1"/>
  <c r="AT37" i="36"/>
  <c r="BX127" i="33" s="1"/>
  <c r="AU37" i="36"/>
  <c r="BY127" i="33" s="1"/>
  <c r="AN38" i="36"/>
  <c r="BR128" i="33" s="1"/>
  <c r="AO38" i="36"/>
  <c r="BS128" i="33" s="1"/>
  <c r="AP38" i="36"/>
  <c r="BT128" i="33" s="1"/>
  <c r="AQ38" i="36"/>
  <c r="BU128" i="33" s="1"/>
  <c r="AR38" i="36"/>
  <c r="BV128" i="33" s="1"/>
  <c r="AS38" i="36"/>
  <c r="BW128" i="33" s="1"/>
  <c r="AT38" i="36"/>
  <c r="BX128" i="33" s="1"/>
  <c r="AU38" i="36"/>
  <c r="BY128" i="33" s="1"/>
  <c r="AN39" i="36"/>
  <c r="BR129" i="33" s="1"/>
  <c r="AO39" i="36"/>
  <c r="BS129" i="33" s="1"/>
  <c r="AP39" i="36"/>
  <c r="BT129" i="33" s="1"/>
  <c r="AQ39" i="36"/>
  <c r="BU129" i="33" s="1"/>
  <c r="AR39" i="36"/>
  <c r="BV129" i="33" s="1"/>
  <c r="AS39" i="36"/>
  <c r="BW129" i="33" s="1"/>
  <c r="AT39" i="36"/>
  <c r="BX129" i="33" s="1"/>
  <c r="AU39" i="36"/>
  <c r="BY129" i="33" s="1"/>
  <c r="AN40" i="36"/>
  <c r="BR130" i="33" s="1"/>
  <c r="AO40" i="36"/>
  <c r="BS130" i="33" s="1"/>
  <c r="AP40" i="36"/>
  <c r="BT130" i="33" s="1"/>
  <c r="AQ40" i="36"/>
  <c r="BU130" i="33" s="1"/>
  <c r="AR40" i="36"/>
  <c r="BV130" i="33" s="1"/>
  <c r="AS40" i="36"/>
  <c r="BW130" i="33" s="1"/>
  <c r="AT40" i="36"/>
  <c r="BX130" i="33" s="1"/>
  <c r="AU40" i="36"/>
  <c r="BY130" i="33" s="1"/>
  <c r="AN41" i="36"/>
  <c r="BR131" i="33" s="1"/>
  <c r="AO41" i="36"/>
  <c r="BS131" i="33" s="1"/>
  <c r="AP41" i="36"/>
  <c r="BT131" i="33" s="1"/>
  <c r="AQ41" i="36"/>
  <c r="BU131" i="33" s="1"/>
  <c r="AR41" i="36"/>
  <c r="BV131" i="33" s="1"/>
  <c r="AS41" i="36"/>
  <c r="BW131" i="33" s="1"/>
  <c r="AT41" i="36"/>
  <c r="BX131" i="33" s="1"/>
  <c r="AU41" i="36"/>
  <c r="BY131" i="33" s="1"/>
  <c r="AN42" i="36"/>
  <c r="BR132" i="33" s="1"/>
  <c r="AO42" i="36"/>
  <c r="BS132" i="33" s="1"/>
  <c r="AP42" i="36"/>
  <c r="BT132" i="33" s="1"/>
  <c r="AQ42" i="36"/>
  <c r="BU132" i="33" s="1"/>
  <c r="AR42" i="36"/>
  <c r="BV132" i="33" s="1"/>
  <c r="AS42" i="36"/>
  <c r="BW132" i="33" s="1"/>
  <c r="AT42" i="36"/>
  <c r="BX132" i="33" s="1"/>
  <c r="AU42" i="36"/>
  <c r="BY132" i="33" s="1"/>
  <c r="AN43" i="36"/>
  <c r="BR133" i="33" s="1"/>
  <c r="AO43" i="36"/>
  <c r="BS133" i="33" s="1"/>
  <c r="AP43" i="36"/>
  <c r="BT133" i="33" s="1"/>
  <c r="AQ43" i="36"/>
  <c r="BU133" i="33" s="1"/>
  <c r="AR43" i="36"/>
  <c r="BV133" i="33" s="1"/>
  <c r="AS43" i="36"/>
  <c r="BW133" i="33" s="1"/>
  <c r="AT43" i="36"/>
  <c r="BX133" i="33" s="1"/>
  <c r="AU43" i="36"/>
  <c r="BY133" i="33" s="1"/>
  <c r="AN44" i="36"/>
  <c r="BR134" i="33" s="1"/>
  <c r="AO44" i="36"/>
  <c r="BS134" i="33" s="1"/>
  <c r="AP44" i="36"/>
  <c r="BT134" i="33" s="1"/>
  <c r="AQ44" i="36"/>
  <c r="BU134" i="33" s="1"/>
  <c r="AR44" i="36"/>
  <c r="BV134" i="33" s="1"/>
  <c r="AS44" i="36"/>
  <c r="BW134" i="33" s="1"/>
  <c r="AT44" i="36"/>
  <c r="BX134" i="33" s="1"/>
  <c r="AU44" i="36"/>
  <c r="BY134" i="33" s="1"/>
  <c r="AN45" i="36"/>
  <c r="BR135" i="33" s="1"/>
  <c r="AO45" i="36"/>
  <c r="BS135" i="33" s="1"/>
  <c r="AP45" i="36"/>
  <c r="BT135" i="33" s="1"/>
  <c r="AQ45" i="36"/>
  <c r="BU135" i="33" s="1"/>
  <c r="AR45" i="36"/>
  <c r="BV135" i="33" s="1"/>
  <c r="AS45" i="36"/>
  <c r="BW135" i="33" s="1"/>
  <c r="AT45" i="36"/>
  <c r="BX135" i="33" s="1"/>
  <c r="AU45" i="36"/>
  <c r="BY135" i="33" s="1"/>
  <c r="AN46" i="36"/>
  <c r="BR136" i="33" s="1"/>
  <c r="AO46" i="36"/>
  <c r="BS136" i="33" s="1"/>
  <c r="AP46" i="36"/>
  <c r="BT136" i="33" s="1"/>
  <c r="AQ46" i="36"/>
  <c r="BU136" i="33" s="1"/>
  <c r="AR46" i="36"/>
  <c r="BV136" i="33" s="1"/>
  <c r="AS46" i="36"/>
  <c r="BW136" i="33" s="1"/>
  <c r="AT46" i="36"/>
  <c r="BX136" i="33" s="1"/>
  <c r="AU46" i="36"/>
  <c r="BY136" i="33" s="1"/>
  <c r="AO2" i="36"/>
  <c r="BS92" i="33" s="1"/>
  <c r="AP2" i="36"/>
  <c r="BT92" i="33" s="1"/>
  <c r="AQ2" i="36"/>
  <c r="BU92" i="33" s="1"/>
  <c r="AR2" i="36"/>
  <c r="BV92" i="33" s="1"/>
  <c r="AS2" i="36"/>
  <c r="BW92" i="33" s="1"/>
  <c r="AT2" i="36"/>
  <c r="BX92" i="33" s="1"/>
  <c r="AU2" i="36"/>
  <c r="BY92" i="33" s="1"/>
  <c r="AN2" i="36"/>
  <c r="BR92" i="33" s="1"/>
  <c r="DM113" i="33" l="1"/>
  <c r="DE113" i="33"/>
  <c r="DM105" i="33"/>
  <c r="DE105" i="33"/>
  <c r="DL100" i="33"/>
  <c r="DD100" i="33"/>
  <c r="DL98" i="33"/>
  <c r="DD98" i="33"/>
  <c r="DL95" i="33"/>
  <c r="DD95" i="33"/>
  <c r="DM121" i="33"/>
  <c r="DE121" i="33"/>
  <c r="DM115" i="33"/>
  <c r="DE115" i="33"/>
  <c r="DM109" i="33"/>
  <c r="DE109" i="33"/>
  <c r="DM107" i="33"/>
  <c r="DE107" i="33"/>
  <c r="DL102" i="33"/>
  <c r="DD102" i="33"/>
  <c r="DM117" i="33"/>
  <c r="DE117" i="33"/>
  <c r="DM111" i="33"/>
  <c r="DE111" i="33"/>
  <c r="DM99" i="33"/>
  <c r="DB99" i="33"/>
  <c r="AD150" i="2"/>
  <c r="AE150" i="2"/>
  <c r="AF150" i="2"/>
  <c r="AG150" i="2"/>
  <c r="AG152" i="2"/>
  <c r="AF152" i="2"/>
  <c r="AD152" i="2"/>
  <c r="AE152" i="2"/>
  <c r="AG149" i="2"/>
  <c r="AF149" i="2"/>
  <c r="AD149" i="2"/>
  <c r="AE149" i="2"/>
  <c r="L142" i="17"/>
  <c r="Z134" i="33" s="1"/>
  <c r="K142" i="17"/>
  <c r="Y134" i="33" s="1"/>
  <c r="K141" i="17"/>
  <c r="Y133" i="33" s="1"/>
  <c r="L141" i="17"/>
  <c r="Z133" i="33" s="1"/>
  <c r="K125" i="17"/>
  <c r="Y117" i="33" s="1"/>
  <c r="L125" i="17"/>
  <c r="Z117" i="33" s="1"/>
  <c r="K140" i="17"/>
  <c r="Y132" i="33" s="1"/>
  <c r="L140" i="17"/>
  <c r="Z132" i="33" s="1"/>
  <c r="K108" i="17"/>
  <c r="Y100" i="33" s="1"/>
  <c r="L108" i="17"/>
  <c r="Z100" i="33" s="1"/>
  <c r="K139" i="17"/>
  <c r="Y131" i="33" s="1"/>
  <c r="L139" i="17"/>
  <c r="Z131" i="33" s="1"/>
  <c r="K123" i="17"/>
  <c r="Y115" i="33" s="1"/>
  <c r="L123" i="17"/>
  <c r="Z115" i="33" s="1"/>
  <c r="K107" i="17"/>
  <c r="Y99" i="33" s="1"/>
  <c r="L107" i="17"/>
  <c r="Z99" i="33" s="1"/>
  <c r="K138" i="17"/>
  <c r="Y130" i="33" s="1"/>
  <c r="L138" i="17"/>
  <c r="Z130" i="33" s="1"/>
  <c r="K122" i="17"/>
  <c r="Y114" i="33" s="1"/>
  <c r="L122" i="17"/>
  <c r="Z114" i="33" s="1"/>
  <c r="K106" i="17"/>
  <c r="Y98" i="33" s="1"/>
  <c r="L106" i="17"/>
  <c r="Z98" i="33" s="1"/>
  <c r="L137" i="17"/>
  <c r="Z129" i="33" s="1"/>
  <c r="K137" i="17"/>
  <c r="Y129" i="33" s="1"/>
  <c r="L121" i="17"/>
  <c r="Z113" i="33" s="1"/>
  <c r="K121" i="17"/>
  <c r="Y113" i="33" s="1"/>
  <c r="L105" i="17"/>
  <c r="Z97" i="33" s="1"/>
  <c r="K105" i="17"/>
  <c r="Y97" i="33" s="1"/>
  <c r="K136" i="17"/>
  <c r="Y128" i="33" s="1"/>
  <c r="L136" i="17"/>
  <c r="Z128" i="33" s="1"/>
  <c r="K120" i="17"/>
  <c r="Y112" i="33" s="1"/>
  <c r="L120" i="17"/>
  <c r="Z112" i="33" s="1"/>
  <c r="K104" i="17"/>
  <c r="Y96" i="33" s="1"/>
  <c r="L104" i="17"/>
  <c r="Z96" i="33" s="1"/>
  <c r="K135" i="17"/>
  <c r="Y127" i="33" s="1"/>
  <c r="L135" i="17"/>
  <c r="Z127" i="33" s="1"/>
  <c r="K119" i="17"/>
  <c r="Y111" i="33" s="1"/>
  <c r="L119" i="17"/>
  <c r="Z111" i="33" s="1"/>
  <c r="K103" i="17"/>
  <c r="Y95" i="33" s="1"/>
  <c r="L103" i="17"/>
  <c r="Z95" i="33" s="1"/>
  <c r="K126" i="17"/>
  <c r="Y118" i="33" s="1"/>
  <c r="L126" i="17"/>
  <c r="Z118" i="33" s="1"/>
  <c r="K109" i="17"/>
  <c r="Y101" i="33" s="1"/>
  <c r="L109" i="17"/>
  <c r="Z101" i="33" s="1"/>
  <c r="K124" i="17"/>
  <c r="Y116" i="33" s="1"/>
  <c r="L124" i="17"/>
  <c r="Z116" i="33" s="1"/>
  <c r="K134" i="17"/>
  <c r="Y126" i="33" s="1"/>
  <c r="L134" i="17"/>
  <c r="Z126" i="33" s="1"/>
  <c r="K118" i="17"/>
  <c r="Y110" i="33" s="1"/>
  <c r="L118" i="17"/>
  <c r="Z110" i="33" s="1"/>
  <c r="K110" i="17"/>
  <c r="Y102" i="33" s="1"/>
  <c r="L110" i="17"/>
  <c r="Z102" i="33" s="1"/>
  <c r="K117" i="17"/>
  <c r="Y109" i="33" s="1"/>
  <c r="L117" i="17"/>
  <c r="Z109" i="33" s="1"/>
  <c r="K116" i="17"/>
  <c r="Y108" i="33" s="1"/>
  <c r="L116" i="17"/>
  <c r="Z108" i="33" s="1"/>
  <c r="K102" i="17"/>
  <c r="Y94" i="33" s="1"/>
  <c r="L102" i="17"/>
  <c r="Z94" i="33" s="1"/>
  <c r="K131" i="17"/>
  <c r="Y123" i="33" s="1"/>
  <c r="L131" i="17"/>
  <c r="Z123" i="33" s="1"/>
  <c r="K115" i="17"/>
  <c r="Y107" i="33" s="1"/>
  <c r="L115" i="17"/>
  <c r="Z107" i="33" s="1"/>
  <c r="K101" i="17"/>
  <c r="Y93" i="33" s="1"/>
  <c r="L101" i="17"/>
  <c r="Z93" i="33" s="1"/>
  <c r="K130" i="17"/>
  <c r="Y122" i="33" s="1"/>
  <c r="L130" i="17"/>
  <c r="Z122" i="33" s="1"/>
  <c r="K114" i="17"/>
  <c r="Y106" i="33" s="1"/>
  <c r="L114" i="17"/>
  <c r="Z106" i="33" s="1"/>
  <c r="K100" i="17"/>
  <c r="Y92" i="33" s="1"/>
  <c r="L100" i="17"/>
  <c r="Z92" i="33" s="1"/>
  <c r="L129" i="17"/>
  <c r="Z121" i="33" s="1"/>
  <c r="K129" i="17"/>
  <c r="Y121" i="33" s="1"/>
  <c r="L113" i="17"/>
  <c r="Z105" i="33" s="1"/>
  <c r="K113" i="17"/>
  <c r="Y105" i="33" s="1"/>
  <c r="K144" i="17"/>
  <c r="Y136" i="33" s="1"/>
  <c r="L144" i="17"/>
  <c r="Z136" i="33" s="1"/>
  <c r="K128" i="17"/>
  <c r="Y120" i="33" s="1"/>
  <c r="L128" i="17"/>
  <c r="Z120" i="33" s="1"/>
  <c r="K112" i="17"/>
  <c r="Y104" i="33" s="1"/>
  <c r="L112" i="17"/>
  <c r="Z104" i="33" s="1"/>
  <c r="K143" i="17"/>
  <c r="Y135" i="33" s="1"/>
  <c r="L143" i="17"/>
  <c r="Z135" i="33" s="1"/>
  <c r="K127" i="17"/>
  <c r="Y119" i="33" s="1"/>
  <c r="L127" i="17"/>
  <c r="Z119" i="33" s="1"/>
  <c r="K111" i="17"/>
  <c r="Y103" i="33" s="1"/>
  <c r="L111" i="17"/>
  <c r="Z103" i="33" s="1"/>
  <c r="A116" i="2"/>
  <c r="A147" i="2"/>
  <c r="A131" i="2"/>
  <c r="A132" i="2"/>
  <c r="A130" i="2"/>
  <c r="A149" i="2"/>
  <c r="A129" i="2"/>
  <c r="A115" i="2"/>
  <c r="A117" i="2"/>
  <c r="A144" i="2"/>
  <c r="A114" i="2"/>
  <c r="A143" i="2"/>
  <c r="A127" i="2"/>
  <c r="A128" i="2"/>
  <c r="A142" i="2"/>
  <c r="A126" i="2"/>
  <c r="A157" i="2"/>
  <c r="A141" i="2"/>
  <c r="A125" i="2"/>
  <c r="A133" i="2"/>
  <c r="A148" i="2"/>
  <c r="A156" i="2"/>
  <c r="A140" i="2"/>
  <c r="A124" i="2"/>
  <c r="A139" i="2"/>
  <c r="A155" i="2"/>
  <c r="A123" i="2"/>
  <c r="A154" i="2"/>
  <c r="A138" i="2"/>
  <c r="A122" i="2"/>
  <c r="A121" i="2"/>
  <c r="A137" i="2"/>
  <c r="A152" i="2"/>
  <c r="A120" i="2"/>
  <c r="A151" i="2"/>
  <c r="A135" i="2"/>
  <c r="A119" i="2"/>
  <c r="A153" i="2"/>
  <c r="A136" i="2"/>
  <c r="A150" i="2"/>
  <c r="A134" i="2"/>
  <c r="A118" i="2"/>
  <c r="DI99" i="33"/>
  <c r="DH99" i="33"/>
  <c r="DG99" i="33"/>
  <c r="DF99" i="33"/>
  <c r="DL133" i="33"/>
  <c r="DL115" i="33"/>
  <c r="DL113" i="33"/>
  <c r="DL111" i="33"/>
  <c r="DL109" i="33"/>
  <c r="DL107" i="33"/>
  <c r="DL105" i="33"/>
  <c r="DL103" i="33"/>
  <c r="DL101" i="33"/>
  <c r="DL99" i="33"/>
  <c r="DL97" i="33"/>
  <c r="DL94" i="33"/>
  <c r="DL123" i="33"/>
  <c r="DL117" i="33"/>
  <c r="DL119" i="33"/>
  <c r="DL121" i="33"/>
  <c r="DL135" i="33"/>
  <c r="CB97" i="33"/>
  <c r="DL93" i="33"/>
  <c r="DL125" i="33"/>
  <c r="DM92" i="33"/>
  <c r="DJ93" i="33"/>
  <c r="DI126" i="33"/>
  <c r="DI93" i="33"/>
  <c r="DH102" i="33"/>
  <c r="DH100" i="33"/>
  <c r="DH98" i="33"/>
  <c r="DH95" i="33"/>
  <c r="DH93" i="33"/>
  <c r="DG102" i="33"/>
  <c r="DG100" i="33"/>
  <c r="DG98" i="33"/>
  <c r="DG95" i="33"/>
  <c r="DG93" i="33"/>
  <c r="DF136" i="33"/>
  <c r="DF134" i="33"/>
  <c r="DF130" i="33"/>
  <c r="DF128" i="33"/>
  <c r="DF122" i="33"/>
  <c r="DF120" i="33"/>
  <c r="DF118" i="33"/>
  <c r="DF116" i="33"/>
  <c r="DF114" i="33"/>
  <c r="DF112" i="33"/>
  <c r="DF106" i="33"/>
  <c r="DF104" i="33"/>
  <c r="DF102" i="33"/>
  <c r="DF100" i="33"/>
  <c r="DF98" i="33"/>
  <c r="DF95" i="33"/>
  <c r="DF93" i="33"/>
  <c r="DJ135" i="33"/>
  <c r="DI92" i="33"/>
  <c r="DH133" i="33"/>
  <c r="DH131" i="33"/>
  <c r="DH129" i="33"/>
  <c r="DH125" i="33"/>
  <c r="DH123" i="33"/>
  <c r="DH121" i="33"/>
  <c r="DH119" i="33"/>
  <c r="DH117" i="33"/>
  <c r="DH115" i="33"/>
  <c r="DH113" i="33"/>
  <c r="DH111" i="33"/>
  <c r="DH109" i="33"/>
  <c r="DH107" i="33"/>
  <c r="DH105" i="33"/>
  <c r="DH103" i="33"/>
  <c r="DH101" i="33"/>
  <c r="DH97" i="33"/>
  <c r="DH94" i="33"/>
  <c r="DH92" i="33"/>
  <c r="DG135" i="33"/>
  <c r="DG131" i="33"/>
  <c r="DG125" i="33"/>
  <c r="DG123" i="33"/>
  <c r="DG121" i="33"/>
  <c r="DG119" i="33"/>
  <c r="DG117" i="33"/>
  <c r="DG115" i="33"/>
  <c r="DG111" i="33"/>
  <c r="DG109" i="33"/>
  <c r="DG107" i="33"/>
  <c r="DG105" i="33"/>
  <c r="DG103" i="33"/>
  <c r="DG101" i="33"/>
  <c r="DG97" i="33"/>
  <c r="DG94" i="33"/>
  <c r="DG133" i="33"/>
  <c r="DG92" i="33"/>
  <c r="DF135" i="33"/>
  <c r="DF133" i="33"/>
  <c r="DF131" i="33"/>
  <c r="DF129" i="33"/>
  <c r="DF125" i="33"/>
  <c r="DF123" i="33"/>
  <c r="DF121" i="33"/>
  <c r="DF119" i="33"/>
  <c r="DF117" i="33"/>
  <c r="DF115" i="33"/>
  <c r="DF113" i="33"/>
  <c r="DF111" i="33"/>
  <c r="DF109" i="33"/>
  <c r="DF107" i="33"/>
  <c r="DF105" i="33"/>
  <c r="DF103" i="33"/>
  <c r="DF101" i="33"/>
  <c r="DF97" i="33"/>
  <c r="DF94" i="33"/>
  <c r="DG129" i="33"/>
  <c r="CC122" i="33"/>
  <c r="DM136" i="33"/>
  <c r="DM134" i="33"/>
  <c r="DM132" i="33"/>
  <c r="DM130" i="33"/>
  <c r="DM128" i="33"/>
  <c r="DM126" i="33"/>
  <c r="DM122" i="33"/>
  <c r="DM120" i="33"/>
  <c r="DM118" i="33"/>
  <c r="DM116" i="33"/>
  <c r="DM114" i="33"/>
  <c r="DM112" i="33"/>
  <c r="DM110" i="33"/>
  <c r="DM108" i="33"/>
  <c r="DM106" i="33"/>
  <c r="DM104" i="33"/>
  <c r="DM102" i="33"/>
  <c r="DM100" i="33"/>
  <c r="DM98" i="33"/>
  <c r="DM95" i="33"/>
  <c r="DM93" i="33"/>
  <c r="DL134" i="33"/>
  <c r="DL132" i="33"/>
  <c r="DL126" i="33"/>
  <c r="DL122" i="33"/>
  <c r="DL120" i="33"/>
  <c r="DL118" i="33"/>
  <c r="DL116" i="33"/>
  <c r="DL114" i="33"/>
  <c r="DL112" i="33"/>
  <c r="DL110" i="33"/>
  <c r="DL108" i="33"/>
  <c r="DL106" i="33"/>
  <c r="DL104" i="33"/>
  <c r="DL130" i="33"/>
  <c r="CA128" i="33"/>
  <c r="CA120" i="33"/>
  <c r="CF116" i="33"/>
  <c r="CA104" i="33"/>
  <c r="CA102" i="33"/>
  <c r="CA100" i="33"/>
  <c r="CA98" i="33"/>
  <c r="CA95" i="33"/>
  <c r="DK136" i="33"/>
  <c r="DK134" i="33"/>
  <c r="DK132" i="33"/>
  <c r="DK130" i="33"/>
  <c r="DK126" i="33"/>
  <c r="DK122" i="33"/>
  <c r="DK118" i="33"/>
  <c r="DK116" i="33"/>
  <c r="DK114" i="33"/>
  <c r="DK112" i="33"/>
  <c r="DK110" i="33"/>
  <c r="DK108" i="33"/>
  <c r="DK106" i="33"/>
  <c r="DK100" i="33"/>
  <c r="DK95" i="33"/>
  <c r="BZ104" i="33"/>
  <c r="DJ136" i="33"/>
  <c r="DJ134" i="33"/>
  <c r="DJ132" i="33"/>
  <c r="DJ130" i="33"/>
  <c r="DJ128" i="33"/>
  <c r="DJ126" i="33"/>
  <c r="DJ122" i="33"/>
  <c r="DJ120" i="33"/>
  <c r="DJ118" i="33"/>
  <c r="DJ116" i="33"/>
  <c r="DJ114" i="33"/>
  <c r="DJ112" i="33"/>
  <c r="DJ110" i="33"/>
  <c r="DJ108" i="33"/>
  <c r="DJ106" i="33"/>
  <c r="DJ104" i="33"/>
  <c r="DJ102" i="33"/>
  <c r="DJ100" i="33"/>
  <c r="DJ98" i="33"/>
  <c r="DJ95" i="33"/>
  <c r="CG125" i="33"/>
  <c r="CG103" i="33"/>
  <c r="CG101" i="33"/>
  <c r="CG99" i="33"/>
  <c r="CG97" i="33"/>
  <c r="DI136" i="33"/>
  <c r="DI132" i="33"/>
  <c r="DI130" i="33"/>
  <c r="DI128" i="33"/>
  <c r="DI122" i="33"/>
  <c r="DI120" i="33"/>
  <c r="DI118" i="33"/>
  <c r="DI116" i="33"/>
  <c r="DI114" i="33"/>
  <c r="DI112" i="33"/>
  <c r="DI110" i="33"/>
  <c r="DI108" i="33"/>
  <c r="DI106" i="33"/>
  <c r="DI104" i="33"/>
  <c r="DI102" i="33"/>
  <c r="DI100" i="33"/>
  <c r="DI98" i="33"/>
  <c r="DI95" i="33"/>
  <c r="CF101" i="33"/>
  <c r="CF99" i="33"/>
  <c r="CF97" i="33"/>
  <c r="DH136" i="33"/>
  <c r="DH132" i="33"/>
  <c r="DH128" i="33"/>
  <c r="DH122" i="33"/>
  <c r="DH120" i="33"/>
  <c r="DH118" i="33"/>
  <c r="DH116" i="33"/>
  <c r="DH114" i="33"/>
  <c r="DH112" i="33"/>
  <c r="DH110" i="33"/>
  <c r="DH106" i="33"/>
  <c r="DH104" i="33"/>
  <c r="CE97" i="33"/>
  <c r="DG134" i="33"/>
  <c r="DG126" i="33"/>
  <c r="DG122" i="33"/>
  <c r="DG118" i="33"/>
  <c r="DG116" i="33"/>
  <c r="DG114" i="33"/>
  <c r="DG112" i="33"/>
  <c r="DG110" i="33"/>
  <c r="DG106" i="33"/>
  <c r="DG104" i="33"/>
  <c r="CD97" i="33"/>
  <c r="CC129" i="33"/>
  <c r="CC125" i="33"/>
  <c r="CC123" i="33"/>
  <c r="CC119" i="33"/>
  <c r="CC105" i="33"/>
  <c r="CC103" i="33"/>
  <c r="CC101" i="33"/>
  <c r="CC99" i="33"/>
  <c r="CC97" i="33"/>
  <c r="DM135" i="33"/>
  <c r="DM131" i="33"/>
  <c r="DM129" i="33"/>
  <c r="DM127" i="33"/>
  <c r="DM125" i="33"/>
  <c r="DM123" i="33"/>
  <c r="DM103" i="33"/>
  <c r="DM101" i="33"/>
  <c r="DM97" i="33"/>
  <c r="DM94" i="33"/>
  <c r="DM119" i="33"/>
  <c r="CA97" i="33"/>
  <c r="DL92" i="33"/>
  <c r="DK135" i="33"/>
  <c r="DK133" i="33"/>
  <c r="DK131" i="33"/>
  <c r="DK129" i="33"/>
  <c r="DK123" i="33"/>
  <c r="DK121" i="33"/>
  <c r="DK117" i="33"/>
  <c r="DK115" i="33"/>
  <c r="DK113" i="33"/>
  <c r="DK111" i="33"/>
  <c r="DK109" i="33"/>
  <c r="DK107" i="33"/>
  <c r="DK105" i="33"/>
  <c r="DK99" i="33"/>
  <c r="DK97" i="33"/>
  <c r="DK94" i="33"/>
  <c r="BZ97" i="33"/>
  <c r="DK92" i="33"/>
  <c r="DJ131" i="33"/>
  <c r="DJ129" i="33"/>
  <c r="DJ127" i="33"/>
  <c r="DJ125" i="33"/>
  <c r="DJ123" i="33"/>
  <c r="DJ121" i="33"/>
  <c r="DJ119" i="33"/>
  <c r="DJ117" i="33"/>
  <c r="DJ115" i="33"/>
  <c r="DJ113" i="33"/>
  <c r="DJ111" i="33"/>
  <c r="DJ109" i="33"/>
  <c r="DJ107" i="33"/>
  <c r="DJ105" i="33"/>
  <c r="DJ103" i="33"/>
  <c r="DJ101" i="33"/>
  <c r="DJ99" i="33"/>
  <c r="DJ97" i="33"/>
  <c r="DJ94" i="33"/>
  <c r="DJ133" i="33"/>
  <c r="CG116" i="33"/>
  <c r="DJ92" i="33"/>
  <c r="DI133" i="33"/>
  <c r="DI131" i="33"/>
  <c r="DI129" i="33"/>
  <c r="DI125" i="33"/>
  <c r="DI123" i="33"/>
  <c r="DI121" i="33"/>
  <c r="DI119" i="33"/>
  <c r="DI117" i="33"/>
  <c r="DI115" i="33"/>
  <c r="DI113" i="33"/>
  <c r="DI111" i="33"/>
  <c r="DI109" i="33"/>
  <c r="DI107" i="33"/>
  <c r="DI105" i="33"/>
  <c r="DI103" i="33"/>
  <c r="DI101" i="33"/>
  <c r="DI97" i="33"/>
  <c r="DI94" i="33"/>
  <c r="BZ128" i="33"/>
  <c r="BZ120" i="33"/>
  <c r="BZ102" i="33"/>
  <c r="BZ100" i="33"/>
  <c r="BZ98" i="33"/>
  <c r="BZ95" i="33"/>
  <c r="AV2" i="36"/>
  <c r="BZ92" i="33" s="1"/>
  <c r="CG129" i="33"/>
  <c r="CG123" i="33"/>
  <c r="CG119" i="33"/>
  <c r="CG105" i="33"/>
  <c r="CF123" i="33"/>
  <c r="CF119" i="33"/>
  <c r="CF105" i="33"/>
  <c r="CF103" i="33"/>
  <c r="BZ127" i="33"/>
  <c r="CE125" i="33"/>
  <c r="CE123" i="33"/>
  <c r="BZ117" i="33"/>
  <c r="BZ115" i="33"/>
  <c r="BZ113" i="33"/>
  <c r="BZ111" i="33"/>
  <c r="BZ109" i="33"/>
  <c r="BZ107" i="33"/>
  <c r="CE101" i="33"/>
  <c r="CE99" i="33"/>
  <c r="CD129" i="33"/>
  <c r="CD125" i="33"/>
  <c r="CD123" i="33"/>
  <c r="CD119" i="33"/>
  <c r="CD105" i="33"/>
  <c r="CD103" i="33"/>
  <c r="CD101" i="33"/>
  <c r="CD99" i="33"/>
  <c r="CB129" i="33"/>
  <c r="CB125" i="33"/>
  <c r="CB119" i="33"/>
  <c r="CB105" i="33"/>
  <c r="CB103" i="33"/>
  <c r="CB101" i="33"/>
  <c r="CB99" i="33"/>
  <c r="CA129" i="33"/>
  <c r="CA125" i="33"/>
  <c r="CA119" i="33"/>
  <c r="CA105" i="33"/>
  <c r="CA103" i="33"/>
  <c r="CA101" i="33"/>
  <c r="CA99" i="33"/>
  <c r="BZ129" i="33"/>
  <c r="BZ125" i="33"/>
  <c r="BZ119" i="33"/>
  <c r="BZ105" i="33"/>
  <c r="BZ103" i="33"/>
  <c r="BZ101" i="33"/>
  <c r="BZ99" i="33"/>
  <c r="CG128" i="33"/>
  <c r="CG118" i="33"/>
  <c r="CG104" i="33"/>
  <c r="CG102" i="33"/>
  <c r="CG100" i="33"/>
  <c r="CG98" i="33"/>
  <c r="CG95" i="33"/>
  <c r="CF118" i="33"/>
  <c r="CF104" i="33"/>
  <c r="CF102" i="33"/>
  <c r="CF100" i="33"/>
  <c r="CF98" i="33"/>
  <c r="CF95" i="33"/>
  <c r="CE104" i="33"/>
  <c r="CE102" i="33"/>
  <c r="CE100" i="33"/>
  <c r="CE98" i="33"/>
  <c r="CE95" i="33"/>
  <c r="CD128" i="33"/>
  <c r="CD120" i="33"/>
  <c r="CD104" i="33"/>
  <c r="CD102" i="33"/>
  <c r="CD100" i="33"/>
  <c r="CD98" i="33"/>
  <c r="CD95" i="33"/>
  <c r="CC128" i="33"/>
  <c r="CC120" i="33"/>
  <c r="CC104" i="33"/>
  <c r="CC102" i="33"/>
  <c r="CC100" i="33"/>
  <c r="CC98" i="33"/>
  <c r="CC95" i="33"/>
  <c r="CB128" i="33"/>
  <c r="CG120" i="33"/>
  <c r="CB104" i="33"/>
  <c r="CB102" i="33"/>
  <c r="CB100" i="33"/>
  <c r="CB98" i="33"/>
  <c r="CB95" i="33"/>
  <c r="CF125" i="33"/>
  <c r="CF120" i="33"/>
  <c r="CD121" i="33"/>
  <c r="CG117" i="33"/>
  <c r="CG115" i="33"/>
  <c r="CG92" i="33"/>
  <c r="CD131" i="33"/>
  <c r="CF127" i="33"/>
  <c r="CF117" i="33"/>
  <c r="CF115" i="33"/>
  <c r="CB120" i="33"/>
  <c r="CA92" i="33"/>
  <c r="CF134" i="33"/>
  <c r="CD132" i="33"/>
  <c r="CF130" i="33"/>
  <c r="CF126" i="33"/>
  <c r="BZ134" i="33"/>
  <c r="BZ130" i="33"/>
  <c r="BZ118" i="33"/>
  <c r="BZ108" i="33"/>
  <c r="BZ93" i="33"/>
  <c r="BZ136" i="33"/>
  <c r="CG136" i="33"/>
  <c r="CE136" i="33"/>
  <c r="CD136" i="33"/>
  <c r="CC136" i="33"/>
  <c r="CB136" i="33"/>
  <c r="CA136" i="33"/>
  <c r="CF135" i="33"/>
  <c r="BZ135" i="33"/>
  <c r="CG135" i="33"/>
  <c r="CE135" i="33"/>
  <c r="CD135" i="33"/>
  <c r="CC135" i="33"/>
  <c r="CA135" i="33"/>
  <c r="CG134" i="33"/>
  <c r="CE134" i="33"/>
  <c r="CD134" i="33"/>
  <c r="CC134" i="33"/>
  <c r="CA134" i="33"/>
  <c r="CG133" i="33"/>
  <c r="CE133" i="33"/>
  <c r="CD133" i="33"/>
  <c r="CC133" i="33"/>
  <c r="CB133" i="33"/>
  <c r="CA133" i="33"/>
  <c r="BZ132" i="33"/>
  <c r="CG132" i="33"/>
  <c r="CF132" i="33"/>
  <c r="CE132" i="33"/>
  <c r="CB132" i="33"/>
  <c r="CA132" i="33"/>
  <c r="BZ131" i="33"/>
  <c r="CG131" i="33"/>
  <c r="CE131" i="33"/>
  <c r="CC131" i="33"/>
  <c r="CB131" i="33"/>
  <c r="CA131" i="33"/>
  <c r="CG130" i="33"/>
  <c r="CE130" i="33"/>
  <c r="CD130" i="33"/>
  <c r="CC130" i="33"/>
  <c r="CB130" i="33"/>
  <c r="CG127" i="33"/>
  <c r="CE127" i="33"/>
  <c r="CD127" i="33"/>
  <c r="CC127" i="33"/>
  <c r="CB127" i="33"/>
  <c r="CA127" i="33"/>
  <c r="BZ126" i="33"/>
  <c r="CG126" i="33"/>
  <c r="CE126" i="33"/>
  <c r="CD126" i="33"/>
  <c r="CC126" i="33"/>
  <c r="CB126" i="33"/>
  <c r="CA126" i="33"/>
  <c r="BZ121" i="33"/>
  <c r="CG121" i="33"/>
  <c r="CF121" i="33"/>
  <c r="CE121" i="33"/>
  <c r="CC121" i="33"/>
  <c r="CB121" i="33"/>
  <c r="CA121" i="33"/>
  <c r="CE118" i="33"/>
  <c r="CE116" i="33"/>
  <c r="CD118" i="33"/>
  <c r="CD116" i="33"/>
  <c r="CC118" i="33"/>
  <c r="CC116" i="33"/>
  <c r="CB118" i="33"/>
  <c r="CB116" i="33"/>
  <c r="CA118" i="33"/>
  <c r="CA116" i="33"/>
  <c r="CE117" i="33"/>
  <c r="CE115" i="33"/>
  <c r="CD117" i="33"/>
  <c r="CD115" i="33"/>
  <c r="CC117" i="33"/>
  <c r="CC115" i="33"/>
  <c r="CB117" i="33"/>
  <c r="CB115" i="33"/>
  <c r="CA117" i="33"/>
  <c r="CA115" i="33"/>
  <c r="CG114" i="33"/>
  <c r="CF114" i="33"/>
  <c r="CE114" i="33"/>
  <c r="CD114" i="33"/>
  <c r="CC114" i="33"/>
  <c r="CB114" i="33"/>
  <c r="CA114" i="33"/>
  <c r="CG113" i="33"/>
  <c r="CF113" i="33"/>
  <c r="CE113" i="33"/>
  <c r="CD113" i="33"/>
  <c r="CC113" i="33"/>
  <c r="CB113" i="33"/>
  <c r="CA113" i="33"/>
  <c r="CG112" i="33"/>
  <c r="CF112" i="33"/>
  <c r="CE112" i="33"/>
  <c r="CD112" i="33"/>
  <c r="CC112" i="33"/>
  <c r="CB112" i="33"/>
  <c r="CA112" i="33"/>
  <c r="CG111" i="33"/>
  <c r="CF111" i="33"/>
  <c r="CE111" i="33"/>
  <c r="CD111" i="33"/>
  <c r="CC111" i="33"/>
  <c r="CB111" i="33"/>
  <c r="CA111" i="33"/>
  <c r="CG110" i="33"/>
  <c r="CF110" i="33"/>
  <c r="CE110" i="33"/>
  <c r="CD110" i="33"/>
  <c r="CC110" i="33"/>
  <c r="CB110" i="33"/>
  <c r="CA110" i="33"/>
  <c r="CG109" i="33"/>
  <c r="CF109" i="33"/>
  <c r="CE109" i="33"/>
  <c r="CD109" i="33"/>
  <c r="CC109" i="33"/>
  <c r="CB109" i="33"/>
  <c r="CA109" i="33"/>
  <c r="CG108" i="33"/>
  <c r="CF108" i="33"/>
  <c r="CE108" i="33"/>
  <c r="CD108" i="33"/>
  <c r="CC108" i="33"/>
  <c r="CB108" i="33"/>
  <c r="CA108" i="33"/>
  <c r="CG107" i="33"/>
  <c r="CF107" i="33"/>
  <c r="CE107" i="33"/>
  <c r="CD107" i="33"/>
  <c r="CC107" i="33"/>
  <c r="CB107" i="33"/>
  <c r="CA107" i="33"/>
  <c r="CG106" i="33"/>
  <c r="CF106" i="33"/>
  <c r="CE106" i="33"/>
  <c r="CD106" i="33"/>
  <c r="CC106" i="33"/>
  <c r="CB106" i="33"/>
  <c r="BZ94" i="33"/>
  <c r="CG94" i="33"/>
  <c r="CF94" i="33"/>
  <c r="CE94" i="33"/>
  <c r="CD94" i="33"/>
  <c r="CC94" i="33"/>
  <c r="CB94" i="33"/>
  <c r="CA94" i="33"/>
  <c r="CG93" i="33"/>
  <c r="CF93" i="33"/>
  <c r="CE93" i="33"/>
  <c r="CD93" i="33"/>
  <c r="CC93" i="33"/>
  <c r="CB93" i="33"/>
  <c r="CA93" i="33"/>
  <c r="CF92" i="33"/>
  <c r="CE92" i="33"/>
  <c r="CD92" i="33"/>
  <c r="CC92" i="33"/>
  <c r="CB92" i="33"/>
  <c r="W40" i="36" l="1"/>
  <c r="G130" i="33" s="1"/>
  <c r="DH130" i="33"/>
  <c r="W42" i="36"/>
  <c r="G132" i="33" s="1"/>
  <c r="DG132" i="33"/>
  <c r="W46" i="36"/>
  <c r="G136" i="33" s="1"/>
  <c r="DG136" i="33"/>
  <c r="W30" i="36"/>
  <c r="G120" i="33" s="1"/>
  <c r="DG120" i="33"/>
  <c r="W38" i="36"/>
  <c r="G128" i="33" s="1"/>
  <c r="DG128" i="33"/>
  <c r="W20" i="36"/>
  <c r="G110" i="33" s="1"/>
  <c r="DF110" i="33"/>
  <c r="W3" i="36"/>
  <c r="G93" i="33" s="1"/>
  <c r="DK93" i="33"/>
  <c r="W37" i="36"/>
  <c r="G127" i="33" s="1"/>
  <c r="DI127" i="33"/>
  <c r="V32" i="36"/>
  <c r="H122" i="33" s="1"/>
  <c r="CB122" i="33"/>
  <c r="V16" i="36"/>
  <c r="H106" i="33" s="1"/>
  <c r="CA106" i="33"/>
  <c r="CB123" i="33"/>
  <c r="V33" i="36"/>
  <c r="H123" i="33" s="1"/>
  <c r="BZ133" i="33"/>
  <c r="V43" i="36"/>
  <c r="H133" i="33" s="1"/>
  <c r="W18" i="36"/>
  <c r="G108" i="33" s="1"/>
  <c r="G116" i="17" s="1"/>
  <c r="DF108" i="33"/>
  <c r="W9" i="36"/>
  <c r="G99" i="33" s="1"/>
  <c r="W7" i="36"/>
  <c r="G97" i="33" s="1"/>
  <c r="V9" i="36"/>
  <c r="H99" i="33" s="1"/>
  <c r="V11" i="36"/>
  <c r="H101" i="33" s="1"/>
  <c r="W36" i="36"/>
  <c r="G126" i="33" s="1"/>
  <c r="W32" i="36"/>
  <c r="G122" i="33" s="1"/>
  <c r="V39" i="36"/>
  <c r="H129" i="33" s="1"/>
  <c r="G134" i="33"/>
  <c r="W14" i="36"/>
  <c r="G104" i="33" s="1"/>
  <c r="W16" i="36"/>
  <c r="G106" i="33" s="1"/>
  <c r="W5" i="36"/>
  <c r="G95" i="33" s="1"/>
  <c r="W8" i="36"/>
  <c r="G98" i="33" s="1"/>
  <c r="W22" i="36"/>
  <c r="G112" i="33" s="1"/>
  <c r="W10" i="36"/>
  <c r="G100" i="33" s="1"/>
  <c r="W24" i="36"/>
  <c r="G114" i="33" s="1"/>
  <c r="W12" i="36"/>
  <c r="G102" i="33" s="1"/>
  <c r="W26" i="36"/>
  <c r="G116" i="33" s="1"/>
  <c r="W13" i="36"/>
  <c r="G103" i="33" s="1"/>
  <c r="W2" i="36"/>
  <c r="G92" i="33" s="1"/>
  <c r="V7" i="36"/>
  <c r="H97" i="33" s="1"/>
  <c r="W28" i="36"/>
  <c r="G118" i="33" s="1"/>
  <c r="W15" i="36"/>
  <c r="G105" i="33" s="1"/>
  <c r="W17" i="36"/>
  <c r="G107" i="33" s="1"/>
  <c r="W19" i="36"/>
  <c r="G109" i="33" s="1"/>
  <c r="V27" i="36"/>
  <c r="H117" i="33" s="1"/>
  <c r="W21" i="36"/>
  <c r="G111" i="33" s="1"/>
  <c r="W23" i="36"/>
  <c r="G113" i="33" s="1"/>
  <c r="W25" i="36"/>
  <c r="G115" i="33" s="1"/>
  <c r="V15" i="36"/>
  <c r="H105" i="33" s="1"/>
  <c r="V13" i="36"/>
  <c r="H103" i="33" s="1"/>
  <c r="W27" i="36"/>
  <c r="G117" i="33" s="1"/>
  <c r="V5" i="36"/>
  <c r="H95" i="33" s="1"/>
  <c r="V29" i="36"/>
  <c r="H119" i="33" s="1"/>
  <c r="W29" i="36"/>
  <c r="G119" i="33" s="1"/>
  <c r="V35" i="36"/>
  <c r="H125" i="33" s="1"/>
  <c r="W31" i="36"/>
  <c r="G121" i="33" s="1"/>
  <c r="W33" i="36"/>
  <c r="G123" i="33" s="1"/>
  <c r="W35" i="36"/>
  <c r="G125" i="33" s="1"/>
  <c r="V14" i="36"/>
  <c r="H104" i="33" s="1"/>
  <c r="W4" i="36"/>
  <c r="G94" i="33" s="1"/>
  <c r="W39" i="36"/>
  <c r="G129" i="33" s="1"/>
  <c r="V26" i="36"/>
  <c r="H116" i="33" s="1"/>
  <c r="W41" i="36"/>
  <c r="G131" i="33" s="1"/>
  <c r="V22" i="36"/>
  <c r="H112" i="33" s="1"/>
  <c r="V2" i="36"/>
  <c r="H92" i="33" s="1"/>
  <c r="W43" i="36"/>
  <c r="G133" i="33" s="1"/>
  <c r="V30" i="36"/>
  <c r="H120" i="33" s="1"/>
  <c r="W11" i="36"/>
  <c r="G101" i="33" s="1"/>
  <c r="W45" i="36"/>
  <c r="G135" i="33" s="1"/>
  <c r="V20" i="36"/>
  <c r="H110" i="33" s="1"/>
  <c r="V4" i="36"/>
  <c r="H94" i="33" s="1"/>
  <c r="V25" i="36"/>
  <c r="H115" i="33" s="1"/>
  <c r="V23" i="36"/>
  <c r="H113" i="33" s="1"/>
  <c r="V37" i="36"/>
  <c r="H127" i="33" s="1"/>
  <c r="V21" i="36"/>
  <c r="H111" i="33" s="1"/>
  <c r="V8" i="36"/>
  <c r="H98" i="33" s="1"/>
  <c r="V10" i="36"/>
  <c r="H100" i="33" s="1"/>
  <c r="V19" i="36"/>
  <c r="H109" i="33" s="1"/>
  <c r="V12" i="36"/>
  <c r="H102" i="33" s="1"/>
  <c r="V17" i="36"/>
  <c r="H107" i="33" s="1"/>
  <c r="V24" i="36"/>
  <c r="H114" i="33" s="1"/>
  <c r="V38" i="36"/>
  <c r="H128" i="33" s="1"/>
  <c r="V36" i="36"/>
  <c r="H126" i="33" s="1"/>
  <c r="V46" i="36"/>
  <c r="H136" i="33" s="1"/>
  <c r="V41" i="36"/>
  <c r="H131" i="33" s="1"/>
  <c r="V3" i="36"/>
  <c r="H93" i="33" s="1"/>
  <c r="V18" i="36"/>
  <c r="H108" i="33" s="1"/>
  <c r="H116" i="17" s="1"/>
  <c r="V28" i="36"/>
  <c r="H118" i="33" s="1"/>
  <c r="V40" i="36"/>
  <c r="H130" i="33" s="1"/>
  <c r="H134" i="33"/>
  <c r="V42" i="36"/>
  <c r="H132" i="33" s="1"/>
  <c r="V45" i="36"/>
  <c r="H135" i="33" s="1"/>
  <c r="V31" i="36"/>
  <c r="H121" i="33" s="1"/>
  <c r="G121" i="17" l="1"/>
  <c r="K23" i="9"/>
  <c r="G111" i="17"/>
  <c r="K13" i="9"/>
  <c r="G144" i="17"/>
  <c r="K46" i="9"/>
  <c r="G124" i="17"/>
  <c r="K26" i="9"/>
  <c r="G105" i="17"/>
  <c r="K7" i="9"/>
  <c r="G117" i="17"/>
  <c r="K19" i="9"/>
  <c r="G142" i="17"/>
  <c r="K44" i="9"/>
  <c r="G118" i="17"/>
  <c r="K20" i="9"/>
  <c r="G125" i="17"/>
  <c r="K27" i="9"/>
  <c r="G131" i="17"/>
  <c r="K33" i="9"/>
  <c r="G126" i="17"/>
  <c r="K28" i="9"/>
  <c r="G120" i="17"/>
  <c r="K22" i="9"/>
  <c r="G134" i="17"/>
  <c r="K36" i="9"/>
  <c r="G129" i="17"/>
  <c r="K31" i="9"/>
  <c r="G123" i="17"/>
  <c r="K25" i="9"/>
  <c r="G106" i="17"/>
  <c r="K8" i="9"/>
  <c r="G135" i="17"/>
  <c r="K37" i="9"/>
  <c r="G128" i="17"/>
  <c r="K30" i="9"/>
  <c r="G100" i="17"/>
  <c r="K2" i="9"/>
  <c r="G127" i="17"/>
  <c r="K29" i="9"/>
  <c r="G114" i="17"/>
  <c r="K16" i="9"/>
  <c r="G137" i="17"/>
  <c r="K39" i="9"/>
  <c r="G110" i="17"/>
  <c r="K12" i="9"/>
  <c r="G139" i="17"/>
  <c r="K41" i="9"/>
  <c r="G103" i="17"/>
  <c r="K5" i="9"/>
  <c r="G119" i="17"/>
  <c r="K21" i="9"/>
  <c r="G101" i="17"/>
  <c r="K3" i="9"/>
  <c r="G143" i="17"/>
  <c r="K45" i="9"/>
  <c r="G112" i="17"/>
  <c r="K14" i="9"/>
  <c r="G109" i="17"/>
  <c r="K11" i="9"/>
  <c r="G102" i="17"/>
  <c r="K4" i="9"/>
  <c r="G107" i="17"/>
  <c r="K9" i="9"/>
  <c r="G140" i="17"/>
  <c r="K42" i="9"/>
  <c r="G115" i="17"/>
  <c r="K17" i="9"/>
  <c r="G122" i="17"/>
  <c r="K24" i="9"/>
  <c r="G141" i="17"/>
  <c r="K43" i="9"/>
  <c r="G133" i="17"/>
  <c r="K35" i="9"/>
  <c r="G113" i="17"/>
  <c r="K15" i="9"/>
  <c r="G108" i="17"/>
  <c r="K10" i="9"/>
  <c r="G130" i="17"/>
  <c r="K32" i="9"/>
  <c r="G136" i="17"/>
  <c r="K38" i="9"/>
  <c r="G138" i="17"/>
  <c r="K40" i="9"/>
  <c r="H121" i="17"/>
  <c r="L23" i="9"/>
  <c r="H100" i="17"/>
  <c r="L2" i="9"/>
  <c r="H113" i="17"/>
  <c r="L15" i="9"/>
  <c r="H141" i="17"/>
  <c r="L43" i="9"/>
  <c r="H120" i="17"/>
  <c r="L22" i="9"/>
  <c r="H101" i="17"/>
  <c r="L3" i="9"/>
  <c r="H110" i="17"/>
  <c r="L12" i="9"/>
  <c r="H102" i="17"/>
  <c r="L4" i="9"/>
  <c r="H133" i="17"/>
  <c r="L35" i="9"/>
  <c r="H131" i="17"/>
  <c r="L33" i="9"/>
  <c r="H105" i="17"/>
  <c r="L7" i="9"/>
  <c r="H118" i="17"/>
  <c r="L20" i="9"/>
  <c r="H124" i="17"/>
  <c r="L26" i="9"/>
  <c r="H107" i="17"/>
  <c r="L9" i="9"/>
  <c r="H126" i="17"/>
  <c r="L28" i="9"/>
  <c r="H129" i="17"/>
  <c r="L31" i="9"/>
  <c r="H143" i="17"/>
  <c r="L45" i="9"/>
  <c r="H144" i="17"/>
  <c r="L46" i="9"/>
  <c r="H108" i="17"/>
  <c r="L10" i="9"/>
  <c r="H127" i="17"/>
  <c r="L29" i="9"/>
  <c r="H125" i="17"/>
  <c r="L27" i="9"/>
  <c r="H115" i="17"/>
  <c r="L17" i="9"/>
  <c r="H109" i="17"/>
  <c r="L11" i="9"/>
  <c r="H140" i="17"/>
  <c r="L42" i="9"/>
  <c r="H134" i="17"/>
  <c r="L36" i="9"/>
  <c r="H106" i="17"/>
  <c r="L8" i="9"/>
  <c r="H103" i="17"/>
  <c r="L5" i="9"/>
  <c r="H114" i="17"/>
  <c r="L16" i="9"/>
  <c r="H123" i="17"/>
  <c r="L25" i="9"/>
  <c r="H117" i="17"/>
  <c r="L19" i="9"/>
  <c r="H136" i="17"/>
  <c r="L38" i="9"/>
  <c r="H119" i="17"/>
  <c r="L21" i="9"/>
  <c r="H128" i="17"/>
  <c r="L30" i="9"/>
  <c r="H112" i="17"/>
  <c r="L14" i="9"/>
  <c r="H137" i="17"/>
  <c r="L39" i="9"/>
  <c r="H139" i="17"/>
  <c r="L41" i="9"/>
  <c r="H142" i="17"/>
  <c r="L44" i="9"/>
  <c r="H138" i="17"/>
  <c r="L40" i="9"/>
  <c r="H122" i="17"/>
  <c r="L24" i="9"/>
  <c r="H135" i="17"/>
  <c r="L37" i="9"/>
  <c r="H111" i="17"/>
  <c r="L13" i="9"/>
  <c r="H130" i="17"/>
  <c r="L32" i="9"/>
  <c r="L18" i="9"/>
  <c r="K18" i="9"/>
  <c r="B113" i="2"/>
  <c r="B101" i="6"/>
  <c r="A113" i="2"/>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5" i="6"/>
  <c r="A136" i="6"/>
  <c r="A137" i="6"/>
  <c r="A138" i="6"/>
  <c r="A139" i="6"/>
  <c r="A140" i="6"/>
  <c r="A141" i="6"/>
  <c r="A142" i="6"/>
  <c r="A143" i="6"/>
  <c r="A144" i="6"/>
  <c r="A145" i="6"/>
  <c r="A101" i="6"/>
  <c r="G4" i="16"/>
  <c r="G7" i="16"/>
  <c r="G10" i="16"/>
  <c r="G19" i="16"/>
  <c r="G20" i="16"/>
  <c r="G21" i="16"/>
  <c r="G22" i="16"/>
  <c r="F4" i="16"/>
  <c r="F7" i="16"/>
  <c r="F10" i="16"/>
  <c r="F19" i="16"/>
  <c r="F20" i="16"/>
  <c r="F21" i="16"/>
  <c r="F22" i="16"/>
  <c r="AE109" i="2"/>
  <c r="AE105" i="2"/>
  <c r="AE98" i="2"/>
  <c r="AD98" i="2"/>
  <c r="AE96" i="2"/>
  <c r="AD96" i="2"/>
  <c r="AD95" i="2"/>
  <c r="AE97" i="2"/>
  <c r="D90" i="2"/>
  <c r="AG90" i="2" s="1"/>
  <c r="D91" i="2"/>
  <c r="AD91" i="2" s="1"/>
  <c r="D92" i="2"/>
  <c r="AD92" i="2" s="1"/>
  <c r="D93" i="2"/>
  <c r="D94" i="2"/>
  <c r="D95" i="2"/>
  <c r="D96" i="2"/>
  <c r="D97" i="2"/>
  <c r="D98" i="2"/>
  <c r="D99" i="2"/>
  <c r="D100" i="2"/>
  <c r="D101" i="2"/>
  <c r="AD101" i="2" s="1"/>
  <c r="D102" i="2"/>
  <c r="AD102" i="2" s="1"/>
  <c r="D103" i="2"/>
  <c r="AD103" i="2" s="1"/>
  <c r="D104" i="2"/>
  <c r="AE104" i="2" s="1"/>
  <c r="D105" i="2"/>
  <c r="D106" i="2"/>
  <c r="D107" i="2"/>
  <c r="AF107" i="2" s="1"/>
  <c r="D108" i="2"/>
  <c r="D109" i="2"/>
  <c r="D110" i="2"/>
  <c r="B91" i="2"/>
  <c r="B92" i="2"/>
  <c r="B93" i="2"/>
  <c r="B94" i="2"/>
  <c r="B95" i="2"/>
  <c r="B96" i="2"/>
  <c r="B97" i="2"/>
  <c r="B98" i="2"/>
  <c r="B99" i="2"/>
  <c r="B100" i="2"/>
  <c r="B101" i="2"/>
  <c r="B102" i="2"/>
  <c r="B103" i="2"/>
  <c r="B104" i="2"/>
  <c r="B105" i="2"/>
  <c r="B106" i="2"/>
  <c r="B107" i="2"/>
  <c r="B108" i="2"/>
  <c r="B109" i="2"/>
  <c r="B110" i="2"/>
  <c r="B90" i="2"/>
  <c r="AE95" i="2"/>
  <c r="N3" i="16"/>
  <c r="O3" i="16"/>
  <c r="P3" i="16"/>
  <c r="Q3" i="16"/>
  <c r="R3" i="16"/>
  <c r="S3" i="16"/>
  <c r="N4" i="16"/>
  <c r="O4" i="16"/>
  <c r="P4" i="16"/>
  <c r="Q4" i="16"/>
  <c r="R4" i="16"/>
  <c r="S4" i="16"/>
  <c r="N5" i="16"/>
  <c r="O5" i="16"/>
  <c r="P5" i="16"/>
  <c r="Q5" i="16"/>
  <c r="R5" i="16"/>
  <c r="S5" i="16"/>
  <c r="N6" i="16"/>
  <c r="O6" i="16"/>
  <c r="P6" i="16"/>
  <c r="Q6" i="16"/>
  <c r="R6" i="16"/>
  <c r="S6" i="16"/>
  <c r="N7" i="16"/>
  <c r="O7" i="16"/>
  <c r="P7" i="16"/>
  <c r="Q7" i="16"/>
  <c r="R7" i="16"/>
  <c r="S7" i="16"/>
  <c r="N8" i="16"/>
  <c r="O8" i="16"/>
  <c r="P8" i="16"/>
  <c r="Q8" i="16"/>
  <c r="R8" i="16"/>
  <c r="S8" i="16"/>
  <c r="N9" i="16"/>
  <c r="O9" i="16"/>
  <c r="P9" i="16"/>
  <c r="Q9" i="16"/>
  <c r="R9" i="16"/>
  <c r="S9" i="16"/>
  <c r="N10" i="16"/>
  <c r="O10" i="16"/>
  <c r="P10" i="16"/>
  <c r="Q10" i="16"/>
  <c r="R10" i="16"/>
  <c r="S10" i="16"/>
  <c r="N11" i="16"/>
  <c r="O11" i="16"/>
  <c r="P11" i="16"/>
  <c r="Q11" i="16"/>
  <c r="R11" i="16"/>
  <c r="S11" i="16"/>
  <c r="N12" i="16"/>
  <c r="O12" i="16"/>
  <c r="P12" i="16"/>
  <c r="Q12" i="16"/>
  <c r="R12" i="16"/>
  <c r="S12" i="16"/>
  <c r="N13" i="16"/>
  <c r="O13" i="16"/>
  <c r="P13" i="16"/>
  <c r="Q13" i="16"/>
  <c r="R13" i="16"/>
  <c r="S13" i="16"/>
  <c r="N14" i="16"/>
  <c r="O14" i="16"/>
  <c r="P14" i="16"/>
  <c r="Q14" i="16"/>
  <c r="R14" i="16"/>
  <c r="S14" i="16"/>
  <c r="N15" i="16"/>
  <c r="O15" i="16"/>
  <c r="P15" i="16"/>
  <c r="Q15" i="16"/>
  <c r="R15" i="16"/>
  <c r="S15" i="16"/>
  <c r="N16" i="16"/>
  <c r="O16" i="16"/>
  <c r="P16" i="16"/>
  <c r="Q16" i="16"/>
  <c r="R16" i="16"/>
  <c r="S16" i="16"/>
  <c r="N17" i="16"/>
  <c r="O17" i="16"/>
  <c r="P17" i="16"/>
  <c r="Q17" i="16"/>
  <c r="R17" i="16"/>
  <c r="S17" i="16"/>
  <c r="N18" i="16"/>
  <c r="O18" i="16"/>
  <c r="P18" i="16"/>
  <c r="Q18" i="16"/>
  <c r="R18" i="16"/>
  <c r="S18" i="16"/>
  <c r="N19" i="16"/>
  <c r="O19" i="16"/>
  <c r="P19" i="16"/>
  <c r="Q19" i="16"/>
  <c r="R19" i="16"/>
  <c r="S19" i="16"/>
  <c r="N20" i="16"/>
  <c r="O20" i="16"/>
  <c r="P20" i="16"/>
  <c r="Q20" i="16"/>
  <c r="R20" i="16"/>
  <c r="S20" i="16"/>
  <c r="N21" i="16"/>
  <c r="O21" i="16"/>
  <c r="P21" i="16"/>
  <c r="Q21" i="16"/>
  <c r="R21" i="16"/>
  <c r="S21" i="16"/>
  <c r="N22" i="16"/>
  <c r="O22" i="16"/>
  <c r="P22" i="16"/>
  <c r="Q22" i="16"/>
  <c r="R22" i="16"/>
  <c r="S22" i="16"/>
  <c r="O2" i="16"/>
  <c r="P2" i="16"/>
  <c r="Q2" i="16"/>
  <c r="R2" i="16"/>
  <c r="S2" i="16"/>
  <c r="N2" i="16"/>
  <c r="E91" i="2"/>
  <c r="F91" i="2"/>
  <c r="G91" i="2"/>
  <c r="E92" i="2"/>
  <c r="F92" i="2"/>
  <c r="G92" i="2"/>
  <c r="E93" i="2"/>
  <c r="F93" i="2"/>
  <c r="AC93" i="2" s="1"/>
  <c r="G93" i="2"/>
  <c r="E94" i="2"/>
  <c r="F94" i="2"/>
  <c r="AC94" i="2" s="1"/>
  <c r="G94" i="2"/>
  <c r="E95" i="2"/>
  <c r="F95" i="2"/>
  <c r="G95" i="2"/>
  <c r="E96" i="2"/>
  <c r="F96" i="2"/>
  <c r="G96" i="2"/>
  <c r="E97" i="2"/>
  <c r="F97" i="2"/>
  <c r="G97" i="2"/>
  <c r="E98" i="2"/>
  <c r="F98" i="2"/>
  <c r="G98" i="2"/>
  <c r="E99" i="2"/>
  <c r="F99" i="2"/>
  <c r="AC99" i="2" s="1"/>
  <c r="G99" i="2"/>
  <c r="E100" i="2"/>
  <c r="F100" i="2"/>
  <c r="AC100" i="2" s="1"/>
  <c r="G100" i="2"/>
  <c r="E101" i="2"/>
  <c r="F101" i="2"/>
  <c r="G101" i="2"/>
  <c r="E102" i="2"/>
  <c r="F102" i="2"/>
  <c r="G102" i="2"/>
  <c r="E103" i="2"/>
  <c r="F103" i="2"/>
  <c r="G103" i="2"/>
  <c r="E104" i="2"/>
  <c r="F104" i="2"/>
  <c r="G104" i="2"/>
  <c r="E105" i="2"/>
  <c r="F105" i="2"/>
  <c r="G105" i="2"/>
  <c r="E106" i="2"/>
  <c r="F106" i="2"/>
  <c r="AC106" i="2" s="1"/>
  <c r="G106" i="2"/>
  <c r="E107" i="2"/>
  <c r="F107" i="2"/>
  <c r="G107" i="2"/>
  <c r="E108" i="2"/>
  <c r="F108" i="2"/>
  <c r="G108" i="2"/>
  <c r="E109" i="2"/>
  <c r="F109" i="2"/>
  <c r="G109" i="2"/>
  <c r="E110" i="2"/>
  <c r="F110" i="2"/>
  <c r="G110" i="2"/>
  <c r="F90" i="2"/>
  <c r="G90" i="2"/>
  <c r="E90" i="2"/>
  <c r="A91" i="2"/>
  <c r="A92" i="2"/>
  <c r="A93" i="2"/>
  <c r="A94" i="2"/>
  <c r="A95" i="2"/>
  <c r="A96" i="2"/>
  <c r="A97" i="2"/>
  <c r="A98" i="2"/>
  <c r="A99" i="2"/>
  <c r="A100" i="2"/>
  <c r="A101" i="2"/>
  <c r="A102" i="2"/>
  <c r="A103" i="2"/>
  <c r="A104" i="2"/>
  <c r="A105" i="2"/>
  <c r="A106" i="2"/>
  <c r="A107" i="2"/>
  <c r="A108" i="2"/>
  <c r="A109" i="2"/>
  <c r="A110" i="2"/>
  <c r="A90" i="2"/>
  <c r="E35" i="2"/>
  <c r="F35" i="2"/>
  <c r="G35" i="2"/>
  <c r="E36" i="2"/>
  <c r="F36" i="2"/>
  <c r="G36" i="2"/>
  <c r="E37" i="2"/>
  <c r="F37" i="2"/>
  <c r="G37" i="2"/>
  <c r="E38" i="2"/>
  <c r="F38" i="2"/>
  <c r="G38" i="2"/>
  <c r="E39" i="2"/>
  <c r="F39" i="2"/>
  <c r="G39" i="2"/>
  <c r="E40" i="2"/>
  <c r="F40" i="2"/>
  <c r="G40" i="2"/>
  <c r="E41" i="2"/>
  <c r="F41" i="2"/>
  <c r="G41" i="2"/>
  <c r="E42" i="2"/>
  <c r="F42" i="2"/>
  <c r="G42" i="2"/>
  <c r="E43" i="2"/>
  <c r="F43" i="2"/>
  <c r="G43" i="2"/>
  <c r="E44" i="2"/>
  <c r="F44" i="2"/>
  <c r="G44" i="2"/>
  <c r="E45" i="2"/>
  <c r="F45" i="2"/>
  <c r="G45" i="2"/>
  <c r="E46" i="2"/>
  <c r="F46" i="2"/>
  <c r="G46" i="2"/>
  <c r="E47" i="2"/>
  <c r="F47" i="2"/>
  <c r="G47" i="2"/>
  <c r="E48" i="2"/>
  <c r="F48" i="2"/>
  <c r="G48" i="2"/>
  <c r="E49" i="2"/>
  <c r="F49" i="2"/>
  <c r="G49" i="2"/>
  <c r="E50" i="2"/>
  <c r="F50" i="2"/>
  <c r="G50" i="2"/>
  <c r="E51" i="2"/>
  <c r="F51" i="2"/>
  <c r="G51" i="2"/>
  <c r="E52" i="2"/>
  <c r="F52" i="2"/>
  <c r="G52" i="2"/>
  <c r="E53" i="2"/>
  <c r="F53" i="2"/>
  <c r="G53" i="2"/>
  <c r="E54" i="2"/>
  <c r="F54" i="2"/>
  <c r="G54" i="2"/>
  <c r="E55" i="2"/>
  <c r="F55" i="2"/>
  <c r="G55" i="2"/>
  <c r="E56" i="2"/>
  <c r="F56" i="2"/>
  <c r="G56" i="2"/>
  <c r="E57" i="2"/>
  <c r="F57" i="2"/>
  <c r="G57" i="2"/>
  <c r="E58" i="2"/>
  <c r="F58" i="2"/>
  <c r="G58" i="2"/>
  <c r="E59" i="2"/>
  <c r="F59" i="2"/>
  <c r="G59" i="2"/>
  <c r="E60" i="2"/>
  <c r="F60" i="2"/>
  <c r="G60" i="2"/>
  <c r="E61" i="2"/>
  <c r="F61" i="2"/>
  <c r="G61" i="2"/>
  <c r="E62" i="2"/>
  <c r="F62" i="2"/>
  <c r="G62" i="2"/>
  <c r="E63" i="2"/>
  <c r="F63" i="2"/>
  <c r="G63" i="2"/>
  <c r="E64" i="2"/>
  <c r="F64" i="2"/>
  <c r="G64" i="2"/>
  <c r="E65" i="2"/>
  <c r="F65" i="2"/>
  <c r="G65" i="2"/>
  <c r="E66" i="2"/>
  <c r="F66" i="2"/>
  <c r="G66" i="2"/>
  <c r="E67" i="2"/>
  <c r="F67" i="2"/>
  <c r="G67" i="2"/>
  <c r="E68" i="2"/>
  <c r="F68" i="2"/>
  <c r="G68" i="2"/>
  <c r="E69" i="2"/>
  <c r="F69" i="2"/>
  <c r="G69" i="2"/>
  <c r="E70" i="2"/>
  <c r="F70" i="2"/>
  <c r="G70" i="2"/>
  <c r="E71" i="2"/>
  <c r="F71" i="2"/>
  <c r="G71" i="2"/>
  <c r="E72" i="2"/>
  <c r="F72" i="2"/>
  <c r="G72" i="2"/>
  <c r="E73" i="2"/>
  <c r="F73" i="2"/>
  <c r="G73" i="2"/>
  <c r="E74" i="2"/>
  <c r="F74" i="2"/>
  <c r="G74" i="2"/>
  <c r="E75" i="2"/>
  <c r="F75" i="2"/>
  <c r="G75" i="2"/>
  <c r="E76" i="2"/>
  <c r="F76" i="2"/>
  <c r="G76" i="2"/>
  <c r="E77" i="2"/>
  <c r="F77" i="2"/>
  <c r="G77" i="2"/>
  <c r="E78" i="2"/>
  <c r="F78" i="2"/>
  <c r="G78" i="2"/>
  <c r="E79" i="2"/>
  <c r="F79" i="2"/>
  <c r="G79" i="2"/>
  <c r="E80" i="2"/>
  <c r="F80" i="2"/>
  <c r="G80" i="2"/>
  <c r="E81" i="2"/>
  <c r="F81" i="2"/>
  <c r="G81" i="2"/>
  <c r="E82" i="2"/>
  <c r="F82" i="2"/>
  <c r="G82" i="2"/>
  <c r="E83" i="2"/>
  <c r="F83" i="2"/>
  <c r="G83" i="2"/>
  <c r="E84" i="2"/>
  <c r="F84" i="2"/>
  <c r="G84" i="2"/>
  <c r="E85" i="2"/>
  <c r="F85" i="2"/>
  <c r="G85" i="2"/>
  <c r="E86" i="2"/>
  <c r="F86" i="2"/>
  <c r="G86" i="2"/>
  <c r="E87" i="2"/>
  <c r="F87" i="2"/>
  <c r="AC87" i="2" s="1"/>
  <c r="G87" i="2"/>
  <c r="F34" i="2"/>
  <c r="G34" i="2"/>
  <c r="E34" i="2"/>
  <c r="AM100" i="2" l="1"/>
  <c r="AM99" i="2"/>
  <c r="AD90" i="2"/>
  <c r="AE90" i="2"/>
  <c r="AF91" i="2"/>
  <c r="AE91" i="2"/>
  <c r="AF90" i="2"/>
  <c r="AG91" i="2"/>
  <c r="AE107" i="2"/>
  <c r="AD107" i="2"/>
  <c r="AM106" i="2"/>
  <c r="AM94" i="2"/>
  <c r="AM93" i="2"/>
  <c r="AG107" i="2"/>
  <c r="AG92" i="2"/>
  <c r="AF92" i="2"/>
  <c r="AE92" i="2"/>
  <c r="AD104" i="2"/>
  <c r="AG103" i="2"/>
  <c r="AF103" i="2"/>
  <c r="AE103" i="2"/>
  <c r="AG102" i="2"/>
  <c r="AF102" i="2"/>
  <c r="AE102" i="2"/>
  <c r="AG101" i="2"/>
  <c r="AF101" i="2"/>
  <c r="AE101" i="2"/>
  <c r="AG104" i="2"/>
  <c r="AF104" i="2"/>
  <c r="E22" i="16"/>
  <c r="E21" i="16"/>
  <c r="E20" i="16"/>
  <c r="E19" i="16"/>
  <c r="E10" i="16"/>
  <c r="E7" i="16"/>
  <c r="E4" i="16"/>
  <c r="AC69" i="33"/>
  <c r="AC70" i="33"/>
  <c r="AC71" i="33"/>
  <c r="AC72" i="33"/>
  <c r="AC73" i="33"/>
  <c r="AC74" i="33"/>
  <c r="AC75" i="33"/>
  <c r="AC76" i="33"/>
  <c r="AC77" i="33"/>
  <c r="AC78" i="33"/>
  <c r="AC79" i="33"/>
  <c r="AC80" i="33"/>
  <c r="AC81" i="33"/>
  <c r="AC82" i="33"/>
  <c r="AC83" i="33"/>
  <c r="AC84" i="33"/>
  <c r="AC85" i="33"/>
  <c r="AC86" i="33"/>
  <c r="AC87" i="33"/>
  <c r="AC88" i="33"/>
  <c r="AC89" i="33"/>
  <c r="AB87" i="33"/>
  <c r="AB88" i="33"/>
  <c r="AB89" i="33"/>
  <c r="AB69" i="33"/>
  <c r="AB70" i="33"/>
  <c r="AB71" i="33"/>
  <c r="AB72" i="33"/>
  <c r="AB73" i="33"/>
  <c r="AB74" i="33"/>
  <c r="AB75" i="33"/>
  <c r="AB76" i="33"/>
  <c r="AB77" i="33"/>
  <c r="AB78" i="33"/>
  <c r="AB79" i="33"/>
  <c r="AB80" i="33"/>
  <c r="AB81" i="33"/>
  <c r="AB82" i="33"/>
  <c r="AB83" i="33"/>
  <c r="AB84" i="33"/>
  <c r="AB85" i="33"/>
  <c r="AB86" i="33"/>
  <c r="E3" i="16"/>
  <c r="E5" i="16"/>
  <c r="E6" i="16"/>
  <c r="E8" i="16"/>
  <c r="E9" i="16"/>
  <c r="E11" i="16"/>
  <c r="E12" i="16"/>
  <c r="E13" i="16"/>
  <c r="E14" i="16"/>
  <c r="E15" i="16"/>
  <c r="E16" i="16"/>
  <c r="E17" i="16"/>
  <c r="E18" i="16"/>
  <c r="E2" i="16"/>
  <c r="CX69" i="33"/>
  <c r="CY69" i="33"/>
  <c r="CZ69" i="33"/>
  <c r="DA69" i="33"/>
  <c r="DB69" i="33"/>
  <c r="DC69" i="33"/>
  <c r="DD69" i="33"/>
  <c r="DE69" i="33"/>
  <c r="CX70" i="33"/>
  <c r="CY70" i="33"/>
  <c r="CZ70" i="33"/>
  <c r="DA70" i="33"/>
  <c r="DB70" i="33"/>
  <c r="DC70" i="33"/>
  <c r="DD70" i="33"/>
  <c r="DE70" i="33"/>
  <c r="CX71" i="33"/>
  <c r="CY71" i="33"/>
  <c r="CZ71" i="33"/>
  <c r="DA71" i="33"/>
  <c r="DB71" i="33"/>
  <c r="DC71" i="33"/>
  <c r="DD71" i="33"/>
  <c r="DE71" i="33"/>
  <c r="CX72" i="33"/>
  <c r="CY72" i="33"/>
  <c r="CZ72" i="33"/>
  <c r="DA72" i="33"/>
  <c r="DB72" i="33"/>
  <c r="DC72" i="33"/>
  <c r="DD72" i="33"/>
  <c r="DE72" i="33"/>
  <c r="CX73" i="33"/>
  <c r="CY73" i="33"/>
  <c r="CZ73" i="33"/>
  <c r="DA73" i="33"/>
  <c r="DB73" i="33"/>
  <c r="DC73" i="33"/>
  <c r="DD73" i="33"/>
  <c r="DE73" i="33"/>
  <c r="CX74" i="33"/>
  <c r="CY74" i="33"/>
  <c r="CZ74" i="33"/>
  <c r="DA74" i="33"/>
  <c r="DB74" i="33"/>
  <c r="DC74" i="33"/>
  <c r="DD74" i="33"/>
  <c r="DE74" i="33"/>
  <c r="CX75" i="33"/>
  <c r="CY75" i="33"/>
  <c r="CZ75" i="33"/>
  <c r="DA75" i="33"/>
  <c r="DB75" i="33"/>
  <c r="DC75" i="33"/>
  <c r="DD75" i="33"/>
  <c r="DE75" i="33"/>
  <c r="CX76" i="33"/>
  <c r="CY76" i="33"/>
  <c r="CZ76" i="33"/>
  <c r="DA76" i="33"/>
  <c r="DB76" i="33"/>
  <c r="DC76" i="33"/>
  <c r="DD76" i="33"/>
  <c r="DE76" i="33"/>
  <c r="CX77" i="33"/>
  <c r="CY77" i="33"/>
  <c r="CZ77" i="33"/>
  <c r="DA77" i="33"/>
  <c r="DB77" i="33"/>
  <c r="DC77" i="33"/>
  <c r="DD77" i="33"/>
  <c r="DE77" i="33"/>
  <c r="CX78" i="33"/>
  <c r="CY78" i="33"/>
  <c r="CZ78" i="33"/>
  <c r="DA78" i="33"/>
  <c r="DB78" i="33"/>
  <c r="DC78" i="33"/>
  <c r="DD78" i="33"/>
  <c r="DE78" i="33"/>
  <c r="CX79" i="33"/>
  <c r="CY79" i="33"/>
  <c r="CZ79" i="33"/>
  <c r="DA79" i="33"/>
  <c r="DB79" i="33"/>
  <c r="DC79" i="33"/>
  <c r="DD79" i="33"/>
  <c r="DE79" i="33"/>
  <c r="CX80" i="33"/>
  <c r="CY80" i="33"/>
  <c r="CZ80" i="33"/>
  <c r="DA80" i="33"/>
  <c r="DB80" i="33"/>
  <c r="DC80" i="33"/>
  <c r="DD80" i="33"/>
  <c r="DE80" i="33"/>
  <c r="CX81" i="33"/>
  <c r="CY81" i="33"/>
  <c r="CZ81" i="33"/>
  <c r="DA81" i="33"/>
  <c r="DB81" i="33"/>
  <c r="DC81" i="33"/>
  <c r="DD81" i="33"/>
  <c r="DE81" i="33"/>
  <c r="CX82" i="33"/>
  <c r="CY82" i="33"/>
  <c r="CZ82" i="33"/>
  <c r="DA82" i="33"/>
  <c r="DB82" i="33"/>
  <c r="DC82" i="33"/>
  <c r="DD82" i="33"/>
  <c r="DE82" i="33"/>
  <c r="CX83" i="33"/>
  <c r="CY83" i="33"/>
  <c r="CZ83" i="33"/>
  <c r="DA83" i="33"/>
  <c r="DB83" i="33"/>
  <c r="DC83" i="33"/>
  <c r="DD83" i="33"/>
  <c r="DE83" i="33"/>
  <c r="CX84" i="33"/>
  <c r="CY84" i="33"/>
  <c r="CZ84" i="33"/>
  <c r="DA84" i="33"/>
  <c r="DB84" i="33"/>
  <c r="DC84" i="33"/>
  <c r="DD84" i="33"/>
  <c r="DE84" i="33"/>
  <c r="CX85" i="33"/>
  <c r="CY85" i="33"/>
  <c r="CZ85" i="33"/>
  <c r="DA85" i="33"/>
  <c r="DB85" i="33"/>
  <c r="DC85" i="33"/>
  <c r="DD85" i="33"/>
  <c r="DE85" i="33"/>
  <c r="CX86" i="33"/>
  <c r="CY86" i="33"/>
  <c r="CZ86" i="33"/>
  <c r="DA86" i="33"/>
  <c r="DB86" i="33"/>
  <c r="DC86" i="33"/>
  <c r="DD86" i="33"/>
  <c r="DE86" i="33"/>
  <c r="CX87" i="33"/>
  <c r="CY87" i="33"/>
  <c r="CZ87" i="33"/>
  <c r="DA87" i="33"/>
  <c r="DB87" i="33"/>
  <c r="DC87" i="33"/>
  <c r="DD87" i="33"/>
  <c r="DE87" i="33"/>
  <c r="CX88" i="33"/>
  <c r="CY88" i="33"/>
  <c r="CZ88" i="33"/>
  <c r="DA88" i="33"/>
  <c r="DB88" i="33"/>
  <c r="DC88" i="33"/>
  <c r="DD88" i="33"/>
  <c r="DE88" i="33"/>
  <c r="CX89" i="33"/>
  <c r="CY89" i="33"/>
  <c r="CZ89" i="33"/>
  <c r="DA89" i="33"/>
  <c r="DB89" i="33"/>
  <c r="DC89" i="33"/>
  <c r="DD89" i="33"/>
  <c r="DE89" i="33"/>
  <c r="BR71" i="33"/>
  <c r="BS71" i="33"/>
  <c r="BT71" i="33"/>
  <c r="BU71" i="33"/>
  <c r="BV71" i="33"/>
  <c r="BW71" i="33"/>
  <c r="BX71" i="33"/>
  <c r="BY71" i="33"/>
  <c r="BR77" i="33"/>
  <c r="BS77" i="33"/>
  <c r="BT77" i="33"/>
  <c r="BU77" i="33"/>
  <c r="BV77" i="33"/>
  <c r="BW77" i="33"/>
  <c r="BX77" i="33"/>
  <c r="BY77" i="33"/>
  <c r="BR70" i="33"/>
  <c r="BS70" i="33"/>
  <c r="BT70" i="33"/>
  <c r="BU70" i="33"/>
  <c r="BV70" i="33"/>
  <c r="BW70" i="33"/>
  <c r="BX70" i="33"/>
  <c r="BY70" i="33"/>
  <c r="BR72" i="33"/>
  <c r="BS72" i="33"/>
  <c r="BT72" i="33"/>
  <c r="BU72" i="33"/>
  <c r="BV72" i="33"/>
  <c r="BW72" i="33"/>
  <c r="BX72" i="33"/>
  <c r="BY72" i="33"/>
  <c r="BR73" i="33"/>
  <c r="BS73" i="33"/>
  <c r="BT73" i="33"/>
  <c r="BU73" i="33"/>
  <c r="BV73" i="33"/>
  <c r="BW73" i="33"/>
  <c r="BX73" i="33"/>
  <c r="BY73" i="33"/>
  <c r="BR74" i="33"/>
  <c r="BS74" i="33"/>
  <c r="BT74" i="33"/>
  <c r="BU74" i="33"/>
  <c r="BV74" i="33"/>
  <c r="BW74" i="33"/>
  <c r="BX74" i="33"/>
  <c r="BY74" i="33"/>
  <c r="BR75" i="33"/>
  <c r="BS75" i="33"/>
  <c r="BT75" i="33"/>
  <c r="BU75" i="33"/>
  <c r="BV75" i="33"/>
  <c r="BW75" i="33"/>
  <c r="BX75" i="33"/>
  <c r="BY75" i="33"/>
  <c r="BR76" i="33"/>
  <c r="BS76" i="33"/>
  <c r="BT76" i="33"/>
  <c r="BU76" i="33"/>
  <c r="BV76" i="33"/>
  <c r="BW76" i="33"/>
  <c r="BX76" i="33"/>
  <c r="BY76" i="33"/>
  <c r="BR78" i="33"/>
  <c r="BS78" i="33"/>
  <c r="BT78" i="33"/>
  <c r="BU78" i="33"/>
  <c r="BV78" i="33"/>
  <c r="BW78" i="33"/>
  <c r="BX78" i="33"/>
  <c r="BY78" i="33"/>
  <c r="BR79" i="33"/>
  <c r="BS79" i="33"/>
  <c r="BT79" i="33"/>
  <c r="BU79" i="33"/>
  <c r="BV79" i="33"/>
  <c r="BW79" i="33"/>
  <c r="BX79" i="33"/>
  <c r="BY79" i="33"/>
  <c r="BR80" i="33"/>
  <c r="BS80" i="33"/>
  <c r="BT80" i="33"/>
  <c r="BU80" i="33"/>
  <c r="BV80" i="33"/>
  <c r="BW80" i="33"/>
  <c r="BX80" i="33"/>
  <c r="BY80" i="33"/>
  <c r="BR81" i="33"/>
  <c r="BS81" i="33"/>
  <c r="BT81" i="33"/>
  <c r="BU81" i="33"/>
  <c r="BV81" i="33"/>
  <c r="BW81" i="33"/>
  <c r="BX81" i="33"/>
  <c r="BY81" i="33"/>
  <c r="BR82" i="33"/>
  <c r="BS82" i="33"/>
  <c r="BT82" i="33"/>
  <c r="BU82" i="33"/>
  <c r="BV82" i="33"/>
  <c r="BW82" i="33"/>
  <c r="BX82" i="33"/>
  <c r="BY82" i="33"/>
  <c r="BR83" i="33"/>
  <c r="BS83" i="33"/>
  <c r="BT83" i="33"/>
  <c r="BU83" i="33"/>
  <c r="BV83" i="33"/>
  <c r="BW83" i="33"/>
  <c r="BX83" i="33"/>
  <c r="BY83" i="33"/>
  <c r="BR84" i="33"/>
  <c r="BS84" i="33"/>
  <c r="BT84" i="33"/>
  <c r="BU84" i="33"/>
  <c r="BV84" i="33"/>
  <c r="BW84" i="33"/>
  <c r="BX84" i="33"/>
  <c r="BY84" i="33"/>
  <c r="BR85" i="33"/>
  <c r="BS85" i="33"/>
  <c r="BT85" i="33"/>
  <c r="BU85" i="33"/>
  <c r="BV85" i="33"/>
  <c r="BW85" i="33"/>
  <c r="BX85" i="33"/>
  <c r="BY85" i="33"/>
  <c r="BR86" i="33"/>
  <c r="BS86" i="33"/>
  <c r="BT86" i="33"/>
  <c r="BU86" i="33"/>
  <c r="BV86" i="33"/>
  <c r="BW86" i="33"/>
  <c r="BX86" i="33"/>
  <c r="BY86" i="33"/>
  <c r="BR87" i="33"/>
  <c r="BS87" i="33"/>
  <c r="BT87" i="33"/>
  <c r="BU87" i="33"/>
  <c r="BV87" i="33"/>
  <c r="BW87" i="33"/>
  <c r="BX87" i="33"/>
  <c r="BY87" i="33"/>
  <c r="BR88" i="33"/>
  <c r="BS88" i="33"/>
  <c r="BT88" i="33"/>
  <c r="BU88" i="33"/>
  <c r="BV88" i="33"/>
  <c r="BW88" i="33"/>
  <c r="BX88" i="33"/>
  <c r="BY88" i="33"/>
  <c r="BS89" i="33"/>
  <c r="BT89" i="33"/>
  <c r="BU89" i="33"/>
  <c r="BV89" i="33"/>
  <c r="BW89" i="33"/>
  <c r="BX89" i="33"/>
  <c r="BY89" i="33"/>
  <c r="BR288" i="33"/>
  <c r="BS288" i="33"/>
  <c r="BT288" i="33"/>
  <c r="BU288" i="33"/>
  <c r="BV288" i="33"/>
  <c r="BW288" i="33"/>
  <c r="BX288" i="33"/>
  <c r="BY288" i="33"/>
  <c r="BS69" i="33"/>
  <c r="BT69" i="33"/>
  <c r="BU69" i="33"/>
  <c r="BV69" i="33"/>
  <c r="BW69" i="33"/>
  <c r="BX69" i="33"/>
  <c r="BY69" i="33"/>
  <c r="BR69" i="33"/>
  <c r="BR289" i="33"/>
  <c r="BS289" i="33"/>
  <c r="BT289" i="33"/>
  <c r="BU289" i="33"/>
  <c r="BV289" i="33"/>
  <c r="BW289" i="33"/>
  <c r="BX289" i="33"/>
  <c r="BY289" i="33"/>
  <c r="BR290" i="33"/>
  <c r="BS290" i="33"/>
  <c r="BT290" i="33"/>
  <c r="BU290" i="33"/>
  <c r="BV290" i="33"/>
  <c r="BW290" i="33"/>
  <c r="BX290" i="33"/>
  <c r="BY290" i="33"/>
  <c r="BR291" i="33"/>
  <c r="BS291" i="33"/>
  <c r="BT291" i="33"/>
  <c r="BU291" i="33"/>
  <c r="BV291" i="33"/>
  <c r="BW291" i="33"/>
  <c r="BX291" i="33"/>
  <c r="BY291" i="33"/>
  <c r="BR292" i="33"/>
  <c r="BS292" i="33"/>
  <c r="BT292" i="33"/>
  <c r="BU292" i="33"/>
  <c r="BV292" i="33"/>
  <c r="BW292" i="33"/>
  <c r="BX292" i="33"/>
  <c r="BY292" i="33"/>
  <c r="BR293" i="33"/>
  <c r="BS293" i="33"/>
  <c r="BT293" i="33"/>
  <c r="BU293" i="33"/>
  <c r="BV293" i="33"/>
  <c r="BW293" i="33"/>
  <c r="BX293" i="33"/>
  <c r="BY293" i="33"/>
  <c r="BR294" i="33"/>
  <c r="BS294" i="33"/>
  <c r="BT294" i="33"/>
  <c r="BU294" i="33"/>
  <c r="BV294" i="33"/>
  <c r="BW294" i="33"/>
  <c r="BX294" i="33"/>
  <c r="BY294" i="33"/>
  <c r="BR295" i="33"/>
  <c r="BS295" i="33"/>
  <c r="BT295" i="33"/>
  <c r="BU295" i="33"/>
  <c r="BV295" i="33"/>
  <c r="BW295" i="33"/>
  <c r="BX295" i="33"/>
  <c r="BY295" i="33"/>
  <c r="BR296" i="33"/>
  <c r="BS296" i="33"/>
  <c r="BT296" i="33"/>
  <c r="BU296" i="33"/>
  <c r="BV296" i="33"/>
  <c r="BW296" i="33"/>
  <c r="BX296" i="33"/>
  <c r="BY296" i="33"/>
  <c r="BR297" i="33"/>
  <c r="BS297" i="33"/>
  <c r="BT297" i="33"/>
  <c r="BU297" i="33"/>
  <c r="BV297" i="33"/>
  <c r="BW297" i="33"/>
  <c r="BX297" i="33"/>
  <c r="BY297" i="33"/>
  <c r="BR298" i="33"/>
  <c r="BS298" i="33"/>
  <c r="BT298" i="33"/>
  <c r="BU298" i="33"/>
  <c r="BV298" i="33"/>
  <c r="BW298" i="33"/>
  <c r="BX298" i="33"/>
  <c r="BY298" i="33"/>
  <c r="BR299" i="33"/>
  <c r="BS299" i="33"/>
  <c r="BT299" i="33"/>
  <c r="BU299" i="33"/>
  <c r="BV299" i="33"/>
  <c r="BW299" i="33"/>
  <c r="BX299" i="33"/>
  <c r="BY299" i="33"/>
  <c r="BR300" i="33"/>
  <c r="BS300" i="33"/>
  <c r="BT300" i="33"/>
  <c r="BU300" i="33"/>
  <c r="BV300" i="33"/>
  <c r="BW300" i="33"/>
  <c r="BX300" i="33"/>
  <c r="BY300" i="33"/>
  <c r="BR301" i="33"/>
  <c r="BS301" i="33"/>
  <c r="BT301" i="33"/>
  <c r="BU301" i="33"/>
  <c r="BV301" i="33"/>
  <c r="BW301" i="33"/>
  <c r="BX301" i="33"/>
  <c r="BY301" i="33"/>
  <c r="BR302" i="33"/>
  <c r="BS302" i="33"/>
  <c r="BT302" i="33"/>
  <c r="BU302" i="33"/>
  <c r="BV302" i="33"/>
  <c r="BW302" i="33"/>
  <c r="BX302" i="33"/>
  <c r="BY302" i="33"/>
  <c r="BR303" i="33"/>
  <c r="BS303" i="33"/>
  <c r="BT303" i="33"/>
  <c r="BU303" i="33"/>
  <c r="BV303" i="33"/>
  <c r="BW303" i="33"/>
  <c r="BX303" i="33"/>
  <c r="BY303" i="33"/>
  <c r="BR304" i="33"/>
  <c r="BS304" i="33"/>
  <c r="BT304" i="33"/>
  <c r="BU304" i="33"/>
  <c r="BV304" i="33"/>
  <c r="BW304" i="33"/>
  <c r="BX304" i="33"/>
  <c r="BY304" i="33"/>
  <c r="B79" i="6"/>
  <c r="B80" i="6"/>
  <c r="B81" i="6"/>
  <c r="B82" i="6"/>
  <c r="B83" i="6"/>
  <c r="B84" i="6"/>
  <c r="B85" i="6"/>
  <c r="B86" i="6"/>
  <c r="B87" i="6"/>
  <c r="B88" i="6"/>
  <c r="B89" i="6"/>
  <c r="B90" i="6"/>
  <c r="B91" i="6"/>
  <c r="B92" i="6"/>
  <c r="B93" i="6"/>
  <c r="B94" i="6"/>
  <c r="B95" i="6"/>
  <c r="B96" i="6"/>
  <c r="B97" i="6"/>
  <c r="B98" i="6"/>
  <c r="B78" i="6"/>
  <c r="A97" i="6"/>
  <c r="A98" i="6"/>
  <c r="A96" i="6"/>
  <c r="A93" i="6"/>
  <c r="A94" i="6"/>
  <c r="A95" i="6"/>
  <c r="A79" i="6"/>
  <c r="A80" i="6"/>
  <c r="A81" i="6"/>
  <c r="A82" i="6"/>
  <c r="A83" i="6"/>
  <c r="A84" i="6"/>
  <c r="A85" i="6"/>
  <c r="A86" i="6"/>
  <c r="A87" i="6"/>
  <c r="A88" i="6"/>
  <c r="A89" i="6"/>
  <c r="A90" i="6"/>
  <c r="A91" i="6"/>
  <c r="A92" i="6"/>
  <c r="A78"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22" i="6"/>
  <c r="B4" i="16"/>
  <c r="D17" i="16"/>
  <c r="D18" i="16"/>
  <c r="D19" i="16"/>
  <c r="D20" i="16"/>
  <c r="D21" i="16"/>
  <c r="D22" i="16"/>
  <c r="A17" i="16"/>
  <c r="B17" i="16"/>
  <c r="C17" i="16"/>
  <c r="A18" i="16"/>
  <c r="B18" i="16"/>
  <c r="C18" i="16"/>
  <c r="A19" i="16"/>
  <c r="B19" i="16"/>
  <c r="C19" i="16"/>
  <c r="A20" i="16"/>
  <c r="B20" i="16"/>
  <c r="C20" i="16"/>
  <c r="A21" i="16"/>
  <c r="B21" i="16"/>
  <c r="C21" i="16"/>
  <c r="A22" i="16"/>
  <c r="B22" i="16"/>
  <c r="C22" i="16"/>
  <c r="B3" i="16"/>
  <c r="B5" i="16"/>
  <c r="B6" i="16"/>
  <c r="B7" i="16"/>
  <c r="B8" i="16"/>
  <c r="B9" i="16"/>
  <c r="B10" i="16"/>
  <c r="B11" i="16"/>
  <c r="B12" i="16"/>
  <c r="B13" i="16"/>
  <c r="B14" i="16"/>
  <c r="B15" i="16"/>
  <c r="B16" i="16"/>
  <c r="B2" i="16"/>
  <c r="A3" i="16"/>
  <c r="C3" i="16"/>
  <c r="D3" i="16"/>
  <c r="A4" i="16"/>
  <c r="C4" i="16"/>
  <c r="D4" i="16"/>
  <c r="A5" i="16"/>
  <c r="C5" i="16"/>
  <c r="D5" i="16"/>
  <c r="A6" i="16"/>
  <c r="C6" i="16"/>
  <c r="D6" i="16"/>
  <c r="A7" i="16"/>
  <c r="C7" i="16"/>
  <c r="D7" i="16"/>
  <c r="A8" i="16"/>
  <c r="C8" i="16"/>
  <c r="D8" i="16"/>
  <c r="A9" i="16"/>
  <c r="C9" i="16"/>
  <c r="D9" i="16"/>
  <c r="A10" i="16"/>
  <c r="C10" i="16"/>
  <c r="D10" i="16"/>
  <c r="A11" i="16"/>
  <c r="C11" i="16"/>
  <c r="D11" i="16"/>
  <c r="A12" i="16"/>
  <c r="C12" i="16"/>
  <c r="D12" i="16"/>
  <c r="A13" i="16"/>
  <c r="C13" i="16"/>
  <c r="D13" i="16"/>
  <c r="A14" i="16"/>
  <c r="C14" i="16"/>
  <c r="D14" i="16"/>
  <c r="A15" i="16"/>
  <c r="C15" i="16"/>
  <c r="D15" i="16"/>
  <c r="A16" i="16"/>
  <c r="C16" i="16"/>
  <c r="D16" i="16"/>
  <c r="D2" i="16"/>
  <c r="C2" i="16"/>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2" i="12"/>
  <c r="C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2"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2" i="12"/>
  <c r="A3" i="12"/>
  <c r="AC3" i="12" s="1" a="1"/>
  <c r="AC3" i="12" s="1"/>
  <c r="A4" i="12"/>
  <c r="AG4" i="12" s="1" a="1"/>
  <c r="AG4" i="12" s="1"/>
  <c r="A5" i="12"/>
  <c r="AC5" i="12" s="1" a="1"/>
  <c r="AC5" i="12" s="1"/>
  <c r="A6" i="12"/>
  <c r="AC6" i="12" s="1" a="1"/>
  <c r="AC6" i="12" s="1"/>
  <c r="A7" i="12"/>
  <c r="AE7" i="12" s="1" a="1"/>
  <c r="AE7" i="12" s="1"/>
  <c r="A8" i="12"/>
  <c r="AC8" i="12" s="1" a="1"/>
  <c r="AC8" i="12" s="1"/>
  <c r="A9" i="12"/>
  <c r="AC9" i="12" s="1" a="1"/>
  <c r="AC9" i="12" s="1"/>
  <c r="A10" i="12"/>
  <c r="AC10" i="12" s="1" a="1"/>
  <c r="AC10" i="12" s="1"/>
  <c r="A11" i="12"/>
  <c r="AD11" i="12" s="1" a="1"/>
  <c r="AD11" i="12" s="1"/>
  <c r="A12" i="12"/>
  <c r="X12" i="12" s="1" a="1"/>
  <c r="X12" i="12" s="1"/>
  <c r="A13" i="12"/>
  <c r="AC13" i="12" s="1" a="1"/>
  <c r="AC13" i="12" s="1"/>
  <c r="A14" i="12"/>
  <c r="AC14" i="12" s="1" a="1"/>
  <c r="AC14" i="12" s="1"/>
  <c r="A15" i="12"/>
  <c r="AC15" i="12" s="1" a="1"/>
  <c r="AC15" i="12" s="1"/>
  <c r="A16" i="12"/>
  <c r="AC16" i="12" s="1" a="1"/>
  <c r="AC16" i="12" s="1"/>
  <c r="A17" i="12"/>
  <c r="AC17" i="12" s="1" a="1"/>
  <c r="AC17" i="12" s="1"/>
  <c r="A18" i="12"/>
  <c r="Y18" i="12" s="1" a="1"/>
  <c r="Y18" i="12" s="1"/>
  <c r="A19" i="12"/>
  <c r="AC19" i="12" s="1" a="1"/>
  <c r="AC19" i="12" s="1"/>
  <c r="A20" i="12"/>
  <c r="AC20" i="12" s="1" a="1"/>
  <c r="AC20" i="12" s="1"/>
  <c r="A21" i="12"/>
  <c r="AC21" i="12" s="1" a="1"/>
  <c r="AC21" i="12" s="1"/>
  <c r="A22" i="12"/>
  <c r="AE22" i="12" s="1" a="1"/>
  <c r="AE22" i="12" s="1"/>
  <c r="A23" i="12"/>
  <c r="AC23" i="12" s="1" a="1"/>
  <c r="AC23" i="12" s="1"/>
  <c r="A24" i="12"/>
  <c r="AF24" i="12" s="1" a="1"/>
  <c r="AF24" i="12" s="1"/>
  <c r="A25" i="12"/>
  <c r="AC25" i="12" s="1" a="1"/>
  <c r="AC25" i="12" s="1"/>
  <c r="A26" i="12"/>
  <c r="AC26" i="12" s="1" a="1"/>
  <c r="AC26" i="12" s="1"/>
  <c r="A27" i="12"/>
  <c r="AD27" i="12" s="1" a="1"/>
  <c r="AD27" i="12" s="1"/>
  <c r="A28" i="12"/>
  <c r="AD28" i="12" s="1" a="1"/>
  <c r="AD28" i="12" s="1"/>
  <c r="A29" i="12"/>
  <c r="AC29" i="12" s="1" a="1"/>
  <c r="AC29" i="12" s="1"/>
  <c r="A30" i="12"/>
  <c r="W30" i="12" s="1" a="1"/>
  <c r="W30" i="12" s="1"/>
  <c r="A31" i="12"/>
  <c r="AF31" i="12" s="1" a="1"/>
  <c r="AF31" i="12" s="1"/>
  <c r="A32" i="12"/>
  <c r="AC32" i="12" s="1" a="1"/>
  <c r="AC32" i="12" s="1"/>
  <c r="A33" i="12"/>
  <c r="AB33" i="12" s="1" a="1"/>
  <c r="AB33" i="12" s="1"/>
  <c r="A34" i="12"/>
  <c r="Y34" i="12" s="1" a="1"/>
  <c r="Y34" i="12" s="1"/>
  <c r="A35" i="12"/>
  <c r="AC35" i="12" s="1" a="1"/>
  <c r="AC35" i="12" s="1"/>
  <c r="A36" i="12"/>
  <c r="AC36" i="12" s="1" a="1"/>
  <c r="AC36" i="12" s="1"/>
  <c r="A37" i="12"/>
  <c r="AE37" i="12" s="1" a="1"/>
  <c r="AE37" i="12" s="1"/>
  <c r="A38" i="12"/>
  <c r="AE38" i="12" s="1" a="1"/>
  <c r="AE38" i="12" s="1"/>
  <c r="A39" i="12"/>
  <c r="AF39" i="12" s="1" a="1"/>
  <c r="AF39" i="12" s="1"/>
  <c r="A40" i="12"/>
  <c r="AF40" i="12" s="1" a="1"/>
  <c r="AF40" i="12" s="1"/>
  <c r="A41" i="12"/>
  <c r="AC41" i="12" s="1" a="1"/>
  <c r="AC41" i="12" s="1"/>
  <c r="A42" i="12"/>
  <c r="AB42" i="12" s="1" a="1"/>
  <c r="AB42" i="12" s="1"/>
  <c r="A43" i="12"/>
  <c r="AC43" i="12" s="1" a="1"/>
  <c r="AC43" i="12" s="1"/>
  <c r="A44" i="12"/>
  <c r="AD44" i="12" s="1" a="1"/>
  <c r="AD44" i="12" s="1"/>
  <c r="A45" i="12"/>
  <c r="AD45" i="12" s="1" a="1"/>
  <c r="AD45" i="12" s="1"/>
  <c r="A46" i="12"/>
  <c r="AG46" i="12" s="1" a="1"/>
  <c r="AG46" i="12" s="1"/>
  <c r="A47" i="12"/>
  <c r="AC47" i="12" s="1" a="1"/>
  <c r="AC47" i="12" s="1"/>
  <c r="A48" i="12"/>
  <c r="AE48" i="12" s="1" a="1"/>
  <c r="AE48" i="12" s="1"/>
  <c r="A49" i="12"/>
  <c r="AC49" i="12" s="1" a="1"/>
  <c r="AC49" i="12" s="1"/>
  <c r="A50" i="12"/>
  <c r="Y50" i="12" s="1" a="1"/>
  <c r="Y50" i="12" s="1"/>
  <c r="A51" i="12"/>
  <c r="AC51" i="12" s="1" a="1"/>
  <c r="AC51" i="12" s="1"/>
  <c r="A52" i="12"/>
  <c r="AF52" i="12" s="1" a="1"/>
  <c r="AF52" i="12" s="1"/>
  <c r="A53" i="12"/>
  <c r="X53" i="12" s="1" a="1"/>
  <c r="X53" i="12" s="1"/>
  <c r="A54" i="12"/>
  <c r="V54" i="12" s="1" a="1"/>
  <c r="V54" i="12" s="1"/>
  <c r="A55" i="12"/>
  <c r="AF55" i="12" s="1" a="1"/>
  <c r="AF55" i="12" s="1"/>
  <c r="A2" i="12"/>
  <c r="A2" i="16"/>
  <c r="U20" i="2"/>
  <c r="V20" i="2"/>
  <c r="W20" i="2"/>
  <c r="X20" i="2"/>
  <c r="T20" i="2"/>
  <c r="AM84" i="2"/>
  <c r="AQ60" i="2"/>
  <c r="AR60" i="2"/>
  <c r="AQ43" i="2"/>
  <c r="AR43" i="2"/>
  <c r="AT77" i="2"/>
  <c r="AQ77" i="2"/>
  <c r="AR77" i="2"/>
  <c r="AS77" i="2"/>
  <c r="AP77" i="2"/>
  <c r="AQ67" i="2"/>
  <c r="AR67" i="2"/>
  <c r="AS67" i="2"/>
  <c r="AT67" i="2"/>
  <c r="AP67" i="2"/>
  <c r="AE78" i="2"/>
  <c r="AF78" i="2"/>
  <c r="AT60" i="2"/>
  <c r="AS60" i="2"/>
  <c r="AP60" i="2"/>
  <c r="AT57" i="2"/>
  <c r="AQ53" i="2"/>
  <c r="AR53" i="2"/>
  <c r="AP53" i="2"/>
  <c r="AT50" i="2"/>
  <c r="X84" i="2"/>
  <c r="AC70" i="2"/>
  <c r="AC71" i="2"/>
  <c r="AC81" i="2"/>
  <c r="AC84" i="2"/>
  <c r="AC85" i="2"/>
  <c r="AC86" i="2"/>
  <c r="AT43" i="2"/>
  <c r="AT40" i="2"/>
  <c r="AS43" i="2"/>
  <c r="AP43" i="2"/>
  <c r="AF84" i="2"/>
  <c r="AE84" i="2"/>
  <c r="AF82" i="2"/>
  <c r="AE82" i="2"/>
  <c r="AE81" i="2"/>
  <c r="AF80" i="2"/>
  <c r="AE80" i="2"/>
  <c r="AF77" i="2"/>
  <c r="AF76" i="2"/>
  <c r="AF75" i="2"/>
  <c r="AF73" i="2"/>
  <c r="AE73" i="2"/>
  <c r="AF74" i="2"/>
  <c r="AE74" i="2"/>
  <c r="AE71" i="2"/>
  <c r="AE69" i="2"/>
  <c r="AE61" i="2"/>
  <c r="AE60" i="2"/>
  <c r="AG58" i="2"/>
  <c r="AE58" i="2"/>
  <c r="AE54" i="2"/>
  <c r="AE53" i="2"/>
  <c r="AF52" i="2"/>
  <c r="AE52" i="2"/>
  <c r="AE51" i="2"/>
  <c r="AM70" i="2"/>
  <c r="AM85" i="2"/>
  <c r="AM86" i="2"/>
  <c r="AM87" i="2"/>
  <c r="AE37" i="2"/>
  <c r="AF36" i="2"/>
  <c r="AE36" i="2"/>
  <c r="AD68" i="2"/>
  <c r="AE68" i="2"/>
  <c r="AF68" i="2"/>
  <c r="AG68" i="2"/>
  <c r="AD83" i="2"/>
  <c r="AE83" i="2"/>
  <c r="AF83" i="2"/>
  <c r="AG83" i="2"/>
  <c r="U33" i="2"/>
  <c r="V33" i="2"/>
  <c r="W33" i="2"/>
  <c r="X33" i="2"/>
  <c r="T33" i="2"/>
  <c r="D34" i="2"/>
  <c r="AD34" i="2" s="1"/>
  <c r="D35" i="2"/>
  <c r="D36" i="2"/>
  <c r="D37" i="2"/>
  <c r="D38" i="2"/>
  <c r="AD38" i="2" s="1"/>
  <c r="D39" i="2"/>
  <c r="D40" i="2"/>
  <c r="AD40" i="2" s="1"/>
  <c r="D41" i="2"/>
  <c r="AF41" i="2" s="1"/>
  <c r="D42" i="2"/>
  <c r="AD42" i="2" s="1"/>
  <c r="D43" i="2"/>
  <c r="AD43" i="2" s="1"/>
  <c r="D44" i="2"/>
  <c r="D45" i="2"/>
  <c r="D46" i="2"/>
  <c r="D47" i="2"/>
  <c r="AD47" i="2" s="1"/>
  <c r="D48" i="2"/>
  <c r="D49" i="2"/>
  <c r="D50" i="2"/>
  <c r="AE50" i="2" s="1"/>
  <c r="D51" i="2"/>
  <c r="D52" i="2"/>
  <c r="D53" i="2"/>
  <c r="D55" i="2"/>
  <c r="D56" i="2"/>
  <c r="AD56" i="2" s="1"/>
  <c r="D57" i="2"/>
  <c r="AF57" i="2" s="1"/>
  <c r="D58" i="2"/>
  <c r="D59" i="2"/>
  <c r="AD59" i="2" s="1"/>
  <c r="D60" i="2"/>
  <c r="D61" i="2"/>
  <c r="D62" i="2"/>
  <c r="D63" i="2"/>
  <c r="AD63" i="2" s="1"/>
  <c r="D64" i="2"/>
  <c r="AG64" i="2" s="1"/>
  <c r="D65" i="2"/>
  <c r="D66" i="2"/>
  <c r="AE66" i="2" s="1"/>
  <c r="D67" i="2"/>
  <c r="D70" i="2"/>
  <c r="D71" i="2"/>
  <c r="D72" i="2"/>
  <c r="D73" i="2"/>
  <c r="D74" i="2"/>
  <c r="D75" i="2"/>
  <c r="D76" i="2"/>
  <c r="D77" i="2"/>
  <c r="D78" i="2"/>
  <c r="D79" i="2"/>
  <c r="D80" i="2"/>
  <c r="D84" i="2"/>
  <c r="D85" i="2"/>
  <c r="D86" i="2"/>
  <c r="AD86" i="2" s="1"/>
  <c r="D87" i="2"/>
  <c r="E2" i="12"/>
  <c r="A84" i="2"/>
  <c r="B84" i="2"/>
  <c r="A85" i="2"/>
  <c r="B85" i="2"/>
  <c r="A86" i="2"/>
  <c r="B86" i="2"/>
  <c r="A87" i="2"/>
  <c r="B87"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34" i="2"/>
  <c r="E5" i="12"/>
  <c r="E37" i="12"/>
  <c r="E36" i="12"/>
  <c r="E22" i="12"/>
  <c r="E50" i="12"/>
  <c r="E51" i="12"/>
  <c r="E49" i="12"/>
  <c r="E3" i="12"/>
  <c r="E4" i="12"/>
  <c r="E6" i="12"/>
  <c r="E7" i="12"/>
  <c r="E8" i="12"/>
  <c r="E9" i="12"/>
  <c r="E10" i="12"/>
  <c r="E11" i="12"/>
  <c r="E12" i="12"/>
  <c r="E13" i="12"/>
  <c r="E14" i="12"/>
  <c r="E15" i="12"/>
  <c r="E16" i="12"/>
  <c r="E17" i="12"/>
  <c r="E18" i="12"/>
  <c r="E19" i="12"/>
  <c r="E20" i="12"/>
  <c r="E21" i="12"/>
  <c r="E23" i="12"/>
  <c r="E24" i="12"/>
  <c r="E25" i="12"/>
  <c r="E26" i="12"/>
  <c r="E27" i="12"/>
  <c r="E28" i="12"/>
  <c r="E29" i="12"/>
  <c r="E30" i="12"/>
  <c r="E31" i="12"/>
  <c r="E32" i="12"/>
  <c r="E33" i="12"/>
  <c r="E34" i="12"/>
  <c r="E35" i="12"/>
  <c r="E38" i="12"/>
  <c r="E39" i="12"/>
  <c r="E40" i="12"/>
  <c r="E41" i="12"/>
  <c r="E42" i="12"/>
  <c r="E43" i="12"/>
  <c r="E44" i="12"/>
  <c r="E45" i="12"/>
  <c r="E46" i="12"/>
  <c r="E47" i="12"/>
  <c r="E48" i="12"/>
  <c r="E52" i="12"/>
  <c r="E53" i="12"/>
  <c r="E54" i="12"/>
  <c r="E55" i="12"/>
  <c r="F22" i="12"/>
  <c r="G22" i="12"/>
  <c r="F36" i="12"/>
  <c r="G36" i="12"/>
  <c r="F37" i="12"/>
  <c r="G37" i="12"/>
  <c r="F49" i="12"/>
  <c r="G49" i="12"/>
  <c r="F50" i="12"/>
  <c r="G50" i="12"/>
  <c r="F51" i="12"/>
  <c r="G51" i="12"/>
  <c r="A3" i="33"/>
  <c r="A4" i="33" s="1"/>
  <c r="AB31" i="33"/>
  <c r="AC31" i="33"/>
  <c r="AB32" i="33"/>
  <c r="AC32" i="33"/>
  <c r="AB33" i="33"/>
  <c r="AC33" i="33"/>
  <c r="AB34" i="33"/>
  <c r="AC34" i="33"/>
  <c r="AB35" i="33"/>
  <c r="AC35" i="33"/>
  <c r="AB36" i="33"/>
  <c r="AC36" i="33"/>
  <c r="AB37" i="33"/>
  <c r="AC37" i="33"/>
  <c r="AB38" i="33"/>
  <c r="AC38" i="33"/>
  <c r="AB39" i="33"/>
  <c r="AC39" i="33"/>
  <c r="AB40" i="33"/>
  <c r="AC40" i="33"/>
  <c r="AB41" i="33"/>
  <c r="AC41" i="33"/>
  <c r="AB42" i="33"/>
  <c r="AC42" i="33"/>
  <c r="AB43" i="33"/>
  <c r="AC43" i="33"/>
  <c r="AB44" i="33"/>
  <c r="AC44" i="33"/>
  <c r="AB45" i="33"/>
  <c r="AC45" i="33"/>
  <c r="AB46" i="33"/>
  <c r="AC46" i="33"/>
  <c r="AB47" i="33"/>
  <c r="AC47" i="33"/>
  <c r="AB48" i="33"/>
  <c r="AC48" i="33"/>
  <c r="AB49" i="33"/>
  <c r="AC49" i="33"/>
  <c r="AB50" i="33"/>
  <c r="AC50" i="33"/>
  <c r="AB51" i="33"/>
  <c r="AC51" i="33"/>
  <c r="AB52" i="33"/>
  <c r="AC52" i="33"/>
  <c r="AB53" i="33"/>
  <c r="AC53" i="33"/>
  <c r="AB54" i="33"/>
  <c r="AC54" i="33"/>
  <c r="AB55" i="33"/>
  <c r="AC55" i="33"/>
  <c r="AB56" i="33"/>
  <c r="AC56" i="33"/>
  <c r="AB57" i="33"/>
  <c r="AC57" i="33"/>
  <c r="AB58" i="33"/>
  <c r="AC58" i="33"/>
  <c r="AB59" i="33"/>
  <c r="AC59" i="33"/>
  <c r="AB60" i="33"/>
  <c r="AC60" i="33"/>
  <c r="AB61" i="33"/>
  <c r="AC61" i="33"/>
  <c r="AB62" i="33"/>
  <c r="AC62" i="33"/>
  <c r="AB63" i="33"/>
  <c r="AC63" i="33"/>
  <c r="AB64" i="33"/>
  <c r="AC64" i="33"/>
  <c r="AB65" i="33"/>
  <c r="AC65" i="33"/>
  <c r="AB66" i="33"/>
  <c r="AC66" i="33"/>
  <c r="AB14" i="33"/>
  <c r="AC14" i="33"/>
  <c r="AB15" i="33"/>
  <c r="AC15" i="33"/>
  <c r="AB16" i="33"/>
  <c r="AC16" i="33"/>
  <c r="AB17" i="33"/>
  <c r="AC17" i="33"/>
  <c r="AB18" i="33"/>
  <c r="AC18" i="33"/>
  <c r="AB19" i="33"/>
  <c r="AC19" i="33"/>
  <c r="AB20" i="33"/>
  <c r="AC20" i="33"/>
  <c r="AB21" i="33"/>
  <c r="AC21" i="33"/>
  <c r="AB22" i="33"/>
  <c r="AC22" i="33"/>
  <c r="AB23" i="33"/>
  <c r="AC23" i="33"/>
  <c r="AB24" i="33"/>
  <c r="AC24" i="33"/>
  <c r="AB25" i="33"/>
  <c r="AC25" i="33"/>
  <c r="AB26" i="33"/>
  <c r="AC26" i="33"/>
  <c r="AB27" i="33"/>
  <c r="AC27" i="33"/>
  <c r="AB28" i="33"/>
  <c r="AC28" i="33"/>
  <c r="AB29" i="33"/>
  <c r="AC29" i="33"/>
  <c r="AB30" i="33"/>
  <c r="AC30" i="33"/>
  <c r="AC13" i="33"/>
  <c r="AB13" i="33"/>
  <c r="BR61" i="33"/>
  <c r="BS61" i="33"/>
  <c r="BT61" i="33"/>
  <c r="BU61" i="33"/>
  <c r="BV61" i="33"/>
  <c r="BW61" i="33"/>
  <c r="BX61" i="33"/>
  <c r="BY61" i="33"/>
  <c r="BR62" i="33"/>
  <c r="BS62" i="33"/>
  <c r="BT62" i="33"/>
  <c r="BU62" i="33"/>
  <c r="BV62" i="33"/>
  <c r="BW62" i="33"/>
  <c r="BX62" i="33"/>
  <c r="BY62" i="33"/>
  <c r="BR63" i="33"/>
  <c r="BS63" i="33"/>
  <c r="BT63" i="33"/>
  <c r="BU63" i="33"/>
  <c r="BV63" i="33"/>
  <c r="BW63" i="33"/>
  <c r="BX63" i="33"/>
  <c r="BY63" i="33"/>
  <c r="BR64" i="33"/>
  <c r="BS64" i="33"/>
  <c r="BT64" i="33"/>
  <c r="BU64" i="33"/>
  <c r="BV64" i="33"/>
  <c r="BW64" i="33"/>
  <c r="BX64" i="33"/>
  <c r="BY64" i="33"/>
  <c r="BR65" i="33"/>
  <c r="BS65" i="33"/>
  <c r="BT65" i="33"/>
  <c r="BU65" i="33"/>
  <c r="BV65" i="33"/>
  <c r="BW65" i="33"/>
  <c r="BX65" i="33"/>
  <c r="BY65" i="33"/>
  <c r="BR66" i="33"/>
  <c r="BS66" i="33"/>
  <c r="BT66" i="33"/>
  <c r="BU66" i="33"/>
  <c r="BV66" i="33"/>
  <c r="BW66" i="33"/>
  <c r="BX66" i="33"/>
  <c r="BY66" i="33"/>
  <c r="CX51" i="33"/>
  <c r="CY51" i="33"/>
  <c r="CZ51" i="33"/>
  <c r="DA51" i="33"/>
  <c r="DB51" i="33"/>
  <c r="DC51" i="33"/>
  <c r="DD51" i="33"/>
  <c r="DE51" i="33"/>
  <c r="CX52" i="33"/>
  <c r="CY52" i="33"/>
  <c r="CZ52" i="33"/>
  <c r="DA52" i="33"/>
  <c r="DB52" i="33"/>
  <c r="DC52" i="33"/>
  <c r="DD52" i="33"/>
  <c r="DE52" i="33"/>
  <c r="CX53" i="33"/>
  <c r="CY53" i="33"/>
  <c r="CZ53" i="33"/>
  <c r="DA53" i="33"/>
  <c r="DB53" i="33"/>
  <c r="DC53" i="33"/>
  <c r="DD53" i="33"/>
  <c r="DE53" i="33"/>
  <c r="CX54" i="33"/>
  <c r="CY54" i="33"/>
  <c r="CZ54" i="33"/>
  <c r="DA54" i="33"/>
  <c r="DB54" i="33"/>
  <c r="DC54" i="33"/>
  <c r="DD54" i="33"/>
  <c r="DE54" i="33"/>
  <c r="CX55" i="33"/>
  <c r="CY55" i="33"/>
  <c r="CZ55" i="33"/>
  <c r="DA55" i="33"/>
  <c r="DB55" i="33"/>
  <c r="DC55" i="33"/>
  <c r="DD55" i="33"/>
  <c r="DE55" i="33"/>
  <c r="CX56" i="33"/>
  <c r="CY56" i="33"/>
  <c r="CZ56" i="33"/>
  <c r="DA56" i="33"/>
  <c r="DB56" i="33"/>
  <c r="DC56" i="33"/>
  <c r="DD56" i="33"/>
  <c r="DE56" i="33"/>
  <c r="CX57" i="33"/>
  <c r="CY57" i="33"/>
  <c r="CZ57" i="33"/>
  <c r="DA57" i="33"/>
  <c r="DB57" i="33"/>
  <c r="DC57" i="33"/>
  <c r="DD57" i="33"/>
  <c r="DE57" i="33"/>
  <c r="CX58" i="33"/>
  <c r="CY58" i="33"/>
  <c r="CZ58" i="33"/>
  <c r="DA58" i="33"/>
  <c r="DB58" i="33"/>
  <c r="DC58" i="33"/>
  <c r="DD58" i="33"/>
  <c r="DE58" i="33"/>
  <c r="CX59" i="33"/>
  <c r="CY59" i="33"/>
  <c r="CZ59" i="33"/>
  <c r="DA59" i="33"/>
  <c r="DB59" i="33"/>
  <c r="DC59" i="33"/>
  <c r="DD59" i="33"/>
  <c r="DE59" i="33"/>
  <c r="CX60" i="33"/>
  <c r="CY60" i="33"/>
  <c r="CZ60" i="33"/>
  <c r="DA60" i="33"/>
  <c r="DB60" i="33"/>
  <c r="DC60" i="33"/>
  <c r="DD60" i="33"/>
  <c r="DE60" i="33"/>
  <c r="CX61" i="33"/>
  <c r="CY61" i="33"/>
  <c r="CZ61" i="33"/>
  <c r="DA61" i="33"/>
  <c r="DB61" i="33"/>
  <c r="DC61" i="33"/>
  <c r="DD61" i="33"/>
  <c r="DE61" i="33"/>
  <c r="CX62" i="33"/>
  <c r="CY62" i="33"/>
  <c r="CZ62" i="33"/>
  <c r="DA62" i="33"/>
  <c r="DB62" i="33"/>
  <c r="DC62" i="33"/>
  <c r="DD62" i="33"/>
  <c r="DE62" i="33"/>
  <c r="CX63" i="33"/>
  <c r="CY63" i="33"/>
  <c r="CZ63" i="33"/>
  <c r="DA63" i="33"/>
  <c r="DB63" i="33"/>
  <c r="DC63" i="33"/>
  <c r="DD63" i="33"/>
  <c r="DE63" i="33"/>
  <c r="CX64" i="33"/>
  <c r="CY64" i="33"/>
  <c r="CZ64" i="33"/>
  <c r="DA64" i="33"/>
  <c r="DB64" i="33"/>
  <c r="DC64" i="33"/>
  <c r="DD64" i="33"/>
  <c r="DE64" i="33"/>
  <c r="CX65" i="33"/>
  <c r="CY65" i="33"/>
  <c r="CZ65" i="33"/>
  <c r="DA65" i="33"/>
  <c r="DB65" i="33"/>
  <c r="DC65" i="33"/>
  <c r="DD65" i="33"/>
  <c r="DE65" i="33"/>
  <c r="CX66" i="33"/>
  <c r="CY66" i="33"/>
  <c r="CZ66" i="33"/>
  <c r="DA66" i="33"/>
  <c r="DB66" i="33"/>
  <c r="DC66" i="33"/>
  <c r="DD66" i="33"/>
  <c r="DE66" i="33"/>
  <c r="BV53" i="33"/>
  <c r="BW53" i="33"/>
  <c r="BX53" i="33"/>
  <c r="BY53" i="33"/>
  <c r="BR53" i="33"/>
  <c r="BY54" i="33"/>
  <c r="BR42" i="33"/>
  <c r="BS42" i="33"/>
  <c r="BT42" i="33"/>
  <c r="BU42" i="33"/>
  <c r="BV42" i="33"/>
  <c r="BW42" i="33"/>
  <c r="BX42" i="33"/>
  <c r="BY42" i="33"/>
  <c r="BR43" i="33"/>
  <c r="BS43" i="33"/>
  <c r="BT43" i="33"/>
  <c r="BU43" i="33"/>
  <c r="BV43" i="33"/>
  <c r="BW43" i="33"/>
  <c r="BX43" i="33"/>
  <c r="BY43" i="33"/>
  <c r="BR44" i="33"/>
  <c r="BS44" i="33"/>
  <c r="BT44" i="33"/>
  <c r="BU44" i="33"/>
  <c r="BV44" i="33"/>
  <c r="BW44" i="33"/>
  <c r="BX44" i="33"/>
  <c r="BY44" i="33"/>
  <c r="BR33" i="33"/>
  <c r="BS33" i="33"/>
  <c r="BT33" i="33"/>
  <c r="BU33" i="33"/>
  <c r="BV33" i="33"/>
  <c r="BW33" i="33"/>
  <c r="BX33" i="33"/>
  <c r="BY33" i="33"/>
  <c r="BR34" i="33"/>
  <c r="BS34" i="33"/>
  <c r="BT34" i="33"/>
  <c r="BU34" i="33"/>
  <c r="BV34" i="33"/>
  <c r="BW34" i="33"/>
  <c r="BX34" i="33"/>
  <c r="BY34" i="33"/>
  <c r="BR35" i="33"/>
  <c r="BS35" i="33"/>
  <c r="BT35" i="33"/>
  <c r="BU35" i="33"/>
  <c r="BV35" i="33"/>
  <c r="BW35" i="33"/>
  <c r="BX35" i="33"/>
  <c r="BY35" i="33"/>
  <c r="BR36" i="33"/>
  <c r="BS36" i="33"/>
  <c r="BT36" i="33"/>
  <c r="BU36" i="33"/>
  <c r="BV36" i="33"/>
  <c r="BW36" i="33"/>
  <c r="BX36" i="33"/>
  <c r="BY36" i="33"/>
  <c r="BR37" i="33"/>
  <c r="BS37" i="33"/>
  <c r="BT37" i="33"/>
  <c r="BU37" i="33"/>
  <c r="BV37" i="33"/>
  <c r="BW37" i="33"/>
  <c r="BX37" i="33"/>
  <c r="BY37" i="33"/>
  <c r="X5" i="12" a="1"/>
  <c r="X5" i="12" s="1"/>
  <c r="X11" i="12" a="1"/>
  <c r="X11" i="12" s="1"/>
  <c r="U17" i="12" a="1"/>
  <c r="U17" i="12" s="1"/>
  <c r="CD304" i="33" l="1"/>
  <c r="AG48" i="2"/>
  <c r="CD302" i="33"/>
  <c r="CD300" i="33"/>
  <c r="CD298" i="33"/>
  <c r="CD296" i="33"/>
  <c r="CD294" i="33"/>
  <c r="CD292" i="33"/>
  <c r="CD290" i="33"/>
  <c r="CF288" i="33"/>
  <c r="AF2" i="12" a="1"/>
  <c r="AF2" i="12" s="1"/>
  <c r="R2" i="26" a="1"/>
  <c r="R2" i="26" s="1"/>
  <c r="CE289" i="33"/>
  <c r="CE303" i="33"/>
  <c r="CE301" i="33"/>
  <c r="CE299" i="33"/>
  <c r="CE297" i="33"/>
  <c r="CE295" i="33"/>
  <c r="CE293" i="33"/>
  <c r="CE288" i="33"/>
  <c r="CC288" i="33"/>
  <c r="CA288" i="33"/>
  <c r="CE291" i="33"/>
  <c r="CC304" i="33"/>
  <c r="CC302" i="33"/>
  <c r="CC300" i="33"/>
  <c r="CC298" i="33"/>
  <c r="CC296" i="33"/>
  <c r="CC294" i="33"/>
  <c r="CC292" i="33"/>
  <c r="CC290" i="33"/>
  <c r="CB304" i="33"/>
  <c r="CB302" i="33"/>
  <c r="CB300" i="33"/>
  <c r="CB298" i="33"/>
  <c r="CB296" i="33"/>
  <c r="CB294" i="33"/>
  <c r="CB292" i="33"/>
  <c r="CB290" i="33"/>
  <c r="CA304" i="33"/>
  <c r="CA302" i="33"/>
  <c r="CA300" i="33"/>
  <c r="CA298" i="33"/>
  <c r="CA296" i="33"/>
  <c r="CA294" i="33"/>
  <c r="CA292" i="33"/>
  <c r="CA290" i="33"/>
  <c r="CG304" i="33"/>
  <c r="BZ304" i="33"/>
  <c r="CG302" i="33"/>
  <c r="BZ302" i="33"/>
  <c r="CG300" i="33"/>
  <c r="BZ300" i="33"/>
  <c r="BZ298" i="33"/>
  <c r="CG298" i="33"/>
  <c r="DE298" i="33" s="1"/>
  <c r="BZ296" i="33"/>
  <c r="CG296" i="33"/>
  <c r="DE296" i="33" s="1"/>
  <c r="BZ294" i="33"/>
  <c r="CG294" i="33"/>
  <c r="BZ292" i="33"/>
  <c r="CG292" i="33"/>
  <c r="CG290" i="33"/>
  <c r="BZ290" i="33"/>
  <c r="CF303" i="33"/>
  <c r="CF301" i="33"/>
  <c r="CF299" i="33"/>
  <c r="CF297" i="33"/>
  <c r="CF295" i="33"/>
  <c r="CF293" i="33"/>
  <c r="CF291" i="33"/>
  <c r="CF289" i="33"/>
  <c r="CD303" i="33"/>
  <c r="CD301" i="33"/>
  <c r="CD299" i="33"/>
  <c r="CD297" i="33"/>
  <c r="CD295" i="33"/>
  <c r="CD293" i="33"/>
  <c r="CD291" i="33"/>
  <c r="CD289" i="33"/>
  <c r="CD288" i="33"/>
  <c r="CC303" i="33"/>
  <c r="CC301" i="33"/>
  <c r="CC299" i="33"/>
  <c r="CC297" i="33"/>
  <c r="CC295" i="33"/>
  <c r="CC293" i="33"/>
  <c r="CC291" i="33"/>
  <c r="CC289" i="33"/>
  <c r="CB303" i="33"/>
  <c r="CB301" i="33"/>
  <c r="CB299" i="33"/>
  <c r="CB297" i="33"/>
  <c r="CB295" i="33"/>
  <c r="CB293" i="33"/>
  <c r="CB291" i="33"/>
  <c r="CB289" i="33"/>
  <c r="CB288" i="33"/>
  <c r="CA303" i="33"/>
  <c r="CA301" i="33"/>
  <c r="CA299" i="33"/>
  <c r="CA297" i="33"/>
  <c r="CA295" i="33"/>
  <c r="CA293" i="33"/>
  <c r="CA291" i="33"/>
  <c r="CA289" i="33"/>
  <c r="BZ303" i="33"/>
  <c r="CG303" i="33"/>
  <c r="BZ301" i="33"/>
  <c r="CG301" i="33"/>
  <c r="BZ299" i="33"/>
  <c r="CG299" i="33"/>
  <c r="DE299" i="33" s="1"/>
  <c r="CG297" i="33"/>
  <c r="DE297" i="33" s="1"/>
  <c r="BZ297" i="33"/>
  <c r="CG295" i="33"/>
  <c r="DE295" i="33" s="1"/>
  <c r="BZ295" i="33"/>
  <c r="CG293" i="33"/>
  <c r="BZ293" i="33"/>
  <c r="CG291" i="33"/>
  <c r="BZ291" i="33"/>
  <c r="CG289" i="33"/>
  <c r="BZ289" i="33"/>
  <c r="BZ288" i="33"/>
  <c r="CG288" i="33"/>
  <c r="CF304" i="33"/>
  <c r="CF302" i="33"/>
  <c r="CF300" i="33"/>
  <c r="CF298" i="33"/>
  <c r="CF296" i="33"/>
  <c r="CF294" i="33"/>
  <c r="CF292" i="33"/>
  <c r="CF290" i="33"/>
  <c r="CE304" i="33"/>
  <c r="CE302" i="33"/>
  <c r="CE300" i="33"/>
  <c r="CE298" i="33"/>
  <c r="CE296" i="33"/>
  <c r="CE294" i="33"/>
  <c r="CE292" i="33"/>
  <c r="CE290" i="33"/>
  <c r="AC11" i="12" a="1"/>
  <c r="AC11" i="12" s="1"/>
  <c r="AB11" i="12" a="1"/>
  <c r="AB11" i="12" s="1"/>
  <c r="AF11" i="12" a="1"/>
  <c r="AF11" i="12" s="1"/>
  <c r="U12" i="12" a="1"/>
  <c r="U12" i="12" s="1"/>
  <c r="Z12" i="12" a="1"/>
  <c r="Z12" i="12" s="1"/>
  <c r="AB28" i="12" a="1"/>
  <c r="AB28" i="12" s="1"/>
  <c r="V28" i="12" a="1"/>
  <c r="V28" i="12" s="1"/>
  <c r="V31" i="12" a="1"/>
  <c r="V31" i="12" s="1"/>
  <c r="U11" i="12" a="1"/>
  <c r="U11" i="12" s="1"/>
  <c r="V11" i="12" a="1"/>
  <c r="V11" i="12" s="1"/>
  <c r="Z11" i="12" a="1"/>
  <c r="Z11" i="12" s="1"/>
  <c r="Y11" i="12" a="1"/>
  <c r="Y11" i="12" s="1"/>
  <c r="G85" i="33"/>
  <c r="G93" i="17" s="1"/>
  <c r="U22" i="12" a="1"/>
  <c r="U22" i="12" s="1"/>
  <c r="U15" i="12" a="1"/>
  <c r="U15" i="12" s="1"/>
  <c r="V15" i="12" a="1"/>
  <c r="V15" i="12" s="1"/>
  <c r="U3" i="12" a="1"/>
  <c r="U3" i="12" s="1"/>
  <c r="V35" i="12" a="1"/>
  <c r="V35" i="12" s="1"/>
  <c r="V17" i="12" a="1"/>
  <c r="V17" i="12" s="1"/>
  <c r="W3" i="12" a="1"/>
  <c r="W3" i="12" s="1"/>
  <c r="AB3" i="12" a="1"/>
  <c r="AB3" i="12" s="1"/>
  <c r="V3" i="12" a="1"/>
  <c r="V3" i="12" s="1"/>
  <c r="Z3" i="12" a="1"/>
  <c r="Z3" i="12" s="1"/>
  <c r="Y3" i="12" a="1"/>
  <c r="Y3" i="12" s="1"/>
  <c r="X3" i="12" a="1"/>
  <c r="X3" i="12" s="1"/>
  <c r="V27" i="12" a="1"/>
  <c r="V27" i="12" s="1"/>
  <c r="U27" i="12" a="1"/>
  <c r="U27" i="12" s="1"/>
  <c r="V21" i="12" a="1"/>
  <c r="V21" i="12" s="1"/>
  <c r="U51" i="12" a="1"/>
  <c r="U51" i="12" s="1"/>
  <c r="U47" i="12" a="1"/>
  <c r="U47" i="12" s="1"/>
  <c r="W31" i="12" a="1"/>
  <c r="W31" i="12" s="1"/>
  <c r="W49" i="12" a="1"/>
  <c r="W49" i="12" s="1"/>
  <c r="X44" i="12" a="1"/>
  <c r="X44" i="12" s="1"/>
  <c r="AB12" i="12" a="1"/>
  <c r="AB12" i="12" s="1"/>
  <c r="X28" i="12" a="1"/>
  <c r="X28" i="12" s="1"/>
  <c r="AG28" i="12" a="1"/>
  <c r="AG28" i="12" s="1"/>
  <c r="AF28" i="12" a="1"/>
  <c r="AF28" i="12" s="1"/>
  <c r="Y12" i="12" a="1"/>
  <c r="Y12" i="12" s="1"/>
  <c r="AF12" i="12" a="1"/>
  <c r="AF12" i="12" s="1"/>
  <c r="Y28" i="12" a="1"/>
  <c r="Y28" i="12" s="1"/>
  <c r="V44" i="12" a="1"/>
  <c r="V44" i="12" s="1"/>
  <c r="W12" i="12" a="1"/>
  <c r="W12" i="12" s="1"/>
  <c r="AD12" i="12" a="1"/>
  <c r="AD12" i="12" s="1"/>
  <c r="U44" i="12" a="1"/>
  <c r="U44" i="12" s="1"/>
  <c r="V12" i="12" a="1"/>
  <c r="V12" i="12" s="1"/>
  <c r="A9" i="33"/>
  <c r="A7" i="33"/>
  <c r="U53" i="12" a="1"/>
  <c r="U53" i="12" s="1"/>
  <c r="AC44" i="12" a="1"/>
  <c r="AC44" i="12" s="1"/>
  <c r="V51" i="12" a="1"/>
  <c r="V51" i="12" s="1"/>
  <c r="AE28" i="12" a="1"/>
  <c r="AE28" i="12" s="1"/>
  <c r="Z44" i="12" a="1"/>
  <c r="Z44" i="12" s="1"/>
  <c r="AC28" i="12" a="1"/>
  <c r="AC28" i="12" s="1"/>
  <c r="Y44" i="12" a="1"/>
  <c r="Y44" i="12" s="1"/>
  <c r="AG12" i="12" a="1"/>
  <c r="AG12" i="12" s="1"/>
  <c r="W44" i="12" a="1"/>
  <c r="W44" i="12" s="1"/>
  <c r="AE12" i="12" a="1"/>
  <c r="AE12" i="12" s="1"/>
  <c r="Z28" i="12" a="1"/>
  <c r="Z28" i="12" s="1"/>
  <c r="AB44" i="12" a="1"/>
  <c r="AB44" i="12" s="1"/>
  <c r="AC12" i="12" a="1"/>
  <c r="AC12" i="12" s="1"/>
  <c r="W28" i="12" a="1"/>
  <c r="W28" i="12" s="1"/>
  <c r="AG44" i="12" a="1"/>
  <c r="AG44" i="12" s="1"/>
  <c r="U28" i="12" a="1"/>
  <c r="U28" i="12" s="1"/>
  <c r="AE44" i="12" a="1"/>
  <c r="AE44" i="12" s="1"/>
  <c r="AF44" i="12" a="1"/>
  <c r="AF44" i="12" s="1"/>
  <c r="U49" i="12" a="1"/>
  <c r="U49" i="12" s="1"/>
  <c r="U33" i="12" a="1"/>
  <c r="U33" i="12" s="1"/>
  <c r="V19" i="12" a="1"/>
  <c r="V19" i="12" s="1"/>
  <c r="U19" i="12" a="1"/>
  <c r="U19" i="12" s="1"/>
  <c r="Z19" i="12" a="1"/>
  <c r="Z19" i="12" s="1"/>
  <c r="X51" i="12" a="1"/>
  <c r="X51" i="12" s="1"/>
  <c r="Y19" i="12" a="1"/>
  <c r="Y19" i="12" s="1"/>
  <c r="AB35" i="12" a="1"/>
  <c r="AB35" i="12" s="1"/>
  <c r="W51" i="12" a="1"/>
  <c r="W51" i="12" s="1"/>
  <c r="X19" i="12" a="1"/>
  <c r="X19" i="12" s="1"/>
  <c r="W19" i="12" a="1"/>
  <c r="W19" i="12" s="1"/>
  <c r="Z35" i="12" a="1"/>
  <c r="Z35" i="12" s="1"/>
  <c r="U35" i="12" a="1"/>
  <c r="U35" i="12" s="1"/>
  <c r="Y35" i="12" a="1"/>
  <c r="Y35" i="12" s="1"/>
  <c r="W35" i="12" a="1"/>
  <c r="W35" i="12" s="1"/>
  <c r="U29" i="12" a="1"/>
  <c r="U29" i="12" s="1"/>
  <c r="V47" i="12" a="1"/>
  <c r="V47" i="12" s="1"/>
  <c r="X47" i="12" a="1"/>
  <c r="X47" i="12" s="1"/>
  <c r="W27" i="12" a="1"/>
  <c r="W27" i="12" s="1"/>
  <c r="U43" i="12" a="1"/>
  <c r="U43" i="12" s="1"/>
  <c r="V43" i="12" a="1"/>
  <c r="V43" i="12" s="1"/>
  <c r="X43" i="12" a="1"/>
  <c r="X43" i="12" s="1"/>
  <c r="V13" i="12" a="1"/>
  <c r="V13" i="12" s="1"/>
  <c r="W53" i="12" a="1"/>
  <c r="W53" i="12" s="1"/>
  <c r="Z51" i="12" a="1"/>
  <c r="Z51" i="12" s="1"/>
  <c r="Z43" i="12" a="1"/>
  <c r="Z43" i="12" s="1"/>
  <c r="W43" i="12" a="1"/>
  <c r="W43" i="12" s="1"/>
  <c r="AB27" i="12" a="1"/>
  <c r="AB27" i="12" s="1"/>
  <c r="AG11" i="12" a="1"/>
  <c r="AG11" i="12" s="1"/>
  <c r="AE11" i="12" a="1"/>
  <c r="AE11" i="12" s="1"/>
  <c r="W11" i="12" a="1"/>
  <c r="W11" i="12" s="1"/>
  <c r="Z27" i="12" a="1"/>
  <c r="Z27" i="12" s="1"/>
  <c r="Y27" i="12" a="1"/>
  <c r="Y27" i="12" s="1"/>
  <c r="X27" i="12" a="1"/>
  <c r="X27" i="12" s="1"/>
  <c r="Y43" i="12" a="1"/>
  <c r="Y43" i="12" s="1"/>
  <c r="Y13" i="12" a="1"/>
  <c r="Y13" i="12" s="1"/>
  <c r="W13" i="12" a="1"/>
  <c r="W13" i="12" s="1"/>
  <c r="V45" i="12" a="1"/>
  <c r="V45" i="12" s="1"/>
  <c r="X45" i="12" a="1"/>
  <c r="X45" i="12" s="1"/>
  <c r="U13" i="12" a="1"/>
  <c r="U13" i="12" s="1"/>
  <c r="Y51" i="12" a="1"/>
  <c r="Y51" i="12" s="1"/>
  <c r="X35" i="12" a="1"/>
  <c r="X35" i="12" s="1"/>
  <c r="X13" i="12" a="1"/>
  <c r="X13" i="12" s="1"/>
  <c r="AB43" i="12" a="1"/>
  <c r="AB43" i="12" s="1"/>
  <c r="Y45" i="12" a="1"/>
  <c r="Y45" i="12" s="1"/>
  <c r="W45" i="12" a="1"/>
  <c r="W45" i="12" s="1"/>
  <c r="AB13" i="12" a="1"/>
  <c r="AB13" i="12" s="1"/>
  <c r="AC45" i="12" a="1"/>
  <c r="AC45" i="12" s="1"/>
  <c r="Z13" i="12" a="1"/>
  <c r="Z13" i="12" s="1"/>
  <c r="AB19" i="12" a="1"/>
  <c r="AB19" i="12" s="1"/>
  <c r="AG43" i="12" a="1"/>
  <c r="AG43" i="12" s="1"/>
  <c r="U14" i="12" a="1"/>
  <c r="U14" i="12" s="1"/>
  <c r="V30" i="12" a="1"/>
  <c r="V30" i="12" s="1"/>
  <c r="AC27" i="12" a="1"/>
  <c r="AC27" i="12" s="1"/>
  <c r="V41" i="12" a="1"/>
  <c r="V41" i="12" s="1"/>
  <c r="AF14" i="12" a="1"/>
  <c r="AF14" i="12" s="1"/>
  <c r="AB30" i="12" a="1"/>
  <c r="AB30" i="12" s="1"/>
  <c r="AG14" i="12" a="1"/>
  <c r="AG14" i="12" s="1"/>
  <c r="AE14" i="12" a="1"/>
  <c r="AE14" i="12" s="1"/>
  <c r="Y48" i="12" a="1"/>
  <c r="Y48" i="12" s="1"/>
  <c r="W47" i="12" a="1"/>
  <c r="W47" i="12" s="1"/>
  <c r="AD14" i="12" a="1"/>
  <c r="AD14" i="12" s="1"/>
  <c r="Z46" i="12" a="1"/>
  <c r="Z46" i="12" s="1"/>
  <c r="U46" i="12" a="1"/>
  <c r="U46" i="12" s="1"/>
  <c r="Y46" i="12" a="1"/>
  <c r="Y46" i="12" s="1"/>
  <c r="AB14" i="12" a="1"/>
  <c r="AB14" i="12" s="1"/>
  <c r="AG30" i="12" a="1"/>
  <c r="AG30" i="12" s="1"/>
  <c r="V14" i="12" a="1"/>
  <c r="V14" i="12" s="1"/>
  <c r="X46" i="12" a="1"/>
  <c r="X46" i="12" s="1"/>
  <c r="AF30" i="12" a="1"/>
  <c r="AF30" i="12" s="1"/>
  <c r="W46" i="12" a="1"/>
  <c r="W46" i="12" s="1"/>
  <c r="AE30" i="12" a="1"/>
  <c r="AE30" i="12" s="1"/>
  <c r="V46" i="12" a="1"/>
  <c r="V46" i="12" s="1"/>
  <c r="Z30" i="12" a="1"/>
  <c r="Z30" i="12" s="1"/>
  <c r="Z14" i="12" a="1"/>
  <c r="Z14" i="12" s="1"/>
  <c r="AD30" i="12" a="1"/>
  <c r="AD30" i="12" s="1"/>
  <c r="U30" i="12" a="1"/>
  <c r="U30" i="12" s="1"/>
  <c r="Y30" i="12" a="1"/>
  <c r="Y30" i="12" s="1"/>
  <c r="Y14" i="12" a="1"/>
  <c r="Y14" i="12" s="1"/>
  <c r="AC30" i="12" a="1"/>
  <c r="AC30" i="12" s="1"/>
  <c r="X30" i="12" a="1"/>
  <c r="X30" i="12" s="1"/>
  <c r="X14" i="12" a="1"/>
  <c r="X14" i="12" s="1"/>
  <c r="AF46" i="12" a="1"/>
  <c r="AF46" i="12" s="1"/>
  <c r="W14" i="12" a="1"/>
  <c r="W14" i="12" s="1"/>
  <c r="AE46" i="12" a="1"/>
  <c r="AE46" i="12" s="1"/>
  <c r="AD46" i="12" a="1"/>
  <c r="AD46" i="12" s="1"/>
  <c r="AB46" i="12" a="1"/>
  <c r="AB46" i="12" s="1"/>
  <c r="AC46" i="12" a="1"/>
  <c r="AC46" i="12" s="1"/>
  <c r="U32" i="12" a="1"/>
  <c r="U32" i="12" s="1"/>
  <c r="Y16" i="12" a="1"/>
  <c r="Y16" i="12" s="1"/>
  <c r="U31" i="12" a="1"/>
  <c r="U31" i="12" s="1"/>
  <c r="V48" i="12" a="1"/>
  <c r="V48" i="12" s="1"/>
  <c r="V16" i="12" a="1"/>
  <c r="V16" i="12" s="1"/>
  <c r="W48" i="12" a="1"/>
  <c r="W48" i="12" s="1"/>
  <c r="X16" i="12" a="1"/>
  <c r="X16" i="12" s="1"/>
  <c r="Z47" i="12" a="1"/>
  <c r="Z47" i="12" s="1"/>
  <c r="W16" i="12" a="1"/>
  <c r="W16" i="12" s="1"/>
  <c r="X48" i="12" a="1"/>
  <c r="X48" i="12" s="1"/>
  <c r="Y47" i="12" a="1"/>
  <c r="Y47" i="12" s="1"/>
  <c r="Y15" i="12" a="1"/>
  <c r="Y15" i="12" s="1"/>
  <c r="AF43" i="12" a="1"/>
  <c r="AF43" i="12" s="1"/>
  <c r="AC31" i="12" a="1"/>
  <c r="AC31" i="12" s="1"/>
  <c r="U48" i="12" a="1"/>
  <c r="U48" i="12" s="1"/>
  <c r="U16" i="12" a="1"/>
  <c r="U16" i="12" s="1"/>
  <c r="V32" i="12" a="1"/>
  <c r="V32" i="12" s="1"/>
  <c r="Z32" i="12" a="1"/>
  <c r="Z32" i="12" s="1"/>
  <c r="AB47" i="12" a="1"/>
  <c r="AB47" i="12" s="1"/>
  <c r="Y32" i="12" a="1"/>
  <c r="Y32" i="12" s="1"/>
  <c r="X32" i="12" a="1"/>
  <c r="X32" i="12" s="1"/>
  <c r="W32" i="12" a="1"/>
  <c r="W32" i="12" s="1"/>
  <c r="Y31" i="12" a="1"/>
  <c r="Y31" i="12" s="1"/>
  <c r="Z48" i="12" a="1"/>
  <c r="Z48" i="12" s="1"/>
  <c r="X31" i="12" a="1"/>
  <c r="X31" i="12" s="1"/>
  <c r="AB32" i="12" a="1"/>
  <c r="AB32" i="12" s="1"/>
  <c r="AE43" i="12" a="1"/>
  <c r="AE43" i="12" s="1"/>
  <c r="AD43" i="12" a="1"/>
  <c r="AD43" i="12" s="1"/>
  <c r="AB51" i="12" a="1"/>
  <c r="AB51" i="12" s="1"/>
  <c r="AG51" i="12" a="1"/>
  <c r="AG51" i="12" s="1"/>
  <c r="AF51" i="12" a="1"/>
  <c r="AF51" i="12" s="1"/>
  <c r="AD51" i="12" a="1"/>
  <c r="AD51" i="12" s="1"/>
  <c r="AE31" i="12" a="1"/>
  <c r="AE31" i="12" s="1"/>
  <c r="AE15" i="12" a="1"/>
  <c r="AE15" i="12" s="1"/>
  <c r="AB15" i="12" a="1"/>
  <c r="AB15" i="12" s="1"/>
  <c r="AD31" i="12" a="1"/>
  <c r="AD31" i="12" s="1"/>
  <c r="AD15" i="12" a="1"/>
  <c r="AD15" i="12" s="1"/>
  <c r="Z31" i="12" a="1"/>
  <c r="Z31" i="12" s="1"/>
  <c r="AG47" i="12" a="1"/>
  <c r="AG47" i="12" s="1"/>
  <c r="AF47" i="12" a="1"/>
  <c r="AF47" i="12" s="1"/>
  <c r="Z15" i="12" a="1"/>
  <c r="Z15" i="12" s="1"/>
  <c r="AB31" i="12" a="1"/>
  <c r="AB31" i="12" s="1"/>
  <c r="AE47" i="12" a="1"/>
  <c r="AE47" i="12" s="1"/>
  <c r="AD47" i="12" a="1"/>
  <c r="AD47" i="12" s="1"/>
  <c r="X15" i="12" a="1"/>
  <c r="X15" i="12" s="1"/>
  <c r="AG31" i="12" a="1"/>
  <c r="AG31" i="12" s="1"/>
  <c r="AG15" i="12" a="1"/>
  <c r="AG15" i="12" s="1"/>
  <c r="W15" i="12" a="1"/>
  <c r="W15" i="12" s="1"/>
  <c r="AF15" i="12" a="1"/>
  <c r="AF15" i="12" s="1"/>
  <c r="AB17" i="12" a="1"/>
  <c r="AB17" i="12" s="1"/>
  <c r="V33" i="12" a="1"/>
  <c r="V33" i="12" s="1"/>
  <c r="Z17" i="12" a="1"/>
  <c r="Z17" i="12" s="1"/>
  <c r="Y17" i="12" a="1"/>
  <c r="Y17" i="12" s="1"/>
  <c r="AB49" i="12" a="1"/>
  <c r="AB49" i="12" s="1"/>
  <c r="AG33" i="12" a="1"/>
  <c r="AG33" i="12" s="1"/>
  <c r="X17" i="12" a="1"/>
  <c r="X17" i="12" s="1"/>
  <c r="AF33" i="12" a="1"/>
  <c r="AF33" i="12" s="1"/>
  <c r="W17" i="12" a="1"/>
  <c r="W17" i="12" s="1"/>
  <c r="AE33" i="12" a="1"/>
  <c r="AE33" i="12" s="1"/>
  <c r="Z33" i="12" a="1"/>
  <c r="Z33" i="12" s="1"/>
  <c r="AD33" i="12" a="1"/>
  <c r="AD33" i="12" s="1"/>
  <c r="Z49" i="12" a="1"/>
  <c r="Z49" i="12" s="1"/>
  <c r="Y33" i="12" a="1"/>
  <c r="Y33" i="12" s="1"/>
  <c r="AC33" i="12" a="1"/>
  <c r="AC33" i="12" s="1"/>
  <c r="Y49" i="12" a="1"/>
  <c r="Y49" i="12" s="1"/>
  <c r="X33" i="12" a="1"/>
  <c r="X33" i="12" s="1"/>
  <c r="AG17" i="12" a="1"/>
  <c r="AG17" i="12" s="1"/>
  <c r="V49" i="12" a="1"/>
  <c r="V49" i="12" s="1"/>
  <c r="X49" i="12" a="1"/>
  <c r="X49" i="12" s="1"/>
  <c r="W33" i="12" a="1"/>
  <c r="W33" i="12" s="1"/>
  <c r="AF17" i="12" a="1"/>
  <c r="AF17" i="12" s="1"/>
  <c r="AG49" i="12" a="1"/>
  <c r="AG49" i="12" s="1"/>
  <c r="AE17" i="12" a="1"/>
  <c r="AE17" i="12" s="1"/>
  <c r="AF49" i="12" a="1"/>
  <c r="AF49" i="12" s="1"/>
  <c r="AD17" i="12" a="1"/>
  <c r="AD17" i="12" s="1"/>
  <c r="AE49" i="12" a="1"/>
  <c r="AE49" i="12" s="1"/>
  <c r="AD49" i="12" a="1"/>
  <c r="AD49" i="12" s="1"/>
  <c r="AD6" i="16" a="1"/>
  <c r="AD6" i="16" s="1"/>
  <c r="X6" i="16" a="1"/>
  <c r="X6" i="16" s="1"/>
  <c r="AE6" i="16" a="1"/>
  <c r="AE6" i="16" s="1"/>
  <c r="Y6" i="16" a="1"/>
  <c r="Y6" i="16" s="1"/>
  <c r="AF6" i="16" a="1"/>
  <c r="AF6" i="16" s="1"/>
  <c r="AG6" i="16" a="1"/>
  <c r="AG6" i="16" s="1"/>
  <c r="Z6" i="16" a="1"/>
  <c r="Z6" i="16" s="1"/>
  <c r="U6" i="16" a="1"/>
  <c r="U6" i="16" s="1"/>
  <c r="W6" i="16" a="1"/>
  <c r="W6" i="16" s="1"/>
  <c r="AB6" i="16" a="1"/>
  <c r="AB6" i="16" s="1"/>
  <c r="AC6" i="16" a="1"/>
  <c r="AC6" i="16" s="1"/>
  <c r="V6" i="16" a="1"/>
  <c r="V6" i="16" s="1"/>
  <c r="Z20" i="16" a="1"/>
  <c r="Z20" i="16" s="1"/>
  <c r="AC20" i="16" a="1"/>
  <c r="AC20" i="16" s="1"/>
  <c r="AG20" i="16" a="1"/>
  <c r="AG20" i="16" s="1"/>
  <c r="AD20" i="16" a="1"/>
  <c r="AD20" i="16" s="1"/>
  <c r="V20" i="16" a="1"/>
  <c r="V20" i="16" s="1"/>
  <c r="Y20" i="16" a="1"/>
  <c r="Y20" i="16" s="1"/>
  <c r="AE20" i="16" a="1"/>
  <c r="AE20" i="16" s="1"/>
  <c r="W20" i="16" a="1"/>
  <c r="W20" i="16" s="1"/>
  <c r="AF20" i="16" a="1"/>
  <c r="AF20" i="16" s="1"/>
  <c r="X20" i="16" a="1"/>
  <c r="X20" i="16" s="1"/>
  <c r="U20" i="16" a="1"/>
  <c r="U20" i="16" s="1"/>
  <c r="AB20" i="16" a="1"/>
  <c r="AB20" i="16" s="1"/>
  <c r="AB11" i="16" a="1"/>
  <c r="AB11" i="16" s="1"/>
  <c r="V11" i="16" a="1"/>
  <c r="V11" i="16" s="1"/>
  <c r="W11" i="16" a="1"/>
  <c r="W11" i="16" s="1"/>
  <c r="X11" i="16" a="1"/>
  <c r="X11" i="16" s="1"/>
  <c r="Y11" i="16" a="1"/>
  <c r="Y11" i="16" s="1"/>
  <c r="AC11" i="16" a="1"/>
  <c r="AC11" i="16" s="1"/>
  <c r="AD11" i="16" a="1"/>
  <c r="AD11" i="16" s="1"/>
  <c r="AE11" i="16" a="1"/>
  <c r="AE11" i="16" s="1"/>
  <c r="Z11" i="16" a="1"/>
  <c r="Z11" i="16" s="1"/>
  <c r="AF11" i="16" a="1"/>
  <c r="AF11" i="16" s="1"/>
  <c r="AG11" i="16" a="1"/>
  <c r="AG11" i="16" s="1"/>
  <c r="U11" i="16" a="1"/>
  <c r="U11" i="16" s="1"/>
  <c r="AE27" i="12" a="1"/>
  <c r="AE27" i="12" s="1"/>
  <c r="Y16" i="16" a="1"/>
  <c r="Y16" i="16" s="1"/>
  <c r="AC16" i="16" a="1"/>
  <c r="AC16" i="16" s="1"/>
  <c r="AD16" i="16" a="1"/>
  <c r="AD16" i="16" s="1"/>
  <c r="AE16" i="16" a="1"/>
  <c r="AE16" i="16" s="1"/>
  <c r="AF16" i="16" a="1"/>
  <c r="AF16" i="16" s="1"/>
  <c r="U16" i="16" a="1"/>
  <c r="U16" i="16" s="1"/>
  <c r="AG16" i="16" a="1"/>
  <c r="AG16" i="16" s="1"/>
  <c r="AB16" i="16" a="1"/>
  <c r="AB16" i="16" s="1"/>
  <c r="V16" i="16" a="1"/>
  <c r="V16" i="16" s="1"/>
  <c r="W16" i="16" a="1"/>
  <c r="W16" i="16" s="1"/>
  <c r="X16" i="16" a="1"/>
  <c r="X16" i="16" s="1"/>
  <c r="Z16" i="16" a="1"/>
  <c r="Z16" i="16" s="1"/>
  <c r="Z5" i="16" a="1"/>
  <c r="Z5" i="16" s="1"/>
  <c r="U5" i="16" a="1"/>
  <c r="U5" i="16" s="1"/>
  <c r="AC5" i="16" a="1"/>
  <c r="AC5" i="16" s="1"/>
  <c r="V5" i="16" a="1"/>
  <c r="V5" i="16" s="1"/>
  <c r="AD5" i="16" a="1"/>
  <c r="AD5" i="16" s="1"/>
  <c r="AB5" i="16" a="1"/>
  <c r="AB5" i="16" s="1"/>
  <c r="W5" i="16" a="1"/>
  <c r="W5" i="16" s="1"/>
  <c r="AE5" i="16" a="1"/>
  <c r="AE5" i="16" s="1"/>
  <c r="X5" i="16" a="1"/>
  <c r="X5" i="16" s="1"/>
  <c r="AF5" i="16" a="1"/>
  <c r="AF5" i="16" s="1"/>
  <c r="Y5" i="16" a="1"/>
  <c r="Y5" i="16" s="1"/>
  <c r="AG5" i="16" a="1"/>
  <c r="AG5" i="16" s="1"/>
  <c r="AC19" i="16" a="1"/>
  <c r="AC19" i="16" s="1"/>
  <c r="AD19" i="16" a="1"/>
  <c r="AD19" i="16" s="1"/>
  <c r="AE19" i="16" a="1"/>
  <c r="AE19" i="16" s="1"/>
  <c r="V19" i="16" a="1"/>
  <c r="V19" i="16" s="1"/>
  <c r="Z19" i="16" a="1"/>
  <c r="Z19" i="16" s="1"/>
  <c r="AF19" i="16" a="1"/>
  <c r="AF19" i="16" s="1"/>
  <c r="W19" i="16" a="1"/>
  <c r="W19" i="16" s="1"/>
  <c r="AG19" i="16" a="1"/>
  <c r="AG19" i="16" s="1"/>
  <c r="X19" i="16" a="1"/>
  <c r="X19" i="16" s="1"/>
  <c r="AB19" i="16" a="1"/>
  <c r="AB19" i="16" s="1"/>
  <c r="Y19" i="16" a="1"/>
  <c r="Y19" i="16" s="1"/>
  <c r="U19" i="16" a="1"/>
  <c r="U19" i="16" s="1"/>
  <c r="AB10" i="16" a="1"/>
  <c r="AB10" i="16" s="1"/>
  <c r="X10" i="16" a="1"/>
  <c r="X10" i="16" s="1"/>
  <c r="Y10" i="16" a="1"/>
  <c r="Y10" i="16" s="1"/>
  <c r="AC10" i="16" a="1"/>
  <c r="AC10" i="16" s="1"/>
  <c r="Z10" i="16" a="1"/>
  <c r="Z10" i="16" s="1"/>
  <c r="AD10" i="16" a="1"/>
  <c r="AD10" i="16" s="1"/>
  <c r="AE10" i="16" a="1"/>
  <c r="AE10" i="16" s="1"/>
  <c r="AF10" i="16" a="1"/>
  <c r="AF10" i="16" s="1"/>
  <c r="AG10" i="16" a="1"/>
  <c r="AG10" i="16" s="1"/>
  <c r="W10" i="16" a="1"/>
  <c r="W10" i="16" s="1"/>
  <c r="V10" i="16" a="1"/>
  <c r="V10" i="16" s="1"/>
  <c r="U10" i="16" a="1"/>
  <c r="U10" i="16" s="1"/>
  <c r="X2" i="16" a="1"/>
  <c r="X2" i="16" s="1"/>
  <c r="Y2" i="16" a="1"/>
  <c r="Y2" i="16" s="1"/>
  <c r="AD2" i="16" a="1"/>
  <c r="AD2" i="16" s="1"/>
  <c r="AE2" i="16" a="1"/>
  <c r="AE2" i="16" s="1"/>
  <c r="AF2" i="16" a="1"/>
  <c r="AF2" i="16" s="1"/>
  <c r="Z2" i="16" a="1"/>
  <c r="Z2" i="16" s="1"/>
  <c r="AG2" i="16" a="1"/>
  <c r="AG2" i="16" s="1"/>
  <c r="AC2" i="16" a="1"/>
  <c r="AC2" i="16" s="1"/>
  <c r="U2" i="16" a="1"/>
  <c r="U2" i="16" s="1"/>
  <c r="W2" i="16" a="1"/>
  <c r="W2" i="16" s="1"/>
  <c r="AB2" i="16" a="1"/>
  <c r="AB2" i="16" s="1"/>
  <c r="V2" i="16" a="1"/>
  <c r="V2" i="16" s="1"/>
  <c r="AG15" i="16" a="1"/>
  <c r="AG15" i="16" s="1"/>
  <c r="V15" i="16" a="1"/>
  <c r="V15" i="16" s="1"/>
  <c r="W15" i="16" a="1"/>
  <c r="W15" i="16" s="1"/>
  <c r="U15" i="16" a="1"/>
  <c r="U15" i="16" s="1"/>
  <c r="X15" i="16" a="1"/>
  <c r="X15" i="16" s="1"/>
  <c r="AB15" i="16" a="1"/>
  <c r="AB15" i="16" s="1"/>
  <c r="Y15" i="16" a="1"/>
  <c r="Y15" i="16" s="1"/>
  <c r="AC15" i="16" a="1"/>
  <c r="AC15" i="16" s="1"/>
  <c r="AD15" i="16" a="1"/>
  <c r="AD15" i="16" s="1"/>
  <c r="AE15" i="16" a="1"/>
  <c r="AE15" i="16" s="1"/>
  <c r="Z15" i="16" a="1"/>
  <c r="Z15" i="16" s="1"/>
  <c r="AF15" i="16" a="1"/>
  <c r="AF15" i="16" s="1"/>
  <c r="Y4" i="16" a="1"/>
  <c r="Y4" i="16" s="1"/>
  <c r="Z4" i="16" a="1"/>
  <c r="Z4" i="16" s="1"/>
  <c r="AC4" i="16" a="1"/>
  <c r="AC4" i="16" s="1"/>
  <c r="AD4" i="16" a="1"/>
  <c r="AD4" i="16" s="1"/>
  <c r="V4" i="16" a="1"/>
  <c r="V4" i="16" s="1"/>
  <c r="AG4" i="16" a="1"/>
  <c r="AG4" i="16" s="1"/>
  <c r="AE4" i="16" a="1"/>
  <c r="AE4" i="16" s="1"/>
  <c r="W4" i="16" a="1"/>
  <c r="W4" i="16" s="1"/>
  <c r="AF4" i="16" a="1"/>
  <c r="AF4" i="16" s="1"/>
  <c r="X4" i="16" a="1"/>
  <c r="X4" i="16" s="1"/>
  <c r="U4" i="16" a="1"/>
  <c r="U4" i="16" s="1"/>
  <c r="AB4" i="16" a="1"/>
  <c r="AB4" i="16" s="1"/>
  <c r="X18" i="16" a="1"/>
  <c r="X18" i="16" s="1"/>
  <c r="Y18" i="16" a="1"/>
  <c r="Y18" i="16" s="1"/>
  <c r="Z18" i="16" a="1"/>
  <c r="Z18" i="16" s="1"/>
  <c r="U18" i="16" a="1"/>
  <c r="U18" i="16" s="1"/>
  <c r="AB18" i="16" a="1"/>
  <c r="AB18" i="16" s="1"/>
  <c r="AG18" i="16" a="1"/>
  <c r="AG18" i="16" s="1"/>
  <c r="AC18" i="16" a="1"/>
  <c r="AC18" i="16" s="1"/>
  <c r="AD18" i="16" a="1"/>
  <c r="AD18" i="16" s="1"/>
  <c r="W18" i="16" a="1"/>
  <c r="W18" i="16" s="1"/>
  <c r="AE18" i="16" a="1"/>
  <c r="AE18" i="16" s="1"/>
  <c r="AF18" i="16" a="1"/>
  <c r="AF18" i="16" s="1"/>
  <c r="V18" i="16" a="1"/>
  <c r="V18" i="16" s="1"/>
  <c r="H78" i="33"/>
  <c r="H86" i="17" s="1"/>
  <c r="AE9" i="16" a="1"/>
  <c r="AE9" i="16" s="1"/>
  <c r="AF9" i="16" a="1"/>
  <c r="AF9" i="16" s="1"/>
  <c r="AG9" i="16" a="1"/>
  <c r="AG9" i="16" s="1"/>
  <c r="Z9" i="16" a="1"/>
  <c r="Z9" i="16" s="1"/>
  <c r="V9" i="16" a="1"/>
  <c r="V9" i="16" s="1"/>
  <c r="W9" i="16" a="1"/>
  <c r="W9" i="16" s="1"/>
  <c r="AB9" i="16" a="1"/>
  <c r="AB9" i="16" s="1"/>
  <c r="X9" i="16" a="1"/>
  <c r="X9" i="16" s="1"/>
  <c r="AD9" i="16" a="1"/>
  <c r="AD9" i="16" s="1"/>
  <c r="Y9" i="16" a="1"/>
  <c r="Y9" i="16" s="1"/>
  <c r="U9" i="16" a="1"/>
  <c r="U9" i="16" s="1"/>
  <c r="AC9" i="16" a="1"/>
  <c r="AC9" i="16" s="1"/>
  <c r="X14" i="16" a="1"/>
  <c r="X14" i="16" s="1"/>
  <c r="Y14" i="16" a="1"/>
  <c r="Y14" i="16" s="1"/>
  <c r="AE14" i="16" a="1"/>
  <c r="AE14" i="16" s="1"/>
  <c r="U14" i="16" a="1"/>
  <c r="U14" i="16" s="1"/>
  <c r="AB14" i="16" a="1"/>
  <c r="AB14" i="16" s="1"/>
  <c r="AC14" i="16" a="1"/>
  <c r="AC14" i="16" s="1"/>
  <c r="AD14" i="16" a="1"/>
  <c r="AD14" i="16" s="1"/>
  <c r="AF14" i="16" a="1"/>
  <c r="AF14" i="16" s="1"/>
  <c r="AG14" i="16" a="1"/>
  <c r="AG14" i="16" s="1"/>
  <c r="W14" i="16" a="1"/>
  <c r="W14" i="16" s="1"/>
  <c r="Z14" i="16" a="1"/>
  <c r="Z14" i="16" s="1"/>
  <c r="V14" i="16" a="1"/>
  <c r="V14" i="16" s="1"/>
  <c r="AC3" i="16" a="1"/>
  <c r="AC3" i="16" s="1"/>
  <c r="AB3" i="16" a="1"/>
  <c r="AB3" i="16" s="1"/>
  <c r="AD3" i="16" a="1"/>
  <c r="AD3" i="16" s="1"/>
  <c r="AE3" i="16" a="1"/>
  <c r="AE3" i="16" s="1"/>
  <c r="V3" i="16" a="1"/>
  <c r="V3" i="16" s="1"/>
  <c r="Z3" i="16" a="1"/>
  <c r="Z3" i="16" s="1"/>
  <c r="AF3" i="16" a="1"/>
  <c r="AF3" i="16" s="1"/>
  <c r="W3" i="16" a="1"/>
  <c r="W3" i="16" s="1"/>
  <c r="AG3" i="16" a="1"/>
  <c r="AG3" i="16" s="1"/>
  <c r="X3" i="16" a="1"/>
  <c r="X3" i="16" s="1"/>
  <c r="Y3" i="16" a="1"/>
  <c r="Y3" i="16" s="1"/>
  <c r="U3" i="16" a="1"/>
  <c r="U3" i="16" s="1"/>
  <c r="Z17" i="16" a="1"/>
  <c r="Z17" i="16" s="1"/>
  <c r="AF17" i="16" a="1"/>
  <c r="AF17" i="16" s="1"/>
  <c r="U17" i="16" a="1"/>
  <c r="U17" i="16" s="1"/>
  <c r="AC17" i="16" a="1"/>
  <c r="AC17" i="16" s="1"/>
  <c r="AD17" i="16" a="1"/>
  <c r="AD17" i="16" s="1"/>
  <c r="AB17" i="16" a="1"/>
  <c r="AB17" i="16" s="1"/>
  <c r="AE17" i="16" a="1"/>
  <c r="AE17" i="16" s="1"/>
  <c r="AG17" i="16" a="1"/>
  <c r="AG17" i="16" s="1"/>
  <c r="V17" i="16" a="1"/>
  <c r="V17" i="16" s="1"/>
  <c r="W17" i="16" a="1"/>
  <c r="W17" i="16" s="1"/>
  <c r="X17" i="16" a="1"/>
  <c r="X17" i="16" s="1"/>
  <c r="Y17" i="16" a="1"/>
  <c r="Y17" i="16" s="1"/>
  <c r="V8" i="16" a="1"/>
  <c r="V8" i="16" s="1"/>
  <c r="W8" i="16" a="1"/>
  <c r="W8" i="16" s="1"/>
  <c r="Z8" i="16" a="1"/>
  <c r="Z8" i="16" s="1"/>
  <c r="AC8" i="16" a="1"/>
  <c r="AC8" i="16" s="1"/>
  <c r="Y8" i="16" a="1"/>
  <c r="Y8" i="16" s="1"/>
  <c r="X8" i="16" a="1"/>
  <c r="X8" i="16" s="1"/>
  <c r="AD8" i="16" a="1"/>
  <c r="AD8" i="16" s="1"/>
  <c r="AE8" i="16" a="1"/>
  <c r="AE8" i="16" s="1"/>
  <c r="AF8" i="16" a="1"/>
  <c r="AF8" i="16" s="1"/>
  <c r="U8" i="16" a="1"/>
  <c r="U8" i="16" s="1"/>
  <c r="AG8" i="16" a="1"/>
  <c r="AG8" i="16" s="1"/>
  <c r="AB8" i="16" a="1"/>
  <c r="AB8" i="16" s="1"/>
  <c r="AD22" i="16" a="1"/>
  <c r="AD22" i="16" s="1"/>
  <c r="X22" i="16" a="1"/>
  <c r="X22" i="16" s="1"/>
  <c r="AE22" i="16" a="1"/>
  <c r="AE22" i="16" s="1"/>
  <c r="Y22" i="16" a="1"/>
  <c r="Y22" i="16" s="1"/>
  <c r="AF22" i="16" a="1"/>
  <c r="AF22" i="16" s="1"/>
  <c r="AG22" i="16" a="1"/>
  <c r="AG22" i="16" s="1"/>
  <c r="Z22" i="16" a="1"/>
  <c r="Z22" i="16" s="1"/>
  <c r="U22" i="16" a="1"/>
  <c r="U22" i="16" s="1"/>
  <c r="W22" i="16" a="1"/>
  <c r="W22" i="16" s="1"/>
  <c r="AB22" i="16" a="1"/>
  <c r="AB22" i="16" s="1"/>
  <c r="AC22" i="16" a="1"/>
  <c r="AC22" i="16" s="1"/>
  <c r="V22" i="16" a="1"/>
  <c r="V22" i="16" s="1"/>
  <c r="U13" i="16" a="1"/>
  <c r="U13" i="16" s="1"/>
  <c r="AC13" i="16" a="1"/>
  <c r="AC13" i="16" s="1"/>
  <c r="AD13" i="16" a="1"/>
  <c r="AD13" i="16" s="1"/>
  <c r="AB13" i="16" a="1"/>
  <c r="AB13" i="16" s="1"/>
  <c r="AE13" i="16" a="1"/>
  <c r="AE13" i="16" s="1"/>
  <c r="AF13" i="16" a="1"/>
  <c r="AF13" i="16" s="1"/>
  <c r="AG13" i="16" a="1"/>
  <c r="AG13" i="16" s="1"/>
  <c r="V13" i="16" a="1"/>
  <c r="V13" i="16" s="1"/>
  <c r="W13" i="16" a="1"/>
  <c r="W13" i="16" s="1"/>
  <c r="X13" i="16" a="1"/>
  <c r="X13" i="16" s="1"/>
  <c r="Z13" i="16" a="1"/>
  <c r="Z13" i="16" s="1"/>
  <c r="Y13" i="16" a="1"/>
  <c r="Y13" i="16" s="1"/>
  <c r="AG35" i="12" a="1"/>
  <c r="AG35" i="12" s="1"/>
  <c r="V7" i="16" a="1"/>
  <c r="V7" i="16" s="1"/>
  <c r="W7" i="16" a="1"/>
  <c r="W7" i="16" s="1"/>
  <c r="AC7" i="16" a="1"/>
  <c r="AC7" i="16" s="1"/>
  <c r="X7" i="16" a="1"/>
  <c r="X7" i="16" s="1"/>
  <c r="AD7" i="16" a="1"/>
  <c r="AD7" i="16" s="1"/>
  <c r="Y7" i="16" a="1"/>
  <c r="Y7" i="16" s="1"/>
  <c r="AE7" i="16" a="1"/>
  <c r="AE7" i="16" s="1"/>
  <c r="Z7" i="16" a="1"/>
  <c r="Z7" i="16" s="1"/>
  <c r="AF7" i="16" a="1"/>
  <c r="AF7" i="16" s="1"/>
  <c r="AG7" i="16" a="1"/>
  <c r="AG7" i="16" s="1"/>
  <c r="U7" i="16" a="1"/>
  <c r="U7" i="16" s="1"/>
  <c r="AB7" i="16" a="1"/>
  <c r="AB7" i="16" s="1"/>
  <c r="Z21" i="16" a="1"/>
  <c r="Z21" i="16" s="1"/>
  <c r="U21" i="16" a="1"/>
  <c r="U21" i="16" s="1"/>
  <c r="AC21" i="16" a="1"/>
  <c r="AC21" i="16" s="1"/>
  <c r="V21" i="16" a="1"/>
  <c r="V21" i="16" s="1"/>
  <c r="AD21" i="16" a="1"/>
  <c r="AD21" i="16" s="1"/>
  <c r="AB21" i="16" a="1"/>
  <c r="AB21" i="16" s="1"/>
  <c r="W21" i="16" a="1"/>
  <c r="W21" i="16" s="1"/>
  <c r="AE21" i="16" a="1"/>
  <c r="AE21" i="16" s="1"/>
  <c r="X21" i="16" a="1"/>
  <c r="X21" i="16" s="1"/>
  <c r="AF21" i="16" a="1"/>
  <c r="AF21" i="16" s="1"/>
  <c r="Y21" i="16" a="1"/>
  <c r="Y21" i="16" s="1"/>
  <c r="AG21" i="16" a="1"/>
  <c r="AG21" i="16" s="1"/>
  <c r="AF12" i="16" a="1"/>
  <c r="AF12" i="16" s="1"/>
  <c r="U12" i="16" a="1"/>
  <c r="U12" i="16" s="1"/>
  <c r="AG12" i="16" a="1"/>
  <c r="AG12" i="16" s="1"/>
  <c r="AB12" i="16" a="1"/>
  <c r="AB12" i="16" s="1"/>
  <c r="V12" i="16" a="1"/>
  <c r="V12" i="16" s="1"/>
  <c r="W12" i="16" a="1"/>
  <c r="W12" i="16" s="1"/>
  <c r="X12" i="16" a="1"/>
  <c r="X12" i="16" s="1"/>
  <c r="Y12" i="16" a="1"/>
  <c r="Y12" i="16" s="1"/>
  <c r="Z12" i="16" a="1"/>
  <c r="Z12" i="16" s="1"/>
  <c r="AE12" i="16" a="1"/>
  <c r="AE12" i="16" s="1"/>
  <c r="AC12" i="16" a="1"/>
  <c r="AC12" i="16" s="1"/>
  <c r="AD12" i="16" a="1"/>
  <c r="AD12" i="16" s="1"/>
  <c r="H75" i="33"/>
  <c r="H83" i="17" s="1"/>
  <c r="H84" i="33"/>
  <c r="H92" i="17" s="1"/>
  <c r="H82" i="33"/>
  <c r="H90" i="17" s="1"/>
  <c r="H80" i="33"/>
  <c r="H88" i="17" s="1"/>
  <c r="H73" i="33"/>
  <c r="H81" i="17" s="1"/>
  <c r="H70" i="33"/>
  <c r="H78" i="17" s="1"/>
  <c r="G84" i="33"/>
  <c r="G92" i="17" s="1"/>
  <c r="G82" i="33"/>
  <c r="G90" i="17" s="1"/>
  <c r="G80" i="33"/>
  <c r="G88" i="17" s="1"/>
  <c r="G78" i="33"/>
  <c r="G86" i="17" s="1"/>
  <c r="G76" i="33"/>
  <c r="G84" i="17" s="1"/>
  <c r="G72" i="33"/>
  <c r="G80" i="17" s="1"/>
  <c r="G70" i="33"/>
  <c r="G78" i="17" s="1"/>
  <c r="H83" i="33"/>
  <c r="H91" i="17" s="1"/>
  <c r="H79" i="33"/>
  <c r="H87" i="17" s="1"/>
  <c r="G81" i="33"/>
  <c r="G89" i="17" s="1"/>
  <c r="AG27" i="12" a="1"/>
  <c r="AG27" i="12" s="1"/>
  <c r="AF27" i="12" a="1"/>
  <c r="AF27" i="12" s="1"/>
  <c r="H85" i="33"/>
  <c r="H93" i="17" s="1"/>
  <c r="H81" i="33"/>
  <c r="H89" i="17" s="1"/>
  <c r="H76" i="33"/>
  <c r="H84" i="17" s="1"/>
  <c r="H72" i="33"/>
  <c r="H80" i="17" s="1"/>
  <c r="F18" i="16"/>
  <c r="G83" i="33"/>
  <c r="G91" i="17" s="1"/>
  <c r="G79" i="33"/>
  <c r="G87" i="17" s="1"/>
  <c r="G75" i="33"/>
  <c r="G73" i="33"/>
  <c r="G81" i="17" s="1"/>
  <c r="G69" i="33"/>
  <c r="G77" i="17" s="1"/>
  <c r="Y29" i="12" a="1"/>
  <c r="Y29" i="12" s="1"/>
  <c r="X29" i="12" a="1"/>
  <c r="X29" i="12" s="1"/>
  <c r="W29" i="12" a="1"/>
  <c r="W29" i="12" s="1"/>
  <c r="AB45" i="12" a="1"/>
  <c r="AB45" i="12" s="1"/>
  <c r="AE51" i="12" a="1"/>
  <c r="AE51" i="12" s="1"/>
  <c r="AD35" i="12" a="1"/>
  <c r="AD35" i="12" s="1"/>
  <c r="U45" i="12" a="1"/>
  <c r="U45" i="12" s="1"/>
  <c r="AG45" i="12" a="1"/>
  <c r="AG45" i="12" s="1"/>
  <c r="AB29" i="12" a="1"/>
  <c r="AB29" i="12" s="1"/>
  <c r="AF45" i="12" a="1"/>
  <c r="AF45" i="12" s="1"/>
  <c r="V29" i="12" a="1"/>
  <c r="V29" i="12" s="1"/>
  <c r="Z45" i="12" a="1"/>
  <c r="Z45" i="12" s="1"/>
  <c r="Z29" i="12" a="1"/>
  <c r="Z29" i="12" s="1"/>
  <c r="AC48" i="12" a="1"/>
  <c r="AC48" i="12" s="1"/>
  <c r="AF48" i="12" a="1"/>
  <c r="AF48" i="12" s="1"/>
  <c r="AD48" i="12" a="1"/>
  <c r="AD48" i="12" s="1"/>
  <c r="AE45" i="12" a="1"/>
  <c r="AE45" i="12" s="1"/>
  <c r="AB48" i="12" a="1"/>
  <c r="AB48" i="12" s="1"/>
  <c r="AB16" i="12" a="1"/>
  <c r="AB16" i="12" s="1"/>
  <c r="Z16" i="12" a="1"/>
  <c r="Z16" i="12" s="1"/>
  <c r="AG48" i="12" a="1"/>
  <c r="AG48" i="12" s="1"/>
  <c r="AG16" i="12" a="1"/>
  <c r="AG16" i="12" s="1"/>
  <c r="AF16" i="12" a="1"/>
  <c r="AF16" i="12" s="1"/>
  <c r="AG32" i="12" a="1"/>
  <c r="AG32" i="12" s="1"/>
  <c r="AE16" i="12" a="1"/>
  <c r="AE16" i="12" s="1"/>
  <c r="AF32" i="12" a="1"/>
  <c r="AF32" i="12" s="1"/>
  <c r="AD16" i="12" a="1"/>
  <c r="AD16" i="12" s="1"/>
  <c r="AE32" i="12" a="1"/>
  <c r="AE32" i="12" s="1"/>
  <c r="AD32" i="12" a="1"/>
  <c r="AD32" i="12" s="1"/>
  <c r="X24" i="12" a="1"/>
  <c r="X24" i="12" s="1"/>
  <c r="Z8" i="12" a="1"/>
  <c r="Z8" i="12" s="1"/>
  <c r="U26" i="12" a="1"/>
  <c r="U26" i="12" s="1"/>
  <c r="AE2" i="12" a="1"/>
  <c r="AE2" i="12" s="1"/>
  <c r="W24" i="12" a="1"/>
  <c r="W24" i="12" s="1"/>
  <c r="AB24" i="12" a="1"/>
  <c r="AB24" i="12" s="1"/>
  <c r="AD2" i="12" a="1"/>
  <c r="AD2" i="12" s="1"/>
  <c r="Y8" i="12" a="1"/>
  <c r="Y8" i="12" s="1"/>
  <c r="X8" i="12" a="1"/>
  <c r="X8" i="12" s="1"/>
  <c r="V40" i="12" a="1"/>
  <c r="V40" i="12" s="1"/>
  <c r="W8" i="12" a="1"/>
  <c r="W8" i="12" s="1"/>
  <c r="AB40" i="12" a="1"/>
  <c r="AB40" i="12" s="1"/>
  <c r="V8" i="12" a="1"/>
  <c r="V8" i="12" s="1"/>
  <c r="U2" i="12" a="1"/>
  <c r="U2" i="12" s="1"/>
  <c r="V2" i="12" a="1"/>
  <c r="V2" i="12" s="1"/>
  <c r="Z40" i="12" a="1"/>
  <c r="Z40" i="12" s="1"/>
  <c r="AB8" i="12" a="1"/>
  <c r="AB8" i="12" s="1"/>
  <c r="AE40" i="12" a="1"/>
  <c r="AE40" i="12" s="1"/>
  <c r="U40" i="12" a="1"/>
  <c r="U40" i="12" s="1"/>
  <c r="U8" i="12" a="1"/>
  <c r="U8" i="12" s="1"/>
  <c r="Y40" i="12" a="1"/>
  <c r="Y40" i="12" s="1"/>
  <c r="Z2" i="12" a="1"/>
  <c r="Z2" i="12" s="1"/>
  <c r="AD40" i="12" a="1"/>
  <c r="AD40" i="12" s="1"/>
  <c r="X40" i="12" a="1"/>
  <c r="X40" i="12" s="1"/>
  <c r="Y2" i="12" a="1"/>
  <c r="Y2" i="12" s="1"/>
  <c r="AC40" i="12" a="1"/>
  <c r="AC40" i="12" s="1"/>
  <c r="V24" i="12" a="1"/>
  <c r="V24" i="12" s="1"/>
  <c r="W40" i="12" a="1"/>
  <c r="W40" i="12" s="1"/>
  <c r="X2" i="12" a="1"/>
  <c r="X2" i="12" s="1"/>
  <c r="AC2" i="12" a="1"/>
  <c r="AC2" i="12" s="1"/>
  <c r="U24" i="12" a="1"/>
  <c r="U24" i="12" s="1"/>
  <c r="Z24" i="12" a="1"/>
  <c r="Z24" i="12" s="1"/>
  <c r="W2" i="12" a="1"/>
  <c r="W2" i="12" s="1"/>
  <c r="AG2" i="12" a="1"/>
  <c r="AG2" i="12" s="1"/>
  <c r="Y24" i="12" a="1"/>
  <c r="Y24" i="12" s="1"/>
  <c r="AB2" i="12" a="1"/>
  <c r="AB2" i="12" s="1"/>
  <c r="AG42" i="12" a="1"/>
  <c r="AG42" i="12" s="1"/>
  <c r="Z10" i="12" a="1"/>
  <c r="Z10" i="12" s="1"/>
  <c r="AF42" i="12" a="1"/>
  <c r="AF42" i="12" s="1"/>
  <c r="V26" i="12" a="1"/>
  <c r="V26" i="12" s="1"/>
  <c r="Y42" i="12" a="1"/>
  <c r="Y42" i="12" s="1"/>
  <c r="Y10" i="12" a="1"/>
  <c r="Y10" i="12" s="1"/>
  <c r="AE42" i="12" a="1"/>
  <c r="AE42" i="12" s="1"/>
  <c r="X42" i="12" a="1"/>
  <c r="X42" i="12" s="1"/>
  <c r="X10" i="12" a="1"/>
  <c r="X10" i="12" s="1"/>
  <c r="AD42" i="12" a="1"/>
  <c r="AD42" i="12" s="1"/>
  <c r="W42" i="12" a="1"/>
  <c r="W42" i="12" s="1"/>
  <c r="W10" i="12" a="1"/>
  <c r="W10" i="12" s="1"/>
  <c r="AC42" i="12" a="1"/>
  <c r="AC42" i="12" s="1"/>
  <c r="AB26" i="12" a="1"/>
  <c r="AB26" i="12" s="1"/>
  <c r="U42" i="12" a="1"/>
  <c r="U42" i="12" s="1"/>
  <c r="AG26" i="12" a="1"/>
  <c r="AG26" i="12" s="1"/>
  <c r="Z26" i="12" a="1"/>
  <c r="Z26" i="12" s="1"/>
  <c r="AF26" i="12" a="1"/>
  <c r="AF26" i="12" s="1"/>
  <c r="V42" i="12" a="1"/>
  <c r="V42" i="12" s="1"/>
  <c r="Y26" i="12" a="1"/>
  <c r="Y26" i="12" s="1"/>
  <c r="AE26" i="12" a="1"/>
  <c r="AE26" i="12" s="1"/>
  <c r="AG10" i="12" a="1"/>
  <c r="AG10" i="12" s="1"/>
  <c r="Z42" i="12" a="1"/>
  <c r="Z42" i="12" s="1"/>
  <c r="U10" i="12" a="1"/>
  <c r="U10" i="12" s="1"/>
  <c r="X26" i="12" a="1"/>
  <c r="X26" i="12" s="1"/>
  <c r="AD26" i="12" a="1"/>
  <c r="AD26" i="12" s="1"/>
  <c r="W26" i="12" a="1"/>
  <c r="W26" i="12" s="1"/>
  <c r="V10" i="12" a="1"/>
  <c r="V10" i="12" s="1"/>
  <c r="AB10" i="12" a="1"/>
  <c r="AB10" i="12" s="1"/>
  <c r="AF10" i="12" a="1"/>
  <c r="AF10" i="12" s="1"/>
  <c r="AE10" i="12" a="1"/>
  <c r="AE10" i="12" s="1"/>
  <c r="U38" i="12" a="1"/>
  <c r="U38" i="12" s="1"/>
  <c r="Z5" i="12" a="1"/>
  <c r="Z5" i="12" s="1"/>
  <c r="AD37" i="12" a="1"/>
  <c r="AD37" i="12" s="1"/>
  <c r="Y5" i="12" a="1"/>
  <c r="Y5" i="12" s="1"/>
  <c r="AC37" i="12" a="1"/>
  <c r="AC37" i="12" s="1"/>
  <c r="Z21" i="12" a="1"/>
  <c r="Z21" i="12" s="1"/>
  <c r="Y21" i="12" a="1"/>
  <c r="Y21" i="12" s="1"/>
  <c r="X21" i="12" a="1"/>
  <c r="X21" i="12" s="1"/>
  <c r="AG53" i="12" a="1"/>
  <c r="AG53" i="12" s="1"/>
  <c r="U5" i="12" a="1"/>
  <c r="U5" i="12" s="1"/>
  <c r="W21" i="12" a="1"/>
  <c r="W21" i="12" s="1"/>
  <c r="AF53" i="12" a="1"/>
  <c r="AF53" i="12" s="1"/>
  <c r="AE24" i="12" a="1"/>
  <c r="AE24" i="12" s="1"/>
  <c r="AB21" i="12" a="1"/>
  <c r="AB21" i="12" s="1"/>
  <c r="V53" i="12" a="1"/>
  <c r="V53" i="12" s="1"/>
  <c r="Z37" i="12" a="1"/>
  <c r="Z37" i="12" s="1"/>
  <c r="AB37" i="12" a="1"/>
  <c r="AB37" i="12" s="1"/>
  <c r="AE53" i="12" a="1"/>
  <c r="AE53" i="12" s="1"/>
  <c r="AG40" i="12" a="1"/>
  <c r="AG40" i="12" s="1"/>
  <c r="AD24" i="12" a="1"/>
  <c r="AD24" i="12" s="1"/>
  <c r="Y37" i="12" a="1"/>
  <c r="Y37" i="12" s="1"/>
  <c r="AD53" i="12" a="1"/>
  <c r="AD53" i="12" s="1"/>
  <c r="AC24" i="12" a="1"/>
  <c r="AC24" i="12" s="1"/>
  <c r="V37" i="12" a="1"/>
  <c r="V37" i="12" s="1"/>
  <c r="U21" i="12" a="1"/>
  <c r="U21" i="12" s="1"/>
  <c r="V5" i="12" a="1"/>
  <c r="V5" i="12" s="1"/>
  <c r="X37" i="12" a="1"/>
  <c r="X37" i="12" s="1"/>
  <c r="AC53" i="12" a="1"/>
  <c r="AC53" i="12" s="1"/>
  <c r="AG21" i="12" a="1"/>
  <c r="AG21" i="12" s="1"/>
  <c r="W5" i="12" a="1"/>
  <c r="W5" i="12" s="1"/>
  <c r="W37" i="12" a="1"/>
  <c r="W37" i="12" s="1"/>
  <c r="Z53" i="12" a="1"/>
  <c r="Z53" i="12" s="1"/>
  <c r="Y53" i="12" a="1"/>
  <c r="Y53" i="12" s="1"/>
  <c r="AB53" i="12" a="1"/>
  <c r="AB53" i="12" s="1"/>
  <c r="AG37" i="12" a="1"/>
  <c r="AG37" i="12" s="1"/>
  <c r="U37" i="12" a="1"/>
  <c r="U37" i="12" s="1"/>
  <c r="AB5" i="12" a="1"/>
  <c r="AB5" i="12" s="1"/>
  <c r="AF37" i="12" a="1"/>
  <c r="AF37" i="12" s="1"/>
  <c r="U39" i="12" a="1"/>
  <c r="U39" i="12" s="1"/>
  <c r="AB22" i="12" a="1"/>
  <c r="AB22" i="12" s="1"/>
  <c r="AD22" i="12" a="1"/>
  <c r="AD22" i="12" s="1"/>
  <c r="AD38" i="12" a="1"/>
  <c r="AD38" i="12" s="1"/>
  <c r="AC22" i="12" a="1"/>
  <c r="AC22" i="12" s="1"/>
  <c r="AC38" i="12" a="1"/>
  <c r="AC38" i="12" s="1"/>
  <c r="V7" i="12" a="1"/>
  <c r="V7" i="12" s="1"/>
  <c r="AF21" i="12" a="1"/>
  <c r="AF21" i="12" s="1"/>
  <c r="V6" i="12" a="1"/>
  <c r="V6" i="12" s="1"/>
  <c r="AB38" i="12" a="1"/>
  <c r="AB38" i="12" s="1"/>
  <c r="AE21" i="12" a="1"/>
  <c r="AE21" i="12" s="1"/>
  <c r="H69" i="33"/>
  <c r="H77" i="17" s="1"/>
  <c r="AG54" i="12" a="1"/>
  <c r="AG54" i="12" s="1"/>
  <c r="AD21" i="12" a="1"/>
  <c r="AD21" i="12" s="1"/>
  <c r="V23" i="12" a="1"/>
  <c r="V23" i="12" s="1"/>
  <c r="AF54" i="12" a="1"/>
  <c r="AF54" i="12" s="1"/>
  <c r="V22" i="12" a="1"/>
  <c r="V22" i="12" s="1"/>
  <c r="Z54" i="12" a="1"/>
  <c r="Z54" i="12" s="1"/>
  <c r="Z38" i="12" a="1"/>
  <c r="Z38" i="12" s="1"/>
  <c r="Z22" i="12" a="1"/>
  <c r="Z22" i="12" s="1"/>
  <c r="Z6" i="12" a="1"/>
  <c r="Z6" i="12" s="1"/>
  <c r="AE54" i="12" a="1"/>
  <c r="AE54" i="12" s="1"/>
  <c r="U7" i="12" a="1"/>
  <c r="U7" i="12" s="1"/>
  <c r="U6" i="12" a="1"/>
  <c r="U6" i="12" s="1"/>
  <c r="Y54" i="12" a="1"/>
  <c r="Y54" i="12" s="1"/>
  <c r="Y38" i="12" a="1"/>
  <c r="Y38" i="12" s="1"/>
  <c r="Y22" i="12" a="1"/>
  <c r="Y22" i="12" s="1"/>
  <c r="Y6" i="12" a="1"/>
  <c r="Y6" i="12" s="1"/>
  <c r="AB54" i="12" a="1"/>
  <c r="AB54" i="12" s="1"/>
  <c r="AD54" i="12" a="1"/>
  <c r="AD54" i="12" s="1"/>
  <c r="AD5" i="12" a="1"/>
  <c r="AD5" i="12" s="1"/>
  <c r="X54" i="12" a="1"/>
  <c r="X54" i="12" s="1"/>
  <c r="X38" i="12" a="1"/>
  <c r="X38" i="12" s="1"/>
  <c r="X22" i="12" a="1"/>
  <c r="X22" i="12" s="1"/>
  <c r="X6" i="12" a="1"/>
  <c r="X6" i="12" s="1"/>
  <c r="AC54" i="12" a="1"/>
  <c r="AC54" i="12" s="1"/>
  <c r="U54" i="12" a="1"/>
  <c r="U54" i="12" s="1"/>
  <c r="V39" i="12" a="1"/>
  <c r="V39" i="12" s="1"/>
  <c r="U23" i="12" a="1"/>
  <c r="U23" i="12" s="1"/>
  <c r="V38" i="12" a="1"/>
  <c r="V38" i="12" s="1"/>
  <c r="W54" i="12" a="1"/>
  <c r="W54" i="12" s="1"/>
  <c r="W38" i="12" a="1"/>
  <c r="W38" i="12" s="1"/>
  <c r="W22" i="12" a="1"/>
  <c r="W22" i="12" s="1"/>
  <c r="W6" i="12" a="1"/>
  <c r="W6" i="12" s="1"/>
  <c r="AB6" i="12" a="1"/>
  <c r="AB6" i="12" s="1"/>
  <c r="AF6" i="12" a="1"/>
  <c r="AF6" i="12" s="1"/>
  <c r="AE6" i="12" a="1"/>
  <c r="AE6" i="12" s="1"/>
  <c r="AD6" i="12" a="1"/>
  <c r="AD6" i="12" s="1"/>
  <c r="AG38" i="12" a="1"/>
  <c r="AG38" i="12" s="1"/>
  <c r="AF38" i="12" a="1"/>
  <c r="AF38" i="12" s="1"/>
  <c r="AG22" i="12" a="1"/>
  <c r="AG22" i="12" s="1"/>
  <c r="AF22" i="12" a="1"/>
  <c r="AF22" i="12" s="1"/>
  <c r="Z55" i="12" a="1"/>
  <c r="Z55" i="12" s="1"/>
  <c r="Y55" i="12" a="1"/>
  <c r="Y55" i="12" s="1"/>
  <c r="AB7" i="12" a="1"/>
  <c r="AB7" i="12" s="1"/>
  <c r="X55" i="12" a="1"/>
  <c r="X55" i="12" s="1"/>
  <c r="W55" i="12" a="1"/>
  <c r="W55" i="12" s="1"/>
  <c r="V55" i="12" a="1"/>
  <c r="V55" i="12" s="1"/>
  <c r="Z39" i="12" a="1"/>
  <c r="Z39" i="12" s="1"/>
  <c r="Y39" i="12" a="1"/>
  <c r="Y39" i="12" s="1"/>
  <c r="X39" i="12" a="1"/>
  <c r="X39" i="12" s="1"/>
  <c r="W39" i="12" a="1"/>
  <c r="W39" i="12" s="1"/>
  <c r="U55" i="12" a="1"/>
  <c r="U55" i="12" s="1"/>
  <c r="Z23" i="12" a="1"/>
  <c r="Z23" i="12" s="1"/>
  <c r="Y23" i="12" a="1"/>
  <c r="Y23" i="12" s="1"/>
  <c r="X23" i="12" a="1"/>
  <c r="X23" i="12" s="1"/>
  <c r="W23" i="12" a="1"/>
  <c r="W23" i="12" s="1"/>
  <c r="AB23" i="12" a="1"/>
  <c r="AB23" i="12" s="1"/>
  <c r="Z7" i="12" a="1"/>
  <c r="Z7" i="12" s="1"/>
  <c r="Y7" i="12" a="1"/>
  <c r="Y7" i="12" s="1"/>
  <c r="X7" i="12" a="1"/>
  <c r="X7" i="12" s="1"/>
  <c r="AB39" i="12" a="1"/>
  <c r="AB39" i="12" s="1"/>
  <c r="W7" i="12" a="1"/>
  <c r="W7" i="12" s="1"/>
  <c r="AB55" i="12" a="1"/>
  <c r="AB55" i="12" s="1"/>
  <c r="AD55" i="12" a="1"/>
  <c r="AD55" i="12" s="1"/>
  <c r="AC55" i="12" a="1"/>
  <c r="AC55" i="12" s="1"/>
  <c r="X50" i="12" a="1"/>
  <c r="X50" i="12" s="1"/>
  <c r="AD10" i="12" a="1"/>
  <c r="AD10" i="12" s="1"/>
  <c r="X34" i="12" a="1"/>
  <c r="X34" i="12" s="1"/>
  <c r="Z20" i="12" a="1"/>
  <c r="Z20" i="12" s="1"/>
  <c r="AG55" i="12" a="1"/>
  <c r="AG55" i="12" s="1"/>
  <c r="AE39" i="12" a="1"/>
  <c r="AE39" i="12" s="1"/>
  <c r="AE55" i="12" a="1"/>
  <c r="AE55" i="12" s="1"/>
  <c r="AD39" i="12" a="1"/>
  <c r="AD39" i="12" s="1"/>
  <c r="AG6" i="12" a="1"/>
  <c r="AG6" i="12" s="1"/>
  <c r="AG5" i="12" a="1"/>
  <c r="AG5" i="12" s="1"/>
  <c r="AF5" i="12" a="1"/>
  <c r="AF5" i="12" s="1"/>
  <c r="AE5" i="12" a="1"/>
  <c r="AE5" i="12" s="1"/>
  <c r="AC39" i="12" a="1"/>
  <c r="AC39" i="12" s="1"/>
  <c r="AD7" i="12" a="1"/>
  <c r="AD7" i="12" s="1"/>
  <c r="AG39" i="12" a="1"/>
  <c r="AG39" i="12" s="1"/>
  <c r="AC7" i="12" a="1"/>
  <c r="AC7" i="12" s="1"/>
  <c r="AG23" i="12" a="1"/>
  <c r="AG23" i="12" s="1"/>
  <c r="AF23" i="12" a="1"/>
  <c r="AF23" i="12" s="1"/>
  <c r="AE23" i="12" a="1"/>
  <c r="AE23" i="12" s="1"/>
  <c r="AG7" i="12" a="1"/>
  <c r="AG7" i="12" s="1"/>
  <c r="AD23" i="12" a="1"/>
  <c r="AD23" i="12" s="1"/>
  <c r="AF7" i="12" a="1"/>
  <c r="AF7" i="12" s="1"/>
  <c r="Z25" i="12" a="1"/>
  <c r="Z25" i="12" s="1"/>
  <c r="AB25" i="12" a="1"/>
  <c r="AB25" i="12" s="1"/>
  <c r="U9" i="12" a="1"/>
  <c r="U9" i="12" s="1"/>
  <c r="Y25" i="12" a="1"/>
  <c r="Y25" i="12" s="1"/>
  <c r="V25" i="12" a="1"/>
  <c r="V25" i="12" s="1"/>
  <c r="X25" i="12" a="1"/>
  <c r="X25" i="12" s="1"/>
  <c r="AB41" i="12" a="1"/>
  <c r="AB41" i="12" s="1"/>
  <c r="AG24" i="12" a="1"/>
  <c r="AG24" i="12" s="1"/>
  <c r="V9" i="12" a="1"/>
  <c r="V9" i="12" s="1"/>
  <c r="U25" i="12" a="1"/>
  <c r="U25" i="12" s="1"/>
  <c r="W25" i="12" a="1"/>
  <c r="W25" i="12" s="1"/>
  <c r="AF41" i="12" a="1"/>
  <c r="AF41" i="12" s="1"/>
  <c r="Z41" i="12" a="1"/>
  <c r="Z41" i="12" s="1"/>
  <c r="AE41" i="12" a="1"/>
  <c r="AE41" i="12" s="1"/>
  <c r="Y41" i="12" a="1"/>
  <c r="Y41" i="12" s="1"/>
  <c r="AD41" i="12" a="1"/>
  <c r="AD41" i="12" s="1"/>
  <c r="X41" i="12" a="1"/>
  <c r="X41" i="12" s="1"/>
  <c r="Z9" i="12" a="1"/>
  <c r="Z9" i="12" s="1"/>
  <c r="AG8" i="12" a="1"/>
  <c r="AG8" i="12" s="1"/>
  <c r="U41" i="12" a="1"/>
  <c r="U41" i="12" s="1"/>
  <c r="W41" i="12" a="1"/>
  <c r="W41" i="12" s="1"/>
  <c r="Y9" i="12" a="1"/>
  <c r="Y9" i="12" s="1"/>
  <c r="AF8" i="12" a="1"/>
  <c r="AF8" i="12" s="1"/>
  <c r="X9" i="12" a="1"/>
  <c r="X9" i="12" s="1"/>
  <c r="AE8" i="12" a="1"/>
  <c r="AE8" i="12" s="1"/>
  <c r="W9" i="12" a="1"/>
  <c r="W9" i="12" s="1"/>
  <c r="AD8" i="12" a="1"/>
  <c r="AD8" i="12" s="1"/>
  <c r="AB9" i="12" a="1"/>
  <c r="AB9" i="12" s="1"/>
  <c r="AG9" i="12" a="1"/>
  <c r="AG9" i="12" s="1"/>
  <c r="AF9" i="12" a="1"/>
  <c r="AF9" i="12" s="1"/>
  <c r="AE9" i="12" a="1"/>
  <c r="AE9" i="12" s="1"/>
  <c r="AD9" i="12" a="1"/>
  <c r="AD9" i="12" s="1"/>
  <c r="AG25" i="12" a="1"/>
  <c r="AG25" i="12" s="1"/>
  <c r="AF25" i="12" a="1"/>
  <c r="AF25" i="12" s="1"/>
  <c r="AG41" i="12" a="1"/>
  <c r="AG41" i="12" s="1"/>
  <c r="AE25" i="12" a="1"/>
  <c r="AE25" i="12" s="1"/>
  <c r="AD25" i="12" a="1"/>
  <c r="AD25" i="12" s="1"/>
  <c r="AG29" i="12" a="1"/>
  <c r="AG29" i="12" s="1"/>
  <c r="AF29" i="12" a="1"/>
  <c r="AF29" i="12" s="1"/>
  <c r="AG13" i="12" a="1"/>
  <c r="AG13" i="12" s="1"/>
  <c r="AE29" i="12" a="1"/>
  <c r="AE29" i="12" s="1"/>
  <c r="AF13" i="12" a="1"/>
  <c r="AF13" i="12" s="1"/>
  <c r="AD29" i="12" a="1"/>
  <c r="AD29" i="12" s="1"/>
  <c r="AE13" i="12" a="1"/>
  <c r="AE13" i="12" s="1"/>
  <c r="AD13" i="12" a="1"/>
  <c r="AD13" i="12" s="1"/>
  <c r="H63" i="33"/>
  <c r="H71" i="17" s="1"/>
  <c r="AF35" i="12" a="1"/>
  <c r="AF35" i="12" s="1"/>
  <c r="AE35" i="12" a="1"/>
  <c r="AE35" i="12" s="1"/>
  <c r="Y20" i="12" a="1"/>
  <c r="Y20" i="12" s="1"/>
  <c r="Z36" i="12" a="1"/>
  <c r="Z36" i="12" s="1"/>
  <c r="W20" i="12" a="1"/>
  <c r="W20" i="12" s="1"/>
  <c r="Y36" i="12" a="1"/>
  <c r="Y36" i="12" s="1"/>
  <c r="U4" i="12" a="1"/>
  <c r="U4" i="12" s="1"/>
  <c r="X36" i="12" a="1"/>
  <c r="X36" i="12" s="1"/>
  <c r="Z52" i="12" a="1"/>
  <c r="Z52" i="12" s="1"/>
  <c r="W36" i="12" a="1"/>
  <c r="W36" i="12" s="1"/>
  <c r="U20" i="12" a="1"/>
  <c r="U20" i="12" s="1"/>
  <c r="U36" i="12" a="1"/>
  <c r="U36" i="12" s="1"/>
  <c r="Y52" i="12" a="1"/>
  <c r="Y52" i="12" s="1"/>
  <c r="U52" i="12" a="1"/>
  <c r="U52" i="12" s="1"/>
  <c r="V4" i="12" a="1"/>
  <c r="V4" i="12" s="1"/>
  <c r="X52" i="12" a="1"/>
  <c r="X52" i="12" s="1"/>
  <c r="X18" i="12" a="1"/>
  <c r="X18" i="12" s="1"/>
  <c r="V20" i="12" a="1"/>
  <c r="V20" i="12" s="1"/>
  <c r="W52" i="12" a="1"/>
  <c r="W52" i="12" s="1"/>
  <c r="X20" i="12" a="1"/>
  <c r="X20" i="12" s="1"/>
  <c r="V36" i="12" a="1"/>
  <c r="V36" i="12" s="1"/>
  <c r="AE52" i="12" a="1"/>
  <c r="AE52" i="12" s="1"/>
  <c r="V52" i="12" a="1"/>
  <c r="V52" i="12" s="1"/>
  <c r="AD52" i="12" a="1"/>
  <c r="AD52" i="12" s="1"/>
  <c r="W4" i="12" a="1"/>
  <c r="W4" i="12" s="1"/>
  <c r="AF4" i="12" a="1"/>
  <c r="AF4" i="12" s="1"/>
  <c r="AE4" i="12" a="1"/>
  <c r="AE4" i="12" s="1"/>
  <c r="AC52" i="12" a="1"/>
  <c r="AC52" i="12" s="1"/>
  <c r="AD4" i="12" a="1"/>
  <c r="AD4" i="12" s="1"/>
  <c r="AC4" i="12" a="1"/>
  <c r="AC4" i="12" s="1"/>
  <c r="AG20" i="12" a="1"/>
  <c r="AG20" i="12" s="1"/>
  <c r="AG3" i="12" a="1"/>
  <c r="AG3" i="12" s="1"/>
  <c r="AF20" i="12" a="1"/>
  <c r="AF20" i="12" s="1"/>
  <c r="AF3" i="12" a="1"/>
  <c r="AF3" i="12" s="1"/>
  <c r="AE20" i="12" a="1"/>
  <c r="AE20" i="12" s="1"/>
  <c r="AE3" i="12" a="1"/>
  <c r="AE3" i="12" s="1"/>
  <c r="AB4" i="12" a="1"/>
  <c r="AB4" i="12" s="1"/>
  <c r="AD20" i="12" a="1"/>
  <c r="AD20" i="12" s="1"/>
  <c r="AD3" i="12" a="1"/>
  <c r="AD3" i="12" s="1"/>
  <c r="AB20" i="12" a="1"/>
  <c r="AB20" i="12" s="1"/>
  <c r="AB36" i="12" a="1"/>
  <c r="AB36" i="12" s="1"/>
  <c r="AG36" i="12" a="1"/>
  <c r="AG36" i="12" s="1"/>
  <c r="AG19" i="12" a="1"/>
  <c r="AG19" i="12" s="1"/>
  <c r="Z4" i="12" a="1"/>
  <c r="Z4" i="12" s="1"/>
  <c r="AB52" i="12" a="1"/>
  <c r="AB52" i="12" s="1"/>
  <c r="AF36" i="12" a="1"/>
  <c r="AF36" i="12" s="1"/>
  <c r="AF19" i="12" a="1"/>
  <c r="AF19" i="12" s="1"/>
  <c r="Y4" i="12" a="1"/>
  <c r="Y4" i="12" s="1"/>
  <c r="AE36" i="12" a="1"/>
  <c r="AE36" i="12" s="1"/>
  <c r="AE19" i="12" a="1"/>
  <c r="AE19" i="12" s="1"/>
  <c r="X4" i="12" a="1"/>
  <c r="X4" i="12" s="1"/>
  <c r="AD36" i="12" a="1"/>
  <c r="AD36" i="12" s="1"/>
  <c r="AD19" i="12" a="1"/>
  <c r="AD19" i="12" s="1"/>
  <c r="AG52" i="12" a="1"/>
  <c r="AG52" i="12" s="1"/>
  <c r="W50" i="12" a="1"/>
  <c r="W50" i="12" s="1"/>
  <c r="W34" i="12" a="1"/>
  <c r="W34" i="12" s="1"/>
  <c r="W18" i="12" a="1"/>
  <c r="W18" i="12" s="1"/>
  <c r="U50" i="12" a="1"/>
  <c r="U50" i="12" s="1"/>
  <c r="U34" i="12" a="1"/>
  <c r="U34" i="12" s="1"/>
  <c r="U18" i="12" a="1"/>
  <c r="U18" i="12" s="1"/>
  <c r="AG50" i="12" a="1"/>
  <c r="AG50" i="12" s="1"/>
  <c r="AG34" i="12" a="1"/>
  <c r="AG34" i="12" s="1"/>
  <c r="AG18" i="12" a="1"/>
  <c r="AG18" i="12" s="1"/>
  <c r="AB50" i="12" a="1"/>
  <c r="AB50" i="12" s="1"/>
  <c r="AB34" i="12" a="1"/>
  <c r="AB34" i="12" s="1"/>
  <c r="AB18" i="12" a="1"/>
  <c r="AB18" i="12" s="1"/>
  <c r="AF50" i="12" a="1"/>
  <c r="AF50" i="12" s="1"/>
  <c r="AF34" i="12" a="1"/>
  <c r="AF34" i="12" s="1"/>
  <c r="AF18" i="12" a="1"/>
  <c r="AF18" i="12" s="1"/>
  <c r="AE50" i="12" a="1"/>
  <c r="AE50" i="12" s="1"/>
  <c r="AE34" i="12" a="1"/>
  <c r="AE34" i="12" s="1"/>
  <c r="AE18" i="12" a="1"/>
  <c r="AE18" i="12" s="1"/>
  <c r="V50" i="12" a="1"/>
  <c r="V50" i="12" s="1"/>
  <c r="V34" i="12" a="1"/>
  <c r="V34" i="12" s="1"/>
  <c r="V18" i="12" a="1"/>
  <c r="V18" i="12" s="1"/>
  <c r="AD50" i="12" a="1"/>
  <c r="AD50" i="12" s="1"/>
  <c r="AD34" i="12" a="1"/>
  <c r="AD34" i="12" s="1"/>
  <c r="AD18" i="12" a="1"/>
  <c r="AD18" i="12" s="1"/>
  <c r="AC50" i="12" a="1"/>
  <c r="AC50" i="12" s="1"/>
  <c r="AC34" i="12" a="1"/>
  <c r="AC34" i="12" s="1"/>
  <c r="AC18" i="12" a="1"/>
  <c r="AC18" i="12" s="1"/>
  <c r="Z50" i="12" a="1"/>
  <c r="Z50" i="12" s="1"/>
  <c r="Z34" i="12" a="1"/>
  <c r="Z34" i="12" s="1"/>
  <c r="Z18" i="12" a="1"/>
  <c r="Z18" i="12" s="1"/>
  <c r="G63" i="33"/>
  <c r="G71" i="17" s="1"/>
  <c r="H65" i="33"/>
  <c r="H73" i="17" s="1"/>
  <c r="AG50" i="2"/>
  <c r="AF64" i="2"/>
  <c r="AE57" i="2"/>
  <c r="AG55" i="2"/>
  <c r="AD50" i="2"/>
  <c r="AF48" i="2"/>
  <c r="AE41" i="2"/>
  <c r="AG87" i="2"/>
  <c r="AG39" i="2"/>
  <c r="AD66" i="2"/>
  <c r="AD62" i="2"/>
  <c r="AE62" i="2"/>
  <c r="AF62" i="2"/>
  <c r="AG62" i="2"/>
  <c r="AD45" i="2"/>
  <c r="AE45" i="2"/>
  <c r="AF45" i="2"/>
  <c r="AG45" i="2"/>
  <c r="AD44" i="2"/>
  <c r="AE44" i="2"/>
  <c r="AF44" i="2"/>
  <c r="AG44" i="2"/>
  <c r="AF87" i="2"/>
  <c r="AE64" i="2"/>
  <c r="AD57" i="2"/>
  <c r="AF55" i="2"/>
  <c r="AE48" i="2"/>
  <c r="AG46" i="2"/>
  <c r="AD41" i="2"/>
  <c r="AF39" i="2"/>
  <c r="AE87" i="2"/>
  <c r="AG85" i="2"/>
  <c r="AD64" i="2"/>
  <c r="AE55" i="2"/>
  <c r="AD48" i="2"/>
  <c r="AF46" i="2"/>
  <c r="AE39" i="2"/>
  <c r="AF34" i="2"/>
  <c r="AD87" i="2"/>
  <c r="AF85" i="2"/>
  <c r="AD55" i="2"/>
  <c r="AE46" i="2"/>
  <c r="AD39" i="2"/>
  <c r="AE34" i="2"/>
  <c r="AE85" i="2"/>
  <c r="AG67" i="2"/>
  <c r="AD46" i="2"/>
  <c r="AG35" i="2"/>
  <c r="AG34" i="2"/>
  <c r="AD85" i="2"/>
  <c r="AF67" i="2"/>
  <c r="AG42" i="2"/>
  <c r="AF35" i="2"/>
  <c r="AE67" i="2"/>
  <c r="AG65" i="2"/>
  <c r="AG49" i="2"/>
  <c r="AF42" i="2"/>
  <c r="AE35" i="2"/>
  <c r="AD67" i="2"/>
  <c r="AF65" i="2"/>
  <c r="AG56" i="2"/>
  <c r="AF49" i="2"/>
  <c r="AE42" i="2"/>
  <c r="AG40" i="2"/>
  <c r="AD35" i="2"/>
  <c r="AE65" i="2"/>
  <c r="AG63" i="2"/>
  <c r="AF56" i="2"/>
  <c r="AE49" i="2"/>
  <c r="AG47" i="2"/>
  <c r="AF40" i="2"/>
  <c r="AG86" i="2"/>
  <c r="AD65" i="2"/>
  <c r="AF63" i="2"/>
  <c r="AE56" i="2"/>
  <c r="AD49" i="2"/>
  <c r="AF47" i="2"/>
  <c r="AE40" i="2"/>
  <c r="AG38" i="2"/>
  <c r="AF86" i="2"/>
  <c r="AE63" i="2"/>
  <c r="AE47" i="2"/>
  <c r="AF38" i="2"/>
  <c r="AE86" i="2"/>
  <c r="AE38" i="2"/>
  <c r="AG59" i="2"/>
  <c r="AG43" i="2"/>
  <c r="AG66" i="2"/>
  <c r="AF59" i="2"/>
  <c r="AF43" i="2"/>
  <c r="AF66" i="2"/>
  <c r="AE59" i="2"/>
  <c r="AG57" i="2"/>
  <c r="AF50" i="2"/>
  <c r="AE43" i="2"/>
  <c r="AG41" i="2"/>
  <c r="G66" i="33"/>
  <c r="G74" i="17" s="1"/>
  <c r="G64" i="33"/>
  <c r="G72" i="17" s="1"/>
  <c r="G65" i="33"/>
  <c r="G73" i="17" s="1"/>
  <c r="G54" i="33"/>
  <c r="G62" i="17" s="1"/>
  <c r="G58" i="33"/>
  <c r="G66" i="17" s="1"/>
  <c r="G56" i="33"/>
  <c r="G64" i="17" s="1"/>
  <c r="H66" i="33"/>
  <c r="H74" i="17" s="1"/>
  <c r="G59" i="33"/>
  <c r="G67" i="17" s="1"/>
  <c r="G57" i="33"/>
  <c r="G65" i="17" s="1"/>
  <c r="G55" i="33"/>
  <c r="G63" i="17" s="1"/>
  <c r="N3" i="12"/>
  <c r="O3" i="12"/>
  <c r="P3" i="12"/>
  <c r="Q3" i="12"/>
  <c r="R3" i="12"/>
  <c r="S3" i="12"/>
  <c r="N4" i="12"/>
  <c r="O4" i="12"/>
  <c r="P4" i="12"/>
  <c r="Q4" i="12"/>
  <c r="R4" i="12"/>
  <c r="S4" i="12"/>
  <c r="N5" i="12"/>
  <c r="O5" i="12"/>
  <c r="P5" i="12"/>
  <c r="Q5" i="12"/>
  <c r="R5" i="12"/>
  <c r="S5" i="12"/>
  <c r="N6" i="12"/>
  <c r="O6" i="12"/>
  <c r="P6" i="12"/>
  <c r="Q6" i="12"/>
  <c r="R6" i="12"/>
  <c r="S6" i="12"/>
  <c r="N7" i="12"/>
  <c r="O7" i="12"/>
  <c r="P7" i="12"/>
  <c r="Q7" i="12"/>
  <c r="R7" i="12"/>
  <c r="S7" i="12"/>
  <c r="N8" i="12"/>
  <c r="O8" i="12"/>
  <c r="P8" i="12"/>
  <c r="Q8" i="12"/>
  <c r="R8" i="12"/>
  <c r="S8" i="12"/>
  <c r="N9" i="12"/>
  <c r="O9" i="12"/>
  <c r="P9" i="12"/>
  <c r="Q9" i="12"/>
  <c r="R9" i="12"/>
  <c r="S9" i="12"/>
  <c r="N10" i="12"/>
  <c r="O10" i="12"/>
  <c r="P10" i="12"/>
  <c r="Q10" i="12"/>
  <c r="R10" i="12"/>
  <c r="S10" i="12"/>
  <c r="N11" i="12"/>
  <c r="O11" i="12"/>
  <c r="P11" i="12"/>
  <c r="Q11" i="12"/>
  <c r="R11" i="12"/>
  <c r="S11" i="12"/>
  <c r="N12" i="12"/>
  <c r="O12" i="12"/>
  <c r="P12" i="12"/>
  <c r="Q12" i="12"/>
  <c r="R12" i="12"/>
  <c r="S12" i="12"/>
  <c r="N13" i="12"/>
  <c r="O13" i="12"/>
  <c r="P13" i="12"/>
  <c r="Q13" i="12"/>
  <c r="R13" i="12"/>
  <c r="S13" i="12"/>
  <c r="N14" i="12"/>
  <c r="O14" i="12"/>
  <c r="P14" i="12"/>
  <c r="Q14" i="12"/>
  <c r="R14" i="12"/>
  <c r="S14" i="12"/>
  <c r="N15" i="12"/>
  <c r="O15" i="12"/>
  <c r="P15" i="12"/>
  <c r="Q15" i="12"/>
  <c r="R15" i="12"/>
  <c r="S15" i="12"/>
  <c r="N16" i="12"/>
  <c r="O16" i="12"/>
  <c r="P16" i="12"/>
  <c r="Q16" i="12"/>
  <c r="R16" i="12"/>
  <c r="S16" i="12"/>
  <c r="N17" i="12"/>
  <c r="O17" i="12"/>
  <c r="P17" i="12"/>
  <c r="Q17" i="12"/>
  <c r="R17" i="12"/>
  <c r="S17" i="12"/>
  <c r="N18" i="12"/>
  <c r="O18" i="12"/>
  <c r="P18" i="12"/>
  <c r="Q18" i="12"/>
  <c r="R18" i="12"/>
  <c r="S18" i="12"/>
  <c r="N19" i="12"/>
  <c r="O19" i="12"/>
  <c r="P19" i="12"/>
  <c r="Q19" i="12"/>
  <c r="R19" i="12"/>
  <c r="S19" i="12"/>
  <c r="N20" i="12"/>
  <c r="O20" i="12"/>
  <c r="P20" i="12"/>
  <c r="Q20" i="12"/>
  <c r="R20" i="12"/>
  <c r="S20" i="12"/>
  <c r="N21" i="12"/>
  <c r="O21" i="12"/>
  <c r="P21" i="12"/>
  <c r="Q21" i="12"/>
  <c r="R21" i="12"/>
  <c r="S21" i="12"/>
  <c r="N22" i="12"/>
  <c r="O22" i="12"/>
  <c r="P22" i="12"/>
  <c r="Q22" i="12"/>
  <c r="R22" i="12"/>
  <c r="S22" i="12"/>
  <c r="N23" i="12"/>
  <c r="O23" i="12"/>
  <c r="P23" i="12"/>
  <c r="Q23" i="12"/>
  <c r="R23" i="12"/>
  <c r="S23" i="12"/>
  <c r="N24" i="12"/>
  <c r="O24" i="12"/>
  <c r="P24" i="12"/>
  <c r="Q24" i="12"/>
  <c r="R24" i="12"/>
  <c r="S24" i="12"/>
  <c r="N25" i="12"/>
  <c r="O25" i="12"/>
  <c r="P25" i="12"/>
  <c r="Q25" i="12"/>
  <c r="R25" i="12"/>
  <c r="S25" i="12"/>
  <c r="N26" i="12"/>
  <c r="O26" i="12"/>
  <c r="P26" i="12"/>
  <c r="Q26" i="12"/>
  <c r="R26" i="12"/>
  <c r="S26" i="12"/>
  <c r="N27" i="12"/>
  <c r="O27" i="12"/>
  <c r="P27" i="12"/>
  <c r="Q27" i="12"/>
  <c r="R27" i="12"/>
  <c r="S27" i="12"/>
  <c r="N28" i="12"/>
  <c r="O28" i="12"/>
  <c r="P28" i="12"/>
  <c r="Q28" i="12"/>
  <c r="R28" i="12"/>
  <c r="S28" i="12"/>
  <c r="N29" i="12"/>
  <c r="O29" i="12"/>
  <c r="P29" i="12"/>
  <c r="Q29" i="12"/>
  <c r="R29" i="12"/>
  <c r="S29" i="12"/>
  <c r="N30" i="12"/>
  <c r="O30" i="12"/>
  <c r="P30" i="12"/>
  <c r="Q30" i="12"/>
  <c r="R30" i="12"/>
  <c r="S30" i="12"/>
  <c r="N31" i="12"/>
  <c r="O31" i="12"/>
  <c r="P31" i="12"/>
  <c r="Q31" i="12"/>
  <c r="R31" i="12"/>
  <c r="S31" i="12"/>
  <c r="N32" i="12"/>
  <c r="O32" i="12"/>
  <c r="P32" i="12"/>
  <c r="Q32" i="12"/>
  <c r="R32" i="12"/>
  <c r="S32" i="12"/>
  <c r="N33" i="12"/>
  <c r="O33" i="12"/>
  <c r="P33" i="12"/>
  <c r="Q33" i="12"/>
  <c r="R33" i="12"/>
  <c r="S33" i="12"/>
  <c r="N34" i="12"/>
  <c r="O34" i="12"/>
  <c r="P34" i="12"/>
  <c r="Q34" i="12"/>
  <c r="R34" i="12"/>
  <c r="S34" i="12"/>
  <c r="N35" i="12"/>
  <c r="O35" i="12"/>
  <c r="P35" i="12"/>
  <c r="Q35" i="12"/>
  <c r="R35" i="12"/>
  <c r="S35" i="12"/>
  <c r="N36" i="12"/>
  <c r="O36" i="12"/>
  <c r="P36" i="12"/>
  <c r="Q36" i="12"/>
  <c r="R36" i="12"/>
  <c r="S36" i="12"/>
  <c r="N37" i="12"/>
  <c r="O37" i="12"/>
  <c r="P37" i="12"/>
  <c r="Q37" i="12"/>
  <c r="R37" i="12"/>
  <c r="S37" i="12"/>
  <c r="N38" i="12"/>
  <c r="O38" i="12"/>
  <c r="P38" i="12"/>
  <c r="Q38" i="12"/>
  <c r="R38" i="12"/>
  <c r="S38" i="12"/>
  <c r="N39" i="12"/>
  <c r="O39" i="12"/>
  <c r="P39" i="12"/>
  <c r="Q39" i="12"/>
  <c r="R39" i="12"/>
  <c r="S39" i="12"/>
  <c r="N40" i="12"/>
  <c r="O40" i="12"/>
  <c r="P40" i="12"/>
  <c r="Q40" i="12"/>
  <c r="R40" i="12"/>
  <c r="S40" i="12"/>
  <c r="N41" i="12"/>
  <c r="O41" i="12"/>
  <c r="P41" i="12"/>
  <c r="Q41" i="12"/>
  <c r="R41" i="12"/>
  <c r="S41" i="12"/>
  <c r="N42" i="12"/>
  <c r="O42" i="12"/>
  <c r="P42" i="12"/>
  <c r="Q42" i="12"/>
  <c r="R42" i="12"/>
  <c r="S42" i="12"/>
  <c r="N43" i="12"/>
  <c r="O43" i="12"/>
  <c r="P43" i="12"/>
  <c r="Q43" i="12"/>
  <c r="R43" i="12"/>
  <c r="S43" i="12"/>
  <c r="N44" i="12"/>
  <c r="O44" i="12"/>
  <c r="P44" i="12"/>
  <c r="Q44" i="12"/>
  <c r="R44" i="12"/>
  <c r="S44" i="12"/>
  <c r="N45" i="12"/>
  <c r="O45" i="12"/>
  <c r="P45" i="12"/>
  <c r="Q45" i="12"/>
  <c r="R45" i="12"/>
  <c r="S45" i="12"/>
  <c r="N46" i="12"/>
  <c r="O46" i="12"/>
  <c r="P46" i="12"/>
  <c r="Q46" i="12"/>
  <c r="R46" i="12"/>
  <c r="S46" i="12"/>
  <c r="N47" i="12"/>
  <c r="O47" i="12"/>
  <c r="P47" i="12"/>
  <c r="Q47" i="12"/>
  <c r="R47" i="12"/>
  <c r="S47" i="12"/>
  <c r="N48" i="12"/>
  <c r="O48" i="12"/>
  <c r="P48" i="12"/>
  <c r="Q48" i="12"/>
  <c r="R48" i="12"/>
  <c r="S48" i="12"/>
  <c r="N49" i="12"/>
  <c r="O49" i="12"/>
  <c r="P49" i="12"/>
  <c r="Q49" i="12"/>
  <c r="R49" i="12"/>
  <c r="S49" i="12"/>
  <c r="N50" i="12"/>
  <c r="O50" i="12"/>
  <c r="P50" i="12"/>
  <c r="Q50" i="12"/>
  <c r="R50" i="12"/>
  <c r="S50" i="12"/>
  <c r="N51" i="12"/>
  <c r="O51" i="12"/>
  <c r="P51" i="12"/>
  <c r="Q51" i="12"/>
  <c r="R51" i="12"/>
  <c r="S51" i="12"/>
  <c r="N52" i="12"/>
  <c r="O52" i="12"/>
  <c r="P52" i="12"/>
  <c r="Q52" i="12"/>
  <c r="R52" i="12"/>
  <c r="S52" i="12"/>
  <c r="N53" i="12"/>
  <c r="O53" i="12"/>
  <c r="P53" i="12"/>
  <c r="Q53" i="12"/>
  <c r="R53" i="12"/>
  <c r="S53" i="12"/>
  <c r="N54" i="12"/>
  <c r="O54" i="12"/>
  <c r="P54" i="12"/>
  <c r="Q54" i="12"/>
  <c r="R54" i="12"/>
  <c r="S54" i="12"/>
  <c r="N55" i="12"/>
  <c r="O55" i="12"/>
  <c r="P55" i="12"/>
  <c r="Q55" i="12"/>
  <c r="R55" i="12"/>
  <c r="S55" i="12"/>
  <c r="O2" i="12"/>
  <c r="P2" i="12"/>
  <c r="Q2" i="12"/>
  <c r="R2" i="12"/>
  <c r="S2" i="12"/>
  <c r="N2" i="12"/>
  <c r="N2" i="6"/>
  <c r="G83" i="17" l="1"/>
  <c r="F8" i="16"/>
  <c r="H291" i="33"/>
  <c r="DE288" i="33"/>
  <c r="DE303" i="33"/>
  <c r="DE294" i="33"/>
  <c r="DE289" i="33"/>
  <c r="DE291" i="33"/>
  <c r="DE293" i="33"/>
  <c r="DE300" i="33"/>
  <c r="DE302" i="33"/>
  <c r="DM302" i="33" s="1"/>
  <c r="DE304" i="33"/>
  <c r="DE290" i="33"/>
  <c r="DE301" i="33"/>
  <c r="DE292" i="33"/>
  <c r="DM292" i="33" s="1"/>
  <c r="H292" i="33"/>
  <c r="H288" i="33"/>
  <c r="H303" i="33"/>
  <c r="H294" i="33"/>
  <c r="H298" i="33"/>
  <c r="H293" i="33"/>
  <c r="H300" i="33"/>
  <c r="H302" i="33"/>
  <c r="H304" i="33"/>
  <c r="H290" i="33"/>
  <c r="H295" i="33"/>
  <c r="DF295" i="33"/>
  <c r="DG295" i="33"/>
  <c r="DH295" i="33"/>
  <c r="DI295" i="33"/>
  <c r="DJ295" i="33"/>
  <c r="DK295" i="33"/>
  <c r="DL295" i="33"/>
  <c r="DM295" i="33"/>
  <c r="H297" i="33"/>
  <c r="DJ297" i="33"/>
  <c r="DH297" i="33"/>
  <c r="DI297" i="33"/>
  <c r="DM297" i="33"/>
  <c r="DF297" i="33"/>
  <c r="DL297" i="33"/>
  <c r="DG297" i="33"/>
  <c r="DK297" i="33"/>
  <c r="DI299" i="33"/>
  <c r="DM299" i="33"/>
  <c r="DG299" i="33"/>
  <c r="DH299" i="33"/>
  <c r="DL299" i="33"/>
  <c r="DF299" i="33"/>
  <c r="DK299" i="33"/>
  <c r="DJ299" i="33"/>
  <c r="H299" i="33"/>
  <c r="DF296" i="33"/>
  <c r="DG296" i="33"/>
  <c r="DH296" i="33"/>
  <c r="DJ296" i="33"/>
  <c r="DI296" i="33"/>
  <c r="DL296" i="33"/>
  <c r="DM296" i="33"/>
  <c r="DK296" i="33"/>
  <c r="H296" i="33"/>
  <c r="DK298" i="33"/>
  <c r="DM298" i="33"/>
  <c r="DF298" i="33"/>
  <c r="DG298" i="33"/>
  <c r="DH298" i="33"/>
  <c r="DI298" i="33"/>
  <c r="DL298" i="33"/>
  <c r="DJ298" i="33"/>
  <c r="G54" i="12"/>
  <c r="F12" i="16"/>
  <c r="F9" i="16"/>
  <c r="F43" i="12"/>
  <c r="F52" i="12"/>
  <c r="F16" i="16"/>
  <c r="F11" i="16"/>
  <c r="F13" i="16"/>
  <c r="G5" i="16"/>
  <c r="F15" i="16"/>
  <c r="G9" i="16"/>
  <c r="F17" i="16"/>
  <c r="G11" i="16"/>
  <c r="G14" i="16"/>
  <c r="G3" i="16"/>
  <c r="G52" i="12"/>
  <c r="G18" i="16"/>
  <c r="G6" i="16"/>
  <c r="F45" i="12"/>
  <c r="G13" i="16"/>
  <c r="G15" i="16"/>
  <c r="F55" i="12"/>
  <c r="F14" i="16"/>
  <c r="G17" i="16"/>
  <c r="G2" i="16"/>
  <c r="G12" i="16"/>
  <c r="G8" i="16"/>
  <c r="G16" i="16"/>
  <c r="F44" i="12"/>
  <c r="F46" i="12"/>
  <c r="F48" i="12"/>
  <c r="F54" i="12"/>
  <c r="F2" i="16"/>
  <c r="F47" i="12"/>
  <c r="G55" i="12"/>
  <c r="F53" i="12"/>
  <c r="F6" i="16"/>
  <c r="F3" i="16"/>
  <c r="F5" i="16"/>
  <c r="BR55" i="33"/>
  <c r="BS55" i="33"/>
  <c r="BT55" i="33"/>
  <c r="BU55" i="33"/>
  <c r="BV55" i="33"/>
  <c r="BW55" i="33"/>
  <c r="BX55" i="33"/>
  <c r="BY55" i="33"/>
  <c r="BR56" i="33"/>
  <c r="BS56" i="33"/>
  <c r="BT56" i="33"/>
  <c r="BU56" i="33"/>
  <c r="BV56" i="33"/>
  <c r="BW56" i="33"/>
  <c r="BX56" i="33"/>
  <c r="BY56" i="33"/>
  <c r="BR57" i="33"/>
  <c r="BS57" i="33"/>
  <c r="BT57" i="33"/>
  <c r="BU57" i="33"/>
  <c r="BV57" i="33"/>
  <c r="BW57" i="33"/>
  <c r="BX57" i="33"/>
  <c r="BY57" i="33"/>
  <c r="BR58" i="33"/>
  <c r="BS58" i="33"/>
  <c r="BT58" i="33"/>
  <c r="BU58" i="33"/>
  <c r="BV58" i="33"/>
  <c r="BW58" i="33"/>
  <c r="BX58" i="33"/>
  <c r="BY58" i="33"/>
  <c r="BR59" i="33"/>
  <c r="BS59" i="33"/>
  <c r="BT59" i="33"/>
  <c r="BU59" i="33"/>
  <c r="BV59" i="33"/>
  <c r="BW59" i="33"/>
  <c r="BX59" i="33"/>
  <c r="BY59" i="33"/>
  <c r="BR60" i="33"/>
  <c r="BS60" i="33"/>
  <c r="BT60" i="33"/>
  <c r="BU60" i="33"/>
  <c r="BV60" i="33"/>
  <c r="BW60" i="33"/>
  <c r="BX60" i="33"/>
  <c r="BY60" i="33"/>
  <c r="CX31" i="33"/>
  <c r="CY31" i="33"/>
  <c r="CZ31" i="33"/>
  <c r="DA31" i="33"/>
  <c r="DB31" i="33"/>
  <c r="DC31" i="33"/>
  <c r="DD31" i="33"/>
  <c r="DE31" i="33"/>
  <c r="CX32" i="33"/>
  <c r="CY32" i="33"/>
  <c r="CZ32" i="33"/>
  <c r="DA32" i="33"/>
  <c r="DB32" i="33"/>
  <c r="DC32" i="33"/>
  <c r="DD32" i="33"/>
  <c r="DE32" i="33"/>
  <c r="CX33" i="33"/>
  <c r="CY33" i="33"/>
  <c r="CZ33" i="33"/>
  <c r="DA33" i="33"/>
  <c r="DB33" i="33"/>
  <c r="DC33" i="33"/>
  <c r="DD33" i="33"/>
  <c r="DE33" i="33"/>
  <c r="CX34" i="33"/>
  <c r="CY34" i="33"/>
  <c r="CZ34" i="33"/>
  <c r="DA34" i="33"/>
  <c r="DB34" i="33"/>
  <c r="DC34" i="33"/>
  <c r="DD34" i="33"/>
  <c r="DE34" i="33"/>
  <c r="CX35" i="33"/>
  <c r="CY35" i="33"/>
  <c r="CZ35" i="33"/>
  <c r="DA35" i="33"/>
  <c r="DB35" i="33"/>
  <c r="DC35" i="33"/>
  <c r="DD35" i="33"/>
  <c r="DE35" i="33"/>
  <c r="CX36" i="33"/>
  <c r="CY36" i="33"/>
  <c r="CZ36" i="33"/>
  <c r="DA36" i="33"/>
  <c r="DB36" i="33"/>
  <c r="DC36" i="33"/>
  <c r="DD36" i="33"/>
  <c r="DE36" i="33"/>
  <c r="CX37" i="33"/>
  <c r="CY37" i="33"/>
  <c r="CZ37" i="33"/>
  <c r="DA37" i="33"/>
  <c r="DB37" i="33"/>
  <c r="DC37" i="33"/>
  <c r="DD37" i="33"/>
  <c r="DE37" i="33"/>
  <c r="CX38" i="33"/>
  <c r="CY38" i="33"/>
  <c r="CZ38" i="33"/>
  <c r="DA38" i="33"/>
  <c r="DB38" i="33"/>
  <c r="DC38" i="33"/>
  <c r="DD38" i="33"/>
  <c r="DE38" i="33"/>
  <c r="CX39" i="33"/>
  <c r="CY39" i="33"/>
  <c r="CZ39" i="33"/>
  <c r="DA39" i="33"/>
  <c r="DB39" i="33"/>
  <c r="DC39" i="33"/>
  <c r="DD39" i="33"/>
  <c r="DE39" i="33"/>
  <c r="CX40" i="33"/>
  <c r="CY40" i="33"/>
  <c r="CZ40" i="33"/>
  <c r="DA40" i="33"/>
  <c r="DB40" i="33"/>
  <c r="DC40" i="33"/>
  <c r="DD40" i="33"/>
  <c r="DE40" i="33"/>
  <c r="CX41" i="33"/>
  <c r="CY41" i="33"/>
  <c r="CZ41" i="33"/>
  <c r="DA41" i="33"/>
  <c r="DB41" i="33"/>
  <c r="DC41" i="33"/>
  <c r="DD41" i="33"/>
  <c r="DE41" i="33"/>
  <c r="CX42" i="33"/>
  <c r="CY42" i="33"/>
  <c r="CZ42" i="33"/>
  <c r="DA42" i="33"/>
  <c r="DB42" i="33"/>
  <c r="DC42" i="33"/>
  <c r="DD42" i="33"/>
  <c r="DE42" i="33"/>
  <c r="CX43" i="33"/>
  <c r="CY43" i="33"/>
  <c r="CZ43" i="33"/>
  <c r="DA43" i="33"/>
  <c r="DB43" i="33"/>
  <c r="DC43" i="33"/>
  <c r="DD43" i="33"/>
  <c r="DE43" i="33"/>
  <c r="CX44" i="33"/>
  <c r="CY44" i="33"/>
  <c r="CZ44" i="33"/>
  <c r="DA44" i="33"/>
  <c r="DB44" i="33"/>
  <c r="DC44" i="33"/>
  <c r="DD44" i="33"/>
  <c r="DE44" i="33"/>
  <c r="CX45" i="33"/>
  <c r="CY45" i="33"/>
  <c r="CZ45" i="33"/>
  <c r="DA45" i="33"/>
  <c r="DB45" i="33"/>
  <c r="DC45" i="33"/>
  <c r="DD45" i="33"/>
  <c r="DE45" i="33"/>
  <c r="CX46" i="33"/>
  <c r="CY46" i="33"/>
  <c r="CZ46" i="33"/>
  <c r="DA46" i="33"/>
  <c r="DB46" i="33"/>
  <c r="DC46" i="33"/>
  <c r="DD46" i="33"/>
  <c r="DE46" i="33"/>
  <c r="CX47" i="33"/>
  <c r="CY47" i="33"/>
  <c r="CZ47" i="33"/>
  <c r="DA47" i="33"/>
  <c r="DB47" i="33"/>
  <c r="DC47" i="33"/>
  <c r="DD47" i="33"/>
  <c r="DE47" i="33"/>
  <c r="CX48" i="33"/>
  <c r="CY48" i="33"/>
  <c r="CZ48" i="33"/>
  <c r="DA48" i="33"/>
  <c r="DB48" i="33"/>
  <c r="DC48" i="33"/>
  <c r="DD48" i="33"/>
  <c r="DE48" i="33"/>
  <c r="CX49" i="33"/>
  <c r="CY49" i="33"/>
  <c r="CZ49" i="33"/>
  <c r="DA49" i="33"/>
  <c r="DB49" i="33"/>
  <c r="DC49" i="33"/>
  <c r="DD49" i="33"/>
  <c r="DE49" i="33"/>
  <c r="CX50" i="33"/>
  <c r="CY50" i="33"/>
  <c r="CZ50" i="33"/>
  <c r="DA50" i="33"/>
  <c r="DB50" i="33"/>
  <c r="DC50" i="33"/>
  <c r="DD50" i="33"/>
  <c r="DE50" i="33"/>
  <c r="G52" i="33"/>
  <c r="G60" i="17" s="1"/>
  <c r="CX26" i="33"/>
  <c r="CY26" i="33"/>
  <c r="CZ26" i="33"/>
  <c r="DA26" i="33"/>
  <c r="DB26" i="33"/>
  <c r="DC26" i="33"/>
  <c r="DD26" i="33"/>
  <c r="DE26" i="33"/>
  <c r="CX27" i="33"/>
  <c r="CY27" i="33"/>
  <c r="CZ27" i="33"/>
  <c r="DA27" i="33"/>
  <c r="DB27" i="33"/>
  <c r="DC27" i="33"/>
  <c r="DD27" i="33"/>
  <c r="DE27" i="33"/>
  <c r="CX28" i="33"/>
  <c r="CY28" i="33"/>
  <c r="CZ28" i="33"/>
  <c r="DA28" i="33"/>
  <c r="DB28" i="33"/>
  <c r="DC28" i="33"/>
  <c r="DD28" i="33"/>
  <c r="DE28" i="33"/>
  <c r="CX29" i="33"/>
  <c r="CY29" i="33"/>
  <c r="CZ29" i="33"/>
  <c r="DA29" i="33"/>
  <c r="DB29" i="33"/>
  <c r="DC29" i="33"/>
  <c r="DD29" i="33"/>
  <c r="DE29" i="33"/>
  <c r="CX30" i="33"/>
  <c r="CY30" i="33"/>
  <c r="CZ30" i="33"/>
  <c r="DA30" i="33"/>
  <c r="DB30" i="33"/>
  <c r="DC30" i="33"/>
  <c r="DD30" i="33"/>
  <c r="DE30" i="33"/>
  <c r="CX20" i="33"/>
  <c r="CY20" i="33"/>
  <c r="CZ20" i="33"/>
  <c r="DA20" i="33"/>
  <c r="DB20" i="33"/>
  <c r="DC20" i="33"/>
  <c r="DD20" i="33"/>
  <c r="DE20" i="33"/>
  <c r="CX21" i="33"/>
  <c r="CY21" i="33"/>
  <c r="CZ21" i="33"/>
  <c r="DA21" i="33"/>
  <c r="DB21" i="33"/>
  <c r="DC21" i="33"/>
  <c r="DD21" i="33"/>
  <c r="DE21" i="33"/>
  <c r="CX22" i="33"/>
  <c r="CY22" i="33"/>
  <c r="CZ22" i="33"/>
  <c r="DA22" i="33"/>
  <c r="DB22" i="33"/>
  <c r="DC22" i="33"/>
  <c r="DD22" i="33"/>
  <c r="DE22" i="33"/>
  <c r="CX23" i="33"/>
  <c r="CY23" i="33"/>
  <c r="CZ23" i="33"/>
  <c r="DA23" i="33"/>
  <c r="DB23" i="33"/>
  <c r="DC23" i="33"/>
  <c r="DD23" i="33"/>
  <c r="DE23" i="33"/>
  <c r="CX24" i="33"/>
  <c r="CY24" i="33"/>
  <c r="CZ24" i="33"/>
  <c r="DA24" i="33"/>
  <c r="DB24" i="33"/>
  <c r="DC24" i="33"/>
  <c r="DD24" i="33"/>
  <c r="DE24" i="33"/>
  <c r="CX25" i="33"/>
  <c r="CY25" i="33"/>
  <c r="CZ25" i="33"/>
  <c r="DA25" i="33"/>
  <c r="DB25" i="33"/>
  <c r="DC25" i="33"/>
  <c r="DD25" i="33"/>
  <c r="DE25" i="33"/>
  <c r="CX14" i="33"/>
  <c r="CY14" i="33"/>
  <c r="CZ14" i="33"/>
  <c r="DA14" i="33"/>
  <c r="DB14" i="33"/>
  <c r="DC14" i="33"/>
  <c r="DD14" i="33"/>
  <c r="DE14" i="33"/>
  <c r="CX15" i="33"/>
  <c r="CY15" i="33"/>
  <c r="CZ15" i="33"/>
  <c r="DA15" i="33"/>
  <c r="DB15" i="33"/>
  <c r="DC15" i="33"/>
  <c r="DD15" i="33"/>
  <c r="DE15" i="33"/>
  <c r="CX16" i="33"/>
  <c r="CY16" i="33"/>
  <c r="CZ16" i="33"/>
  <c r="DA16" i="33"/>
  <c r="DB16" i="33"/>
  <c r="DC16" i="33"/>
  <c r="DD16" i="33"/>
  <c r="DE16" i="33"/>
  <c r="CX17" i="33"/>
  <c r="CY17" i="33"/>
  <c r="CZ17" i="33"/>
  <c r="DA17" i="33"/>
  <c r="DB17" i="33"/>
  <c r="DC17" i="33"/>
  <c r="DD17" i="33"/>
  <c r="DE17" i="33"/>
  <c r="CX18" i="33"/>
  <c r="CY18" i="33"/>
  <c r="CZ18" i="33"/>
  <c r="DA18" i="33"/>
  <c r="DB18" i="33"/>
  <c r="DC18" i="33"/>
  <c r="DD18" i="33"/>
  <c r="DE18" i="33"/>
  <c r="CX19" i="33"/>
  <c r="CY19" i="33"/>
  <c r="CZ19" i="33"/>
  <c r="DA19" i="33"/>
  <c r="DB19" i="33"/>
  <c r="DC19" i="33"/>
  <c r="DD19" i="33"/>
  <c r="DE19" i="33"/>
  <c r="H34" i="33"/>
  <c r="H42" i="17" s="1"/>
  <c r="H35" i="33"/>
  <c r="H43" i="17" s="1"/>
  <c r="H36" i="33"/>
  <c r="H44" i="17" s="1"/>
  <c r="H37" i="33"/>
  <c r="H45" i="17" s="1"/>
  <c r="H42" i="33"/>
  <c r="H50" i="17" s="1"/>
  <c r="H43" i="33"/>
  <c r="H51" i="17" s="1"/>
  <c r="H44" i="33"/>
  <c r="H52" i="17" s="1"/>
  <c r="G51" i="33"/>
  <c r="G59" i="17" s="1"/>
  <c r="G53" i="33"/>
  <c r="G61" i="17" s="1"/>
  <c r="BR14" i="33"/>
  <c r="BS14" i="33"/>
  <c r="BT14" i="33"/>
  <c r="BU14" i="33"/>
  <c r="BV14" i="33"/>
  <c r="BW14" i="33"/>
  <c r="BX14" i="33"/>
  <c r="BY14" i="33"/>
  <c r="BR15" i="33"/>
  <c r="BS15" i="33"/>
  <c r="BT15" i="33"/>
  <c r="BU15" i="33"/>
  <c r="BV15" i="33"/>
  <c r="BW15" i="33"/>
  <c r="BX15" i="33"/>
  <c r="BY15" i="33"/>
  <c r="BR16" i="33"/>
  <c r="BS16" i="33"/>
  <c r="BT16" i="33"/>
  <c r="BU16" i="33"/>
  <c r="BV16" i="33"/>
  <c r="BW16" i="33"/>
  <c r="BX16" i="33"/>
  <c r="BY16" i="33"/>
  <c r="BR17" i="33"/>
  <c r="BS17" i="33"/>
  <c r="BT17" i="33"/>
  <c r="BU17" i="33"/>
  <c r="BV17" i="33"/>
  <c r="BW17" i="33"/>
  <c r="BX17" i="33"/>
  <c r="BY17" i="33"/>
  <c r="BR18" i="33"/>
  <c r="BS18" i="33"/>
  <c r="BT18" i="33"/>
  <c r="BU18" i="33"/>
  <c r="BV18" i="33"/>
  <c r="BW18" i="33"/>
  <c r="BX18" i="33"/>
  <c r="BY18" i="33"/>
  <c r="BR19" i="33"/>
  <c r="BS19" i="33"/>
  <c r="BT19" i="33"/>
  <c r="BU19" i="33"/>
  <c r="BV19" i="33"/>
  <c r="BW19" i="33"/>
  <c r="BX19" i="33"/>
  <c r="BY19" i="33"/>
  <c r="BR20" i="33"/>
  <c r="BS20" i="33"/>
  <c r="BT20" i="33"/>
  <c r="BU20" i="33"/>
  <c r="BV20" i="33"/>
  <c r="BW20" i="33"/>
  <c r="BX20" i="33"/>
  <c r="BY20" i="33"/>
  <c r="BR21" i="33"/>
  <c r="BS21" i="33"/>
  <c r="BT21" i="33"/>
  <c r="BU21" i="33"/>
  <c r="BV21" i="33"/>
  <c r="BW21" i="33"/>
  <c r="BX21" i="33"/>
  <c r="BY21" i="33"/>
  <c r="BR22" i="33"/>
  <c r="BS22" i="33"/>
  <c r="BT22" i="33"/>
  <c r="BU22" i="33"/>
  <c r="BV22" i="33"/>
  <c r="BW22" i="33"/>
  <c r="BX22" i="33"/>
  <c r="BY22" i="33"/>
  <c r="BR23" i="33"/>
  <c r="BS23" i="33"/>
  <c r="BT23" i="33"/>
  <c r="BU23" i="33"/>
  <c r="BV23" i="33"/>
  <c r="BW23" i="33"/>
  <c r="BX23" i="33"/>
  <c r="BY23" i="33"/>
  <c r="BR24" i="33"/>
  <c r="BS24" i="33"/>
  <c r="BT24" i="33"/>
  <c r="BU24" i="33"/>
  <c r="BV24" i="33"/>
  <c r="BW24" i="33"/>
  <c r="BX24" i="33"/>
  <c r="BY24" i="33"/>
  <c r="BR25" i="33"/>
  <c r="BS25" i="33"/>
  <c r="BT25" i="33"/>
  <c r="BU25" i="33"/>
  <c r="BV25" i="33"/>
  <c r="BW25" i="33"/>
  <c r="BX25" i="33"/>
  <c r="BY25" i="33"/>
  <c r="BR26" i="33"/>
  <c r="BS26" i="33"/>
  <c r="BT26" i="33"/>
  <c r="BU26" i="33"/>
  <c r="BV26" i="33"/>
  <c r="BW26" i="33"/>
  <c r="BX26" i="33"/>
  <c r="BY26" i="33"/>
  <c r="BR27" i="33"/>
  <c r="BS27" i="33"/>
  <c r="BT27" i="33"/>
  <c r="BU27" i="33"/>
  <c r="BV27" i="33"/>
  <c r="BW27" i="33"/>
  <c r="BX27" i="33"/>
  <c r="BY27" i="33"/>
  <c r="BR28" i="33"/>
  <c r="BS28" i="33"/>
  <c r="BT28" i="33"/>
  <c r="BU28" i="33"/>
  <c r="BV28" i="33"/>
  <c r="BW28" i="33"/>
  <c r="BX28" i="33"/>
  <c r="BY28" i="33"/>
  <c r="BR29" i="33"/>
  <c r="BS29" i="33"/>
  <c r="BT29" i="33"/>
  <c r="BU29" i="33"/>
  <c r="BV29" i="33"/>
  <c r="BW29" i="33"/>
  <c r="BX29" i="33"/>
  <c r="BY29" i="33"/>
  <c r="BR30" i="33"/>
  <c r="BS30" i="33"/>
  <c r="BT30" i="33"/>
  <c r="BU30" i="33"/>
  <c r="BV30" i="33"/>
  <c r="BW30" i="33"/>
  <c r="BX30" i="33"/>
  <c r="BY30" i="33"/>
  <c r="BR31" i="33"/>
  <c r="BS31" i="33"/>
  <c r="BT31" i="33"/>
  <c r="BU31" i="33"/>
  <c r="BV31" i="33"/>
  <c r="BW31" i="33"/>
  <c r="BX31" i="33"/>
  <c r="BY31" i="33"/>
  <c r="BR32" i="33"/>
  <c r="BS32" i="33"/>
  <c r="BT32" i="33"/>
  <c r="BU32" i="33"/>
  <c r="BV32" i="33"/>
  <c r="BW32" i="33"/>
  <c r="BX32" i="33"/>
  <c r="BY32" i="33"/>
  <c r="BR38" i="33"/>
  <c r="BS38" i="33"/>
  <c r="BT38" i="33"/>
  <c r="BU38" i="33"/>
  <c r="BV38" i="33"/>
  <c r="BW38" i="33"/>
  <c r="BX38" i="33"/>
  <c r="BY38" i="33"/>
  <c r="BR39" i="33"/>
  <c r="BS39" i="33"/>
  <c r="BT39" i="33"/>
  <c r="BU39" i="33"/>
  <c r="BV39" i="33"/>
  <c r="BW39" i="33"/>
  <c r="BX39" i="33"/>
  <c r="BY39" i="33"/>
  <c r="BR40" i="33"/>
  <c r="BS40" i="33"/>
  <c r="BT40" i="33"/>
  <c r="BU40" i="33"/>
  <c r="BV40" i="33"/>
  <c r="BW40" i="33"/>
  <c r="BX40" i="33"/>
  <c r="BY40" i="33"/>
  <c r="BR41" i="33"/>
  <c r="BS41" i="33"/>
  <c r="BT41" i="33"/>
  <c r="BU41" i="33"/>
  <c r="BV41" i="33"/>
  <c r="BW41" i="33"/>
  <c r="BX41" i="33"/>
  <c r="BY41" i="33"/>
  <c r="BR45" i="33"/>
  <c r="BS45" i="33"/>
  <c r="BT45" i="33"/>
  <c r="BU45" i="33"/>
  <c r="BV45" i="33"/>
  <c r="BW45" i="33"/>
  <c r="BX45" i="33"/>
  <c r="BY45" i="33"/>
  <c r="BR46" i="33"/>
  <c r="BS46" i="33"/>
  <c r="BT46" i="33"/>
  <c r="BU46" i="33"/>
  <c r="BV46" i="33"/>
  <c r="BW46" i="33"/>
  <c r="BX46" i="33"/>
  <c r="BY46" i="33"/>
  <c r="BR47" i="33"/>
  <c r="BS47" i="33"/>
  <c r="BT47" i="33"/>
  <c r="BU47" i="33"/>
  <c r="BV47" i="33"/>
  <c r="BW47" i="33"/>
  <c r="BX47" i="33"/>
  <c r="BY47" i="33"/>
  <c r="BR48" i="33"/>
  <c r="BS48" i="33"/>
  <c r="BT48" i="33"/>
  <c r="BU48" i="33"/>
  <c r="BV48" i="33"/>
  <c r="BW48" i="33"/>
  <c r="BX48" i="33"/>
  <c r="BY48" i="33"/>
  <c r="BR49" i="33"/>
  <c r="BS49" i="33"/>
  <c r="BT49" i="33"/>
  <c r="BU49" i="33"/>
  <c r="BV49" i="33"/>
  <c r="BW49" i="33"/>
  <c r="BX49" i="33"/>
  <c r="BY49" i="33"/>
  <c r="BR50" i="33"/>
  <c r="BS50" i="33"/>
  <c r="BT50" i="33"/>
  <c r="BU50" i="33"/>
  <c r="BV50" i="33"/>
  <c r="BW50" i="33"/>
  <c r="BX50" i="33"/>
  <c r="BY50" i="33"/>
  <c r="BR51" i="33"/>
  <c r="BS51" i="33"/>
  <c r="BT51" i="33"/>
  <c r="BU51" i="33"/>
  <c r="BV51" i="33"/>
  <c r="BW51" i="33"/>
  <c r="BX51" i="33"/>
  <c r="BY51" i="33"/>
  <c r="BR52" i="33"/>
  <c r="BS52" i="33"/>
  <c r="BT52" i="33"/>
  <c r="BU52" i="33"/>
  <c r="BV52" i="33"/>
  <c r="BW52" i="33"/>
  <c r="BX52" i="33"/>
  <c r="BY52" i="33"/>
  <c r="BS53" i="33"/>
  <c r="BT53" i="33"/>
  <c r="BU53" i="33"/>
  <c r="BR54" i="33"/>
  <c r="BS54" i="33"/>
  <c r="BT54" i="33"/>
  <c r="BU54" i="33"/>
  <c r="BV54" i="33"/>
  <c r="BW54" i="33"/>
  <c r="BX54" i="33"/>
  <c r="CX13" i="33"/>
  <c r="CY13" i="33"/>
  <c r="CZ13" i="33"/>
  <c r="DA13" i="33"/>
  <c r="DB13" i="33"/>
  <c r="DC13" i="33"/>
  <c r="DD13" i="33"/>
  <c r="DE13" i="33"/>
  <c r="BS13" i="33"/>
  <c r="BT13" i="33"/>
  <c r="BU13" i="33"/>
  <c r="BV13" i="33"/>
  <c r="BW13" i="33"/>
  <c r="BX13" i="33"/>
  <c r="BY13" i="33"/>
  <c r="BR13" i="33"/>
  <c r="AI3" i="12"/>
  <c r="AI4" i="12"/>
  <c r="AI5" i="12"/>
  <c r="AI6" i="12"/>
  <c r="AI7" i="12"/>
  <c r="AI8" i="12"/>
  <c r="AI9" i="12"/>
  <c r="AI10" i="12"/>
  <c r="AI11" i="12"/>
  <c r="AI12" i="12"/>
  <c r="AI13" i="12"/>
  <c r="AI14" i="12"/>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8" i="12"/>
  <c r="AI39" i="12"/>
  <c r="AI40" i="12"/>
  <c r="AI41" i="12"/>
  <c r="AI42" i="12"/>
  <c r="AI43" i="12"/>
  <c r="AI44" i="12"/>
  <c r="AI45" i="12"/>
  <c r="AI46" i="12"/>
  <c r="AI47" i="12"/>
  <c r="AI48" i="12"/>
  <c r="AI49" i="12"/>
  <c r="AI50" i="12"/>
  <c r="AI51" i="12"/>
  <c r="AI52" i="12"/>
  <c r="AI53" i="12"/>
  <c r="AI54" i="12"/>
  <c r="AI55" i="12"/>
  <c r="AI2" i="12"/>
  <c r="G3" i="15" l="1"/>
  <c r="H296" i="17"/>
  <c r="G7" i="15"/>
  <c r="H300" i="17"/>
  <c r="G11" i="15"/>
  <c r="H304" i="17"/>
  <c r="G18" i="15"/>
  <c r="H311" i="17"/>
  <c r="G10" i="15"/>
  <c r="H303" i="17"/>
  <c r="G5" i="15"/>
  <c r="H298" i="17"/>
  <c r="G19" i="15"/>
  <c r="H312" i="17"/>
  <c r="G17" i="15"/>
  <c r="H310" i="17"/>
  <c r="G15" i="15"/>
  <c r="H308" i="17"/>
  <c r="G8" i="15"/>
  <c r="H301" i="17"/>
  <c r="G14" i="15"/>
  <c r="H307" i="17"/>
  <c r="G13" i="15"/>
  <c r="H306" i="17"/>
  <c r="G12" i="15"/>
  <c r="H305" i="17"/>
  <c r="G9" i="15"/>
  <c r="H302" i="17"/>
  <c r="G6" i="15"/>
  <c r="H299" i="17"/>
  <c r="DG300" i="33"/>
  <c r="DL300" i="33"/>
  <c r="DK300" i="33"/>
  <c r="DF300" i="33"/>
  <c r="DI300" i="33"/>
  <c r="DH300" i="33"/>
  <c r="DJ300" i="33"/>
  <c r="DM300" i="33"/>
  <c r="DK302" i="33"/>
  <c r="DJ302" i="33"/>
  <c r="DI302" i="33"/>
  <c r="DH302" i="33"/>
  <c r="DF302" i="33"/>
  <c r="DG302" i="33"/>
  <c r="DL302" i="33"/>
  <c r="DJ293" i="33"/>
  <c r="DF293" i="33"/>
  <c r="DG293" i="33"/>
  <c r="DL293" i="33"/>
  <c r="DK293" i="33"/>
  <c r="DI293" i="33"/>
  <c r="DH293" i="33"/>
  <c r="DM293" i="33"/>
  <c r="DK291" i="33"/>
  <c r="DI291" i="33"/>
  <c r="DL291" i="33"/>
  <c r="DF291" i="33"/>
  <c r="DG291" i="33"/>
  <c r="DJ291" i="33"/>
  <c r="DH291" i="33"/>
  <c r="DM291" i="33"/>
  <c r="DK292" i="33"/>
  <c r="DF292" i="33"/>
  <c r="DH292" i="33"/>
  <c r="DG292" i="33"/>
  <c r="DJ292" i="33"/>
  <c r="DI292" i="33"/>
  <c r="DL292" i="33"/>
  <c r="DJ289" i="33"/>
  <c r="DH289" i="33"/>
  <c r="DL289" i="33"/>
  <c r="DK289" i="33"/>
  <c r="DI289" i="33"/>
  <c r="DG289" i="33"/>
  <c r="DF289" i="33"/>
  <c r="DM289" i="33"/>
  <c r="DI301" i="33"/>
  <c r="DK301" i="33"/>
  <c r="DL301" i="33"/>
  <c r="DH301" i="33"/>
  <c r="DJ301" i="33"/>
  <c r="DG301" i="33"/>
  <c r="DF301" i="33"/>
  <c r="DF294" i="33"/>
  <c r="DJ294" i="33"/>
  <c r="DL294" i="33"/>
  <c r="DI294" i="33"/>
  <c r="DH294" i="33"/>
  <c r="DK294" i="33"/>
  <c r="DG294" i="33"/>
  <c r="DM301" i="33"/>
  <c r="DM294" i="33"/>
  <c r="DH290" i="33"/>
  <c r="DJ290" i="33"/>
  <c r="DI290" i="33"/>
  <c r="DF290" i="33"/>
  <c r="DK290" i="33"/>
  <c r="DG290" i="33"/>
  <c r="DL290" i="33"/>
  <c r="DL303" i="33"/>
  <c r="DH303" i="33"/>
  <c r="DK303" i="33"/>
  <c r="DJ303" i="33"/>
  <c r="DF303" i="33"/>
  <c r="DG303" i="33"/>
  <c r="DI303" i="33"/>
  <c r="DM290" i="33"/>
  <c r="DM303" i="33"/>
  <c r="DI304" i="33"/>
  <c r="DJ304" i="33"/>
  <c r="DK304" i="33"/>
  <c r="DL304" i="33"/>
  <c r="DF304" i="33"/>
  <c r="DH304" i="33"/>
  <c r="DG304" i="33"/>
  <c r="DK288" i="33"/>
  <c r="DI288" i="33"/>
  <c r="DH288" i="33"/>
  <c r="DF288" i="33"/>
  <c r="DL288" i="33"/>
  <c r="DJ288" i="33"/>
  <c r="DG288" i="33"/>
  <c r="DM304" i="33"/>
  <c r="DM288" i="33"/>
  <c r="G297" i="33"/>
  <c r="G296" i="33"/>
  <c r="G299" i="33"/>
  <c r="G298" i="33"/>
  <c r="G295" i="33"/>
  <c r="G25" i="12"/>
  <c r="G23" i="12"/>
  <c r="G24" i="12"/>
  <c r="F42" i="12"/>
  <c r="F40" i="12"/>
  <c r="F41" i="12"/>
  <c r="G33" i="12"/>
  <c r="G32" i="12"/>
  <c r="G31" i="12"/>
  <c r="G26" i="12"/>
  <c r="G37" i="33"/>
  <c r="G45" i="17" s="1"/>
  <c r="G31" i="33"/>
  <c r="G39" i="17" s="1"/>
  <c r="G49" i="33"/>
  <c r="G57" i="17" s="1"/>
  <c r="G35" i="33"/>
  <c r="G43" i="17" s="1"/>
  <c r="G45" i="33"/>
  <c r="G53" i="17" s="1"/>
  <c r="G43" i="33"/>
  <c r="G51" i="17" s="1"/>
  <c r="G41" i="33"/>
  <c r="G49" i="17" s="1"/>
  <c r="G39" i="33"/>
  <c r="G47" i="17" s="1"/>
  <c r="G30" i="33"/>
  <c r="G38" i="17" s="1"/>
  <c r="G28" i="33"/>
  <c r="G36" i="17" s="1"/>
  <c r="G21" i="33"/>
  <c r="G29" i="17" s="1"/>
  <c r="G20" i="33"/>
  <c r="G28" i="17" s="1"/>
  <c r="G38" i="33"/>
  <c r="G46" i="17" s="1"/>
  <c r="G34" i="33"/>
  <c r="G42" i="17" s="1"/>
  <c r="H53" i="33"/>
  <c r="H61" i="17" s="1"/>
  <c r="G44" i="33"/>
  <c r="G52" i="17" s="1"/>
  <c r="G40" i="33"/>
  <c r="G48" i="17" s="1"/>
  <c r="H50" i="33"/>
  <c r="H58" i="17" s="1"/>
  <c r="G46" i="33"/>
  <c r="G54" i="17" s="1"/>
  <c r="G32" i="33"/>
  <c r="G40" i="17" s="1"/>
  <c r="G24" i="33"/>
  <c r="G32" i="17" s="1"/>
  <c r="G25" i="33"/>
  <c r="G33" i="17" s="1"/>
  <c r="G23" i="33"/>
  <c r="G31" i="17" s="1"/>
  <c r="G26" i="33"/>
  <c r="G34" i="17" s="1"/>
  <c r="G22" i="33"/>
  <c r="G30" i="17" s="1"/>
  <c r="G27" i="33"/>
  <c r="G35" i="17" s="1"/>
  <c r="H40" i="33"/>
  <c r="H48" i="17" s="1"/>
  <c r="H64" i="33"/>
  <c r="H72" i="17" s="1"/>
  <c r="G18" i="33"/>
  <c r="G26" i="17" s="1"/>
  <c r="G16" i="33"/>
  <c r="G24" i="17" s="1"/>
  <c r="G29" i="33"/>
  <c r="G37" i="17" s="1"/>
  <c r="H45" i="33"/>
  <c r="H53" i="17" s="1"/>
  <c r="H54" i="33"/>
  <c r="H62" i="17" s="1"/>
  <c r="H51" i="33"/>
  <c r="H59" i="17" s="1"/>
  <c r="G19" i="33"/>
  <c r="G27" i="17" s="1"/>
  <c r="G17" i="33"/>
  <c r="G25" i="17" s="1"/>
  <c r="H46" i="33"/>
  <c r="H54" i="17" s="1"/>
  <c r="H41" i="33"/>
  <c r="H49" i="17" s="1"/>
  <c r="H52" i="33"/>
  <c r="H60" i="17" s="1"/>
  <c r="H58" i="33"/>
  <c r="H66" i="17" s="1"/>
  <c r="H56" i="33"/>
  <c r="H64" i="17" s="1"/>
  <c r="H59" i="33"/>
  <c r="H67" i="17" s="1"/>
  <c r="H57" i="33"/>
  <c r="H65" i="17" s="1"/>
  <c r="H55" i="33"/>
  <c r="H63" i="17" s="1"/>
  <c r="G42" i="33"/>
  <c r="G50" i="17" s="1"/>
  <c r="H49" i="33"/>
  <c r="H57" i="17" s="1"/>
  <c r="H38" i="33"/>
  <c r="H46" i="17" s="1"/>
  <c r="H39" i="33"/>
  <c r="H47" i="17" s="1"/>
  <c r="G50" i="33"/>
  <c r="G58" i="17" s="1"/>
  <c r="H20" i="33"/>
  <c r="H28" i="17" s="1"/>
  <c r="H28" i="33"/>
  <c r="H36" i="17" s="1"/>
  <c r="G36" i="33"/>
  <c r="G44" i="17" s="1"/>
  <c r="H32" i="33"/>
  <c r="H40" i="17" s="1"/>
  <c r="H26" i="33"/>
  <c r="H34" i="17" s="1"/>
  <c r="H24" i="33"/>
  <c r="H32" i="17" s="1"/>
  <c r="H22" i="33"/>
  <c r="H30" i="17" s="1"/>
  <c r="H29" i="33"/>
  <c r="H37" i="17" s="1"/>
  <c r="H27" i="33"/>
  <c r="H35" i="17" s="1"/>
  <c r="H25" i="33"/>
  <c r="H33" i="17" s="1"/>
  <c r="H21" i="33"/>
  <c r="H29" i="17" s="1"/>
  <c r="H23" i="33"/>
  <c r="H31" i="17" s="1"/>
  <c r="H30" i="33"/>
  <c r="H38" i="17" s="1"/>
  <c r="H31" i="33"/>
  <c r="H39" i="17" s="1"/>
  <c r="H18" i="33"/>
  <c r="H26" i="17" s="1"/>
  <c r="H16" i="33"/>
  <c r="H24" i="17" s="1"/>
  <c r="H19" i="33"/>
  <c r="H27" i="17" s="1"/>
  <c r="H17" i="33"/>
  <c r="H25" i="17" s="1"/>
  <c r="G15" i="33"/>
  <c r="G23" i="17" s="1"/>
  <c r="H14" i="33"/>
  <c r="G13" i="33"/>
  <c r="G21" i="17" s="1"/>
  <c r="G14" i="33"/>
  <c r="H15" i="33"/>
  <c r="H23" i="17" s="1"/>
  <c r="H13" i="33"/>
  <c r="H21" i="17" s="1"/>
  <c r="G292" i="33" l="1"/>
  <c r="F7" i="15" s="1"/>
  <c r="F14" i="15"/>
  <c r="G307" i="17"/>
  <c r="F11" i="15"/>
  <c r="G304" i="17"/>
  <c r="F12" i="15"/>
  <c r="G305" i="17"/>
  <c r="G22" i="17"/>
  <c r="H22" i="17"/>
  <c r="F10" i="15"/>
  <c r="G303" i="17"/>
  <c r="F13" i="15"/>
  <c r="G306" i="17"/>
  <c r="G291" i="33"/>
  <c r="G288" i="33"/>
  <c r="G303" i="33"/>
  <c r="G294" i="33"/>
  <c r="G300" i="33"/>
  <c r="G304" i="33"/>
  <c r="G302" i="33"/>
  <c r="G290" i="33"/>
  <c r="G301" i="33"/>
  <c r="G293" i="33"/>
  <c r="F21" i="12"/>
  <c r="G9" i="12"/>
  <c r="G40" i="12"/>
  <c r="G39" i="12"/>
  <c r="F17" i="12"/>
  <c r="F39" i="12"/>
  <c r="G43" i="12"/>
  <c r="F29" i="12"/>
  <c r="F19" i="12"/>
  <c r="G17" i="12"/>
  <c r="G7" i="12"/>
  <c r="F33" i="12"/>
  <c r="F28" i="12"/>
  <c r="G27" i="12"/>
  <c r="F18" i="12"/>
  <c r="G42" i="12"/>
  <c r="F30" i="12"/>
  <c r="F35" i="12"/>
  <c r="G5" i="12"/>
  <c r="G19" i="12"/>
  <c r="F23" i="12"/>
  <c r="F32" i="12"/>
  <c r="G34" i="12"/>
  <c r="G38" i="12"/>
  <c r="G12" i="12"/>
  <c r="F7" i="12"/>
  <c r="F27" i="12"/>
  <c r="F34" i="12"/>
  <c r="F8" i="12"/>
  <c r="G8" i="12"/>
  <c r="G28" i="12"/>
  <c r="G20" i="12"/>
  <c r="F5" i="12"/>
  <c r="F31" i="12"/>
  <c r="G10" i="12"/>
  <c r="G44" i="12"/>
  <c r="G53" i="12"/>
  <c r="F9" i="12"/>
  <c r="F24" i="12"/>
  <c r="G6" i="12"/>
  <c r="G14" i="12"/>
  <c r="G46" i="12"/>
  <c r="G29" i="12"/>
  <c r="F38" i="12"/>
  <c r="F20" i="12"/>
  <c r="G18" i="12"/>
  <c r="F11" i="12"/>
  <c r="F26" i="12"/>
  <c r="F25" i="12"/>
  <c r="F16" i="12"/>
  <c r="G11" i="12"/>
  <c r="F6" i="12"/>
  <c r="G48" i="12"/>
  <c r="G45" i="12"/>
  <c r="G4" i="12"/>
  <c r="G47" i="12"/>
  <c r="F15" i="12"/>
  <c r="F3" i="12"/>
  <c r="G41" i="12"/>
  <c r="F12" i="12"/>
  <c r="F10" i="12"/>
  <c r="G15" i="12"/>
  <c r="G30" i="12"/>
  <c r="F14" i="12"/>
  <c r="F4" i="12"/>
  <c r="G16" i="12"/>
  <c r="G3" i="12"/>
  <c r="G21" i="12"/>
  <c r="G35" i="12"/>
  <c r="G13" i="12"/>
  <c r="F13" i="12"/>
  <c r="G2" i="12"/>
  <c r="F2" i="12"/>
  <c r="R1" i="2"/>
  <c r="AC391" i="2" s="1"/>
  <c r="I2" i="6"/>
  <c r="M2" i="6"/>
  <c r="AK189" i="6" s="1"/>
  <c r="L2" i="6"/>
  <c r="K2" i="6"/>
  <c r="J2" i="6"/>
  <c r="A22" i="2"/>
  <c r="A18" i="6"/>
  <c r="U15" i="2"/>
  <c r="N1" i="2"/>
  <c r="O1" i="2"/>
  <c r="P1" i="2"/>
  <c r="AB2" i="21"/>
  <c r="AA2" i="16"/>
  <c r="AA2" i="12"/>
  <c r="G8" i="28"/>
  <c r="G7" i="28"/>
  <c r="G6" i="28"/>
  <c r="G5" i="28"/>
  <c r="C8" i="28"/>
  <c r="C7" i="28"/>
  <c r="C6" i="28"/>
  <c r="C5" i="28"/>
  <c r="C4" i="28"/>
  <c r="A4" i="28"/>
  <c r="A5" i="28"/>
  <c r="A6" i="28"/>
  <c r="A7" i="28"/>
  <c r="A8" i="28"/>
  <c r="E3" i="28"/>
  <c r="A3" i="28"/>
  <c r="B30" i="3"/>
  <c r="B31" i="3"/>
  <c r="B32" i="3"/>
  <c r="B29" i="3"/>
  <c r="E5" i="28"/>
  <c r="E6" i="28"/>
  <c r="E7" i="28"/>
  <c r="E8" i="28"/>
  <c r="E4" i="28"/>
  <c r="AJ2" i="20"/>
  <c r="AH2" i="19"/>
  <c r="AG2" i="14"/>
  <c r="AH3" i="15"/>
  <c r="AH4" i="15"/>
  <c r="AH5" i="15"/>
  <c r="AH6" i="15"/>
  <c r="AH7" i="15"/>
  <c r="AH8" i="15"/>
  <c r="AH9" i="15"/>
  <c r="AH10" i="15"/>
  <c r="AH11" i="15"/>
  <c r="AH12" i="15"/>
  <c r="AH13" i="15"/>
  <c r="AH2" i="15"/>
  <c r="AJ2" i="8"/>
  <c r="AI3" i="10"/>
  <c r="AI4" i="10"/>
  <c r="AI5" i="10"/>
  <c r="AI6" i="10"/>
  <c r="AI7" i="10"/>
  <c r="AI8" i="10"/>
  <c r="AI9" i="10"/>
  <c r="AI10" i="10"/>
  <c r="AI11" i="10"/>
  <c r="AI12" i="10"/>
  <c r="AI13" i="10"/>
  <c r="AI14" i="10"/>
  <c r="AI15" i="10"/>
  <c r="AI16" i="10"/>
  <c r="AI17" i="10"/>
  <c r="AI18" i="10"/>
  <c r="AI19" i="10"/>
  <c r="AI20" i="10"/>
  <c r="AI21" i="10"/>
  <c r="AI22" i="10"/>
  <c r="AI23" i="10"/>
  <c r="AI24" i="10"/>
  <c r="AI25" i="10"/>
  <c r="AI27" i="10"/>
  <c r="AI2" i="10"/>
  <c r="AJ2" i="21"/>
  <c r="AO38" i="9"/>
  <c r="AO22" i="9"/>
  <c r="AO10" i="9"/>
  <c r="AO23" i="9"/>
  <c r="AO2" i="9"/>
  <c r="AO14" i="9"/>
  <c r="AO17" i="9"/>
  <c r="AO18" i="9"/>
  <c r="AO28" i="9"/>
  <c r="AO5" i="9"/>
  <c r="AO37" i="9"/>
  <c r="AO24" i="9"/>
  <c r="AO33" i="9"/>
  <c r="AO36" i="9"/>
  <c r="AO34" i="9"/>
  <c r="AO26" i="9"/>
  <c r="AO32" i="9"/>
  <c r="AO29" i="9"/>
  <c r="AO12" i="9"/>
  <c r="AO31" i="9"/>
  <c r="AO42" i="9"/>
  <c r="AO41" i="9"/>
  <c r="AO46" i="9"/>
  <c r="AO44" i="9"/>
  <c r="AO40" i="9"/>
  <c r="AO6" i="9"/>
  <c r="AO45" i="9"/>
  <c r="AO30" i="9"/>
  <c r="AO43" i="9"/>
  <c r="AO21" i="9"/>
  <c r="AO7" i="9"/>
  <c r="AI3" i="16"/>
  <c r="AI4" i="16"/>
  <c r="AI5" i="16"/>
  <c r="AI6" i="16"/>
  <c r="AI7" i="16"/>
  <c r="AI8" i="16"/>
  <c r="AI9" i="16"/>
  <c r="AI10" i="16"/>
  <c r="AI11" i="16"/>
  <c r="AI12" i="16"/>
  <c r="AI13" i="16"/>
  <c r="AI14" i="16"/>
  <c r="AI15" i="16"/>
  <c r="AI16" i="16"/>
  <c r="AI2" i="16"/>
  <c r="A17" i="17"/>
  <c r="AB2" i="20"/>
  <c r="Z2" i="19"/>
  <c r="Y2" i="14"/>
  <c r="Z2" i="15"/>
  <c r="AB2" i="8"/>
  <c r="Q4" i="17"/>
  <c r="R4" i="17"/>
  <c r="Q5" i="17"/>
  <c r="R5" i="17"/>
  <c r="Q6" i="17"/>
  <c r="R6" i="17"/>
  <c r="Q7" i="17"/>
  <c r="R7" i="17"/>
  <c r="R8" i="17"/>
  <c r="R9" i="17"/>
  <c r="R10" i="17"/>
  <c r="R11" i="17"/>
  <c r="Q8" i="17"/>
  <c r="Q9" i="17"/>
  <c r="Q10" i="17"/>
  <c r="Q11" i="17"/>
  <c r="AE5" i="2"/>
  <c r="AE6" i="2" s="1"/>
  <c r="AE7" i="2" s="1"/>
  <c r="AB5" i="2"/>
  <c r="AB6" i="2" s="1"/>
  <c r="AB7" i="2" s="1"/>
  <c r="C37" i="1" s="1"/>
  <c r="AA5" i="2"/>
  <c r="AA6" i="2" s="1"/>
  <c r="AD5" i="2"/>
  <c r="AD6" i="2" s="1"/>
  <c r="AC5" i="2"/>
  <c r="AC6" i="2" s="1"/>
  <c r="AA2" i="10"/>
  <c r="V68" i="16"/>
  <c r="W68" i="16"/>
  <c r="X68" i="16"/>
  <c r="Y68" i="16"/>
  <c r="Z68" i="16"/>
  <c r="U68" i="16"/>
  <c r="AC68" i="16"/>
  <c r="AD68" i="16"/>
  <c r="AE68" i="16"/>
  <c r="AG68" i="16"/>
  <c r="AB68" i="16"/>
  <c r="AF68" i="16"/>
  <c r="A18" i="17"/>
  <c r="A16" i="17"/>
  <c r="Z5" i="2"/>
  <c r="Z6" i="2" s="1"/>
  <c r="Z7" i="2" s="1"/>
  <c r="C33" i="1" s="1"/>
  <c r="Y5" i="2"/>
  <c r="Y6" i="2" s="1"/>
  <c r="X5" i="2"/>
  <c r="X6" i="2" s="1"/>
  <c r="X7" i="2" s="1"/>
  <c r="C31" i="1" s="1"/>
  <c r="W5" i="2"/>
  <c r="W6" i="2" s="1"/>
  <c r="V5" i="2"/>
  <c r="V6" i="2" s="1"/>
  <c r="V7" i="2" s="1"/>
  <c r="C29" i="1" s="1"/>
  <c r="Q1" i="2"/>
  <c r="O379" i="2" l="1"/>
  <c r="O378" i="2"/>
  <c r="N379" i="2"/>
  <c r="N378" i="2"/>
  <c r="Z391" i="2"/>
  <c r="O414" i="2"/>
  <c r="O415" i="2"/>
  <c r="O416" i="2"/>
  <c r="Y391" i="2"/>
  <c r="N416" i="2"/>
  <c r="N415" i="2"/>
  <c r="N414" i="2"/>
  <c r="AA353" i="2"/>
  <c r="L81" i="34"/>
  <c r="L63" i="34"/>
  <c r="L45" i="34"/>
  <c r="AA391" i="2"/>
  <c r="AB353" i="2"/>
  <c r="M63" i="34"/>
  <c r="M45" i="34"/>
  <c r="AB391" i="2"/>
  <c r="M81" i="34"/>
  <c r="N63" i="34"/>
  <c r="N45" i="34"/>
  <c r="N81" i="34"/>
  <c r="Z353" i="2"/>
  <c r="K45" i="34"/>
  <c r="K81" i="34"/>
  <c r="K63" i="34"/>
  <c r="Y353" i="2"/>
  <c r="J45" i="34"/>
  <c r="J81" i="34"/>
  <c r="J63" i="34"/>
  <c r="AC404" i="6"/>
  <c r="AC393" i="6"/>
  <c r="AC403" i="6"/>
  <c r="AC389" i="6"/>
  <c r="AC399" i="6"/>
  <c r="AB389" i="6"/>
  <c r="AB404" i="6"/>
  <c r="AB403" i="6"/>
  <c r="AB393" i="6"/>
  <c r="AB399" i="6"/>
  <c r="AC385" i="6"/>
  <c r="AC382" i="6"/>
  <c r="AC381" i="6"/>
  <c r="AB385" i="6"/>
  <c r="AB381" i="6"/>
  <c r="R2" i="2"/>
  <c r="N3" i="6" s="1"/>
  <c r="M3" i="6" s="1"/>
  <c r="C40" i="1"/>
  <c r="F8" i="28" s="1"/>
  <c r="G300" i="17"/>
  <c r="F8" i="15"/>
  <c r="G301" i="17"/>
  <c r="F16" i="15"/>
  <c r="G309" i="17"/>
  <c r="F5" i="15"/>
  <c r="G298" i="17"/>
  <c r="F17" i="15"/>
  <c r="G310" i="17"/>
  <c r="F19" i="15"/>
  <c r="G312" i="17"/>
  <c r="F15" i="15"/>
  <c r="G308" i="17"/>
  <c r="F9" i="15"/>
  <c r="G302" i="17"/>
  <c r="F18" i="15"/>
  <c r="G311" i="17"/>
  <c r="F3" i="15"/>
  <c r="G296" i="17"/>
  <c r="F6" i="15"/>
  <c r="G299" i="17"/>
  <c r="AC325" i="6"/>
  <c r="AC321" i="6"/>
  <c r="AC329" i="6"/>
  <c r="AD325" i="6"/>
  <c r="AD321" i="6"/>
  <c r="AD329" i="6"/>
  <c r="AE326" i="6"/>
  <c r="AE325" i="6"/>
  <c r="AE322" i="6"/>
  <c r="AE330" i="6"/>
  <c r="AE321" i="6"/>
  <c r="AE329" i="6"/>
  <c r="AB325" i="6"/>
  <c r="AB329" i="6"/>
  <c r="AB321" i="6"/>
  <c r="R302" i="2"/>
  <c r="AC353" i="2"/>
  <c r="AC317" i="6"/>
  <c r="AD317" i="6"/>
  <c r="AE317" i="6"/>
  <c r="AE318" i="6"/>
  <c r="AB317" i="6"/>
  <c r="Q310" i="2"/>
  <c r="Q308" i="2"/>
  <c r="Q321" i="2"/>
  <c r="Q302" i="2"/>
  <c r="Q314" i="2"/>
  <c r="Q312" i="2"/>
  <c r="P310" i="2"/>
  <c r="P308" i="2"/>
  <c r="P321" i="2"/>
  <c r="P302" i="2"/>
  <c r="P314" i="2"/>
  <c r="P312" i="2"/>
  <c r="O310" i="2"/>
  <c r="O314" i="2"/>
  <c r="O312" i="2"/>
  <c r="N310" i="2"/>
  <c r="N312" i="2"/>
  <c r="N314" i="2"/>
  <c r="O308" i="2"/>
  <c r="O321" i="2"/>
  <c r="O302" i="2"/>
  <c r="N308" i="2"/>
  <c r="N321" i="2"/>
  <c r="N302" i="2"/>
  <c r="AA307" i="2"/>
  <c r="P294" i="2"/>
  <c r="P276" i="2"/>
  <c r="P295" i="2"/>
  <c r="BH272" i="2"/>
  <c r="AR264" i="2"/>
  <c r="BF276" i="2"/>
  <c r="BF280" i="2"/>
  <c r="P292" i="2"/>
  <c r="BF268" i="2"/>
  <c r="BF264" i="2"/>
  <c r="BC259" i="2"/>
  <c r="AR272" i="2"/>
  <c r="Z307" i="2"/>
  <c r="O276" i="2"/>
  <c r="O295" i="2"/>
  <c r="BG272" i="2"/>
  <c r="AQ264" i="2"/>
  <c r="BE276" i="2"/>
  <c r="O292" i="2"/>
  <c r="BE280" i="2"/>
  <c r="BE264" i="2"/>
  <c r="BE268" i="2"/>
  <c r="BB259" i="2"/>
  <c r="AQ272" i="2"/>
  <c r="Y307" i="2"/>
  <c r="N276" i="2"/>
  <c r="BF272" i="2"/>
  <c r="N295" i="2"/>
  <c r="AP264" i="2"/>
  <c r="BD276" i="2"/>
  <c r="BD264" i="2"/>
  <c r="BD280" i="2"/>
  <c r="N292" i="2"/>
  <c r="BD268" i="2"/>
  <c r="BA259" i="2"/>
  <c r="AP272" i="2"/>
  <c r="AC307" i="2"/>
  <c r="BJ272" i="2"/>
  <c r="BH276" i="2"/>
  <c r="R276" i="2"/>
  <c r="R295" i="2"/>
  <c r="BH280" i="2"/>
  <c r="BH268" i="2"/>
  <c r="BE259" i="2"/>
  <c r="R292" i="2"/>
  <c r="BH264" i="2"/>
  <c r="AB307" i="2"/>
  <c r="BI272" i="2"/>
  <c r="Q276" i="2"/>
  <c r="AS264" i="2"/>
  <c r="Q295" i="2"/>
  <c r="BG276" i="2"/>
  <c r="BG280" i="2"/>
  <c r="AS265" i="2"/>
  <c r="AS273" i="2"/>
  <c r="Q292" i="2"/>
  <c r="BG268" i="2"/>
  <c r="BD259" i="2"/>
  <c r="AS272" i="2"/>
  <c r="BG264" i="2"/>
  <c r="AB256" i="6"/>
  <c r="AB264" i="6"/>
  <c r="AB251" i="6"/>
  <c r="AB260" i="6"/>
  <c r="AB247" i="6"/>
  <c r="AB268" i="6"/>
  <c r="AC264" i="6"/>
  <c r="AC256" i="6"/>
  <c r="AC251" i="6"/>
  <c r="AC247" i="6"/>
  <c r="AC260" i="6"/>
  <c r="AC268" i="6"/>
  <c r="AD261" i="6"/>
  <c r="AD251" i="6"/>
  <c r="AD264" i="6"/>
  <c r="AD260" i="6"/>
  <c r="AD256" i="6"/>
  <c r="AD247" i="6"/>
  <c r="AD268" i="6"/>
  <c r="AD257" i="6"/>
  <c r="AE252" i="6"/>
  <c r="AE251" i="6"/>
  <c r="AE261" i="6"/>
  <c r="AE260" i="6"/>
  <c r="AE248" i="6"/>
  <c r="AE269" i="6"/>
  <c r="AE268" i="6"/>
  <c r="AE247" i="6"/>
  <c r="AE264" i="6"/>
  <c r="AE265" i="6"/>
  <c r="AE257" i="6"/>
  <c r="AE256" i="6"/>
  <c r="AC257" i="2"/>
  <c r="AC112" i="2"/>
  <c r="BM227" i="2"/>
  <c r="BJ240" i="2"/>
  <c r="AC229" i="2"/>
  <c r="BJ252" i="2"/>
  <c r="BM231" i="2"/>
  <c r="AC89" i="2"/>
  <c r="AC159" i="2"/>
  <c r="BJ223" i="2"/>
  <c r="BJ244" i="2"/>
  <c r="BJ248" i="2"/>
  <c r="BJ235" i="2"/>
  <c r="AB257" i="2"/>
  <c r="AS249" i="2"/>
  <c r="AS235" i="2"/>
  <c r="AB229" i="2"/>
  <c r="AS248" i="2"/>
  <c r="AS244" i="2"/>
  <c r="BL227" i="2"/>
  <c r="AS253" i="2"/>
  <c r="AS252" i="2"/>
  <c r="AS241" i="2"/>
  <c r="AS240" i="2"/>
  <c r="AS236" i="2"/>
  <c r="AB89" i="2"/>
  <c r="BI240" i="2"/>
  <c r="AS232" i="2"/>
  <c r="BL231" i="2"/>
  <c r="AB159" i="2"/>
  <c r="AS231" i="2"/>
  <c r="BI244" i="2"/>
  <c r="AS228" i="2"/>
  <c r="BI248" i="2"/>
  <c r="BI235" i="2"/>
  <c r="AB112" i="2"/>
  <c r="AS227" i="2"/>
  <c r="BI252" i="2"/>
  <c r="AA257" i="2"/>
  <c r="Z257" i="2"/>
  <c r="Y257" i="2"/>
  <c r="R14" i="2"/>
  <c r="R7" i="2"/>
  <c r="AR252" i="2"/>
  <c r="AR248" i="2"/>
  <c r="AR244" i="2"/>
  <c r="AR227" i="2"/>
  <c r="BH235" i="2"/>
  <c r="BH240" i="2"/>
  <c r="BH248" i="2"/>
  <c r="BH252" i="2"/>
  <c r="BH244" i="2"/>
  <c r="AR231" i="2"/>
  <c r="AR240" i="2"/>
  <c r="BJ227" i="2"/>
  <c r="AQ240" i="2"/>
  <c r="Z229" i="2"/>
  <c r="Z112" i="2"/>
  <c r="BG244" i="2"/>
  <c r="AQ252" i="2"/>
  <c r="AQ227" i="2"/>
  <c r="AQ235" i="2"/>
  <c r="BJ231" i="2"/>
  <c r="AQ248" i="2"/>
  <c r="BG240" i="2"/>
  <c r="Z159" i="2"/>
  <c r="Z89" i="2"/>
  <c r="BG235" i="2"/>
  <c r="BG252" i="2"/>
  <c r="AQ231" i="2"/>
  <c r="BG248" i="2"/>
  <c r="AQ244" i="2"/>
  <c r="AP252" i="2"/>
  <c r="AP248" i="2"/>
  <c r="BF248" i="2"/>
  <c r="BF252" i="2"/>
  <c r="BF244" i="2"/>
  <c r="AP244" i="2"/>
  <c r="AP227" i="2"/>
  <c r="AP231" i="2"/>
  <c r="BI227" i="2"/>
  <c r="AP235" i="2"/>
  <c r="Y229" i="2"/>
  <c r="AP240" i="2"/>
  <c r="Y112" i="2"/>
  <c r="BF235" i="2"/>
  <c r="BI231" i="2"/>
  <c r="BF240" i="2"/>
  <c r="Y159" i="2"/>
  <c r="Y89" i="2"/>
  <c r="AA112" i="2"/>
  <c r="BK227" i="2"/>
  <c r="BK231" i="2"/>
  <c r="AR235" i="2"/>
  <c r="AA159" i="2"/>
  <c r="AA89" i="2"/>
  <c r="AA229" i="2"/>
  <c r="AS223" i="2"/>
  <c r="BI223" i="2"/>
  <c r="AS224" i="2"/>
  <c r="AE223" i="6"/>
  <c r="AE224" i="6"/>
  <c r="AE220" i="6"/>
  <c r="AE219" i="6"/>
  <c r="AE240" i="6"/>
  <c r="AE236" i="6"/>
  <c r="AE239" i="6"/>
  <c r="AE232" i="6"/>
  <c r="AE235" i="6"/>
  <c r="AE227" i="6"/>
  <c r="AE231" i="6"/>
  <c r="AE228" i="6"/>
  <c r="BH223" i="2"/>
  <c r="AR223" i="2"/>
  <c r="AQ223" i="2"/>
  <c r="BG223" i="2"/>
  <c r="AC235" i="6"/>
  <c r="AC219" i="6"/>
  <c r="AC231" i="6"/>
  <c r="AC227" i="6"/>
  <c r="AC223" i="6"/>
  <c r="AC239" i="6"/>
  <c r="AP223" i="2"/>
  <c r="BF223" i="2"/>
  <c r="AB223" i="6"/>
  <c r="AB227" i="6"/>
  <c r="AB235" i="6"/>
  <c r="AB239" i="6"/>
  <c r="AB231" i="6"/>
  <c r="AB219" i="6"/>
  <c r="N208" i="2"/>
  <c r="N190" i="2"/>
  <c r="N189" i="2"/>
  <c r="N196" i="2"/>
  <c r="N195" i="2"/>
  <c r="N192" i="2"/>
  <c r="N213" i="2"/>
  <c r="N191" i="2"/>
  <c r="O190" i="2"/>
  <c r="O189" i="2"/>
  <c r="O196" i="2"/>
  <c r="O195" i="2"/>
  <c r="O192" i="2"/>
  <c r="O213" i="2"/>
  <c r="O191" i="2"/>
  <c r="O208" i="2"/>
  <c r="Q190" i="2"/>
  <c r="Q208" i="2"/>
  <c r="Q189" i="2"/>
  <c r="Q196" i="2"/>
  <c r="Q195" i="2"/>
  <c r="Q192" i="2"/>
  <c r="Q213" i="2"/>
  <c r="Q191" i="2"/>
  <c r="AD239" i="6"/>
  <c r="AD219" i="6"/>
  <c r="AD227" i="6"/>
  <c r="AD223" i="6"/>
  <c r="AD235" i="6"/>
  <c r="AD231" i="6"/>
  <c r="P191" i="2"/>
  <c r="P195" i="2"/>
  <c r="P190" i="2"/>
  <c r="P213" i="2"/>
  <c r="P189" i="2"/>
  <c r="P208" i="2"/>
  <c r="P192" i="2"/>
  <c r="P196" i="2"/>
  <c r="Q16" i="17"/>
  <c r="P16" i="17" s="1"/>
  <c r="Q15" i="17"/>
  <c r="P15" i="17" s="1"/>
  <c r="AC184" i="6"/>
  <c r="AH189" i="6"/>
  <c r="AD186" i="6"/>
  <c r="AD184" i="6"/>
  <c r="AI189" i="6"/>
  <c r="AE186" i="6"/>
  <c r="AJ189" i="6"/>
  <c r="AE185" i="6"/>
  <c r="AE184" i="6"/>
  <c r="AG189" i="6"/>
  <c r="AB184" i="6"/>
  <c r="Q199" i="2"/>
  <c r="AS170" i="2"/>
  <c r="Q210" i="2"/>
  <c r="Q198" i="2"/>
  <c r="AX177" i="2"/>
  <c r="AX178" i="2"/>
  <c r="Q194" i="2"/>
  <c r="AX165" i="2"/>
  <c r="Q197" i="2"/>
  <c r="Q202" i="2"/>
  <c r="Q193" i="2"/>
  <c r="AS171" i="2"/>
  <c r="AR170" i="2"/>
  <c r="P210" i="2"/>
  <c r="P198" i="2"/>
  <c r="AW177" i="2"/>
  <c r="P194" i="2"/>
  <c r="AW165" i="2"/>
  <c r="P197" i="2"/>
  <c r="P202" i="2"/>
  <c r="P193" i="2"/>
  <c r="P199" i="2"/>
  <c r="AQ170" i="2"/>
  <c r="O210" i="2"/>
  <c r="O198" i="2"/>
  <c r="AV177" i="2"/>
  <c r="O194" i="2"/>
  <c r="AV165" i="2"/>
  <c r="O197" i="2"/>
  <c r="O202" i="2"/>
  <c r="O193" i="2"/>
  <c r="O199" i="2"/>
  <c r="N199" i="2"/>
  <c r="AU177" i="2"/>
  <c r="AP170" i="2"/>
  <c r="N198" i="2"/>
  <c r="N210" i="2"/>
  <c r="AU165" i="2"/>
  <c r="N194" i="2"/>
  <c r="N197" i="2"/>
  <c r="N202" i="2"/>
  <c r="N193" i="2"/>
  <c r="R210" i="2"/>
  <c r="AY177" i="2"/>
  <c r="AY165" i="2"/>
  <c r="AC180" i="6"/>
  <c r="AD180" i="6"/>
  <c r="AE177" i="6"/>
  <c r="AE181" i="6"/>
  <c r="AE180" i="6"/>
  <c r="AB180" i="6"/>
  <c r="AC176" i="6"/>
  <c r="AC172" i="6"/>
  <c r="AC152" i="6"/>
  <c r="AC157" i="6"/>
  <c r="AC161" i="6"/>
  <c r="AC168" i="6"/>
  <c r="AD176" i="6"/>
  <c r="AD172" i="6"/>
  <c r="AD152" i="6"/>
  <c r="AD157" i="6"/>
  <c r="AD168" i="6"/>
  <c r="AD161" i="6"/>
  <c r="AE168" i="6"/>
  <c r="AE176" i="6"/>
  <c r="AE172" i="6"/>
  <c r="AE153" i="6"/>
  <c r="AE158" i="6"/>
  <c r="AE162" i="6"/>
  <c r="AE152" i="6"/>
  <c r="AE157" i="6"/>
  <c r="AE169" i="6"/>
  <c r="AE173" i="6"/>
  <c r="AE161" i="6"/>
  <c r="AB168" i="6"/>
  <c r="AB176" i="6"/>
  <c r="AB172" i="6"/>
  <c r="AB152" i="6"/>
  <c r="AB157" i="6"/>
  <c r="AB161" i="6"/>
  <c r="P147" i="2"/>
  <c r="P137" i="2"/>
  <c r="P157" i="2"/>
  <c r="P153" i="2"/>
  <c r="P142" i="2"/>
  <c r="P132" i="2"/>
  <c r="P128" i="2"/>
  <c r="P114" i="2"/>
  <c r="P138" i="2"/>
  <c r="P129" i="2"/>
  <c r="P115" i="2"/>
  <c r="P156" i="2"/>
  <c r="P151" i="2"/>
  <c r="P139" i="2"/>
  <c r="P130" i="2"/>
  <c r="P127" i="2"/>
  <c r="P113" i="2"/>
  <c r="P133" i="2"/>
  <c r="P131" i="2"/>
  <c r="P155" i="2"/>
  <c r="P148" i="2"/>
  <c r="P135" i="2"/>
  <c r="P134" i="2"/>
  <c r="P117" i="2"/>
  <c r="P154" i="2"/>
  <c r="P136" i="2"/>
  <c r="P152" i="2"/>
  <c r="O137" i="2"/>
  <c r="O157" i="2"/>
  <c r="O153" i="2"/>
  <c r="O142" i="2"/>
  <c r="O132" i="2"/>
  <c r="O128" i="2"/>
  <c r="O114" i="2"/>
  <c r="O138" i="2"/>
  <c r="O156" i="2"/>
  <c r="O151" i="2"/>
  <c r="O139" i="2"/>
  <c r="O130" i="2"/>
  <c r="O127" i="2"/>
  <c r="O113" i="2"/>
  <c r="O131" i="2"/>
  <c r="O155" i="2"/>
  <c r="O148" i="2"/>
  <c r="O135" i="2"/>
  <c r="O134" i="2"/>
  <c r="O117" i="2"/>
  <c r="O136" i="2"/>
  <c r="O152" i="2"/>
  <c r="O154" i="2"/>
  <c r="O147" i="2"/>
  <c r="O133" i="2"/>
  <c r="O129" i="2"/>
  <c r="O115" i="2"/>
  <c r="D15" i="3"/>
  <c r="N152" i="2"/>
  <c r="N154" i="2"/>
  <c r="N147" i="2"/>
  <c r="N133" i="2"/>
  <c r="N129" i="2"/>
  <c r="N115" i="2"/>
  <c r="N157" i="2"/>
  <c r="N153" i="2"/>
  <c r="N142" i="2"/>
  <c r="N132" i="2"/>
  <c r="N128" i="2"/>
  <c r="N114" i="2"/>
  <c r="N138" i="2"/>
  <c r="N137" i="2"/>
  <c r="N136" i="2"/>
  <c r="N156" i="2"/>
  <c r="N151" i="2"/>
  <c r="N139" i="2"/>
  <c r="N135" i="2"/>
  <c r="N127" i="2"/>
  <c r="N113" i="2"/>
  <c r="N131" i="2"/>
  <c r="N155" i="2"/>
  <c r="N148" i="2"/>
  <c r="N134" i="2"/>
  <c r="N130" i="2"/>
  <c r="N117" i="2"/>
  <c r="Q152" i="2"/>
  <c r="Q154" i="2"/>
  <c r="Q147" i="2"/>
  <c r="Q133" i="2"/>
  <c r="Q129" i="2"/>
  <c r="Q115" i="2"/>
  <c r="Q137" i="2"/>
  <c r="Q157" i="2"/>
  <c r="Q153" i="2"/>
  <c r="Q142" i="2"/>
  <c r="Q132" i="2"/>
  <c r="Q128" i="2"/>
  <c r="Q114" i="2"/>
  <c r="Q138" i="2"/>
  <c r="Q136" i="2"/>
  <c r="Q156" i="2"/>
  <c r="Q151" i="2"/>
  <c r="Q139" i="2"/>
  <c r="Q130" i="2"/>
  <c r="Q127" i="2"/>
  <c r="Q113" i="2"/>
  <c r="Q131" i="2"/>
  <c r="Q155" i="2"/>
  <c r="Q148" i="2"/>
  <c r="Q135" i="2"/>
  <c r="Q134" i="2"/>
  <c r="Q117" i="2"/>
  <c r="A26" i="2"/>
  <c r="A24" i="2"/>
  <c r="P99" i="2"/>
  <c r="P100" i="2"/>
  <c r="O99" i="2"/>
  <c r="O100" i="2"/>
  <c r="N99" i="2"/>
  <c r="N100" i="2"/>
  <c r="Q99" i="2"/>
  <c r="Q100" i="2"/>
  <c r="AC82" i="6"/>
  <c r="AC79" i="6"/>
  <c r="AD79" i="6"/>
  <c r="AD82" i="6"/>
  <c r="AE79" i="6"/>
  <c r="AE80" i="6"/>
  <c r="AE83" i="6"/>
  <c r="AE82" i="6"/>
  <c r="AB79" i="6"/>
  <c r="AB82" i="6"/>
  <c r="AA20" i="2"/>
  <c r="Z20" i="2"/>
  <c r="Y20" i="2"/>
  <c r="AC20" i="2"/>
  <c r="AB20" i="2"/>
  <c r="AY67" i="2"/>
  <c r="AY77" i="2"/>
  <c r="AS74" i="2"/>
  <c r="AX77" i="2"/>
  <c r="AW77" i="2"/>
  <c r="AV77" i="2"/>
  <c r="AU77" i="2"/>
  <c r="AX67" i="2"/>
  <c r="AS73" i="2"/>
  <c r="Q79" i="2"/>
  <c r="AW67" i="2"/>
  <c r="AR73" i="2"/>
  <c r="P79" i="2"/>
  <c r="AV67" i="2"/>
  <c r="AQ73" i="2"/>
  <c r="O79" i="2"/>
  <c r="AU67" i="2"/>
  <c r="AP73" i="2"/>
  <c r="N79" i="2"/>
  <c r="Q59" i="2"/>
  <c r="AS40" i="2"/>
  <c r="Q81" i="2"/>
  <c r="Q78" i="2"/>
  <c r="Q74" i="2"/>
  <c r="AS38" i="2"/>
  <c r="AS58" i="2"/>
  <c r="Q86" i="2"/>
  <c r="Q77" i="2"/>
  <c r="Q72" i="2"/>
  <c r="AS37" i="2"/>
  <c r="AS51" i="2"/>
  <c r="Q87" i="2"/>
  <c r="Q70" i="2"/>
  <c r="Q76" i="2"/>
  <c r="Q71" i="2"/>
  <c r="AS57" i="2"/>
  <c r="AV53" i="2"/>
  <c r="AX43" i="2"/>
  <c r="Q60" i="2"/>
  <c r="AX60" i="2"/>
  <c r="AS50" i="2"/>
  <c r="Q85" i="2"/>
  <c r="Q75" i="2"/>
  <c r="AW53" i="2"/>
  <c r="AY43" i="2"/>
  <c r="AY60" i="2"/>
  <c r="AU53" i="2"/>
  <c r="P81" i="2"/>
  <c r="P78" i="2"/>
  <c r="P74" i="2"/>
  <c r="P86" i="2"/>
  <c r="P77" i="2"/>
  <c r="P72" i="2"/>
  <c r="AR37" i="2"/>
  <c r="P87" i="2"/>
  <c r="P70" i="2"/>
  <c r="P76" i="2"/>
  <c r="P71" i="2"/>
  <c r="AR57" i="2"/>
  <c r="AW43" i="2"/>
  <c r="P60" i="2"/>
  <c r="AW60" i="2"/>
  <c r="AR50" i="2"/>
  <c r="P85" i="2"/>
  <c r="P75" i="2"/>
  <c r="P59" i="2"/>
  <c r="AR40" i="2"/>
  <c r="O74" i="2"/>
  <c r="O78" i="2"/>
  <c r="O86" i="2"/>
  <c r="O77" i="2"/>
  <c r="O72" i="2"/>
  <c r="O87" i="2"/>
  <c r="O70" i="2"/>
  <c r="O76" i="2"/>
  <c r="O71" i="2"/>
  <c r="AQ57" i="2"/>
  <c r="O81" i="2"/>
  <c r="O60" i="2"/>
  <c r="AV60" i="2"/>
  <c r="AQ50" i="2"/>
  <c r="O85" i="2"/>
  <c r="AT53" i="2"/>
  <c r="O75" i="2"/>
  <c r="O59" i="2"/>
  <c r="N59" i="2"/>
  <c r="AP40" i="2"/>
  <c r="N81" i="2"/>
  <c r="N78" i="2"/>
  <c r="N74" i="2"/>
  <c r="N77" i="2"/>
  <c r="N72" i="2"/>
  <c r="AP37" i="2"/>
  <c r="N87" i="2"/>
  <c r="N70" i="2"/>
  <c r="AU60" i="2"/>
  <c r="N86" i="2"/>
  <c r="N76" i="2"/>
  <c r="N71" i="2"/>
  <c r="AP57" i="2"/>
  <c r="N75" i="2"/>
  <c r="AU43" i="2"/>
  <c r="N60" i="2"/>
  <c r="AS53" i="2"/>
  <c r="AP50" i="2"/>
  <c r="N85" i="2"/>
  <c r="AQ37" i="2"/>
  <c r="AV43" i="2"/>
  <c r="AQ40" i="2"/>
  <c r="AB33" i="2"/>
  <c r="AC33" i="2"/>
  <c r="AA33" i="2"/>
  <c r="Z33" i="2"/>
  <c r="Y33" i="2"/>
  <c r="B4" i="28"/>
  <c r="I2" i="2"/>
  <c r="AC51" i="6"/>
  <c r="AC63" i="6"/>
  <c r="AC53" i="6"/>
  <c r="AC55" i="6"/>
  <c r="AC61" i="6"/>
  <c r="AD55" i="6"/>
  <c r="AD51" i="6"/>
  <c r="AD63" i="6"/>
  <c r="AD53" i="6"/>
  <c r="AD61" i="6"/>
  <c r="AE61" i="6"/>
  <c r="AE64" i="6"/>
  <c r="AE51" i="6"/>
  <c r="AE54" i="6"/>
  <c r="AP50" i="6"/>
  <c r="AE63" i="6"/>
  <c r="AE56" i="6"/>
  <c r="AE53" i="6"/>
  <c r="AE62" i="6"/>
  <c r="AE52" i="6"/>
  <c r="AE55" i="6"/>
  <c r="AB61" i="6"/>
  <c r="AB51" i="6"/>
  <c r="AB63" i="6"/>
  <c r="AB53" i="6"/>
  <c r="AB55" i="6"/>
  <c r="AC49" i="6"/>
  <c r="AD49" i="6"/>
  <c r="AE50" i="6"/>
  <c r="AE49" i="6"/>
  <c r="AB49" i="6"/>
  <c r="AN49" i="6"/>
  <c r="AC47" i="6"/>
  <c r="AC41" i="6"/>
  <c r="AC39" i="6"/>
  <c r="AD39" i="6"/>
  <c r="AO49" i="6"/>
  <c r="AD47" i="6"/>
  <c r="AD41" i="6"/>
  <c r="AE39" i="6"/>
  <c r="AP49" i="6"/>
  <c r="AE47" i="6"/>
  <c r="AE42" i="6"/>
  <c r="AE41" i="6"/>
  <c r="AE40" i="6"/>
  <c r="AE48" i="6"/>
  <c r="AB39" i="6"/>
  <c r="AM49" i="6"/>
  <c r="AB47" i="6"/>
  <c r="AB41" i="6"/>
  <c r="AC25" i="6"/>
  <c r="AC29" i="6"/>
  <c r="AC35" i="6"/>
  <c r="AC37" i="6"/>
  <c r="AC31" i="6"/>
  <c r="AC33" i="6"/>
  <c r="AC27" i="6"/>
  <c r="AD35" i="6"/>
  <c r="AD29" i="6"/>
  <c r="AD37" i="6"/>
  <c r="AD31" i="6"/>
  <c r="AD33" i="6"/>
  <c r="AE25" i="6"/>
  <c r="AE26" i="6"/>
  <c r="AE35" i="6"/>
  <c r="AE32" i="6"/>
  <c r="AE29" i="6"/>
  <c r="AE38" i="6"/>
  <c r="AE37" i="6"/>
  <c r="AE31" i="6"/>
  <c r="AE28" i="6"/>
  <c r="AE34" i="6"/>
  <c r="AE36" i="6"/>
  <c r="AE33" i="6"/>
  <c r="AE30" i="6"/>
  <c r="AE27" i="6"/>
  <c r="AB35" i="6"/>
  <c r="AB29" i="6"/>
  <c r="AB37" i="6"/>
  <c r="AB31" i="6"/>
  <c r="AB33" i="6"/>
  <c r="C10" i="3"/>
  <c r="C19" i="3"/>
  <c r="AB25" i="6"/>
  <c r="AB27" i="6"/>
  <c r="AD27" i="6"/>
  <c r="AD26" i="6"/>
  <c r="AD25" i="6"/>
  <c r="AE70" i="6"/>
  <c r="AE69" i="6"/>
  <c r="AB69" i="6"/>
  <c r="AC69" i="6"/>
  <c r="AD69" i="6"/>
  <c r="R15" i="17"/>
  <c r="R11" i="2"/>
  <c r="R10" i="2"/>
  <c r="R9" i="2"/>
  <c r="AC318" i="2" s="1"/>
  <c r="T11" i="2"/>
  <c r="R8" i="2"/>
  <c r="S11" i="2"/>
  <c r="R6" i="2"/>
  <c r="R3" i="2"/>
  <c r="R5" i="2"/>
  <c r="R4" i="2"/>
  <c r="D8" i="3"/>
  <c r="E23" i="3"/>
  <c r="E15" i="3"/>
  <c r="D11" i="3"/>
  <c r="D19" i="3"/>
  <c r="D4" i="3"/>
  <c r="D21" i="3"/>
  <c r="D12" i="3"/>
  <c r="D6" i="3"/>
  <c r="D9" i="3"/>
  <c r="D14" i="3"/>
  <c r="D17" i="3"/>
  <c r="D10" i="3"/>
  <c r="D5" i="3"/>
  <c r="D24" i="3"/>
  <c r="D22" i="3"/>
  <c r="D3" i="3"/>
  <c r="D23" i="3"/>
  <c r="D13" i="3"/>
  <c r="D25" i="3"/>
  <c r="D7" i="3"/>
  <c r="D16" i="3"/>
  <c r="D20" i="3"/>
  <c r="D18" i="3"/>
  <c r="C5" i="3"/>
  <c r="E7" i="3"/>
  <c r="C17" i="3"/>
  <c r="E12" i="3"/>
  <c r="C22" i="3"/>
  <c r="E20" i="3"/>
  <c r="C6" i="3"/>
  <c r="E16" i="3"/>
  <c r="C20" i="3"/>
  <c r="E14" i="3"/>
  <c r="E8" i="3"/>
  <c r="E22" i="3"/>
  <c r="C3" i="3"/>
  <c r="F3" i="3"/>
  <c r="C21" i="3"/>
  <c r="C18" i="3"/>
  <c r="C24" i="3"/>
  <c r="F6" i="3"/>
  <c r="E25" i="3"/>
  <c r="C11" i="3"/>
  <c r="C8" i="3"/>
  <c r="E10" i="3"/>
  <c r="C13" i="3"/>
  <c r="C15" i="3"/>
  <c r="C4" i="3"/>
  <c r="E5" i="3"/>
  <c r="E3" i="3"/>
  <c r="C16" i="3"/>
  <c r="E21" i="3"/>
  <c r="E6" i="3"/>
  <c r="E13" i="3"/>
  <c r="E4" i="3"/>
  <c r="F4" i="3"/>
  <c r="C12" i="3"/>
  <c r="F5" i="3"/>
  <c r="E9" i="3"/>
  <c r="C25" i="3"/>
  <c r="C14" i="3"/>
  <c r="C23" i="3"/>
  <c r="E24" i="3"/>
  <c r="E18" i="3"/>
  <c r="E17" i="3"/>
  <c r="C7" i="3"/>
  <c r="C9" i="3"/>
  <c r="E11" i="3"/>
  <c r="E19" i="3"/>
  <c r="AD7" i="2"/>
  <c r="C39" i="1" s="1"/>
  <c r="M2" i="2"/>
  <c r="B8" i="28"/>
  <c r="AC7" i="2"/>
  <c r="C38" i="1" s="1"/>
  <c r="O2" i="2"/>
  <c r="F5" i="28"/>
  <c r="AA7" i="2"/>
  <c r="C36" i="1" s="1"/>
  <c r="Y7" i="2"/>
  <c r="C32" i="1" s="1"/>
  <c r="K2" i="2"/>
  <c r="B6" i="28"/>
  <c r="W7" i="2"/>
  <c r="C30" i="1" s="1"/>
  <c r="AC397" i="2" l="1"/>
  <c r="AC398" i="2"/>
  <c r="AC396" i="2"/>
  <c r="AC419" i="2"/>
  <c r="AC420" i="2"/>
  <c r="AC421" i="2"/>
  <c r="AC422" i="2"/>
  <c r="AC423" i="2"/>
  <c r="AC417" i="2"/>
  <c r="AC424" i="2"/>
  <c r="AC425" i="2"/>
  <c r="AC411" i="2"/>
  <c r="AC412" i="2"/>
  <c r="AC413" i="2"/>
  <c r="AC414" i="2"/>
  <c r="AC415" i="2"/>
  <c r="AC418" i="2"/>
  <c r="AC416" i="2"/>
  <c r="AI404" i="6"/>
  <c r="AH404" i="6" s="1"/>
  <c r="R13" i="2"/>
  <c r="O10" i="2"/>
  <c r="O9" i="2"/>
  <c r="O8" i="2"/>
  <c r="O7" i="2"/>
  <c r="O6" i="2"/>
  <c r="O5" i="2"/>
  <c r="O13" i="2"/>
  <c r="O11" i="2"/>
  <c r="O3" i="2"/>
  <c r="M10" i="2"/>
  <c r="M9" i="2"/>
  <c r="M8" i="2"/>
  <c r="M7" i="2"/>
  <c r="M6" i="2"/>
  <c r="M5" i="2"/>
  <c r="M13" i="2"/>
  <c r="M3" i="2"/>
  <c r="K11" i="2"/>
  <c r="K10" i="2"/>
  <c r="K9" i="2"/>
  <c r="K8" i="2"/>
  <c r="K7" i="2"/>
  <c r="K6" i="2"/>
  <c r="K5" i="2"/>
  <c r="K13" i="2"/>
  <c r="K3" i="2"/>
  <c r="I11" i="2"/>
  <c r="I9" i="2"/>
  <c r="I8" i="2"/>
  <c r="I13" i="2"/>
  <c r="I6" i="2"/>
  <c r="I3" i="2"/>
  <c r="I5" i="2"/>
  <c r="I10" i="2"/>
  <c r="I7" i="2"/>
  <c r="AK190" i="6"/>
  <c r="AK192" i="6" s="1"/>
  <c r="AC360" i="2"/>
  <c r="AC362" i="2"/>
  <c r="AC355" i="2"/>
  <c r="AC364" i="2"/>
  <c r="AC357" i="2"/>
  <c r="AC359" i="2"/>
  <c r="AC361" i="2"/>
  <c r="AC363" i="2"/>
  <c r="AC376" i="2"/>
  <c r="AC367" i="2"/>
  <c r="AC385" i="2"/>
  <c r="AC369" i="2"/>
  <c r="AC378" i="2"/>
  <c r="AC356" i="2"/>
  <c r="AC371" i="2"/>
  <c r="AC387" i="2"/>
  <c r="AC365" i="2"/>
  <c r="AC380" i="2"/>
  <c r="AC383" i="2"/>
  <c r="AC373" i="2"/>
  <c r="AC389" i="2"/>
  <c r="AC382" i="2"/>
  <c r="AC375" i="2"/>
  <c r="AC384" i="2"/>
  <c r="AC366" i="2"/>
  <c r="AC368" i="2"/>
  <c r="AC377" i="2"/>
  <c r="AC370" i="2"/>
  <c r="AC386" i="2"/>
  <c r="AC379" i="2"/>
  <c r="AC354" i="2"/>
  <c r="AC358" i="2"/>
  <c r="AC372" i="2"/>
  <c r="AC388" i="2"/>
  <c r="AC381" i="2"/>
  <c r="AC374" i="2"/>
  <c r="AC315" i="2"/>
  <c r="AC311" i="2"/>
  <c r="AC323" i="2"/>
  <c r="AC316" i="2"/>
  <c r="AC324" i="2"/>
  <c r="AC308" i="2"/>
  <c r="AC309" i="2"/>
  <c r="AC314" i="2"/>
  <c r="AC319" i="2"/>
  <c r="AC322" i="2"/>
  <c r="AC310" i="2"/>
  <c r="AC313" i="2"/>
  <c r="AC321" i="2"/>
  <c r="AC312" i="2"/>
  <c r="AC317" i="2"/>
  <c r="AC320" i="2"/>
  <c r="AC325" i="2"/>
  <c r="BE260" i="2"/>
  <c r="AC296" i="2"/>
  <c r="Q71" i="28" s="1"/>
  <c r="AC278" i="2"/>
  <c r="Q54" i="28" s="1"/>
  <c r="AC262" i="2"/>
  <c r="Q37" i="28" s="1"/>
  <c r="AC259" i="2"/>
  <c r="Q34" i="28" s="1"/>
  <c r="AC303" i="2"/>
  <c r="Q78" i="28" s="1"/>
  <c r="AC301" i="2"/>
  <c r="Q76" i="28" s="1"/>
  <c r="AC260" i="2"/>
  <c r="Q35" i="28" s="1"/>
  <c r="AC282" i="2"/>
  <c r="Q58" i="28" s="1"/>
  <c r="AC285" i="2"/>
  <c r="Q61" i="28" s="1"/>
  <c r="AC258" i="2"/>
  <c r="Q33" i="28" s="1"/>
  <c r="AC261" i="2"/>
  <c r="Q36" i="28" s="1"/>
  <c r="AC300" i="2"/>
  <c r="Q75" i="28" s="1"/>
  <c r="AC297" i="2"/>
  <c r="Q72" i="28" s="1"/>
  <c r="AC289" i="2"/>
  <c r="Q65" i="28" s="1"/>
  <c r="AC298" i="2"/>
  <c r="Q73" i="28" s="1"/>
  <c r="AC281" i="2"/>
  <c r="Q57" i="28" s="1"/>
  <c r="AC305" i="2"/>
  <c r="Q80" i="28" s="1"/>
  <c r="AC280" i="2"/>
  <c r="Q56" i="28" s="1"/>
  <c r="AC304" i="2"/>
  <c r="Q79" i="28" s="1"/>
  <c r="AC287" i="2"/>
  <c r="Q63" i="28" s="1"/>
  <c r="AC279" i="2"/>
  <c r="Q55" i="28" s="1"/>
  <c r="AC263" i="2"/>
  <c r="Q38" i="28" s="1"/>
  <c r="AC92" i="2"/>
  <c r="AC108" i="2"/>
  <c r="AC109" i="2"/>
  <c r="AC95" i="2"/>
  <c r="AC96" i="2"/>
  <c r="AC97" i="2"/>
  <c r="AC110" i="2"/>
  <c r="AC98" i="2"/>
  <c r="AC91" i="2"/>
  <c r="AC101" i="2"/>
  <c r="AC102" i="2"/>
  <c r="AC103" i="2"/>
  <c r="AC104" i="2"/>
  <c r="AC105" i="2"/>
  <c r="AC90" i="2"/>
  <c r="AC107" i="2"/>
  <c r="AC127" i="2"/>
  <c r="AC143" i="2"/>
  <c r="AC142" i="2"/>
  <c r="AC128" i="2"/>
  <c r="AC144" i="2"/>
  <c r="AC113" i="2"/>
  <c r="AC129" i="2"/>
  <c r="AC145" i="2"/>
  <c r="AC114" i="2"/>
  <c r="AC130" i="2"/>
  <c r="AC146" i="2"/>
  <c r="AC115" i="2"/>
  <c r="AC131" i="2"/>
  <c r="AC147" i="2"/>
  <c r="AC116" i="2"/>
  <c r="AC132" i="2"/>
  <c r="AC148" i="2"/>
  <c r="AC117" i="2"/>
  <c r="AC133" i="2"/>
  <c r="AC149" i="2"/>
  <c r="AC118" i="2"/>
  <c r="AC134" i="2"/>
  <c r="AC150" i="2"/>
  <c r="AC119" i="2"/>
  <c r="AC135" i="2"/>
  <c r="AC151" i="2"/>
  <c r="AC120" i="2"/>
  <c r="AC136" i="2"/>
  <c r="AC126" i="2"/>
  <c r="AC121" i="2"/>
  <c r="AC137" i="2"/>
  <c r="AC153" i="2"/>
  <c r="AC122" i="2"/>
  <c r="AC138" i="2"/>
  <c r="AC154" i="2"/>
  <c r="AC123" i="2"/>
  <c r="AC139" i="2"/>
  <c r="AC155" i="2"/>
  <c r="AC124" i="2"/>
  <c r="AC140" i="2"/>
  <c r="AC156" i="2"/>
  <c r="AC125" i="2"/>
  <c r="AC141" i="2"/>
  <c r="AY166" i="2"/>
  <c r="AC162" i="2"/>
  <c r="AC178" i="2"/>
  <c r="AC194" i="2"/>
  <c r="AC210" i="2"/>
  <c r="AC226" i="2"/>
  <c r="AC163" i="2"/>
  <c r="AC179" i="2"/>
  <c r="AC195" i="2"/>
  <c r="AC211" i="2"/>
  <c r="AC227" i="2"/>
  <c r="AC161" i="2"/>
  <c r="AC164" i="2"/>
  <c r="AC180" i="2"/>
  <c r="AC196" i="2"/>
  <c r="AC212" i="2"/>
  <c r="AC160" i="2"/>
  <c r="AC165" i="2"/>
  <c r="AC181" i="2"/>
  <c r="AC197" i="2"/>
  <c r="AC213" i="2"/>
  <c r="AC166" i="2"/>
  <c r="AC182" i="2"/>
  <c r="AC198" i="2"/>
  <c r="AC214" i="2"/>
  <c r="AC167" i="2"/>
  <c r="AC183" i="2"/>
  <c r="AC199" i="2"/>
  <c r="AC215" i="2"/>
  <c r="AC193" i="2"/>
  <c r="AC168" i="2"/>
  <c r="AC184" i="2"/>
  <c r="AC200" i="2"/>
  <c r="AC216" i="2"/>
  <c r="AC169" i="2"/>
  <c r="AC185" i="2"/>
  <c r="AC201" i="2"/>
  <c r="AC217" i="2"/>
  <c r="AC209" i="2"/>
  <c r="AC170" i="2"/>
  <c r="AC186" i="2"/>
  <c r="AC202" i="2"/>
  <c r="AC218" i="2"/>
  <c r="AC177" i="2"/>
  <c r="AC171" i="2"/>
  <c r="AC187" i="2"/>
  <c r="AC203" i="2"/>
  <c r="AC219" i="2"/>
  <c r="AC172" i="2"/>
  <c r="AC188" i="2"/>
  <c r="AC204" i="2"/>
  <c r="AC220" i="2"/>
  <c r="AC173" i="2"/>
  <c r="AC189" i="2"/>
  <c r="AC205" i="2"/>
  <c r="AC221" i="2"/>
  <c r="AC174" i="2"/>
  <c r="AC190" i="2"/>
  <c r="AC222" i="2"/>
  <c r="AC225" i="2"/>
  <c r="AC175" i="2"/>
  <c r="AC191" i="2"/>
  <c r="AC223" i="2"/>
  <c r="AC176" i="2"/>
  <c r="AC192" i="2"/>
  <c r="AC224" i="2"/>
  <c r="I14" i="2"/>
  <c r="O14" i="2"/>
  <c r="M14" i="2"/>
  <c r="K14" i="2"/>
  <c r="AY68" i="2"/>
  <c r="AC35" i="2"/>
  <c r="AC51" i="2"/>
  <c r="AC67" i="2"/>
  <c r="AC83" i="2"/>
  <c r="AC36" i="2"/>
  <c r="AC52" i="2"/>
  <c r="AC68" i="2"/>
  <c r="AC37" i="2"/>
  <c r="AC53" i="2"/>
  <c r="AC69" i="2"/>
  <c r="AC50" i="2"/>
  <c r="AC38" i="2"/>
  <c r="AC54" i="2"/>
  <c r="AC39" i="2"/>
  <c r="AC55" i="2"/>
  <c r="AY44" i="2"/>
  <c r="AC40" i="2"/>
  <c r="AC56" i="2"/>
  <c r="AC72" i="2"/>
  <c r="AC34" i="2"/>
  <c r="AC41" i="2"/>
  <c r="AC57" i="2"/>
  <c r="AC73" i="2"/>
  <c r="AC82" i="2"/>
  <c r="AY61" i="2"/>
  <c r="AC42" i="2"/>
  <c r="AC58" i="2"/>
  <c r="AC74" i="2"/>
  <c r="AW54" i="2"/>
  <c r="AC43" i="2"/>
  <c r="AC59" i="2"/>
  <c r="AC75" i="2"/>
  <c r="AC44" i="2"/>
  <c r="AC60" i="2"/>
  <c r="AC76" i="2"/>
  <c r="AC45" i="2"/>
  <c r="AC61" i="2"/>
  <c r="AC77" i="2"/>
  <c r="AC46" i="2"/>
  <c r="AC62" i="2"/>
  <c r="AC78" i="2"/>
  <c r="AC47" i="2"/>
  <c r="AC63" i="2"/>
  <c r="AC79" i="2"/>
  <c r="AC48" i="2"/>
  <c r="AC64" i="2"/>
  <c r="AC80" i="2"/>
  <c r="AC49" i="2"/>
  <c r="AC65" i="2"/>
  <c r="AC66" i="2"/>
  <c r="B7" i="28"/>
  <c r="L2" i="2"/>
  <c r="Q2" i="2"/>
  <c r="F7" i="28"/>
  <c r="M4" i="2"/>
  <c r="X87" i="2"/>
  <c r="P2" i="2"/>
  <c r="F6" i="28"/>
  <c r="O4" i="2"/>
  <c r="AQ74" i="2"/>
  <c r="N2" i="2"/>
  <c r="F4" i="28"/>
  <c r="K4" i="2"/>
  <c r="J2" i="2"/>
  <c r="B5" i="28"/>
  <c r="I4" i="2"/>
  <c r="T90" i="2" s="1"/>
  <c r="AR178" i="2" l="1"/>
  <c r="Z405" i="2"/>
  <c r="Z413" i="2"/>
  <c r="Z394" i="2"/>
  <c r="Z395" i="2"/>
  <c r="Z402" i="2"/>
  <c r="Z412" i="2"/>
  <c r="Z416" i="2"/>
  <c r="Z420" i="2"/>
  <c r="Z424" i="2"/>
  <c r="Z434" i="2"/>
  <c r="Z417" i="2"/>
  <c r="Z408" i="2"/>
  <c r="Z399" i="2"/>
  <c r="Z431" i="2"/>
  <c r="Z421" i="2"/>
  <c r="Z419" i="2"/>
  <c r="Z427" i="2"/>
  <c r="Z409" i="2"/>
  <c r="Z428" i="2"/>
  <c r="Z406" i="2"/>
  <c r="Z407" i="2"/>
  <c r="Z398" i="2"/>
  <c r="Z396" i="2"/>
  <c r="Z425" i="2"/>
  <c r="Z423" i="2"/>
  <c r="Z403" i="2"/>
  <c r="Z435" i="2"/>
  <c r="Z392" i="2"/>
  <c r="Z400" i="2"/>
  <c r="Z432" i="2"/>
  <c r="Z404" i="2"/>
  <c r="Z430" i="2"/>
  <c r="Z393" i="2"/>
  <c r="Z397" i="2"/>
  <c r="Z410" i="2"/>
  <c r="Z414" i="2"/>
  <c r="Z418" i="2"/>
  <c r="Z422" i="2"/>
  <c r="Z429" i="2"/>
  <c r="Z426" i="2"/>
  <c r="Z415" i="2"/>
  <c r="Z401" i="2"/>
  <c r="Z433" i="2"/>
  <c r="Z411" i="2"/>
  <c r="T395" i="2"/>
  <c r="T411" i="2"/>
  <c r="T427" i="2"/>
  <c r="T404" i="2"/>
  <c r="T420" i="2"/>
  <c r="T397" i="2"/>
  <c r="T413" i="2"/>
  <c r="T429" i="2"/>
  <c r="T406" i="2"/>
  <c r="T422" i="2"/>
  <c r="T421" i="2"/>
  <c r="T399" i="2"/>
  <c r="T415" i="2"/>
  <c r="T431" i="2"/>
  <c r="T408" i="2"/>
  <c r="T424" i="2"/>
  <c r="T393" i="2"/>
  <c r="T425" i="2"/>
  <c r="T434" i="2"/>
  <c r="T401" i="2"/>
  <c r="T417" i="2"/>
  <c r="T433" i="2"/>
  <c r="T416" i="2"/>
  <c r="T394" i="2"/>
  <c r="T410" i="2"/>
  <c r="T426" i="2"/>
  <c r="T403" i="2"/>
  <c r="T419" i="2"/>
  <c r="T435" i="2"/>
  <c r="T402" i="2"/>
  <c r="T396" i="2"/>
  <c r="T412" i="2"/>
  <c r="T428" i="2"/>
  <c r="T432" i="2"/>
  <c r="T409" i="2"/>
  <c r="T418" i="2"/>
  <c r="T405" i="2"/>
  <c r="T398" i="2"/>
  <c r="T414" i="2"/>
  <c r="T430" i="2"/>
  <c r="T407" i="2"/>
  <c r="T423" i="2"/>
  <c r="T400" i="2"/>
  <c r="V393" i="2"/>
  <c r="V409" i="2"/>
  <c r="V425" i="2"/>
  <c r="V402" i="2"/>
  <c r="V418" i="2"/>
  <c r="V434" i="2"/>
  <c r="V407" i="2"/>
  <c r="V395" i="2"/>
  <c r="V411" i="2"/>
  <c r="V427" i="2"/>
  <c r="V435" i="2"/>
  <c r="V423" i="2"/>
  <c r="V404" i="2"/>
  <c r="V420" i="2"/>
  <c r="V430" i="2"/>
  <c r="V416" i="2"/>
  <c r="V397" i="2"/>
  <c r="V413" i="2"/>
  <c r="V429" i="2"/>
  <c r="V406" i="2"/>
  <c r="V422" i="2"/>
  <c r="V419" i="2"/>
  <c r="V399" i="2"/>
  <c r="V415" i="2"/>
  <c r="V431" i="2"/>
  <c r="V408" i="2"/>
  <c r="V424" i="2"/>
  <c r="V432" i="2"/>
  <c r="V401" i="2"/>
  <c r="V417" i="2"/>
  <c r="V433" i="2"/>
  <c r="V394" i="2"/>
  <c r="V410" i="2"/>
  <c r="V426" i="2"/>
  <c r="V400" i="2"/>
  <c r="V403" i="2"/>
  <c r="V396" i="2"/>
  <c r="V412" i="2"/>
  <c r="V428" i="2"/>
  <c r="V405" i="2"/>
  <c r="V421" i="2"/>
  <c r="V398" i="2"/>
  <c r="V414" i="2"/>
  <c r="X423" i="2"/>
  <c r="X412" i="2"/>
  <c r="X416" i="2"/>
  <c r="X393" i="2"/>
  <c r="X425" i="2"/>
  <c r="X418" i="2"/>
  <c r="X430" i="2"/>
  <c r="X395" i="2"/>
  <c r="X411" i="2"/>
  <c r="X420" i="2"/>
  <c r="X397" i="2"/>
  <c r="X413" i="2"/>
  <c r="X414" i="2"/>
  <c r="X422" i="2"/>
  <c r="X415" i="2"/>
  <c r="X417" i="2"/>
  <c r="X421" i="2"/>
  <c r="X424" i="2"/>
  <c r="X394" i="2"/>
  <c r="X419" i="2"/>
  <c r="X396" i="2"/>
  <c r="X398" i="2"/>
  <c r="T392" i="2"/>
  <c r="V392" i="2"/>
  <c r="Z291" i="2"/>
  <c r="N67" i="28" s="1"/>
  <c r="Z290" i="2"/>
  <c r="N66" i="28" s="1"/>
  <c r="Z286" i="2"/>
  <c r="N62" i="28" s="1"/>
  <c r="Z288" i="2"/>
  <c r="N64" i="28" s="1"/>
  <c r="BC281" i="2"/>
  <c r="X291" i="2"/>
  <c r="L67" i="28" s="1"/>
  <c r="X286" i="2"/>
  <c r="L62" i="28" s="1"/>
  <c r="X272" i="2"/>
  <c r="L48" i="28" s="1"/>
  <c r="X288" i="2"/>
  <c r="L64" i="28" s="1"/>
  <c r="X290" i="2"/>
  <c r="L66" i="28" s="1"/>
  <c r="V286" i="2"/>
  <c r="J62" i="28" s="1"/>
  <c r="V291" i="2"/>
  <c r="J67" i="28" s="1"/>
  <c r="V272" i="2"/>
  <c r="J48" i="28" s="1"/>
  <c r="V290" i="2"/>
  <c r="J66" i="28" s="1"/>
  <c r="V288" i="2"/>
  <c r="J64" i="28" s="1"/>
  <c r="T286" i="2"/>
  <c r="H62" i="28" s="1"/>
  <c r="T291" i="2"/>
  <c r="H67" i="28" s="1"/>
  <c r="T290" i="2"/>
  <c r="H66" i="28" s="1"/>
  <c r="T272" i="2"/>
  <c r="H48" i="28" s="1"/>
  <c r="T288" i="2"/>
  <c r="H64" i="28" s="1"/>
  <c r="N8" i="2"/>
  <c r="N5" i="2"/>
  <c r="N13" i="2"/>
  <c r="N11" i="2"/>
  <c r="N3" i="2"/>
  <c r="N7" i="2"/>
  <c r="N10" i="2"/>
  <c r="N9" i="2"/>
  <c r="N6" i="2"/>
  <c r="Q8" i="2"/>
  <c r="BD260" i="2" s="1"/>
  <c r="Q7" i="2"/>
  <c r="AS245" i="2" s="1"/>
  <c r="Q6" i="2"/>
  <c r="Q5" i="2"/>
  <c r="Q13" i="2"/>
  <c r="Q11" i="2"/>
  <c r="Q3" i="2"/>
  <c r="Q10" i="2"/>
  <c r="Q9" i="2"/>
  <c r="J8" i="2"/>
  <c r="J13" i="2"/>
  <c r="J3" i="2"/>
  <c r="J6" i="2"/>
  <c r="J11" i="2"/>
  <c r="J10" i="2"/>
  <c r="J9" i="2"/>
  <c r="J7" i="2"/>
  <c r="J5" i="2"/>
  <c r="P10" i="2"/>
  <c r="P9" i="2"/>
  <c r="P8" i="2"/>
  <c r="P7" i="2"/>
  <c r="P6" i="2"/>
  <c r="P5" i="2"/>
  <c r="P13" i="2"/>
  <c r="P11" i="2"/>
  <c r="P3" i="2"/>
  <c r="L5" i="2"/>
  <c r="L3" i="2"/>
  <c r="L7" i="2"/>
  <c r="L6" i="2"/>
  <c r="L13" i="2"/>
  <c r="L11" i="2"/>
  <c r="L10" i="2"/>
  <c r="L9" i="2"/>
  <c r="L8" i="2"/>
  <c r="Z362" i="2"/>
  <c r="Z355" i="2"/>
  <c r="Z364" i="2"/>
  <c r="Z357" i="2"/>
  <c r="Z366" i="2"/>
  <c r="Z359" i="2"/>
  <c r="Z361" i="2"/>
  <c r="Z354" i="2"/>
  <c r="Z356" i="2"/>
  <c r="Z358" i="2"/>
  <c r="Z371" i="2"/>
  <c r="Z387" i="2"/>
  <c r="Z380" i="2"/>
  <c r="Z360" i="2"/>
  <c r="Z365" i="2"/>
  <c r="Z373" i="2"/>
  <c r="Z389" i="2"/>
  <c r="Z382" i="2"/>
  <c r="Z375" i="2"/>
  <c r="Z384" i="2"/>
  <c r="Z368" i="2"/>
  <c r="Z377" i="2"/>
  <c r="Z370" i="2"/>
  <c r="Z386" i="2"/>
  <c r="Z379" i="2"/>
  <c r="Z369" i="2"/>
  <c r="Z372" i="2"/>
  <c r="Z388" i="2"/>
  <c r="Z381" i="2"/>
  <c r="Z363" i="2"/>
  <c r="Z374" i="2"/>
  <c r="Z383" i="2"/>
  <c r="Z376" i="2"/>
  <c r="Z367" i="2"/>
  <c r="Z385" i="2"/>
  <c r="Z378" i="2"/>
  <c r="T365" i="2"/>
  <c r="T381" i="2"/>
  <c r="T366" i="2"/>
  <c r="T382" i="2"/>
  <c r="T380" i="2"/>
  <c r="T367" i="2"/>
  <c r="T383" i="2"/>
  <c r="T368" i="2"/>
  <c r="T384" i="2"/>
  <c r="T369" i="2"/>
  <c r="T385" i="2"/>
  <c r="T370" i="2"/>
  <c r="T386" i="2"/>
  <c r="T355" i="2"/>
  <c r="T371" i="2"/>
  <c r="T387" i="2"/>
  <c r="T364" i="2"/>
  <c r="T356" i="2"/>
  <c r="T372" i="2"/>
  <c r="T388" i="2"/>
  <c r="T357" i="2"/>
  <c r="T373" i="2"/>
  <c r="T389" i="2"/>
  <c r="T358" i="2"/>
  <c r="T374" i="2"/>
  <c r="T354" i="2"/>
  <c r="T359" i="2"/>
  <c r="T375" i="2"/>
  <c r="T360" i="2"/>
  <c r="T376" i="2"/>
  <c r="T361" i="2"/>
  <c r="T377" i="2"/>
  <c r="T362" i="2"/>
  <c r="T378" i="2"/>
  <c r="T363" i="2"/>
  <c r="T379" i="2"/>
  <c r="V366" i="2"/>
  <c r="V359" i="2"/>
  <c r="V361" i="2"/>
  <c r="V354" i="2"/>
  <c r="V370" i="2"/>
  <c r="V363" i="2"/>
  <c r="V356" i="2"/>
  <c r="V365" i="2"/>
  <c r="V358" i="2"/>
  <c r="V360" i="2"/>
  <c r="V362" i="2"/>
  <c r="V375" i="2"/>
  <c r="V384" i="2"/>
  <c r="V377" i="2"/>
  <c r="V368" i="2"/>
  <c r="V386" i="2"/>
  <c r="V382" i="2"/>
  <c r="V379" i="2"/>
  <c r="V357" i="2"/>
  <c r="V372" i="2"/>
  <c r="V388" i="2"/>
  <c r="V381" i="2"/>
  <c r="V374" i="2"/>
  <c r="V383" i="2"/>
  <c r="V376" i="2"/>
  <c r="V385" i="2"/>
  <c r="V367" i="2"/>
  <c r="V369" i="2"/>
  <c r="V378" i="2"/>
  <c r="V371" i="2"/>
  <c r="V387" i="2"/>
  <c r="V355" i="2"/>
  <c r="V380" i="2"/>
  <c r="V364" i="2"/>
  <c r="V373" i="2"/>
  <c r="V389" i="2"/>
  <c r="V310" i="2"/>
  <c r="V314" i="2"/>
  <c r="V318" i="2"/>
  <c r="V322" i="2"/>
  <c r="V308" i="2"/>
  <c r="V313" i="2"/>
  <c r="V317" i="2"/>
  <c r="V311" i="2"/>
  <c r="V315" i="2"/>
  <c r="V319" i="2"/>
  <c r="V323" i="2"/>
  <c r="V309" i="2"/>
  <c r="V325" i="2"/>
  <c r="V312" i="2"/>
  <c r="V316" i="2"/>
  <c r="V320" i="2"/>
  <c r="V324" i="2"/>
  <c r="V321" i="2"/>
  <c r="T314" i="2"/>
  <c r="T321" i="2"/>
  <c r="T316" i="2"/>
  <c r="T312" i="2"/>
  <c r="T323" i="2"/>
  <c r="T319" i="2"/>
  <c r="T310" i="2"/>
  <c r="T325" i="2"/>
  <c r="T317" i="2"/>
  <c r="T324" i="2"/>
  <c r="T315" i="2"/>
  <c r="T322" i="2"/>
  <c r="T313" i="2"/>
  <c r="T320" i="2"/>
  <c r="T311" i="2"/>
  <c r="T308" i="2"/>
  <c r="T318" i="2"/>
  <c r="T309" i="2"/>
  <c r="Z321" i="2"/>
  <c r="Z314" i="2"/>
  <c r="Z323" i="2"/>
  <c r="Z316" i="2"/>
  <c r="Z309" i="2"/>
  <c r="Z308" i="2"/>
  <c r="Z318" i="2"/>
  <c r="Z311" i="2"/>
  <c r="Z320" i="2"/>
  <c r="Z313" i="2"/>
  <c r="Z322" i="2"/>
  <c r="Z325" i="2"/>
  <c r="Z315" i="2"/>
  <c r="Z324" i="2"/>
  <c r="Z317" i="2"/>
  <c r="Z310" i="2"/>
  <c r="Z319" i="2"/>
  <c r="Z312" i="2"/>
  <c r="AP163" i="2"/>
  <c r="BB260" i="2"/>
  <c r="AQ273" i="2"/>
  <c r="AV260" i="2"/>
  <c r="AY281" i="2"/>
  <c r="AY277" i="2"/>
  <c r="AQ253" i="2"/>
  <c r="AQ265" i="2"/>
  <c r="AQ260" i="2"/>
  <c r="AP260" i="2"/>
  <c r="M265" i="2"/>
  <c r="X265" i="2" s="1"/>
  <c r="L40" i="28" s="1"/>
  <c r="V264" i="2"/>
  <c r="J39" i="28" s="1"/>
  <c r="K268" i="2"/>
  <c r="V261" i="2"/>
  <c r="J36" i="28" s="1"/>
  <c r="V269" i="2"/>
  <c r="J44" i="28" s="1"/>
  <c r="V277" i="2"/>
  <c r="J53" i="28" s="1"/>
  <c r="V285" i="2"/>
  <c r="J61" i="28" s="1"/>
  <c r="V293" i="2"/>
  <c r="J69" i="28" s="1"/>
  <c r="V301" i="2"/>
  <c r="J76" i="28" s="1"/>
  <c r="K271" i="2"/>
  <c r="V271" i="2" s="1"/>
  <c r="J47" i="28" s="1"/>
  <c r="K266" i="2"/>
  <c r="V266" i="2" s="1"/>
  <c r="J41" i="28" s="1"/>
  <c r="V274" i="2"/>
  <c r="J50" i="28" s="1"/>
  <c r="V282" i="2"/>
  <c r="J58" i="28" s="1"/>
  <c r="V298" i="2"/>
  <c r="J73" i="28" s="1"/>
  <c r="K265" i="2"/>
  <c r="V265" i="2" s="1"/>
  <c r="J40" i="28" s="1"/>
  <c r="V263" i="2"/>
  <c r="J38" i="28" s="1"/>
  <c r="V279" i="2"/>
  <c r="J55" i="28" s="1"/>
  <c r="V287" i="2"/>
  <c r="J63" i="28" s="1"/>
  <c r="V295" i="2"/>
  <c r="J70" i="28" s="1"/>
  <c r="V303" i="2"/>
  <c r="J78" i="28" s="1"/>
  <c r="V260" i="2"/>
  <c r="J35" i="28" s="1"/>
  <c r="V276" i="2"/>
  <c r="J52" i="28" s="1"/>
  <c r="V284" i="2"/>
  <c r="J60" i="28" s="1"/>
  <c r="V292" i="2"/>
  <c r="J68" i="28" s="1"/>
  <c r="V300" i="2"/>
  <c r="J75" i="28" s="1"/>
  <c r="V280" i="2"/>
  <c r="J56" i="28" s="1"/>
  <c r="V304" i="2"/>
  <c r="J79" i="28" s="1"/>
  <c r="V273" i="2"/>
  <c r="J49" i="28" s="1"/>
  <c r="V281" i="2"/>
  <c r="J57" i="28" s="1"/>
  <c r="V289" i="2"/>
  <c r="J65" i="28" s="1"/>
  <c r="V297" i="2"/>
  <c r="J72" i="28" s="1"/>
  <c r="V305" i="2"/>
  <c r="J80" i="28" s="1"/>
  <c r="M294" i="2"/>
  <c r="X294" i="2" s="1"/>
  <c r="L45" i="28" s="1"/>
  <c r="V258" i="2"/>
  <c r="J33" i="28" s="1"/>
  <c r="K294" i="2"/>
  <c r="V294" i="2" s="1"/>
  <c r="J45" i="28" s="1"/>
  <c r="V262" i="2"/>
  <c r="J37" i="28" s="1"/>
  <c r="V270" i="2"/>
  <c r="J46" i="28" s="1"/>
  <c r="V278" i="2"/>
  <c r="J54" i="28" s="1"/>
  <c r="V302" i="2"/>
  <c r="J77" i="28" s="1"/>
  <c r="M268" i="2"/>
  <c r="X268" i="2" s="1"/>
  <c r="L43" i="28" s="1"/>
  <c r="M271" i="2"/>
  <c r="M266" i="2"/>
  <c r="X266" i="2" s="1"/>
  <c r="L41" i="28" s="1"/>
  <c r="V259" i="2"/>
  <c r="J34" i="28" s="1"/>
  <c r="V267" i="2"/>
  <c r="J42" i="28" s="1"/>
  <c r="V275" i="2"/>
  <c r="J51" i="28" s="1"/>
  <c r="V283" i="2"/>
  <c r="J59" i="28" s="1"/>
  <c r="V299" i="2"/>
  <c r="J74" i="28" s="1"/>
  <c r="M267" i="2"/>
  <c r="X267" i="2" s="1"/>
  <c r="L42" i="28" s="1"/>
  <c r="V296" i="2"/>
  <c r="J71" i="28" s="1"/>
  <c r="X100" i="2"/>
  <c r="X101" i="2"/>
  <c r="X102" i="2"/>
  <c r="X103" i="2"/>
  <c r="X104" i="2"/>
  <c r="X105" i="2"/>
  <c r="X106" i="2"/>
  <c r="X91" i="2"/>
  <c r="X107" i="2"/>
  <c r="X99" i="2"/>
  <c r="X92" i="2"/>
  <c r="X108" i="2"/>
  <c r="X93" i="2"/>
  <c r="X109" i="2"/>
  <c r="X94" i="2"/>
  <c r="X110" i="2"/>
  <c r="X95" i="2"/>
  <c r="X90" i="2"/>
  <c r="X96" i="2"/>
  <c r="X97" i="2"/>
  <c r="X98" i="2"/>
  <c r="X299" i="2"/>
  <c r="L74" i="28" s="1"/>
  <c r="X264" i="2"/>
  <c r="L39" i="28" s="1"/>
  <c r="X280" i="2"/>
  <c r="L56" i="28" s="1"/>
  <c r="X296" i="2"/>
  <c r="L71" i="28" s="1"/>
  <c r="X304" i="2"/>
  <c r="L79" i="28" s="1"/>
  <c r="X261" i="2"/>
  <c r="L36" i="28" s="1"/>
  <c r="X269" i="2"/>
  <c r="L44" i="28" s="1"/>
  <c r="X277" i="2"/>
  <c r="L53" i="28" s="1"/>
  <c r="X285" i="2"/>
  <c r="L61" i="28" s="1"/>
  <c r="X293" i="2"/>
  <c r="L69" i="28" s="1"/>
  <c r="X301" i="2"/>
  <c r="L76" i="28" s="1"/>
  <c r="X274" i="2"/>
  <c r="L50" i="28" s="1"/>
  <c r="X282" i="2"/>
  <c r="L58" i="28" s="1"/>
  <c r="X298" i="2"/>
  <c r="L73" i="28" s="1"/>
  <c r="X283" i="2"/>
  <c r="L59" i="28" s="1"/>
  <c r="X258" i="2"/>
  <c r="L33" i="28" s="1"/>
  <c r="X263" i="2"/>
  <c r="L38" i="28" s="1"/>
  <c r="X279" i="2"/>
  <c r="L55" i="28" s="1"/>
  <c r="X287" i="2"/>
  <c r="L63" i="28" s="1"/>
  <c r="X295" i="2"/>
  <c r="L70" i="28" s="1"/>
  <c r="X303" i="2"/>
  <c r="L78" i="28" s="1"/>
  <c r="X260" i="2"/>
  <c r="L35" i="28" s="1"/>
  <c r="X276" i="2"/>
  <c r="L52" i="28" s="1"/>
  <c r="X284" i="2"/>
  <c r="L60" i="28" s="1"/>
  <c r="X292" i="2"/>
  <c r="L68" i="28" s="1"/>
  <c r="X300" i="2"/>
  <c r="L75" i="28" s="1"/>
  <c r="X259" i="2"/>
  <c r="L34" i="28" s="1"/>
  <c r="X275" i="2"/>
  <c r="L51" i="28" s="1"/>
  <c r="X273" i="2"/>
  <c r="L49" i="28" s="1"/>
  <c r="X281" i="2"/>
  <c r="L57" i="28" s="1"/>
  <c r="X289" i="2"/>
  <c r="L65" i="28" s="1"/>
  <c r="X297" i="2"/>
  <c r="L72" i="28" s="1"/>
  <c r="X305" i="2"/>
  <c r="L80" i="28" s="1"/>
  <c r="X262" i="2"/>
  <c r="L37" i="28" s="1"/>
  <c r="X270" i="2"/>
  <c r="L46" i="28" s="1"/>
  <c r="X278" i="2"/>
  <c r="L54" i="28" s="1"/>
  <c r="X302" i="2"/>
  <c r="L77" i="28" s="1"/>
  <c r="AT178" i="2"/>
  <c r="X174" i="2"/>
  <c r="X190" i="2"/>
  <c r="X206" i="2"/>
  <c r="X222" i="2"/>
  <c r="X205" i="2"/>
  <c r="X175" i="2"/>
  <c r="X191" i="2"/>
  <c r="X223" i="2"/>
  <c r="X176" i="2"/>
  <c r="X192" i="2"/>
  <c r="X208" i="2"/>
  <c r="X224" i="2"/>
  <c r="X189" i="2"/>
  <c r="X161" i="2"/>
  <c r="X177" i="2"/>
  <c r="X193" i="2"/>
  <c r="X209" i="2"/>
  <c r="X225" i="2"/>
  <c r="X162" i="2"/>
  <c r="X178" i="2"/>
  <c r="X194" i="2"/>
  <c r="X210" i="2"/>
  <c r="X226" i="2"/>
  <c r="X163" i="2"/>
  <c r="X179" i="2"/>
  <c r="X195" i="2"/>
  <c r="X211" i="2"/>
  <c r="X227" i="2"/>
  <c r="X164" i="2"/>
  <c r="X196" i="2"/>
  <c r="X212" i="2"/>
  <c r="X221" i="2"/>
  <c r="X165" i="2"/>
  <c r="X181" i="2"/>
  <c r="X213" i="2"/>
  <c r="X160" i="2"/>
  <c r="X166" i="2"/>
  <c r="X182" i="2"/>
  <c r="X198" i="2"/>
  <c r="X214" i="2"/>
  <c r="X167" i="2"/>
  <c r="X199" i="2"/>
  <c r="X215" i="2"/>
  <c r="X173" i="2"/>
  <c r="X168" i="2"/>
  <c r="X184" i="2"/>
  <c r="X200" i="2"/>
  <c r="X169" i="2"/>
  <c r="X185" i="2"/>
  <c r="X201" i="2"/>
  <c r="X217" i="2"/>
  <c r="X170" i="2"/>
  <c r="X186" i="2"/>
  <c r="X202" i="2"/>
  <c r="X218" i="2"/>
  <c r="X171" i="2"/>
  <c r="X187" i="2"/>
  <c r="X203" i="2"/>
  <c r="X219" i="2"/>
  <c r="X172" i="2"/>
  <c r="X188" i="2"/>
  <c r="X204" i="2"/>
  <c r="X220" i="2"/>
  <c r="T266" i="2"/>
  <c r="H41" i="28" s="1"/>
  <c r="T274" i="2"/>
  <c r="H50" i="28" s="1"/>
  <c r="T282" i="2"/>
  <c r="H58" i="28" s="1"/>
  <c r="T298" i="2"/>
  <c r="H73" i="28" s="1"/>
  <c r="T285" i="2"/>
  <c r="H61" i="28" s="1"/>
  <c r="T293" i="2"/>
  <c r="H69" i="28" s="1"/>
  <c r="T301" i="2"/>
  <c r="H76" i="28" s="1"/>
  <c r="T263" i="2"/>
  <c r="H38" i="28" s="1"/>
  <c r="T271" i="2"/>
  <c r="H47" i="28" s="1"/>
  <c r="T279" i="2"/>
  <c r="H55" i="28" s="1"/>
  <c r="T287" i="2"/>
  <c r="H63" i="28" s="1"/>
  <c r="T295" i="2"/>
  <c r="H70" i="28" s="1"/>
  <c r="T303" i="2"/>
  <c r="H78" i="28" s="1"/>
  <c r="T277" i="2"/>
  <c r="H53" i="28" s="1"/>
  <c r="T260" i="2"/>
  <c r="H35" i="28" s="1"/>
  <c r="T268" i="2"/>
  <c r="H43" i="28" s="1"/>
  <c r="T276" i="2"/>
  <c r="H52" i="28" s="1"/>
  <c r="T284" i="2"/>
  <c r="H60" i="28" s="1"/>
  <c r="T292" i="2"/>
  <c r="H68" i="28" s="1"/>
  <c r="T300" i="2"/>
  <c r="H75" i="28" s="1"/>
  <c r="T269" i="2"/>
  <c r="H44" i="28" s="1"/>
  <c r="T265" i="2"/>
  <c r="H40" i="28" s="1"/>
  <c r="T273" i="2"/>
  <c r="H49" i="28" s="1"/>
  <c r="T281" i="2"/>
  <c r="H57" i="28" s="1"/>
  <c r="T289" i="2"/>
  <c r="H65" i="28" s="1"/>
  <c r="T297" i="2"/>
  <c r="H72" i="28" s="1"/>
  <c r="T305" i="2"/>
  <c r="H80" i="28" s="1"/>
  <c r="T262" i="2"/>
  <c r="H37" i="28" s="1"/>
  <c r="T270" i="2"/>
  <c r="H46" i="28" s="1"/>
  <c r="T278" i="2"/>
  <c r="H54" i="28" s="1"/>
  <c r="T294" i="2"/>
  <c r="H45" i="28" s="1"/>
  <c r="T302" i="2"/>
  <c r="H77" i="28" s="1"/>
  <c r="T259" i="2"/>
  <c r="H34" i="28" s="1"/>
  <c r="T267" i="2"/>
  <c r="H42" i="28" s="1"/>
  <c r="T275" i="2"/>
  <c r="H51" i="28" s="1"/>
  <c r="T283" i="2"/>
  <c r="H59" i="28" s="1"/>
  <c r="T299" i="2"/>
  <c r="H74" i="28" s="1"/>
  <c r="T258" i="2"/>
  <c r="H33" i="28" s="1"/>
  <c r="T261" i="2"/>
  <c r="H36" i="28" s="1"/>
  <c r="T264" i="2"/>
  <c r="H39" i="28" s="1"/>
  <c r="T280" i="2"/>
  <c r="H56" i="28" s="1"/>
  <c r="T296" i="2"/>
  <c r="H71" i="28" s="1"/>
  <c r="T304" i="2"/>
  <c r="H79" i="28" s="1"/>
  <c r="X121" i="2"/>
  <c r="X137" i="2"/>
  <c r="X153" i="2"/>
  <c r="X122" i="2"/>
  <c r="X138" i="2"/>
  <c r="X154" i="2"/>
  <c r="X152" i="2"/>
  <c r="X123" i="2"/>
  <c r="X139" i="2"/>
  <c r="X155" i="2"/>
  <c r="X124" i="2"/>
  <c r="X140" i="2"/>
  <c r="X156" i="2"/>
  <c r="X125" i="2"/>
  <c r="X141" i="2"/>
  <c r="X157" i="2"/>
  <c r="X126" i="2"/>
  <c r="X142" i="2"/>
  <c r="X113" i="2"/>
  <c r="X120" i="2"/>
  <c r="X127" i="2"/>
  <c r="X143" i="2"/>
  <c r="X128" i="2"/>
  <c r="X144" i="2"/>
  <c r="X129" i="2"/>
  <c r="X145" i="2"/>
  <c r="X114" i="2"/>
  <c r="X130" i="2"/>
  <c r="X146" i="2"/>
  <c r="X115" i="2"/>
  <c r="X131" i="2"/>
  <c r="X147" i="2"/>
  <c r="X116" i="2"/>
  <c r="X132" i="2"/>
  <c r="X148" i="2"/>
  <c r="X117" i="2"/>
  <c r="X133" i="2"/>
  <c r="X149" i="2"/>
  <c r="X136" i="2"/>
  <c r="X118" i="2"/>
  <c r="X134" i="2"/>
  <c r="X150" i="2"/>
  <c r="X119" i="2"/>
  <c r="X135" i="2"/>
  <c r="X151" i="2"/>
  <c r="AT253" i="2"/>
  <c r="X241" i="2"/>
  <c r="X242" i="2"/>
  <c r="X243" i="2"/>
  <c r="X244" i="2"/>
  <c r="X245" i="2"/>
  <c r="X230" i="2"/>
  <c r="X248" i="2"/>
  <c r="X249" i="2"/>
  <c r="X234" i="2"/>
  <c r="X250" i="2"/>
  <c r="X235" i="2"/>
  <c r="X251" i="2"/>
  <c r="X236" i="2"/>
  <c r="X237" i="2"/>
  <c r="X253" i="2"/>
  <c r="X238" i="2"/>
  <c r="X255" i="2"/>
  <c r="X240" i="2"/>
  <c r="Z259" i="2"/>
  <c r="N34" i="28" s="1"/>
  <c r="Z267" i="2"/>
  <c r="N42" i="28" s="1"/>
  <c r="Z275" i="2"/>
  <c r="N51" i="28" s="1"/>
  <c r="Z283" i="2"/>
  <c r="N59" i="28" s="1"/>
  <c r="Z299" i="2"/>
  <c r="N74" i="28" s="1"/>
  <c r="Z258" i="2"/>
  <c r="N33" i="28" s="1"/>
  <c r="Z264" i="2"/>
  <c r="N39" i="28" s="1"/>
  <c r="Z280" i="2"/>
  <c r="N56" i="28" s="1"/>
  <c r="Z296" i="2"/>
  <c r="N71" i="28" s="1"/>
  <c r="Z304" i="2"/>
  <c r="N79" i="28" s="1"/>
  <c r="Z261" i="2"/>
  <c r="N36" i="28" s="1"/>
  <c r="Z269" i="2"/>
  <c r="N44" i="28" s="1"/>
  <c r="Z277" i="2"/>
  <c r="N53" i="28" s="1"/>
  <c r="Z285" i="2"/>
  <c r="N61" i="28" s="1"/>
  <c r="Z293" i="2"/>
  <c r="N69" i="28" s="1"/>
  <c r="Z301" i="2"/>
  <c r="N76" i="28" s="1"/>
  <c r="Z266" i="2"/>
  <c r="N41" i="28" s="1"/>
  <c r="Z274" i="2"/>
  <c r="N50" i="28" s="1"/>
  <c r="Z282" i="2"/>
  <c r="N58" i="28" s="1"/>
  <c r="Z298" i="2"/>
  <c r="N73" i="28" s="1"/>
  <c r="Z262" i="2"/>
  <c r="N37" i="28" s="1"/>
  <c r="Z263" i="2"/>
  <c r="N38" i="28" s="1"/>
  <c r="Z271" i="2"/>
  <c r="N47" i="28" s="1"/>
  <c r="Z279" i="2"/>
  <c r="N55" i="28" s="1"/>
  <c r="Z287" i="2"/>
  <c r="N63" i="28" s="1"/>
  <c r="Z295" i="2"/>
  <c r="N70" i="28" s="1"/>
  <c r="Z303" i="2"/>
  <c r="N78" i="28" s="1"/>
  <c r="Z302" i="2"/>
  <c r="N77" i="28" s="1"/>
  <c r="Z260" i="2"/>
  <c r="N35" i="28" s="1"/>
  <c r="Z268" i="2"/>
  <c r="N43" i="28" s="1"/>
  <c r="Z276" i="2"/>
  <c r="N52" i="28" s="1"/>
  <c r="Z284" i="2"/>
  <c r="N60" i="28" s="1"/>
  <c r="Z292" i="2"/>
  <c r="N68" i="28" s="1"/>
  <c r="Z300" i="2"/>
  <c r="N75" i="28" s="1"/>
  <c r="Z278" i="2"/>
  <c r="N54" i="28" s="1"/>
  <c r="Z265" i="2"/>
  <c r="N40" i="28" s="1"/>
  <c r="Z273" i="2"/>
  <c r="N49" i="28" s="1"/>
  <c r="Z281" i="2"/>
  <c r="N57" i="28" s="1"/>
  <c r="Z289" i="2"/>
  <c r="N65" i="28" s="1"/>
  <c r="Z297" i="2"/>
  <c r="N72" i="28" s="1"/>
  <c r="Z305" i="2"/>
  <c r="N80" i="28" s="1"/>
  <c r="Z270" i="2"/>
  <c r="N46" i="28" s="1"/>
  <c r="T230" i="2"/>
  <c r="T238" i="2"/>
  <c r="T254" i="2"/>
  <c r="T243" i="2"/>
  <c r="T233" i="2"/>
  <c r="T249" i="2"/>
  <c r="T244" i="2"/>
  <c r="T239" i="2"/>
  <c r="T255" i="2"/>
  <c r="T234" i="2"/>
  <c r="T250" i="2"/>
  <c r="T245" i="2"/>
  <c r="T240" i="2"/>
  <c r="T248" i="2"/>
  <c r="T235" i="2"/>
  <c r="T251" i="2"/>
  <c r="T232" i="2"/>
  <c r="T246" i="2"/>
  <c r="T241" i="2"/>
  <c r="T236" i="2"/>
  <c r="T252" i="2"/>
  <c r="T231" i="2"/>
  <c r="T247" i="2"/>
  <c r="T242" i="2"/>
  <c r="T237" i="2"/>
  <c r="T253" i="2"/>
  <c r="L14" i="2"/>
  <c r="AQ224" i="2"/>
  <c r="AQ241" i="2"/>
  <c r="AQ249" i="2"/>
  <c r="AQ236" i="2"/>
  <c r="AQ245" i="2"/>
  <c r="AQ228" i="2"/>
  <c r="AQ232" i="2"/>
  <c r="AT245" i="2"/>
  <c r="AT228" i="2"/>
  <c r="AT232" i="2"/>
  <c r="AQ58" i="2"/>
  <c r="AQ51" i="2"/>
  <c r="AQ38" i="2"/>
  <c r="AQ171" i="2"/>
  <c r="AV178" i="2"/>
  <c r="Q14" i="2"/>
  <c r="P14" i="2"/>
  <c r="Z243" i="2"/>
  <c r="Z251" i="2"/>
  <c r="Z237" i="2"/>
  <c r="Z238" i="2"/>
  <c r="Z248" i="2"/>
  <c r="Z245" i="2"/>
  <c r="Z241" i="2"/>
  <c r="Z249" i="2"/>
  <c r="Z253" i="2"/>
  <c r="Z244" i="2"/>
  <c r="Z230" i="2"/>
  <c r="Z242" i="2"/>
  <c r="Z240" i="2"/>
  <c r="N14" i="2"/>
  <c r="AT224" i="2"/>
  <c r="V243" i="2"/>
  <c r="V236" i="2"/>
  <c r="V252" i="2"/>
  <c r="V245" i="2"/>
  <c r="V234" i="2"/>
  <c r="V238" i="2"/>
  <c r="V254" i="2"/>
  <c r="V231" i="2"/>
  <c r="V247" i="2"/>
  <c r="V230" i="2"/>
  <c r="V240" i="2"/>
  <c r="V233" i="2"/>
  <c r="V249" i="2"/>
  <c r="V242" i="2"/>
  <c r="V235" i="2"/>
  <c r="V251" i="2"/>
  <c r="V244" i="2"/>
  <c r="V248" i="2"/>
  <c r="V250" i="2"/>
  <c r="V237" i="2"/>
  <c r="V253" i="2"/>
  <c r="V232" i="2"/>
  <c r="V246" i="2"/>
  <c r="V239" i="2"/>
  <c r="V255" i="2"/>
  <c r="V241" i="2"/>
  <c r="J14" i="2"/>
  <c r="Z201" i="2"/>
  <c r="Z200" i="2"/>
  <c r="F3" i="6"/>
  <c r="M394" i="6" s="1"/>
  <c r="V200" i="2"/>
  <c r="V201" i="2"/>
  <c r="AP166" i="2"/>
  <c r="T184" i="2"/>
  <c r="T186" i="2"/>
  <c r="T188" i="2"/>
  <c r="T190" i="2"/>
  <c r="T192" i="2"/>
  <c r="T194" i="2"/>
  <c r="T196" i="2"/>
  <c r="T198" i="2"/>
  <c r="T202" i="2"/>
  <c r="T204" i="2"/>
  <c r="T206" i="2"/>
  <c r="T208" i="2"/>
  <c r="T210" i="2"/>
  <c r="T212" i="2"/>
  <c r="T214" i="2"/>
  <c r="T162" i="2"/>
  <c r="T164" i="2"/>
  <c r="T166" i="2"/>
  <c r="T168" i="2"/>
  <c r="T170" i="2"/>
  <c r="T172" i="2"/>
  <c r="AD172" i="2" s="1"/>
  <c r="T174" i="2"/>
  <c r="T176" i="2"/>
  <c r="T178" i="2"/>
  <c r="T180" i="2"/>
  <c r="T182" i="2"/>
  <c r="T185" i="2"/>
  <c r="T187" i="2"/>
  <c r="T189" i="2"/>
  <c r="T191" i="2"/>
  <c r="T193" i="2"/>
  <c r="T195" i="2"/>
  <c r="T197" i="2"/>
  <c r="T199" i="2"/>
  <c r="T203" i="2"/>
  <c r="T205" i="2"/>
  <c r="T209" i="2"/>
  <c r="T211" i="2"/>
  <c r="T213" i="2"/>
  <c r="T161" i="2"/>
  <c r="T163" i="2"/>
  <c r="T165" i="2"/>
  <c r="T167" i="2"/>
  <c r="T169" i="2"/>
  <c r="T171" i="2"/>
  <c r="T173" i="2"/>
  <c r="T175" i="2"/>
  <c r="T177" i="2"/>
  <c r="T179" i="2"/>
  <c r="T181" i="2"/>
  <c r="T183" i="2"/>
  <c r="T216" i="2"/>
  <c r="T218" i="2"/>
  <c r="T220" i="2"/>
  <c r="T222" i="2"/>
  <c r="T224" i="2"/>
  <c r="T226" i="2"/>
  <c r="T160" i="2"/>
  <c r="T215" i="2"/>
  <c r="T217" i="2"/>
  <c r="T219" i="2"/>
  <c r="T221" i="2"/>
  <c r="T223" i="2"/>
  <c r="T225" i="2"/>
  <c r="T227" i="2"/>
  <c r="V184" i="2"/>
  <c r="V186" i="2"/>
  <c r="V188" i="2"/>
  <c r="V190" i="2"/>
  <c r="V192" i="2"/>
  <c r="V194" i="2"/>
  <c r="V196" i="2"/>
  <c r="V198" i="2"/>
  <c r="V202" i="2"/>
  <c r="V204" i="2"/>
  <c r="V206" i="2"/>
  <c r="V208" i="2"/>
  <c r="V210" i="2"/>
  <c r="V212" i="2"/>
  <c r="V162" i="2"/>
  <c r="V164" i="2"/>
  <c r="V166" i="2"/>
  <c r="V168" i="2"/>
  <c r="V170" i="2"/>
  <c r="V172" i="2"/>
  <c r="V174" i="2"/>
  <c r="V176" i="2"/>
  <c r="V178" i="2"/>
  <c r="V180" i="2"/>
  <c r="V182" i="2"/>
  <c r="AQ163" i="2"/>
  <c r="V185" i="2"/>
  <c r="V187" i="2"/>
  <c r="V189" i="2"/>
  <c r="V191" i="2"/>
  <c r="V193" i="2"/>
  <c r="V195" i="2"/>
  <c r="V199" i="2"/>
  <c r="V203" i="2"/>
  <c r="V205" i="2"/>
  <c r="V209" i="2"/>
  <c r="V161" i="2"/>
  <c r="V163" i="2"/>
  <c r="V165" i="2"/>
  <c r="V167" i="2"/>
  <c r="V169" i="2"/>
  <c r="V171" i="2"/>
  <c r="V173" i="2"/>
  <c r="V175" i="2"/>
  <c r="V177" i="2"/>
  <c r="V179" i="2"/>
  <c r="V181" i="2"/>
  <c r="V183" i="2"/>
  <c r="V213" i="2"/>
  <c r="V160" i="2"/>
  <c r="V214" i="2"/>
  <c r="V216" i="2"/>
  <c r="V218" i="2"/>
  <c r="V220" i="2"/>
  <c r="V222" i="2"/>
  <c r="V224" i="2"/>
  <c r="V226" i="2"/>
  <c r="V211" i="2"/>
  <c r="V215" i="2"/>
  <c r="V217" i="2"/>
  <c r="V219" i="2"/>
  <c r="V221" i="2"/>
  <c r="V223" i="2"/>
  <c r="V225" i="2"/>
  <c r="V227" i="2"/>
  <c r="D3" i="6"/>
  <c r="T200" i="2"/>
  <c r="T201" i="2"/>
  <c r="Z185" i="2"/>
  <c r="Z187" i="2"/>
  <c r="Z189" i="2"/>
  <c r="Z191" i="2"/>
  <c r="Z193" i="2"/>
  <c r="Z195" i="2"/>
  <c r="Z197" i="2"/>
  <c r="Z199" i="2"/>
  <c r="Z203" i="2"/>
  <c r="Z205" i="2"/>
  <c r="Z209" i="2"/>
  <c r="Z211" i="2"/>
  <c r="Z213" i="2"/>
  <c r="Z161" i="2"/>
  <c r="Z163" i="2"/>
  <c r="Z165" i="2"/>
  <c r="Z167" i="2"/>
  <c r="Z169" i="2"/>
  <c r="Z171" i="2"/>
  <c r="Z173" i="2"/>
  <c r="Z175" i="2"/>
  <c r="Z177" i="2"/>
  <c r="Z179" i="2"/>
  <c r="Z181" i="2"/>
  <c r="Z184" i="2"/>
  <c r="Z186" i="2"/>
  <c r="Z188" i="2"/>
  <c r="Z190" i="2"/>
  <c r="Z192" i="2"/>
  <c r="Z194" i="2"/>
  <c r="Z196" i="2"/>
  <c r="Z198" i="2"/>
  <c r="Z202" i="2"/>
  <c r="Z204" i="2"/>
  <c r="Z206" i="2"/>
  <c r="Z208" i="2"/>
  <c r="Z210" i="2"/>
  <c r="Z212" i="2"/>
  <c r="Z162" i="2"/>
  <c r="Z164" i="2"/>
  <c r="Z166" i="2"/>
  <c r="Z168" i="2"/>
  <c r="Z170" i="2"/>
  <c r="Z172" i="2"/>
  <c r="Z174" i="2"/>
  <c r="Z176" i="2"/>
  <c r="Z178" i="2"/>
  <c r="Z182" i="2"/>
  <c r="AV166" i="2"/>
  <c r="Z160" i="2"/>
  <c r="Z214" i="2"/>
  <c r="Z218" i="2"/>
  <c r="Z220" i="2"/>
  <c r="Z222" i="2"/>
  <c r="Z224" i="2"/>
  <c r="Z226" i="2"/>
  <c r="Z215" i="2"/>
  <c r="Z217" i="2"/>
  <c r="Z219" i="2"/>
  <c r="Z221" i="2"/>
  <c r="Z223" i="2"/>
  <c r="Z225" i="2"/>
  <c r="Z227" i="2"/>
  <c r="AT171" i="2"/>
  <c r="Z118" i="2"/>
  <c r="Z126" i="2"/>
  <c r="Z134" i="2"/>
  <c r="Z139" i="2"/>
  <c r="Z147" i="2"/>
  <c r="Z155" i="2"/>
  <c r="Z115" i="2"/>
  <c r="Z123" i="2"/>
  <c r="Z131" i="2"/>
  <c r="Z157" i="2"/>
  <c r="Z144" i="2"/>
  <c r="Z152" i="2"/>
  <c r="Z120" i="2"/>
  <c r="Z128" i="2"/>
  <c r="Z136" i="2"/>
  <c r="Z113" i="2"/>
  <c r="Z141" i="2"/>
  <c r="Z149" i="2"/>
  <c r="Z150" i="2"/>
  <c r="Z117" i="2"/>
  <c r="Z125" i="2"/>
  <c r="Z133" i="2"/>
  <c r="Z146" i="2"/>
  <c r="Z154" i="2"/>
  <c r="Z122" i="2"/>
  <c r="Z130" i="2"/>
  <c r="Z138" i="2"/>
  <c r="Z114" i="2"/>
  <c r="Z143" i="2"/>
  <c r="Z151" i="2"/>
  <c r="Z119" i="2"/>
  <c r="Z127" i="2"/>
  <c r="Z135" i="2"/>
  <c r="Z140" i="2"/>
  <c r="Z148" i="2"/>
  <c r="Z156" i="2"/>
  <c r="Z116" i="2"/>
  <c r="Z124" i="2"/>
  <c r="Z132" i="2"/>
  <c r="Z142" i="2"/>
  <c r="Z145" i="2"/>
  <c r="Z153" i="2"/>
  <c r="Z121" i="2"/>
  <c r="Z129" i="2"/>
  <c r="Z137" i="2"/>
  <c r="V120" i="2"/>
  <c r="V128" i="2"/>
  <c r="V136" i="2"/>
  <c r="V113" i="2"/>
  <c r="V141" i="2"/>
  <c r="V149" i="2"/>
  <c r="V117" i="2"/>
  <c r="V125" i="2"/>
  <c r="V133" i="2"/>
  <c r="V146" i="2"/>
  <c r="V154" i="2"/>
  <c r="V122" i="2"/>
  <c r="V130" i="2"/>
  <c r="V138" i="2"/>
  <c r="V114" i="2"/>
  <c r="V143" i="2"/>
  <c r="V151" i="2"/>
  <c r="V119" i="2"/>
  <c r="V127" i="2"/>
  <c r="V135" i="2"/>
  <c r="V140" i="2"/>
  <c r="V148" i="2"/>
  <c r="V156" i="2"/>
  <c r="V116" i="2"/>
  <c r="V124" i="2"/>
  <c r="V132" i="2"/>
  <c r="V157" i="2"/>
  <c r="V145" i="2"/>
  <c r="V153" i="2"/>
  <c r="V121" i="2"/>
  <c r="V129" i="2"/>
  <c r="V137" i="2"/>
  <c r="V115" i="2"/>
  <c r="V142" i="2"/>
  <c r="V150" i="2"/>
  <c r="V118" i="2"/>
  <c r="V126" i="2"/>
  <c r="V134" i="2"/>
  <c r="V139" i="2"/>
  <c r="V147" i="2"/>
  <c r="V155" i="2"/>
  <c r="V144" i="2"/>
  <c r="V152" i="2"/>
  <c r="V123" i="2"/>
  <c r="V131" i="2"/>
  <c r="T117" i="2"/>
  <c r="T125" i="2"/>
  <c r="T133" i="2"/>
  <c r="T141" i="2"/>
  <c r="T146" i="2"/>
  <c r="T154" i="2"/>
  <c r="T122" i="2"/>
  <c r="T130" i="2"/>
  <c r="T138" i="2"/>
  <c r="T114" i="2"/>
  <c r="T143" i="2"/>
  <c r="T151" i="2"/>
  <c r="T119" i="2"/>
  <c r="T127" i="2"/>
  <c r="T135" i="2"/>
  <c r="T140" i="2"/>
  <c r="T148" i="2"/>
  <c r="T156" i="2"/>
  <c r="T116" i="2"/>
  <c r="T124" i="2"/>
  <c r="T132" i="2"/>
  <c r="T145" i="2"/>
  <c r="T153" i="2"/>
  <c r="T121" i="2"/>
  <c r="T129" i="2"/>
  <c r="T137" i="2"/>
  <c r="T113" i="2"/>
  <c r="T142" i="2"/>
  <c r="T150" i="2"/>
  <c r="T118" i="2"/>
  <c r="T126" i="2"/>
  <c r="T134" i="2"/>
  <c r="T139" i="2"/>
  <c r="T147" i="2"/>
  <c r="T155" i="2"/>
  <c r="T149" i="2"/>
  <c r="T123" i="2"/>
  <c r="T131" i="2"/>
  <c r="T157" i="2"/>
  <c r="T115" i="2"/>
  <c r="T144" i="2"/>
  <c r="T152" i="2"/>
  <c r="T120" i="2"/>
  <c r="T128" i="2"/>
  <c r="T136" i="2"/>
  <c r="V95" i="2"/>
  <c r="V96" i="2"/>
  <c r="V97" i="2"/>
  <c r="V98" i="2"/>
  <c r="V99" i="2"/>
  <c r="V105" i="2"/>
  <c r="V100" i="2"/>
  <c r="V101" i="2"/>
  <c r="V110" i="2"/>
  <c r="V102" i="2"/>
  <c r="V103" i="2"/>
  <c r="V104" i="2"/>
  <c r="V90" i="2"/>
  <c r="V106" i="2"/>
  <c r="V93" i="2"/>
  <c r="V91" i="2"/>
  <c r="V107" i="2"/>
  <c r="V109" i="2"/>
  <c r="V94" i="2"/>
  <c r="V92" i="2"/>
  <c r="V108" i="2"/>
  <c r="T91" i="2"/>
  <c r="T99" i="2"/>
  <c r="T107" i="2"/>
  <c r="T98" i="2"/>
  <c r="T92" i="2"/>
  <c r="T100" i="2"/>
  <c r="T108" i="2"/>
  <c r="T93" i="2"/>
  <c r="T101" i="2"/>
  <c r="T109" i="2"/>
  <c r="T94" i="2"/>
  <c r="T102" i="2"/>
  <c r="T110" i="2"/>
  <c r="T95" i="2"/>
  <c r="T103" i="2"/>
  <c r="T96" i="2"/>
  <c r="T104" i="2"/>
  <c r="T106" i="2"/>
  <c r="T97" i="2"/>
  <c r="T105" i="2"/>
  <c r="Z96" i="2"/>
  <c r="Z104" i="2"/>
  <c r="Z95" i="2"/>
  <c r="Z91" i="2"/>
  <c r="Z99" i="2"/>
  <c r="Z107" i="2"/>
  <c r="Z93" i="2"/>
  <c r="Z94" i="2"/>
  <c r="Z102" i="2"/>
  <c r="Z110" i="2"/>
  <c r="Z97" i="2"/>
  <c r="Z105" i="2"/>
  <c r="Z101" i="2"/>
  <c r="Z92" i="2"/>
  <c r="Z100" i="2"/>
  <c r="Z108" i="2"/>
  <c r="Z103" i="2"/>
  <c r="Z90" i="2"/>
  <c r="Z98" i="2"/>
  <c r="Z106" i="2"/>
  <c r="Z109" i="2"/>
  <c r="T34" i="2"/>
  <c r="AP68" i="2"/>
  <c r="AP78" i="2"/>
  <c r="AP65" i="2"/>
  <c r="AR68" i="2" s="1"/>
  <c r="AV68" i="2"/>
  <c r="X40" i="2"/>
  <c r="X57" i="2"/>
  <c r="X73" i="2"/>
  <c r="X41" i="2"/>
  <c r="X58" i="2"/>
  <c r="X74" i="2"/>
  <c r="AT58" i="2"/>
  <c r="X42" i="2"/>
  <c r="X59" i="2"/>
  <c r="X75" i="2"/>
  <c r="X43" i="2"/>
  <c r="X60" i="2"/>
  <c r="X76" i="2"/>
  <c r="X39" i="2"/>
  <c r="X44" i="2"/>
  <c r="X61" i="2"/>
  <c r="X77" i="2"/>
  <c r="X72" i="2"/>
  <c r="AT51" i="2"/>
  <c r="X45" i="2"/>
  <c r="X62" i="2"/>
  <c r="X78" i="2"/>
  <c r="X56" i="2"/>
  <c r="X46" i="2"/>
  <c r="X63" i="2"/>
  <c r="X79" i="2"/>
  <c r="X47" i="2"/>
  <c r="X64" i="2"/>
  <c r="X80" i="2"/>
  <c r="X48" i="2"/>
  <c r="X65" i="2"/>
  <c r="X81" i="2"/>
  <c r="X49" i="2"/>
  <c r="X66" i="2"/>
  <c r="X82" i="2"/>
  <c r="X34" i="2"/>
  <c r="X50" i="2"/>
  <c r="X67" i="2"/>
  <c r="X83" i="2"/>
  <c r="X35" i="2"/>
  <c r="X51" i="2"/>
  <c r="X68" i="2"/>
  <c r="X36" i="2"/>
  <c r="X53" i="2"/>
  <c r="X69" i="2"/>
  <c r="X85" i="2"/>
  <c r="X37" i="2"/>
  <c r="X54" i="2"/>
  <c r="X70" i="2"/>
  <c r="X86" i="2"/>
  <c r="X38" i="2"/>
  <c r="X55" i="2"/>
  <c r="X71" i="2"/>
  <c r="AT41" i="2"/>
  <c r="AP44" i="2"/>
  <c r="AP61" i="2"/>
  <c r="AP54" i="2"/>
  <c r="T40" i="2"/>
  <c r="T48" i="2"/>
  <c r="T56" i="2"/>
  <c r="T64" i="2"/>
  <c r="T72" i="2"/>
  <c r="T80" i="2"/>
  <c r="T37" i="2"/>
  <c r="T45" i="2"/>
  <c r="T53" i="2"/>
  <c r="T61" i="2"/>
  <c r="T69" i="2"/>
  <c r="T77" i="2"/>
  <c r="T85" i="2"/>
  <c r="T42" i="2"/>
  <c r="T50" i="2"/>
  <c r="T58" i="2"/>
  <c r="T66" i="2"/>
  <c r="T74" i="2"/>
  <c r="T82" i="2"/>
  <c r="T39" i="2"/>
  <c r="T47" i="2"/>
  <c r="T55" i="2"/>
  <c r="T63" i="2"/>
  <c r="T71" i="2"/>
  <c r="T79" i="2"/>
  <c r="T87" i="2"/>
  <c r="T36" i="2"/>
  <c r="T44" i="2"/>
  <c r="T52" i="2"/>
  <c r="T60" i="2"/>
  <c r="T68" i="2"/>
  <c r="T76" i="2"/>
  <c r="T84" i="2"/>
  <c r="T41" i="2"/>
  <c r="T49" i="2"/>
  <c r="T57" i="2"/>
  <c r="T65" i="2"/>
  <c r="T73" i="2"/>
  <c r="T81" i="2"/>
  <c r="T38" i="2"/>
  <c r="T46" i="2"/>
  <c r="T54" i="2"/>
  <c r="T62" i="2"/>
  <c r="T70" i="2"/>
  <c r="T78" i="2"/>
  <c r="T86" i="2"/>
  <c r="T59" i="2"/>
  <c r="T35" i="2"/>
  <c r="T67" i="2"/>
  <c r="T43" i="2"/>
  <c r="T83" i="2"/>
  <c r="T51" i="2"/>
  <c r="T75" i="2"/>
  <c r="V35" i="2"/>
  <c r="V43" i="2"/>
  <c r="V51" i="2"/>
  <c r="V59" i="2"/>
  <c r="V67" i="2"/>
  <c r="V75" i="2"/>
  <c r="V83" i="2"/>
  <c r="V34" i="2"/>
  <c r="V40" i="2"/>
  <c r="V48" i="2"/>
  <c r="V56" i="2"/>
  <c r="V64" i="2"/>
  <c r="V72" i="2"/>
  <c r="V80" i="2"/>
  <c r="V37" i="2"/>
  <c r="V45" i="2"/>
  <c r="V53" i="2"/>
  <c r="V61" i="2"/>
  <c r="V69" i="2"/>
  <c r="V77" i="2"/>
  <c r="V85" i="2"/>
  <c r="V42" i="2"/>
  <c r="V50" i="2"/>
  <c r="V58" i="2"/>
  <c r="V66" i="2"/>
  <c r="V74" i="2"/>
  <c r="V82" i="2"/>
  <c r="V39" i="2"/>
  <c r="V47" i="2"/>
  <c r="V55" i="2"/>
  <c r="V63" i="2"/>
  <c r="V71" i="2"/>
  <c r="V79" i="2"/>
  <c r="V87" i="2"/>
  <c r="V36" i="2"/>
  <c r="V44" i="2"/>
  <c r="V52" i="2"/>
  <c r="V60" i="2"/>
  <c r="V68" i="2"/>
  <c r="V76" i="2"/>
  <c r="V84" i="2"/>
  <c r="V41" i="2"/>
  <c r="V49" i="2"/>
  <c r="V57" i="2"/>
  <c r="V65" i="2"/>
  <c r="V73" i="2"/>
  <c r="V81" i="2"/>
  <c r="V62" i="2"/>
  <c r="V38" i="2"/>
  <c r="V78" i="2"/>
  <c r="V46" i="2"/>
  <c r="V70" i="2"/>
  <c r="V54" i="2"/>
  <c r="V86" i="2"/>
  <c r="Z41" i="2"/>
  <c r="Z49" i="2"/>
  <c r="Z57" i="2"/>
  <c r="Z65" i="2"/>
  <c r="Z73" i="2"/>
  <c r="Z81" i="2"/>
  <c r="Z38" i="2"/>
  <c r="Z46" i="2"/>
  <c r="Z54" i="2"/>
  <c r="Z62" i="2"/>
  <c r="Z70" i="2"/>
  <c r="Z78" i="2"/>
  <c r="Z86" i="2"/>
  <c r="Z35" i="2"/>
  <c r="Z43" i="2"/>
  <c r="Z51" i="2"/>
  <c r="Z59" i="2"/>
  <c r="Z67" i="2"/>
  <c r="Z75" i="2"/>
  <c r="Z83" i="2"/>
  <c r="Z34" i="2"/>
  <c r="Z40" i="2"/>
  <c r="Z48" i="2"/>
  <c r="Z56" i="2"/>
  <c r="Z64" i="2"/>
  <c r="Z72" i="2"/>
  <c r="Z80" i="2"/>
  <c r="Z37" i="2"/>
  <c r="Z45" i="2"/>
  <c r="Z53" i="2"/>
  <c r="Z61" i="2"/>
  <c r="Z69" i="2"/>
  <c r="Z77" i="2"/>
  <c r="Z85" i="2"/>
  <c r="Z42" i="2"/>
  <c r="Z50" i="2"/>
  <c r="Z58" i="2"/>
  <c r="Z66" i="2"/>
  <c r="Z74" i="2"/>
  <c r="Z82" i="2"/>
  <c r="Z39" i="2"/>
  <c r="Z47" i="2"/>
  <c r="Z55" i="2"/>
  <c r="Z63" i="2"/>
  <c r="Z71" i="2"/>
  <c r="Z79" i="2"/>
  <c r="Z87" i="2"/>
  <c r="Z60" i="2"/>
  <c r="Z76" i="2"/>
  <c r="Z36" i="2"/>
  <c r="Z44" i="2"/>
  <c r="Z68" i="2"/>
  <c r="Z84" i="2"/>
  <c r="H3" i="6"/>
  <c r="J3" i="6"/>
  <c r="Q4" i="2"/>
  <c r="P4" i="2"/>
  <c r="AU178" i="2"/>
  <c r="N4" i="2"/>
  <c r="L4" i="2"/>
  <c r="J4" i="2"/>
  <c r="AC386" i="6" l="1"/>
  <c r="AC394" i="6"/>
  <c r="AA394" i="2"/>
  <c r="AA406" i="2"/>
  <c r="AA412" i="2"/>
  <c r="AA420" i="2"/>
  <c r="AA427" i="2"/>
  <c r="AA401" i="2"/>
  <c r="AA433" i="2"/>
  <c r="AA419" i="2"/>
  <c r="AA395" i="2"/>
  <c r="AA413" i="2"/>
  <c r="AA421" i="2"/>
  <c r="AA407" i="2"/>
  <c r="AA428" i="2"/>
  <c r="AA431" i="2"/>
  <c r="AA396" i="2"/>
  <c r="AA402" i="2"/>
  <c r="AA414" i="2"/>
  <c r="AA422" i="2"/>
  <c r="AA434" i="2"/>
  <c r="AA397" i="2"/>
  <c r="AA408" i="2"/>
  <c r="AA415" i="2"/>
  <c r="AA423" i="2"/>
  <c r="AA429" i="2"/>
  <c r="AA392" i="2"/>
  <c r="AA426" i="2"/>
  <c r="AA411" i="2"/>
  <c r="AA403" i="2"/>
  <c r="AA435" i="2"/>
  <c r="AA418" i="2"/>
  <c r="AA393" i="2"/>
  <c r="AA398" i="2"/>
  <c r="AA416" i="2"/>
  <c r="AA424" i="2"/>
  <c r="AA430" i="2"/>
  <c r="AA409" i="2"/>
  <c r="AA400" i="2"/>
  <c r="AA404" i="2"/>
  <c r="AA417" i="2"/>
  <c r="AA425" i="2"/>
  <c r="AA432" i="2"/>
  <c r="AA399" i="2"/>
  <c r="AA410" i="2"/>
  <c r="AA405" i="2"/>
  <c r="AB417" i="2"/>
  <c r="AB405" i="2"/>
  <c r="AB394" i="2"/>
  <c r="AB406" i="2"/>
  <c r="AB412" i="2"/>
  <c r="AB420" i="2"/>
  <c r="AB427" i="2"/>
  <c r="AB404" i="2"/>
  <c r="AB411" i="2"/>
  <c r="AB401" i="2"/>
  <c r="AB433" i="2"/>
  <c r="AB395" i="2"/>
  <c r="AB413" i="2"/>
  <c r="AB421" i="2"/>
  <c r="AB418" i="2"/>
  <c r="AB400" i="2"/>
  <c r="AB407" i="2"/>
  <c r="AB428" i="2"/>
  <c r="AB425" i="2"/>
  <c r="AB396" i="2"/>
  <c r="AB402" i="2"/>
  <c r="AB414" i="2"/>
  <c r="AB422" i="2"/>
  <c r="AB434" i="2"/>
  <c r="AB424" i="2"/>
  <c r="AB410" i="2"/>
  <c r="AB393" i="2"/>
  <c r="AB431" i="2"/>
  <c r="AB397" i="2"/>
  <c r="AB408" i="2"/>
  <c r="AB415" i="2"/>
  <c r="AB423" i="2"/>
  <c r="AK423" i="2" s="1"/>
  <c r="AB429" i="2"/>
  <c r="AB430" i="2"/>
  <c r="AK430" i="2" s="1"/>
  <c r="AB403" i="2"/>
  <c r="AB435" i="2"/>
  <c r="AB432" i="2"/>
  <c r="AB398" i="2"/>
  <c r="AB416" i="2"/>
  <c r="AB409" i="2"/>
  <c r="AB392" i="2"/>
  <c r="AB426" i="2"/>
  <c r="AB419" i="2"/>
  <c r="AL419" i="2" s="1"/>
  <c r="AB399" i="2"/>
  <c r="Y395" i="2"/>
  <c r="AJ395" i="2" s="1"/>
  <c r="Y402" i="2"/>
  <c r="Y412" i="2"/>
  <c r="AI412" i="2" s="1"/>
  <c r="Y416" i="2"/>
  <c r="Y420" i="2"/>
  <c r="AH420" i="2" s="1"/>
  <c r="Y424" i="2"/>
  <c r="AH424" i="2" s="1"/>
  <c r="Y434" i="2"/>
  <c r="Y399" i="2"/>
  <c r="Y431" i="2"/>
  <c r="Y435" i="2"/>
  <c r="Y392" i="2"/>
  <c r="Y429" i="2"/>
  <c r="Y404" i="2"/>
  <c r="Y409" i="2"/>
  <c r="Y428" i="2"/>
  <c r="Y433" i="2"/>
  <c r="Y405" i="2"/>
  <c r="Y396" i="2"/>
  <c r="Y406" i="2"/>
  <c r="Y413" i="2"/>
  <c r="AJ413" i="2" s="1"/>
  <c r="Y417" i="2"/>
  <c r="AJ417" i="2" s="1"/>
  <c r="Y421" i="2"/>
  <c r="AK421" i="2" s="1"/>
  <c r="Y425" i="2"/>
  <c r="Y403" i="2"/>
  <c r="Y400" i="2"/>
  <c r="Y432" i="2"/>
  <c r="Y410" i="2"/>
  <c r="Y418" i="2"/>
  <c r="Y397" i="2"/>
  <c r="Y414" i="2"/>
  <c r="Y422" i="2"/>
  <c r="AM422" i="2" s="1"/>
  <c r="Y393" i="2"/>
  <c r="Y408" i="2"/>
  <c r="Y407" i="2"/>
  <c r="Y426" i="2"/>
  <c r="AJ426" i="2" s="1"/>
  <c r="Y401" i="2"/>
  <c r="AJ401" i="2" s="1"/>
  <c r="Y394" i="2"/>
  <c r="Y398" i="2"/>
  <c r="Y411" i="2"/>
  <c r="Y415" i="2"/>
  <c r="Y419" i="2"/>
  <c r="Y423" i="2"/>
  <c r="Y430" i="2"/>
  <c r="Y427" i="2"/>
  <c r="AJ427" i="2" s="1"/>
  <c r="W400" i="2"/>
  <c r="W416" i="2"/>
  <c r="W432" i="2"/>
  <c r="W423" i="2"/>
  <c r="W393" i="2"/>
  <c r="W409" i="2"/>
  <c r="W425" i="2"/>
  <c r="W426" i="2"/>
  <c r="W402" i="2"/>
  <c r="W418" i="2"/>
  <c r="W434" i="2"/>
  <c r="W414" i="2"/>
  <c r="W430" i="2"/>
  <c r="W395" i="2"/>
  <c r="W411" i="2"/>
  <c r="W427" i="2"/>
  <c r="W404" i="2"/>
  <c r="W420" i="2"/>
  <c r="W397" i="2"/>
  <c r="W413" i="2"/>
  <c r="W429" i="2"/>
  <c r="W406" i="2"/>
  <c r="W422" i="2"/>
  <c r="W399" i="2"/>
  <c r="W415" i="2"/>
  <c r="W431" i="2"/>
  <c r="W408" i="2"/>
  <c r="W424" i="2"/>
  <c r="W401" i="2"/>
  <c r="W417" i="2"/>
  <c r="W433" i="2"/>
  <c r="W407" i="2"/>
  <c r="W394" i="2"/>
  <c r="W410" i="2"/>
  <c r="W403" i="2"/>
  <c r="W419" i="2"/>
  <c r="W435" i="2"/>
  <c r="W396" i="2"/>
  <c r="W412" i="2"/>
  <c r="W428" i="2"/>
  <c r="W421" i="2"/>
  <c r="W405" i="2"/>
  <c r="W398" i="2"/>
  <c r="AI423" i="2"/>
  <c r="AJ423" i="2"/>
  <c r="U402" i="2"/>
  <c r="U418" i="2"/>
  <c r="U434" i="2"/>
  <c r="U428" i="2"/>
  <c r="U395" i="2"/>
  <c r="U411" i="2"/>
  <c r="U427" i="2"/>
  <c r="U404" i="2"/>
  <c r="U420" i="2"/>
  <c r="U397" i="2"/>
  <c r="U413" i="2"/>
  <c r="U429" i="2"/>
  <c r="U432" i="2"/>
  <c r="U393" i="2"/>
  <c r="U406" i="2"/>
  <c r="U422" i="2"/>
  <c r="U399" i="2"/>
  <c r="U415" i="2"/>
  <c r="U431" i="2"/>
  <c r="U416" i="2"/>
  <c r="AD416" i="2" s="1"/>
  <c r="U408" i="2"/>
  <c r="U424" i="2"/>
  <c r="U401" i="2"/>
  <c r="U417" i="2"/>
  <c r="U433" i="2"/>
  <c r="U394" i="2"/>
  <c r="U410" i="2"/>
  <c r="AK410" i="2" s="1"/>
  <c r="U426" i="2"/>
  <c r="U425" i="2"/>
  <c r="U403" i="2"/>
  <c r="U419" i="2"/>
  <c r="U435" i="2"/>
  <c r="U396" i="2"/>
  <c r="U412" i="2"/>
  <c r="U409" i="2"/>
  <c r="U405" i="2"/>
  <c r="U421" i="2"/>
  <c r="U423" i="2"/>
  <c r="U398" i="2"/>
  <c r="U414" i="2"/>
  <c r="U430" i="2"/>
  <c r="U400" i="2"/>
  <c r="U407" i="2"/>
  <c r="AL414" i="2"/>
  <c r="AM414" i="2"/>
  <c r="AK414" i="2"/>
  <c r="AJ414" i="2"/>
  <c r="AH414" i="2"/>
  <c r="AI414" i="2"/>
  <c r="W392" i="2"/>
  <c r="U392" i="2"/>
  <c r="AB291" i="2"/>
  <c r="P67" i="28" s="1"/>
  <c r="AB286" i="2"/>
  <c r="P62" i="28" s="1"/>
  <c r="AB290" i="2"/>
  <c r="P66" i="28" s="1"/>
  <c r="AB288" i="2"/>
  <c r="P64" i="28" s="1"/>
  <c r="Y291" i="2"/>
  <c r="M67" i="28" s="1"/>
  <c r="Y288" i="2"/>
  <c r="M64" i="28" s="1"/>
  <c r="Y290" i="2"/>
  <c r="M66" i="28" s="1"/>
  <c r="Y286" i="2"/>
  <c r="M62" i="28" s="1"/>
  <c r="AA291" i="2"/>
  <c r="O67" i="28" s="1"/>
  <c r="AA286" i="2"/>
  <c r="O62" i="28" s="1"/>
  <c r="AA290" i="2"/>
  <c r="O66" i="28" s="1"/>
  <c r="AA288" i="2"/>
  <c r="O64" i="28" s="1"/>
  <c r="W286" i="2"/>
  <c r="K62" i="28" s="1"/>
  <c r="W291" i="2"/>
  <c r="K67" i="28" s="1"/>
  <c r="W272" i="2"/>
  <c r="K48" i="28" s="1"/>
  <c r="W288" i="2"/>
  <c r="K64" i="28" s="1"/>
  <c r="W290" i="2"/>
  <c r="K66" i="28" s="1"/>
  <c r="U290" i="2"/>
  <c r="I66" i="28" s="1"/>
  <c r="U286" i="2"/>
  <c r="I62" i="28" s="1"/>
  <c r="U291" i="2"/>
  <c r="I67" i="28" s="1"/>
  <c r="U272" i="2"/>
  <c r="I48" i="28" s="1"/>
  <c r="U288" i="2"/>
  <c r="I64" i="28" s="1"/>
  <c r="AC257" i="6"/>
  <c r="AC390" i="6"/>
  <c r="AC400" i="6"/>
  <c r="AC396" i="6"/>
  <c r="AF400" i="6"/>
  <c r="M395" i="6"/>
  <c r="M381" i="6"/>
  <c r="M385" i="6"/>
  <c r="M389" i="6"/>
  <c r="M397" i="6"/>
  <c r="M407" i="6"/>
  <c r="M417" i="6"/>
  <c r="M380" i="6"/>
  <c r="M405" i="6"/>
  <c r="M415" i="6"/>
  <c r="M422" i="6"/>
  <c r="M421" i="6"/>
  <c r="M382" i="6"/>
  <c r="M384" i="6"/>
  <c r="M386" i="6"/>
  <c r="M388" i="6"/>
  <c r="M390" i="6"/>
  <c r="M392" i="6"/>
  <c r="M396" i="6"/>
  <c r="M398" i="6"/>
  <c r="M400" i="6"/>
  <c r="M402" i="6"/>
  <c r="M404" i="6"/>
  <c r="M406" i="6"/>
  <c r="M408" i="6"/>
  <c r="M410" i="6"/>
  <c r="M412" i="6"/>
  <c r="M414" i="6"/>
  <c r="M416" i="6"/>
  <c r="M418" i="6"/>
  <c r="M420" i="6"/>
  <c r="M391" i="6"/>
  <c r="M399" i="6"/>
  <c r="M409" i="6"/>
  <c r="M419" i="6"/>
  <c r="M383" i="6"/>
  <c r="M393" i="6"/>
  <c r="M401" i="6"/>
  <c r="M411" i="6"/>
  <c r="M423" i="6"/>
  <c r="M387" i="6"/>
  <c r="M403" i="6"/>
  <c r="M413" i="6"/>
  <c r="K389" i="6"/>
  <c r="K407" i="6"/>
  <c r="K417" i="6"/>
  <c r="K384" i="6"/>
  <c r="K386" i="6"/>
  <c r="K388" i="6"/>
  <c r="K390" i="6"/>
  <c r="K392" i="6"/>
  <c r="K394" i="6"/>
  <c r="K396" i="6"/>
  <c r="K398" i="6"/>
  <c r="K400" i="6"/>
  <c r="K402" i="6"/>
  <c r="K404" i="6"/>
  <c r="K406" i="6"/>
  <c r="K408" i="6"/>
  <c r="K410" i="6"/>
  <c r="K412" i="6"/>
  <c r="K414" i="6"/>
  <c r="K416" i="6"/>
  <c r="K418" i="6"/>
  <c r="K420" i="6"/>
  <c r="K422" i="6"/>
  <c r="K393" i="6"/>
  <c r="K397" i="6"/>
  <c r="K405" i="6"/>
  <c r="K411" i="6"/>
  <c r="K423" i="6"/>
  <c r="K382" i="6"/>
  <c r="K380" i="6"/>
  <c r="K401" i="6"/>
  <c r="K419" i="6"/>
  <c r="K395" i="6"/>
  <c r="K409" i="6"/>
  <c r="K415" i="6"/>
  <c r="K381" i="6"/>
  <c r="K399" i="6"/>
  <c r="K421" i="6"/>
  <c r="K383" i="6"/>
  <c r="K385" i="6"/>
  <c r="K387" i="6"/>
  <c r="K391" i="6"/>
  <c r="K403" i="6"/>
  <c r="K413" i="6"/>
  <c r="O201" i="6"/>
  <c r="AC326" i="6"/>
  <c r="AC322" i="6"/>
  <c r="AC330" i="6"/>
  <c r="AC318" i="6"/>
  <c r="AP253" i="2"/>
  <c r="AP249" i="2"/>
  <c r="U359" i="2"/>
  <c r="U361" i="2"/>
  <c r="U354" i="2"/>
  <c r="U363" i="2"/>
  <c r="U356" i="2"/>
  <c r="U365" i="2"/>
  <c r="U358" i="2"/>
  <c r="U355" i="2"/>
  <c r="U384" i="2"/>
  <c r="U377" i="2"/>
  <c r="U368" i="2"/>
  <c r="U386" i="2"/>
  <c r="U370" i="2"/>
  <c r="U379" i="2"/>
  <c r="U357" i="2"/>
  <c r="U372" i="2"/>
  <c r="U388" i="2"/>
  <c r="U366" i="2"/>
  <c r="U381" i="2"/>
  <c r="U362" i="2"/>
  <c r="U374" i="2"/>
  <c r="U383" i="2"/>
  <c r="U376" i="2"/>
  <c r="U385" i="2"/>
  <c r="U367" i="2"/>
  <c r="U369" i="2"/>
  <c r="U378" i="2"/>
  <c r="U375" i="2"/>
  <c r="U371" i="2"/>
  <c r="U387" i="2"/>
  <c r="U380" i="2"/>
  <c r="U364" i="2"/>
  <c r="U373" i="2"/>
  <c r="U389" i="2"/>
  <c r="U360" i="2"/>
  <c r="U382" i="2"/>
  <c r="W357" i="2"/>
  <c r="W366" i="2"/>
  <c r="W359" i="2"/>
  <c r="W368" i="2"/>
  <c r="W361" i="2"/>
  <c r="W354" i="2"/>
  <c r="W363" i="2"/>
  <c r="W356" i="2"/>
  <c r="W365" i="2"/>
  <c r="W382" i="2"/>
  <c r="W373" i="2"/>
  <c r="W375" i="2"/>
  <c r="W360" i="2"/>
  <c r="W384" i="2"/>
  <c r="W364" i="2"/>
  <c r="W377" i="2"/>
  <c r="W370" i="2"/>
  <c r="W386" i="2"/>
  <c r="W379" i="2"/>
  <c r="W372" i="2"/>
  <c r="W388" i="2"/>
  <c r="W358" i="2"/>
  <c r="W362" i="2"/>
  <c r="W381" i="2"/>
  <c r="W374" i="2"/>
  <c r="W383" i="2"/>
  <c r="W389" i="2"/>
  <c r="W376" i="2"/>
  <c r="W385" i="2"/>
  <c r="W367" i="2"/>
  <c r="W369" i="2"/>
  <c r="W378" i="2"/>
  <c r="W371" i="2"/>
  <c r="W387" i="2"/>
  <c r="W355" i="2"/>
  <c r="W380" i="2"/>
  <c r="AA362" i="2"/>
  <c r="AA355" i="2"/>
  <c r="AA364" i="2"/>
  <c r="AA357" i="2"/>
  <c r="AA359" i="2"/>
  <c r="AA361" i="2"/>
  <c r="AA363" i="2"/>
  <c r="AA365" i="2"/>
  <c r="AA369" i="2"/>
  <c r="AA378" i="2"/>
  <c r="AA371" i="2"/>
  <c r="AA387" i="2"/>
  <c r="AA356" i="2"/>
  <c r="AA380" i="2"/>
  <c r="AA385" i="2"/>
  <c r="AA360" i="2"/>
  <c r="AA373" i="2"/>
  <c r="AA389" i="2"/>
  <c r="AA382" i="2"/>
  <c r="AA375" i="2"/>
  <c r="AA384" i="2"/>
  <c r="AA366" i="2"/>
  <c r="AA368" i="2"/>
  <c r="AA377" i="2"/>
  <c r="AA370" i="2"/>
  <c r="AA386" i="2"/>
  <c r="AA379" i="2"/>
  <c r="AA367" i="2"/>
  <c r="AA358" i="2"/>
  <c r="AA372" i="2"/>
  <c r="AA388" i="2"/>
  <c r="AA354" i="2"/>
  <c r="AA381" i="2"/>
  <c r="AA374" i="2"/>
  <c r="AA383" i="2"/>
  <c r="AA376" i="2"/>
  <c r="H337" i="2"/>
  <c r="I324" i="17" s="1"/>
  <c r="AB360" i="2"/>
  <c r="AB362" i="2"/>
  <c r="AB355" i="2"/>
  <c r="AB364" i="2"/>
  <c r="AB357" i="2"/>
  <c r="AB359" i="2"/>
  <c r="AB354" i="2"/>
  <c r="AB356" i="2"/>
  <c r="AB367" i="2"/>
  <c r="AB385" i="2"/>
  <c r="AB369" i="2"/>
  <c r="AB378" i="2"/>
  <c r="AB371" i="2"/>
  <c r="AB387" i="2"/>
  <c r="AB365" i="2"/>
  <c r="AB380" i="2"/>
  <c r="AB373" i="2"/>
  <c r="AB389" i="2"/>
  <c r="AB361" i="2"/>
  <c r="AB382" i="2"/>
  <c r="AB376" i="2"/>
  <c r="AB375" i="2"/>
  <c r="AB384" i="2"/>
  <c r="AB366" i="2"/>
  <c r="AB368" i="2"/>
  <c r="AB377" i="2"/>
  <c r="AB370" i="2"/>
  <c r="AB386" i="2"/>
  <c r="AB379" i="2"/>
  <c r="AB358" i="2"/>
  <c r="AB372" i="2"/>
  <c r="AB388" i="2"/>
  <c r="AB363" i="2"/>
  <c r="AB381" i="2"/>
  <c r="AB374" i="2"/>
  <c r="AB383" i="2"/>
  <c r="Y355" i="2"/>
  <c r="Y364" i="2"/>
  <c r="Y357" i="2"/>
  <c r="Y366" i="2"/>
  <c r="Y359" i="2"/>
  <c r="Y361" i="2"/>
  <c r="Y354" i="2"/>
  <c r="Y363" i="2"/>
  <c r="Y365" i="2"/>
  <c r="Y367" i="2"/>
  <c r="Y380" i="2"/>
  <c r="Y356" i="2"/>
  <c r="Y360" i="2"/>
  <c r="Y373" i="2"/>
  <c r="Y389" i="2"/>
  <c r="Y382" i="2"/>
  <c r="Y375" i="2"/>
  <c r="Y384" i="2"/>
  <c r="Y368" i="2"/>
  <c r="Y377" i="2"/>
  <c r="Y370" i="2"/>
  <c r="Y386" i="2"/>
  <c r="Y371" i="2"/>
  <c r="Y379" i="2"/>
  <c r="Y372" i="2"/>
  <c r="Y388" i="2"/>
  <c r="Y358" i="2"/>
  <c r="Y362" i="2"/>
  <c r="Y381" i="2"/>
  <c r="Y374" i="2"/>
  <c r="Y383" i="2"/>
  <c r="Y387" i="2"/>
  <c r="Y376" i="2"/>
  <c r="Y385" i="2"/>
  <c r="Y369" i="2"/>
  <c r="Y378" i="2"/>
  <c r="H347" i="2"/>
  <c r="I334" i="17" s="1"/>
  <c r="H331" i="2"/>
  <c r="I318" i="17" s="1"/>
  <c r="M343" i="6"/>
  <c r="M347" i="6"/>
  <c r="M351" i="6"/>
  <c r="M355" i="6"/>
  <c r="M359" i="6"/>
  <c r="M363" i="6"/>
  <c r="M367" i="6"/>
  <c r="M371" i="6"/>
  <c r="M375" i="6"/>
  <c r="M344" i="6"/>
  <c r="M348" i="6"/>
  <c r="M352" i="6"/>
  <c r="M356" i="6"/>
  <c r="M360" i="6"/>
  <c r="M364" i="6"/>
  <c r="M368" i="6"/>
  <c r="M372" i="6"/>
  <c r="M376" i="6"/>
  <c r="M345" i="6"/>
  <c r="M349" i="6"/>
  <c r="M353" i="6"/>
  <c r="M357" i="6"/>
  <c r="M361" i="6"/>
  <c r="M365" i="6"/>
  <c r="M369" i="6"/>
  <c r="M373" i="6"/>
  <c r="M377" i="6"/>
  <c r="M342" i="6"/>
  <c r="M346" i="6"/>
  <c r="M350" i="6"/>
  <c r="M354" i="6"/>
  <c r="M358" i="6"/>
  <c r="M362" i="6"/>
  <c r="M366" i="6"/>
  <c r="M370" i="6"/>
  <c r="M374" i="6"/>
  <c r="H346" i="2"/>
  <c r="I333" i="17" s="1"/>
  <c r="H330" i="2"/>
  <c r="I317" i="17" s="1"/>
  <c r="H345" i="2"/>
  <c r="I332" i="17" s="1"/>
  <c r="H329" i="2"/>
  <c r="I316" i="17" s="1"/>
  <c r="H336" i="2"/>
  <c r="I323" i="17" s="1"/>
  <c r="O319" i="6"/>
  <c r="AF330" i="6"/>
  <c r="H344" i="2"/>
  <c r="I331" i="17" s="1"/>
  <c r="H351" i="2"/>
  <c r="H343" i="2"/>
  <c r="I330" i="17" s="1"/>
  <c r="H335" i="2"/>
  <c r="I322" i="17" s="1"/>
  <c r="H342" i="2"/>
  <c r="I329" i="17" s="1"/>
  <c r="H350" i="2"/>
  <c r="I337" i="17" s="1"/>
  <c r="H341" i="2"/>
  <c r="I328" i="17" s="1"/>
  <c r="H334" i="2"/>
  <c r="I321" i="17" s="1"/>
  <c r="H340" i="2"/>
  <c r="I327" i="17" s="1"/>
  <c r="K343" i="6"/>
  <c r="K347" i="6"/>
  <c r="K351" i="6"/>
  <c r="K355" i="6"/>
  <c r="K359" i="6"/>
  <c r="K363" i="6"/>
  <c r="K367" i="6"/>
  <c r="K371" i="6"/>
  <c r="K375" i="6"/>
  <c r="K344" i="6"/>
  <c r="K348" i="6"/>
  <c r="K352" i="6"/>
  <c r="K356" i="6"/>
  <c r="K360" i="6"/>
  <c r="K364" i="6"/>
  <c r="K368" i="6"/>
  <c r="K372" i="6"/>
  <c r="K376" i="6"/>
  <c r="K345" i="6"/>
  <c r="K349" i="6"/>
  <c r="K353" i="6"/>
  <c r="K357" i="6"/>
  <c r="K361" i="6"/>
  <c r="K365" i="6"/>
  <c r="K369" i="6"/>
  <c r="K373" i="6"/>
  <c r="K377" i="6"/>
  <c r="K342" i="6"/>
  <c r="K346" i="6"/>
  <c r="K350" i="6"/>
  <c r="K354" i="6"/>
  <c r="K358" i="6"/>
  <c r="K362" i="6"/>
  <c r="K366" i="6"/>
  <c r="K370" i="6"/>
  <c r="K374" i="6"/>
  <c r="H349" i="2"/>
  <c r="I336" i="17" s="1"/>
  <c r="H328" i="2"/>
  <c r="I315" i="17" s="1"/>
  <c r="H333" i="2"/>
  <c r="I320" i="17" s="1"/>
  <c r="H339" i="2"/>
  <c r="I326" i="17" s="1"/>
  <c r="H348" i="2"/>
  <c r="I335" i="17" s="1"/>
  <c r="H338" i="2"/>
  <c r="I325" i="17" s="1"/>
  <c r="H332" i="2"/>
  <c r="I319" i="17" s="1"/>
  <c r="M319" i="6"/>
  <c r="M320" i="6"/>
  <c r="K320" i="6"/>
  <c r="K328" i="6"/>
  <c r="K316" i="6"/>
  <c r="K317" i="6"/>
  <c r="K321" i="6"/>
  <c r="K325" i="6"/>
  <c r="K329" i="6"/>
  <c r="K333" i="6"/>
  <c r="K337" i="6"/>
  <c r="K318" i="6"/>
  <c r="K322" i="6"/>
  <c r="K326" i="6"/>
  <c r="K330" i="6"/>
  <c r="K334" i="6"/>
  <c r="K338" i="6"/>
  <c r="K332" i="6"/>
  <c r="K324" i="6"/>
  <c r="K319" i="6"/>
  <c r="K323" i="6"/>
  <c r="K327" i="6"/>
  <c r="K331" i="6"/>
  <c r="K335" i="6"/>
  <c r="K339" i="6"/>
  <c r="K336" i="6"/>
  <c r="M316" i="6"/>
  <c r="M324" i="6"/>
  <c r="M328" i="6"/>
  <c r="M332" i="6"/>
  <c r="M336" i="6"/>
  <c r="M317" i="6"/>
  <c r="M321" i="6"/>
  <c r="M325" i="6"/>
  <c r="M329" i="6"/>
  <c r="M333" i="6"/>
  <c r="M337" i="6"/>
  <c r="M318" i="6"/>
  <c r="M322" i="6"/>
  <c r="M326" i="6"/>
  <c r="M330" i="6"/>
  <c r="M334" i="6"/>
  <c r="M338" i="6"/>
  <c r="M323" i="6"/>
  <c r="M331" i="6"/>
  <c r="M335" i="6"/>
  <c r="M339" i="6"/>
  <c r="U321" i="2"/>
  <c r="U310" i="2"/>
  <c r="U314" i="2"/>
  <c r="U318" i="2"/>
  <c r="U322" i="2"/>
  <c r="U317" i="2"/>
  <c r="U309" i="2"/>
  <c r="U308" i="2"/>
  <c r="U313" i="2"/>
  <c r="U311" i="2"/>
  <c r="U315" i="2"/>
  <c r="U319" i="2"/>
  <c r="U323" i="2"/>
  <c r="U325" i="2"/>
  <c r="U312" i="2"/>
  <c r="U316" i="2"/>
  <c r="U320" i="2"/>
  <c r="U324" i="2"/>
  <c r="W309" i="2"/>
  <c r="W313" i="2"/>
  <c r="W317" i="2"/>
  <c r="W321" i="2"/>
  <c r="W308" i="2"/>
  <c r="W310" i="2"/>
  <c r="W314" i="2"/>
  <c r="W318" i="2"/>
  <c r="W322" i="2"/>
  <c r="W311" i="2"/>
  <c r="W315" i="2"/>
  <c r="W319" i="2"/>
  <c r="W323" i="2"/>
  <c r="W325" i="2"/>
  <c r="W312" i="2"/>
  <c r="W316" i="2"/>
  <c r="W320" i="2"/>
  <c r="W324" i="2"/>
  <c r="AB309" i="2"/>
  <c r="AB313" i="2"/>
  <c r="AB317" i="2"/>
  <c r="AB321" i="2"/>
  <c r="AB308" i="2"/>
  <c r="AB310" i="2"/>
  <c r="AB314" i="2"/>
  <c r="AB318" i="2"/>
  <c r="AB322" i="2"/>
  <c r="AB311" i="2"/>
  <c r="AB315" i="2"/>
  <c r="AB319" i="2"/>
  <c r="AB323" i="2"/>
  <c r="AB325" i="2"/>
  <c r="AB312" i="2"/>
  <c r="AB316" i="2"/>
  <c r="AB320" i="2"/>
  <c r="AB324" i="2"/>
  <c r="AA309" i="2"/>
  <c r="AA311" i="2"/>
  <c r="AA313" i="2"/>
  <c r="AA315" i="2"/>
  <c r="AA317" i="2"/>
  <c r="AA319" i="2"/>
  <c r="AA321" i="2"/>
  <c r="AA323" i="2"/>
  <c r="AA308" i="2"/>
  <c r="AA325" i="2"/>
  <c r="AA310" i="2"/>
  <c r="AA312" i="2"/>
  <c r="AA314" i="2"/>
  <c r="AA316" i="2"/>
  <c r="AA318" i="2"/>
  <c r="AA320" i="2"/>
  <c r="AA322" i="2"/>
  <c r="AA324" i="2"/>
  <c r="Y312" i="2"/>
  <c r="Y320" i="2"/>
  <c r="Y309" i="2"/>
  <c r="Y317" i="2"/>
  <c r="Y308" i="2"/>
  <c r="Y314" i="2"/>
  <c r="Y322" i="2"/>
  <c r="Y323" i="2"/>
  <c r="Y311" i="2"/>
  <c r="Y319" i="2"/>
  <c r="Y316" i="2"/>
  <c r="Y324" i="2"/>
  <c r="Y325" i="2"/>
  <c r="Y313" i="2"/>
  <c r="Y321" i="2"/>
  <c r="Y315" i="2"/>
  <c r="Y310" i="2"/>
  <c r="Y318" i="2"/>
  <c r="BA260" i="2"/>
  <c r="AP273" i="2"/>
  <c r="AP265" i="2"/>
  <c r="BC260" i="2"/>
  <c r="AR273" i="2"/>
  <c r="K266" i="6"/>
  <c r="K313" i="6"/>
  <c r="K298" i="6"/>
  <c r="K302" i="6"/>
  <c r="K306" i="6"/>
  <c r="K310" i="6"/>
  <c r="K297" i="6"/>
  <c r="K296" i="6"/>
  <c r="K299" i="6"/>
  <c r="K303" i="6"/>
  <c r="K307" i="6"/>
  <c r="K311" i="6"/>
  <c r="K305" i="6"/>
  <c r="K300" i="6"/>
  <c r="K304" i="6"/>
  <c r="K308" i="6"/>
  <c r="K312" i="6"/>
  <c r="K309" i="6"/>
  <c r="K301" i="6"/>
  <c r="BA277" i="2"/>
  <c r="BC277" i="2"/>
  <c r="AX260" i="2"/>
  <c r="AZ260" i="2"/>
  <c r="BH277" i="2"/>
  <c r="Q294" i="2"/>
  <c r="AB294" i="2" s="1"/>
  <c r="P45" i="28" s="1"/>
  <c r="M266" i="6"/>
  <c r="M297" i="6"/>
  <c r="M301" i="6"/>
  <c r="M305" i="6"/>
  <c r="M309" i="6"/>
  <c r="M313" i="6"/>
  <c r="M296" i="6"/>
  <c r="M298" i="6"/>
  <c r="M302" i="6"/>
  <c r="M306" i="6"/>
  <c r="M310" i="6"/>
  <c r="M299" i="6"/>
  <c r="M303" i="6"/>
  <c r="M307" i="6"/>
  <c r="M311" i="6"/>
  <c r="M300" i="6"/>
  <c r="M304" i="6"/>
  <c r="M308" i="6"/>
  <c r="M312" i="6"/>
  <c r="BB281" i="2"/>
  <c r="BB277" i="2"/>
  <c r="AY260" i="2"/>
  <c r="V268" i="2"/>
  <c r="J43" i="28" s="1"/>
  <c r="AR253" i="2"/>
  <c r="AR265" i="2"/>
  <c r="X271" i="2"/>
  <c r="L47" i="28" s="1"/>
  <c r="U261" i="2"/>
  <c r="I36" i="28" s="1"/>
  <c r="U269" i="2"/>
  <c r="I44" i="28" s="1"/>
  <c r="U277" i="2"/>
  <c r="I53" i="28" s="1"/>
  <c r="U285" i="2"/>
  <c r="I61" i="28" s="1"/>
  <c r="U293" i="2"/>
  <c r="I69" i="28" s="1"/>
  <c r="U301" i="2"/>
  <c r="I76" i="28" s="1"/>
  <c r="U266" i="2"/>
  <c r="I41" i="28" s="1"/>
  <c r="U274" i="2"/>
  <c r="I50" i="28" s="1"/>
  <c r="U282" i="2"/>
  <c r="I58" i="28" s="1"/>
  <c r="U298" i="2"/>
  <c r="I73" i="28" s="1"/>
  <c r="U263" i="2"/>
  <c r="I38" i="28" s="1"/>
  <c r="U271" i="2"/>
  <c r="I47" i="28" s="1"/>
  <c r="U279" i="2"/>
  <c r="I55" i="28" s="1"/>
  <c r="U287" i="2"/>
  <c r="I63" i="28" s="1"/>
  <c r="U295" i="2"/>
  <c r="I70" i="28" s="1"/>
  <c r="U303" i="2"/>
  <c r="I78" i="28" s="1"/>
  <c r="U260" i="2"/>
  <c r="I35" i="28" s="1"/>
  <c r="U268" i="2"/>
  <c r="I43" i="28" s="1"/>
  <c r="U276" i="2"/>
  <c r="I52" i="28" s="1"/>
  <c r="U284" i="2"/>
  <c r="I60" i="28" s="1"/>
  <c r="U292" i="2"/>
  <c r="I68" i="28" s="1"/>
  <c r="U300" i="2"/>
  <c r="I75" i="28" s="1"/>
  <c r="U265" i="2"/>
  <c r="I40" i="28" s="1"/>
  <c r="U273" i="2"/>
  <c r="I49" i="28" s="1"/>
  <c r="U281" i="2"/>
  <c r="I57" i="28" s="1"/>
  <c r="U289" i="2"/>
  <c r="I65" i="28" s="1"/>
  <c r="U297" i="2"/>
  <c r="I72" i="28" s="1"/>
  <c r="U305" i="2"/>
  <c r="I80" i="28" s="1"/>
  <c r="U258" i="2"/>
  <c r="I33" i="28" s="1"/>
  <c r="U262" i="2"/>
  <c r="I37" i="28" s="1"/>
  <c r="U270" i="2"/>
  <c r="I46" i="28" s="1"/>
  <c r="U278" i="2"/>
  <c r="I54" i="28" s="1"/>
  <c r="U294" i="2"/>
  <c r="I45" i="28" s="1"/>
  <c r="U302" i="2"/>
  <c r="I77" i="28" s="1"/>
  <c r="U264" i="2"/>
  <c r="I39" i="28" s="1"/>
  <c r="U259" i="2"/>
  <c r="I34" i="28" s="1"/>
  <c r="U267" i="2"/>
  <c r="I42" i="28" s="1"/>
  <c r="U275" i="2"/>
  <c r="I51" i="28" s="1"/>
  <c r="U283" i="2"/>
  <c r="I59" i="28" s="1"/>
  <c r="U299" i="2"/>
  <c r="I74" i="28" s="1"/>
  <c r="U280" i="2"/>
  <c r="I56" i="28" s="1"/>
  <c r="U296" i="2"/>
  <c r="I71" i="28" s="1"/>
  <c r="U304" i="2"/>
  <c r="I79" i="28" s="1"/>
  <c r="W264" i="2"/>
  <c r="K39" i="28" s="1"/>
  <c r="W280" i="2"/>
  <c r="K56" i="28" s="1"/>
  <c r="W296" i="2"/>
  <c r="K71" i="28" s="1"/>
  <c r="W304" i="2"/>
  <c r="K79" i="28" s="1"/>
  <c r="W275" i="2"/>
  <c r="K51" i="28" s="1"/>
  <c r="W261" i="2"/>
  <c r="K36" i="28" s="1"/>
  <c r="W269" i="2"/>
  <c r="K44" i="28" s="1"/>
  <c r="W277" i="2"/>
  <c r="K53" i="28" s="1"/>
  <c r="W285" i="2"/>
  <c r="K61" i="28" s="1"/>
  <c r="W293" i="2"/>
  <c r="K69" i="28" s="1"/>
  <c r="W301" i="2"/>
  <c r="K76" i="28" s="1"/>
  <c r="W266" i="2"/>
  <c r="K41" i="28" s="1"/>
  <c r="W274" i="2"/>
  <c r="K50" i="28" s="1"/>
  <c r="W282" i="2"/>
  <c r="K58" i="28" s="1"/>
  <c r="W298" i="2"/>
  <c r="K73" i="28" s="1"/>
  <c r="W263" i="2"/>
  <c r="K38" i="28" s="1"/>
  <c r="W271" i="2"/>
  <c r="K47" i="28" s="1"/>
  <c r="W279" i="2"/>
  <c r="K55" i="28" s="1"/>
  <c r="W287" i="2"/>
  <c r="K63" i="28" s="1"/>
  <c r="W295" i="2"/>
  <c r="K70" i="28" s="1"/>
  <c r="W303" i="2"/>
  <c r="K78" i="28" s="1"/>
  <c r="W267" i="2"/>
  <c r="K42" i="28" s="1"/>
  <c r="W260" i="2"/>
  <c r="K35" i="28" s="1"/>
  <c r="W268" i="2"/>
  <c r="K43" i="28" s="1"/>
  <c r="W276" i="2"/>
  <c r="K52" i="28" s="1"/>
  <c r="W284" i="2"/>
  <c r="K60" i="28" s="1"/>
  <c r="W292" i="2"/>
  <c r="K68" i="28" s="1"/>
  <c r="W300" i="2"/>
  <c r="K75" i="28" s="1"/>
  <c r="W259" i="2"/>
  <c r="K34" i="28" s="1"/>
  <c r="W265" i="2"/>
  <c r="K40" i="28" s="1"/>
  <c r="W273" i="2"/>
  <c r="K49" i="28" s="1"/>
  <c r="W281" i="2"/>
  <c r="K57" i="28" s="1"/>
  <c r="W289" i="2"/>
  <c r="K65" i="28" s="1"/>
  <c r="W297" i="2"/>
  <c r="K72" i="28" s="1"/>
  <c r="W305" i="2"/>
  <c r="K80" i="28" s="1"/>
  <c r="W258" i="2"/>
  <c r="K33" i="28" s="1"/>
  <c r="W262" i="2"/>
  <c r="K37" i="28" s="1"/>
  <c r="W270" i="2"/>
  <c r="K46" i="28" s="1"/>
  <c r="W278" i="2"/>
  <c r="K54" i="28" s="1"/>
  <c r="W294" i="2"/>
  <c r="K45" i="28" s="1"/>
  <c r="W302" i="2"/>
  <c r="K77" i="28" s="1"/>
  <c r="W283" i="2"/>
  <c r="K59" i="28" s="1"/>
  <c r="W299" i="2"/>
  <c r="K74" i="28" s="1"/>
  <c r="AA262" i="2"/>
  <c r="O37" i="28" s="1"/>
  <c r="AA270" i="2"/>
  <c r="O46" i="28" s="1"/>
  <c r="AA278" i="2"/>
  <c r="O54" i="28" s="1"/>
  <c r="AA294" i="2"/>
  <c r="O45" i="28" s="1"/>
  <c r="AA302" i="2"/>
  <c r="O77" i="28" s="1"/>
  <c r="AA259" i="2"/>
  <c r="O34" i="28" s="1"/>
  <c r="AA267" i="2"/>
  <c r="O42" i="28" s="1"/>
  <c r="AA275" i="2"/>
  <c r="O51" i="28" s="1"/>
  <c r="AA283" i="2"/>
  <c r="O59" i="28" s="1"/>
  <c r="AA299" i="2"/>
  <c r="O74" i="28" s="1"/>
  <c r="AA273" i="2"/>
  <c r="O49" i="28" s="1"/>
  <c r="AA258" i="2"/>
  <c r="O33" i="28" s="1"/>
  <c r="AA264" i="2"/>
  <c r="O39" i="28" s="1"/>
  <c r="AA280" i="2"/>
  <c r="O56" i="28" s="1"/>
  <c r="AA296" i="2"/>
  <c r="O71" i="28" s="1"/>
  <c r="AA304" i="2"/>
  <c r="O79" i="28" s="1"/>
  <c r="AA261" i="2"/>
  <c r="O36" i="28" s="1"/>
  <c r="AA269" i="2"/>
  <c r="O44" i="28" s="1"/>
  <c r="AA277" i="2"/>
  <c r="O53" i="28" s="1"/>
  <c r="AA285" i="2"/>
  <c r="O61" i="28" s="1"/>
  <c r="AA293" i="2"/>
  <c r="O69" i="28" s="1"/>
  <c r="AA301" i="2"/>
  <c r="O76" i="28" s="1"/>
  <c r="AA266" i="2"/>
  <c r="O41" i="28" s="1"/>
  <c r="AA274" i="2"/>
  <c r="O50" i="28" s="1"/>
  <c r="AA282" i="2"/>
  <c r="O58" i="28" s="1"/>
  <c r="AA298" i="2"/>
  <c r="O73" i="28" s="1"/>
  <c r="AA265" i="2"/>
  <c r="O40" i="28" s="1"/>
  <c r="AA263" i="2"/>
  <c r="O38" i="28" s="1"/>
  <c r="AA271" i="2"/>
  <c r="O47" i="28" s="1"/>
  <c r="AA279" i="2"/>
  <c r="O55" i="28" s="1"/>
  <c r="AA287" i="2"/>
  <c r="O63" i="28" s="1"/>
  <c r="AA295" i="2"/>
  <c r="O70" i="28" s="1"/>
  <c r="AA303" i="2"/>
  <c r="O78" i="28" s="1"/>
  <c r="AA260" i="2"/>
  <c r="O35" i="28" s="1"/>
  <c r="AA268" i="2"/>
  <c r="O43" i="28" s="1"/>
  <c r="AA276" i="2"/>
  <c r="O52" i="28" s="1"/>
  <c r="AA284" i="2"/>
  <c r="O60" i="28" s="1"/>
  <c r="AA292" i="2"/>
  <c r="O68" i="28" s="1"/>
  <c r="AA300" i="2"/>
  <c r="O75" i="28" s="1"/>
  <c r="AA281" i="2"/>
  <c r="O57" i="28" s="1"/>
  <c r="AA289" i="2"/>
  <c r="O65" i="28" s="1"/>
  <c r="AA297" i="2"/>
  <c r="O72" i="28" s="1"/>
  <c r="AA305" i="2"/>
  <c r="O80" i="28" s="1"/>
  <c r="AB281" i="2"/>
  <c r="P57" i="28" s="1"/>
  <c r="AB289" i="2"/>
  <c r="P65" i="28" s="1"/>
  <c r="AB262" i="2"/>
  <c r="P37" i="28" s="1"/>
  <c r="AB270" i="2"/>
  <c r="P46" i="28" s="1"/>
  <c r="AB278" i="2"/>
  <c r="P54" i="28" s="1"/>
  <c r="AB302" i="2"/>
  <c r="P77" i="28" s="1"/>
  <c r="AB305" i="2"/>
  <c r="P80" i="28" s="1"/>
  <c r="AB259" i="2"/>
  <c r="P34" i="28" s="1"/>
  <c r="AB267" i="2"/>
  <c r="P42" i="28" s="1"/>
  <c r="AB275" i="2"/>
  <c r="P51" i="28" s="1"/>
  <c r="AB283" i="2"/>
  <c r="P59" i="28" s="1"/>
  <c r="AB299" i="2"/>
  <c r="P74" i="28" s="1"/>
  <c r="AB258" i="2"/>
  <c r="P33" i="28" s="1"/>
  <c r="AB264" i="2"/>
  <c r="P39" i="28" s="1"/>
  <c r="AB280" i="2"/>
  <c r="P56" i="28" s="1"/>
  <c r="AB296" i="2"/>
  <c r="P71" i="28" s="1"/>
  <c r="AB304" i="2"/>
  <c r="P79" i="28" s="1"/>
  <c r="AB273" i="2"/>
  <c r="P49" i="28" s="1"/>
  <c r="AB261" i="2"/>
  <c r="P36" i="28" s="1"/>
  <c r="AB269" i="2"/>
  <c r="P44" i="28" s="1"/>
  <c r="AB277" i="2"/>
  <c r="P53" i="28" s="1"/>
  <c r="AB285" i="2"/>
  <c r="P61" i="28" s="1"/>
  <c r="AB293" i="2"/>
  <c r="P69" i="28" s="1"/>
  <c r="AB301" i="2"/>
  <c r="P76" i="28" s="1"/>
  <c r="AB297" i="2"/>
  <c r="P72" i="28" s="1"/>
  <c r="AB265" i="2"/>
  <c r="P40" i="28" s="1"/>
  <c r="AB266" i="2"/>
  <c r="P41" i="28" s="1"/>
  <c r="AB274" i="2"/>
  <c r="P50" i="28" s="1"/>
  <c r="AB282" i="2"/>
  <c r="P58" i="28" s="1"/>
  <c r="AB298" i="2"/>
  <c r="P73" i="28" s="1"/>
  <c r="AB263" i="2"/>
  <c r="P38" i="28" s="1"/>
  <c r="AB271" i="2"/>
  <c r="P47" i="28" s="1"/>
  <c r="AB279" i="2"/>
  <c r="P55" i="28" s="1"/>
  <c r="AB287" i="2"/>
  <c r="P63" i="28" s="1"/>
  <c r="AB295" i="2"/>
  <c r="P70" i="28" s="1"/>
  <c r="AB303" i="2"/>
  <c r="P78" i="28" s="1"/>
  <c r="AB260" i="2"/>
  <c r="P35" i="28" s="1"/>
  <c r="AB268" i="2"/>
  <c r="P43" i="28" s="1"/>
  <c r="AB276" i="2"/>
  <c r="P52" i="28" s="1"/>
  <c r="AB284" i="2"/>
  <c r="P60" i="28" s="1"/>
  <c r="AB292" i="2"/>
  <c r="P68" i="28" s="1"/>
  <c r="AB300" i="2"/>
  <c r="P75" i="28" s="1"/>
  <c r="Y259" i="2"/>
  <c r="M34" i="28" s="1"/>
  <c r="Y267" i="2"/>
  <c r="M42" i="28" s="1"/>
  <c r="Y275" i="2"/>
  <c r="M51" i="28" s="1"/>
  <c r="Y283" i="2"/>
  <c r="M59" i="28" s="1"/>
  <c r="Y299" i="2"/>
  <c r="M74" i="28" s="1"/>
  <c r="Y278" i="2"/>
  <c r="M54" i="28" s="1"/>
  <c r="Y264" i="2"/>
  <c r="M39" i="28" s="1"/>
  <c r="Y280" i="2"/>
  <c r="M56" i="28" s="1"/>
  <c r="Y296" i="2"/>
  <c r="M71" i="28" s="1"/>
  <c r="Y304" i="2"/>
  <c r="M79" i="28" s="1"/>
  <c r="Y261" i="2"/>
  <c r="M36" i="28" s="1"/>
  <c r="Y269" i="2"/>
  <c r="M44" i="28" s="1"/>
  <c r="Y277" i="2"/>
  <c r="M53" i="28" s="1"/>
  <c r="Y285" i="2"/>
  <c r="M61" i="28" s="1"/>
  <c r="Y293" i="2"/>
  <c r="M69" i="28" s="1"/>
  <c r="Y301" i="2"/>
  <c r="M76" i="28" s="1"/>
  <c r="Y258" i="2"/>
  <c r="M33" i="28" s="1"/>
  <c r="Y266" i="2"/>
  <c r="M41" i="28" s="1"/>
  <c r="Y274" i="2"/>
  <c r="M50" i="28" s="1"/>
  <c r="Y282" i="2"/>
  <c r="M58" i="28" s="1"/>
  <c r="Y298" i="2"/>
  <c r="M73" i="28" s="1"/>
  <c r="Y270" i="2"/>
  <c r="M46" i="28" s="1"/>
  <c r="Y263" i="2"/>
  <c r="M38" i="28" s="1"/>
  <c r="Y271" i="2"/>
  <c r="M47" i="28" s="1"/>
  <c r="Y279" i="2"/>
  <c r="M55" i="28" s="1"/>
  <c r="Y287" i="2"/>
  <c r="M63" i="28" s="1"/>
  <c r="Y295" i="2"/>
  <c r="M70" i="28" s="1"/>
  <c r="Y303" i="2"/>
  <c r="M78" i="28" s="1"/>
  <c r="Y260" i="2"/>
  <c r="M35" i="28" s="1"/>
  <c r="Y268" i="2"/>
  <c r="M43" i="28" s="1"/>
  <c r="Y276" i="2"/>
  <c r="M52" i="28" s="1"/>
  <c r="Y284" i="2"/>
  <c r="M60" i="28" s="1"/>
  <c r="Y292" i="2"/>
  <c r="M68" i="28" s="1"/>
  <c r="Y300" i="2"/>
  <c r="M75" i="28" s="1"/>
  <c r="Y262" i="2"/>
  <c r="M37" i="28" s="1"/>
  <c r="Y265" i="2"/>
  <c r="M40" i="28" s="1"/>
  <c r="Y273" i="2"/>
  <c r="M49" i="28" s="1"/>
  <c r="Y281" i="2"/>
  <c r="M57" i="28" s="1"/>
  <c r="Y289" i="2"/>
  <c r="M65" i="28" s="1"/>
  <c r="Y297" i="2"/>
  <c r="M72" i="28" s="1"/>
  <c r="Y305" i="2"/>
  <c r="M80" i="28" s="1"/>
  <c r="Y302" i="2"/>
  <c r="M77" i="28" s="1"/>
  <c r="W243" i="2"/>
  <c r="W238" i="2"/>
  <c r="W254" i="2"/>
  <c r="W237" i="2"/>
  <c r="W233" i="2"/>
  <c r="W249" i="2"/>
  <c r="W244" i="2"/>
  <c r="W239" i="2"/>
  <c r="W255" i="2"/>
  <c r="W234" i="2"/>
  <c r="W250" i="2"/>
  <c r="W245" i="2"/>
  <c r="W230" i="2"/>
  <c r="W240" i="2"/>
  <c r="W235" i="2"/>
  <c r="W251" i="2"/>
  <c r="W232" i="2"/>
  <c r="W246" i="2"/>
  <c r="W253" i="2"/>
  <c r="W241" i="2"/>
  <c r="W236" i="2"/>
  <c r="W252" i="2"/>
  <c r="W248" i="2"/>
  <c r="W231" i="2"/>
  <c r="W247" i="2"/>
  <c r="W242" i="2"/>
  <c r="AC269" i="6"/>
  <c r="AC265" i="6"/>
  <c r="AC261" i="6"/>
  <c r="AC252" i="6"/>
  <c r="AC248" i="6"/>
  <c r="P281" i="6"/>
  <c r="P257" i="6"/>
  <c r="P290" i="6"/>
  <c r="P280" i="6"/>
  <c r="P266" i="6"/>
  <c r="K213" i="6"/>
  <c r="K291" i="6"/>
  <c r="K247" i="6"/>
  <c r="K251" i="6"/>
  <c r="K255" i="6"/>
  <c r="K259" i="6"/>
  <c r="K263" i="6"/>
  <c r="K268" i="6"/>
  <c r="K272" i="6"/>
  <c r="K277" i="6"/>
  <c r="K280" i="6"/>
  <c r="K284" i="6"/>
  <c r="K288" i="6"/>
  <c r="K292" i="6"/>
  <c r="K271" i="6"/>
  <c r="K282" i="6"/>
  <c r="K287" i="6"/>
  <c r="K279" i="6"/>
  <c r="K248" i="6"/>
  <c r="K252" i="6"/>
  <c r="K256" i="6"/>
  <c r="K260" i="6"/>
  <c r="K264" i="6"/>
  <c r="K269" i="6"/>
  <c r="K273" i="6"/>
  <c r="K278" i="6"/>
  <c r="K281" i="6"/>
  <c r="K285" i="6"/>
  <c r="K289" i="6"/>
  <c r="K293" i="6"/>
  <c r="K275" i="6"/>
  <c r="K267" i="6"/>
  <c r="K258" i="6"/>
  <c r="K254" i="6"/>
  <c r="K249" i="6"/>
  <c r="K253" i="6"/>
  <c r="K257" i="6"/>
  <c r="K261" i="6"/>
  <c r="K265" i="6"/>
  <c r="K270" i="6"/>
  <c r="K274" i="6"/>
  <c r="K276" i="6"/>
  <c r="K283" i="6"/>
  <c r="K286" i="6"/>
  <c r="K290" i="6"/>
  <c r="K262" i="6"/>
  <c r="K250" i="6"/>
  <c r="K246" i="6"/>
  <c r="M237" i="6"/>
  <c r="M250" i="6"/>
  <c r="M254" i="6"/>
  <c r="M258" i="6"/>
  <c r="M262" i="6"/>
  <c r="M267" i="6"/>
  <c r="M271" i="6"/>
  <c r="M275" i="6"/>
  <c r="M279" i="6"/>
  <c r="M282" i="6"/>
  <c r="M287" i="6"/>
  <c r="M291" i="6"/>
  <c r="M247" i="6"/>
  <c r="M251" i="6"/>
  <c r="M255" i="6"/>
  <c r="M259" i="6"/>
  <c r="M263" i="6"/>
  <c r="M268" i="6"/>
  <c r="M272" i="6"/>
  <c r="M277" i="6"/>
  <c r="M280" i="6"/>
  <c r="M284" i="6"/>
  <c r="M288" i="6"/>
  <c r="M292" i="6"/>
  <c r="M248" i="6"/>
  <c r="M252" i="6"/>
  <c r="M256" i="6"/>
  <c r="M260" i="6"/>
  <c r="M264" i="6"/>
  <c r="M269" i="6"/>
  <c r="M273" i="6"/>
  <c r="M278" i="6"/>
  <c r="M281" i="6"/>
  <c r="M285" i="6"/>
  <c r="M289" i="6"/>
  <c r="M293" i="6"/>
  <c r="M246" i="6"/>
  <c r="M249" i="6"/>
  <c r="M253" i="6"/>
  <c r="M257" i="6"/>
  <c r="M261" i="6"/>
  <c r="M265" i="6"/>
  <c r="M270" i="6"/>
  <c r="M274" i="6"/>
  <c r="M276" i="6"/>
  <c r="M283" i="6"/>
  <c r="M286" i="6"/>
  <c r="M290" i="6"/>
  <c r="AR245" i="2"/>
  <c r="AR249" i="2"/>
  <c r="AR228" i="2"/>
  <c r="AR241" i="2"/>
  <c r="AR236" i="2"/>
  <c r="AR232" i="2"/>
  <c r="AC185" i="6"/>
  <c r="AC80" i="6"/>
  <c r="AC64" i="6"/>
  <c r="AC62" i="6"/>
  <c r="AC50" i="6"/>
  <c r="AC83" i="6"/>
  <c r="AC232" i="6"/>
  <c r="AC169" i="6"/>
  <c r="AP245" i="2"/>
  <c r="AP228" i="2"/>
  <c r="AP241" i="2"/>
  <c r="AP236" i="2"/>
  <c r="AP232" i="2"/>
  <c r="M36" i="6"/>
  <c r="M71" i="6"/>
  <c r="M153" i="6"/>
  <c r="M86" i="6"/>
  <c r="M130" i="6"/>
  <c r="M91" i="6"/>
  <c r="M117" i="6"/>
  <c r="M27" i="6"/>
  <c r="M67" i="6"/>
  <c r="M45" i="6"/>
  <c r="M51" i="6"/>
  <c r="M82" i="6"/>
  <c r="M87" i="6"/>
  <c r="M126" i="6"/>
  <c r="M113" i="6"/>
  <c r="M183" i="6"/>
  <c r="M186" i="6"/>
  <c r="M149" i="6"/>
  <c r="M156" i="6"/>
  <c r="M47" i="6"/>
  <c r="M68" i="6"/>
  <c r="M55" i="6"/>
  <c r="M96" i="6"/>
  <c r="M83" i="6"/>
  <c r="M143" i="6"/>
  <c r="M122" i="6"/>
  <c r="M109" i="6"/>
  <c r="M179" i="6"/>
  <c r="M182" i="6"/>
  <c r="M185" i="6"/>
  <c r="M152" i="6"/>
  <c r="M44" i="6"/>
  <c r="M53" i="6"/>
  <c r="M23" i="6"/>
  <c r="M93" i="6"/>
  <c r="M79" i="6"/>
  <c r="M139" i="6"/>
  <c r="M118" i="6"/>
  <c r="M105" i="6"/>
  <c r="M175" i="6"/>
  <c r="M178" i="6"/>
  <c r="M181" i="6"/>
  <c r="M184" i="6"/>
  <c r="M30" i="6"/>
  <c r="M29" i="6"/>
  <c r="M75" i="6"/>
  <c r="M56" i="6"/>
  <c r="M78" i="6"/>
  <c r="M135" i="6"/>
  <c r="M114" i="6"/>
  <c r="M144" i="6"/>
  <c r="M171" i="6"/>
  <c r="M174" i="6"/>
  <c r="M177" i="6"/>
  <c r="M180" i="6"/>
  <c r="M40" i="6"/>
  <c r="M46" i="6"/>
  <c r="M73" i="6"/>
  <c r="M57" i="6"/>
  <c r="M89" i="6"/>
  <c r="M131" i="6"/>
  <c r="M110" i="6"/>
  <c r="M140" i="6"/>
  <c r="M167" i="6"/>
  <c r="M170" i="6"/>
  <c r="M173" i="6"/>
  <c r="M176" i="6"/>
  <c r="M39" i="6"/>
  <c r="M48" i="6"/>
  <c r="M34" i="6"/>
  <c r="AK50" i="6"/>
  <c r="M85" i="6"/>
  <c r="M127" i="6"/>
  <c r="M106" i="6"/>
  <c r="M136" i="6"/>
  <c r="M215" i="6"/>
  <c r="M214" i="6"/>
  <c r="M169" i="6"/>
  <c r="M172" i="6"/>
  <c r="M49" i="6"/>
  <c r="M22" i="6"/>
  <c r="M31" i="6"/>
  <c r="M70" i="6"/>
  <c r="M81" i="6"/>
  <c r="M123" i="6"/>
  <c r="M102" i="6"/>
  <c r="M132" i="6"/>
  <c r="M211" i="6"/>
  <c r="M210" i="6"/>
  <c r="M213" i="6"/>
  <c r="M168" i="6"/>
  <c r="M41" i="6"/>
  <c r="M33" i="6"/>
  <c r="M38" i="6"/>
  <c r="M42" i="6"/>
  <c r="M98" i="6"/>
  <c r="M119" i="6"/>
  <c r="M101" i="6"/>
  <c r="M128" i="6"/>
  <c r="M207" i="6"/>
  <c r="M206" i="6"/>
  <c r="M209" i="6"/>
  <c r="M208" i="6"/>
  <c r="M65" i="6"/>
  <c r="M54" i="6"/>
  <c r="M61" i="6"/>
  <c r="M63" i="6"/>
  <c r="M95" i="6"/>
  <c r="M115" i="6"/>
  <c r="M145" i="6"/>
  <c r="M124" i="6"/>
  <c r="M203" i="6"/>
  <c r="M202" i="6"/>
  <c r="M205" i="6"/>
  <c r="M204" i="6"/>
  <c r="M32" i="6"/>
  <c r="M35" i="6"/>
  <c r="M50" i="6"/>
  <c r="M92" i="6"/>
  <c r="M111" i="6"/>
  <c r="M141" i="6"/>
  <c r="M120" i="6"/>
  <c r="M199" i="6"/>
  <c r="M198" i="6"/>
  <c r="M201" i="6"/>
  <c r="M200" i="6"/>
  <c r="M150" i="6"/>
  <c r="M26" i="6"/>
  <c r="M25" i="6"/>
  <c r="M72" i="6"/>
  <c r="M88" i="6"/>
  <c r="M107" i="6"/>
  <c r="M137" i="6"/>
  <c r="M116" i="6"/>
  <c r="M195" i="6"/>
  <c r="M194" i="6"/>
  <c r="M197" i="6"/>
  <c r="M148" i="6"/>
  <c r="M160" i="6"/>
  <c r="M62" i="6"/>
  <c r="M52" i="6"/>
  <c r="M24" i="6"/>
  <c r="M84" i="6"/>
  <c r="M103" i="6"/>
  <c r="M133" i="6"/>
  <c r="M112" i="6"/>
  <c r="M163" i="6"/>
  <c r="M191" i="6"/>
  <c r="M190" i="6"/>
  <c r="M193" i="6"/>
  <c r="M66" i="6"/>
  <c r="M59" i="6"/>
  <c r="M43" i="6"/>
  <c r="M80" i="6"/>
  <c r="M142" i="6"/>
  <c r="M129" i="6"/>
  <c r="M108" i="6"/>
  <c r="M159" i="6"/>
  <c r="M162" i="6"/>
  <c r="M165" i="6"/>
  <c r="M189" i="6"/>
  <c r="M28" i="6"/>
  <c r="M74" i="6"/>
  <c r="M37" i="6"/>
  <c r="M97" i="6"/>
  <c r="M138" i="6"/>
  <c r="M125" i="6"/>
  <c r="M104" i="6"/>
  <c r="M155" i="6"/>
  <c r="M158" i="6"/>
  <c r="M161" i="6"/>
  <c r="AB150" i="6"/>
  <c r="AF150" i="6" s="1"/>
  <c r="M58" i="6"/>
  <c r="M64" i="6"/>
  <c r="M69" i="6"/>
  <c r="M90" i="6"/>
  <c r="M94" i="6"/>
  <c r="M134" i="6"/>
  <c r="M121" i="6"/>
  <c r="M151" i="6"/>
  <c r="M154" i="6"/>
  <c r="M157" i="6"/>
  <c r="AB166" i="6"/>
  <c r="AD166" i="6" s="1"/>
  <c r="M187" i="6" s="1"/>
  <c r="K134" i="6"/>
  <c r="K121" i="6"/>
  <c r="K70" i="6"/>
  <c r="K130" i="6"/>
  <c r="K58" i="6"/>
  <c r="K117" i="6"/>
  <c r="K40" i="6"/>
  <c r="K113" i="6"/>
  <c r="K72" i="6"/>
  <c r="K38" i="6"/>
  <c r="K60" i="6"/>
  <c r="K53" i="6"/>
  <c r="K27" i="6"/>
  <c r="K78" i="6"/>
  <c r="K66" i="6"/>
  <c r="K90" i="6"/>
  <c r="K64" i="6"/>
  <c r="K86" i="6"/>
  <c r="K94" i="6"/>
  <c r="K56" i="6"/>
  <c r="K138" i="6"/>
  <c r="M212" i="6"/>
  <c r="M196" i="6"/>
  <c r="M192" i="6"/>
  <c r="M188" i="6"/>
  <c r="M164" i="6"/>
  <c r="K39" i="6"/>
  <c r="K25" i="6"/>
  <c r="K52" i="6"/>
  <c r="K42" i="6"/>
  <c r="K82" i="6"/>
  <c r="K143" i="6"/>
  <c r="K126" i="6"/>
  <c r="K109" i="6"/>
  <c r="K41" i="6"/>
  <c r="K32" i="6"/>
  <c r="K24" i="6"/>
  <c r="K96" i="6"/>
  <c r="K139" i="6"/>
  <c r="K122" i="6"/>
  <c r="K105" i="6"/>
  <c r="K54" i="6"/>
  <c r="K44" i="6"/>
  <c r="K48" i="6"/>
  <c r="K93" i="6"/>
  <c r="K135" i="6"/>
  <c r="K118" i="6"/>
  <c r="K144" i="6"/>
  <c r="K45" i="6"/>
  <c r="K74" i="6"/>
  <c r="K73" i="6"/>
  <c r="K89" i="6"/>
  <c r="K131" i="6"/>
  <c r="K114" i="6"/>
  <c r="K140" i="6"/>
  <c r="K30" i="6"/>
  <c r="K46" i="6"/>
  <c r="K28" i="6"/>
  <c r="K85" i="6"/>
  <c r="K127" i="6"/>
  <c r="K110" i="6"/>
  <c r="K136" i="6"/>
  <c r="K43" i="6"/>
  <c r="K61" i="6"/>
  <c r="K65" i="6"/>
  <c r="K81" i="6"/>
  <c r="K123" i="6"/>
  <c r="K106" i="6"/>
  <c r="K132" i="6"/>
  <c r="K35" i="6"/>
  <c r="K63" i="6"/>
  <c r="K71" i="6"/>
  <c r="K98" i="6"/>
  <c r="K119" i="6"/>
  <c r="K102" i="6"/>
  <c r="K128" i="6"/>
  <c r="K75" i="6"/>
  <c r="K67" i="6"/>
  <c r="K51" i="6"/>
  <c r="K95" i="6"/>
  <c r="K115" i="6"/>
  <c r="K145" i="6"/>
  <c r="K124" i="6"/>
  <c r="K55" i="6"/>
  <c r="K68" i="6"/>
  <c r="K26" i="6"/>
  <c r="K69" i="6"/>
  <c r="K92" i="6"/>
  <c r="K111" i="6"/>
  <c r="K141" i="6"/>
  <c r="K120" i="6"/>
  <c r="K36" i="6"/>
  <c r="K59" i="6"/>
  <c r="K33" i="6"/>
  <c r="K34" i="6"/>
  <c r="K91" i="6"/>
  <c r="K88" i="6"/>
  <c r="K107" i="6"/>
  <c r="K137" i="6"/>
  <c r="K116" i="6"/>
  <c r="K29" i="6"/>
  <c r="K49" i="6"/>
  <c r="K47" i="6"/>
  <c r="K87" i="6"/>
  <c r="K84" i="6"/>
  <c r="K103" i="6"/>
  <c r="K133" i="6"/>
  <c r="K112" i="6"/>
  <c r="K50" i="6"/>
  <c r="K22" i="6"/>
  <c r="K62" i="6"/>
  <c r="K83" i="6"/>
  <c r="K80" i="6"/>
  <c r="K101" i="6"/>
  <c r="K129" i="6"/>
  <c r="K108" i="6"/>
  <c r="K23" i="6"/>
  <c r="K31" i="6"/>
  <c r="K37" i="6"/>
  <c r="K57" i="6"/>
  <c r="K79" i="6"/>
  <c r="K97" i="6"/>
  <c r="K142" i="6"/>
  <c r="K125" i="6"/>
  <c r="K104" i="6"/>
  <c r="AP224" i="2"/>
  <c r="AR224" i="2"/>
  <c r="K156" i="6"/>
  <c r="K171" i="6"/>
  <c r="K205" i="6"/>
  <c r="AH190" i="6"/>
  <c r="AH192" i="6" s="1"/>
  <c r="AC173" i="6"/>
  <c r="AC38" i="6"/>
  <c r="AC177" i="6"/>
  <c r="AC70" i="6"/>
  <c r="AC34" i="6"/>
  <c r="AC186" i="6"/>
  <c r="AC28" i="6"/>
  <c r="AC181" i="6"/>
  <c r="AC240" i="6"/>
  <c r="AC36" i="6"/>
  <c r="AC228" i="6"/>
  <c r="AC54" i="6"/>
  <c r="AC30" i="6"/>
  <c r="AC236" i="6"/>
  <c r="AC153" i="6"/>
  <c r="AC42" i="6"/>
  <c r="AC158" i="6"/>
  <c r="AN50" i="6"/>
  <c r="AC26" i="6"/>
  <c r="AC224" i="6"/>
  <c r="AC162" i="6"/>
  <c r="AC48" i="6"/>
  <c r="AC52" i="6"/>
  <c r="AC40" i="6"/>
  <c r="AC56" i="6"/>
  <c r="AC220" i="6"/>
  <c r="AC32" i="6"/>
  <c r="AP171" i="2"/>
  <c r="AP51" i="2"/>
  <c r="AP74" i="2"/>
  <c r="AP38" i="2"/>
  <c r="AB237" i="2"/>
  <c r="AB241" i="2"/>
  <c r="AB245" i="2"/>
  <c r="AB249" i="2"/>
  <c r="AB253" i="2"/>
  <c r="AB240" i="2"/>
  <c r="AB248" i="2"/>
  <c r="AB238" i="2"/>
  <c r="AB242" i="2"/>
  <c r="AB230" i="2"/>
  <c r="AB244" i="2"/>
  <c r="AB243" i="2"/>
  <c r="AB251" i="2"/>
  <c r="AA242" i="2"/>
  <c r="AA249" i="2"/>
  <c r="AA241" i="2"/>
  <c r="AA245" i="2"/>
  <c r="AA243" i="2"/>
  <c r="AA230" i="2"/>
  <c r="AA240" i="2"/>
  <c r="AA237" i="2"/>
  <c r="AA253" i="2"/>
  <c r="AA244" i="2"/>
  <c r="AA238" i="2"/>
  <c r="AA251" i="2"/>
  <c r="AA248" i="2"/>
  <c r="Y237" i="2"/>
  <c r="Y253" i="2"/>
  <c r="Y244" i="2"/>
  <c r="Y251" i="2"/>
  <c r="Y242" i="2"/>
  <c r="Y249" i="2"/>
  <c r="Y230" i="2"/>
  <c r="Y240" i="2"/>
  <c r="Y248" i="2"/>
  <c r="Y241" i="2"/>
  <c r="Y238" i="2"/>
  <c r="Y245" i="2"/>
  <c r="Y243" i="2"/>
  <c r="U233" i="2"/>
  <c r="U241" i="2"/>
  <c r="U249" i="2"/>
  <c r="U238" i="2"/>
  <c r="U246" i="2"/>
  <c r="U254" i="2"/>
  <c r="U235" i="2"/>
  <c r="U243" i="2"/>
  <c r="U251" i="2"/>
  <c r="U244" i="2"/>
  <c r="U230" i="2"/>
  <c r="U232" i="2"/>
  <c r="U240" i="2"/>
  <c r="U248" i="2"/>
  <c r="U237" i="2"/>
  <c r="U245" i="2"/>
  <c r="U253" i="2"/>
  <c r="U236" i="2"/>
  <c r="U234" i="2"/>
  <c r="U242" i="2"/>
  <c r="U250" i="2"/>
  <c r="U231" i="2"/>
  <c r="U239" i="2"/>
  <c r="U247" i="2"/>
  <c r="U255" i="2"/>
  <c r="U252" i="2"/>
  <c r="K212" i="6"/>
  <c r="K200" i="6"/>
  <c r="K196" i="6"/>
  <c r="K184" i="6"/>
  <c r="K168" i="6"/>
  <c r="K163" i="6"/>
  <c r="K159" i="6"/>
  <c r="K155" i="6"/>
  <c r="K151" i="6"/>
  <c r="K172" i="6"/>
  <c r="K176" i="6"/>
  <c r="K175" i="6"/>
  <c r="AF172" i="2"/>
  <c r="K187" i="6"/>
  <c r="K208" i="6"/>
  <c r="K183" i="6"/>
  <c r="K204" i="6"/>
  <c r="K179" i="6"/>
  <c r="K192" i="6"/>
  <c r="K215" i="6"/>
  <c r="K188" i="6"/>
  <c r="K211" i="6"/>
  <c r="AM172" i="2"/>
  <c r="K180" i="6"/>
  <c r="K210" i="6"/>
  <c r="K207" i="6"/>
  <c r="K199" i="6"/>
  <c r="K191" i="6"/>
  <c r="AF236" i="6"/>
  <c r="AF220" i="6"/>
  <c r="K186" i="6"/>
  <c r="K214" i="6"/>
  <c r="K202" i="6"/>
  <c r="K149" i="6"/>
  <c r="K169" i="6"/>
  <c r="AJ172" i="2"/>
  <c r="AH172" i="2"/>
  <c r="AB190" i="6"/>
  <c r="AB192" i="6" s="1"/>
  <c r="K219" i="6"/>
  <c r="K227" i="6"/>
  <c r="K235" i="6"/>
  <c r="K243" i="6"/>
  <c r="K220" i="6"/>
  <c r="K228" i="6"/>
  <c r="K236" i="6"/>
  <c r="K242" i="6"/>
  <c r="K218" i="6"/>
  <c r="K221" i="6"/>
  <c r="K229" i="6"/>
  <c r="K237" i="6"/>
  <c r="K222" i="6"/>
  <c r="K230" i="6"/>
  <c r="K238" i="6"/>
  <c r="K226" i="6"/>
  <c r="K223" i="6"/>
  <c r="K231" i="6"/>
  <c r="K239" i="6"/>
  <c r="K234" i="6"/>
  <c r="K224" i="6"/>
  <c r="K232" i="6"/>
  <c r="K240" i="6"/>
  <c r="K225" i="6"/>
  <c r="K233" i="6"/>
  <c r="K241" i="6"/>
  <c r="AD190" i="6"/>
  <c r="AD192" i="6" s="1"/>
  <c r="M226" i="6"/>
  <c r="M234" i="6"/>
  <c r="M242" i="6"/>
  <c r="M219" i="6"/>
  <c r="M227" i="6"/>
  <c r="M235" i="6"/>
  <c r="M243" i="6"/>
  <c r="M225" i="6"/>
  <c r="M218" i="6"/>
  <c r="M233" i="6"/>
  <c r="M241" i="6"/>
  <c r="M220" i="6"/>
  <c r="M228" i="6"/>
  <c r="M236" i="6"/>
  <c r="M221" i="6"/>
  <c r="M229" i="6"/>
  <c r="M222" i="6"/>
  <c r="M230" i="6"/>
  <c r="M238" i="6"/>
  <c r="M223" i="6"/>
  <c r="M231" i="6"/>
  <c r="M239" i="6"/>
  <c r="M224" i="6"/>
  <c r="M232" i="6"/>
  <c r="M240" i="6"/>
  <c r="K203" i="6"/>
  <c r="K206" i="6"/>
  <c r="K209" i="6"/>
  <c r="K195" i="6"/>
  <c r="K198" i="6"/>
  <c r="K201" i="6"/>
  <c r="K194" i="6"/>
  <c r="K197" i="6"/>
  <c r="K166" i="6"/>
  <c r="K190" i="6"/>
  <c r="K193" i="6"/>
  <c r="K162" i="6"/>
  <c r="K165" i="6"/>
  <c r="K189" i="6"/>
  <c r="K158" i="6"/>
  <c r="K161" i="6"/>
  <c r="K148" i="6"/>
  <c r="K154" i="6"/>
  <c r="K157" i="6"/>
  <c r="K164" i="6"/>
  <c r="K150" i="6"/>
  <c r="K153" i="6"/>
  <c r="K160" i="6"/>
  <c r="K182" i="6"/>
  <c r="K185" i="6"/>
  <c r="K152" i="6"/>
  <c r="K178" i="6"/>
  <c r="K181" i="6"/>
  <c r="K167" i="6"/>
  <c r="K174" i="6"/>
  <c r="K177" i="6"/>
  <c r="K170" i="6"/>
  <c r="K173" i="6"/>
  <c r="M197" i="2"/>
  <c r="X197" i="2" s="1"/>
  <c r="K197" i="2"/>
  <c r="V197" i="2" s="1"/>
  <c r="AT166" i="2"/>
  <c r="AR166" i="2"/>
  <c r="W184" i="2"/>
  <c r="W186" i="2"/>
  <c r="W188" i="2"/>
  <c r="W190" i="2"/>
  <c r="W192" i="2"/>
  <c r="W194" i="2"/>
  <c r="W196" i="2"/>
  <c r="W198" i="2"/>
  <c r="W202" i="2"/>
  <c r="W162" i="2"/>
  <c r="W164" i="2"/>
  <c r="W166" i="2"/>
  <c r="W168" i="2"/>
  <c r="W170" i="2"/>
  <c r="W172" i="2"/>
  <c r="AG172" i="2" s="1"/>
  <c r="W174" i="2"/>
  <c r="W176" i="2"/>
  <c r="W178" i="2"/>
  <c r="W180" i="2"/>
  <c r="W182" i="2"/>
  <c r="AS166" i="2"/>
  <c r="W185" i="2"/>
  <c r="W187" i="2"/>
  <c r="W189" i="2"/>
  <c r="W191" i="2"/>
  <c r="W193" i="2"/>
  <c r="W195" i="2"/>
  <c r="W197" i="2"/>
  <c r="W179" i="2"/>
  <c r="W181" i="2"/>
  <c r="W206" i="2"/>
  <c r="W213" i="2"/>
  <c r="W183" i="2"/>
  <c r="W160" i="2"/>
  <c r="W208" i="2"/>
  <c r="W214" i="2"/>
  <c r="W216" i="2"/>
  <c r="W218" i="2"/>
  <c r="W220" i="2"/>
  <c r="W222" i="2"/>
  <c r="W224" i="2"/>
  <c r="W226" i="2"/>
  <c r="W205" i="2"/>
  <c r="W209" i="2"/>
  <c r="W177" i="2"/>
  <c r="W161" i="2"/>
  <c r="W163" i="2"/>
  <c r="W210" i="2"/>
  <c r="W165" i="2"/>
  <c r="W167" i="2"/>
  <c r="W199" i="2"/>
  <c r="W169" i="2"/>
  <c r="W211" i="2"/>
  <c r="W171" i="2"/>
  <c r="W203" i="2"/>
  <c r="W215" i="2"/>
  <c r="W217" i="2"/>
  <c r="W219" i="2"/>
  <c r="W221" i="2"/>
  <c r="W223" i="2"/>
  <c r="W225" i="2"/>
  <c r="W227" i="2"/>
  <c r="W173" i="2"/>
  <c r="W212" i="2"/>
  <c r="W175" i="2"/>
  <c r="W204" i="2"/>
  <c r="Y161" i="2"/>
  <c r="Y163" i="2"/>
  <c r="Y165" i="2"/>
  <c r="Y167" i="2"/>
  <c r="Y169" i="2"/>
  <c r="Y171" i="2"/>
  <c r="Y173" i="2"/>
  <c r="Y175" i="2"/>
  <c r="Y177" i="2"/>
  <c r="Y179" i="2"/>
  <c r="Y181" i="2"/>
  <c r="Y184" i="2"/>
  <c r="Y186" i="2"/>
  <c r="Y188" i="2"/>
  <c r="Y190" i="2"/>
  <c r="Y192" i="2"/>
  <c r="Y194" i="2"/>
  <c r="Y196" i="2"/>
  <c r="Y198" i="2"/>
  <c r="Y202" i="2"/>
  <c r="Y204" i="2"/>
  <c r="Y206" i="2"/>
  <c r="Y162" i="2"/>
  <c r="Y164" i="2"/>
  <c r="Y166" i="2"/>
  <c r="Y168" i="2"/>
  <c r="Y170" i="2"/>
  <c r="Y172" i="2"/>
  <c r="AI172" i="2" s="1"/>
  <c r="Y174" i="2"/>
  <c r="Y176" i="2"/>
  <c r="Y178" i="2"/>
  <c r="Y182" i="2"/>
  <c r="AU166" i="2"/>
  <c r="Y205" i="2"/>
  <c r="Y213" i="2"/>
  <c r="Y185" i="2"/>
  <c r="Y187" i="2"/>
  <c r="Y160" i="2"/>
  <c r="Y189" i="2"/>
  <c r="Y208" i="2"/>
  <c r="Y214" i="2"/>
  <c r="Y218" i="2"/>
  <c r="Y220" i="2"/>
  <c r="Y222" i="2"/>
  <c r="Y224" i="2"/>
  <c r="Y226" i="2"/>
  <c r="Y191" i="2"/>
  <c r="Y193" i="2"/>
  <c r="Y209" i="2"/>
  <c r="Y195" i="2"/>
  <c r="Y197" i="2"/>
  <c r="Y210" i="2"/>
  <c r="Y199" i="2"/>
  <c r="Y211" i="2"/>
  <c r="Y203" i="2"/>
  <c r="Y215" i="2"/>
  <c r="Y217" i="2"/>
  <c r="Y219" i="2"/>
  <c r="Y221" i="2"/>
  <c r="Y223" i="2"/>
  <c r="Y225" i="2"/>
  <c r="Y227" i="2"/>
  <c r="Y212" i="2"/>
  <c r="U184" i="2"/>
  <c r="U186" i="2"/>
  <c r="U188" i="2"/>
  <c r="U190" i="2"/>
  <c r="U192" i="2"/>
  <c r="U194" i="2"/>
  <c r="U196" i="2"/>
  <c r="U198" i="2"/>
  <c r="U202" i="2"/>
  <c r="U204" i="2"/>
  <c r="U206" i="2"/>
  <c r="U208" i="2"/>
  <c r="U210" i="2"/>
  <c r="U212" i="2"/>
  <c r="U214" i="2"/>
  <c r="U162" i="2"/>
  <c r="U164" i="2"/>
  <c r="U166" i="2"/>
  <c r="U168" i="2"/>
  <c r="U170" i="2"/>
  <c r="U172" i="2"/>
  <c r="AE172" i="2" s="1"/>
  <c r="U174" i="2"/>
  <c r="U176" i="2"/>
  <c r="U178" i="2"/>
  <c r="U180" i="2"/>
  <c r="U182" i="2"/>
  <c r="U185" i="2"/>
  <c r="U187" i="2"/>
  <c r="U189" i="2"/>
  <c r="U191" i="2"/>
  <c r="U193" i="2"/>
  <c r="U195" i="2"/>
  <c r="U197" i="2"/>
  <c r="U199" i="2"/>
  <c r="U203" i="2"/>
  <c r="U205" i="2"/>
  <c r="U209" i="2"/>
  <c r="U211" i="2"/>
  <c r="U213" i="2"/>
  <c r="U161" i="2"/>
  <c r="U163" i="2"/>
  <c r="U165" i="2"/>
  <c r="U167" i="2"/>
  <c r="U169" i="2"/>
  <c r="U171" i="2"/>
  <c r="U173" i="2"/>
  <c r="U175" i="2"/>
  <c r="U177" i="2"/>
  <c r="U179" i="2"/>
  <c r="U181" i="2"/>
  <c r="U183" i="2"/>
  <c r="U160" i="2"/>
  <c r="U216" i="2"/>
  <c r="U218" i="2"/>
  <c r="U220" i="2"/>
  <c r="U222" i="2"/>
  <c r="U224" i="2"/>
  <c r="U226" i="2"/>
  <c r="U215" i="2"/>
  <c r="U217" i="2"/>
  <c r="U219" i="2"/>
  <c r="U221" i="2"/>
  <c r="U223" i="2"/>
  <c r="U225" i="2"/>
  <c r="U227" i="2"/>
  <c r="I3" i="6"/>
  <c r="Y201" i="2"/>
  <c r="Y200" i="2"/>
  <c r="AP175" i="2"/>
  <c r="AQ175" i="2"/>
  <c r="G3" i="6"/>
  <c r="N395" i="6" s="1"/>
  <c r="W200" i="2"/>
  <c r="W201" i="2"/>
  <c r="AB185" i="2"/>
  <c r="AB187" i="2"/>
  <c r="AB189" i="2"/>
  <c r="AB191" i="2"/>
  <c r="AB193" i="2"/>
  <c r="AB195" i="2"/>
  <c r="AB197" i="2"/>
  <c r="AB199" i="2"/>
  <c r="AB203" i="2"/>
  <c r="AB205" i="2"/>
  <c r="AB209" i="2"/>
  <c r="AB211" i="2"/>
  <c r="AB213" i="2"/>
  <c r="AB161" i="2"/>
  <c r="AB163" i="2"/>
  <c r="AB165" i="2"/>
  <c r="AB167" i="2"/>
  <c r="AB169" i="2"/>
  <c r="AB171" i="2"/>
  <c r="AB173" i="2"/>
  <c r="AB175" i="2"/>
  <c r="AB177" i="2"/>
  <c r="AB179" i="2"/>
  <c r="AB181" i="2"/>
  <c r="AB184" i="2"/>
  <c r="AB186" i="2"/>
  <c r="AB188" i="2"/>
  <c r="AB190" i="2"/>
  <c r="AB192" i="2"/>
  <c r="AB194" i="2"/>
  <c r="AB196" i="2"/>
  <c r="AB198" i="2"/>
  <c r="AB202" i="2"/>
  <c r="AB204" i="2"/>
  <c r="AB206" i="2"/>
  <c r="AB208" i="2"/>
  <c r="AB210" i="2"/>
  <c r="AB162" i="2"/>
  <c r="AB164" i="2"/>
  <c r="AB166" i="2"/>
  <c r="AB168" i="2"/>
  <c r="AB170" i="2"/>
  <c r="AB172" i="2"/>
  <c r="AL172" i="2" s="1"/>
  <c r="AB174" i="2"/>
  <c r="AB176" i="2"/>
  <c r="AB178" i="2"/>
  <c r="AB182" i="2"/>
  <c r="AX166" i="2"/>
  <c r="AB215" i="2"/>
  <c r="AB217" i="2"/>
  <c r="AB219" i="2"/>
  <c r="AB221" i="2"/>
  <c r="AB223" i="2"/>
  <c r="AB225" i="2"/>
  <c r="AB227" i="2"/>
  <c r="AB160" i="2"/>
  <c r="AB214" i="2"/>
  <c r="AB218" i="2"/>
  <c r="AB220" i="2"/>
  <c r="AB222" i="2"/>
  <c r="AB224" i="2"/>
  <c r="AB226" i="2"/>
  <c r="AB212" i="2"/>
  <c r="AA185" i="2"/>
  <c r="AA187" i="2"/>
  <c r="AA189" i="2"/>
  <c r="AA191" i="2"/>
  <c r="AA193" i="2"/>
  <c r="AA195" i="2"/>
  <c r="AA197" i="2"/>
  <c r="AA199" i="2"/>
  <c r="AA203" i="2"/>
  <c r="AA205" i="2"/>
  <c r="AA209" i="2"/>
  <c r="AA211" i="2"/>
  <c r="AA213" i="2"/>
  <c r="AA161" i="2"/>
  <c r="AA163" i="2"/>
  <c r="AA165" i="2"/>
  <c r="AA167" i="2"/>
  <c r="AA169" i="2"/>
  <c r="AA171" i="2"/>
  <c r="AA173" i="2"/>
  <c r="AA175" i="2"/>
  <c r="AA177" i="2"/>
  <c r="AA179" i="2"/>
  <c r="AA181" i="2"/>
  <c r="AA184" i="2"/>
  <c r="AA186" i="2"/>
  <c r="AA188" i="2"/>
  <c r="AA190" i="2"/>
  <c r="AA192" i="2"/>
  <c r="AA194" i="2"/>
  <c r="AA196" i="2"/>
  <c r="AA198" i="2"/>
  <c r="AA202" i="2"/>
  <c r="AA204" i="2"/>
  <c r="AA206" i="2"/>
  <c r="AA208" i="2"/>
  <c r="AA210" i="2"/>
  <c r="AA212" i="2"/>
  <c r="AA162" i="2"/>
  <c r="AA164" i="2"/>
  <c r="AA166" i="2"/>
  <c r="AA168" i="2"/>
  <c r="AA170" i="2"/>
  <c r="AA172" i="2"/>
  <c r="AK172" i="2" s="1"/>
  <c r="AA174" i="2"/>
  <c r="AA176" i="2"/>
  <c r="AA178" i="2"/>
  <c r="AA182" i="2"/>
  <c r="AW166" i="2"/>
  <c r="AA223" i="2"/>
  <c r="AA219" i="2"/>
  <c r="AA227" i="2"/>
  <c r="AA217" i="2"/>
  <c r="AA221" i="2"/>
  <c r="AA160" i="2"/>
  <c r="AA214" i="2"/>
  <c r="AA218" i="2"/>
  <c r="AA220" i="2"/>
  <c r="AA222" i="2"/>
  <c r="AA224" i="2"/>
  <c r="AA226" i="2"/>
  <c r="AA225" i="2"/>
  <c r="AA215" i="2"/>
  <c r="AW178" i="2"/>
  <c r="AR171" i="2"/>
  <c r="L3" i="6"/>
  <c r="AJ190" i="6" s="1"/>
  <c r="AJ192" i="6" s="1"/>
  <c r="AB201" i="2"/>
  <c r="AB200" i="2"/>
  <c r="AA201" i="2"/>
  <c r="AA200" i="2"/>
  <c r="E3" i="6"/>
  <c r="U200" i="2"/>
  <c r="U201" i="2"/>
  <c r="P199" i="6"/>
  <c r="P197" i="6"/>
  <c r="AF190" i="6"/>
  <c r="AF185" i="6"/>
  <c r="AF177" i="6"/>
  <c r="AF158" i="6"/>
  <c r="AD150" i="6"/>
  <c r="AF162" i="6"/>
  <c r="AF153" i="6"/>
  <c r="AF173" i="6"/>
  <c r="P175" i="6"/>
  <c r="W157" i="2"/>
  <c r="W115" i="2"/>
  <c r="W144" i="2"/>
  <c r="W152" i="2"/>
  <c r="W120" i="2"/>
  <c r="W128" i="2"/>
  <c r="W136" i="2"/>
  <c r="W113" i="2"/>
  <c r="W141" i="2"/>
  <c r="W149" i="2"/>
  <c r="W117" i="2"/>
  <c r="W125" i="2"/>
  <c r="W133" i="2"/>
  <c r="W146" i="2"/>
  <c r="W154" i="2"/>
  <c r="W123" i="2"/>
  <c r="W122" i="2"/>
  <c r="W130" i="2"/>
  <c r="W138" i="2"/>
  <c r="W131" i="2"/>
  <c r="W114" i="2"/>
  <c r="W143" i="2"/>
  <c r="W151" i="2"/>
  <c r="W119" i="2"/>
  <c r="W127" i="2"/>
  <c r="W135" i="2"/>
  <c r="W140" i="2"/>
  <c r="W148" i="2"/>
  <c r="W156" i="2"/>
  <c r="W116" i="2"/>
  <c r="W124" i="2"/>
  <c r="W132" i="2"/>
  <c r="W145" i="2"/>
  <c r="W153" i="2"/>
  <c r="W121" i="2"/>
  <c r="W129" i="2"/>
  <c r="W137" i="2"/>
  <c r="W142" i="2"/>
  <c r="W150" i="2"/>
  <c r="W118" i="2"/>
  <c r="W126" i="2"/>
  <c r="W134" i="2"/>
  <c r="W139" i="2"/>
  <c r="W147" i="2"/>
  <c r="W155" i="2"/>
  <c r="U141" i="2"/>
  <c r="U149" i="2"/>
  <c r="U120" i="2"/>
  <c r="U117" i="2"/>
  <c r="U125" i="2"/>
  <c r="U133" i="2"/>
  <c r="U146" i="2"/>
  <c r="U154" i="2"/>
  <c r="U122" i="2"/>
  <c r="U130" i="2"/>
  <c r="U138" i="2"/>
  <c r="U114" i="2"/>
  <c r="U143" i="2"/>
  <c r="U151" i="2"/>
  <c r="U136" i="2"/>
  <c r="U113" i="2"/>
  <c r="U119" i="2"/>
  <c r="U127" i="2"/>
  <c r="U135" i="2"/>
  <c r="U140" i="2"/>
  <c r="U148" i="2"/>
  <c r="U156" i="2"/>
  <c r="U116" i="2"/>
  <c r="U124" i="2"/>
  <c r="U132" i="2"/>
  <c r="U145" i="2"/>
  <c r="U153" i="2"/>
  <c r="U121" i="2"/>
  <c r="U129" i="2"/>
  <c r="U137" i="2"/>
  <c r="U142" i="2"/>
  <c r="U150" i="2"/>
  <c r="U118" i="2"/>
  <c r="U126" i="2"/>
  <c r="U134" i="2"/>
  <c r="U139" i="2"/>
  <c r="U147" i="2"/>
  <c r="U155" i="2"/>
  <c r="U123" i="2"/>
  <c r="U131" i="2"/>
  <c r="U128" i="2"/>
  <c r="U157" i="2"/>
  <c r="U115" i="2"/>
  <c r="U144" i="2"/>
  <c r="U152" i="2"/>
  <c r="AA142" i="2"/>
  <c r="AA150" i="2"/>
  <c r="AA121" i="2"/>
  <c r="AA129" i="2"/>
  <c r="AA137" i="2"/>
  <c r="AA118" i="2"/>
  <c r="AA126" i="2"/>
  <c r="AA134" i="2"/>
  <c r="AA139" i="2"/>
  <c r="AA147" i="2"/>
  <c r="AA155" i="2"/>
  <c r="AA115" i="2"/>
  <c r="AA123" i="2"/>
  <c r="AA131" i="2"/>
  <c r="AA157" i="2"/>
  <c r="AA144" i="2"/>
  <c r="AA152" i="2"/>
  <c r="AA120" i="2"/>
  <c r="AA128" i="2"/>
  <c r="AA136" i="2"/>
  <c r="AA113" i="2"/>
  <c r="AA141" i="2"/>
  <c r="AA149" i="2"/>
  <c r="AA117" i="2"/>
  <c r="AA125" i="2"/>
  <c r="AA133" i="2"/>
  <c r="AA146" i="2"/>
  <c r="AA154" i="2"/>
  <c r="AA122" i="2"/>
  <c r="AA130" i="2"/>
  <c r="AA114" i="2"/>
  <c r="AA143" i="2"/>
  <c r="AA151" i="2"/>
  <c r="AA119" i="2"/>
  <c r="AA127" i="2"/>
  <c r="AA135" i="2"/>
  <c r="AA140" i="2"/>
  <c r="AA148" i="2"/>
  <c r="AA156" i="2"/>
  <c r="AA116" i="2"/>
  <c r="AA124" i="2"/>
  <c r="AA132" i="2"/>
  <c r="AA145" i="2"/>
  <c r="AA153" i="2"/>
  <c r="AA138" i="2"/>
  <c r="Y139" i="2"/>
  <c r="Y147" i="2"/>
  <c r="Y155" i="2"/>
  <c r="Y126" i="2"/>
  <c r="Y134" i="2"/>
  <c r="Y123" i="2"/>
  <c r="Y131" i="2"/>
  <c r="Y157" i="2"/>
  <c r="Y144" i="2"/>
  <c r="Y152" i="2"/>
  <c r="Y120" i="2"/>
  <c r="Y128" i="2"/>
  <c r="Y136" i="2"/>
  <c r="Y113" i="2"/>
  <c r="Y141" i="2"/>
  <c r="Y149" i="2"/>
  <c r="Y117" i="2"/>
  <c r="Y125" i="2"/>
  <c r="Y133" i="2"/>
  <c r="Y146" i="2"/>
  <c r="Y154" i="2"/>
  <c r="Y122" i="2"/>
  <c r="Y130" i="2"/>
  <c r="Y138" i="2"/>
  <c r="Y114" i="2"/>
  <c r="Y143" i="2"/>
  <c r="Y151" i="2"/>
  <c r="Y119" i="2"/>
  <c r="Y127" i="2"/>
  <c r="Y135" i="2"/>
  <c r="Y140" i="2"/>
  <c r="Y148" i="2"/>
  <c r="Y156" i="2"/>
  <c r="Y116" i="2"/>
  <c r="Y124" i="2"/>
  <c r="Y132" i="2"/>
  <c r="Y145" i="2"/>
  <c r="Y153" i="2"/>
  <c r="Y121" i="2"/>
  <c r="Y129" i="2"/>
  <c r="Y137" i="2"/>
  <c r="Y118" i="2"/>
  <c r="Y142" i="2"/>
  <c r="Y150" i="2"/>
  <c r="Y115" i="2"/>
  <c r="AB121" i="2"/>
  <c r="AB129" i="2"/>
  <c r="AB137" i="2"/>
  <c r="AB145" i="2"/>
  <c r="AB153" i="2"/>
  <c r="AB142" i="2"/>
  <c r="AB150" i="2"/>
  <c r="AB118" i="2"/>
  <c r="AB126" i="2"/>
  <c r="AB134" i="2"/>
  <c r="AB139" i="2"/>
  <c r="AB147" i="2"/>
  <c r="AB155" i="2"/>
  <c r="AB115" i="2"/>
  <c r="AB123" i="2"/>
  <c r="AB131" i="2"/>
  <c r="AB157" i="2"/>
  <c r="AB144" i="2"/>
  <c r="AB152" i="2"/>
  <c r="AB120" i="2"/>
  <c r="AB128" i="2"/>
  <c r="AB136" i="2"/>
  <c r="AB113" i="2"/>
  <c r="AB141" i="2"/>
  <c r="AB149" i="2"/>
  <c r="AB117" i="2"/>
  <c r="AB125" i="2"/>
  <c r="AB133" i="2"/>
  <c r="AB138" i="2"/>
  <c r="AB146" i="2"/>
  <c r="AB154" i="2"/>
  <c r="AB122" i="2"/>
  <c r="AB130" i="2"/>
  <c r="AB114" i="2"/>
  <c r="AB143" i="2"/>
  <c r="AB151" i="2"/>
  <c r="AB119" i="2"/>
  <c r="AB127" i="2"/>
  <c r="AB135" i="2"/>
  <c r="AB140" i="2"/>
  <c r="AB148" i="2"/>
  <c r="AB156" i="2"/>
  <c r="AB116" i="2"/>
  <c r="AB124" i="2"/>
  <c r="AB132" i="2"/>
  <c r="AB93" i="2"/>
  <c r="AB101" i="2"/>
  <c r="AB109" i="2"/>
  <c r="AB108" i="2"/>
  <c r="AB106" i="2"/>
  <c r="AB96" i="2"/>
  <c r="AB104" i="2"/>
  <c r="AB91" i="2"/>
  <c r="AB99" i="2"/>
  <c r="AB107" i="2"/>
  <c r="AB94" i="2"/>
  <c r="AB102" i="2"/>
  <c r="AB110" i="2"/>
  <c r="AB97" i="2"/>
  <c r="AB105" i="2"/>
  <c r="AB92" i="2"/>
  <c r="AB100" i="2"/>
  <c r="AB90" i="2"/>
  <c r="AB95" i="2"/>
  <c r="AB103" i="2"/>
  <c r="AB98" i="2"/>
  <c r="W90" i="2"/>
  <c r="W94" i="2"/>
  <c r="W102" i="2"/>
  <c r="W110" i="2"/>
  <c r="W107" i="2"/>
  <c r="W97" i="2"/>
  <c r="W105" i="2"/>
  <c r="W92" i="2"/>
  <c r="W100" i="2"/>
  <c r="W108" i="2"/>
  <c r="W95" i="2"/>
  <c r="W103" i="2"/>
  <c r="W98" i="2"/>
  <c r="W106" i="2"/>
  <c r="W93" i="2"/>
  <c r="W101" i="2"/>
  <c r="W109" i="2"/>
  <c r="W91" i="2"/>
  <c r="W96" i="2"/>
  <c r="W104" i="2"/>
  <c r="W99" i="2"/>
  <c r="AA96" i="2"/>
  <c r="AA104" i="2"/>
  <c r="AA91" i="2"/>
  <c r="AA99" i="2"/>
  <c r="AA107" i="2"/>
  <c r="AA94" i="2"/>
  <c r="AA102" i="2"/>
  <c r="AA110" i="2"/>
  <c r="AA90" i="2"/>
  <c r="AA93" i="2"/>
  <c r="AA97" i="2"/>
  <c r="AA105" i="2"/>
  <c r="AA101" i="2"/>
  <c r="AA109" i="2"/>
  <c r="AA92" i="2"/>
  <c r="AA100" i="2"/>
  <c r="AA108" i="2"/>
  <c r="AA95" i="2"/>
  <c r="AA103" i="2"/>
  <c r="AA98" i="2"/>
  <c r="AA106" i="2"/>
  <c r="U98" i="2"/>
  <c r="U106" i="2"/>
  <c r="U91" i="2"/>
  <c r="U99" i="2"/>
  <c r="U107" i="2"/>
  <c r="U95" i="2"/>
  <c r="U92" i="2"/>
  <c r="U100" i="2"/>
  <c r="U108" i="2"/>
  <c r="U93" i="2"/>
  <c r="U101" i="2"/>
  <c r="U109" i="2"/>
  <c r="U94" i="2"/>
  <c r="U102" i="2"/>
  <c r="U110" i="2"/>
  <c r="U90" i="2"/>
  <c r="U103" i="2"/>
  <c r="U105" i="2"/>
  <c r="U96" i="2"/>
  <c r="U104" i="2"/>
  <c r="U97" i="2"/>
  <c r="Y91" i="2"/>
  <c r="Y99" i="2"/>
  <c r="Y107" i="2"/>
  <c r="Y104" i="2"/>
  <c r="Y94" i="2"/>
  <c r="Y102" i="2"/>
  <c r="Y110" i="2"/>
  <c r="Y97" i="2"/>
  <c r="Y105" i="2"/>
  <c r="Y92" i="2"/>
  <c r="Y100" i="2"/>
  <c r="Y108" i="2"/>
  <c r="Y90" i="2"/>
  <c r="Y95" i="2"/>
  <c r="Y103" i="2"/>
  <c r="Y96" i="2"/>
  <c r="Y98" i="2"/>
  <c r="Y106" i="2"/>
  <c r="Y93" i="2"/>
  <c r="Y101" i="2"/>
  <c r="Y109" i="2"/>
  <c r="AT68" i="2"/>
  <c r="AR74" i="2"/>
  <c r="AX68" i="2"/>
  <c r="AS68" i="2"/>
  <c r="AS78" i="2"/>
  <c r="AP58" i="2"/>
  <c r="AU68" i="2"/>
  <c r="AW68" i="2"/>
  <c r="U54" i="2"/>
  <c r="AQ68" i="2"/>
  <c r="AS61" i="2"/>
  <c r="AS44" i="2"/>
  <c r="AQ54" i="2"/>
  <c r="AR38" i="2"/>
  <c r="AR58" i="2"/>
  <c r="AR51" i="2"/>
  <c r="U34" i="2"/>
  <c r="U35" i="2"/>
  <c r="U43" i="2"/>
  <c r="U51" i="2"/>
  <c r="U59" i="2"/>
  <c r="U67" i="2"/>
  <c r="U75" i="2"/>
  <c r="U83" i="2"/>
  <c r="U40" i="2"/>
  <c r="U48" i="2"/>
  <c r="U56" i="2"/>
  <c r="U64" i="2"/>
  <c r="U72" i="2"/>
  <c r="U80" i="2"/>
  <c r="U37" i="2"/>
  <c r="U45" i="2"/>
  <c r="U53" i="2"/>
  <c r="U61" i="2"/>
  <c r="U69" i="2"/>
  <c r="U77" i="2"/>
  <c r="U85" i="2"/>
  <c r="U42" i="2"/>
  <c r="U50" i="2"/>
  <c r="U58" i="2"/>
  <c r="U66" i="2"/>
  <c r="U74" i="2"/>
  <c r="U82" i="2"/>
  <c r="U39" i="2"/>
  <c r="U47" i="2"/>
  <c r="U55" i="2"/>
  <c r="U63" i="2"/>
  <c r="U71" i="2"/>
  <c r="U79" i="2"/>
  <c r="U87" i="2"/>
  <c r="U36" i="2"/>
  <c r="U44" i="2"/>
  <c r="U52" i="2"/>
  <c r="U60" i="2"/>
  <c r="U68" i="2"/>
  <c r="U76" i="2"/>
  <c r="U84" i="2"/>
  <c r="U41" i="2"/>
  <c r="U49" i="2"/>
  <c r="U57" i="2"/>
  <c r="U65" i="2"/>
  <c r="U73" i="2"/>
  <c r="U81" i="2"/>
  <c r="U38" i="2"/>
  <c r="U46" i="2"/>
  <c r="U62" i="2"/>
  <c r="U78" i="2"/>
  <c r="U70" i="2"/>
  <c r="U86" i="2"/>
  <c r="W38" i="2"/>
  <c r="W46" i="2"/>
  <c r="W54" i="2"/>
  <c r="W62" i="2"/>
  <c r="W70" i="2"/>
  <c r="W78" i="2"/>
  <c r="W86" i="2"/>
  <c r="W35" i="2"/>
  <c r="W43" i="2"/>
  <c r="W51" i="2"/>
  <c r="W59" i="2"/>
  <c r="W67" i="2"/>
  <c r="W75" i="2"/>
  <c r="W83" i="2"/>
  <c r="W34" i="2"/>
  <c r="W40" i="2"/>
  <c r="W48" i="2"/>
  <c r="W56" i="2"/>
  <c r="W64" i="2"/>
  <c r="W72" i="2"/>
  <c r="W80" i="2"/>
  <c r="W37" i="2"/>
  <c r="W45" i="2"/>
  <c r="W53" i="2"/>
  <c r="W61" i="2"/>
  <c r="W69" i="2"/>
  <c r="W77" i="2"/>
  <c r="W85" i="2"/>
  <c r="W42" i="2"/>
  <c r="W50" i="2"/>
  <c r="W58" i="2"/>
  <c r="W66" i="2"/>
  <c r="W74" i="2"/>
  <c r="W82" i="2"/>
  <c r="W39" i="2"/>
  <c r="W47" i="2"/>
  <c r="W55" i="2"/>
  <c r="W63" i="2"/>
  <c r="W71" i="2"/>
  <c r="W79" i="2"/>
  <c r="W87" i="2"/>
  <c r="W36" i="2"/>
  <c r="W44" i="2"/>
  <c r="W52" i="2"/>
  <c r="W60" i="2"/>
  <c r="W68" i="2"/>
  <c r="W76" i="2"/>
  <c r="W84" i="2"/>
  <c r="W41" i="2"/>
  <c r="W49" i="2"/>
  <c r="W57" i="2"/>
  <c r="W65" i="2"/>
  <c r="W81" i="2"/>
  <c r="W73" i="2"/>
  <c r="AA36" i="2"/>
  <c r="AA44" i="2"/>
  <c r="AA60" i="2"/>
  <c r="AA68" i="2"/>
  <c r="AA76" i="2"/>
  <c r="AA84" i="2"/>
  <c r="AA41" i="2"/>
  <c r="AA49" i="2"/>
  <c r="AA57" i="2"/>
  <c r="AA65" i="2"/>
  <c r="AA73" i="2"/>
  <c r="AA81" i="2"/>
  <c r="AA38" i="2"/>
  <c r="AA46" i="2"/>
  <c r="AA54" i="2"/>
  <c r="AA62" i="2"/>
  <c r="AA70" i="2"/>
  <c r="AA78" i="2"/>
  <c r="AA86" i="2"/>
  <c r="AA35" i="2"/>
  <c r="AA43" i="2"/>
  <c r="AA51" i="2"/>
  <c r="AA59" i="2"/>
  <c r="AA67" i="2"/>
  <c r="AA75" i="2"/>
  <c r="AA83" i="2"/>
  <c r="AA34" i="2"/>
  <c r="AA40" i="2"/>
  <c r="AA48" i="2"/>
  <c r="AA56" i="2"/>
  <c r="AA64" i="2"/>
  <c r="AA72" i="2"/>
  <c r="AA80" i="2"/>
  <c r="AA37" i="2"/>
  <c r="AA45" i="2"/>
  <c r="AA53" i="2"/>
  <c r="AA61" i="2"/>
  <c r="AA69" i="2"/>
  <c r="AA77" i="2"/>
  <c r="AA85" i="2"/>
  <c r="AA42" i="2"/>
  <c r="AA50" i="2"/>
  <c r="AA58" i="2"/>
  <c r="AA66" i="2"/>
  <c r="AA74" i="2"/>
  <c r="AA82" i="2"/>
  <c r="AA39" i="2"/>
  <c r="AA47" i="2"/>
  <c r="AA55" i="2"/>
  <c r="AA63" i="2"/>
  <c r="AA79" i="2"/>
  <c r="AA71" i="2"/>
  <c r="AA87" i="2"/>
  <c r="AB36" i="2"/>
  <c r="AB44" i="2"/>
  <c r="AB60" i="2"/>
  <c r="AB68" i="2"/>
  <c r="AB76" i="2"/>
  <c r="AB84" i="2"/>
  <c r="AB41" i="2"/>
  <c r="AB49" i="2"/>
  <c r="AB57" i="2"/>
  <c r="AB65" i="2"/>
  <c r="AB73" i="2"/>
  <c r="AB81" i="2"/>
  <c r="AB38" i="2"/>
  <c r="AB46" i="2"/>
  <c r="AB54" i="2"/>
  <c r="AB62" i="2"/>
  <c r="AB70" i="2"/>
  <c r="AB78" i="2"/>
  <c r="AB86" i="2"/>
  <c r="AB35" i="2"/>
  <c r="AB43" i="2"/>
  <c r="AB51" i="2"/>
  <c r="AB59" i="2"/>
  <c r="AB67" i="2"/>
  <c r="AB75" i="2"/>
  <c r="AB83" i="2"/>
  <c r="AB34" i="2"/>
  <c r="AB40" i="2"/>
  <c r="AB48" i="2"/>
  <c r="AB56" i="2"/>
  <c r="AB64" i="2"/>
  <c r="AB72" i="2"/>
  <c r="AB80" i="2"/>
  <c r="AB37" i="2"/>
  <c r="AB45" i="2"/>
  <c r="AB53" i="2"/>
  <c r="AB61" i="2"/>
  <c r="AB69" i="2"/>
  <c r="AB77" i="2"/>
  <c r="AB85" i="2"/>
  <c r="AB42" i="2"/>
  <c r="AB50" i="2"/>
  <c r="AB58" i="2"/>
  <c r="AB66" i="2"/>
  <c r="AB74" i="2"/>
  <c r="AB82" i="2"/>
  <c r="AB63" i="2"/>
  <c r="AB39" i="2"/>
  <c r="AB79" i="2"/>
  <c r="AB47" i="2"/>
  <c r="AB71" i="2"/>
  <c r="AB55" i="2"/>
  <c r="AB87" i="2"/>
  <c r="Y41" i="2"/>
  <c r="Y49" i="2"/>
  <c r="Y57" i="2"/>
  <c r="Y65" i="2"/>
  <c r="Y73" i="2"/>
  <c r="Y81" i="2"/>
  <c r="Y38" i="2"/>
  <c r="Y46" i="2"/>
  <c r="Y54" i="2"/>
  <c r="Y62" i="2"/>
  <c r="Y70" i="2"/>
  <c r="Y78" i="2"/>
  <c r="Y86" i="2"/>
  <c r="Y35" i="2"/>
  <c r="Y43" i="2"/>
  <c r="Y51" i="2"/>
  <c r="Y59" i="2"/>
  <c r="Y67" i="2"/>
  <c r="Y75" i="2"/>
  <c r="Y83" i="2"/>
  <c r="Y34" i="2"/>
  <c r="Y40" i="2"/>
  <c r="Y48" i="2"/>
  <c r="Y56" i="2"/>
  <c r="Y64" i="2"/>
  <c r="Y72" i="2"/>
  <c r="Y80" i="2"/>
  <c r="Y37" i="2"/>
  <c r="Y45" i="2"/>
  <c r="Y53" i="2"/>
  <c r="Y61" i="2"/>
  <c r="Y69" i="2"/>
  <c r="Y77" i="2"/>
  <c r="Y85" i="2"/>
  <c r="Y42" i="2"/>
  <c r="Y50" i="2"/>
  <c r="Y58" i="2"/>
  <c r="Y66" i="2"/>
  <c r="Y74" i="2"/>
  <c r="Y82" i="2"/>
  <c r="Y39" i="2"/>
  <c r="Y47" i="2"/>
  <c r="Y55" i="2"/>
  <c r="Y63" i="2"/>
  <c r="Y71" i="2"/>
  <c r="Y79" i="2"/>
  <c r="Y87" i="2"/>
  <c r="Y36" i="2"/>
  <c r="Y44" i="2"/>
  <c r="Y60" i="2"/>
  <c r="Y76" i="2"/>
  <c r="Y68" i="2"/>
  <c r="Y84" i="2"/>
  <c r="AF56" i="6"/>
  <c r="AO64" i="6"/>
  <c r="AF52" i="6"/>
  <c r="AF48" i="6"/>
  <c r="AF42" i="6"/>
  <c r="AF40" i="6"/>
  <c r="AF38" i="6"/>
  <c r="AF32" i="6"/>
  <c r="AF28" i="6"/>
  <c r="AF30" i="6"/>
  <c r="K3" i="6"/>
  <c r="W2" i="2"/>
  <c r="V2" i="2"/>
  <c r="D13" i="2"/>
  <c r="D5" i="2"/>
  <c r="I7" i="1" s="1"/>
  <c r="D4" i="2"/>
  <c r="G8" i="1" s="1"/>
  <c r="D9" i="2"/>
  <c r="D3" i="2"/>
  <c r="G7" i="1" s="1"/>
  <c r="D6" i="2"/>
  <c r="I8" i="1" s="1"/>
  <c r="D12" i="2"/>
  <c r="D8" i="2"/>
  <c r="AE416" i="2" l="1"/>
  <c r="AF416" i="2"/>
  <c r="AG416" i="2"/>
  <c r="AH416" i="2"/>
  <c r="AI416" i="2"/>
  <c r="AJ416" i="2"/>
  <c r="AK416" i="2"/>
  <c r="AL416" i="2"/>
  <c r="AM416" i="2"/>
  <c r="H416" i="2"/>
  <c r="AM412" i="2"/>
  <c r="AK412" i="2"/>
  <c r="AH422" i="2"/>
  <c r="AH413" i="2"/>
  <c r="AH423" i="2"/>
  <c r="AM419" i="2"/>
  <c r="AL422" i="2"/>
  <c r="AL412" i="2"/>
  <c r="AH412" i="2"/>
  <c r="AK419" i="2"/>
  <c r="AJ419" i="2"/>
  <c r="AI419" i="2"/>
  <c r="AK413" i="2"/>
  <c r="AI413" i="2"/>
  <c r="AJ412" i="2"/>
  <c r="AH419" i="2"/>
  <c r="H419" i="2" s="1"/>
  <c r="AK422" i="2"/>
  <c r="AM423" i="2"/>
  <c r="AJ422" i="2"/>
  <c r="H422" i="2" s="1"/>
  <c r="AL423" i="2"/>
  <c r="AH415" i="2"/>
  <c r="AJ403" i="2"/>
  <c r="AI422" i="2"/>
  <c r="AK411" i="2"/>
  <c r="AK425" i="2"/>
  <c r="AJ434" i="2"/>
  <c r="AL410" i="2"/>
  <c r="AM413" i="2"/>
  <c r="AK406" i="2"/>
  <c r="AM396" i="2"/>
  <c r="AK398" i="2"/>
  <c r="AL413" i="2"/>
  <c r="AL394" i="2"/>
  <c r="AH393" i="2"/>
  <c r="AI417" i="2"/>
  <c r="AH417" i="2"/>
  <c r="AM417" i="2"/>
  <c r="AL417" i="2"/>
  <c r="AH421" i="2"/>
  <c r="AI405" i="2"/>
  <c r="AF410" i="2"/>
  <c r="AD409" i="2"/>
  <c r="AK393" i="2"/>
  <c r="AH398" i="2"/>
  <c r="AJ393" i="2"/>
  <c r="AI394" i="2"/>
  <c r="AI393" i="2"/>
  <c r="AL425" i="2"/>
  <c r="AE409" i="2"/>
  <c r="AM410" i="2"/>
  <c r="AI398" i="2"/>
  <c r="AH394" i="2"/>
  <c r="AM420" i="2"/>
  <c r="AJ410" i="2"/>
  <c r="AJ409" i="2"/>
  <c r="AJ425" i="2"/>
  <c r="AJ421" i="2"/>
  <c r="AM415" i="2"/>
  <c r="AI409" i="2"/>
  <c r="AL415" i="2"/>
  <c r="AI421" i="2"/>
  <c r="AK415" i="2"/>
  <c r="AJ398" i="2"/>
  <c r="AJ415" i="2"/>
  <c r="AI415" i="2"/>
  <c r="AL420" i="2"/>
  <c r="AK420" i="2"/>
  <c r="AJ420" i="2"/>
  <c r="AL407" i="2"/>
  <c r="AH396" i="2"/>
  <c r="AE435" i="2"/>
  <c r="AI420" i="2"/>
  <c r="AF405" i="2"/>
  <c r="AE406" i="2"/>
  <c r="AL393" i="2"/>
  <c r="AM424" i="2"/>
  <c r="AL411" i="2"/>
  <c r="AJ428" i="2"/>
  <c r="AK417" i="2"/>
  <c r="AL424" i="2"/>
  <c r="AJ411" i="2"/>
  <c r="AK424" i="2"/>
  <c r="AM394" i="2"/>
  <c r="AM425" i="2"/>
  <c r="AM397" i="2"/>
  <c r="AJ424" i="2"/>
  <c r="AI425" i="2"/>
  <c r="AH418" i="2"/>
  <c r="AJ429" i="2"/>
  <c r="P292" i="6"/>
  <c r="AM421" i="2"/>
  <c r="AI424" i="2"/>
  <c r="AK394" i="2"/>
  <c r="AH425" i="2"/>
  <c r="AM398" i="2"/>
  <c r="AH430" i="2"/>
  <c r="AL409" i="2"/>
  <c r="AL421" i="2"/>
  <c r="AJ394" i="2"/>
  <c r="AL398" i="2"/>
  <c r="H398" i="2" s="1"/>
  <c r="AK409" i="2"/>
  <c r="AH406" i="2"/>
  <c r="AM430" i="2"/>
  <c r="AL430" i="2"/>
  <c r="AM418" i="2"/>
  <c r="AL418" i="2"/>
  <c r="AK418" i="2"/>
  <c r="AJ418" i="2"/>
  <c r="AI418" i="2"/>
  <c r="AI411" i="2"/>
  <c r="AM411" i="2"/>
  <c r="AH397" i="2"/>
  <c r="AH411" i="2"/>
  <c r="AJ407" i="2"/>
  <c r="AL396" i="2"/>
  <c r="AG407" i="2"/>
  <c r="AH402" i="2"/>
  <c r="AM402" i="2"/>
  <c r="AK402" i="2"/>
  <c r="AL402" i="2"/>
  <c r="AI402" i="2"/>
  <c r="AK397" i="2"/>
  <c r="AK396" i="2"/>
  <c r="AH433" i="2"/>
  <c r="AI433" i="2"/>
  <c r="AM433" i="2"/>
  <c r="AL433" i="2"/>
  <c r="AK433" i="2"/>
  <c r="AJ397" i="2"/>
  <c r="AJ396" i="2"/>
  <c r="AL428" i="2"/>
  <c r="AM428" i="2"/>
  <c r="AK428" i="2"/>
  <c r="AI428" i="2"/>
  <c r="AH428" i="2"/>
  <c r="AJ402" i="2"/>
  <c r="AI397" i="2"/>
  <c r="AE407" i="2"/>
  <c r="AI396" i="2"/>
  <c r="AL404" i="2"/>
  <c r="AI404" i="2"/>
  <c r="AH404" i="2"/>
  <c r="AM404" i="2"/>
  <c r="AK404" i="2"/>
  <c r="AL397" i="2"/>
  <c r="AK405" i="2"/>
  <c r="AL427" i="2"/>
  <c r="AM427" i="2"/>
  <c r="AK427" i="2"/>
  <c r="AH427" i="2"/>
  <c r="AI427" i="2"/>
  <c r="AL429" i="2"/>
  <c r="AI429" i="2"/>
  <c r="AK429" i="2"/>
  <c r="AH429" i="2"/>
  <c r="AM429" i="2"/>
  <c r="H414" i="2"/>
  <c r="AL392" i="2"/>
  <c r="AM392" i="2"/>
  <c r="AH392" i="2"/>
  <c r="AI392" i="2"/>
  <c r="AK392" i="2"/>
  <c r="AM432" i="2"/>
  <c r="AI432" i="2"/>
  <c r="AH432" i="2"/>
  <c r="AL432" i="2"/>
  <c r="AK432" i="2"/>
  <c r="P291" i="6"/>
  <c r="H423" i="2"/>
  <c r="AI395" i="2"/>
  <c r="AK400" i="2"/>
  <c r="AH400" i="2"/>
  <c r="AM400" i="2"/>
  <c r="AI400" i="2"/>
  <c r="AL400" i="2"/>
  <c r="AM431" i="2"/>
  <c r="AI431" i="2"/>
  <c r="AK431" i="2"/>
  <c r="AL431" i="2"/>
  <c r="AH431" i="2"/>
  <c r="AJ433" i="2"/>
  <c r="P285" i="6"/>
  <c r="AE408" i="2"/>
  <c r="AM395" i="2"/>
  <c r="AH403" i="2"/>
  <c r="AI403" i="2"/>
  <c r="AK403" i="2"/>
  <c r="AL403" i="2"/>
  <c r="AM403" i="2"/>
  <c r="AK399" i="2"/>
  <c r="AL399" i="2"/>
  <c r="AI399" i="2"/>
  <c r="AM399" i="2"/>
  <c r="AH399" i="2"/>
  <c r="AJ392" i="2"/>
  <c r="P284" i="6"/>
  <c r="AF407" i="2"/>
  <c r="AE405" i="2"/>
  <c r="AH395" i="2"/>
  <c r="AL434" i="2"/>
  <c r="AI434" i="2"/>
  <c r="AM434" i="2"/>
  <c r="AK434" i="2"/>
  <c r="AH434" i="2"/>
  <c r="AJ399" i="2"/>
  <c r="AL395" i="2"/>
  <c r="AJ400" i="2"/>
  <c r="H412" i="2"/>
  <c r="AH407" i="2"/>
  <c r="AI430" i="2"/>
  <c r="AK395" i="2"/>
  <c r="AJ431" i="2"/>
  <c r="AM407" i="2"/>
  <c r="AM393" i="2"/>
  <c r="AJ430" i="2"/>
  <c r="AH401" i="2"/>
  <c r="AK401" i="2"/>
  <c r="AM401" i="2"/>
  <c r="AI401" i="2"/>
  <c r="AL401" i="2"/>
  <c r="AJ432" i="2"/>
  <c r="H417" i="2"/>
  <c r="AG410" i="2"/>
  <c r="AI426" i="2"/>
  <c r="AK426" i="2"/>
  <c r="AH426" i="2"/>
  <c r="AM426" i="2"/>
  <c r="AL426" i="2"/>
  <c r="AJ404" i="2"/>
  <c r="AH408" i="2"/>
  <c r="AD408" i="2"/>
  <c r="AH435" i="2"/>
  <c r="AM408" i="2"/>
  <c r="AL435" i="2"/>
  <c r="AL408" i="2"/>
  <c r="AD410" i="2"/>
  <c r="AM435" i="2"/>
  <c r="AK408" i="2"/>
  <c r="AI410" i="2"/>
  <c r="AK435" i="2"/>
  <c r="AI408" i="2"/>
  <c r="AJ435" i="2"/>
  <c r="AJ408" i="2"/>
  <c r="AH405" i="2"/>
  <c r="AG408" i="2"/>
  <c r="AD435" i="2"/>
  <c r="AF435" i="2"/>
  <c r="AG405" i="2"/>
  <c r="AI435" i="2"/>
  <c r="AF406" i="2"/>
  <c r="AJ405" i="2"/>
  <c r="AM406" i="2"/>
  <c r="AK407" i="2"/>
  <c r="AF409" i="2"/>
  <c r="AD405" i="2"/>
  <c r="AJ406" i="2"/>
  <c r="AI407" i="2"/>
  <c r="AM405" i="2"/>
  <c r="AI406" i="2"/>
  <c r="AD407" i="2"/>
  <c r="AG406" i="2"/>
  <c r="AG409" i="2"/>
  <c r="AL405" i="2"/>
  <c r="AD406" i="2"/>
  <c r="AG435" i="2"/>
  <c r="AH409" i="2"/>
  <c r="AF408" i="2"/>
  <c r="AL406" i="2"/>
  <c r="AM409" i="2"/>
  <c r="AE410" i="2"/>
  <c r="AH410" i="2"/>
  <c r="P255" i="6"/>
  <c r="O253" i="6"/>
  <c r="O252" i="6"/>
  <c r="P252" i="6"/>
  <c r="O258" i="6"/>
  <c r="P258" i="6"/>
  <c r="O248" i="6"/>
  <c r="O292" i="6"/>
  <c r="O175" i="6"/>
  <c r="O293" i="6"/>
  <c r="O199" i="6"/>
  <c r="O275" i="6"/>
  <c r="O266" i="6"/>
  <c r="O281" i="6"/>
  <c r="O291" i="6"/>
  <c r="O284" i="6"/>
  <c r="O249" i="6"/>
  <c r="O285" i="6"/>
  <c r="O286" i="6"/>
  <c r="AB400" i="6"/>
  <c r="AI400" i="6" s="1"/>
  <c r="AH400" i="6" s="1"/>
  <c r="O288" i="6"/>
  <c r="O289" i="6"/>
  <c r="O290" i="6"/>
  <c r="O251" i="6"/>
  <c r="O250" i="6"/>
  <c r="O256" i="6"/>
  <c r="P256" i="6"/>
  <c r="O261" i="6"/>
  <c r="O247" i="6"/>
  <c r="AB394" i="6"/>
  <c r="AI394" i="6" s="1"/>
  <c r="AH394" i="6" s="1"/>
  <c r="P287" i="6"/>
  <c r="AB382" i="6"/>
  <c r="AI382" i="6" s="1"/>
  <c r="AH382" i="6" s="1"/>
  <c r="P254" i="6"/>
  <c r="P274" i="6"/>
  <c r="P259" i="6"/>
  <c r="P222" i="6"/>
  <c r="P272" i="6"/>
  <c r="O254" i="6"/>
  <c r="P288" i="6"/>
  <c r="P276" i="6"/>
  <c r="P260" i="6"/>
  <c r="P253" i="6"/>
  <c r="P278" i="6"/>
  <c r="P261" i="6"/>
  <c r="P265" i="6"/>
  <c r="P286" i="6"/>
  <c r="P282" i="6"/>
  <c r="P262" i="6"/>
  <c r="P283" i="6"/>
  <c r="P263" i="6"/>
  <c r="P279" i="6"/>
  <c r="O287" i="6"/>
  <c r="P264" i="6"/>
  <c r="P271" i="6"/>
  <c r="O413" i="6"/>
  <c r="O403" i="6"/>
  <c r="O400" i="6"/>
  <c r="O423" i="6"/>
  <c r="AB390" i="6"/>
  <c r="AI390" i="6" s="1"/>
  <c r="AH390" i="6" s="1"/>
  <c r="AB396" i="6"/>
  <c r="AI396" i="6" s="1"/>
  <c r="O397" i="6"/>
  <c r="O396" i="6"/>
  <c r="AB248" i="6"/>
  <c r="O420" i="6"/>
  <c r="O421" i="6"/>
  <c r="O422" i="6"/>
  <c r="O419" i="6"/>
  <c r="O415" i="6"/>
  <c r="O414" i="6"/>
  <c r="O416" i="6"/>
  <c r="O398" i="6"/>
  <c r="O417" i="6"/>
  <c r="O402" i="6"/>
  <c r="O399" i="6"/>
  <c r="O412" i="6"/>
  <c r="O411" i="6"/>
  <c r="O410" i="6"/>
  <c r="O409" i="6"/>
  <c r="O408" i="6"/>
  <c r="O407" i="6"/>
  <c r="O406" i="6"/>
  <c r="O405" i="6"/>
  <c r="O401" i="6"/>
  <c r="O404" i="6"/>
  <c r="AF51" i="2"/>
  <c r="L395" i="6"/>
  <c r="L396" i="6"/>
  <c r="L397" i="6"/>
  <c r="L394" i="6"/>
  <c r="L393" i="6"/>
  <c r="N394" i="6"/>
  <c r="AW249" i="2"/>
  <c r="O390" i="6"/>
  <c r="O388" i="6"/>
  <c r="O391" i="6"/>
  <c r="O392" i="6"/>
  <c r="O387" i="6"/>
  <c r="O389" i="6"/>
  <c r="O385" i="6"/>
  <c r="O386" i="6"/>
  <c r="O384" i="6"/>
  <c r="O383" i="6"/>
  <c r="O381" i="6"/>
  <c r="O393" i="6"/>
  <c r="AB26" i="6"/>
  <c r="AI26" i="6" s="1"/>
  <c r="O59" i="6" s="1"/>
  <c r="AB386" i="6"/>
  <c r="AI386" i="6" s="1"/>
  <c r="AH386" i="6" s="1"/>
  <c r="L387" i="6"/>
  <c r="L405" i="6"/>
  <c r="L415" i="6"/>
  <c r="L423" i="6"/>
  <c r="L380" i="6"/>
  <c r="L420" i="6"/>
  <c r="L382" i="6"/>
  <c r="L384" i="6"/>
  <c r="L386" i="6"/>
  <c r="L388" i="6"/>
  <c r="L390" i="6"/>
  <c r="L392" i="6"/>
  <c r="L398" i="6"/>
  <c r="L400" i="6"/>
  <c r="L402" i="6"/>
  <c r="L404" i="6"/>
  <c r="L406" i="6"/>
  <c r="L408" i="6"/>
  <c r="L410" i="6"/>
  <c r="L412" i="6"/>
  <c r="L414" i="6"/>
  <c r="L416" i="6"/>
  <c r="L418" i="6"/>
  <c r="L422" i="6"/>
  <c r="L383" i="6"/>
  <c r="L403" i="6"/>
  <c r="L411" i="6"/>
  <c r="L419" i="6"/>
  <c r="L389" i="6"/>
  <c r="L401" i="6"/>
  <c r="L413" i="6"/>
  <c r="L421" i="6"/>
  <c r="L381" i="6"/>
  <c r="L409" i="6"/>
  <c r="L385" i="6"/>
  <c r="L391" i="6"/>
  <c r="L399" i="6"/>
  <c r="L407" i="6"/>
  <c r="L417" i="6"/>
  <c r="N383" i="6"/>
  <c r="N385" i="6"/>
  <c r="N387" i="6"/>
  <c r="N389" i="6"/>
  <c r="N391" i="6"/>
  <c r="N393" i="6"/>
  <c r="N397" i="6"/>
  <c r="N399" i="6"/>
  <c r="N401" i="6"/>
  <c r="N403" i="6"/>
  <c r="N405" i="6"/>
  <c r="N407" i="6"/>
  <c r="N409" i="6"/>
  <c r="N411" i="6"/>
  <c r="N413" i="6"/>
  <c r="N415" i="6"/>
  <c r="N417" i="6"/>
  <c r="N419" i="6"/>
  <c r="N421" i="6"/>
  <c r="N423" i="6"/>
  <c r="N381" i="6"/>
  <c r="N412" i="6"/>
  <c r="N418" i="6"/>
  <c r="N416" i="6"/>
  <c r="N380" i="6"/>
  <c r="N420" i="6"/>
  <c r="N382" i="6"/>
  <c r="N384" i="6"/>
  <c r="N386" i="6"/>
  <c r="N388" i="6"/>
  <c r="N390" i="6"/>
  <c r="N392" i="6"/>
  <c r="N396" i="6"/>
  <c r="N398" i="6"/>
  <c r="N400" i="6"/>
  <c r="N402" i="6"/>
  <c r="N404" i="6"/>
  <c r="N406" i="6"/>
  <c r="N408" i="6"/>
  <c r="N410" i="6"/>
  <c r="N414" i="6"/>
  <c r="N422" i="6"/>
  <c r="AL132" i="2"/>
  <c r="AL119" i="2"/>
  <c r="AL138" i="2"/>
  <c r="AI118" i="2"/>
  <c r="AI152" i="2"/>
  <c r="AK156" i="2"/>
  <c r="AK114" i="2"/>
  <c r="AL128" i="2"/>
  <c r="AK126" i="2"/>
  <c r="AD121" i="2"/>
  <c r="AD140" i="2"/>
  <c r="AI137" i="2"/>
  <c r="AK144" i="2"/>
  <c r="AK143" i="2"/>
  <c r="AJ148" i="2"/>
  <c r="AK149" i="2"/>
  <c r="AK157" i="2"/>
  <c r="AL150" i="2"/>
  <c r="AI116" i="2"/>
  <c r="AI143" i="2"/>
  <c r="AK130" i="2"/>
  <c r="AD110" i="2"/>
  <c r="AF127" i="2"/>
  <c r="AH48" i="2"/>
  <c r="AL144" i="2"/>
  <c r="AI121" i="2"/>
  <c r="AJ122" i="2"/>
  <c r="AD141" i="2"/>
  <c r="AM143" i="2"/>
  <c r="O328" i="6"/>
  <c r="AL120" i="2"/>
  <c r="AI139" i="2"/>
  <c r="AF115" i="2"/>
  <c r="AH135" i="2"/>
  <c r="AL143" i="2"/>
  <c r="AK122" i="2"/>
  <c r="AJ113" i="2"/>
  <c r="AJ154" i="2"/>
  <c r="AL155" i="2"/>
  <c r="AL133" i="2"/>
  <c r="AK148" i="2"/>
  <c r="AK140" i="2"/>
  <c r="AE99" i="2"/>
  <c r="AH123" i="2"/>
  <c r="AL153" i="2"/>
  <c r="AI125" i="2"/>
  <c r="AI147" i="2"/>
  <c r="AI117" i="2"/>
  <c r="AI144" i="2"/>
  <c r="AK141" i="2"/>
  <c r="AF134" i="2"/>
  <c r="AI129" i="2"/>
  <c r="AJ150" i="2"/>
  <c r="AJ144" i="2"/>
  <c r="O327" i="6"/>
  <c r="AL134" i="2"/>
  <c r="AD130" i="2"/>
  <c r="AK135" i="2"/>
  <c r="AK115" i="2"/>
  <c r="AM147" i="2"/>
  <c r="AD129" i="2"/>
  <c r="AH125" i="2"/>
  <c r="AK127" i="2"/>
  <c r="AH139" i="2"/>
  <c r="AJ140" i="2"/>
  <c r="AM144" i="2"/>
  <c r="AJ129" i="2"/>
  <c r="AF144" i="2"/>
  <c r="AJ143" i="2"/>
  <c r="AM130" i="2"/>
  <c r="AH134" i="2"/>
  <c r="AD127" i="2"/>
  <c r="AG144" i="2"/>
  <c r="AG143" i="2"/>
  <c r="AJ128" i="2"/>
  <c r="AJ118" i="2"/>
  <c r="AH132" i="2"/>
  <c r="AF119" i="2"/>
  <c r="AM122" i="2"/>
  <c r="AJ141" i="2"/>
  <c r="AH150" i="2"/>
  <c r="AH127" i="2"/>
  <c r="AH144" i="2"/>
  <c r="AH143" i="2"/>
  <c r="AH131" i="2"/>
  <c r="AH124" i="2"/>
  <c r="AG151" i="2"/>
  <c r="AG136" i="2"/>
  <c r="AH140" i="2"/>
  <c r="AD139" i="2"/>
  <c r="AF143" i="2"/>
  <c r="AD113" i="2"/>
  <c r="AH156" i="2"/>
  <c r="AD114" i="2"/>
  <c r="AF123" i="2"/>
  <c r="AE142" i="2"/>
  <c r="AF116" i="2"/>
  <c r="AJ136" i="2"/>
  <c r="AH146" i="2"/>
  <c r="AD128" i="2"/>
  <c r="AD122" i="2"/>
  <c r="AH115" i="2"/>
  <c r="AJ155" i="2"/>
  <c r="AM156" i="2"/>
  <c r="AH151" i="2"/>
  <c r="AJ114" i="2"/>
  <c r="AJ120" i="2"/>
  <c r="AG124" i="2"/>
  <c r="AG154" i="2"/>
  <c r="AD119" i="2"/>
  <c r="AM138" i="2"/>
  <c r="AL124" i="2"/>
  <c r="AL147" i="2"/>
  <c r="AG146" i="2"/>
  <c r="AD155" i="2"/>
  <c r="AD123" i="2"/>
  <c r="AH148" i="2"/>
  <c r="AD151" i="2"/>
  <c r="AL125" i="2"/>
  <c r="AL139" i="2"/>
  <c r="AL137" i="2"/>
  <c r="AI148" i="2"/>
  <c r="AI149" i="2"/>
  <c r="AK113" i="2"/>
  <c r="AK137" i="2"/>
  <c r="AE137" i="2"/>
  <c r="AE133" i="2"/>
  <c r="AM133" i="2"/>
  <c r="AG137" i="2"/>
  <c r="AG133" i="2"/>
  <c r="AF125" i="2"/>
  <c r="AH155" i="2"/>
  <c r="AF140" i="2"/>
  <c r="AJ152" i="2"/>
  <c r="AL156" i="2"/>
  <c r="AI140" i="2"/>
  <c r="AK153" i="2"/>
  <c r="AE148" i="2"/>
  <c r="AG129" i="2"/>
  <c r="AG131" i="2"/>
  <c r="AM134" i="2"/>
  <c r="AF133" i="2"/>
  <c r="AL130" i="2"/>
  <c r="AL157" i="2"/>
  <c r="AL121" i="2"/>
  <c r="AI135" i="2"/>
  <c r="AI113" i="2"/>
  <c r="AK128" i="2"/>
  <c r="AK121" i="2"/>
  <c r="AE121" i="2"/>
  <c r="AE117" i="2"/>
  <c r="AG138" i="2"/>
  <c r="AH136" i="2"/>
  <c r="AH121" i="2"/>
  <c r="AF151" i="2"/>
  <c r="AD118" i="2"/>
  <c r="AM126" i="2"/>
  <c r="AM137" i="2"/>
  <c r="AL140" i="2"/>
  <c r="AL122" i="2"/>
  <c r="AL141" i="2"/>
  <c r="AL131" i="2"/>
  <c r="AL118" i="2"/>
  <c r="AI115" i="2"/>
  <c r="AI127" i="2"/>
  <c r="AI154" i="2"/>
  <c r="AI136" i="2"/>
  <c r="AI134" i="2"/>
  <c r="AK132" i="2"/>
  <c r="AK119" i="2"/>
  <c r="AK133" i="2"/>
  <c r="AK120" i="2"/>
  <c r="AK147" i="2"/>
  <c r="AK150" i="2"/>
  <c r="AE115" i="2"/>
  <c r="AE134" i="2"/>
  <c r="AE153" i="2"/>
  <c r="AE135" i="2"/>
  <c r="AM135" i="2"/>
  <c r="AE138" i="2"/>
  <c r="AE120" i="2"/>
  <c r="AM120" i="2"/>
  <c r="AG134" i="2"/>
  <c r="AG153" i="2"/>
  <c r="AG135" i="2"/>
  <c r="AG130" i="2"/>
  <c r="AG115" i="2"/>
  <c r="AM121" i="2"/>
  <c r="AF147" i="2"/>
  <c r="AF128" i="2"/>
  <c r="AF113" i="2"/>
  <c r="AH120" i="2"/>
  <c r="AD134" i="2"/>
  <c r="AJ115" i="2"/>
  <c r="AF124" i="2"/>
  <c r="AH142" i="2"/>
  <c r="AJ121" i="2"/>
  <c r="AH133" i="2"/>
  <c r="AJ137" i="2"/>
  <c r="AF121" i="2"/>
  <c r="AD137" i="2"/>
  <c r="AE131" i="2"/>
  <c r="AM131" i="2"/>
  <c r="AE124" i="2"/>
  <c r="AM124" i="2"/>
  <c r="AE113" i="2"/>
  <c r="AM113" i="2"/>
  <c r="AE154" i="2"/>
  <c r="AM154" i="2"/>
  <c r="AJ151" i="2"/>
  <c r="AF136" i="2"/>
  <c r="AF132" i="2"/>
  <c r="AF131" i="2"/>
  <c r="AD125" i="2"/>
  <c r="AL151" i="2"/>
  <c r="AE123" i="2"/>
  <c r="AM123" i="2"/>
  <c r="AG142" i="2"/>
  <c r="AG116" i="2"/>
  <c r="AH141" i="2"/>
  <c r="AF141" i="2"/>
  <c r="AM157" i="2"/>
  <c r="AD146" i="2"/>
  <c r="AJ130" i="2"/>
  <c r="AH130" i="2"/>
  <c r="AF148" i="2"/>
  <c r="AD138" i="2"/>
  <c r="AL116" i="2"/>
  <c r="AL152" i="2"/>
  <c r="AI138" i="2"/>
  <c r="AI157" i="2"/>
  <c r="AK138" i="2"/>
  <c r="AK123" i="2"/>
  <c r="AE156" i="2"/>
  <c r="AG155" i="2"/>
  <c r="AG114" i="2"/>
  <c r="AD120" i="2"/>
  <c r="AD154" i="2"/>
  <c r="AD126" i="2"/>
  <c r="AF120" i="2"/>
  <c r="AD132" i="2"/>
  <c r="AH138" i="2"/>
  <c r="AM148" i="2"/>
  <c r="AL114" i="2"/>
  <c r="AI141" i="2"/>
  <c r="AI131" i="2"/>
  <c r="AK154" i="2"/>
  <c r="AK129" i="2"/>
  <c r="AE125" i="2"/>
  <c r="AG148" i="2"/>
  <c r="AM153" i="2"/>
  <c r="AJ149" i="2"/>
  <c r="AH147" i="2"/>
  <c r="AF139" i="2"/>
  <c r="AL148" i="2"/>
  <c r="AL149" i="2"/>
  <c r="AL126" i="2"/>
  <c r="AI153" i="2"/>
  <c r="AI122" i="2"/>
  <c r="AI123" i="2"/>
  <c r="AK146" i="2"/>
  <c r="AK155" i="2"/>
  <c r="AE139" i="2"/>
  <c r="AE140" i="2"/>
  <c r="AE114" i="2"/>
  <c r="AM114" i="2"/>
  <c r="AG139" i="2"/>
  <c r="AG121" i="2"/>
  <c r="AG140" i="2"/>
  <c r="AG117" i="2"/>
  <c r="AM142" i="2"/>
  <c r="AF137" i="2"/>
  <c r="AJ142" i="2"/>
  <c r="AD131" i="2"/>
  <c r="AH122" i="2"/>
  <c r="AH118" i="2"/>
  <c r="AH137" i="2"/>
  <c r="AJ138" i="2"/>
  <c r="AF129" i="2"/>
  <c r="AJ156" i="2"/>
  <c r="AL135" i="2"/>
  <c r="AL154" i="2"/>
  <c r="AL113" i="2"/>
  <c r="AL123" i="2"/>
  <c r="AI150" i="2"/>
  <c r="AM150" i="2"/>
  <c r="AI132" i="2"/>
  <c r="AI119" i="2"/>
  <c r="AI146" i="2"/>
  <c r="AI128" i="2"/>
  <c r="AI126" i="2"/>
  <c r="AK124" i="2"/>
  <c r="AK151" i="2"/>
  <c r="AK125" i="2"/>
  <c r="AK152" i="2"/>
  <c r="AK139" i="2"/>
  <c r="AK142" i="2"/>
  <c r="AE126" i="2"/>
  <c r="AE127" i="2"/>
  <c r="AE130" i="2"/>
  <c r="AG126" i="2"/>
  <c r="AG127" i="2"/>
  <c r="AG122" i="2"/>
  <c r="AG141" i="2"/>
  <c r="AM127" i="2"/>
  <c r="AD133" i="2"/>
  <c r="AH126" i="2"/>
  <c r="AF135" i="2"/>
  <c r="AH117" i="2"/>
  <c r="AM115" i="2"/>
  <c r="AJ127" i="2"/>
  <c r="AH114" i="2"/>
  <c r="AD135" i="2"/>
  <c r="AF130" i="2"/>
  <c r="AJ139" i="2"/>
  <c r="AF156" i="2"/>
  <c r="AF138" i="2"/>
  <c r="AD156" i="2"/>
  <c r="AM117" i="2"/>
  <c r="AM149" i="2"/>
  <c r="AH152" i="2"/>
  <c r="AH116" i="2"/>
  <c r="AH113" i="2"/>
  <c r="AJ119" i="2"/>
  <c r="AJ157" i="2"/>
  <c r="AJ147" i="2"/>
  <c r="AI156" i="2"/>
  <c r="AI114" i="2"/>
  <c r="AK131" i="2"/>
  <c r="AK118" i="2"/>
  <c r="AE116" i="2"/>
  <c r="AM116" i="2"/>
  <c r="AE136" i="2"/>
  <c r="AM136" i="2"/>
  <c r="AE146" i="2"/>
  <c r="AM146" i="2"/>
  <c r="AG128" i="2"/>
  <c r="AJ124" i="2"/>
  <c r="AD153" i="2"/>
  <c r="AJ132" i="2"/>
  <c r="AJ116" i="2"/>
  <c r="AE155" i="2"/>
  <c r="AM155" i="2"/>
  <c r="AE151" i="2"/>
  <c r="AM151" i="2"/>
  <c r="AG156" i="2"/>
  <c r="AG120" i="2"/>
  <c r="AH128" i="2"/>
  <c r="AJ123" i="2"/>
  <c r="AJ126" i="2"/>
  <c r="AH157" i="2"/>
  <c r="AD124" i="2"/>
  <c r="AF154" i="2"/>
  <c r="AJ153" i="2"/>
  <c r="AJ125" i="2"/>
  <c r="AF114" i="2"/>
  <c r="AL117" i="2"/>
  <c r="AL129" i="2"/>
  <c r="AI130" i="2"/>
  <c r="AK136" i="2"/>
  <c r="AE147" i="2"/>
  <c r="AE129" i="2"/>
  <c r="AM129" i="2"/>
  <c r="AG147" i="2"/>
  <c r="AG125" i="2"/>
  <c r="AF126" i="2"/>
  <c r="AD142" i="2"/>
  <c r="AD136" i="2"/>
  <c r="AF122" i="2"/>
  <c r="AD115" i="2"/>
  <c r="AH154" i="2"/>
  <c r="AF117" i="2"/>
  <c r="AD148" i="2"/>
  <c r="AL127" i="2"/>
  <c r="AL146" i="2"/>
  <c r="AL136" i="2"/>
  <c r="AL115" i="2"/>
  <c r="AL142" i="2"/>
  <c r="AI142" i="2"/>
  <c r="AI124" i="2"/>
  <c r="AI151" i="2"/>
  <c r="AI133" i="2"/>
  <c r="AI120" i="2"/>
  <c r="AI155" i="2"/>
  <c r="AK116" i="2"/>
  <c r="AK117" i="2"/>
  <c r="AK134" i="2"/>
  <c r="AE128" i="2"/>
  <c r="AM128" i="2"/>
  <c r="AE118" i="2"/>
  <c r="AM118" i="2"/>
  <c r="AE132" i="2"/>
  <c r="AM132" i="2"/>
  <c r="AE119" i="2"/>
  <c r="AE122" i="2"/>
  <c r="AE141" i="2"/>
  <c r="AM141" i="2"/>
  <c r="AG118" i="2"/>
  <c r="AG132" i="2"/>
  <c r="AG119" i="2"/>
  <c r="AG123" i="2"/>
  <c r="AG113" i="2"/>
  <c r="AM152" i="2"/>
  <c r="AJ133" i="2"/>
  <c r="AD116" i="2"/>
  <c r="AH129" i="2"/>
  <c r="AF142" i="2"/>
  <c r="AJ135" i="2"/>
  <c r="AH153" i="2"/>
  <c r="AF118" i="2"/>
  <c r="AJ134" i="2"/>
  <c r="AM140" i="2"/>
  <c r="AJ146" i="2"/>
  <c r="AF155" i="2"/>
  <c r="AF146" i="2"/>
  <c r="AJ131" i="2"/>
  <c r="AH119" i="2"/>
  <c r="AF153" i="2"/>
  <c r="AJ117" i="2"/>
  <c r="AM125" i="2"/>
  <c r="AM139" i="2"/>
  <c r="AM119" i="2"/>
  <c r="AD117" i="2"/>
  <c r="AH149" i="2"/>
  <c r="AD147" i="2"/>
  <c r="O22" i="6"/>
  <c r="AF378" i="2"/>
  <c r="AJ385" i="2"/>
  <c r="AX171" i="2"/>
  <c r="AW171" i="2" s="1"/>
  <c r="M180" i="2" s="1"/>
  <c r="X180" i="2" s="1"/>
  <c r="AL388" i="2"/>
  <c r="AI378" i="2"/>
  <c r="AK384" i="2"/>
  <c r="AJ367" i="2"/>
  <c r="AL387" i="2"/>
  <c r="AJ382" i="2"/>
  <c r="AL361" i="2"/>
  <c r="AL355" i="2"/>
  <c r="AB326" i="6"/>
  <c r="AB322" i="6"/>
  <c r="AB330" i="6"/>
  <c r="AB261" i="6"/>
  <c r="AI261" i="6" s="1"/>
  <c r="AB265" i="6"/>
  <c r="AB318" i="6"/>
  <c r="AJ376" i="2"/>
  <c r="AK368" i="2"/>
  <c r="AH379" i="2"/>
  <c r="AJ371" i="2"/>
  <c r="AM379" i="2"/>
  <c r="G25" i="14"/>
  <c r="H25" i="14" s="1"/>
  <c r="I338" i="17"/>
  <c r="AK363" i="2"/>
  <c r="AD380" i="2"/>
  <c r="AJ373" i="2"/>
  <c r="AJ360" i="2"/>
  <c r="AJ372" i="2"/>
  <c r="AI379" i="2"/>
  <c r="AJ366" i="2"/>
  <c r="AJ384" i="2"/>
  <c r="AL380" i="2"/>
  <c r="O347" i="6"/>
  <c r="AH380" i="2"/>
  <c r="AI377" i="2"/>
  <c r="AD376" i="2"/>
  <c r="AJ387" i="2"/>
  <c r="AJ389" i="2"/>
  <c r="AJ378" i="2"/>
  <c r="AL375" i="2"/>
  <c r="AL359" i="2"/>
  <c r="AH381" i="2"/>
  <c r="AL376" i="2"/>
  <c r="AL357" i="2"/>
  <c r="AL382" i="2"/>
  <c r="AL364" i="2"/>
  <c r="AI374" i="2"/>
  <c r="AH374" i="2"/>
  <c r="AM374" i="2"/>
  <c r="AI373" i="2"/>
  <c r="AH373" i="2"/>
  <c r="AM373" i="2"/>
  <c r="AK366" i="2"/>
  <c r="AK361" i="2"/>
  <c r="AI383" i="2"/>
  <c r="AH383" i="2"/>
  <c r="AM383" i="2"/>
  <c r="AJ383" i="2"/>
  <c r="AI381" i="2"/>
  <c r="AH360" i="2"/>
  <c r="AI360" i="2"/>
  <c r="AM360" i="2"/>
  <c r="AL383" i="2"/>
  <c r="AF381" i="2"/>
  <c r="AK359" i="2"/>
  <c r="AJ363" i="2"/>
  <c r="AI362" i="2"/>
  <c r="AH362" i="2"/>
  <c r="AM362" i="2"/>
  <c r="AI356" i="2"/>
  <c r="AH356" i="2"/>
  <c r="AM356" i="2"/>
  <c r="AL374" i="2"/>
  <c r="AK376" i="2"/>
  <c r="AK375" i="2"/>
  <c r="AK357" i="2"/>
  <c r="AG381" i="2"/>
  <c r="O352" i="6"/>
  <c r="AI358" i="2"/>
  <c r="AH358" i="2"/>
  <c r="AM358" i="2"/>
  <c r="AI380" i="2"/>
  <c r="AF380" i="2"/>
  <c r="AL381" i="2"/>
  <c r="AL389" i="2"/>
  <c r="AL362" i="2"/>
  <c r="AK383" i="2"/>
  <c r="AK382" i="2"/>
  <c r="AK364" i="2"/>
  <c r="AE380" i="2"/>
  <c r="AM380" i="2"/>
  <c r="AJ364" i="2"/>
  <c r="AI388" i="2"/>
  <c r="AH388" i="2"/>
  <c r="AM388" i="2"/>
  <c r="AI367" i="2"/>
  <c r="AH367" i="2"/>
  <c r="AM367" i="2"/>
  <c r="AL363" i="2"/>
  <c r="AL373" i="2"/>
  <c r="AL360" i="2"/>
  <c r="AK374" i="2"/>
  <c r="AK389" i="2"/>
  <c r="AK355" i="2"/>
  <c r="AE379" i="2"/>
  <c r="AJ375" i="2"/>
  <c r="AI372" i="2"/>
  <c r="AH372" i="2"/>
  <c r="AM372" i="2"/>
  <c r="AI365" i="2"/>
  <c r="AH365" i="2"/>
  <c r="AM365" i="2"/>
  <c r="AJ368" i="2"/>
  <c r="AK381" i="2"/>
  <c r="AK373" i="2"/>
  <c r="AK362" i="2"/>
  <c r="O372" i="6"/>
  <c r="O330" i="6"/>
  <c r="AJ362" i="2"/>
  <c r="AI363" i="2"/>
  <c r="AH363" i="2"/>
  <c r="AM363" i="2"/>
  <c r="AL372" i="2"/>
  <c r="AL365" i="2"/>
  <c r="AH377" i="2"/>
  <c r="AK354" i="2"/>
  <c r="AK360" i="2"/>
  <c r="AG380" i="2"/>
  <c r="AH376" i="2"/>
  <c r="O356" i="6"/>
  <c r="AI371" i="2"/>
  <c r="AH371" i="2"/>
  <c r="AM371" i="2"/>
  <c r="AI354" i="2"/>
  <c r="AH354" i="2"/>
  <c r="AM354" i="2"/>
  <c r="AL358" i="2"/>
  <c r="AD377" i="2"/>
  <c r="AK388" i="2"/>
  <c r="AK385" i="2"/>
  <c r="AG379" i="2"/>
  <c r="AE378" i="2"/>
  <c r="AM378" i="2"/>
  <c r="AJ365" i="2"/>
  <c r="AI386" i="2"/>
  <c r="AH386" i="2"/>
  <c r="AM386" i="2"/>
  <c r="AI361" i="2"/>
  <c r="AH361" i="2"/>
  <c r="AM361" i="2"/>
  <c r="AF379" i="2"/>
  <c r="AL379" i="2"/>
  <c r="AL371" i="2"/>
  <c r="AJ354" i="2"/>
  <c r="AK372" i="2"/>
  <c r="AK380" i="2"/>
  <c r="AE377" i="2"/>
  <c r="AI389" i="2"/>
  <c r="AH389" i="2"/>
  <c r="AM389" i="2"/>
  <c r="AJ374" i="2"/>
  <c r="AM376" i="2"/>
  <c r="AI370" i="2"/>
  <c r="AH370" i="2"/>
  <c r="AM370" i="2"/>
  <c r="AI359" i="2"/>
  <c r="AH359" i="2"/>
  <c r="AM359" i="2"/>
  <c r="AJ359" i="2"/>
  <c r="AL386" i="2"/>
  <c r="AL378" i="2"/>
  <c r="AJ386" i="2"/>
  <c r="AK358" i="2"/>
  <c r="AK356" i="2"/>
  <c r="AJ388" i="2"/>
  <c r="AI366" i="2"/>
  <c r="AH366" i="2"/>
  <c r="AM366" i="2"/>
  <c r="AJ377" i="2"/>
  <c r="AL370" i="2"/>
  <c r="AL369" i="2"/>
  <c r="AK367" i="2"/>
  <c r="AK387" i="2"/>
  <c r="AG378" i="2"/>
  <c r="AG377" i="2"/>
  <c r="AJ358" i="2"/>
  <c r="AE381" i="2"/>
  <c r="AM381" i="2"/>
  <c r="AD381" i="2"/>
  <c r="AI369" i="2"/>
  <c r="AH369" i="2"/>
  <c r="AM369" i="2"/>
  <c r="AH368" i="2"/>
  <c r="AI368" i="2"/>
  <c r="AM368" i="2"/>
  <c r="AI357" i="2"/>
  <c r="AH357" i="2"/>
  <c r="AM357" i="2"/>
  <c r="AL377" i="2"/>
  <c r="AL385" i="2"/>
  <c r="AK379" i="2"/>
  <c r="AK371" i="2"/>
  <c r="AJ369" i="2"/>
  <c r="AE376" i="2"/>
  <c r="AD379" i="2"/>
  <c r="AI385" i="2"/>
  <c r="AH385" i="2"/>
  <c r="AM385" i="2"/>
  <c r="AI384" i="2"/>
  <c r="AH384" i="2"/>
  <c r="AM384" i="2"/>
  <c r="AI364" i="2"/>
  <c r="AH364" i="2"/>
  <c r="AM364" i="2"/>
  <c r="AL368" i="2"/>
  <c r="AL367" i="2"/>
  <c r="AJ381" i="2"/>
  <c r="AK386" i="2"/>
  <c r="AK378" i="2"/>
  <c r="AF376" i="2"/>
  <c r="AH378" i="2"/>
  <c r="AF377" i="2"/>
  <c r="AI376" i="2"/>
  <c r="AI375" i="2"/>
  <c r="AH375" i="2"/>
  <c r="AM375" i="2"/>
  <c r="AI355" i="2"/>
  <c r="AH355" i="2"/>
  <c r="AM355" i="2"/>
  <c r="AJ361" i="2"/>
  <c r="AL366" i="2"/>
  <c r="AL356" i="2"/>
  <c r="AJ356" i="2"/>
  <c r="AK370" i="2"/>
  <c r="AK369" i="2"/>
  <c r="AJ380" i="2"/>
  <c r="AD378" i="2"/>
  <c r="AJ355" i="2"/>
  <c r="AI387" i="2"/>
  <c r="AH387" i="2"/>
  <c r="AM387" i="2"/>
  <c r="AI382" i="2"/>
  <c r="AH382" i="2"/>
  <c r="AM382" i="2"/>
  <c r="AJ357" i="2"/>
  <c r="AJ370" i="2"/>
  <c r="AL384" i="2"/>
  <c r="AL354" i="2"/>
  <c r="AJ379" i="2"/>
  <c r="AK377" i="2"/>
  <c r="AK365" i="2"/>
  <c r="AG376" i="2"/>
  <c r="AM377" i="2"/>
  <c r="L343" i="6"/>
  <c r="L347" i="6"/>
  <c r="L351" i="6"/>
  <c r="L355" i="6"/>
  <c r="L359" i="6"/>
  <c r="L363" i="6"/>
  <c r="L367" i="6"/>
  <c r="L371" i="6"/>
  <c r="L375" i="6"/>
  <c r="L344" i="6"/>
  <c r="L348" i="6"/>
  <c r="L352" i="6"/>
  <c r="L356" i="6"/>
  <c r="L360" i="6"/>
  <c r="L364" i="6"/>
  <c r="L368" i="6"/>
  <c r="L372" i="6"/>
  <c r="L376" i="6"/>
  <c r="L345" i="6"/>
  <c r="L349" i="6"/>
  <c r="L353" i="6"/>
  <c r="L357" i="6"/>
  <c r="L361" i="6"/>
  <c r="L365" i="6"/>
  <c r="L369" i="6"/>
  <c r="L373" i="6"/>
  <c r="L377" i="6"/>
  <c r="L342" i="6"/>
  <c r="L346" i="6"/>
  <c r="L350" i="6"/>
  <c r="L354" i="6"/>
  <c r="L358" i="6"/>
  <c r="L362" i="6"/>
  <c r="L366" i="6"/>
  <c r="L370" i="6"/>
  <c r="L374" i="6"/>
  <c r="O325" i="6"/>
  <c r="O370" i="6"/>
  <c r="O375" i="6"/>
  <c r="O320" i="6"/>
  <c r="O322" i="6"/>
  <c r="O333" i="6"/>
  <c r="O359" i="6"/>
  <c r="O371" i="6"/>
  <c r="O367" i="6"/>
  <c r="O342" i="6"/>
  <c r="O343" i="6"/>
  <c r="O355" i="6"/>
  <c r="O351" i="6"/>
  <c r="O362" i="6"/>
  <c r="O316" i="6"/>
  <c r="O339" i="6"/>
  <c r="O346" i="6"/>
  <c r="O329" i="6"/>
  <c r="O366" i="6"/>
  <c r="O332" i="6"/>
  <c r="O374" i="6"/>
  <c r="O350" i="6"/>
  <c r="O377" i="6"/>
  <c r="O358" i="6"/>
  <c r="O338" i="6"/>
  <c r="O361" i="6"/>
  <c r="O318" i="6"/>
  <c r="N358" i="6"/>
  <c r="N374" i="6"/>
  <c r="N343" i="6"/>
  <c r="N347" i="6"/>
  <c r="N351" i="6"/>
  <c r="N355" i="6"/>
  <c r="N359" i="6"/>
  <c r="N363" i="6"/>
  <c r="N367" i="6"/>
  <c r="N371" i="6"/>
  <c r="N375" i="6"/>
  <c r="N346" i="6"/>
  <c r="N354" i="6"/>
  <c r="N344" i="6"/>
  <c r="N348" i="6"/>
  <c r="N352" i="6"/>
  <c r="N356" i="6"/>
  <c r="N360" i="6"/>
  <c r="N364" i="6"/>
  <c r="N368" i="6"/>
  <c r="N372" i="6"/>
  <c r="N376" i="6"/>
  <c r="N350" i="6"/>
  <c r="N366" i="6"/>
  <c r="N345" i="6"/>
  <c r="N349" i="6"/>
  <c r="N353" i="6"/>
  <c r="N357" i="6"/>
  <c r="N361" i="6"/>
  <c r="N365" i="6"/>
  <c r="N369" i="6"/>
  <c r="N373" i="6"/>
  <c r="N377" i="6"/>
  <c r="N370" i="6"/>
  <c r="N362" i="6"/>
  <c r="N342" i="6"/>
  <c r="O365" i="6"/>
  <c r="O345" i="6"/>
  <c r="O324" i="6"/>
  <c r="O349" i="6"/>
  <c r="O354" i="6"/>
  <c r="P293" i="6"/>
  <c r="AD318" i="6"/>
  <c r="AD330" i="6"/>
  <c r="AD322" i="6"/>
  <c r="AD326" i="6"/>
  <c r="O337" i="6"/>
  <c r="O331" i="6"/>
  <c r="O373" i="6"/>
  <c r="O369" i="6"/>
  <c r="O364" i="6"/>
  <c r="O357" i="6"/>
  <c r="AI278" i="2"/>
  <c r="O353" i="6"/>
  <c r="O348" i="6"/>
  <c r="O376" i="6"/>
  <c r="O317" i="6"/>
  <c r="O323" i="6"/>
  <c r="O336" i="6"/>
  <c r="O360" i="6"/>
  <c r="O296" i="6"/>
  <c r="M327" i="6"/>
  <c r="O368" i="6"/>
  <c r="O363" i="6"/>
  <c r="O344" i="6"/>
  <c r="N327" i="6"/>
  <c r="AZ232" i="2"/>
  <c r="BB232" i="2" s="1"/>
  <c r="AI277" i="2"/>
  <c r="AI305" i="2"/>
  <c r="L320" i="6"/>
  <c r="L324" i="6"/>
  <c r="L328" i="6"/>
  <c r="L332" i="6"/>
  <c r="L336" i="6"/>
  <c r="L317" i="6"/>
  <c r="L321" i="6"/>
  <c r="L325" i="6"/>
  <c r="L329" i="6"/>
  <c r="L333" i="6"/>
  <c r="L337" i="6"/>
  <c r="L318" i="6"/>
  <c r="L322" i="6"/>
  <c r="L326" i="6"/>
  <c r="L330" i="6"/>
  <c r="L334" i="6"/>
  <c r="L338" i="6"/>
  <c r="L316" i="6"/>
  <c r="L319" i="6"/>
  <c r="L323" i="6"/>
  <c r="L327" i="6"/>
  <c r="L331" i="6"/>
  <c r="L335" i="6"/>
  <c r="L339" i="6"/>
  <c r="AV245" i="2"/>
  <c r="BE245" i="2" s="1"/>
  <c r="N316" i="6"/>
  <c r="N319" i="6"/>
  <c r="N320" i="6"/>
  <c r="N324" i="6"/>
  <c r="N328" i="6"/>
  <c r="N332" i="6"/>
  <c r="N336" i="6"/>
  <c r="N323" i="6"/>
  <c r="N317" i="6"/>
  <c r="N321" i="6"/>
  <c r="N325" i="6"/>
  <c r="N329" i="6"/>
  <c r="N333" i="6"/>
  <c r="N337" i="6"/>
  <c r="N335" i="6"/>
  <c r="N318" i="6"/>
  <c r="N322" i="6"/>
  <c r="N326" i="6"/>
  <c r="N330" i="6"/>
  <c r="N334" i="6"/>
  <c r="N338" i="6"/>
  <c r="N331" i="6"/>
  <c r="N339" i="6"/>
  <c r="AG150" i="6"/>
  <c r="AJ176" i="2"/>
  <c r="AL261" i="2"/>
  <c r="AI321" i="2"/>
  <c r="AE321" i="2"/>
  <c r="AG321" i="2"/>
  <c r="AK321" i="2"/>
  <c r="AF321" i="2"/>
  <c r="AM321" i="2"/>
  <c r="AD321" i="2"/>
  <c r="AL321" i="2"/>
  <c r="AH321" i="2"/>
  <c r="AJ321" i="2"/>
  <c r="AI313" i="2"/>
  <c r="AH313" i="2"/>
  <c r="AJ313" i="2"/>
  <c r="AK313" i="2"/>
  <c r="AE313" i="2"/>
  <c r="AG313" i="2"/>
  <c r="AM313" i="2"/>
  <c r="AF313" i="2"/>
  <c r="AD313" i="2"/>
  <c r="AL313" i="2"/>
  <c r="AF325" i="2"/>
  <c r="AG325" i="2"/>
  <c r="AH325" i="2"/>
  <c r="AI325" i="2"/>
  <c r="AE325" i="2"/>
  <c r="AK325" i="2"/>
  <c r="AL325" i="2"/>
  <c r="AJ325" i="2"/>
  <c r="AM325" i="2"/>
  <c r="AD325" i="2"/>
  <c r="AG324" i="2"/>
  <c r="AK324" i="2"/>
  <c r="AI324" i="2"/>
  <c r="AJ324" i="2"/>
  <c r="AD324" i="2"/>
  <c r="AH324" i="2"/>
  <c r="AE324" i="2"/>
  <c r="AF324" i="2"/>
  <c r="AL324" i="2"/>
  <c r="AM324" i="2"/>
  <c r="AI316" i="2"/>
  <c r="AJ316" i="2"/>
  <c r="AK316" i="2"/>
  <c r="AF316" i="2"/>
  <c r="AG316" i="2"/>
  <c r="AE316" i="2"/>
  <c r="AL316" i="2"/>
  <c r="AH316" i="2"/>
  <c r="AD316" i="2"/>
  <c r="AM316" i="2"/>
  <c r="AW232" i="2"/>
  <c r="AM319" i="2"/>
  <c r="AH319" i="2"/>
  <c r="AI319" i="2"/>
  <c r="AG319" i="2"/>
  <c r="AD319" i="2"/>
  <c r="AK319" i="2"/>
  <c r="AF319" i="2"/>
  <c r="AJ319" i="2"/>
  <c r="AL319" i="2"/>
  <c r="AE319" i="2"/>
  <c r="AI315" i="2"/>
  <c r="AE315" i="2"/>
  <c r="AJ315" i="2"/>
  <c r="AF315" i="2"/>
  <c r="AM315" i="2"/>
  <c r="AL315" i="2"/>
  <c r="AH315" i="2"/>
  <c r="AK315" i="2"/>
  <c r="AD315" i="2"/>
  <c r="AG315" i="2"/>
  <c r="AV232" i="2"/>
  <c r="AX232" i="2" s="1"/>
  <c r="AE311" i="2"/>
  <c r="AL311" i="2"/>
  <c r="AG311" i="2"/>
  <c r="AI311" i="2"/>
  <c r="AH311" i="2"/>
  <c r="AD311" i="2"/>
  <c r="AK311" i="2"/>
  <c r="AM311" i="2"/>
  <c r="AF311" i="2"/>
  <c r="AJ311" i="2"/>
  <c r="AH323" i="2"/>
  <c r="AG323" i="2"/>
  <c r="AL323" i="2"/>
  <c r="AF323" i="2"/>
  <c r="AK323" i="2"/>
  <c r="AE323" i="2"/>
  <c r="AJ323" i="2"/>
  <c r="AI323" i="2"/>
  <c r="AM323" i="2"/>
  <c r="AD323" i="2"/>
  <c r="AK322" i="2"/>
  <c r="AI322" i="2"/>
  <c r="AG322" i="2"/>
  <c r="AM322" i="2"/>
  <c r="AF322" i="2"/>
  <c r="AE322" i="2"/>
  <c r="AD322" i="2"/>
  <c r="AH322" i="2"/>
  <c r="AJ322" i="2"/>
  <c r="AL322" i="2"/>
  <c r="AD314" i="2"/>
  <c r="AJ314" i="2"/>
  <c r="AF314" i="2"/>
  <c r="AK314" i="2"/>
  <c r="AI314" i="2"/>
  <c r="AM314" i="2"/>
  <c r="AH314" i="2"/>
  <c r="AE314" i="2"/>
  <c r="AG314" i="2"/>
  <c r="AL314" i="2"/>
  <c r="AI308" i="2"/>
  <c r="AH308" i="2"/>
  <c r="AG308" i="2"/>
  <c r="AJ308" i="2"/>
  <c r="AF308" i="2"/>
  <c r="AD308" i="2"/>
  <c r="AL308" i="2"/>
  <c r="AE308" i="2"/>
  <c r="AM308" i="2"/>
  <c r="AK308" i="2"/>
  <c r="AI317" i="2"/>
  <c r="AF317" i="2"/>
  <c r="AM317" i="2"/>
  <c r="AK317" i="2"/>
  <c r="AD317" i="2"/>
  <c r="AH317" i="2"/>
  <c r="AE317" i="2"/>
  <c r="AJ317" i="2"/>
  <c r="AG317" i="2"/>
  <c r="AL317" i="2"/>
  <c r="AI309" i="2"/>
  <c r="AE309" i="2"/>
  <c r="AF309" i="2"/>
  <c r="AD309" i="2"/>
  <c r="AH309" i="2"/>
  <c r="AM309" i="2"/>
  <c r="AK309" i="2"/>
  <c r="AG309" i="2"/>
  <c r="AJ309" i="2"/>
  <c r="AL309" i="2"/>
  <c r="AI318" i="2"/>
  <c r="AG318" i="2"/>
  <c r="AH318" i="2"/>
  <c r="AJ318" i="2"/>
  <c r="AL318" i="2"/>
  <c r="AM318" i="2"/>
  <c r="AE318" i="2"/>
  <c r="AK318" i="2"/>
  <c r="AD318" i="2"/>
  <c r="AF318" i="2"/>
  <c r="AI320" i="2"/>
  <c r="AK320" i="2"/>
  <c r="AM320" i="2"/>
  <c r="AF320" i="2"/>
  <c r="AJ320" i="2"/>
  <c r="AD320" i="2"/>
  <c r="AG320" i="2"/>
  <c r="AE320" i="2"/>
  <c r="AL320" i="2"/>
  <c r="AH320" i="2"/>
  <c r="AI310" i="2"/>
  <c r="AG310" i="2"/>
  <c r="AF310" i="2"/>
  <c r="AM310" i="2"/>
  <c r="AH310" i="2"/>
  <c r="AJ310" i="2"/>
  <c r="AL310" i="2"/>
  <c r="AE310" i="2"/>
  <c r="AK310" i="2"/>
  <c r="AD310" i="2"/>
  <c r="AM312" i="2"/>
  <c r="AK312" i="2"/>
  <c r="AD312" i="2"/>
  <c r="AG312" i="2"/>
  <c r="AF312" i="2"/>
  <c r="AJ312" i="2"/>
  <c r="AI312" i="2"/>
  <c r="AH312" i="2"/>
  <c r="AE312" i="2"/>
  <c r="AL312" i="2"/>
  <c r="AF261" i="2"/>
  <c r="AV228" i="2"/>
  <c r="AX228" i="2" s="1"/>
  <c r="AW245" i="2"/>
  <c r="AK273" i="2"/>
  <c r="AL291" i="2"/>
  <c r="AI269" i="2"/>
  <c r="AL283" i="2"/>
  <c r="AI274" i="2"/>
  <c r="AI287" i="2"/>
  <c r="AD278" i="2"/>
  <c r="AI279" i="2"/>
  <c r="AI304" i="2"/>
  <c r="AI296" i="2"/>
  <c r="AK259" i="2"/>
  <c r="AJ259" i="2"/>
  <c r="AG291" i="2"/>
  <c r="AM283" i="2"/>
  <c r="AI303" i="2"/>
  <c r="AK289" i="2"/>
  <c r="AK290" i="2"/>
  <c r="AG302" i="2"/>
  <c r="AH284" i="2"/>
  <c r="AG301" i="2"/>
  <c r="AM297" i="2"/>
  <c r="AK281" i="2"/>
  <c r="AK282" i="2"/>
  <c r="AK299" i="2"/>
  <c r="AI261" i="2"/>
  <c r="AL275" i="2"/>
  <c r="AL267" i="2"/>
  <c r="AL260" i="2"/>
  <c r="AL285" i="2"/>
  <c r="AL259" i="2"/>
  <c r="AI288" i="2"/>
  <c r="AM262" i="2"/>
  <c r="AJ303" i="2"/>
  <c r="AW51" i="2"/>
  <c r="AV51" i="2" s="1"/>
  <c r="AV61" i="2" s="1"/>
  <c r="AI298" i="2"/>
  <c r="AI264" i="2"/>
  <c r="AI262" i="2"/>
  <c r="AG289" i="2"/>
  <c r="AI300" i="2"/>
  <c r="AM274" i="2"/>
  <c r="AL278" i="2"/>
  <c r="AD283" i="2"/>
  <c r="AL298" i="2"/>
  <c r="AI302" i="2"/>
  <c r="AL284" i="2"/>
  <c r="AL297" i="2"/>
  <c r="AM299" i="2"/>
  <c r="AH289" i="2"/>
  <c r="BD261" i="2"/>
  <c r="AL268" i="2" s="1"/>
  <c r="AL301" i="2"/>
  <c r="AK300" i="2"/>
  <c r="AK274" i="2"/>
  <c r="AK291" i="2"/>
  <c r="AG286" i="2"/>
  <c r="AG285" i="2"/>
  <c r="AJ291" i="2"/>
  <c r="AJ298" i="2"/>
  <c r="AK283" i="2"/>
  <c r="AG260" i="2"/>
  <c r="AG277" i="2"/>
  <c r="AJ290" i="2"/>
  <c r="AD299" i="2"/>
  <c r="O299" i="6"/>
  <c r="AI297" i="2"/>
  <c r="AK284" i="2"/>
  <c r="AK301" i="2"/>
  <c r="AK275" i="2"/>
  <c r="AM270" i="2"/>
  <c r="AM267" i="2"/>
  <c r="AJ269" i="2"/>
  <c r="AI289" i="2"/>
  <c r="AL303" i="2"/>
  <c r="AL277" i="2"/>
  <c r="AL305" i="2"/>
  <c r="AK267" i="2"/>
  <c r="AG303" i="2"/>
  <c r="AG261" i="2"/>
  <c r="AF300" i="2"/>
  <c r="AE274" i="2"/>
  <c r="AI281" i="2"/>
  <c r="AK285" i="2"/>
  <c r="AH275" i="2"/>
  <c r="AM259" i="2"/>
  <c r="AF273" i="2"/>
  <c r="AL287" i="2"/>
  <c r="AK260" i="2"/>
  <c r="AG305" i="2"/>
  <c r="AG287" i="2"/>
  <c r="AJ304" i="2"/>
  <c r="AM301" i="2"/>
  <c r="AL279" i="2"/>
  <c r="AL273" i="2"/>
  <c r="AL286" i="2"/>
  <c r="AG297" i="2"/>
  <c r="AD279" i="2"/>
  <c r="AG296" i="2"/>
  <c r="AI282" i="2"/>
  <c r="AI299" i="2"/>
  <c r="AL304" i="2"/>
  <c r="AK261" i="2"/>
  <c r="AG288" i="2"/>
  <c r="AJ285" i="2"/>
  <c r="AM305" i="2"/>
  <c r="O311" i="6"/>
  <c r="AI291" i="2"/>
  <c r="AL263" i="2"/>
  <c r="AK287" i="2"/>
  <c r="AK304" i="2"/>
  <c r="AJ281" i="2"/>
  <c r="AD263" i="2"/>
  <c r="AD280" i="2"/>
  <c r="AM286" i="2"/>
  <c r="AJ260" i="2"/>
  <c r="AH277" i="2"/>
  <c r="AM304" i="2"/>
  <c r="O310" i="6"/>
  <c r="AI283" i="2"/>
  <c r="AL288" i="2"/>
  <c r="AL262" i="2"/>
  <c r="AK279" i="2"/>
  <c r="AD296" i="2"/>
  <c r="AK270" i="2"/>
  <c r="AM298" i="2"/>
  <c r="AH304" i="2"/>
  <c r="O309" i="6"/>
  <c r="AI284" i="2"/>
  <c r="AI275" i="2"/>
  <c r="AI290" i="2"/>
  <c r="AL280" i="2"/>
  <c r="AL289" i="2"/>
  <c r="AK288" i="2"/>
  <c r="AK262" i="2"/>
  <c r="AF290" i="2"/>
  <c r="AJ264" i="2"/>
  <c r="AH303" i="2"/>
  <c r="AJ261" i="2"/>
  <c r="AD304" i="2"/>
  <c r="AF301" i="2"/>
  <c r="AI267" i="2"/>
  <c r="AL282" i="2"/>
  <c r="AL264" i="2"/>
  <c r="AL281" i="2"/>
  <c r="AK263" i="2"/>
  <c r="AK280" i="2"/>
  <c r="AH299" i="2"/>
  <c r="AG259" i="2"/>
  <c r="AJ282" i="2"/>
  <c r="AH291" i="2"/>
  <c r="AI259" i="2"/>
  <c r="AL274" i="2"/>
  <c r="AK305" i="2"/>
  <c r="AK264" i="2"/>
  <c r="AG300" i="2"/>
  <c r="AF296" i="2"/>
  <c r="AM287" i="2"/>
  <c r="AI260" i="2"/>
  <c r="AI285" i="2"/>
  <c r="AL300" i="2"/>
  <c r="AL299" i="2"/>
  <c r="AK297" i="2"/>
  <c r="AK298" i="2"/>
  <c r="AF283" i="2"/>
  <c r="AH288" i="2"/>
  <c r="AJ305" i="2"/>
  <c r="AJ274" i="2"/>
  <c r="AF291" i="2"/>
  <c r="AH274" i="2"/>
  <c r="AH290" i="2"/>
  <c r="AJ280" i="2"/>
  <c r="AE289" i="2"/>
  <c r="AI263" i="2"/>
  <c r="AJ262" i="2"/>
  <c r="AK303" i="2"/>
  <c r="AK277" i="2"/>
  <c r="AK278" i="2"/>
  <c r="AE301" i="2"/>
  <c r="AI286" i="2"/>
  <c r="AJ277" i="2"/>
  <c r="AJ286" i="2"/>
  <c r="AE299" i="2"/>
  <c r="AG290" i="2"/>
  <c r="AE298" i="2"/>
  <c r="AF288" i="2"/>
  <c r="AJ263" i="2"/>
  <c r="AK296" i="2"/>
  <c r="AG304" i="2"/>
  <c r="AE291" i="2"/>
  <c r="AJ278" i="2"/>
  <c r="AM302" i="2"/>
  <c r="O308" i="6"/>
  <c r="N266" i="6"/>
  <c r="N297" i="6"/>
  <c r="N301" i="6"/>
  <c r="N305" i="6"/>
  <c r="N309" i="6"/>
  <c r="N313" i="6"/>
  <c r="N296" i="6"/>
  <c r="N298" i="6"/>
  <c r="N302" i="6"/>
  <c r="N306" i="6"/>
  <c r="N310" i="6"/>
  <c r="N299" i="6"/>
  <c r="N303" i="6"/>
  <c r="N307" i="6"/>
  <c r="N311" i="6"/>
  <c r="N300" i="6"/>
  <c r="N304" i="6"/>
  <c r="N308" i="6"/>
  <c r="N312" i="6"/>
  <c r="AK286" i="2"/>
  <c r="AG282" i="2"/>
  <c r="AF274" i="2"/>
  <c r="AF299" i="2"/>
  <c r="AF298" i="2"/>
  <c r="AJ283" i="2"/>
  <c r="AG280" i="2"/>
  <c r="AE288" i="2"/>
  <c r="AE296" i="2"/>
  <c r="AD305" i="2"/>
  <c r="AH262" i="2"/>
  <c r="AM303" i="2"/>
  <c r="AM277" i="2"/>
  <c r="AM278" i="2"/>
  <c r="AH285" i="2"/>
  <c r="AF286" i="2"/>
  <c r="AD302" i="2"/>
  <c r="O307" i="6"/>
  <c r="AM260" i="2"/>
  <c r="AH300" i="2"/>
  <c r="AM282" i="2"/>
  <c r="AG299" i="2"/>
  <c r="AE290" i="2"/>
  <c r="AG298" i="2"/>
  <c r="AD288" i="2"/>
  <c r="AH263" i="2"/>
  <c r="AJ296" i="2"/>
  <c r="AE305" i="2"/>
  <c r="AD291" i="2"/>
  <c r="AG262" i="2"/>
  <c r="AD267" i="2"/>
  <c r="AD277" i="2"/>
  <c r="AF285" i="2"/>
  <c r="AE286" i="2"/>
  <c r="AJ302" i="2"/>
  <c r="O306" i="6"/>
  <c r="AF289" i="2"/>
  <c r="AM279" i="2"/>
  <c r="AD298" i="2"/>
  <c r="AH282" i="2"/>
  <c r="AH283" i="2"/>
  <c r="AM280" i="2"/>
  <c r="AM288" i="2"/>
  <c r="AD297" i="2"/>
  <c r="AF305" i="2"/>
  <c r="AJ287" i="2"/>
  <c r="AM291" i="2"/>
  <c r="AF262" i="2"/>
  <c r="AG267" i="2"/>
  <c r="AE277" i="2"/>
  <c r="AH278" i="2"/>
  <c r="AE285" i="2"/>
  <c r="AH286" i="2"/>
  <c r="AD270" i="2"/>
  <c r="O305" i="6"/>
  <c r="AI280" i="2"/>
  <c r="AM296" i="2"/>
  <c r="AF277" i="2"/>
  <c r="AL296" i="2"/>
  <c r="AJ300" i="2"/>
  <c r="AD282" i="2"/>
  <c r="AH264" i="2"/>
  <c r="AH298" i="2"/>
  <c r="AG283" i="2"/>
  <c r="AH280" i="2"/>
  <c r="AE297" i="2"/>
  <c r="AH296" i="2"/>
  <c r="AD262" i="2"/>
  <c r="AH267" i="2"/>
  <c r="AD260" i="2"/>
  <c r="AG278" i="2"/>
  <c r="AJ284" i="2"/>
  <c r="O304" i="6"/>
  <c r="L313" i="6"/>
  <c r="L296" i="6"/>
  <c r="L301" i="6"/>
  <c r="L298" i="6"/>
  <c r="L302" i="6"/>
  <c r="L306" i="6"/>
  <c r="L310" i="6"/>
  <c r="L305" i="6"/>
  <c r="L299" i="6"/>
  <c r="L303" i="6"/>
  <c r="L307" i="6"/>
  <c r="L311" i="6"/>
  <c r="L297" i="6"/>
  <c r="L300" i="6"/>
  <c r="L304" i="6"/>
  <c r="L308" i="6"/>
  <c r="L312" i="6"/>
  <c r="L309" i="6"/>
  <c r="AJ299" i="2"/>
  <c r="AG264" i="2"/>
  <c r="AD273" i="2"/>
  <c r="AF297" i="2"/>
  <c r="AH305" i="2"/>
  <c r="AH287" i="2"/>
  <c r="AM261" i="2"/>
  <c r="AE260" i="2"/>
  <c r="AD285" i="2"/>
  <c r="O303" i="6"/>
  <c r="AM281" i="2"/>
  <c r="AI270" i="2"/>
  <c r="AF259" i="2"/>
  <c r="AD264" i="2"/>
  <c r="AM273" i="2"/>
  <c r="AD281" i="2"/>
  <c r="AD289" i="2"/>
  <c r="AJ288" i="2"/>
  <c r="AE261" i="2"/>
  <c r="AJ267" i="2"/>
  <c r="AF260" i="2"/>
  <c r="AM285" i="2"/>
  <c r="O300" i="6"/>
  <c r="O302" i="6"/>
  <c r="AD301" i="2"/>
  <c r="AL269" i="2"/>
  <c r="AG270" i="2"/>
  <c r="AG269" i="2"/>
  <c r="AM300" i="2"/>
  <c r="AE259" i="2"/>
  <c r="AM275" i="2"/>
  <c r="AM264" i="2"/>
  <c r="AG281" i="2"/>
  <c r="AM289" i="2"/>
  <c r="AH297" i="2"/>
  <c r="AJ279" i="2"/>
  <c r="AF287" i="2"/>
  <c r="AD261" i="2"/>
  <c r="AH301" i="2"/>
  <c r="AM284" i="2"/>
  <c r="O301" i="6"/>
  <c r="AD290" i="2"/>
  <c r="AG263" i="2"/>
  <c r="AL302" i="2"/>
  <c r="AH281" i="2"/>
  <c r="AE287" i="2"/>
  <c r="AD303" i="2"/>
  <c r="AH260" i="2"/>
  <c r="AI301" i="2"/>
  <c r="AD284" i="2"/>
  <c r="O298" i="6"/>
  <c r="AD300" i="2"/>
  <c r="AH259" i="2"/>
  <c r="AM290" i="2"/>
  <c r="AJ273" i="2"/>
  <c r="AJ297" i="2"/>
  <c r="AH279" i="2"/>
  <c r="AD287" i="2"/>
  <c r="AH261" i="2"/>
  <c r="AE303" i="2"/>
  <c r="AJ301" i="2"/>
  <c r="AF284" i="2"/>
  <c r="O313" i="6"/>
  <c r="AW277" i="2"/>
  <c r="O294" i="2" s="1"/>
  <c r="Z294" i="2" s="1"/>
  <c r="N45" i="28" s="1"/>
  <c r="AW281" i="2"/>
  <c r="AV277" i="2"/>
  <c r="AV281" i="2"/>
  <c r="AV265" i="2"/>
  <c r="AW265" i="2"/>
  <c r="AF263" i="2"/>
  <c r="AF275" i="2"/>
  <c r="AK269" i="2"/>
  <c r="AK302" i="2"/>
  <c r="AE300" i="2"/>
  <c r="AD259" i="2"/>
  <c r="AJ275" i="2"/>
  <c r="AL290" i="2"/>
  <c r="AI273" i="2"/>
  <c r="AJ289" i="2"/>
  <c r="AG279" i="2"/>
  <c r="AF303" i="2"/>
  <c r="AD286" i="2"/>
  <c r="AG284" i="2"/>
  <c r="AM269" i="2"/>
  <c r="O297" i="6"/>
  <c r="AY273" i="2"/>
  <c r="AX273" i="2"/>
  <c r="AV273" i="2"/>
  <c r="AW273" i="2"/>
  <c r="AG275" i="2"/>
  <c r="AH273" i="2"/>
  <c r="AM263" i="2"/>
  <c r="AJ270" i="2"/>
  <c r="AD269" i="2"/>
  <c r="O312" i="6"/>
  <c r="AL270" i="2"/>
  <c r="AM293" i="2"/>
  <c r="AL293" i="2"/>
  <c r="AK293" i="2"/>
  <c r="AJ293" i="2"/>
  <c r="AI293" i="2"/>
  <c r="AG293" i="2"/>
  <c r="AD293" i="2"/>
  <c r="N30" i="6"/>
  <c r="BE261" i="2"/>
  <c r="BC261" i="2"/>
  <c r="BB261" i="2"/>
  <c r="BA261" i="2"/>
  <c r="AZ261" i="2"/>
  <c r="AY261" i="2"/>
  <c r="AX261" i="2"/>
  <c r="AV261" i="2"/>
  <c r="AK205" i="2"/>
  <c r="AX74" i="2"/>
  <c r="AW74" i="2" s="1"/>
  <c r="AK258" i="2"/>
  <c r="AW228" i="2"/>
  <c r="AE258" i="2"/>
  <c r="BA228" i="2"/>
  <c r="AZ228" i="2"/>
  <c r="BB228" i="2" s="1"/>
  <c r="AG258" i="2"/>
  <c r="AI258" i="2"/>
  <c r="AW38" i="2"/>
  <c r="AV38" i="2" s="1"/>
  <c r="AS41" i="2" s="1"/>
  <c r="AJ258" i="2"/>
  <c r="AH258" i="2"/>
  <c r="AF258" i="2"/>
  <c r="AL258" i="2"/>
  <c r="AM258" i="2"/>
  <c r="AD258" i="2"/>
  <c r="P248" i="6"/>
  <c r="P269" i="6"/>
  <c r="P289" i="6"/>
  <c r="L266" i="6"/>
  <c r="L289" i="6"/>
  <c r="L280" i="6"/>
  <c r="P247" i="6"/>
  <c r="P250" i="6"/>
  <c r="P251" i="6"/>
  <c r="AD269" i="6"/>
  <c r="AD265" i="6"/>
  <c r="AD252" i="6"/>
  <c r="AD248" i="6"/>
  <c r="AF185" i="2"/>
  <c r="AJ163" i="2"/>
  <c r="P267" i="6"/>
  <c r="P270" i="6"/>
  <c r="P277" i="6"/>
  <c r="AV249" i="2"/>
  <c r="BD249" i="2" s="1"/>
  <c r="P268" i="6"/>
  <c r="AH188" i="2"/>
  <c r="P246" i="6"/>
  <c r="AB269" i="6"/>
  <c r="AB257" i="6"/>
  <c r="AI257" i="6" s="1"/>
  <c r="AB252" i="6"/>
  <c r="P249" i="6"/>
  <c r="P275" i="6"/>
  <c r="L31" i="6"/>
  <c r="L48" i="6"/>
  <c r="L24" i="6"/>
  <c r="L69" i="6"/>
  <c r="O271" i="6"/>
  <c r="O246" i="6"/>
  <c r="O272" i="6"/>
  <c r="O265" i="6"/>
  <c r="AB38" i="6"/>
  <c r="L193" i="6"/>
  <c r="L250" i="6"/>
  <c r="L254" i="6"/>
  <c r="L258" i="6"/>
  <c r="L262" i="6"/>
  <c r="L267" i="6"/>
  <c r="L271" i="6"/>
  <c r="L275" i="6"/>
  <c r="L279" i="6"/>
  <c r="L282" i="6"/>
  <c r="L287" i="6"/>
  <c r="L291" i="6"/>
  <c r="L247" i="6"/>
  <c r="L251" i="6"/>
  <c r="L255" i="6"/>
  <c r="L259" i="6"/>
  <c r="L263" i="6"/>
  <c r="L268" i="6"/>
  <c r="L272" i="6"/>
  <c r="L277" i="6"/>
  <c r="L284" i="6"/>
  <c r="L288" i="6"/>
  <c r="L292" i="6"/>
  <c r="L248" i="6"/>
  <c r="L252" i="6"/>
  <c r="L256" i="6"/>
  <c r="L260" i="6"/>
  <c r="L264" i="6"/>
  <c r="L269" i="6"/>
  <c r="L273" i="6"/>
  <c r="L278" i="6"/>
  <c r="L281" i="6"/>
  <c r="L285" i="6"/>
  <c r="L293" i="6"/>
  <c r="L246" i="6"/>
  <c r="L249" i="6"/>
  <c r="L253" i="6"/>
  <c r="L257" i="6"/>
  <c r="L261" i="6"/>
  <c r="L265" i="6"/>
  <c r="L270" i="6"/>
  <c r="L274" i="6"/>
  <c r="L276" i="6"/>
  <c r="L283" i="6"/>
  <c r="L286" i="6"/>
  <c r="L290" i="6"/>
  <c r="O263" i="6"/>
  <c r="O259" i="6"/>
  <c r="O262" i="6"/>
  <c r="O234" i="6"/>
  <c r="N200" i="6"/>
  <c r="N250" i="6"/>
  <c r="N254" i="6"/>
  <c r="N258" i="6"/>
  <c r="N262" i="6"/>
  <c r="N267" i="6"/>
  <c r="N271" i="6"/>
  <c r="N275" i="6"/>
  <c r="N279" i="6"/>
  <c r="N282" i="6"/>
  <c r="N287" i="6"/>
  <c r="N291" i="6"/>
  <c r="N247" i="6"/>
  <c r="N251" i="6"/>
  <c r="N255" i="6"/>
  <c r="N259" i="6"/>
  <c r="N263" i="6"/>
  <c r="N268" i="6"/>
  <c r="N272" i="6"/>
  <c r="N277" i="6"/>
  <c r="N280" i="6"/>
  <c r="N284" i="6"/>
  <c r="N288" i="6"/>
  <c r="N292" i="6"/>
  <c r="N248" i="6"/>
  <c r="N252" i="6"/>
  <c r="N256" i="6"/>
  <c r="N260" i="6"/>
  <c r="N264" i="6"/>
  <c r="N269" i="6"/>
  <c r="N273" i="6"/>
  <c r="N278" i="6"/>
  <c r="N281" i="6"/>
  <c r="N285" i="6"/>
  <c r="N289" i="6"/>
  <c r="N293" i="6"/>
  <c r="N246" i="6"/>
  <c r="N249" i="6"/>
  <c r="N253" i="6"/>
  <c r="N257" i="6"/>
  <c r="N261" i="6"/>
  <c r="N265" i="6"/>
  <c r="N270" i="6"/>
  <c r="N274" i="6"/>
  <c r="N276" i="6"/>
  <c r="N283" i="6"/>
  <c r="N286" i="6"/>
  <c r="N290" i="6"/>
  <c r="AY224" i="2"/>
  <c r="AB186" i="6"/>
  <c r="AK185" i="6" s="1"/>
  <c r="O198" i="6" s="1"/>
  <c r="AM251" i="2"/>
  <c r="AL251" i="2"/>
  <c r="AK251" i="2"/>
  <c r="AJ251" i="2"/>
  <c r="AD237" i="2"/>
  <c r="AG237" i="2"/>
  <c r="AH251" i="2"/>
  <c r="AH237" i="2"/>
  <c r="AG251" i="2"/>
  <c r="AI237" i="2"/>
  <c r="AD251" i="2"/>
  <c r="AJ237" i="2"/>
  <c r="AK237" i="2"/>
  <c r="AL237" i="2"/>
  <c r="AM237" i="2"/>
  <c r="AD243" i="2"/>
  <c r="AG243" i="2"/>
  <c r="AH243" i="2"/>
  <c r="AI243" i="2"/>
  <c r="AJ243" i="2"/>
  <c r="AK243" i="2"/>
  <c r="AL243" i="2"/>
  <c r="AM243" i="2"/>
  <c r="AD245" i="2"/>
  <c r="AG245" i="2"/>
  <c r="AI245" i="2"/>
  <c r="AJ245" i="2"/>
  <c r="AK245" i="2"/>
  <c r="AL245" i="2"/>
  <c r="AM245" i="2"/>
  <c r="AH245" i="2"/>
  <c r="AL238" i="2"/>
  <c r="AM238" i="2"/>
  <c r="AK238" i="2"/>
  <c r="AJ238" i="2"/>
  <c r="AI238" i="2"/>
  <c r="AH238" i="2"/>
  <c r="AG238" i="2"/>
  <c r="AD238" i="2"/>
  <c r="AD241" i="2"/>
  <c r="AG241" i="2"/>
  <c r="AH241" i="2"/>
  <c r="AI241" i="2"/>
  <c r="AJ241" i="2"/>
  <c r="AK241" i="2"/>
  <c r="AL241" i="2"/>
  <c r="AM241" i="2"/>
  <c r="AF248" i="2"/>
  <c r="AH248" i="2"/>
  <c r="AI248" i="2"/>
  <c r="AJ248" i="2"/>
  <c r="AK248" i="2"/>
  <c r="AL248" i="2"/>
  <c r="AM248" i="2"/>
  <c r="AG248" i="2"/>
  <c r="AM240" i="2"/>
  <c r="AL240" i="2"/>
  <c r="AK240" i="2"/>
  <c r="AJ240" i="2"/>
  <c r="AI240" i="2"/>
  <c r="AH240" i="2"/>
  <c r="AG240" i="2"/>
  <c r="AD240" i="2"/>
  <c r="AI249" i="2"/>
  <c r="AJ249" i="2"/>
  <c r="AK249" i="2"/>
  <c r="AH249" i="2"/>
  <c r="AL249" i="2"/>
  <c r="AM249" i="2"/>
  <c r="AG249" i="2"/>
  <c r="AD249" i="2"/>
  <c r="AM242" i="2"/>
  <c r="AD242" i="2"/>
  <c r="AG242" i="2"/>
  <c r="AH242" i="2"/>
  <c r="AI242" i="2"/>
  <c r="AJ242" i="2"/>
  <c r="AK242" i="2"/>
  <c r="AL242" i="2"/>
  <c r="AW236" i="2"/>
  <c r="AV236" i="2"/>
  <c r="BE236" i="2" s="1"/>
  <c r="AI251" i="2"/>
  <c r="AW253" i="2"/>
  <c r="AV253" i="2"/>
  <c r="AV241" i="2"/>
  <c r="BE241" i="2" s="1"/>
  <c r="AW241" i="2"/>
  <c r="AM244" i="2"/>
  <c r="AD244" i="2"/>
  <c r="AG244" i="2"/>
  <c r="AH244" i="2"/>
  <c r="AI244" i="2"/>
  <c r="AJ244" i="2"/>
  <c r="AK244" i="2"/>
  <c r="AL244" i="2"/>
  <c r="AM253" i="2"/>
  <c r="AL253" i="2"/>
  <c r="AK253" i="2"/>
  <c r="AJ253" i="2"/>
  <c r="AI253" i="2"/>
  <c r="AH253" i="2"/>
  <c r="AG253" i="2"/>
  <c r="AD253" i="2"/>
  <c r="N44" i="6"/>
  <c r="N61" i="6"/>
  <c r="AV224" i="2"/>
  <c r="AW224" i="2"/>
  <c r="AX224" i="2"/>
  <c r="BA232" i="2"/>
  <c r="AO50" i="6"/>
  <c r="AD232" i="6"/>
  <c r="AD236" i="6"/>
  <c r="AD240" i="6"/>
  <c r="AB177" i="6"/>
  <c r="AB30" i="6"/>
  <c r="AB181" i="6"/>
  <c r="AB232" i="6"/>
  <c r="AB153" i="6"/>
  <c r="AB224" i="6"/>
  <c r="AB162" i="6"/>
  <c r="AB185" i="6"/>
  <c r="AB42" i="6"/>
  <c r="AB70" i="6"/>
  <c r="AB62" i="6"/>
  <c r="AB240" i="6"/>
  <c r="AB48" i="6"/>
  <c r="AB169" i="6"/>
  <c r="AB64" i="6"/>
  <c r="AB220" i="6"/>
  <c r="AB83" i="6"/>
  <c r="AB50" i="6"/>
  <c r="AB80" i="6"/>
  <c r="AB56" i="6"/>
  <c r="AB236" i="6"/>
  <c r="AB28" i="6"/>
  <c r="AB173" i="6"/>
  <c r="AB36" i="6"/>
  <c r="AK219" i="2"/>
  <c r="AH198" i="2"/>
  <c r="AK213" i="2"/>
  <c r="L40" i="6"/>
  <c r="L36" i="6"/>
  <c r="L65" i="6"/>
  <c r="L71" i="6"/>
  <c r="L95" i="6"/>
  <c r="L42" i="6"/>
  <c r="L108" i="6"/>
  <c r="L45" i="6"/>
  <c r="L91" i="6"/>
  <c r="L104" i="6"/>
  <c r="N179" i="6"/>
  <c r="N159" i="6"/>
  <c r="N72" i="6"/>
  <c r="N56" i="6"/>
  <c r="N162" i="6"/>
  <c r="N27" i="6"/>
  <c r="N57" i="6"/>
  <c r="N194" i="6"/>
  <c r="N52" i="6"/>
  <c r="N39" i="6"/>
  <c r="N190" i="6"/>
  <c r="N47" i="6"/>
  <c r="N36" i="6"/>
  <c r="N42" i="6"/>
  <c r="N138" i="6"/>
  <c r="N197" i="6"/>
  <c r="N67" i="6"/>
  <c r="N66" i="6"/>
  <c r="N134" i="6"/>
  <c r="N193" i="6"/>
  <c r="N53" i="6"/>
  <c r="N58" i="6"/>
  <c r="N86" i="6"/>
  <c r="N125" i="6"/>
  <c r="N196" i="6"/>
  <c r="N74" i="6"/>
  <c r="N71" i="6"/>
  <c r="N82" i="6"/>
  <c r="N121" i="6"/>
  <c r="N54" i="6"/>
  <c r="N85" i="6"/>
  <c r="N124" i="6"/>
  <c r="N95" i="6"/>
  <c r="N120" i="6"/>
  <c r="N65" i="6"/>
  <c r="N92" i="6"/>
  <c r="N37" i="6"/>
  <c r="N84" i="6"/>
  <c r="N45" i="6"/>
  <c r="N91" i="6"/>
  <c r="N50" i="6"/>
  <c r="N87" i="6"/>
  <c r="N38" i="6"/>
  <c r="N183" i="6"/>
  <c r="AF211" i="2"/>
  <c r="N192" i="6"/>
  <c r="AK200" i="2"/>
  <c r="N35" i="6"/>
  <c r="N75" i="6"/>
  <c r="N48" i="6"/>
  <c r="N96" i="6"/>
  <c r="N83" i="6"/>
  <c r="N130" i="6"/>
  <c r="N117" i="6"/>
  <c r="N116" i="6"/>
  <c r="N175" i="6"/>
  <c r="N158" i="6"/>
  <c r="N165" i="6"/>
  <c r="N189" i="6"/>
  <c r="N188" i="6"/>
  <c r="AF226" i="2"/>
  <c r="N22" i="6"/>
  <c r="N24" i="6"/>
  <c r="N62" i="6"/>
  <c r="N93" i="6"/>
  <c r="N79" i="6"/>
  <c r="N126" i="6"/>
  <c r="N113" i="6"/>
  <c r="N112" i="6"/>
  <c r="N171" i="6"/>
  <c r="N154" i="6"/>
  <c r="N161" i="6"/>
  <c r="N164" i="6"/>
  <c r="N148" i="6"/>
  <c r="AJ211" i="2"/>
  <c r="N64" i="6"/>
  <c r="N43" i="6"/>
  <c r="N41" i="6"/>
  <c r="N78" i="6"/>
  <c r="N122" i="6"/>
  <c r="N109" i="6"/>
  <c r="N108" i="6"/>
  <c r="N167" i="6"/>
  <c r="N150" i="6"/>
  <c r="N157" i="6"/>
  <c r="N160" i="6"/>
  <c r="N73" i="6"/>
  <c r="N60" i="6"/>
  <c r="N26" i="6"/>
  <c r="N89" i="6"/>
  <c r="N118" i="6"/>
  <c r="N105" i="6"/>
  <c r="N104" i="6"/>
  <c r="N163" i="6"/>
  <c r="N186" i="6"/>
  <c r="N153" i="6"/>
  <c r="N156" i="6"/>
  <c r="N114" i="6"/>
  <c r="N131" i="6"/>
  <c r="N115" i="6"/>
  <c r="N155" i="6"/>
  <c r="N182" i="6"/>
  <c r="N149" i="6"/>
  <c r="N152" i="6"/>
  <c r="AK218" i="2"/>
  <c r="N25" i="6"/>
  <c r="N34" i="6"/>
  <c r="N68" i="6"/>
  <c r="N81" i="6"/>
  <c r="N110" i="6"/>
  <c r="N127" i="6"/>
  <c r="L119" i="6"/>
  <c r="N151" i="6"/>
  <c r="N178" i="6"/>
  <c r="N185" i="6"/>
  <c r="N184" i="6"/>
  <c r="AK201" i="2"/>
  <c r="N98" i="6"/>
  <c r="N106" i="6"/>
  <c r="N119" i="6"/>
  <c r="L115" i="6"/>
  <c r="N215" i="6"/>
  <c r="N174" i="6"/>
  <c r="N181" i="6"/>
  <c r="N180" i="6"/>
  <c r="AK160" i="2"/>
  <c r="N102" i="6"/>
  <c r="N103" i="6"/>
  <c r="L141" i="6"/>
  <c r="N211" i="6"/>
  <c r="N170" i="6"/>
  <c r="N177" i="6"/>
  <c r="N176" i="6"/>
  <c r="N139" i="6"/>
  <c r="N101" i="6"/>
  <c r="N143" i="6"/>
  <c r="N207" i="6"/>
  <c r="N166" i="6"/>
  <c r="N173" i="6"/>
  <c r="N172" i="6"/>
  <c r="N55" i="6"/>
  <c r="N40" i="6"/>
  <c r="N69" i="6"/>
  <c r="N70" i="6"/>
  <c r="N88" i="6"/>
  <c r="N111" i="6"/>
  <c r="N145" i="6"/>
  <c r="N144" i="6"/>
  <c r="N203" i="6"/>
  <c r="N214" i="6"/>
  <c r="N169" i="6"/>
  <c r="N168" i="6"/>
  <c r="N123" i="6"/>
  <c r="N141" i="6"/>
  <c r="N140" i="6"/>
  <c r="N199" i="6"/>
  <c r="N210" i="6"/>
  <c r="N213" i="6"/>
  <c r="N212" i="6"/>
  <c r="AF169" i="2"/>
  <c r="AF187" i="2"/>
  <c r="N29" i="6"/>
  <c r="N31" i="6"/>
  <c r="N59" i="6"/>
  <c r="N51" i="6"/>
  <c r="N80" i="6"/>
  <c r="N135" i="6"/>
  <c r="N137" i="6"/>
  <c r="N136" i="6"/>
  <c r="L200" i="6"/>
  <c r="N195" i="6"/>
  <c r="N206" i="6"/>
  <c r="N209" i="6"/>
  <c r="N208" i="6"/>
  <c r="AK204" i="2"/>
  <c r="N46" i="6"/>
  <c r="N33" i="6"/>
  <c r="N23" i="6"/>
  <c r="N32" i="6"/>
  <c r="N97" i="6"/>
  <c r="N107" i="6"/>
  <c r="N133" i="6"/>
  <c r="N132" i="6"/>
  <c r="L161" i="6"/>
  <c r="N191" i="6"/>
  <c r="N202" i="6"/>
  <c r="N205" i="6"/>
  <c r="N204" i="6"/>
  <c r="N28" i="6"/>
  <c r="N63" i="6"/>
  <c r="N49" i="6"/>
  <c r="N90" i="6"/>
  <c r="N94" i="6"/>
  <c r="N142" i="6"/>
  <c r="N129" i="6"/>
  <c r="N128" i="6"/>
  <c r="N187" i="6"/>
  <c r="N198" i="6"/>
  <c r="N201" i="6"/>
  <c r="L133" i="6"/>
  <c r="L212" i="6"/>
  <c r="L157" i="6"/>
  <c r="L43" i="6"/>
  <c r="L29" i="6"/>
  <c r="L51" i="6"/>
  <c r="L79" i="6"/>
  <c r="L111" i="6"/>
  <c r="L129" i="6"/>
  <c r="L215" i="6"/>
  <c r="L153" i="6"/>
  <c r="L25" i="6"/>
  <c r="L37" i="6"/>
  <c r="L58" i="6"/>
  <c r="L38" i="6"/>
  <c r="L92" i="6"/>
  <c r="L103" i="6"/>
  <c r="L125" i="6"/>
  <c r="L148" i="6"/>
  <c r="L211" i="6"/>
  <c r="L149" i="6"/>
  <c r="L64" i="6"/>
  <c r="L41" i="6"/>
  <c r="L26" i="6"/>
  <c r="L56" i="6"/>
  <c r="L90" i="6"/>
  <c r="L88" i="6"/>
  <c r="L142" i="6"/>
  <c r="L121" i="6"/>
  <c r="L192" i="6"/>
  <c r="L207" i="6"/>
  <c r="L185" i="6"/>
  <c r="L75" i="6"/>
  <c r="L39" i="6"/>
  <c r="L33" i="6"/>
  <c r="L57" i="6"/>
  <c r="L86" i="6"/>
  <c r="L84" i="6"/>
  <c r="L138" i="6"/>
  <c r="L117" i="6"/>
  <c r="L163" i="6"/>
  <c r="L203" i="6"/>
  <c r="L181" i="6"/>
  <c r="L52" i="6"/>
  <c r="L72" i="6"/>
  <c r="L54" i="6"/>
  <c r="L60" i="6"/>
  <c r="L82" i="6"/>
  <c r="L80" i="6"/>
  <c r="L134" i="6"/>
  <c r="L109" i="6"/>
  <c r="L159" i="6"/>
  <c r="L195" i="6"/>
  <c r="L205" i="6"/>
  <c r="L61" i="6"/>
  <c r="L28" i="6"/>
  <c r="L68" i="6"/>
  <c r="L96" i="6"/>
  <c r="L97" i="6"/>
  <c r="L130" i="6"/>
  <c r="L105" i="6"/>
  <c r="L155" i="6"/>
  <c r="L191" i="6"/>
  <c r="L201" i="6"/>
  <c r="L34" i="6"/>
  <c r="L30" i="6"/>
  <c r="L46" i="6"/>
  <c r="L93" i="6"/>
  <c r="L94" i="6"/>
  <c r="L122" i="6"/>
  <c r="L144" i="6"/>
  <c r="L151" i="6"/>
  <c r="L166" i="6"/>
  <c r="L197" i="6"/>
  <c r="L73" i="6"/>
  <c r="L47" i="6"/>
  <c r="L35" i="6"/>
  <c r="L87" i="6"/>
  <c r="L118" i="6"/>
  <c r="L140" i="6"/>
  <c r="L208" i="6"/>
  <c r="L158" i="6"/>
  <c r="L184" i="6"/>
  <c r="L23" i="6"/>
  <c r="L74" i="6"/>
  <c r="L32" i="6"/>
  <c r="L83" i="6"/>
  <c r="L143" i="6"/>
  <c r="L114" i="6"/>
  <c r="L136" i="6"/>
  <c r="L196" i="6"/>
  <c r="L154" i="6"/>
  <c r="L180" i="6"/>
  <c r="L50" i="6"/>
  <c r="L66" i="6"/>
  <c r="L27" i="6"/>
  <c r="L78" i="6"/>
  <c r="L139" i="6"/>
  <c r="L110" i="6"/>
  <c r="L132" i="6"/>
  <c r="L187" i="6"/>
  <c r="L186" i="6"/>
  <c r="L168" i="6"/>
  <c r="L89" i="6"/>
  <c r="L135" i="6"/>
  <c r="L106" i="6"/>
  <c r="L128" i="6"/>
  <c r="L183" i="6"/>
  <c r="L182" i="6"/>
  <c r="L62" i="6"/>
  <c r="L59" i="6"/>
  <c r="L55" i="6"/>
  <c r="L85" i="6"/>
  <c r="L131" i="6"/>
  <c r="L102" i="6"/>
  <c r="L124" i="6"/>
  <c r="L175" i="6"/>
  <c r="L210" i="6"/>
  <c r="L63" i="6"/>
  <c r="L49" i="6"/>
  <c r="L22" i="6"/>
  <c r="L81" i="6"/>
  <c r="L127" i="6"/>
  <c r="L101" i="6"/>
  <c r="L120" i="6"/>
  <c r="L171" i="6"/>
  <c r="L202" i="6"/>
  <c r="L53" i="6"/>
  <c r="L67" i="6"/>
  <c r="L44" i="6"/>
  <c r="L70" i="6"/>
  <c r="L98" i="6"/>
  <c r="L123" i="6"/>
  <c r="L145" i="6"/>
  <c r="L112" i="6"/>
  <c r="L167" i="6"/>
  <c r="L198" i="6"/>
  <c r="AF171" i="2"/>
  <c r="AF210" i="2"/>
  <c r="AK169" i="2"/>
  <c r="AK187" i="2"/>
  <c r="AF215" i="2"/>
  <c r="AK182" i="2"/>
  <c r="AK198" i="2"/>
  <c r="AK222" i="2"/>
  <c r="AK170" i="2"/>
  <c r="AH168" i="2"/>
  <c r="AD181" i="2"/>
  <c r="L152" i="6"/>
  <c r="AH219" i="2"/>
  <c r="AD164" i="2"/>
  <c r="AL201" i="2"/>
  <c r="AH200" i="2"/>
  <c r="AJ209" i="2"/>
  <c r="AJ194" i="2"/>
  <c r="AH161" i="2"/>
  <c r="AD188" i="2"/>
  <c r="AJ170" i="2"/>
  <c r="AD225" i="2"/>
  <c r="AH177" i="2"/>
  <c r="AD175" i="2"/>
  <c r="AH165" i="2"/>
  <c r="AK221" i="2"/>
  <c r="AR167" i="2"/>
  <c r="AF178" i="2" s="1"/>
  <c r="P166" i="6"/>
  <c r="P162" i="6"/>
  <c r="AB34" i="6"/>
  <c r="AK214" i="2"/>
  <c r="AK181" i="2"/>
  <c r="P115" i="6"/>
  <c r="P210" i="6"/>
  <c r="AB32" i="6"/>
  <c r="AB40" i="6"/>
  <c r="AB158" i="6"/>
  <c r="AJ226" i="2"/>
  <c r="AJ161" i="2"/>
  <c r="AG190" i="6"/>
  <c r="AG192" i="6" s="1"/>
  <c r="AH194" i="2"/>
  <c r="AF168" i="2"/>
  <c r="AD193" i="2"/>
  <c r="AD221" i="2"/>
  <c r="AD173" i="2"/>
  <c r="AD174" i="2"/>
  <c r="AJ186" i="2"/>
  <c r="AJ162" i="2"/>
  <c r="AM161" i="2"/>
  <c r="L213" i="6"/>
  <c r="AJ168" i="2"/>
  <c r="AF184" i="2"/>
  <c r="AD168" i="2"/>
  <c r="AD226" i="2"/>
  <c r="P159" i="6"/>
  <c r="O232" i="6"/>
  <c r="L174" i="6"/>
  <c r="L160" i="6"/>
  <c r="P140" i="6"/>
  <c r="AB52" i="6"/>
  <c r="L214" i="6"/>
  <c r="L156" i="6"/>
  <c r="AK176" i="2"/>
  <c r="AK194" i="2"/>
  <c r="AK161" i="2"/>
  <c r="P168" i="6"/>
  <c r="AB54" i="6"/>
  <c r="AL213" i="2"/>
  <c r="P121" i="6"/>
  <c r="AM50" i="6"/>
  <c r="AL200" i="2"/>
  <c r="AD209" i="2"/>
  <c r="P194" i="6"/>
  <c r="AK188" i="2"/>
  <c r="AK209" i="2"/>
  <c r="AM200" i="2"/>
  <c r="AJ213" i="2"/>
  <c r="P134" i="6"/>
  <c r="L190" i="6"/>
  <c r="L176" i="6"/>
  <c r="AK220" i="2"/>
  <c r="AK168" i="2"/>
  <c r="AM201" i="2"/>
  <c r="P243" i="6"/>
  <c r="AF195" i="2"/>
  <c r="AJ215" i="2"/>
  <c r="AH170" i="2"/>
  <c r="AK210" i="2"/>
  <c r="AJ200" i="2"/>
  <c r="P172" i="6"/>
  <c r="P124" i="6"/>
  <c r="P179" i="6"/>
  <c r="P105" i="6"/>
  <c r="O237" i="6"/>
  <c r="P118" i="6"/>
  <c r="P235" i="6"/>
  <c r="P163" i="6"/>
  <c r="O242" i="6"/>
  <c r="AK227" i="2"/>
  <c r="AM212" i="2"/>
  <c r="AM195" i="2"/>
  <c r="AI200" i="2"/>
  <c r="P183" i="6"/>
  <c r="P113" i="6"/>
  <c r="P108" i="6"/>
  <c r="P203" i="6"/>
  <c r="P153" i="6"/>
  <c r="O229" i="6"/>
  <c r="P102" i="6"/>
  <c r="P227" i="6"/>
  <c r="P187" i="6"/>
  <c r="AK206" i="2"/>
  <c r="AK171" i="2"/>
  <c r="AF189" i="2"/>
  <c r="AH213" i="2"/>
  <c r="P207" i="6"/>
  <c r="O241" i="6"/>
  <c r="P156" i="6"/>
  <c r="P238" i="6"/>
  <c r="P193" i="6"/>
  <c r="P185" i="6"/>
  <c r="P150" i="6"/>
  <c r="P211" i="6"/>
  <c r="O226" i="6"/>
  <c r="AM227" i="2"/>
  <c r="AK223" i="2"/>
  <c r="AH169" i="2"/>
  <c r="AH187" i="2"/>
  <c r="AJ208" i="2"/>
  <c r="AM213" i="2"/>
  <c r="P240" i="6"/>
  <c r="P141" i="6"/>
  <c r="P169" i="6"/>
  <c r="P230" i="6"/>
  <c r="P177" i="6"/>
  <c r="P160" i="6"/>
  <c r="P190" i="6"/>
  <c r="P132" i="6"/>
  <c r="P242" i="6"/>
  <c r="P224" i="6"/>
  <c r="AF175" i="2"/>
  <c r="AW167" i="2"/>
  <c r="AK178" i="2" s="1"/>
  <c r="AK202" i="2"/>
  <c r="AK167" i="2"/>
  <c r="AK185" i="2"/>
  <c r="AF167" i="2"/>
  <c r="P232" i="6"/>
  <c r="P125" i="6"/>
  <c r="P180" i="6"/>
  <c r="P219" i="6"/>
  <c r="P201" i="6"/>
  <c r="P135" i="6"/>
  <c r="P214" i="6"/>
  <c r="P116" i="6"/>
  <c r="P234" i="6"/>
  <c r="AK165" i="2"/>
  <c r="AM165" i="2"/>
  <c r="AI213" i="2"/>
  <c r="P223" i="6"/>
  <c r="P109" i="6"/>
  <c r="P204" i="6"/>
  <c r="P138" i="6"/>
  <c r="P237" i="6"/>
  <c r="P119" i="6"/>
  <c r="P195" i="6"/>
  <c r="P164" i="6"/>
  <c r="P226" i="6"/>
  <c r="AD220" i="6"/>
  <c r="AD224" i="6"/>
  <c r="AD228" i="6"/>
  <c r="L107" i="6"/>
  <c r="L137" i="6"/>
  <c r="L116" i="6"/>
  <c r="L179" i="6"/>
  <c r="L150" i="6"/>
  <c r="L177" i="6"/>
  <c r="AF162" i="2"/>
  <c r="AK215" i="2"/>
  <c r="P145" i="6"/>
  <c r="P157" i="6"/>
  <c r="O239" i="6"/>
  <c r="P122" i="6"/>
  <c r="P229" i="6"/>
  <c r="P103" i="6"/>
  <c r="O236" i="6"/>
  <c r="P148" i="6"/>
  <c r="P218" i="6"/>
  <c r="AF173" i="2"/>
  <c r="AJ217" i="2"/>
  <c r="AJ224" i="2"/>
  <c r="AJ201" i="2"/>
  <c r="P142" i="6"/>
  <c r="P170" i="6"/>
  <c r="O231" i="6"/>
  <c r="P106" i="6"/>
  <c r="P209" i="6"/>
  <c r="P151" i="6"/>
  <c r="O228" i="6"/>
  <c r="P188" i="6"/>
  <c r="P161" i="6"/>
  <c r="L209" i="6"/>
  <c r="AF193" i="2"/>
  <c r="AK226" i="2"/>
  <c r="AK174" i="2"/>
  <c r="AH196" i="2"/>
  <c r="AD189" i="2"/>
  <c r="AH201" i="2"/>
  <c r="P126" i="6"/>
  <c r="P181" i="6"/>
  <c r="P220" i="6"/>
  <c r="P154" i="6"/>
  <c r="P184" i="6"/>
  <c r="P191" i="6"/>
  <c r="P144" i="6"/>
  <c r="P212" i="6"/>
  <c r="P128" i="6"/>
  <c r="AD223" i="2"/>
  <c r="H172" i="2"/>
  <c r="I159" i="17" s="1"/>
  <c r="AK211" i="2"/>
  <c r="AI201" i="2"/>
  <c r="P110" i="6"/>
  <c r="P205" i="6"/>
  <c r="P241" i="6"/>
  <c r="P176" i="6"/>
  <c r="P136" i="6"/>
  <c r="P215" i="6"/>
  <c r="P133" i="6"/>
  <c r="P101" i="6"/>
  <c r="AM164" i="2"/>
  <c r="AH174" i="2"/>
  <c r="P174" i="6"/>
  <c r="P158" i="6"/>
  <c r="P239" i="6"/>
  <c r="O233" i="6"/>
  <c r="P178" i="6"/>
  <c r="P120" i="6"/>
  <c r="P196" i="6"/>
  <c r="P117" i="6"/>
  <c r="O235" i="6"/>
  <c r="P130" i="6"/>
  <c r="AH186" i="2"/>
  <c r="AH190" i="2"/>
  <c r="AJ192" i="2"/>
  <c r="AM196" i="2"/>
  <c r="AM190" i="2"/>
  <c r="O225" i="6"/>
  <c r="P171" i="6"/>
  <c r="P231" i="6"/>
  <c r="P139" i="6"/>
  <c r="P202" i="6"/>
  <c r="P104" i="6"/>
  <c r="P236" i="6"/>
  <c r="P165" i="6"/>
  <c r="O227" i="6"/>
  <c r="P114" i="6"/>
  <c r="L126" i="6"/>
  <c r="L113" i="6"/>
  <c r="L204" i="6"/>
  <c r="L188" i="6"/>
  <c r="L206" i="6"/>
  <c r="AJ219" i="2"/>
  <c r="AK203" i="2"/>
  <c r="AG190" i="2"/>
  <c r="P143" i="6"/>
  <c r="P182" i="6"/>
  <c r="P221" i="6"/>
  <c r="P123" i="6"/>
  <c r="P152" i="6"/>
  <c r="P228" i="6"/>
  <c r="P149" i="6"/>
  <c r="P225" i="6"/>
  <c r="AM176" i="2"/>
  <c r="AB228" i="6"/>
  <c r="AH199" i="2"/>
  <c r="AJ166" i="2"/>
  <c r="AF186" i="2"/>
  <c r="AI208" i="2"/>
  <c r="P127" i="6"/>
  <c r="P206" i="6"/>
  <c r="P233" i="6"/>
  <c r="P107" i="6"/>
  <c r="O230" i="6"/>
  <c r="P192" i="6"/>
  <c r="P129" i="6"/>
  <c r="P189" i="6"/>
  <c r="P112" i="6"/>
  <c r="P167" i="6"/>
  <c r="AJ188" i="2"/>
  <c r="AK162" i="2"/>
  <c r="AF179" i="2"/>
  <c r="AD197" i="2"/>
  <c r="AH164" i="2"/>
  <c r="AD184" i="2"/>
  <c r="P111" i="6"/>
  <c r="P173" i="6"/>
  <c r="P155" i="6"/>
  <c r="P137" i="6"/>
  <c r="P200" i="6"/>
  <c r="P208" i="6"/>
  <c r="P213" i="6"/>
  <c r="P131" i="6"/>
  <c r="P186" i="6"/>
  <c r="AE190" i="6"/>
  <c r="AE192" i="6" s="1"/>
  <c r="N234" i="6"/>
  <c r="N228" i="6"/>
  <c r="N229" i="6"/>
  <c r="N224" i="6"/>
  <c r="N240" i="6"/>
  <c r="N219" i="6"/>
  <c r="N235" i="6"/>
  <c r="N230" i="6"/>
  <c r="N225" i="6"/>
  <c r="N241" i="6"/>
  <c r="N239" i="6"/>
  <c r="N220" i="6"/>
  <c r="N236" i="6"/>
  <c r="N231" i="6"/>
  <c r="N226" i="6"/>
  <c r="N242" i="6"/>
  <c r="N223" i="6"/>
  <c r="N221" i="6"/>
  <c r="N237" i="6"/>
  <c r="N232" i="6"/>
  <c r="N227" i="6"/>
  <c r="N243" i="6"/>
  <c r="N222" i="6"/>
  <c r="N238" i="6"/>
  <c r="N233" i="6"/>
  <c r="N218" i="6"/>
  <c r="AK224" i="2"/>
  <c r="AK192" i="2"/>
  <c r="AE189" i="2"/>
  <c r="AE192" i="2"/>
  <c r="AT167" i="2"/>
  <c r="AH178" i="2" s="1"/>
  <c r="AF192" i="2"/>
  <c r="AI192" i="2"/>
  <c r="AK217" i="2"/>
  <c r="AM191" i="2"/>
  <c r="AP167" i="2"/>
  <c r="AD178" i="2" s="1"/>
  <c r="AD208" i="2"/>
  <c r="AF217" i="2"/>
  <c r="AM217" i="2"/>
  <c r="AK163" i="2"/>
  <c r="AF166" i="2"/>
  <c r="AL212" i="2"/>
  <c r="AL189" i="2"/>
  <c r="AF190" i="2"/>
  <c r="AH208" i="2"/>
  <c r="AC190" i="6"/>
  <c r="AC192" i="6" s="1"/>
  <c r="L228" i="6"/>
  <c r="L231" i="6"/>
  <c r="L235" i="6"/>
  <c r="L239" i="6"/>
  <c r="L243" i="6"/>
  <c r="L219" i="6"/>
  <c r="L223" i="6"/>
  <c r="L227" i="6"/>
  <c r="L218" i="6"/>
  <c r="L232" i="6"/>
  <c r="L236" i="6"/>
  <c r="L240" i="6"/>
  <c r="L220" i="6"/>
  <c r="L224" i="6"/>
  <c r="L229" i="6"/>
  <c r="L233" i="6"/>
  <c r="L237" i="6"/>
  <c r="L241" i="6"/>
  <c r="L221" i="6"/>
  <c r="L225" i="6"/>
  <c r="L230" i="6"/>
  <c r="L238" i="6"/>
  <c r="L226" i="6"/>
  <c r="L234" i="6"/>
  <c r="L242" i="6"/>
  <c r="L222" i="6"/>
  <c r="AF177" i="2"/>
  <c r="AK212" i="2"/>
  <c r="AG192" i="2"/>
  <c r="AE190" i="2"/>
  <c r="AL195" i="2"/>
  <c r="AJ212" i="2"/>
  <c r="AL190" i="2"/>
  <c r="AD195" i="2"/>
  <c r="AD186" i="2"/>
  <c r="AK225" i="2"/>
  <c r="AI212" i="2"/>
  <c r="AL191" i="2"/>
  <c r="AD190" i="2"/>
  <c r="AK195" i="2"/>
  <c r="AD166" i="2"/>
  <c r="AH212" i="2"/>
  <c r="AE196" i="2"/>
  <c r="AM189" i="2"/>
  <c r="AF191" i="2"/>
  <c r="AK190" i="2"/>
  <c r="AJ195" i="2"/>
  <c r="AM166" i="2"/>
  <c r="AF199" i="2"/>
  <c r="AG212" i="2"/>
  <c r="AD196" i="2"/>
  <c r="AM208" i="2"/>
  <c r="AK191" i="2"/>
  <c r="AJ190" i="2"/>
  <c r="AI195" i="2"/>
  <c r="L178" i="6"/>
  <c r="L169" i="6"/>
  <c r="AF212" i="2"/>
  <c r="AF196" i="2"/>
  <c r="AG191" i="2"/>
  <c r="AI190" i="2"/>
  <c r="AG195" i="2"/>
  <c r="AD177" i="2"/>
  <c r="AD179" i="2"/>
  <c r="AK186" i="2"/>
  <c r="AE212" i="2"/>
  <c r="AG196" i="2"/>
  <c r="AE191" i="2"/>
  <c r="AH195" i="2"/>
  <c r="AH225" i="2"/>
  <c r="AF164" i="2"/>
  <c r="AK166" i="2"/>
  <c r="AK184" i="2"/>
  <c r="AD212" i="2"/>
  <c r="AL196" i="2"/>
  <c r="AK189" i="2"/>
  <c r="AJ191" i="2"/>
  <c r="AG208" i="2"/>
  <c r="AE195" i="2"/>
  <c r="AK164" i="2"/>
  <c r="AK196" i="2"/>
  <c r="AJ189" i="2"/>
  <c r="AD191" i="2"/>
  <c r="AL208" i="2"/>
  <c r="AK179" i="2"/>
  <c r="AK199" i="2"/>
  <c r="AQ178" i="2"/>
  <c r="AP178" i="2"/>
  <c r="AD192" i="2"/>
  <c r="AJ196" i="2"/>
  <c r="AI189" i="2"/>
  <c r="AI191" i="2"/>
  <c r="AF208" i="2"/>
  <c r="AK177" i="2"/>
  <c r="AK197" i="2"/>
  <c r="AH192" i="2"/>
  <c r="AI196" i="2"/>
  <c r="AH189" i="2"/>
  <c r="AH191" i="2"/>
  <c r="AK208" i="2"/>
  <c r="AJ184" i="2"/>
  <c r="AH166" i="2"/>
  <c r="AK175" i="2"/>
  <c r="AM192" i="2"/>
  <c r="AL192" i="2"/>
  <c r="AG189" i="2"/>
  <c r="AE208" i="2"/>
  <c r="L199" i="6"/>
  <c r="L194" i="6"/>
  <c r="L164" i="6"/>
  <c r="AK173" i="2"/>
  <c r="AK193" i="2"/>
  <c r="AJ165" i="2"/>
  <c r="AL224" i="2"/>
  <c r="AL163" i="2"/>
  <c r="AH203" i="2"/>
  <c r="AH211" i="2"/>
  <c r="AE222" i="2"/>
  <c r="AM222" i="2"/>
  <c r="AE161" i="2"/>
  <c r="AH221" i="2"/>
  <c r="AD199" i="2"/>
  <c r="AI199" i="2"/>
  <c r="AI160" i="2"/>
  <c r="AI164" i="2"/>
  <c r="AI177" i="2"/>
  <c r="AG221" i="2"/>
  <c r="AG197" i="2"/>
  <c r="AG166" i="2"/>
  <c r="AJ223" i="2"/>
  <c r="AL222" i="2"/>
  <c r="AL194" i="2"/>
  <c r="AL161" i="2"/>
  <c r="AM171" i="2"/>
  <c r="AD161" i="2"/>
  <c r="AF209" i="2"/>
  <c r="AJ199" i="2"/>
  <c r="AE220" i="2"/>
  <c r="AM220" i="2"/>
  <c r="AE198" i="2"/>
  <c r="AM198" i="2"/>
  <c r="AH181" i="2"/>
  <c r="AM210" i="2"/>
  <c r="AI210" i="2"/>
  <c r="AI187" i="2"/>
  <c r="AI162" i="2"/>
  <c r="AI175" i="2"/>
  <c r="AG226" i="2"/>
  <c r="AG164" i="2"/>
  <c r="AL220" i="2"/>
  <c r="AL176" i="2"/>
  <c r="AD204" i="2"/>
  <c r="AD224" i="2"/>
  <c r="AH167" i="2"/>
  <c r="AJ179" i="2"/>
  <c r="AE218" i="2"/>
  <c r="AE211" i="2"/>
  <c r="AM211" i="2"/>
  <c r="AJ203" i="2"/>
  <c r="AH197" i="2"/>
  <c r="AI197" i="2"/>
  <c r="AI206" i="2"/>
  <c r="AM206" i="2"/>
  <c r="AI173" i="2"/>
  <c r="AG217" i="2"/>
  <c r="AG224" i="2"/>
  <c r="AG193" i="2"/>
  <c r="AG162" i="2"/>
  <c r="AM218" i="2"/>
  <c r="AD218" i="2"/>
  <c r="AL218" i="2"/>
  <c r="AL174" i="2"/>
  <c r="AL211" i="2"/>
  <c r="AD211" i="2"/>
  <c r="AH209" i="2"/>
  <c r="AH162" i="2"/>
  <c r="AJ218" i="2"/>
  <c r="AE209" i="2"/>
  <c r="AM209" i="2"/>
  <c r="AE174" i="2"/>
  <c r="AM174" i="2"/>
  <c r="AE194" i="2"/>
  <c r="AM194" i="2"/>
  <c r="AJ181" i="2"/>
  <c r="AI185" i="2"/>
  <c r="AI204" i="2"/>
  <c r="AI171" i="2"/>
  <c r="AG215" i="2"/>
  <c r="AG222" i="2"/>
  <c r="AL188" i="2"/>
  <c r="AL209" i="2"/>
  <c r="AD220" i="2"/>
  <c r="AD222" i="2"/>
  <c r="AF214" i="2"/>
  <c r="AH182" i="2"/>
  <c r="AJ197" i="2"/>
  <c r="AE160" i="2"/>
  <c r="AM160" i="2"/>
  <c r="AI209" i="2"/>
  <c r="AI202" i="2"/>
  <c r="AM202" i="2"/>
  <c r="AI169" i="2"/>
  <c r="AG220" i="2"/>
  <c r="AG198" i="2"/>
  <c r="AL214" i="2"/>
  <c r="AL170" i="2"/>
  <c r="AL186" i="2"/>
  <c r="AF174" i="2"/>
  <c r="AF194" i="2"/>
  <c r="AH210" i="2"/>
  <c r="AH222" i="2"/>
  <c r="AJ177" i="2"/>
  <c r="AJ220" i="2"/>
  <c r="AH193" i="2"/>
  <c r="AI193" i="2"/>
  <c r="AI205" i="2"/>
  <c r="AM205" i="2"/>
  <c r="AI198" i="2"/>
  <c r="AI167" i="2"/>
  <c r="AG171" i="2"/>
  <c r="AG218" i="2"/>
  <c r="AG187" i="2"/>
  <c r="AF197" i="2"/>
  <c r="AF225" i="2"/>
  <c r="AL160" i="2"/>
  <c r="AL168" i="2"/>
  <c r="AL184" i="2"/>
  <c r="AL205" i="2"/>
  <c r="AH224" i="2"/>
  <c r="AF160" i="2"/>
  <c r="AH204" i="2"/>
  <c r="AJ175" i="2"/>
  <c r="AJ210" i="2"/>
  <c r="AE181" i="2"/>
  <c r="AM181" i="2"/>
  <c r="AE168" i="2"/>
  <c r="AM168" i="2"/>
  <c r="AE188" i="2"/>
  <c r="AM188" i="2"/>
  <c r="AU167" i="2"/>
  <c r="AI178" i="2" s="1"/>
  <c r="AI165" i="2"/>
  <c r="AG211" i="2"/>
  <c r="AG185" i="2"/>
  <c r="AG194" i="2"/>
  <c r="L170" i="6"/>
  <c r="L173" i="6"/>
  <c r="L172" i="6"/>
  <c r="AF221" i="2"/>
  <c r="AF188" i="2"/>
  <c r="AH171" i="2"/>
  <c r="AL227" i="2"/>
  <c r="AL166" i="2"/>
  <c r="AL181" i="2"/>
  <c r="AL203" i="2"/>
  <c r="AF224" i="2"/>
  <c r="AH185" i="2"/>
  <c r="AJ193" i="2"/>
  <c r="AJ214" i="2"/>
  <c r="AD187" i="2"/>
  <c r="AE179" i="2"/>
  <c r="AM179" i="2"/>
  <c r="AE199" i="2"/>
  <c r="AM199" i="2"/>
  <c r="AE166" i="2"/>
  <c r="AE186" i="2"/>
  <c r="AM186" i="2"/>
  <c r="AI227" i="2"/>
  <c r="AI226" i="2"/>
  <c r="AI182" i="2"/>
  <c r="AM182" i="2"/>
  <c r="AD194" i="2"/>
  <c r="AI194" i="2"/>
  <c r="AI163" i="2"/>
  <c r="AG169" i="2"/>
  <c r="AG214" i="2"/>
  <c r="AS167" i="2"/>
  <c r="AG178" i="2" s="1"/>
  <c r="AF170" i="2"/>
  <c r="AH176" i="2"/>
  <c r="AL225" i="2"/>
  <c r="AL164" i="2"/>
  <c r="AL179" i="2"/>
  <c r="AL199" i="2"/>
  <c r="AH184" i="2"/>
  <c r="AH205" i="2"/>
  <c r="AJ173" i="2"/>
  <c r="AD210" i="2"/>
  <c r="AD167" i="2"/>
  <c r="AE225" i="2"/>
  <c r="AE177" i="2"/>
  <c r="AM177" i="2"/>
  <c r="AE197" i="2"/>
  <c r="AM197" i="2"/>
  <c r="AE164" i="2"/>
  <c r="AE184" i="2"/>
  <c r="AM184" i="2"/>
  <c r="AI225" i="2"/>
  <c r="AI224" i="2"/>
  <c r="AI161" i="2"/>
  <c r="AG199" i="2"/>
  <c r="AH226" i="2"/>
  <c r="AF181" i="2"/>
  <c r="AH175" i="2"/>
  <c r="AL223" i="2"/>
  <c r="AL162" i="2"/>
  <c r="AL177" i="2"/>
  <c r="AL197" i="2"/>
  <c r="AH217" i="2"/>
  <c r="AH218" i="2"/>
  <c r="AJ206" i="2"/>
  <c r="AD185" i="2"/>
  <c r="AD215" i="2"/>
  <c r="AE223" i="2"/>
  <c r="AM223" i="2"/>
  <c r="AE175" i="2"/>
  <c r="AM175" i="2"/>
  <c r="AE162" i="2"/>
  <c r="AM162" i="2"/>
  <c r="AD214" i="2"/>
  <c r="AI223" i="2"/>
  <c r="AI222" i="2"/>
  <c r="AG204" i="2"/>
  <c r="AG167" i="2"/>
  <c r="AG160" i="2"/>
  <c r="AG188" i="2"/>
  <c r="AH220" i="2"/>
  <c r="AF223" i="2"/>
  <c r="AJ187" i="2"/>
  <c r="AL221" i="2"/>
  <c r="AL210" i="2"/>
  <c r="AL175" i="2"/>
  <c r="AJ169" i="2"/>
  <c r="AH227" i="2"/>
  <c r="AJ160" i="2"/>
  <c r="AM215" i="2"/>
  <c r="AE221" i="2"/>
  <c r="AM221" i="2"/>
  <c r="AE173" i="2"/>
  <c r="AM173" i="2"/>
  <c r="AE193" i="2"/>
  <c r="AM193" i="2"/>
  <c r="AE214" i="2"/>
  <c r="AM214" i="2"/>
  <c r="AI221" i="2"/>
  <c r="AI220" i="2"/>
  <c r="AI176" i="2"/>
  <c r="AI188" i="2"/>
  <c r="AG175" i="2"/>
  <c r="AG165" i="2"/>
  <c r="AG186" i="2"/>
  <c r="AH202" i="2"/>
  <c r="AH214" i="2"/>
  <c r="AJ167" i="2"/>
  <c r="AL219" i="2"/>
  <c r="AL173" i="2"/>
  <c r="AL193" i="2"/>
  <c r="AJ202" i="2"/>
  <c r="AH163" i="2"/>
  <c r="AD165" i="2"/>
  <c r="AF204" i="2"/>
  <c r="AE171" i="2"/>
  <c r="AI219" i="2"/>
  <c r="AM219" i="2"/>
  <c r="AI218" i="2"/>
  <c r="AI174" i="2"/>
  <c r="AI186" i="2"/>
  <c r="AG210" i="2"/>
  <c r="AG184" i="2"/>
  <c r="AJ205" i="2"/>
  <c r="AJ198" i="2"/>
  <c r="AL217" i="2"/>
  <c r="AL206" i="2"/>
  <c r="AL171" i="2"/>
  <c r="AJ182" i="2"/>
  <c r="AJ171" i="2"/>
  <c r="AD163" i="2"/>
  <c r="AD160" i="2"/>
  <c r="AF163" i="2"/>
  <c r="AE217" i="2"/>
  <c r="AE169" i="2"/>
  <c r="AM169" i="2"/>
  <c r="AE210" i="2"/>
  <c r="AD169" i="2"/>
  <c r="AI217" i="2"/>
  <c r="AI184" i="2"/>
  <c r="AG173" i="2"/>
  <c r="AG163" i="2"/>
  <c r="AG174" i="2"/>
  <c r="AY167" i="2"/>
  <c r="AM178" i="2" s="1"/>
  <c r="AJ164" i="2"/>
  <c r="AJ221" i="2"/>
  <c r="AH215" i="2"/>
  <c r="AJ225" i="2"/>
  <c r="AL215" i="2"/>
  <c r="AL204" i="2"/>
  <c r="AL169" i="2"/>
  <c r="AJ227" i="2"/>
  <c r="AJ204" i="2"/>
  <c r="AF161" i="2"/>
  <c r="AF220" i="2"/>
  <c r="AE215" i="2"/>
  <c r="AE167" i="2"/>
  <c r="AM167" i="2"/>
  <c r="AE187" i="2"/>
  <c r="AM187" i="2"/>
  <c r="AD217" i="2"/>
  <c r="AI215" i="2"/>
  <c r="AI214" i="2"/>
  <c r="AI170" i="2"/>
  <c r="AG161" i="2"/>
  <c r="AJ222" i="2"/>
  <c r="AH160" i="2"/>
  <c r="AX167" i="2"/>
  <c r="AL178" i="2" s="1"/>
  <c r="AL202" i="2"/>
  <c r="AL167" i="2"/>
  <c r="AL187" i="2"/>
  <c r="AV167" i="2"/>
  <c r="AJ178" i="2" s="1"/>
  <c r="AF198" i="2"/>
  <c r="AF218" i="2"/>
  <c r="AH179" i="2"/>
  <c r="AE226" i="2"/>
  <c r="AM226" i="2"/>
  <c r="AE165" i="2"/>
  <c r="AE185" i="2"/>
  <c r="AM185" i="2"/>
  <c r="AF165" i="2"/>
  <c r="AI203" i="2"/>
  <c r="AM203" i="2"/>
  <c r="AI168" i="2"/>
  <c r="AI181" i="2"/>
  <c r="AG225" i="2"/>
  <c r="AG177" i="2"/>
  <c r="AG181" i="2"/>
  <c r="AG170" i="2"/>
  <c r="AD162" i="2"/>
  <c r="AM225" i="2"/>
  <c r="L162" i="6"/>
  <c r="L165" i="6"/>
  <c r="L189" i="6"/>
  <c r="AH223" i="2"/>
  <c r="AJ174" i="2"/>
  <c r="AJ185" i="2"/>
  <c r="AL226" i="2"/>
  <c r="AL182" i="2"/>
  <c r="AL198" i="2"/>
  <c r="AL165" i="2"/>
  <c r="AL185" i="2"/>
  <c r="AD198" i="2"/>
  <c r="AH206" i="2"/>
  <c r="AH173" i="2"/>
  <c r="AE224" i="2"/>
  <c r="AM224" i="2"/>
  <c r="AE163" i="2"/>
  <c r="AM163" i="2"/>
  <c r="AE204" i="2"/>
  <c r="AM204" i="2"/>
  <c r="AF222" i="2"/>
  <c r="AI211" i="2"/>
  <c r="AI166" i="2"/>
  <c r="AI179" i="2"/>
  <c r="AG223" i="2"/>
  <c r="AG209" i="2"/>
  <c r="AG179" i="2"/>
  <c r="AG168" i="2"/>
  <c r="AD171" i="2"/>
  <c r="AM170" i="2"/>
  <c r="AI190" i="6"/>
  <c r="AD185" i="6"/>
  <c r="AF192" i="6"/>
  <c r="AD177" i="6"/>
  <c r="AD181" i="6"/>
  <c r="O213" i="6"/>
  <c r="O162" i="6"/>
  <c r="O153" i="6"/>
  <c r="O152" i="6"/>
  <c r="O205" i="6"/>
  <c r="O154" i="6"/>
  <c r="O159" i="6"/>
  <c r="O158" i="6"/>
  <c r="O166" i="6"/>
  <c r="O193" i="6"/>
  <c r="O212" i="6"/>
  <c r="O211" i="6"/>
  <c r="O210" i="6"/>
  <c r="O151" i="6"/>
  <c r="O150" i="6"/>
  <c r="O204" i="6"/>
  <c r="O203" i="6"/>
  <c r="O202" i="6"/>
  <c r="O157" i="6"/>
  <c r="M166" i="6"/>
  <c r="O172" i="6"/>
  <c r="O192" i="6"/>
  <c r="O191" i="6"/>
  <c r="O190" i="6"/>
  <c r="O209" i="6"/>
  <c r="O149" i="6"/>
  <c r="O181" i="6"/>
  <c r="O180" i="6"/>
  <c r="O215" i="6"/>
  <c r="O156" i="6"/>
  <c r="O171" i="6"/>
  <c r="O170" i="6"/>
  <c r="O169" i="6"/>
  <c r="O208" i="6"/>
  <c r="O207" i="6"/>
  <c r="P83" i="6"/>
  <c r="AD169" i="6"/>
  <c r="AD173" i="6"/>
  <c r="AD153" i="6"/>
  <c r="AD158" i="6"/>
  <c r="AD162" i="6"/>
  <c r="O168" i="6"/>
  <c r="O187" i="6"/>
  <c r="O174" i="6"/>
  <c r="O167" i="6"/>
  <c r="O165" i="6"/>
  <c r="O214" i="6"/>
  <c r="O148" i="6"/>
  <c r="O206" i="6"/>
  <c r="O163" i="6"/>
  <c r="O155" i="6"/>
  <c r="O184" i="6"/>
  <c r="O164" i="6"/>
  <c r="O173" i="6"/>
  <c r="O161" i="6"/>
  <c r="O160" i="6"/>
  <c r="O176" i="6"/>
  <c r="AI93" i="2"/>
  <c r="O125" i="6"/>
  <c r="O138" i="6"/>
  <c r="O113" i="6"/>
  <c r="O117" i="6"/>
  <c r="O130" i="6"/>
  <c r="O105" i="6"/>
  <c r="O109" i="6"/>
  <c r="O122" i="6"/>
  <c r="O142" i="6"/>
  <c r="O145" i="6"/>
  <c r="O114" i="6"/>
  <c r="O118" i="6"/>
  <c r="O106" i="6"/>
  <c r="O139" i="6"/>
  <c r="O101" i="6"/>
  <c r="O143" i="6"/>
  <c r="AJ94" i="2"/>
  <c r="O131" i="6"/>
  <c r="O135" i="6"/>
  <c r="O133" i="6"/>
  <c r="O123" i="6"/>
  <c r="O127" i="6"/>
  <c r="AK99" i="2"/>
  <c r="O115" i="6"/>
  <c r="O119" i="6"/>
  <c r="O107" i="6"/>
  <c r="O144" i="6"/>
  <c r="O111" i="6"/>
  <c r="O110" i="6"/>
  <c r="O136" i="6"/>
  <c r="O103" i="6"/>
  <c r="O121" i="6"/>
  <c r="AK96" i="2"/>
  <c r="O140" i="6"/>
  <c r="O126" i="6"/>
  <c r="O128" i="6"/>
  <c r="O102" i="6"/>
  <c r="O132" i="6"/>
  <c r="O120" i="6"/>
  <c r="O98" i="6"/>
  <c r="AI109" i="2"/>
  <c r="O134" i="6"/>
  <c r="O124" i="6"/>
  <c r="O137" i="6"/>
  <c r="O112" i="6"/>
  <c r="O108" i="6"/>
  <c r="O141" i="6"/>
  <c r="O116" i="6"/>
  <c r="O129" i="6"/>
  <c r="O104" i="6"/>
  <c r="AF93" i="2"/>
  <c r="AH109" i="2"/>
  <c r="AD94" i="2"/>
  <c r="AI110" i="2"/>
  <c r="AH96" i="2"/>
  <c r="AL93" i="2"/>
  <c r="AK93" i="2"/>
  <c r="AJ93" i="2"/>
  <c r="AH93" i="2"/>
  <c r="AI100" i="2"/>
  <c r="AD97" i="2"/>
  <c r="AJ109" i="2"/>
  <c r="AD93" i="2"/>
  <c r="AI94" i="2"/>
  <c r="AH94" i="2"/>
  <c r="AK105" i="2"/>
  <c r="AG94" i="2"/>
  <c r="AF94" i="2"/>
  <c r="AE93" i="2"/>
  <c r="AE94" i="2"/>
  <c r="AJ106" i="2"/>
  <c r="AG98" i="2"/>
  <c r="AF105" i="2"/>
  <c r="AG105" i="2"/>
  <c r="AM105" i="2"/>
  <c r="AM96" i="2"/>
  <c r="AH105" i="2"/>
  <c r="AI105" i="2"/>
  <c r="AJ96" i="2"/>
  <c r="AM98" i="2"/>
  <c r="AF96" i="2"/>
  <c r="AG96" i="2"/>
  <c r="AM109" i="2"/>
  <c r="AF109" i="2"/>
  <c r="AE106" i="2"/>
  <c r="AD109" i="2"/>
  <c r="AG109" i="2"/>
  <c r="AL96" i="2"/>
  <c r="AK98" i="2"/>
  <c r="AL98" i="2"/>
  <c r="AL109" i="2"/>
  <c r="AG93" i="2"/>
  <c r="AI98" i="2"/>
  <c r="AH98" i="2"/>
  <c r="AI96" i="2"/>
  <c r="AJ98" i="2"/>
  <c r="AD105" i="2"/>
  <c r="AK109" i="2"/>
  <c r="AF98" i="2"/>
  <c r="AL105" i="2"/>
  <c r="AJ105" i="2"/>
  <c r="AL94" i="2"/>
  <c r="AD69" i="2"/>
  <c r="AK94" i="2"/>
  <c r="AJ97" i="2"/>
  <c r="AG97" i="2"/>
  <c r="AL99" i="2"/>
  <c r="AI97" i="2"/>
  <c r="AK97" i="2"/>
  <c r="AL97" i="2"/>
  <c r="AL100" i="2"/>
  <c r="AM97" i="2"/>
  <c r="AK100" i="2"/>
  <c r="AM95" i="2"/>
  <c r="AH97" i="2"/>
  <c r="AJ100" i="2"/>
  <c r="AL106" i="2"/>
  <c r="AF97" i="2"/>
  <c r="AF95" i="2"/>
  <c r="AK110" i="2"/>
  <c r="AJ99" i="2"/>
  <c r="AL95" i="2"/>
  <c r="AJ110" i="2"/>
  <c r="AL110" i="2"/>
  <c r="AK95" i="2"/>
  <c r="AJ95" i="2"/>
  <c r="AH110" i="2"/>
  <c r="AF106" i="2"/>
  <c r="AI95" i="2"/>
  <c r="AH95" i="2"/>
  <c r="AG99" i="2"/>
  <c r="AG95" i="2"/>
  <c r="AG100" i="2"/>
  <c r="AD108" i="2"/>
  <c r="AG110" i="2"/>
  <c r="AF110" i="2"/>
  <c r="AD100" i="2"/>
  <c r="AE110" i="2"/>
  <c r="AD106" i="2"/>
  <c r="AM110" i="2"/>
  <c r="AK106" i="2"/>
  <c r="AH99" i="2"/>
  <c r="AF99" i="2"/>
  <c r="AI106" i="2"/>
  <c r="AH106" i="2"/>
  <c r="AD99" i="2"/>
  <c r="AG106" i="2"/>
  <c r="AI85" i="2"/>
  <c r="AH87" i="2"/>
  <c r="AH100" i="2"/>
  <c r="AF100" i="2"/>
  <c r="AI99" i="2"/>
  <c r="AE100" i="2"/>
  <c r="AH92" i="2"/>
  <c r="AI92" i="2"/>
  <c r="AJ92" i="2"/>
  <c r="AK92" i="2"/>
  <c r="AL92" i="2"/>
  <c r="AM92" i="2"/>
  <c r="AI90" i="2"/>
  <c r="AH90" i="2"/>
  <c r="AK90" i="2"/>
  <c r="AJ90" i="2"/>
  <c r="AM90" i="2"/>
  <c r="AL90" i="2"/>
  <c r="AH101" i="2"/>
  <c r="AI101" i="2"/>
  <c r="AJ101" i="2"/>
  <c r="AK101" i="2"/>
  <c r="AL101" i="2"/>
  <c r="AM101" i="2"/>
  <c r="AH104" i="2"/>
  <c r="AI104" i="2"/>
  <c r="AJ104" i="2"/>
  <c r="AK104" i="2"/>
  <c r="AL104" i="2"/>
  <c r="AM104" i="2"/>
  <c r="AL107" i="2"/>
  <c r="AM107" i="2"/>
  <c r="AK107" i="2"/>
  <c r="AJ107" i="2"/>
  <c r="AH107" i="2"/>
  <c r="AI107" i="2"/>
  <c r="AH91" i="2"/>
  <c r="AI91" i="2"/>
  <c r="AJ91" i="2"/>
  <c r="AK91" i="2"/>
  <c r="AL91" i="2"/>
  <c r="AM91" i="2"/>
  <c r="AH103" i="2"/>
  <c r="AI103" i="2"/>
  <c r="AJ103" i="2"/>
  <c r="AK103" i="2"/>
  <c r="AL103" i="2"/>
  <c r="AM103" i="2"/>
  <c r="AF108" i="2"/>
  <c r="AG108" i="2"/>
  <c r="AE108" i="2"/>
  <c r="AK102" i="2"/>
  <c r="AJ102" i="2"/>
  <c r="AL102" i="2"/>
  <c r="AM102" i="2"/>
  <c r="AI102" i="2"/>
  <c r="AH102" i="2"/>
  <c r="AH108" i="2"/>
  <c r="AM108" i="2"/>
  <c r="AK108" i="2"/>
  <c r="AJ108" i="2"/>
  <c r="AL108" i="2"/>
  <c r="AI108" i="2"/>
  <c r="O96" i="6"/>
  <c r="P89" i="6"/>
  <c r="O79" i="6"/>
  <c r="AV74" i="2"/>
  <c r="O93" i="6"/>
  <c r="O89" i="6"/>
  <c r="P82" i="6"/>
  <c r="P92" i="6"/>
  <c r="P86" i="6"/>
  <c r="P70" i="6"/>
  <c r="AD80" i="6"/>
  <c r="AD83" i="6"/>
  <c r="P80" i="6"/>
  <c r="O78" i="6"/>
  <c r="O80" i="6"/>
  <c r="O92" i="6"/>
  <c r="O86" i="6"/>
  <c r="P96" i="6"/>
  <c r="P22" i="6"/>
  <c r="P79" i="6"/>
  <c r="O82" i="6"/>
  <c r="O83" i="6"/>
  <c r="P91" i="6"/>
  <c r="P85" i="6"/>
  <c r="P78" i="6"/>
  <c r="P98" i="6"/>
  <c r="P97" i="6"/>
  <c r="P87" i="6"/>
  <c r="O81" i="6"/>
  <c r="AV69" i="2"/>
  <c r="AJ79" i="2" s="1"/>
  <c r="O91" i="6"/>
  <c r="P93" i="6"/>
  <c r="O85" i="6"/>
  <c r="P90" i="6"/>
  <c r="O97" i="6"/>
  <c r="P95" i="6"/>
  <c r="O94" i="6"/>
  <c r="P88" i="6"/>
  <c r="P84" i="6"/>
  <c r="O90" i="6"/>
  <c r="P94" i="6"/>
  <c r="P81" i="6"/>
  <c r="O95" i="6"/>
  <c r="O84" i="6"/>
  <c r="AI67" i="2"/>
  <c r="AW58" i="2"/>
  <c r="AV58" i="2" s="1"/>
  <c r="AW69" i="2"/>
  <c r="AK79" i="2" s="1"/>
  <c r="AX69" i="2"/>
  <c r="AL79" i="2" s="1"/>
  <c r="AQ69" i="2"/>
  <c r="AE79" i="2" s="1"/>
  <c r="AP69" i="2"/>
  <c r="AD79" i="2" s="1"/>
  <c r="AY69" i="2"/>
  <c r="AM79" i="2" s="1"/>
  <c r="AI59" i="2"/>
  <c r="AH68" i="2"/>
  <c r="AJ57" i="2"/>
  <c r="AH62" i="2"/>
  <c r="AU69" i="2"/>
  <c r="AI79" i="2" s="1"/>
  <c r="AD70" i="2"/>
  <c r="AT69" i="2"/>
  <c r="AH79" i="2" s="1"/>
  <c r="AR69" i="2"/>
  <c r="AF79" i="2" s="1"/>
  <c r="AS69" i="2"/>
  <c r="AG79" i="2" s="1"/>
  <c r="AI40" i="2"/>
  <c r="AI51" i="2"/>
  <c r="AI39" i="2"/>
  <c r="AI82" i="2"/>
  <c r="AH47" i="2"/>
  <c r="AM66" i="2"/>
  <c r="AH76" i="2"/>
  <c r="AI54" i="2"/>
  <c r="AD60" i="2"/>
  <c r="AI34" i="2"/>
  <c r="AI83" i="2"/>
  <c r="AL77" i="2"/>
  <c r="AM65" i="2"/>
  <c r="AJ45" i="2"/>
  <c r="AH35" i="2"/>
  <c r="AI50" i="2"/>
  <c r="AI80" i="2"/>
  <c r="AH46" i="2"/>
  <c r="AI38" i="2"/>
  <c r="AD75" i="2"/>
  <c r="AM71" i="2"/>
  <c r="AK58" i="2"/>
  <c r="AM69" i="2"/>
  <c r="AF61" i="2"/>
  <c r="AK53" i="2"/>
  <c r="AI42" i="2"/>
  <c r="AM55" i="2"/>
  <c r="AL58" i="2"/>
  <c r="AM40" i="2"/>
  <c r="AH77" i="2"/>
  <c r="AI36" i="2"/>
  <c r="AK80" i="2"/>
  <c r="AD53" i="2"/>
  <c r="AI69" i="2"/>
  <c r="AL69" i="2"/>
  <c r="AM67" i="2"/>
  <c r="AM57" i="2"/>
  <c r="AK82" i="2"/>
  <c r="AI61" i="2"/>
  <c r="AL61" i="2"/>
  <c r="AK54" i="2"/>
  <c r="AI63" i="2"/>
  <c r="AI53" i="2"/>
  <c r="AL53" i="2"/>
  <c r="AM80" i="2"/>
  <c r="AI55" i="2"/>
  <c r="AH43" i="2"/>
  <c r="AI49" i="2"/>
  <c r="AH82" i="2"/>
  <c r="AL80" i="2"/>
  <c r="AH64" i="2"/>
  <c r="AH86" i="2"/>
  <c r="AL82" i="2"/>
  <c r="AK69" i="2"/>
  <c r="AD58" i="2"/>
  <c r="AL54" i="2"/>
  <c r="AK61" i="2"/>
  <c r="AJ54" i="2"/>
  <c r="AM46" i="2"/>
  <c r="AJ58" i="2"/>
  <c r="AF53" i="2"/>
  <c r="AG61" i="2"/>
  <c r="AF58" i="2"/>
  <c r="AM82" i="2"/>
  <c r="AM53" i="2"/>
  <c r="AH36" i="2"/>
  <c r="AH58" i="2"/>
  <c r="AD82" i="2"/>
  <c r="AF69" i="2"/>
  <c r="AM58" i="2"/>
  <c r="AJ82" i="2"/>
  <c r="AG69" i="2"/>
  <c r="AM39" i="2"/>
  <c r="AG82" i="2"/>
  <c r="AJ53" i="2"/>
  <c r="AH69" i="2"/>
  <c r="AL65" i="2"/>
  <c r="AH53" i="2"/>
  <c r="AJ69" i="2"/>
  <c r="AI57" i="2"/>
  <c r="AM49" i="2"/>
  <c r="AD51" i="2"/>
  <c r="AH54" i="2"/>
  <c r="AD80" i="2"/>
  <c r="AG53" i="2"/>
  <c r="AG37" i="2"/>
  <c r="AH70" i="2"/>
  <c r="AG54" i="2"/>
  <c r="AG80" i="2"/>
  <c r="AI41" i="2"/>
  <c r="AF54" i="2"/>
  <c r="AH80" i="2"/>
  <c r="AJ61" i="2"/>
  <c r="AL47" i="2"/>
  <c r="AD54" i="2"/>
  <c r="AJ77" i="2"/>
  <c r="AJ50" i="2"/>
  <c r="AH65" i="2"/>
  <c r="AM54" i="2"/>
  <c r="AJ80" i="2"/>
  <c r="AM77" i="2"/>
  <c r="AH66" i="2"/>
  <c r="AH56" i="2"/>
  <c r="AH39" i="2"/>
  <c r="AM61" i="2"/>
  <c r="AM34" i="2"/>
  <c r="AH61" i="2"/>
  <c r="AM62" i="2"/>
  <c r="AI58" i="2"/>
  <c r="AD61" i="2"/>
  <c r="AJ74" i="2"/>
  <c r="AF71" i="2"/>
  <c r="AM81" i="2"/>
  <c r="AF81" i="2"/>
  <c r="AG81" i="2"/>
  <c r="AH81" i="2"/>
  <c r="AD81" i="2"/>
  <c r="AI81" i="2"/>
  <c r="AJ81" i="2"/>
  <c r="AK81" i="2"/>
  <c r="AL81" i="2"/>
  <c r="AD77" i="2"/>
  <c r="AE77" i="2"/>
  <c r="AG77" i="2"/>
  <c r="AI77" i="2"/>
  <c r="AK77" i="2"/>
  <c r="AD76" i="2"/>
  <c r="AG76" i="2"/>
  <c r="AE76" i="2"/>
  <c r="AM76" i="2"/>
  <c r="AL76" i="2"/>
  <c r="AK76" i="2"/>
  <c r="AJ76" i="2"/>
  <c r="AI76" i="2"/>
  <c r="AH75" i="2"/>
  <c r="AE75" i="2"/>
  <c r="AG75" i="2"/>
  <c r="AM75" i="2"/>
  <c r="AL75" i="2"/>
  <c r="AK75" i="2"/>
  <c r="AJ75" i="2"/>
  <c r="AI75" i="2"/>
  <c r="AK74" i="2"/>
  <c r="AI74" i="2"/>
  <c r="AH74" i="2"/>
  <c r="AM74" i="2"/>
  <c r="AG74" i="2"/>
  <c r="AD74" i="2"/>
  <c r="AL74" i="2"/>
  <c r="AI72" i="2"/>
  <c r="AM72" i="2"/>
  <c r="AF72" i="2"/>
  <c r="AH72" i="2"/>
  <c r="AG71" i="2"/>
  <c r="AD71" i="2"/>
  <c r="AH71" i="2"/>
  <c r="AI71" i="2"/>
  <c r="AJ71" i="2"/>
  <c r="AK71" i="2"/>
  <c r="AL71" i="2"/>
  <c r="AL60" i="2"/>
  <c r="AK60" i="2"/>
  <c r="AF60" i="2"/>
  <c r="AG60" i="2"/>
  <c r="AH60" i="2"/>
  <c r="AI60" i="2"/>
  <c r="AM60" i="2"/>
  <c r="AJ60" i="2"/>
  <c r="AJ68" i="2"/>
  <c r="AL45" i="2"/>
  <c r="AL43" i="2"/>
  <c r="AK37" i="2"/>
  <c r="AH45" i="2"/>
  <c r="AH40" i="2"/>
  <c r="AL37" i="2"/>
  <c r="AL35" i="2"/>
  <c r="AJ63" i="2"/>
  <c r="AH63" i="2"/>
  <c r="AH38" i="2"/>
  <c r="AH50" i="2"/>
  <c r="AI44" i="2"/>
  <c r="AM44" i="2"/>
  <c r="AL86" i="2"/>
  <c r="AM50" i="2"/>
  <c r="AH83" i="2"/>
  <c r="AM38" i="2"/>
  <c r="AH85" i="2"/>
  <c r="AH44" i="2"/>
  <c r="AH57" i="2"/>
  <c r="AJ87" i="2"/>
  <c r="AG51" i="2"/>
  <c r="AH67" i="2"/>
  <c r="AM48" i="2"/>
  <c r="AH37" i="2"/>
  <c r="AM83" i="2"/>
  <c r="AK87" i="2"/>
  <c r="AK66" i="2"/>
  <c r="AK48" i="2"/>
  <c r="AK46" i="2"/>
  <c r="AM68" i="2"/>
  <c r="AD36" i="2"/>
  <c r="AH51" i="2"/>
  <c r="AM42" i="2"/>
  <c r="AD37" i="2"/>
  <c r="AK36" i="2"/>
  <c r="AM51" i="2"/>
  <c r="AJ36" i="2"/>
  <c r="AM43" i="2"/>
  <c r="AI37" i="2"/>
  <c r="AL36" i="2"/>
  <c r="AH55" i="2"/>
  <c r="AJ37" i="2"/>
  <c r="AM45" i="2"/>
  <c r="AM37" i="2"/>
  <c r="AH42" i="2"/>
  <c r="AM47" i="2"/>
  <c r="AD72" i="2"/>
  <c r="AM59" i="2"/>
  <c r="AM36" i="2"/>
  <c r="AH34" i="2"/>
  <c r="AJ64" i="2"/>
  <c r="AG70" i="2"/>
  <c r="AM63" i="2"/>
  <c r="AH41" i="2"/>
  <c r="AI56" i="2"/>
  <c r="AK51" i="2"/>
  <c r="AM64" i="2"/>
  <c r="AM56" i="2"/>
  <c r="AJ51" i="2"/>
  <c r="AF37" i="2"/>
  <c r="AH49" i="2"/>
  <c r="AI62" i="2"/>
  <c r="AL51" i="2"/>
  <c r="AG36" i="2"/>
  <c r="AH59" i="2"/>
  <c r="AM41" i="2"/>
  <c r="AK67" i="2"/>
  <c r="AJ35" i="2"/>
  <c r="AJ86" i="2"/>
  <c r="AK59" i="2"/>
  <c r="AK65" i="2"/>
  <c r="AI65" i="2"/>
  <c r="AK57" i="2"/>
  <c r="AI45" i="2"/>
  <c r="AI43" i="2"/>
  <c r="AL72" i="2"/>
  <c r="AL70" i="2"/>
  <c r="AJ46" i="2"/>
  <c r="AJ72" i="2"/>
  <c r="AJ55" i="2"/>
  <c r="AK43" i="2"/>
  <c r="AK49" i="2"/>
  <c r="AI47" i="2"/>
  <c r="AI35" i="2"/>
  <c r="AL87" i="2"/>
  <c r="AL64" i="2"/>
  <c r="AL62" i="2"/>
  <c r="AL68" i="2"/>
  <c r="AF70" i="2"/>
  <c r="AJ40" i="2"/>
  <c r="AJ70" i="2"/>
  <c r="AJ47" i="2"/>
  <c r="AK45" i="2"/>
  <c r="AK35" i="2"/>
  <c r="AK41" i="2"/>
  <c r="AE70" i="2"/>
  <c r="AL56" i="2"/>
  <c r="AJ38" i="2"/>
  <c r="AJ66" i="2"/>
  <c r="AK63" i="2"/>
  <c r="AL66" i="2"/>
  <c r="AL48" i="2"/>
  <c r="AL46" i="2"/>
  <c r="AJ39" i="2"/>
  <c r="AK55" i="2"/>
  <c r="AK86" i="2"/>
  <c r="AJ65" i="2"/>
  <c r="AI64" i="2"/>
  <c r="AI86" i="2"/>
  <c r="AL55" i="2"/>
  <c r="AL40" i="2"/>
  <c r="AL38" i="2"/>
  <c r="AL44" i="2"/>
  <c r="AJ62" i="2"/>
  <c r="AK47" i="2"/>
  <c r="AJ59" i="2"/>
  <c r="AI66" i="2"/>
  <c r="AL50" i="2"/>
  <c r="AJ56" i="2"/>
  <c r="AK39" i="2"/>
  <c r="AK72" i="2"/>
  <c r="AK70" i="2"/>
  <c r="AI48" i="2"/>
  <c r="AI70" i="2"/>
  <c r="AL42" i="2"/>
  <c r="AL34" i="2"/>
  <c r="AK64" i="2"/>
  <c r="AK62" i="2"/>
  <c r="AK68" i="2"/>
  <c r="AE72" i="2"/>
  <c r="AJ34" i="2"/>
  <c r="AL39" i="2"/>
  <c r="AL85" i="2"/>
  <c r="AL83" i="2"/>
  <c r="AK56" i="2"/>
  <c r="AJ49" i="2"/>
  <c r="AI46" i="2"/>
  <c r="AJ83" i="2"/>
  <c r="AL67" i="2"/>
  <c r="AL57" i="2"/>
  <c r="AK40" i="2"/>
  <c r="AK38" i="2"/>
  <c r="AK44" i="2"/>
  <c r="AJ43" i="2"/>
  <c r="AI68" i="2"/>
  <c r="AJ85" i="2"/>
  <c r="AJ42" i="2"/>
  <c r="AL63" i="2"/>
  <c r="AL59" i="2"/>
  <c r="AL49" i="2"/>
  <c r="AJ48" i="2"/>
  <c r="AK50" i="2"/>
  <c r="AK34" i="2"/>
  <c r="AG72" i="2"/>
  <c r="AM35" i="2"/>
  <c r="AJ44" i="2"/>
  <c r="AL41" i="2"/>
  <c r="AK42" i="2"/>
  <c r="AK83" i="2"/>
  <c r="AI87" i="2"/>
  <c r="AJ67" i="2"/>
  <c r="AK85" i="2"/>
  <c r="AJ41" i="2"/>
  <c r="P36" i="6"/>
  <c r="P38" i="6"/>
  <c r="P42" i="6"/>
  <c r="P63" i="6"/>
  <c r="P24" i="6"/>
  <c r="P71" i="6"/>
  <c r="P39" i="6"/>
  <c r="P37" i="6"/>
  <c r="AD52" i="6"/>
  <c r="AD54" i="6"/>
  <c r="AD56" i="6"/>
  <c r="AD62" i="6"/>
  <c r="AD64" i="6"/>
  <c r="O36" i="6"/>
  <c r="P59" i="6"/>
  <c r="P43" i="6"/>
  <c r="P28" i="6"/>
  <c r="P41" i="6"/>
  <c r="P65" i="6"/>
  <c r="P57" i="6"/>
  <c r="P40" i="6"/>
  <c r="O42" i="6"/>
  <c r="P61" i="6"/>
  <c r="P62" i="6"/>
  <c r="AD50" i="6"/>
  <c r="AD48" i="6"/>
  <c r="P33" i="6"/>
  <c r="P54" i="6"/>
  <c r="O56" i="6"/>
  <c r="P56" i="6"/>
  <c r="O57" i="6"/>
  <c r="O55" i="6"/>
  <c r="AD40" i="6"/>
  <c r="AD42" i="6"/>
  <c r="P51" i="6"/>
  <c r="O51" i="6"/>
  <c r="P35" i="6"/>
  <c r="O52" i="6"/>
  <c r="O39" i="6"/>
  <c r="P66" i="6"/>
  <c r="O23" i="6"/>
  <c r="O53" i="6"/>
  <c r="O43" i="6"/>
  <c r="O32" i="6"/>
  <c r="O24" i="6"/>
  <c r="O54" i="6"/>
  <c r="P53" i="6"/>
  <c r="O33" i="6"/>
  <c r="O29" i="6"/>
  <c r="O31" i="6"/>
  <c r="P44" i="6"/>
  <c r="P46" i="6"/>
  <c r="O50" i="6"/>
  <c r="P68" i="6"/>
  <c r="P31" i="6"/>
  <c r="P32" i="6"/>
  <c r="P34" i="6"/>
  <c r="P25" i="6"/>
  <c r="AD38" i="6"/>
  <c r="AD34" i="6"/>
  <c r="AD28" i="6"/>
  <c r="AD36" i="6"/>
  <c r="AD30" i="6"/>
  <c r="AD32" i="6"/>
  <c r="O46" i="6"/>
  <c r="P45" i="6"/>
  <c r="O34" i="6"/>
  <c r="O49" i="6"/>
  <c r="O26" i="6"/>
  <c r="P29" i="6"/>
  <c r="P50" i="6"/>
  <c r="O47" i="6"/>
  <c r="O38" i="6"/>
  <c r="P26" i="6"/>
  <c r="P47" i="6"/>
  <c r="O28" i="6"/>
  <c r="P30" i="6"/>
  <c r="P27" i="6"/>
  <c r="P23" i="6"/>
  <c r="O48" i="6"/>
  <c r="P67" i="6"/>
  <c r="P64" i="6"/>
  <c r="O45" i="6"/>
  <c r="O37" i="6"/>
  <c r="O35" i="6"/>
  <c r="P49" i="6"/>
  <c r="O44" i="6"/>
  <c r="O25" i="6"/>
  <c r="P48" i="6"/>
  <c r="O30" i="6"/>
  <c r="P52" i="6"/>
  <c r="O27" i="6"/>
  <c r="P55" i="6"/>
  <c r="AD70" i="6"/>
  <c r="O41" i="6"/>
  <c r="G8" i="14"/>
  <c r="R402" i="6"/>
  <c r="M401" i="17" s="1"/>
  <c r="R400" i="6"/>
  <c r="M399" i="17" s="1"/>
  <c r="G5" i="14"/>
  <c r="G19" i="14"/>
  <c r="G24" i="14"/>
  <c r="G9" i="14"/>
  <c r="G10" i="14"/>
  <c r="G18" i="14"/>
  <c r="G14" i="14"/>
  <c r="G6" i="14"/>
  <c r="R416" i="6"/>
  <c r="M415" i="17" s="1"/>
  <c r="G12" i="14"/>
  <c r="H413" i="2" l="1"/>
  <c r="H415" i="2"/>
  <c r="I25" i="20" s="1"/>
  <c r="K25" i="20" s="1"/>
  <c r="R401" i="6"/>
  <c r="M400" i="17" s="1"/>
  <c r="R399" i="6"/>
  <c r="H402" i="2"/>
  <c r="H404" i="2"/>
  <c r="H420" i="2"/>
  <c r="I30" i="20" s="1"/>
  <c r="K30" i="20" s="1"/>
  <c r="H421" i="2"/>
  <c r="I31" i="20" s="1"/>
  <c r="J31" i="20" s="1"/>
  <c r="H393" i="2"/>
  <c r="H411" i="2"/>
  <c r="I398" i="17" s="1"/>
  <c r="H424" i="2"/>
  <c r="I34" i="20" s="1"/>
  <c r="J34" i="20" s="1"/>
  <c r="H394" i="2"/>
  <c r="I381" i="17" s="1"/>
  <c r="I26" i="20"/>
  <c r="K26" i="20" s="1"/>
  <c r="I403" i="17"/>
  <c r="I29" i="20"/>
  <c r="J29" i="20" s="1"/>
  <c r="I406" i="17"/>
  <c r="R410" i="6"/>
  <c r="M409" i="17" s="1"/>
  <c r="I8" i="20"/>
  <c r="I385" i="17"/>
  <c r="R393" i="6"/>
  <c r="M392" i="17" s="1"/>
  <c r="I24" i="20"/>
  <c r="I401" i="17"/>
  <c r="I14" i="20"/>
  <c r="I391" i="17"/>
  <c r="I3" i="20"/>
  <c r="I380" i="17"/>
  <c r="I22" i="20"/>
  <c r="K22" i="20" s="1"/>
  <c r="I399" i="17"/>
  <c r="I12" i="20"/>
  <c r="I389" i="17"/>
  <c r="I33" i="20"/>
  <c r="J33" i="20" s="1"/>
  <c r="I410" i="17"/>
  <c r="I23" i="20"/>
  <c r="K23" i="20" s="1"/>
  <c r="I400" i="17"/>
  <c r="M21" i="20"/>
  <c r="M398" i="17"/>
  <c r="I27" i="20"/>
  <c r="I404" i="17"/>
  <c r="I32" i="20"/>
  <c r="I409" i="17"/>
  <c r="H418" i="2"/>
  <c r="H396" i="2"/>
  <c r="H392" i="2"/>
  <c r="H397" i="2"/>
  <c r="H401" i="2"/>
  <c r="H429" i="2"/>
  <c r="H425" i="2"/>
  <c r="H427" i="2"/>
  <c r="H400" i="2"/>
  <c r="M183" i="2"/>
  <c r="X183" i="2" s="1"/>
  <c r="H403" i="2"/>
  <c r="H430" i="2"/>
  <c r="H431" i="2"/>
  <c r="H428" i="2"/>
  <c r="H399" i="2"/>
  <c r="H432" i="2"/>
  <c r="H433" i="2"/>
  <c r="H407" i="2"/>
  <c r="H434" i="2"/>
  <c r="H426" i="2"/>
  <c r="H409" i="2"/>
  <c r="H395" i="2"/>
  <c r="H405" i="2"/>
  <c r="H410" i="2"/>
  <c r="H406" i="2"/>
  <c r="H435" i="2"/>
  <c r="H408" i="2"/>
  <c r="R97" i="6"/>
  <c r="R81" i="6"/>
  <c r="R96" i="6"/>
  <c r="M95" i="17" s="1"/>
  <c r="R90" i="6"/>
  <c r="M89" i="17" s="1"/>
  <c r="R89" i="6"/>
  <c r="M88" i="17" s="1"/>
  <c r="R91" i="6"/>
  <c r="M90" i="17" s="1"/>
  <c r="R83" i="6"/>
  <c r="R79" i="6"/>
  <c r="R84" i="6"/>
  <c r="M83" i="17" s="1"/>
  <c r="R94" i="6"/>
  <c r="M93" i="17" s="1"/>
  <c r="R86" i="6"/>
  <c r="M85" i="17" s="1"/>
  <c r="R98" i="6"/>
  <c r="M97" i="17" s="1"/>
  <c r="R93" i="6"/>
  <c r="M92" i="17" s="1"/>
  <c r="R95" i="6"/>
  <c r="R85" i="6"/>
  <c r="R78" i="6"/>
  <c r="R80" i="6"/>
  <c r="R82" i="6"/>
  <c r="R92" i="6"/>
  <c r="M91" i="17" s="1"/>
  <c r="R392" i="6"/>
  <c r="R415" i="6"/>
  <c r="M414" i="17" s="1"/>
  <c r="R421" i="6"/>
  <c r="M420" i="17" s="1"/>
  <c r="R408" i="6"/>
  <c r="M407" i="17" s="1"/>
  <c r="R409" i="6"/>
  <c r="M408" i="17" s="1"/>
  <c r="O380" i="6"/>
  <c r="R380" i="6" s="1"/>
  <c r="M379" i="17" s="1"/>
  <c r="R407" i="6"/>
  <c r="M406" i="17" s="1"/>
  <c r="R381" i="6"/>
  <c r="R411" i="6"/>
  <c r="H176" i="2"/>
  <c r="G15" i="28" s="1"/>
  <c r="R417" i="6"/>
  <c r="M416" i="17" s="1"/>
  <c r="R405" i="6"/>
  <c r="M404" i="17" s="1"/>
  <c r="H200" i="2"/>
  <c r="H203" i="2"/>
  <c r="H182" i="2"/>
  <c r="H201" i="2"/>
  <c r="H219" i="2"/>
  <c r="H177" i="2"/>
  <c r="R420" i="6"/>
  <c r="R406" i="6"/>
  <c r="M405" i="17" s="1"/>
  <c r="H227" i="2"/>
  <c r="H175" i="2"/>
  <c r="G14" i="28" s="1"/>
  <c r="H184" i="2"/>
  <c r="H185" i="2"/>
  <c r="H178" i="2"/>
  <c r="R422" i="6"/>
  <c r="R389" i="6"/>
  <c r="M388" i="17" s="1"/>
  <c r="R387" i="6"/>
  <c r="H187" i="2"/>
  <c r="G24" i="28" s="1"/>
  <c r="H186" i="2"/>
  <c r="H179" i="2"/>
  <c r="H173" i="2"/>
  <c r="R390" i="6"/>
  <c r="O394" i="6"/>
  <c r="R394" i="6" s="1"/>
  <c r="R388" i="6"/>
  <c r="R413" i="6"/>
  <c r="R403" i="6"/>
  <c r="R383" i="6"/>
  <c r="R398" i="6"/>
  <c r="R397" i="6"/>
  <c r="R396" i="6"/>
  <c r="M395" i="17" s="1"/>
  <c r="R404" i="6"/>
  <c r="M403" i="17" s="1"/>
  <c r="AH396" i="6"/>
  <c r="O395" i="6"/>
  <c r="R395" i="6" s="1"/>
  <c r="O418" i="6"/>
  <c r="R418" i="6" s="1"/>
  <c r="R384" i="6"/>
  <c r="R386" i="6"/>
  <c r="R385" i="6"/>
  <c r="R391" i="6"/>
  <c r="R412" i="6"/>
  <c r="R423" i="6"/>
  <c r="O382" i="6"/>
  <c r="R382" i="6" s="1"/>
  <c r="R419" i="6"/>
  <c r="R414" i="6"/>
  <c r="AI185" i="6"/>
  <c r="AH185" i="6" s="1"/>
  <c r="O216" i="2"/>
  <c r="Z216" i="2" s="1"/>
  <c r="AI326" i="6"/>
  <c r="AH326" i="6" s="1"/>
  <c r="H113" i="2"/>
  <c r="I100" i="17" s="1"/>
  <c r="P216" i="2"/>
  <c r="AA216" i="2" s="1"/>
  <c r="N183" i="2"/>
  <c r="Y183" i="2" s="1"/>
  <c r="M216" i="2"/>
  <c r="X216" i="2" s="1"/>
  <c r="N216" i="2"/>
  <c r="Y216" i="2" s="1"/>
  <c r="Q180" i="2"/>
  <c r="AB180" i="2" s="1"/>
  <c r="AI64" i="6"/>
  <c r="O74" i="6" s="1"/>
  <c r="O180" i="2"/>
  <c r="Z180" i="2" s="1"/>
  <c r="Q183" i="2"/>
  <c r="AB183" i="2" s="1"/>
  <c r="P180" i="2"/>
  <c r="AA180" i="2" s="1"/>
  <c r="I25" i="14"/>
  <c r="O183" i="2"/>
  <c r="Z183" i="2" s="1"/>
  <c r="Q216" i="2"/>
  <c r="AB216" i="2" s="1"/>
  <c r="N180" i="2"/>
  <c r="Y180" i="2" s="1"/>
  <c r="P183" i="2"/>
  <c r="AA183" i="2" s="1"/>
  <c r="AI322" i="6"/>
  <c r="O326" i="6" s="1"/>
  <c r="R326" i="6" s="1"/>
  <c r="M325" i="17" s="1"/>
  <c r="AI330" i="6"/>
  <c r="AH330" i="6" s="1"/>
  <c r="R319" i="6"/>
  <c r="M318" i="17" s="1"/>
  <c r="AI265" i="6"/>
  <c r="O279" i="6" s="1"/>
  <c r="R279" i="6" s="1"/>
  <c r="R344" i="6"/>
  <c r="M343" i="17" s="1"/>
  <c r="AI318" i="6"/>
  <c r="AH318" i="6" s="1"/>
  <c r="R342" i="6"/>
  <c r="M341" i="17" s="1"/>
  <c r="R356" i="6"/>
  <c r="M355" i="17" s="1"/>
  <c r="R352" i="6"/>
  <c r="M351" i="17" s="1"/>
  <c r="AT54" i="2"/>
  <c r="AU54" i="2"/>
  <c r="R354" i="6"/>
  <c r="M353" i="17" s="1"/>
  <c r="AH261" i="6"/>
  <c r="P273" i="6"/>
  <c r="BK228" i="2"/>
  <c r="R360" i="6"/>
  <c r="M359" i="17" s="1"/>
  <c r="AL265" i="2"/>
  <c r="AL271" i="2"/>
  <c r="AL266" i="2"/>
  <c r="R345" i="6"/>
  <c r="M344" i="17" s="1"/>
  <c r="R347" i="6"/>
  <c r="M346" i="17" s="1"/>
  <c r="R346" i="6"/>
  <c r="M345" i="17" s="1"/>
  <c r="R325" i="6"/>
  <c r="M324" i="17" s="1"/>
  <c r="AW61" i="2"/>
  <c r="BD232" i="2"/>
  <c r="H375" i="2"/>
  <c r="I362" i="17" s="1"/>
  <c r="AR54" i="2"/>
  <c r="AT61" i="2"/>
  <c r="AS54" i="2"/>
  <c r="AU61" i="2"/>
  <c r="AV54" i="2"/>
  <c r="AX61" i="2"/>
  <c r="R376" i="6"/>
  <c r="M375" i="17" s="1"/>
  <c r="R366" i="6"/>
  <c r="M365" i="17" s="1"/>
  <c r="R363" i="6"/>
  <c r="M362" i="17" s="1"/>
  <c r="R375" i="6"/>
  <c r="M374" i="17" s="1"/>
  <c r="R323" i="6"/>
  <c r="M322" i="17" s="1"/>
  <c r="R320" i="6"/>
  <c r="M319" i="17" s="1"/>
  <c r="R353" i="6"/>
  <c r="M352" i="17" s="1"/>
  <c r="R328" i="6"/>
  <c r="M327" i="17" s="1"/>
  <c r="R350" i="6"/>
  <c r="M349" i="17" s="1"/>
  <c r="R359" i="6"/>
  <c r="M358" i="17" s="1"/>
  <c r="R371" i="6"/>
  <c r="M370" i="17" s="1"/>
  <c r="R370" i="6"/>
  <c r="M369" i="17" s="1"/>
  <c r="R367" i="6"/>
  <c r="M366" i="17" s="1"/>
  <c r="R357" i="6"/>
  <c r="M356" i="17" s="1"/>
  <c r="R329" i="6"/>
  <c r="M328" i="17" s="1"/>
  <c r="R332" i="6"/>
  <c r="M331" i="17" s="1"/>
  <c r="R365" i="6"/>
  <c r="M364" i="17" s="1"/>
  <c r="R361" i="6"/>
  <c r="M360" i="17" s="1"/>
  <c r="R324" i="6"/>
  <c r="M323" i="17" s="1"/>
  <c r="M38" i="20"/>
  <c r="M22" i="20"/>
  <c r="M24" i="20"/>
  <c r="R374" i="6"/>
  <c r="R351" i="6"/>
  <c r="R372" i="6"/>
  <c r="M371" i="17" s="1"/>
  <c r="R348" i="6"/>
  <c r="R368" i="6"/>
  <c r="M367" i="17" s="1"/>
  <c r="H376" i="2"/>
  <c r="I363" i="17" s="1"/>
  <c r="H372" i="2"/>
  <c r="I359" i="17" s="1"/>
  <c r="H360" i="2"/>
  <c r="H378" i="2"/>
  <c r="I365" i="17" s="1"/>
  <c r="H380" i="2"/>
  <c r="I367" i="17" s="1"/>
  <c r="H359" i="2"/>
  <c r="H354" i="2"/>
  <c r="I341" i="17" s="1"/>
  <c r="BL228" i="2"/>
  <c r="H361" i="2"/>
  <c r="I348" i="17" s="1"/>
  <c r="H355" i="2"/>
  <c r="H371" i="2"/>
  <c r="H386" i="2"/>
  <c r="I373" i="17" s="1"/>
  <c r="H373" i="2"/>
  <c r="I360" i="17" s="1"/>
  <c r="R322" i="6"/>
  <c r="M321" i="17" s="1"/>
  <c r="R362" i="6"/>
  <c r="M361" i="17" s="1"/>
  <c r="R364" i="6"/>
  <c r="M363" i="17" s="1"/>
  <c r="R343" i="6"/>
  <c r="R349" i="6"/>
  <c r="H368" i="2"/>
  <c r="I355" i="17" s="1"/>
  <c r="H366" i="2"/>
  <c r="I353" i="17" s="1"/>
  <c r="H367" i="2"/>
  <c r="I354" i="17" s="1"/>
  <c r="R330" i="6"/>
  <c r="M329" i="17" s="1"/>
  <c r="H385" i="2"/>
  <c r="I372" i="17" s="1"/>
  <c r="H369" i="2"/>
  <c r="I356" i="17" s="1"/>
  <c r="H389" i="2"/>
  <c r="H374" i="2"/>
  <c r="I361" i="17" s="1"/>
  <c r="H387" i="2"/>
  <c r="I374" i="17" s="1"/>
  <c r="H358" i="2"/>
  <c r="I345" i="17" s="1"/>
  <c r="H365" i="2"/>
  <c r="I352" i="17" s="1"/>
  <c r="H388" i="2"/>
  <c r="I375" i="17" s="1"/>
  <c r="R369" i="6"/>
  <c r="M368" i="17" s="1"/>
  <c r="R355" i="6"/>
  <c r="M354" i="17" s="1"/>
  <c r="R358" i="6"/>
  <c r="M357" i="17" s="1"/>
  <c r="H381" i="2"/>
  <c r="I368" i="17" s="1"/>
  <c r="J24" i="20"/>
  <c r="K27" i="20"/>
  <c r="H377" i="2"/>
  <c r="I364" i="17" s="1"/>
  <c r="BM228" i="2"/>
  <c r="H379" i="2"/>
  <c r="I366" i="17" s="1"/>
  <c r="H363" i="2"/>
  <c r="I350" i="17" s="1"/>
  <c r="BG228" i="2"/>
  <c r="H356" i="2"/>
  <c r="I343" i="17" s="1"/>
  <c r="H383" i="2"/>
  <c r="I370" i="17" s="1"/>
  <c r="H364" i="2"/>
  <c r="I351" i="17" s="1"/>
  <c r="H357" i="2"/>
  <c r="I344" i="17" s="1"/>
  <c r="H370" i="2"/>
  <c r="I357" i="17" s="1"/>
  <c r="H362" i="2"/>
  <c r="I349" i="17" s="1"/>
  <c r="R338" i="6"/>
  <c r="M337" i="17" s="1"/>
  <c r="H382" i="2"/>
  <c r="I369" i="17" s="1"/>
  <c r="H384" i="2"/>
  <c r="I371" i="17" s="1"/>
  <c r="O231" i="2"/>
  <c r="Z231" i="2" s="1"/>
  <c r="Q233" i="2"/>
  <c r="AB233" i="2" s="1"/>
  <c r="O233" i="2"/>
  <c r="Z233" i="2" s="1"/>
  <c r="R377" i="6"/>
  <c r="R331" i="6"/>
  <c r="M330" i="17" s="1"/>
  <c r="N231" i="2"/>
  <c r="Y231" i="2" s="1"/>
  <c r="BD228" i="2"/>
  <c r="Q231" i="2"/>
  <c r="AB231" i="2" s="1"/>
  <c r="R333" i="6"/>
  <c r="M332" i="17" s="1"/>
  <c r="G15" i="14"/>
  <c r="H15" i="14" s="1"/>
  <c r="G17" i="14"/>
  <c r="I17" i="14" s="1"/>
  <c r="G7" i="14"/>
  <c r="G20" i="14"/>
  <c r="G3" i="14"/>
  <c r="H3" i="14" s="1"/>
  <c r="G22" i="14"/>
  <c r="G21" i="14"/>
  <c r="G13" i="14"/>
  <c r="G4" i="14"/>
  <c r="H4" i="14" s="1"/>
  <c r="G11" i="14"/>
  <c r="H11" i="14" s="1"/>
  <c r="G16" i="14"/>
  <c r="G23" i="14"/>
  <c r="H23" i="14" s="1"/>
  <c r="P231" i="2"/>
  <c r="AA231" i="2" s="1"/>
  <c r="P233" i="2"/>
  <c r="AA233" i="2" s="1"/>
  <c r="BH228" i="2"/>
  <c r="BA245" i="2"/>
  <c r="R316" i="6"/>
  <c r="M315" i="17" s="1"/>
  <c r="BI245" i="2"/>
  <c r="BJ245" i="2"/>
  <c r="BH245" i="2"/>
  <c r="BG245" i="2"/>
  <c r="AX245" i="2"/>
  <c r="N239" i="2" s="1"/>
  <c r="Y239" i="2" s="1"/>
  <c r="BD245" i="2"/>
  <c r="R337" i="6"/>
  <c r="M336" i="17" s="1"/>
  <c r="R317" i="6"/>
  <c r="M316" i="17" s="1"/>
  <c r="R318" i="6"/>
  <c r="M317" i="17" s="1"/>
  <c r="BF245" i="2"/>
  <c r="R339" i="6"/>
  <c r="R310" i="6"/>
  <c r="R305" i="6"/>
  <c r="M94" i="17"/>
  <c r="R307" i="6"/>
  <c r="H310" i="2"/>
  <c r="I297" i="17" s="1"/>
  <c r="H323" i="2"/>
  <c r="H309" i="2"/>
  <c r="I296" i="17" s="1"/>
  <c r="H319" i="2"/>
  <c r="I306" i="17" s="1"/>
  <c r="H318" i="2"/>
  <c r="I305" i="17" s="1"/>
  <c r="H314" i="2"/>
  <c r="I301" i="17" s="1"/>
  <c r="H321" i="2"/>
  <c r="H308" i="2"/>
  <c r="I295" i="17" s="1"/>
  <c r="H315" i="2"/>
  <c r="I302" i="17" s="1"/>
  <c r="R308" i="6"/>
  <c r="R304" i="6"/>
  <c r="H304" i="2"/>
  <c r="H322" i="2"/>
  <c r="H324" i="2"/>
  <c r="H313" i="2"/>
  <c r="I300" i="17" s="1"/>
  <c r="H316" i="2"/>
  <c r="I303" i="17" s="1"/>
  <c r="H312" i="2"/>
  <c r="I299" i="17" s="1"/>
  <c r="H317" i="2"/>
  <c r="I304" i="17" s="1"/>
  <c r="R302" i="6"/>
  <c r="M301" i="17" s="1"/>
  <c r="H320" i="2"/>
  <c r="H311" i="2"/>
  <c r="I298" i="17" s="1"/>
  <c r="H325" i="2"/>
  <c r="R299" i="6"/>
  <c r="M298" i="17" s="1"/>
  <c r="H296" i="2"/>
  <c r="H299" i="2"/>
  <c r="H274" i="2"/>
  <c r="H289" i="2"/>
  <c r="H282" i="2"/>
  <c r="H278" i="2"/>
  <c r="BJ228" i="2"/>
  <c r="R306" i="6"/>
  <c r="R296" i="6"/>
  <c r="M295" i="17" s="1"/>
  <c r="AR41" i="2"/>
  <c r="AP41" i="2"/>
  <c r="AQ41" i="2"/>
  <c r="H264" i="2"/>
  <c r="H263" i="2"/>
  <c r="G38" i="28" s="1"/>
  <c r="H305" i="2"/>
  <c r="G80" i="28" s="1"/>
  <c r="H267" i="2"/>
  <c r="H298" i="2"/>
  <c r="H260" i="2"/>
  <c r="H261" i="2"/>
  <c r="H283" i="2"/>
  <c r="H281" i="2"/>
  <c r="G57" i="28" s="1"/>
  <c r="R311" i="6"/>
  <c r="H284" i="2"/>
  <c r="R309" i="6"/>
  <c r="AI70" i="6"/>
  <c r="O40" i="6" s="1"/>
  <c r="H259" i="2"/>
  <c r="H287" i="2"/>
  <c r="R300" i="6"/>
  <c r="M299" i="17" s="1"/>
  <c r="H301" i="2"/>
  <c r="H303" i="2"/>
  <c r="AI38" i="6"/>
  <c r="AH38" i="6" s="1"/>
  <c r="H273" i="2"/>
  <c r="M80" i="17"/>
  <c r="R303" i="6"/>
  <c r="M302" i="17" s="1"/>
  <c r="R297" i="6"/>
  <c r="M296" i="17" s="1"/>
  <c r="H280" i="2"/>
  <c r="H290" i="2"/>
  <c r="G66" i="28" s="1"/>
  <c r="H300" i="2"/>
  <c r="G75" i="28" s="1"/>
  <c r="H279" i="2"/>
  <c r="G55" i="28" s="1"/>
  <c r="H269" i="2"/>
  <c r="G44" i="28" s="1"/>
  <c r="H277" i="2"/>
  <c r="H286" i="2"/>
  <c r="R312" i="6"/>
  <c r="R298" i="6"/>
  <c r="M297" i="17" s="1"/>
  <c r="H285" i="2"/>
  <c r="R301" i="6"/>
  <c r="M300" i="17" s="1"/>
  <c r="H262" i="2"/>
  <c r="H275" i="2"/>
  <c r="H291" i="2"/>
  <c r="R313" i="6"/>
  <c r="M312" i="17" s="1"/>
  <c r="H297" i="2"/>
  <c r="H288" i="2"/>
  <c r="H270" i="2"/>
  <c r="G46" i="28" s="1"/>
  <c r="BA273" i="2"/>
  <c r="BB273" i="2"/>
  <c r="BC273" i="2"/>
  <c r="BD273" i="2"/>
  <c r="BE273" i="2"/>
  <c r="BF273" i="2"/>
  <c r="BI273" i="2"/>
  <c r="BG273" i="2"/>
  <c r="BH273" i="2"/>
  <c r="BJ273" i="2"/>
  <c r="N294" i="2"/>
  <c r="Y294" i="2" s="1"/>
  <c r="M45" i="28" s="1"/>
  <c r="BG277" i="2"/>
  <c r="BE277" i="2"/>
  <c r="BH281" i="2"/>
  <c r="BD281" i="2"/>
  <c r="BE281" i="2"/>
  <c r="BG281" i="2"/>
  <c r="BD277" i="2"/>
  <c r="BF281" i="2"/>
  <c r="BF277" i="2"/>
  <c r="AZ265" i="2"/>
  <c r="AY269" i="2"/>
  <c r="BB269" i="2"/>
  <c r="BC269" i="2"/>
  <c r="BA265" i="2"/>
  <c r="AY265" i="2"/>
  <c r="BC265" i="2"/>
  <c r="BB265" i="2"/>
  <c r="Q272" i="2"/>
  <c r="AB272" i="2" s="1"/>
  <c r="P48" i="28" s="1"/>
  <c r="O272" i="2"/>
  <c r="Z272" i="2" s="1"/>
  <c r="N48" i="28" s="1"/>
  <c r="P272" i="2"/>
  <c r="AA272" i="2" s="1"/>
  <c r="O48" i="28" s="1"/>
  <c r="N272" i="2"/>
  <c r="Y272" i="2" s="1"/>
  <c r="M48" i="28" s="1"/>
  <c r="BF265" i="2"/>
  <c r="BH269" i="2"/>
  <c r="BE265" i="2"/>
  <c r="BF269" i="2"/>
  <c r="BE269" i="2"/>
  <c r="BG265" i="2"/>
  <c r="BH265" i="2"/>
  <c r="BD265" i="2"/>
  <c r="BD269" i="2"/>
  <c r="BG269" i="2"/>
  <c r="H302" i="2"/>
  <c r="H293" i="2"/>
  <c r="AI181" i="6"/>
  <c r="AH181" i="6" s="1"/>
  <c r="AI271" i="2"/>
  <c r="AI265" i="2"/>
  <c r="AI266" i="2"/>
  <c r="AI268" i="2"/>
  <c r="AJ266" i="2"/>
  <c r="AJ271" i="2"/>
  <c r="AJ265" i="2"/>
  <c r="AJ268" i="2"/>
  <c r="AD268" i="2"/>
  <c r="AD266" i="2"/>
  <c r="AD271" i="2"/>
  <c r="AD265" i="2"/>
  <c r="AK268" i="2"/>
  <c r="AK266" i="2"/>
  <c r="AK271" i="2"/>
  <c r="AK265" i="2"/>
  <c r="AF271" i="2"/>
  <c r="AF265" i="2"/>
  <c r="AF268" i="2"/>
  <c r="AF266" i="2"/>
  <c r="AG271" i="2"/>
  <c r="AG265" i="2"/>
  <c r="AG268" i="2"/>
  <c r="AG266" i="2"/>
  <c r="AM268" i="2"/>
  <c r="AM266" i="2"/>
  <c r="AM271" i="2"/>
  <c r="AM265" i="2"/>
  <c r="AH271" i="2"/>
  <c r="AH265" i="2"/>
  <c r="AH268" i="2"/>
  <c r="AH266" i="2"/>
  <c r="AI36" i="6"/>
  <c r="O67" i="6" s="1"/>
  <c r="R67" i="6" s="1"/>
  <c r="M66" i="17" s="1"/>
  <c r="AI42" i="6"/>
  <c r="AH42" i="6" s="1"/>
  <c r="AS50" i="6"/>
  <c r="AR50" i="6" s="1"/>
  <c r="AI252" i="6"/>
  <c r="O283" i="6" s="1"/>
  <c r="R283" i="6" s="1"/>
  <c r="M282" i="17" s="1"/>
  <c r="BH249" i="2"/>
  <c r="R271" i="6"/>
  <c r="M270" i="17" s="1"/>
  <c r="BA249" i="2"/>
  <c r="BF249" i="2"/>
  <c r="BG249" i="2"/>
  <c r="H258" i="2"/>
  <c r="R288" i="6"/>
  <c r="M287" i="17" s="1"/>
  <c r="Q250" i="2"/>
  <c r="AB250" i="2" s="1"/>
  <c r="BE249" i="2"/>
  <c r="AX249" i="2"/>
  <c r="N250" i="2" s="1"/>
  <c r="Y250" i="2" s="1"/>
  <c r="AI248" i="6"/>
  <c r="R289" i="6"/>
  <c r="M288" i="17" s="1"/>
  <c r="R265" i="6"/>
  <c r="M264" i="17" s="1"/>
  <c r="R284" i="6"/>
  <c r="R272" i="6"/>
  <c r="M271" i="17" s="1"/>
  <c r="R293" i="6"/>
  <c r="M292" i="17" s="1"/>
  <c r="R285" i="6"/>
  <c r="M284" i="17" s="1"/>
  <c r="R266" i="6"/>
  <c r="R275" i="6"/>
  <c r="M274" i="17" s="1"/>
  <c r="R261" i="6"/>
  <c r="M260" i="17" s="1"/>
  <c r="R263" i="6"/>
  <c r="M262" i="17" s="1"/>
  <c r="R259" i="6"/>
  <c r="M258" i="17" s="1"/>
  <c r="R292" i="6"/>
  <c r="M291" i="17" s="1"/>
  <c r="R290" i="6"/>
  <c r="M289" i="17" s="1"/>
  <c r="R286" i="6"/>
  <c r="M285" i="17" s="1"/>
  <c r="R262" i="6"/>
  <c r="M261" i="17" s="1"/>
  <c r="R291" i="6"/>
  <c r="M290" i="17" s="1"/>
  <c r="R287" i="6"/>
  <c r="M286" i="17" s="1"/>
  <c r="R281" i="6"/>
  <c r="M280" i="17" s="1"/>
  <c r="R258" i="6"/>
  <c r="BG241" i="2"/>
  <c r="AH257" i="6"/>
  <c r="O267" i="6"/>
  <c r="R267" i="6" s="1"/>
  <c r="M266" i="17" s="1"/>
  <c r="O268" i="6"/>
  <c r="R268" i="6" s="1"/>
  <c r="M267" i="17" s="1"/>
  <c r="O270" i="6"/>
  <c r="R270" i="6" s="1"/>
  <c r="M269" i="17" s="1"/>
  <c r="AH269" i="6"/>
  <c r="AJ269" i="6"/>
  <c r="AI269" i="6" s="1"/>
  <c r="AT175" i="2"/>
  <c r="BI249" i="2"/>
  <c r="BJ249" i="2"/>
  <c r="H243" i="2"/>
  <c r="I230" i="17" s="1"/>
  <c r="H251" i="2"/>
  <c r="I238" i="17" s="1"/>
  <c r="H238" i="2"/>
  <c r="I225" i="17" s="1"/>
  <c r="AJ185" i="6"/>
  <c r="AH26" i="6"/>
  <c r="AI240" i="6"/>
  <c r="O243" i="6" s="1"/>
  <c r="R243" i="6" s="1"/>
  <c r="M242" i="17" s="1"/>
  <c r="BI236" i="2"/>
  <c r="H241" i="2"/>
  <c r="I228" i="17" s="1"/>
  <c r="BF236" i="2"/>
  <c r="BF224" i="2"/>
  <c r="H249" i="2"/>
  <c r="I236" i="17" s="1"/>
  <c r="BG236" i="2"/>
  <c r="H245" i="2"/>
  <c r="I232" i="17" s="1"/>
  <c r="BJ236" i="2"/>
  <c r="H237" i="2"/>
  <c r="I224" i="17" s="1"/>
  <c r="BH236" i="2"/>
  <c r="H244" i="2"/>
  <c r="I231" i="17" s="1"/>
  <c r="BD236" i="2"/>
  <c r="H248" i="2"/>
  <c r="I235" i="17" s="1"/>
  <c r="Q236" i="2"/>
  <c r="AB236" i="2" s="1"/>
  <c r="H242" i="2"/>
  <c r="I229" i="17" s="1"/>
  <c r="H240" i="2"/>
  <c r="I227" i="17" s="1"/>
  <c r="Q234" i="2"/>
  <c r="AB234" i="2" s="1"/>
  <c r="H253" i="2"/>
  <c r="I240" i="17" s="1"/>
  <c r="BA224" i="2"/>
  <c r="BJ224" i="2"/>
  <c r="BD241" i="2"/>
  <c r="AX241" i="2"/>
  <c r="N235" i="2" s="1"/>
  <c r="Y235" i="2" s="1"/>
  <c r="Q235" i="2"/>
  <c r="AB235" i="2" s="1"/>
  <c r="BI224" i="2"/>
  <c r="BH224" i="2"/>
  <c r="Q252" i="2"/>
  <c r="AB252" i="2" s="1"/>
  <c r="BD253" i="2"/>
  <c r="BE253" i="2"/>
  <c r="BG253" i="2"/>
  <c r="BH253" i="2"/>
  <c r="BI253" i="2"/>
  <c r="AX253" i="2"/>
  <c r="P252" i="2" s="1"/>
  <c r="AA252" i="2" s="1"/>
  <c r="BJ253" i="2"/>
  <c r="BA253" i="2"/>
  <c r="BF253" i="2"/>
  <c r="BG224" i="2"/>
  <c r="Q255" i="2"/>
  <c r="AB255" i="2" s="1"/>
  <c r="AX236" i="2"/>
  <c r="O236" i="2" s="1"/>
  <c r="Z236" i="2" s="1"/>
  <c r="BA236" i="2"/>
  <c r="BF241" i="2"/>
  <c r="BA241" i="2"/>
  <c r="BJ241" i="2"/>
  <c r="BI241" i="2"/>
  <c r="BD224" i="2"/>
  <c r="BH241" i="2"/>
  <c r="AI30" i="6"/>
  <c r="AH30" i="6" s="1"/>
  <c r="AI50" i="6"/>
  <c r="O60" i="6" s="1"/>
  <c r="R201" i="6"/>
  <c r="M200" i="17" s="1"/>
  <c r="AI158" i="6"/>
  <c r="O186" i="6" s="1"/>
  <c r="R186" i="6" s="1"/>
  <c r="M185" i="17" s="1"/>
  <c r="AI83" i="6"/>
  <c r="O88" i="6" s="1"/>
  <c r="AI177" i="6"/>
  <c r="AH177" i="6" s="1"/>
  <c r="M239" i="2"/>
  <c r="X239" i="2" s="1"/>
  <c r="BE224" i="2"/>
  <c r="AI232" i="6"/>
  <c r="AH232" i="6" s="1"/>
  <c r="AI28" i="6"/>
  <c r="O61" i="6" s="1"/>
  <c r="R61" i="6" s="1"/>
  <c r="M60" i="17" s="1"/>
  <c r="AI224" i="6"/>
  <c r="AH224" i="6" s="1"/>
  <c r="R180" i="6"/>
  <c r="M179" i="17" s="1"/>
  <c r="AI80" i="6"/>
  <c r="O87" i="6" s="1"/>
  <c r="AI56" i="6"/>
  <c r="AH56" i="6" s="1"/>
  <c r="R171" i="6"/>
  <c r="M170" i="17" s="1"/>
  <c r="BI228" i="2"/>
  <c r="M232" i="2"/>
  <c r="X232" i="2" s="1"/>
  <c r="BG232" i="2"/>
  <c r="BH232" i="2"/>
  <c r="BI232" i="2"/>
  <c r="BJ232" i="2"/>
  <c r="BL232" i="2"/>
  <c r="BM232" i="2"/>
  <c r="N232" i="2"/>
  <c r="Y232" i="2" s="1"/>
  <c r="O232" i="2"/>
  <c r="Z232" i="2" s="1"/>
  <c r="Q232" i="2"/>
  <c r="AB232" i="2" s="1"/>
  <c r="P232" i="2"/>
  <c r="AA232" i="2" s="1"/>
  <c r="BK232" i="2"/>
  <c r="N233" i="2"/>
  <c r="Y233" i="2" s="1"/>
  <c r="M79" i="17"/>
  <c r="R176" i="6"/>
  <c r="M175" i="17" s="1"/>
  <c r="AI153" i="6"/>
  <c r="O179" i="6" s="1"/>
  <c r="R179" i="6" s="1"/>
  <c r="M178" i="17" s="1"/>
  <c r="R154" i="6"/>
  <c r="M153" i="17" s="1"/>
  <c r="R206" i="6"/>
  <c r="M205" i="17" s="1"/>
  <c r="AI169" i="6"/>
  <c r="O200" i="6" s="1"/>
  <c r="R200" i="6" s="1"/>
  <c r="M199" i="17" s="1"/>
  <c r="R193" i="6"/>
  <c r="M192" i="17" s="1"/>
  <c r="AI162" i="6"/>
  <c r="AH162" i="6" s="1"/>
  <c r="AI173" i="6"/>
  <c r="AH173" i="6" s="1"/>
  <c r="R155" i="6"/>
  <c r="M154" i="17" s="1"/>
  <c r="R157" i="6"/>
  <c r="M156" i="17" s="1"/>
  <c r="R148" i="6"/>
  <c r="M147" i="17" s="1"/>
  <c r="AI54" i="6"/>
  <c r="O65" i="6" s="1"/>
  <c r="R65" i="6" s="1"/>
  <c r="M64" i="17" s="1"/>
  <c r="AI32" i="6"/>
  <c r="AH32" i="6" s="1"/>
  <c r="R207" i="6"/>
  <c r="M206" i="17" s="1"/>
  <c r="R202" i="6"/>
  <c r="M201" i="17" s="1"/>
  <c r="R162" i="6"/>
  <c r="M161" i="17" s="1"/>
  <c r="R187" i="6"/>
  <c r="M186" i="17" s="1"/>
  <c r="R159" i="6"/>
  <c r="M158" i="17" s="1"/>
  <c r="M81" i="17"/>
  <c r="R203" i="6"/>
  <c r="M202" i="17" s="1"/>
  <c r="R190" i="6"/>
  <c r="M189" i="17" s="1"/>
  <c r="R156" i="6"/>
  <c r="M155" i="17" s="1"/>
  <c r="M82" i="17"/>
  <c r="M84" i="17"/>
  <c r="AI34" i="6"/>
  <c r="O66" i="6" s="1"/>
  <c r="R66" i="6" s="1"/>
  <c r="M65" i="17" s="1"/>
  <c r="AJ191" i="6"/>
  <c r="R208" i="6"/>
  <c r="M207" i="17" s="1"/>
  <c r="M96" i="17"/>
  <c r="M78" i="17"/>
  <c r="R204" i="6"/>
  <c r="M203" i="17" s="1"/>
  <c r="R175" i="6"/>
  <c r="M174" i="17" s="1"/>
  <c r="R181" i="6"/>
  <c r="M180" i="17" s="1"/>
  <c r="R149" i="6"/>
  <c r="M148" i="17" s="1"/>
  <c r="R167" i="6"/>
  <c r="M166" i="17" s="1"/>
  <c r="R151" i="6"/>
  <c r="M150" i="17" s="1"/>
  <c r="M77" i="17"/>
  <c r="R161" i="6"/>
  <c r="M160" i="17" s="1"/>
  <c r="R160" i="6"/>
  <c r="M159" i="17" s="1"/>
  <c r="R235" i="6"/>
  <c r="M234" i="17" s="1"/>
  <c r="R237" i="6"/>
  <c r="M236" i="17" s="1"/>
  <c r="R234" i="6"/>
  <c r="M233" i="17" s="1"/>
  <c r="R230" i="6"/>
  <c r="M229" i="17" s="1"/>
  <c r="R233" i="6"/>
  <c r="M232" i="17" s="1"/>
  <c r="AI228" i="6"/>
  <c r="AH228" i="6" s="1"/>
  <c r="R169" i="6"/>
  <c r="M168" i="17" s="1"/>
  <c r="I14" i="21"/>
  <c r="R227" i="6"/>
  <c r="M226" i="17" s="1"/>
  <c r="R152" i="6"/>
  <c r="M151" i="17" s="1"/>
  <c r="R226" i="6"/>
  <c r="M225" i="17" s="1"/>
  <c r="R229" i="6"/>
  <c r="M228" i="17" s="1"/>
  <c r="R192" i="6"/>
  <c r="M191" i="17" s="1"/>
  <c r="R199" i="6"/>
  <c r="M198" i="17" s="1"/>
  <c r="R236" i="6"/>
  <c r="M235" i="17" s="1"/>
  <c r="R232" i="6"/>
  <c r="M231" i="17" s="1"/>
  <c r="R225" i="6"/>
  <c r="M224" i="17" s="1"/>
  <c r="R228" i="6"/>
  <c r="M227" i="17" s="1"/>
  <c r="R239" i="6"/>
  <c r="M238" i="17" s="1"/>
  <c r="R241" i="6"/>
  <c r="M240" i="17" s="1"/>
  <c r="R231" i="6"/>
  <c r="M230" i="17" s="1"/>
  <c r="R242" i="6"/>
  <c r="R168" i="6"/>
  <c r="M167" i="17" s="1"/>
  <c r="R165" i="6"/>
  <c r="M164" i="17" s="1"/>
  <c r="R163" i="6"/>
  <c r="M162" i="17" s="1"/>
  <c r="R153" i="6"/>
  <c r="M152" i="17" s="1"/>
  <c r="H197" i="2"/>
  <c r="I184" i="17" s="1"/>
  <c r="H213" i="2"/>
  <c r="I200" i="17" s="1"/>
  <c r="H206" i="2"/>
  <c r="I193" i="17" s="1"/>
  <c r="AI236" i="6"/>
  <c r="AI52" i="6"/>
  <c r="AH52" i="6" s="1"/>
  <c r="H196" i="2"/>
  <c r="I183" i="17" s="1"/>
  <c r="R150" i="6"/>
  <c r="M149" i="17" s="1"/>
  <c r="H191" i="2"/>
  <c r="I178" i="17" s="1"/>
  <c r="H212" i="2"/>
  <c r="H195" i="2"/>
  <c r="I182" i="17" s="1"/>
  <c r="H189" i="2"/>
  <c r="I176" i="17" s="1"/>
  <c r="R164" i="6"/>
  <c r="M163" i="17" s="1"/>
  <c r="AK220" i="6"/>
  <c r="AJ220" i="6" s="1"/>
  <c r="AI220" i="6"/>
  <c r="H190" i="2"/>
  <c r="I177" i="17" s="1"/>
  <c r="H192" i="2"/>
  <c r="I179" i="17" s="1"/>
  <c r="H208" i="2"/>
  <c r="I195" i="17" s="1"/>
  <c r="H209" i="2"/>
  <c r="H169" i="2"/>
  <c r="I156" i="17" s="1"/>
  <c r="H166" i="2"/>
  <c r="I153" i="17" s="1"/>
  <c r="AF191" i="6"/>
  <c r="G23" i="28"/>
  <c r="H226" i="2"/>
  <c r="I213" i="17" s="1"/>
  <c r="H164" i="2"/>
  <c r="I151" i="17" s="1"/>
  <c r="H162" i="2"/>
  <c r="I149" i="17" s="1"/>
  <c r="H193" i="2"/>
  <c r="I180" i="17" s="1"/>
  <c r="H171" i="2"/>
  <c r="I158" i="17" s="1"/>
  <c r="H168" i="2"/>
  <c r="I155" i="17" s="1"/>
  <c r="H220" i="2"/>
  <c r="I207" i="17" s="1"/>
  <c r="H174" i="2"/>
  <c r="I161" i="17" s="1"/>
  <c r="H161" i="2"/>
  <c r="I148" i="17" s="1"/>
  <c r="H194" i="2"/>
  <c r="I181" i="17" s="1"/>
  <c r="H223" i="2"/>
  <c r="I210" i="17" s="1"/>
  <c r="H181" i="2"/>
  <c r="I168" i="17" s="1"/>
  <c r="AD191" i="6"/>
  <c r="AC191" i="6"/>
  <c r="AH191" i="6"/>
  <c r="H215" i="2"/>
  <c r="I202" i="17" s="1"/>
  <c r="H199" i="2"/>
  <c r="I186" i="17" s="1"/>
  <c r="H170" i="2"/>
  <c r="I157" i="17" s="1"/>
  <c r="H205" i="2"/>
  <c r="I192" i="17" s="1"/>
  <c r="AK191" i="6"/>
  <c r="H217" i="2"/>
  <c r="I204" i="17" s="1"/>
  <c r="H202" i="2"/>
  <c r="I189" i="17" s="1"/>
  <c r="H211" i="2"/>
  <c r="I198" i="17" s="1"/>
  <c r="H160" i="2"/>
  <c r="I147" i="17" s="1"/>
  <c r="H163" i="2"/>
  <c r="I150" i="17" s="1"/>
  <c r="H225" i="2"/>
  <c r="I212" i="17" s="1"/>
  <c r="H167" i="2"/>
  <c r="I154" i="17" s="1"/>
  <c r="H204" i="2"/>
  <c r="I191" i="17" s="1"/>
  <c r="H214" i="2"/>
  <c r="I201" i="17" s="1"/>
  <c r="H210" i="2"/>
  <c r="I197" i="17" s="1"/>
  <c r="H218" i="2"/>
  <c r="I205" i="17" s="1"/>
  <c r="H165" i="2"/>
  <c r="I152" i="17" s="1"/>
  <c r="AE191" i="6"/>
  <c r="AU74" i="2"/>
  <c r="AX78" i="2" s="1"/>
  <c r="AX175" i="2"/>
  <c r="AY175" i="2" s="1"/>
  <c r="AV175" i="2"/>
  <c r="AW175" i="2" s="1"/>
  <c r="H198" i="2"/>
  <c r="I185" i="17" s="1"/>
  <c r="H221" i="2"/>
  <c r="I208" i="17" s="1"/>
  <c r="H224" i="2"/>
  <c r="I211" i="17" s="1"/>
  <c r="H188" i="2"/>
  <c r="I175" i="17" s="1"/>
  <c r="H222" i="2"/>
  <c r="I209" i="17" s="1"/>
  <c r="H157" i="2"/>
  <c r="I144" i="17" s="1"/>
  <c r="R158" i="6"/>
  <c r="M157" i="17" s="1"/>
  <c r="R205" i="6"/>
  <c r="M204" i="17" s="1"/>
  <c r="R173" i="6"/>
  <c r="M172" i="17" s="1"/>
  <c r="R170" i="6"/>
  <c r="M169" i="17" s="1"/>
  <c r="R172" i="6"/>
  <c r="M171" i="17" s="1"/>
  <c r="R166" i="6"/>
  <c r="M165" i="17" s="1"/>
  <c r="R174" i="6"/>
  <c r="M173" i="17" s="1"/>
  <c r="AI191" i="6"/>
  <c r="AI192" i="6"/>
  <c r="AF194" i="6" s="1"/>
  <c r="AB191" i="6"/>
  <c r="AG191" i="6"/>
  <c r="R214" i="6"/>
  <c r="R209" i="6"/>
  <c r="R210" i="6"/>
  <c r="R211" i="6"/>
  <c r="R213" i="6"/>
  <c r="R215" i="6"/>
  <c r="R212" i="6"/>
  <c r="H152" i="2"/>
  <c r="I139" i="17" s="1"/>
  <c r="H149" i="2"/>
  <c r="I136" i="17" s="1"/>
  <c r="H137" i="2"/>
  <c r="I124" i="17" s="1"/>
  <c r="H150" i="2"/>
  <c r="I137" i="17" s="1"/>
  <c r="H122" i="2"/>
  <c r="I109" i="17" s="1"/>
  <c r="H132" i="2"/>
  <c r="I119" i="17" s="1"/>
  <c r="H139" i="2"/>
  <c r="I126" i="17" s="1"/>
  <c r="H121" i="2"/>
  <c r="I108" i="17" s="1"/>
  <c r="H136" i="2"/>
  <c r="I123" i="17" s="1"/>
  <c r="H134" i="2"/>
  <c r="I121" i="17" s="1"/>
  <c r="H123" i="2"/>
  <c r="I110" i="17" s="1"/>
  <c r="H133" i="2"/>
  <c r="I120" i="17" s="1"/>
  <c r="H127" i="2"/>
  <c r="I114" i="17" s="1"/>
  <c r="H116" i="2"/>
  <c r="I103" i="17" s="1"/>
  <c r="H131" i="2"/>
  <c r="I118" i="17" s="1"/>
  <c r="H130" i="2"/>
  <c r="I117" i="17" s="1"/>
  <c r="H153" i="2"/>
  <c r="I140" i="17" s="1"/>
  <c r="H119" i="2"/>
  <c r="I106" i="17" s="1"/>
  <c r="H156" i="2"/>
  <c r="I143" i="17" s="1"/>
  <c r="H154" i="2"/>
  <c r="I141" i="17" s="1"/>
  <c r="H114" i="2"/>
  <c r="I101" i="17" s="1"/>
  <c r="H115" i="2"/>
  <c r="I102" i="17" s="1"/>
  <c r="H143" i="2"/>
  <c r="I130" i="17" s="1"/>
  <c r="H124" i="2"/>
  <c r="I111" i="17" s="1"/>
  <c r="H146" i="2"/>
  <c r="I133" i="17" s="1"/>
  <c r="H138" i="2"/>
  <c r="I125" i="17" s="1"/>
  <c r="H140" i="2"/>
  <c r="I127" i="17" s="1"/>
  <c r="H141" i="2"/>
  <c r="I128" i="17" s="1"/>
  <c r="H135" i="2"/>
  <c r="I122" i="17" s="1"/>
  <c r="H125" i="2"/>
  <c r="I112" i="17" s="1"/>
  <c r="H155" i="2"/>
  <c r="I142" i="17" s="1"/>
  <c r="H148" i="2"/>
  <c r="I135" i="17" s="1"/>
  <c r="H117" i="2"/>
  <c r="I104" i="17" s="1"/>
  <c r="H120" i="2"/>
  <c r="I107" i="17" s="1"/>
  <c r="H147" i="2"/>
  <c r="I134" i="17" s="1"/>
  <c r="H128" i="2"/>
  <c r="I115" i="17" s="1"/>
  <c r="H144" i="2"/>
  <c r="I131" i="17" s="1"/>
  <c r="H129" i="2"/>
  <c r="I116" i="17" s="1"/>
  <c r="H118" i="2"/>
  <c r="I105" i="17" s="1"/>
  <c r="H142" i="2"/>
  <c r="I129" i="17" s="1"/>
  <c r="H151" i="2"/>
  <c r="I138" i="17" s="1"/>
  <c r="H126" i="2"/>
  <c r="I113" i="17" s="1"/>
  <c r="H93" i="2"/>
  <c r="I80" i="17" s="1"/>
  <c r="H109" i="2"/>
  <c r="I96" i="17" s="1"/>
  <c r="H98" i="2"/>
  <c r="I85" i="17" s="1"/>
  <c r="H94" i="2"/>
  <c r="I81" i="17" s="1"/>
  <c r="H96" i="2"/>
  <c r="I83" i="17" s="1"/>
  <c r="H97" i="2"/>
  <c r="I84" i="17" s="1"/>
  <c r="H100" i="2"/>
  <c r="I87" i="17" s="1"/>
  <c r="H99" i="2"/>
  <c r="I86" i="17" s="1"/>
  <c r="H106" i="2"/>
  <c r="I93" i="17" s="1"/>
  <c r="H110" i="2"/>
  <c r="I97" i="17" s="1"/>
  <c r="H92" i="2"/>
  <c r="I79" i="17" s="1"/>
  <c r="H91" i="2"/>
  <c r="I78" i="17" s="1"/>
  <c r="H107" i="2"/>
  <c r="I94" i="17" s="1"/>
  <c r="H105" i="2"/>
  <c r="I92" i="17" s="1"/>
  <c r="H102" i="2"/>
  <c r="I89" i="17" s="1"/>
  <c r="H103" i="2"/>
  <c r="I90" i="17" s="1"/>
  <c r="H104" i="2"/>
  <c r="I91" i="17" s="1"/>
  <c r="H90" i="2"/>
  <c r="I77" i="17" s="1"/>
  <c r="H95" i="2"/>
  <c r="I82" i="17" s="1"/>
  <c r="H101" i="2"/>
  <c r="I88" i="17" s="1"/>
  <c r="H108" i="2"/>
  <c r="I95" i="17" s="1"/>
  <c r="H34" i="2"/>
  <c r="H77" i="2"/>
  <c r="I64" i="17" s="1"/>
  <c r="H53" i="2"/>
  <c r="I40" i="17" s="1"/>
  <c r="H49" i="2"/>
  <c r="I36" i="17" s="1"/>
  <c r="H81" i="2"/>
  <c r="I68" i="17" s="1"/>
  <c r="H45" i="2"/>
  <c r="I32" i="17" s="1"/>
  <c r="H35" i="2"/>
  <c r="I22" i="17" s="1"/>
  <c r="H57" i="2"/>
  <c r="I44" i="17" s="1"/>
  <c r="H67" i="2"/>
  <c r="I54" i="17" s="1"/>
  <c r="H70" i="2"/>
  <c r="I57" i="17" s="1"/>
  <c r="H38" i="2"/>
  <c r="I25" i="17" s="1"/>
  <c r="H46" i="2"/>
  <c r="I33" i="17" s="1"/>
  <c r="H62" i="2"/>
  <c r="I49" i="17" s="1"/>
  <c r="H83" i="2"/>
  <c r="I70" i="17" s="1"/>
  <c r="H50" i="2"/>
  <c r="I37" i="17" s="1"/>
  <c r="H65" i="2"/>
  <c r="I52" i="17" s="1"/>
  <c r="H51" i="2"/>
  <c r="I38" i="17" s="1"/>
  <c r="H59" i="2"/>
  <c r="I46" i="17" s="1"/>
  <c r="H43" i="2"/>
  <c r="I30" i="17" s="1"/>
  <c r="H85" i="2"/>
  <c r="I72" i="17" s="1"/>
  <c r="H66" i="2"/>
  <c r="I53" i="17" s="1"/>
  <c r="H87" i="2"/>
  <c r="I74" i="17" s="1"/>
  <c r="H56" i="2"/>
  <c r="I43" i="17" s="1"/>
  <c r="H48" i="2"/>
  <c r="I35" i="17" s="1"/>
  <c r="H39" i="2"/>
  <c r="I26" i="17" s="1"/>
  <c r="H64" i="2"/>
  <c r="I51" i="17" s="1"/>
  <c r="H86" i="2"/>
  <c r="I73" i="17" s="1"/>
  <c r="H47" i="2"/>
  <c r="I34" i="17" s="1"/>
  <c r="H44" i="2"/>
  <c r="I31" i="17" s="1"/>
  <c r="H41" i="2"/>
  <c r="I28" i="17" s="1"/>
  <c r="H42" i="2"/>
  <c r="I29" i="17" s="1"/>
  <c r="H40" i="2"/>
  <c r="I27" i="17" s="1"/>
  <c r="H63" i="2"/>
  <c r="I50" i="17" s="1"/>
  <c r="H68" i="2"/>
  <c r="I55" i="17" s="1"/>
  <c r="R55" i="6"/>
  <c r="M54" i="17" s="1"/>
  <c r="H71" i="2"/>
  <c r="I58" i="17" s="1"/>
  <c r="H54" i="2"/>
  <c r="I41" i="17" s="1"/>
  <c r="H79" i="2"/>
  <c r="I66" i="17" s="1"/>
  <c r="H69" i="2"/>
  <c r="I56" i="17" s="1"/>
  <c r="H37" i="2"/>
  <c r="I24" i="17" s="1"/>
  <c r="H74" i="2"/>
  <c r="I61" i="17" s="1"/>
  <c r="H80" i="2"/>
  <c r="I67" i="17" s="1"/>
  <c r="H82" i="2"/>
  <c r="I69" i="17" s="1"/>
  <c r="H60" i="2"/>
  <c r="I47" i="17" s="1"/>
  <c r="H55" i="2"/>
  <c r="I42" i="17" s="1"/>
  <c r="H36" i="2"/>
  <c r="I23" i="17" s="1"/>
  <c r="H61" i="2"/>
  <c r="I48" i="17" s="1"/>
  <c r="H76" i="2"/>
  <c r="I63" i="17" s="1"/>
  <c r="H75" i="2"/>
  <c r="I62" i="17" s="1"/>
  <c r="H72" i="2"/>
  <c r="I59" i="17" s="1"/>
  <c r="R336" i="6"/>
  <c r="M335" i="17" s="1"/>
  <c r="R42" i="6"/>
  <c r="M41" i="17" s="1"/>
  <c r="R44" i="6"/>
  <c r="M43" i="17" s="1"/>
  <c r="AK62" i="6"/>
  <c r="AI62" i="6"/>
  <c r="R54" i="6"/>
  <c r="M53" i="17" s="1"/>
  <c r="R57" i="6"/>
  <c r="M56" i="17" s="1"/>
  <c r="R56" i="6"/>
  <c r="M55" i="17" s="1"/>
  <c r="AK48" i="6"/>
  <c r="P58" i="6" s="1"/>
  <c r="AI48" i="6"/>
  <c r="R51" i="6"/>
  <c r="M50" i="17" s="1"/>
  <c r="R48" i="6"/>
  <c r="M47" i="17" s="1"/>
  <c r="R49" i="6"/>
  <c r="M48" i="17" s="1"/>
  <c r="R46" i="6"/>
  <c r="M45" i="17" s="1"/>
  <c r="R47" i="6"/>
  <c r="M46" i="17" s="1"/>
  <c r="R45" i="6"/>
  <c r="M44" i="17" s="1"/>
  <c r="AI40" i="6"/>
  <c r="AK40" i="6"/>
  <c r="P69" i="6" s="1"/>
  <c r="R43" i="6"/>
  <c r="M42" i="17" s="1"/>
  <c r="R53" i="6"/>
  <c r="M52" i="17" s="1"/>
  <c r="R50" i="6"/>
  <c r="M49" i="17" s="1"/>
  <c r="R52" i="6"/>
  <c r="M51" i="17" s="1"/>
  <c r="R251" i="6"/>
  <c r="K12" i="20"/>
  <c r="M27" i="20"/>
  <c r="K3" i="20"/>
  <c r="K32" i="20"/>
  <c r="R373" i="6"/>
  <c r="M372" i="17" s="1"/>
  <c r="M23" i="20"/>
  <c r="M28" i="20"/>
  <c r="G2" i="14"/>
  <c r="I2" i="14" s="1"/>
  <c r="R115" i="6"/>
  <c r="M114" i="17" s="1"/>
  <c r="M39" i="20"/>
  <c r="R24" i="6"/>
  <c r="M23" i="17" s="1"/>
  <c r="R38" i="6"/>
  <c r="M37" i="17" s="1"/>
  <c r="R30" i="6"/>
  <c r="M29" i="17" s="1"/>
  <c r="R23" i="6"/>
  <c r="M22" i="17" s="1"/>
  <c r="R59" i="6"/>
  <c r="M58" i="17" s="1"/>
  <c r="R184" i="6"/>
  <c r="M183" i="17" s="1"/>
  <c r="R327" i="6"/>
  <c r="M326" i="17" s="1"/>
  <c r="R113" i="6"/>
  <c r="M112" i="17" s="1"/>
  <c r="R106" i="6"/>
  <c r="M105" i="17" s="1"/>
  <c r="R35" i="6"/>
  <c r="M34" i="17" s="1"/>
  <c r="R34" i="6"/>
  <c r="M33" i="17" s="1"/>
  <c r="M11" i="20"/>
  <c r="R104" i="6"/>
  <c r="M103" i="17" s="1"/>
  <c r="R124" i="6"/>
  <c r="M123" i="17" s="1"/>
  <c r="R134" i="6"/>
  <c r="M133" i="17" s="1"/>
  <c r="R253" i="6"/>
  <c r="M252" i="17" s="1"/>
  <c r="R254" i="6"/>
  <c r="M253" i="17" s="1"/>
  <c r="R102" i="6"/>
  <c r="M101" i="17" s="1"/>
  <c r="R250" i="6"/>
  <c r="M249" i="17" s="1"/>
  <c r="R117" i="6"/>
  <c r="M116" i="17" s="1"/>
  <c r="R119" i="6"/>
  <c r="M118" i="17" s="1"/>
  <c r="R132" i="6"/>
  <c r="M131" i="17" s="1"/>
  <c r="R112" i="6"/>
  <c r="M111" i="17" s="1"/>
  <c r="R130" i="6"/>
  <c r="M129" i="17" s="1"/>
  <c r="R137" i="6"/>
  <c r="M136" i="17" s="1"/>
  <c r="R31" i="6"/>
  <c r="M30" i="17" s="1"/>
  <c r="R129" i="6"/>
  <c r="M128" i="17" s="1"/>
  <c r="R135" i="6"/>
  <c r="M134" i="17" s="1"/>
  <c r="R101" i="6"/>
  <c r="M100" i="17" s="1"/>
  <c r="R111" i="6"/>
  <c r="M110" i="17" s="1"/>
  <c r="R33" i="6"/>
  <c r="M32" i="17" s="1"/>
  <c r="R29" i="6"/>
  <c r="M28" i="17" s="1"/>
  <c r="R114" i="6"/>
  <c r="M113" i="17" s="1"/>
  <c r="R144" i="6"/>
  <c r="M143" i="17" s="1"/>
  <c r="R136" i="6"/>
  <c r="M135" i="17" s="1"/>
  <c r="R103" i="6"/>
  <c r="M102" i="17" s="1"/>
  <c r="R26" i="6"/>
  <c r="M25" i="17" s="1"/>
  <c r="R141" i="6"/>
  <c r="M140" i="17" s="1"/>
  <c r="R125" i="6"/>
  <c r="M124" i="17" s="1"/>
  <c r="R127" i="6"/>
  <c r="M126" i="17" s="1"/>
  <c r="R121" i="6"/>
  <c r="M120" i="17" s="1"/>
  <c r="R107" i="6"/>
  <c r="M106" i="17" s="1"/>
  <c r="R41" i="6"/>
  <c r="M40" i="17" s="1"/>
  <c r="R25" i="6"/>
  <c r="M24" i="17" s="1"/>
  <c r="R142" i="6"/>
  <c r="M141" i="17" s="1"/>
  <c r="R247" i="6"/>
  <c r="M246" i="17" s="1"/>
  <c r="R138" i="6"/>
  <c r="M137" i="17" s="1"/>
  <c r="R39" i="6"/>
  <c r="M38" i="17" s="1"/>
  <c r="R116" i="6"/>
  <c r="M115" i="17" s="1"/>
  <c r="R123" i="6"/>
  <c r="M122" i="17" s="1"/>
  <c r="R256" i="6"/>
  <c r="M255" i="17" s="1"/>
  <c r="R105" i="6"/>
  <c r="M104" i="17" s="1"/>
  <c r="R133" i="6"/>
  <c r="M132" i="17" s="1"/>
  <c r="R109" i="6"/>
  <c r="M108" i="17" s="1"/>
  <c r="R246" i="6"/>
  <c r="M245" i="17" s="1"/>
  <c r="R252" i="6"/>
  <c r="M251" i="17" s="1"/>
  <c r="R126" i="6"/>
  <c r="M125" i="17" s="1"/>
  <c r="R36" i="6"/>
  <c r="M35" i="17" s="1"/>
  <c r="R118" i="6"/>
  <c r="M117" i="17" s="1"/>
  <c r="R32" i="6"/>
  <c r="M31" i="17" s="1"/>
  <c r="R120" i="6"/>
  <c r="M119" i="17" s="1"/>
  <c r="R122" i="6"/>
  <c r="M121" i="17" s="1"/>
  <c r="R249" i="6"/>
  <c r="M248" i="17" s="1"/>
  <c r="R139" i="6"/>
  <c r="M138" i="17" s="1"/>
  <c r="R28" i="6"/>
  <c r="M27" i="17" s="1"/>
  <c r="R37" i="6"/>
  <c r="M36" i="17" s="1"/>
  <c r="R128" i="6"/>
  <c r="M127" i="17" s="1"/>
  <c r="R27" i="6"/>
  <c r="M26" i="17" s="1"/>
  <c r="R248" i="6"/>
  <c r="M247" i="17" s="1"/>
  <c r="R145" i="6"/>
  <c r="M144" i="17" s="1"/>
  <c r="R140" i="6"/>
  <c r="M139" i="17" s="1"/>
  <c r="R131" i="6"/>
  <c r="M130" i="17" s="1"/>
  <c r="R143" i="6"/>
  <c r="M142" i="17" s="1"/>
  <c r="R22" i="6"/>
  <c r="M21" i="17" s="1"/>
  <c r="R108" i="6"/>
  <c r="M107" i="17" s="1"/>
  <c r="R110" i="6"/>
  <c r="M109" i="17" s="1"/>
  <c r="H19" i="14"/>
  <c r="I19" i="14"/>
  <c r="I9" i="14"/>
  <c r="H9" i="14"/>
  <c r="I5" i="14"/>
  <c r="H5" i="14"/>
  <c r="I14" i="14"/>
  <c r="H14" i="14"/>
  <c r="I402" i="17" l="1"/>
  <c r="P198" i="6"/>
  <c r="R198" i="6" s="1"/>
  <c r="M197" i="17" s="1"/>
  <c r="M32" i="20"/>
  <c r="I407" i="17"/>
  <c r="M18" i="20"/>
  <c r="M43" i="20"/>
  <c r="M31" i="20"/>
  <c r="M37" i="20"/>
  <c r="O239" i="2"/>
  <c r="Z239" i="2" s="1"/>
  <c r="I21" i="20"/>
  <c r="K21" i="20" s="1"/>
  <c r="M2" i="20"/>
  <c r="I408" i="17"/>
  <c r="M29" i="20"/>
  <c r="M30" i="20"/>
  <c r="I411" i="17"/>
  <c r="I4" i="20"/>
  <c r="J4" i="20" s="1"/>
  <c r="M33" i="20"/>
  <c r="M410" i="17"/>
  <c r="I15" i="20"/>
  <c r="J15" i="20" s="1"/>
  <c r="I392" i="17"/>
  <c r="I35" i="20"/>
  <c r="J35" i="20" s="1"/>
  <c r="I412" i="17"/>
  <c r="M36" i="20"/>
  <c r="M413" i="17"/>
  <c r="M19" i="20"/>
  <c r="M396" i="17"/>
  <c r="M3" i="20"/>
  <c r="M380" i="17"/>
  <c r="I5" i="20"/>
  <c r="I382" i="17"/>
  <c r="I39" i="20"/>
  <c r="J39" i="20" s="1"/>
  <c r="I416" i="17"/>
  <c r="M41" i="20"/>
  <c r="M418" i="17"/>
  <c r="M20" i="20"/>
  <c r="M397" i="17"/>
  <c r="I19" i="20"/>
  <c r="K19" i="20" s="1"/>
  <c r="I396" i="17"/>
  <c r="I11" i="20"/>
  <c r="K11" i="20" s="1"/>
  <c r="I388" i="17"/>
  <c r="M4" i="20"/>
  <c r="M381" i="17"/>
  <c r="M5" i="20"/>
  <c r="M382" i="17"/>
  <c r="I36" i="20"/>
  <c r="K36" i="20" s="1"/>
  <c r="I413" i="17"/>
  <c r="I7" i="20"/>
  <c r="J7" i="20" s="1"/>
  <c r="I384" i="17"/>
  <c r="M45" i="20"/>
  <c r="M422" i="17"/>
  <c r="M25" i="20"/>
  <c r="M402" i="17"/>
  <c r="I44" i="20"/>
  <c r="I421" i="17"/>
  <c r="I2" i="20"/>
  <c r="K2" i="20" s="1"/>
  <c r="I379" i="17"/>
  <c r="M34" i="20"/>
  <c r="M411" i="17"/>
  <c r="M35" i="20"/>
  <c r="M412" i="17"/>
  <c r="I17" i="20"/>
  <c r="K17" i="20" s="1"/>
  <c r="I394" i="17"/>
  <c r="I6" i="20"/>
  <c r="J6" i="20" s="1"/>
  <c r="I383" i="17"/>
  <c r="M13" i="20"/>
  <c r="M390" i="17"/>
  <c r="M10" i="20"/>
  <c r="M387" i="17"/>
  <c r="M42" i="20"/>
  <c r="M419" i="17"/>
  <c r="I43" i="20"/>
  <c r="K43" i="20" s="1"/>
  <c r="I420" i="17"/>
  <c r="I28" i="20"/>
  <c r="J28" i="20" s="1"/>
  <c r="I405" i="17"/>
  <c r="M26" i="20"/>
  <c r="M7" i="20"/>
  <c r="M384" i="17"/>
  <c r="M16" i="20"/>
  <c r="M393" i="17"/>
  <c r="I42" i="20"/>
  <c r="J42" i="20" s="1"/>
  <c r="I419" i="17"/>
  <c r="M8" i="20"/>
  <c r="M385" i="17"/>
  <c r="M12" i="20"/>
  <c r="M389" i="17"/>
  <c r="M14" i="20"/>
  <c r="M391" i="17"/>
  <c r="I9" i="20"/>
  <c r="K9" i="20" s="1"/>
  <c r="I386" i="17"/>
  <c r="M15" i="20"/>
  <c r="M6" i="20"/>
  <c r="M383" i="17"/>
  <c r="I38" i="20"/>
  <c r="K38" i="20" s="1"/>
  <c r="I415" i="17"/>
  <c r="I41" i="20"/>
  <c r="K41" i="20" s="1"/>
  <c r="I418" i="17"/>
  <c r="I20" i="20"/>
  <c r="I397" i="17"/>
  <c r="I40" i="20"/>
  <c r="J40" i="20" s="1"/>
  <c r="I417" i="17"/>
  <c r="M40" i="20"/>
  <c r="M417" i="17"/>
  <c r="I18" i="20"/>
  <c r="J18" i="20" s="1"/>
  <c r="I395" i="17"/>
  <c r="I13" i="20"/>
  <c r="J13" i="20" s="1"/>
  <c r="I390" i="17"/>
  <c r="M44" i="20"/>
  <c r="M421" i="17"/>
  <c r="M17" i="20"/>
  <c r="M394" i="17"/>
  <c r="M9" i="20"/>
  <c r="M386" i="17"/>
  <c r="I45" i="20"/>
  <c r="J45" i="20" s="1"/>
  <c r="I422" i="17"/>
  <c r="I37" i="20"/>
  <c r="K37" i="20" s="1"/>
  <c r="I414" i="17"/>
  <c r="I16" i="20"/>
  <c r="J16" i="20" s="1"/>
  <c r="I393" i="17"/>
  <c r="I10" i="20"/>
  <c r="J10" i="20" s="1"/>
  <c r="I387" i="17"/>
  <c r="R87" i="6"/>
  <c r="M86" i="17" s="1"/>
  <c r="R88" i="6"/>
  <c r="M87" i="17" s="1"/>
  <c r="I289" i="17"/>
  <c r="G77" i="28"/>
  <c r="I262" i="17"/>
  <c r="G51" i="28"/>
  <c r="I260" i="17"/>
  <c r="G49" i="28"/>
  <c r="I254" i="17"/>
  <c r="G42" i="28"/>
  <c r="I285" i="17"/>
  <c r="G73" i="28"/>
  <c r="I249" i="17"/>
  <c r="G37" i="28"/>
  <c r="I290" i="17"/>
  <c r="G78" i="28"/>
  <c r="I283" i="17"/>
  <c r="G71" i="28"/>
  <c r="I272" i="17"/>
  <c r="G61" i="28"/>
  <c r="I288" i="17"/>
  <c r="G76" i="28"/>
  <c r="I251" i="17"/>
  <c r="G39" i="28"/>
  <c r="I245" i="17"/>
  <c r="G33" i="28"/>
  <c r="I274" i="17"/>
  <c r="G63" i="28"/>
  <c r="I246" i="17"/>
  <c r="G34" i="28"/>
  <c r="I247" i="17"/>
  <c r="G35" i="28"/>
  <c r="I264" i="17"/>
  <c r="G53" i="28"/>
  <c r="I271" i="17"/>
  <c r="G60" i="28"/>
  <c r="I280" i="17"/>
  <c r="G69" i="28"/>
  <c r="I265" i="17"/>
  <c r="G54" i="28"/>
  <c r="I269" i="17"/>
  <c r="G58" i="28"/>
  <c r="I291" i="17"/>
  <c r="G79" i="28"/>
  <c r="I267" i="17"/>
  <c r="G56" i="28"/>
  <c r="I270" i="17"/>
  <c r="G59" i="28"/>
  <c r="I276" i="17"/>
  <c r="G65" i="28"/>
  <c r="I286" i="17"/>
  <c r="G74" i="28"/>
  <c r="I284" i="17"/>
  <c r="G72" i="28"/>
  <c r="I248" i="17"/>
  <c r="G36" i="28"/>
  <c r="I261" i="17"/>
  <c r="G50" i="28"/>
  <c r="I273" i="17"/>
  <c r="G62" i="28"/>
  <c r="I275" i="17"/>
  <c r="G64" i="28"/>
  <c r="I278" i="17"/>
  <c r="G67" i="28"/>
  <c r="I164" i="17"/>
  <c r="G16" i="28"/>
  <c r="I206" i="17"/>
  <c r="G28" i="28"/>
  <c r="O257" i="6"/>
  <c r="R257" i="6" s="1"/>
  <c r="O255" i="6"/>
  <c r="R255" i="6" s="1"/>
  <c r="M254" i="17" s="1"/>
  <c r="I166" i="17"/>
  <c r="G18" i="28"/>
  <c r="I160" i="17"/>
  <c r="G13" i="28"/>
  <c r="I187" i="17"/>
  <c r="G25" i="28"/>
  <c r="I165" i="17"/>
  <c r="G17" i="28"/>
  <c r="I172" i="17"/>
  <c r="G22" i="28"/>
  <c r="I190" i="17"/>
  <c r="G27" i="28"/>
  <c r="I188" i="17"/>
  <c r="G26" i="28"/>
  <c r="I214" i="17"/>
  <c r="G29" i="28"/>
  <c r="I171" i="17"/>
  <c r="G21" i="28"/>
  <c r="I169" i="17"/>
  <c r="G20" i="28"/>
  <c r="K8" i="20"/>
  <c r="J8" i="20"/>
  <c r="K14" i="20"/>
  <c r="J14" i="20"/>
  <c r="J5" i="20"/>
  <c r="K5" i="20"/>
  <c r="I196" i="17"/>
  <c r="K29" i="20"/>
  <c r="AL216" i="2"/>
  <c r="O246" i="2"/>
  <c r="Z246" i="2" s="1"/>
  <c r="K5" i="14"/>
  <c r="AE216" i="2"/>
  <c r="AF216" i="2"/>
  <c r="O334" i="6"/>
  <c r="R334" i="6" s="1"/>
  <c r="M333" i="17" s="1"/>
  <c r="AI216" i="2"/>
  <c r="AH265" i="6"/>
  <c r="O276" i="6"/>
  <c r="R276" i="6" s="1"/>
  <c r="M275" i="17" s="1"/>
  <c r="AG180" i="2"/>
  <c r="AK216" i="2"/>
  <c r="O73" i="6"/>
  <c r="AH64" i="6"/>
  <c r="AL63" i="6" s="1"/>
  <c r="AL64" i="6" s="1"/>
  <c r="O75" i="6"/>
  <c r="AL183" i="2"/>
  <c r="AD216" i="2"/>
  <c r="AJ180" i="2"/>
  <c r="AH180" i="2"/>
  <c r="AI180" i="2"/>
  <c r="AL180" i="2"/>
  <c r="AI183" i="2"/>
  <c r="AD180" i="2"/>
  <c r="O335" i="6"/>
  <c r="R335" i="6" s="1"/>
  <c r="M334" i="17" s="1"/>
  <c r="AD183" i="2"/>
  <c r="M254" i="2"/>
  <c r="X254" i="2" s="1"/>
  <c r="M246" i="2"/>
  <c r="X246" i="2" s="1"/>
  <c r="M247" i="2"/>
  <c r="X247" i="2" s="1"/>
  <c r="AG216" i="2"/>
  <c r="AJ183" i="2"/>
  <c r="AM183" i="2"/>
  <c r="AG183" i="2"/>
  <c r="AK183" i="2"/>
  <c r="J17" i="20"/>
  <c r="AH216" i="2"/>
  <c r="AJ216" i="2"/>
  <c r="AM180" i="2"/>
  <c r="AM216" i="2"/>
  <c r="AE180" i="2"/>
  <c r="L12" i="19"/>
  <c r="AH183" i="2"/>
  <c r="AK180" i="2"/>
  <c r="AF180" i="2"/>
  <c r="AE183" i="2"/>
  <c r="AF183" i="2"/>
  <c r="AH322" i="6"/>
  <c r="H2" i="19"/>
  <c r="I2" i="19" s="1"/>
  <c r="K18" i="20"/>
  <c r="L4" i="19"/>
  <c r="O321" i="6"/>
  <c r="R321" i="6" s="1"/>
  <c r="M320" i="17" s="1"/>
  <c r="L2" i="19"/>
  <c r="O254" i="2"/>
  <c r="Z254" i="2" s="1"/>
  <c r="O247" i="2"/>
  <c r="Z247" i="2" s="1"/>
  <c r="L16" i="19"/>
  <c r="L14" i="19"/>
  <c r="J37" i="20"/>
  <c r="J27" i="20"/>
  <c r="L20" i="19"/>
  <c r="K10" i="14"/>
  <c r="L23" i="19"/>
  <c r="L26" i="19"/>
  <c r="L36" i="19"/>
  <c r="Q254" i="2"/>
  <c r="AB254" i="2" s="1"/>
  <c r="L35" i="19"/>
  <c r="K31" i="20"/>
  <c r="M60" i="6"/>
  <c r="P60" i="6"/>
  <c r="Q239" i="2"/>
  <c r="AB239" i="2" s="1"/>
  <c r="Q246" i="2"/>
  <c r="AB246" i="2" s="1"/>
  <c r="Q247" i="2"/>
  <c r="AB247" i="2" s="1"/>
  <c r="L5" i="19"/>
  <c r="K24" i="20"/>
  <c r="L6" i="19"/>
  <c r="N254" i="2"/>
  <c r="Y254" i="2" s="1"/>
  <c r="N247" i="2"/>
  <c r="Y247" i="2" s="1"/>
  <c r="K11" i="14"/>
  <c r="N246" i="2"/>
  <c r="Y246" i="2" s="1"/>
  <c r="L7" i="19"/>
  <c r="K9" i="14"/>
  <c r="L21" i="19"/>
  <c r="H20" i="19"/>
  <c r="I20" i="19" s="1"/>
  <c r="L19" i="19"/>
  <c r="BH246" i="2"/>
  <c r="AK254" i="2" s="1"/>
  <c r="L17" i="19"/>
  <c r="L31" i="19"/>
  <c r="K14" i="14"/>
  <c r="L10" i="19"/>
  <c r="AU55" i="2"/>
  <c r="AK73" i="2" s="1"/>
  <c r="AS55" i="2"/>
  <c r="AI73" i="2" s="1"/>
  <c r="AW55" i="2"/>
  <c r="AM73" i="2" s="1"/>
  <c r="AV55" i="2"/>
  <c r="AL73" i="2" s="1"/>
  <c r="H23" i="19"/>
  <c r="I23" i="19" s="1"/>
  <c r="L27" i="19"/>
  <c r="AY62" i="2"/>
  <c r="AM78" i="2" s="1"/>
  <c r="AT55" i="2"/>
  <c r="AJ73" i="2" s="1"/>
  <c r="H21" i="19"/>
  <c r="I21" i="19" s="1"/>
  <c r="AR55" i="2"/>
  <c r="AH73" i="2" s="1"/>
  <c r="AQ55" i="2"/>
  <c r="AG73" i="2" s="1"/>
  <c r="AP55" i="2"/>
  <c r="AD73" i="2" s="1"/>
  <c r="AT62" i="2"/>
  <c r="AH78" i="2" s="1"/>
  <c r="J11" i="20"/>
  <c r="K15" i="14"/>
  <c r="J23" i="20"/>
  <c r="AX62" i="2"/>
  <c r="AL78" i="2" s="1"/>
  <c r="AW41" i="2"/>
  <c r="AV41" i="2" s="1"/>
  <c r="P52" i="2" s="1"/>
  <c r="AA52" i="2" s="1"/>
  <c r="H34" i="19"/>
  <c r="I34" i="19" s="1"/>
  <c r="AP62" i="2"/>
  <c r="AD78" i="2" s="1"/>
  <c r="AS62" i="2"/>
  <c r="AG78" i="2" s="1"/>
  <c r="AW62" i="2"/>
  <c r="AK78" i="2" s="1"/>
  <c r="AV62" i="2"/>
  <c r="AJ78" i="2" s="1"/>
  <c r="AU62" i="2"/>
  <c r="AI78" i="2" s="1"/>
  <c r="J2" i="20"/>
  <c r="I3" i="14"/>
  <c r="H15" i="19"/>
  <c r="J15" i="19" s="1"/>
  <c r="K6" i="14"/>
  <c r="L24" i="19"/>
  <c r="L13" i="19"/>
  <c r="H16" i="19"/>
  <c r="H24" i="19"/>
  <c r="H14" i="19"/>
  <c r="J14" i="19" s="1"/>
  <c r="K33" i="20"/>
  <c r="I7" i="8"/>
  <c r="I250" i="17"/>
  <c r="P239" i="2"/>
  <c r="AA239" i="2" s="1"/>
  <c r="M66" i="21"/>
  <c r="M211" i="17"/>
  <c r="H14" i="15"/>
  <c r="I14" i="15" s="1"/>
  <c r="I307" i="17"/>
  <c r="L11" i="19"/>
  <c r="M350" i="17"/>
  <c r="M69" i="21"/>
  <c r="M214" i="17"/>
  <c r="L34" i="19"/>
  <c r="M373" i="17"/>
  <c r="I49" i="8"/>
  <c r="J49" i="8" s="1"/>
  <c r="I292" i="17"/>
  <c r="M22" i="8"/>
  <c r="M265" i="17"/>
  <c r="L18" i="15"/>
  <c r="M311" i="17"/>
  <c r="H17" i="15"/>
  <c r="I17" i="15" s="1"/>
  <c r="I310" i="17"/>
  <c r="H19" i="19"/>
  <c r="I19" i="19" s="1"/>
  <c r="I358" i="17"/>
  <c r="M65" i="21"/>
  <c r="M210" i="17"/>
  <c r="M14" i="8"/>
  <c r="M257" i="17"/>
  <c r="H3" i="19"/>
  <c r="J3" i="19" s="1"/>
  <c r="I342" i="17"/>
  <c r="H19" i="15"/>
  <c r="I19" i="15" s="1"/>
  <c r="I312" i="17"/>
  <c r="M67" i="21"/>
  <c r="M212" i="17"/>
  <c r="L13" i="15"/>
  <c r="M306" i="17"/>
  <c r="H37" i="19"/>
  <c r="I376" i="17"/>
  <c r="L26" i="10"/>
  <c r="M241" i="17"/>
  <c r="M63" i="21"/>
  <c r="M208" i="17"/>
  <c r="I13" i="8"/>
  <c r="I256" i="17"/>
  <c r="L15" i="15"/>
  <c r="M308" i="17"/>
  <c r="L12" i="15"/>
  <c r="M305" i="17"/>
  <c r="M64" i="21"/>
  <c r="M209" i="17"/>
  <c r="M68" i="21"/>
  <c r="M213" i="17"/>
  <c r="M40" i="8"/>
  <c r="M283" i="17"/>
  <c r="I266" i="17"/>
  <c r="H18" i="15"/>
  <c r="J18" i="15" s="1"/>
  <c r="I311" i="17"/>
  <c r="L11" i="15"/>
  <c r="M304" i="17"/>
  <c r="L25" i="19"/>
  <c r="M35" i="8"/>
  <c r="M278" i="17"/>
  <c r="I287" i="17"/>
  <c r="L17" i="15"/>
  <c r="M310" i="17"/>
  <c r="H16" i="15"/>
  <c r="I16" i="15" s="1"/>
  <c r="I309" i="17"/>
  <c r="L16" i="15"/>
  <c r="M309" i="17"/>
  <c r="K18" i="14"/>
  <c r="H7" i="19"/>
  <c r="I346" i="17"/>
  <c r="L8" i="19"/>
  <c r="M347" i="17"/>
  <c r="I14" i="8"/>
  <c r="K14" i="8" s="1"/>
  <c r="I257" i="17"/>
  <c r="I34" i="8"/>
  <c r="K34" i="8" s="1"/>
  <c r="I277" i="17"/>
  <c r="I25" i="8"/>
  <c r="K25" i="8" s="1"/>
  <c r="I268" i="17"/>
  <c r="K25" i="14"/>
  <c r="M338" i="17"/>
  <c r="M7" i="8"/>
  <c r="M250" i="17"/>
  <c r="M13" i="8"/>
  <c r="M256" i="17"/>
  <c r="L10" i="15"/>
  <c r="M303" i="17"/>
  <c r="L14" i="15"/>
  <c r="M307" i="17"/>
  <c r="L37" i="19"/>
  <c r="M376" i="17"/>
  <c r="H8" i="19"/>
  <c r="J8" i="19" s="1"/>
  <c r="I347" i="17"/>
  <c r="L9" i="19"/>
  <c r="M348" i="17"/>
  <c r="L3" i="19"/>
  <c r="M342" i="17"/>
  <c r="H15" i="15"/>
  <c r="I15" i="15" s="1"/>
  <c r="I308" i="17"/>
  <c r="L30" i="19"/>
  <c r="H26" i="19"/>
  <c r="I26" i="19" s="1"/>
  <c r="L28" i="19"/>
  <c r="L32" i="19"/>
  <c r="L19" i="16"/>
  <c r="AH36" i="6"/>
  <c r="K16" i="14"/>
  <c r="H28" i="19"/>
  <c r="J28" i="19" s="1"/>
  <c r="L22" i="19"/>
  <c r="K8" i="14"/>
  <c r="H22" i="19"/>
  <c r="J22" i="19" s="1"/>
  <c r="H17" i="19"/>
  <c r="H9" i="19"/>
  <c r="J30" i="20"/>
  <c r="J43" i="20"/>
  <c r="H33" i="19"/>
  <c r="J33" i="19" s="1"/>
  <c r="Q41" i="9"/>
  <c r="Q42" i="9"/>
  <c r="M46" i="8"/>
  <c r="L13" i="10"/>
  <c r="I41" i="8"/>
  <c r="K41" i="8" s="1"/>
  <c r="L3" i="15"/>
  <c r="I5" i="8"/>
  <c r="K5" i="8" s="1"/>
  <c r="I18" i="8"/>
  <c r="K18" i="8" s="1"/>
  <c r="K4" i="14"/>
  <c r="K19" i="14"/>
  <c r="H5" i="19"/>
  <c r="J5" i="19" s="1"/>
  <c r="Q29" i="9"/>
  <c r="Q37" i="9"/>
  <c r="I28" i="21"/>
  <c r="K28" i="21" s="1"/>
  <c r="I173" i="17"/>
  <c r="M17" i="21"/>
  <c r="L10" i="10"/>
  <c r="L9" i="16"/>
  <c r="M11" i="21"/>
  <c r="M34" i="21"/>
  <c r="M26" i="8"/>
  <c r="M15" i="8"/>
  <c r="L19" i="15"/>
  <c r="L9" i="15"/>
  <c r="I4" i="8"/>
  <c r="K4" i="8" s="1"/>
  <c r="I43" i="8"/>
  <c r="J43" i="8" s="1"/>
  <c r="H12" i="19"/>
  <c r="L15" i="19"/>
  <c r="Q34" i="9"/>
  <c r="M20" i="21"/>
  <c r="I35" i="8"/>
  <c r="K35" i="8" s="1"/>
  <c r="I42" i="8"/>
  <c r="K42" i="8" s="1"/>
  <c r="H2" i="15"/>
  <c r="M7" i="21"/>
  <c r="M27" i="21"/>
  <c r="I18" i="21"/>
  <c r="K18" i="21" s="1"/>
  <c r="I163" i="17"/>
  <c r="I17" i="21"/>
  <c r="K17" i="21" s="1"/>
  <c r="I162" i="17"/>
  <c r="M19" i="21"/>
  <c r="M6" i="21"/>
  <c r="L13" i="16"/>
  <c r="L7" i="16"/>
  <c r="M9" i="21"/>
  <c r="Q17" i="9"/>
  <c r="M59" i="21"/>
  <c r="M18" i="21"/>
  <c r="L11" i="10"/>
  <c r="H13" i="10"/>
  <c r="J13" i="10" s="1"/>
  <c r="M23" i="8"/>
  <c r="M17" i="8"/>
  <c r="I19" i="8"/>
  <c r="K19" i="8" s="1"/>
  <c r="I17" i="8"/>
  <c r="K17" i="8" s="1"/>
  <c r="I11" i="8"/>
  <c r="L5" i="15"/>
  <c r="K23" i="14"/>
  <c r="M12" i="21"/>
  <c r="L5" i="16"/>
  <c r="L20" i="16"/>
  <c r="H20" i="10"/>
  <c r="I20" i="10" s="1"/>
  <c r="M31" i="8"/>
  <c r="I6" i="8"/>
  <c r="J6" i="8" s="1"/>
  <c r="H8" i="15"/>
  <c r="I8" i="15" s="1"/>
  <c r="K17" i="14"/>
  <c r="H31" i="19"/>
  <c r="I31" i="19" s="1"/>
  <c r="H13" i="19"/>
  <c r="J13" i="19" s="1"/>
  <c r="Q7" i="9"/>
  <c r="I33" i="8"/>
  <c r="K33" i="8" s="1"/>
  <c r="M22" i="21"/>
  <c r="L22" i="16"/>
  <c r="M47" i="21"/>
  <c r="L27" i="10"/>
  <c r="M27" i="8"/>
  <c r="H5" i="15"/>
  <c r="J5" i="15" s="1"/>
  <c r="H12" i="15"/>
  <c r="J12" i="15" s="1"/>
  <c r="M4" i="8"/>
  <c r="K13" i="14"/>
  <c r="I27" i="8"/>
  <c r="K27" i="8" s="1"/>
  <c r="M38" i="21"/>
  <c r="M3" i="8"/>
  <c r="I199" i="17"/>
  <c r="M3" i="21"/>
  <c r="M57" i="21"/>
  <c r="L14" i="16"/>
  <c r="M41" i="8"/>
  <c r="I45" i="8"/>
  <c r="J45" i="8" s="1"/>
  <c r="I8" i="8"/>
  <c r="K8" i="8" s="1"/>
  <c r="H10" i="19"/>
  <c r="J10" i="19" s="1"/>
  <c r="H25" i="19"/>
  <c r="I25" i="19" s="1"/>
  <c r="L29" i="19"/>
  <c r="Q45" i="9"/>
  <c r="Q40" i="9"/>
  <c r="M54" i="21"/>
  <c r="M37" i="8"/>
  <c r="M49" i="8"/>
  <c r="H3" i="15"/>
  <c r="J3" i="15" s="1"/>
  <c r="H18" i="19"/>
  <c r="Q31" i="9"/>
  <c r="Q33" i="9"/>
  <c r="H36" i="19"/>
  <c r="I174" i="17"/>
  <c r="L25" i="10"/>
  <c r="L17" i="10"/>
  <c r="M29" i="21"/>
  <c r="L6" i="16"/>
  <c r="M60" i="21"/>
  <c r="M28" i="8"/>
  <c r="I31" i="8"/>
  <c r="J31" i="8" s="1"/>
  <c r="Q46" i="9"/>
  <c r="I32" i="8"/>
  <c r="H21" i="10"/>
  <c r="J21" i="10" s="1"/>
  <c r="Q30" i="9"/>
  <c r="Q5" i="9"/>
  <c r="L23" i="10"/>
  <c r="L14" i="10"/>
  <c r="L10" i="16"/>
  <c r="M8" i="21"/>
  <c r="H10" i="10"/>
  <c r="I10" i="10" s="1"/>
  <c r="I30" i="8"/>
  <c r="J30" i="8" s="1"/>
  <c r="I3" i="8"/>
  <c r="K3" i="8" s="1"/>
  <c r="H6" i="15"/>
  <c r="J6" i="15" s="1"/>
  <c r="H4" i="15"/>
  <c r="K12" i="14"/>
  <c r="H11" i="19"/>
  <c r="J11" i="19" s="1"/>
  <c r="H6" i="19"/>
  <c r="M2" i="8"/>
  <c r="L33" i="19"/>
  <c r="Q6" i="9"/>
  <c r="I15" i="14"/>
  <c r="Q2" i="9"/>
  <c r="L17" i="16"/>
  <c r="K22" i="14"/>
  <c r="L12" i="10"/>
  <c r="L18" i="10"/>
  <c r="M58" i="21"/>
  <c r="M21" i="8"/>
  <c r="I21" i="8"/>
  <c r="K21" i="8" s="1"/>
  <c r="H10" i="15"/>
  <c r="J10" i="15" s="1"/>
  <c r="BD246" i="2"/>
  <c r="AG254" i="2" s="1"/>
  <c r="L18" i="19"/>
  <c r="H27" i="19"/>
  <c r="H35" i="19"/>
  <c r="J35" i="19" s="1"/>
  <c r="M46" i="21"/>
  <c r="H25" i="10"/>
  <c r="J25" i="10" s="1"/>
  <c r="M35" i="21"/>
  <c r="Q44" i="9"/>
  <c r="L9" i="10"/>
  <c r="L21" i="10"/>
  <c r="L18" i="16"/>
  <c r="M30" i="21"/>
  <c r="H15" i="10"/>
  <c r="J15" i="10" s="1"/>
  <c r="M43" i="8"/>
  <c r="M45" i="8"/>
  <c r="H7" i="15"/>
  <c r="I7" i="15" s="1"/>
  <c r="H32" i="19"/>
  <c r="I32" i="19" s="1"/>
  <c r="H29" i="19"/>
  <c r="I24" i="8"/>
  <c r="J24" i="8" s="1"/>
  <c r="M26" i="21"/>
  <c r="L2" i="16"/>
  <c r="L15" i="10"/>
  <c r="Q32" i="9"/>
  <c r="Q28" i="9"/>
  <c r="Q38" i="9"/>
  <c r="L16" i="10"/>
  <c r="L19" i="10"/>
  <c r="M56" i="21"/>
  <c r="L4" i="16"/>
  <c r="I23" i="8"/>
  <c r="J23" i="8" s="1"/>
  <c r="I28" i="8"/>
  <c r="K28" i="8" s="1"/>
  <c r="H30" i="19"/>
  <c r="I30" i="19" s="1"/>
  <c r="L20" i="10"/>
  <c r="L21" i="16"/>
  <c r="L16" i="16"/>
  <c r="I44" i="8"/>
  <c r="K44" i="8" s="1"/>
  <c r="I22" i="8"/>
  <c r="K24" i="14"/>
  <c r="H4" i="19"/>
  <c r="I4" i="19" s="1"/>
  <c r="M28" i="21"/>
  <c r="M53" i="21"/>
  <c r="M62" i="21"/>
  <c r="I26" i="8"/>
  <c r="K26" i="8" s="1"/>
  <c r="I48" i="8"/>
  <c r="K48" i="8" s="1"/>
  <c r="K2" i="14"/>
  <c r="I23" i="21"/>
  <c r="K23" i="21" s="1"/>
  <c r="K3" i="14"/>
  <c r="BG246" i="2"/>
  <c r="AJ254" i="2" s="1"/>
  <c r="BJ246" i="2"/>
  <c r="AM254" i="2" s="1"/>
  <c r="BI229" i="2"/>
  <c r="AI233" i="2" s="1"/>
  <c r="AH70" i="6"/>
  <c r="I4" i="14"/>
  <c r="O68" i="6"/>
  <c r="R68" i="6" s="1"/>
  <c r="M67" i="17" s="1"/>
  <c r="BF246" i="2"/>
  <c r="AI239" i="2" s="1"/>
  <c r="P246" i="2"/>
  <c r="AA246" i="2" s="1"/>
  <c r="BI246" i="2"/>
  <c r="AL254" i="2" s="1"/>
  <c r="P247" i="2"/>
  <c r="AA247" i="2" s="1"/>
  <c r="BA246" i="2"/>
  <c r="AD254" i="2" s="1"/>
  <c r="P254" i="2"/>
  <c r="AA254" i="2" s="1"/>
  <c r="BE246" i="2"/>
  <c r="AH254" i="2" s="1"/>
  <c r="AH83" i="6"/>
  <c r="I40" i="8"/>
  <c r="AH240" i="6"/>
  <c r="L7" i="15"/>
  <c r="H9" i="15"/>
  <c r="L4" i="15"/>
  <c r="L6" i="15"/>
  <c r="H13" i="15"/>
  <c r="L8" i="15"/>
  <c r="H11" i="15"/>
  <c r="L2" i="15"/>
  <c r="O252" i="2"/>
  <c r="Z252" i="2" s="1"/>
  <c r="I47" i="8"/>
  <c r="O71" i="6"/>
  <c r="R71" i="6" s="1"/>
  <c r="M70" i="17" s="1"/>
  <c r="M55" i="21"/>
  <c r="I29" i="8"/>
  <c r="K29" i="8" s="1"/>
  <c r="BF282" i="2"/>
  <c r="AK295" i="2" s="1"/>
  <c r="AH50" i="6"/>
  <c r="N252" i="2"/>
  <c r="Y252" i="2" s="1"/>
  <c r="BE278" i="2"/>
  <c r="AJ294" i="2" s="1"/>
  <c r="BB266" i="2"/>
  <c r="AG272" i="2" s="1"/>
  <c r="BD270" i="2"/>
  <c r="AI276" i="2" s="1"/>
  <c r="BJ274" i="2"/>
  <c r="AM292" i="2" s="1"/>
  <c r="BG278" i="2"/>
  <c r="AL294" i="2" s="1"/>
  <c r="I46" i="8"/>
  <c r="BC266" i="2"/>
  <c r="AH272" i="2" s="1"/>
  <c r="AH54" i="6"/>
  <c r="BG270" i="2"/>
  <c r="AL276" i="2" s="1"/>
  <c r="AY266" i="2"/>
  <c r="AD272" i="2" s="1"/>
  <c r="BA266" i="2"/>
  <c r="AF272" i="2" s="1"/>
  <c r="BD266" i="2"/>
  <c r="AI272" i="2" s="1"/>
  <c r="BC270" i="2"/>
  <c r="AH276" i="2" s="1"/>
  <c r="BH266" i="2"/>
  <c r="AM272" i="2" s="1"/>
  <c r="BB270" i="2"/>
  <c r="AG276" i="2" s="1"/>
  <c r="BH274" i="2"/>
  <c r="AK292" i="2" s="1"/>
  <c r="BG266" i="2"/>
  <c r="AL272" i="2" s="1"/>
  <c r="AY270" i="2"/>
  <c r="AD276" i="2" s="1"/>
  <c r="BG274" i="2"/>
  <c r="AJ292" i="2" s="1"/>
  <c r="BE270" i="2"/>
  <c r="AJ276" i="2" s="1"/>
  <c r="AZ266" i="2"/>
  <c r="AE272" i="2" s="1"/>
  <c r="BI274" i="2"/>
  <c r="AL292" i="2" s="1"/>
  <c r="BF270" i="2"/>
  <c r="AK276" i="2" s="1"/>
  <c r="BF278" i="2"/>
  <c r="AK294" i="2" s="1"/>
  <c r="BF274" i="2"/>
  <c r="AI292" i="2" s="1"/>
  <c r="BE266" i="2"/>
  <c r="AJ272" i="2" s="1"/>
  <c r="BH270" i="2"/>
  <c r="AM276" i="2" s="1"/>
  <c r="BD278" i="2"/>
  <c r="AI294" i="2" s="1"/>
  <c r="BB278" i="2"/>
  <c r="AG294" i="2" s="1"/>
  <c r="BH278" i="2"/>
  <c r="AM294" i="2" s="1"/>
  <c r="BA278" i="2"/>
  <c r="AF294" i="2" s="1"/>
  <c r="BC278" i="2"/>
  <c r="AH294" i="2" s="1"/>
  <c r="AY278" i="2"/>
  <c r="AD294" i="2" s="1"/>
  <c r="BF266" i="2"/>
  <c r="AK272" i="2" s="1"/>
  <c r="BG282" i="2"/>
  <c r="AL295" i="2" s="1"/>
  <c r="BE282" i="2"/>
  <c r="AJ295" i="2" s="1"/>
  <c r="BD282" i="2"/>
  <c r="AI295" i="2" s="1"/>
  <c r="BC282" i="2"/>
  <c r="AH295" i="2" s="1"/>
  <c r="AY282" i="2"/>
  <c r="AD295" i="2" s="1"/>
  <c r="BB282" i="2"/>
  <c r="AG295" i="2" s="1"/>
  <c r="BD274" i="2"/>
  <c r="AG292" i="2" s="1"/>
  <c r="BA274" i="2"/>
  <c r="AD292" i="2" s="1"/>
  <c r="BH282" i="2"/>
  <c r="AM295" i="2" s="1"/>
  <c r="O197" i="6"/>
  <c r="R197" i="6" s="1"/>
  <c r="M196" i="17" s="1"/>
  <c r="M39" i="8"/>
  <c r="M24" i="8"/>
  <c r="M10" i="8"/>
  <c r="M47" i="8"/>
  <c r="M18" i="8"/>
  <c r="M42" i="8"/>
  <c r="M5" i="8"/>
  <c r="M12" i="8"/>
  <c r="O269" i="6"/>
  <c r="R269" i="6" s="1"/>
  <c r="M268" i="17" s="1"/>
  <c r="M9" i="8"/>
  <c r="O273" i="6"/>
  <c r="R273" i="6" s="1"/>
  <c r="M48" i="8"/>
  <c r="M44" i="8"/>
  <c r="AH252" i="6"/>
  <c r="I2" i="8"/>
  <c r="J2" i="8" s="1"/>
  <c r="O274" i="6"/>
  <c r="R274" i="6" s="1"/>
  <c r="M273" i="17" s="1"/>
  <c r="M19" i="8"/>
  <c r="O260" i="6"/>
  <c r="R260" i="6" s="1"/>
  <c r="M259" i="17" s="1"/>
  <c r="O277" i="6"/>
  <c r="R277" i="6" s="1"/>
  <c r="M276" i="17" s="1"/>
  <c r="M8" i="8"/>
  <c r="O264" i="6"/>
  <c r="R264" i="6" s="1"/>
  <c r="M263" i="17" s="1"/>
  <c r="O278" i="6"/>
  <c r="R278" i="6" s="1"/>
  <c r="M277" i="17" s="1"/>
  <c r="M6" i="8"/>
  <c r="I37" i="8"/>
  <c r="O62" i="6"/>
  <c r="R62" i="6" s="1"/>
  <c r="M61" i="17" s="1"/>
  <c r="O282" i="6"/>
  <c r="R282" i="6" s="1"/>
  <c r="M281" i="17" s="1"/>
  <c r="H265" i="2"/>
  <c r="H271" i="2"/>
  <c r="H266" i="2"/>
  <c r="H268" i="2"/>
  <c r="BJ250" i="2"/>
  <c r="AM250" i="2" s="1"/>
  <c r="AH158" i="6"/>
  <c r="N255" i="2"/>
  <c r="Y255" i="2" s="1"/>
  <c r="P250" i="2"/>
  <c r="AA250" i="2" s="1"/>
  <c r="BH250" i="2"/>
  <c r="AK250" i="2" s="1"/>
  <c r="L8" i="16"/>
  <c r="O196" i="6"/>
  <c r="R196" i="6" s="1"/>
  <c r="M195" i="17" s="1"/>
  <c r="AH248" i="6"/>
  <c r="O250" i="2"/>
  <c r="Z250" i="2" s="1"/>
  <c r="BA250" i="2"/>
  <c r="AD250" i="2" s="1"/>
  <c r="BI250" i="2"/>
  <c r="AL250" i="2" s="1"/>
  <c r="I26" i="21"/>
  <c r="J26" i="21" s="1"/>
  <c r="BF250" i="2"/>
  <c r="AI250" i="2" s="1"/>
  <c r="BG250" i="2"/>
  <c r="AJ250" i="2" s="1"/>
  <c r="H23" i="10"/>
  <c r="I23" i="10" s="1"/>
  <c r="I39" i="21"/>
  <c r="K39" i="21" s="1"/>
  <c r="O255" i="2"/>
  <c r="Z255" i="2" s="1"/>
  <c r="BD250" i="2"/>
  <c r="AG250" i="2" s="1"/>
  <c r="BE250" i="2"/>
  <c r="AH250" i="2" s="1"/>
  <c r="I12" i="21"/>
  <c r="J12" i="21" s="1"/>
  <c r="AG269" i="6"/>
  <c r="AI271" i="6"/>
  <c r="O280" i="6" s="1"/>
  <c r="R280" i="6" s="1"/>
  <c r="M279" i="17" s="1"/>
  <c r="H16" i="10"/>
  <c r="H9" i="10"/>
  <c r="H17" i="10"/>
  <c r="J17" i="10" s="1"/>
  <c r="H12" i="10"/>
  <c r="H14" i="10"/>
  <c r="O178" i="6"/>
  <c r="R178" i="6" s="1"/>
  <c r="M177" i="17" s="1"/>
  <c r="AH80" i="6"/>
  <c r="P236" i="2"/>
  <c r="AA236" i="2" s="1"/>
  <c r="O64" i="6"/>
  <c r="R64" i="6" s="1"/>
  <c r="M63" i="17" s="1"/>
  <c r="BD242" i="2"/>
  <c r="AG235" i="2" s="1"/>
  <c r="M252" i="2"/>
  <c r="X252" i="2" s="1"/>
  <c r="BG254" i="2"/>
  <c r="AJ252" i="2" s="1"/>
  <c r="BF242" i="2"/>
  <c r="AI235" i="2" s="1"/>
  <c r="P234" i="2"/>
  <c r="AA234" i="2" s="1"/>
  <c r="BA238" i="2"/>
  <c r="AD255" i="2" s="1"/>
  <c r="O70" i="6"/>
  <c r="R70" i="6" s="1"/>
  <c r="M69" i="17" s="1"/>
  <c r="P255" i="2"/>
  <c r="AA255" i="2" s="1"/>
  <c r="BJ242" i="2"/>
  <c r="AM235" i="2" s="1"/>
  <c r="BF237" i="2"/>
  <c r="AI234" i="2" s="1"/>
  <c r="BF254" i="2"/>
  <c r="AI252" i="2" s="1"/>
  <c r="BJ225" i="2"/>
  <c r="AM230" i="2" s="1"/>
  <c r="BD225" i="2"/>
  <c r="AG230" i="2" s="1"/>
  <c r="P235" i="2"/>
  <c r="AA235" i="2" s="1"/>
  <c r="BG242" i="2"/>
  <c r="AJ235" i="2" s="1"/>
  <c r="BA254" i="2"/>
  <c r="AD252" i="2" s="1"/>
  <c r="BD254" i="2"/>
  <c r="AG252" i="2" s="1"/>
  <c r="BJ254" i="2"/>
  <c r="AM252" i="2" s="1"/>
  <c r="BI254" i="2"/>
  <c r="AL252" i="2" s="1"/>
  <c r="O235" i="2"/>
  <c r="Z235" i="2" s="1"/>
  <c r="BH254" i="2"/>
  <c r="AK252" i="2" s="1"/>
  <c r="BH233" i="2"/>
  <c r="AH232" i="2" s="1"/>
  <c r="BF238" i="2"/>
  <c r="AI255" i="2" s="1"/>
  <c r="O234" i="2"/>
  <c r="Z234" i="2" s="1"/>
  <c r="N234" i="2"/>
  <c r="Y234" i="2" s="1"/>
  <c r="N236" i="2"/>
  <c r="Y236" i="2" s="1"/>
  <c r="BE237" i="2"/>
  <c r="AH234" i="2" s="1"/>
  <c r="BG237" i="2"/>
  <c r="AJ234" i="2" s="1"/>
  <c r="BE254" i="2"/>
  <c r="AH252" i="2" s="1"/>
  <c r="BJ237" i="2"/>
  <c r="AM236" i="2" s="1"/>
  <c r="BI238" i="2"/>
  <c r="AL255" i="2" s="1"/>
  <c r="BD237" i="2"/>
  <c r="AG236" i="2" s="1"/>
  <c r="BH238" i="2"/>
  <c r="AK255" i="2" s="1"/>
  <c r="BI237" i="2"/>
  <c r="BE242" i="2"/>
  <c r="AH235" i="2" s="1"/>
  <c r="BG238" i="2"/>
  <c r="AJ255" i="2" s="1"/>
  <c r="BI242" i="2"/>
  <c r="AL235" i="2" s="1"/>
  <c r="BA225" i="2"/>
  <c r="AD230" i="2" s="1"/>
  <c r="BA242" i="2"/>
  <c r="AD235" i="2" s="1"/>
  <c r="BE225" i="2"/>
  <c r="AH230" i="2" s="1"/>
  <c r="BH242" i="2"/>
  <c r="AK235" i="2" s="1"/>
  <c r="BH237" i="2"/>
  <c r="BE238" i="2"/>
  <c r="AH255" i="2" s="1"/>
  <c r="BF225" i="2"/>
  <c r="AI230" i="2" s="1"/>
  <c r="BD238" i="2"/>
  <c r="AG255" i="2" s="1"/>
  <c r="BG225" i="2"/>
  <c r="AJ230" i="2" s="1"/>
  <c r="BA237" i="2"/>
  <c r="AD236" i="2" s="1"/>
  <c r="BJ238" i="2"/>
  <c r="AM255" i="2" s="1"/>
  <c r="BH225" i="2"/>
  <c r="AK230" i="2" s="1"/>
  <c r="BI225" i="2"/>
  <c r="AL230" i="2" s="1"/>
  <c r="BH229" i="2"/>
  <c r="M13" i="21"/>
  <c r="O238" i="6"/>
  <c r="R238" i="6" s="1"/>
  <c r="M237" i="17" s="1"/>
  <c r="O182" i="6"/>
  <c r="R182" i="6" s="1"/>
  <c r="M181" i="17" s="1"/>
  <c r="AH34" i="6"/>
  <c r="O195" i="6"/>
  <c r="R195" i="6" s="1"/>
  <c r="M194" i="17" s="1"/>
  <c r="M41" i="21"/>
  <c r="M16" i="21"/>
  <c r="AH28" i="6"/>
  <c r="O222" i="6"/>
  <c r="R222" i="6" s="1"/>
  <c r="M221" i="17" s="1"/>
  <c r="O224" i="6"/>
  <c r="R224" i="6" s="1"/>
  <c r="M223" i="17" s="1"/>
  <c r="L15" i="16"/>
  <c r="BK233" i="2"/>
  <c r="AK232" i="2" s="1"/>
  <c r="BK229" i="2"/>
  <c r="AK233" i="2" s="1"/>
  <c r="O185" i="6"/>
  <c r="R185" i="6" s="1"/>
  <c r="M184" i="17" s="1"/>
  <c r="M25" i="21"/>
  <c r="O183" i="6"/>
  <c r="R183" i="6" s="1"/>
  <c r="M182" i="17" s="1"/>
  <c r="AH153" i="6"/>
  <c r="O177" i="6"/>
  <c r="R177" i="6" s="1"/>
  <c r="M176" i="17" s="1"/>
  <c r="I42" i="21"/>
  <c r="K42" i="21" s="1"/>
  <c r="BL233" i="2"/>
  <c r="AL232" i="2" s="1"/>
  <c r="BG229" i="2"/>
  <c r="BJ233" i="2"/>
  <c r="AJ232" i="2" s="1"/>
  <c r="BJ229" i="2"/>
  <c r="BG233" i="2"/>
  <c r="AG232" i="2" s="1"/>
  <c r="BL229" i="2"/>
  <c r="M10" i="21"/>
  <c r="BM229" i="2"/>
  <c r="BD229" i="2"/>
  <c r="AH169" i="6"/>
  <c r="O188" i="6"/>
  <c r="R188" i="6" s="1"/>
  <c r="M187" i="17" s="1"/>
  <c r="O189" i="6"/>
  <c r="O194" i="6"/>
  <c r="R194" i="6" s="1"/>
  <c r="M193" i="17" s="1"/>
  <c r="BM233" i="2"/>
  <c r="AM232" i="2" s="1"/>
  <c r="BD233" i="2"/>
  <c r="AD232" i="2" s="1"/>
  <c r="BI233" i="2"/>
  <c r="AI232" i="2" s="1"/>
  <c r="M2" i="21"/>
  <c r="M44" i="21"/>
  <c r="AW78" i="2"/>
  <c r="M61" i="21"/>
  <c r="I36" i="21"/>
  <c r="J36" i="21" s="1"/>
  <c r="AV78" i="2"/>
  <c r="AU78" i="2"/>
  <c r="M14" i="21"/>
  <c r="I33" i="21"/>
  <c r="M15" i="21"/>
  <c r="I41" i="21"/>
  <c r="K41" i="21" s="1"/>
  <c r="L3" i="16"/>
  <c r="M5" i="21"/>
  <c r="M21" i="21"/>
  <c r="I60" i="21"/>
  <c r="J60" i="21" s="1"/>
  <c r="I30" i="21"/>
  <c r="K30" i="21" s="1"/>
  <c r="M4" i="21"/>
  <c r="I2" i="21"/>
  <c r="K2" i="21" s="1"/>
  <c r="I21" i="21"/>
  <c r="J21" i="21" s="1"/>
  <c r="I43" i="21"/>
  <c r="J43" i="21" s="1"/>
  <c r="I40" i="21"/>
  <c r="J40" i="21" s="1"/>
  <c r="O223" i="6"/>
  <c r="R223" i="6" s="1"/>
  <c r="M222" i="17" s="1"/>
  <c r="M23" i="21"/>
  <c r="I48" i="21"/>
  <c r="K48" i="21" s="1"/>
  <c r="I27" i="21"/>
  <c r="J27" i="21" s="1"/>
  <c r="I32" i="21"/>
  <c r="H55" i="12"/>
  <c r="J55" i="12" s="1"/>
  <c r="L23" i="12"/>
  <c r="H34" i="12"/>
  <c r="J34" i="12" s="1"/>
  <c r="H13" i="12"/>
  <c r="J13" i="12" s="1"/>
  <c r="H2" i="12"/>
  <c r="I2" i="12" s="1"/>
  <c r="I21" i="17"/>
  <c r="M18" i="9"/>
  <c r="N18" i="9" s="1"/>
  <c r="M12" i="9"/>
  <c r="O12" i="9" s="1"/>
  <c r="I69" i="21"/>
  <c r="J69" i="21" s="1"/>
  <c r="O240" i="6"/>
  <c r="R240" i="6" s="1"/>
  <c r="M239" i="17" s="1"/>
  <c r="AH236" i="6"/>
  <c r="H39" i="12"/>
  <c r="I39" i="12" s="1"/>
  <c r="H53" i="12"/>
  <c r="J53" i="12" s="1"/>
  <c r="M2" i="9"/>
  <c r="N2" i="9" s="1"/>
  <c r="I68" i="21"/>
  <c r="J68" i="21" s="1"/>
  <c r="L15" i="12"/>
  <c r="L5" i="12"/>
  <c r="L46" i="12"/>
  <c r="L36" i="12"/>
  <c r="H40" i="12"/>
  <c r="I40" i="12" s="1"/>
  <c r="L35" i="12"/>
  <c r="H11" i="12"/>
  <c r="J11" i="12" s="1"/>
  <c r="H13" i="16"/>
  <c r="I13" i="16" s="1"/>
  <c r="H18" i="16"/>
  <c r="I18" i="16" s="1"/>
  <c r="M17" i="9"/>
  <c r="O17" i="9" s="1"/>
  <c r="M13" i="9"/>
  <c r="N13" i="9" s="1"/>
  <c r="M23" i="9"/>
  <c r="O23" i="9" s="1"/>
  <c r="I47" i="21"/>
  <c r="I55" i="21"/>
  <c r="L37" i="12"/>
  <c r="H43" i="12"/>
  <c r="J43" i="12" s="1"/>
  <c r="H36" i="12"/>
  <c r="H27" i="12"/>
  <c r="I27" i="12" s="1"/>
  <c r="H21" i="12"/>
  <c r="I21" i="12" s="1"/>
  <c r="H11" i="16"/>
  <c r="J11" i="16" s="1"/>
  <c r="M32" i="9"/>
  <c r="M25" i="9"/>
  <c r="N25" i="9" s="1"/>
  <c r="I65" i="21"/>
  <c r="J65" i="21" s="1"/>
  <c r="L33" i="12"/>
  <c r="H45" i="12"/>
  <c r="I45" i="12" s="1"/>
  <c r="H12" i="16"/>
  <c r="J12" i="16" s="1"/>
  <c r="M10" i="9"/>
  <c r="O10" i="9" s="1"/>
  <c r="I67" i="21"/>
  <c r="K67" i="21" s="1"/>
  <c r="M9" i="9"/>
  <c r="N9" i="9" s="1"/>
  <c r="H44" i="12"/>
  <c r="J44" i="12" s="1"/>
  <c r="H8" i="12"/>
  <c r="I8" i="12" s="1"/>
  <c r="H33" i="12"/>
  <c r="I33" i="12" s="1"/>
  <c r="I5" i="21"/>
  <c r="K5" i="21" s="1"/>
  <c r="L47" i="12"/>
  <c r="H29" i="12"/>
  <c r="I29" i="12" s="1"/>
  <c r="H10" i="12"/>
  <c r="I10" i="12" s="1"/>
  <c r="H18" i="12"/>
  <c r="J18" i="12" s="1"/>
  <c r="M28" i="9"/>
  <c r="N28" i="9" s="1"/>
  <c r="H31" i="12"/>
  <c r="I31" i="12" s="1"/>
  <c r="L7" i="12"/>
  <c r="L27" i="12"/>
  <c r="H4" i="12"/>
  <c r="I4" i="12" s="1"/>
  <c r="H9" i="12"/>
  <c r="I9" i="12" s="1"/>
  <c r="H51" i="12"/>
  <c r="H6" i="16"/>
  <c r="I6" i="16" s="1"/>
  <c r="M37" i="9"/>
  <c r="N37" i="9" s="1"/>
  <c r="M43" i="9"/>
  <c r="M21" i="9"/>
  <c r="O21" i="9" s="1"/>
  <c r="I64" i="21"/>
  <c r="J64" i="21" s="1"/>
  <c r="I7" i="21"/>
  <c r="K7" i="21" s="1"/>
  <c r="I8" i="21"/>
  <c r="H3" i="16"/>
  <c r="J3" i="16" s="1"/>
  <c r="H19" i="12"/>
  <c r="I19" i="12" s="1"/>
  <c r="L17" i="12"/>
  <c r="H23" i="12"/>
  <c r="J23" i="12" s="1"/>
  <c r="H12" i="12"/>
  <c r="I12" i="12" s="1"/>
  <c r="H30" i="12"/>
  <c r="I30" i="12" s="1"/>
  <c r="M44" i="9"/>
  <c r="N44" i="9" s="1"/>
  <c r="M45" i="9"/>
  <c r="N45" i="9" s="1"/>
  <c r="M11" i="9"/>
  <c r="O11" i="9" s="1"/>
  <c r="I16" i="21"/>
  <c r="I63" i="21"/>
  <c r="K63" i="21" s="1"/>
  <c r="O63" i="6"/>
  <c r="R63" i="6" s="1"/>
  <c r="M62" i="17" s="1"/>
  <c r="H28" i="12"/>
  <c r="I28" i="12" s="1"/>
  <c r="H15" i="12"/>
  <c r="I15" i="12" s="1"/>
  <c r="H14" i="12"/>
  <c r="I14" i="12" s="1"/>
  <c r="H21" i="16"/>
  <c r="M39" i="9"/>
  <c r="O39" i="9" s="1"/>
  <c r="I61" i="21"/>
  <c r="J61" i="21" s="1"/>
  <c r="H17" i="12"/>
  <c r="I17" i="12" s="1"/>
  <c r="L4" i="12"/>
  <c r="L26" i="12"/>
  <c r="H50" i="12"/>
  <c r="H54" i="12"/>
  <c r="J54" i="12" s="1"/>
  <c r="H6" i="12"/>
  <c r="I6" i="12" s="1"/>
  <c r="M26" i="9"/>
  <c r="O26" i="9" s="1"/>
  <c r="I29" i="21"/>
  <c r="I11" i="21"/>
  <c r="L19" i="12"/>
  <c r="L29" i="12"/>
  <c r="L24" i="12"/>
  <c r="H48" i="12"/>
  <c r="I48" i="12" s="1"/>
  <c r="H32" i="12"/>
  <c r="I32" i="12" s="1"/>
  <c r="H38" i="12"/>
  <c r="J38" i="12" s="1"/>
  <c r="L11" i="16"/>
  <c r="I52" i="21"/>
  <c r="J52" i="21" s="1"/>
  <c r="I10" i="21"/>
  <c r="K10" i="21" s="1"/>
  <c r="I54" i="21"/>
  <c r="L45" i="12"/>
  <c r="M35" i="9"/>
  <c r="N35" i="9" s="1"/>
  <c r="L16" i="12"/>
  <c r="L39" i="12"/>
  <c r="L28" i="12"/>
  <c r="L34" i="12"/>
  <c r="L22" i="12"/>
  <c r="H42" i="12"/>
  <c r="J42" i="12" s="1"/>
  <c r="H7" i="12"/>
  <c r="I7" i="12" s="1"/>
  <c r="H35" i="12"/>
  <c r="J35" i="12" s="1"/>
  <c r="M40" i="9"/>
  <c r="M41" i="9"/>
  <c r="N41" i="9" s="1"/>
  <c r="I56" i="21"/>
  <c r="K56" i="21" s="1"/>
  <c r="I59" i="21"/>
  <c r="K59" i="21" s="1"/>
  <c r="I50" i="21"/>
  <c r="M22" i="9"/>
  <c r="O22" i="9" s="1"/>
  <c r="L8" i="12"/>
  <c r="L32" i="12"/>
  <c r="L31" i="12"/>
  <c r="H5" i="12"/>
  <c r="I5" i="12" s="1"/>
  <c r="H16" i="12"/>
  <c r="I16" i="12" s="1"/>
  <c r="H25" i="12"/>
  <c r="I25" i="12" s="1"/>
  <c r="H49" i="12"/>
  <c r="M31" i="9"/>
  <c r="O31" i="9" s="1"/>
  <c r="M5" i="9"/>
  <c r="I66" i="21"/>
  <c r="J66" i="21" s="1"/>
  <c r="I35" i="21"/>
  <c r="J35" i="21" s="1"/>
  <c r="I34" i="21"/>
  <c r="H47" i="12"/>
  <c r="J47" i="12" s="1"/>
  <c r="L6" i="12"/>
  <c r="L11" i="12"/>
  <c r="L30" i="12"/>
  <c r="H37" i="12"/>
  <c r="H24" i="12"/>
  <c r="I24" i="12" s="1"/>
  <c r="H3" i="12"/>
  <c r="I3" i="12" s="1"/>
  <c r="H19" i="16"/>
  <c r="M7" i="9"/>
  <c r="M16" i="9"/>
  <c r="I31" i="21"/>
  <c r="I53" i="21"/>
  <c r="J53" i="21" s="1"/>
  <c r="I15" i="21"/>
  <c r="J15" i="21" s="1"/>
  <c r="I3" i="21"/>
  <c r="K3" i="21" s="1"/>
  <c r="I20" i="21"/>
  <c r="J20" i="21" s="1"/>
  <c r="I4" i="21"/>
  <c r="J4" i="21" s="1"/>
  <c r="I45" i="21"/>
  <c r="J45" i="21" s="1"/>
  <c r="M24" i="21"/>
  <c r="O221" i="6"/>
  <c r="R221" i="6" s="1"/>
  <c r="M220" i="17" s="1"/>
  <c r="O220" i="6"/>
  <c r="R220" i="6" s="1"/>
  <c r="M219" i="17" s="1"/>
  <c r="O218" i="6"/>
  <c r="R218" i="6" s="1"/>
  <c r="M217" i="17" s="1"/>
  <c r="O219" i="6"/>
  <c r="R219" i="6" s="1"/>
  <c r="M218" i="17" s="1"/>
  <c r="AH220" i="6"/>
  <c r="I9" i="21"/>
  <c r="K9" i="21" s="1"/>
  <c r="M46" i="9"/>
  <c r="N46" i="9" s="1"/>
  <c r="I6" i="21"/>
  <c r="J6" i="21" s="1"/>
  <c r="I46" i="21"/>
  <c r="K46" i="21" s="1"/>
  <c r="I13" i="21"/>
  <c r="J13" i="21" s="1"/>
  <c r="L207" i="2"/>
  <c r="Q207" i="2"/>
  <c r="R207" i="2"/>
  <c r="AU175" i="2"/>
  <c r="I207" i="2" s="1"/>
  <c r="I24" i="21"/>
  <c r="K24" i="21" s="1"/>
  <c r="I57" i="21"/>
  <c r="K57" i="21" s="1"/>
  <c r="I62" i="21"/>
  <c r="J62" i="21" s="1"/>
  <c r="I19" i="21"/>
  <c r="J19" i="21" s="1"/>
  <c r="AC194" i="6"/>
  <c r="AI194" i="6" s="1"/>
  <c r="M52" i="21"/>
  <c r="M33" i="21"/>
  <c r="M40" i="21"/>
  <c r="M38" i="9"/>
  <c r="M15" i="9"/>
  <c r="O15" i="9" s="1"/>
  <c r="M19" i="9"/>
  <c r="N19" i="9" s="1"/>
  <c r="M30" i="9"/>
  <c r="N30" i="9" s="1"/>
  <c r="M20" i="9"/>
  <c r="O20" i="9" s="1"/>
  <c r="M24" i="9"/>
  <c r="O24" i="9" s="1"/>
  <c r="Q22" i="9"/>
  <c r="Q18" i="9"/>
  <c r="M29" i="9"/>
  <c r="O29" i="9" s="1"/>
  <c r="M27" i="9"/>
  <c r="Q24" i="9"/>
  <c r="Q26" i="9"/>
  <c r="M33" i="9"/>
  <c r="N33" i="9" s="1"/>
  <c r="Q12" i="9"/>
  <c r="Q10" i="9"/>
  <c r="Q23" i="9"/>
  <c r="Q21" i="9"/>
  <c r="Q36" i="9"/>
  <c r="M36" i="9"/>
  <c r="N36" i="9" s="1"/>
  <c r="H5" i="16"/>
  <c r="M6" i="9"/>
  <c r="M4" i="9"/>
  <c r="Q14" i="9"/>
  <c r="M3" i="9"/>
  <c r="N3" i="9" s="1"/>
  <c r="Q43" i="9"/>
  <c r="M14" i="9"/>
  <c r="O14" i="9" s="1"/>
  <c r="M8" i="9"/>
  <c r="M42" i="9"/>
  <c r="H8" i="16"/>
  <c r="I8" i="16" s="1"/>
  <c r="H10" i="16"/>
  <c r="H9" i="16"/>
  <c r="H7" i="16"/>
  <c r="H17" i="16"/>
  <c r="H16" i="16"/>
  <c r="I16" i="16" s="1"/>
  <c r="H15" i="16"/>
  <c r="H14" i="16"/>
  <c r="I14" i="16" s="1"/>
  <c r="H4" i="16"/>
  <c r="H20" i="16"/>
  <c r="H22" i="16"/>
  <c r="H2" i="16"/>
  <c r="I2" i="16" s="1"/>
  <c r="H22" i="12"/>
  <c r="AH62" i="6"/>
  <c r="O72" i="6"/>
  <c r="AJ62" i="6"/>
  <c r="P72" i="6"/>
  <c r="L14" i="12"/>
  <c r="L41" i="12"/>
  <c r="L25" i="12"/>
  <c r="L12" i="12"/>
  <c r="L13" i="12"/>
  <c r="L3" i="12"/>
  <c r="L10" i="12"/>
  <c r="L21" i="12"/>
  <c r="L18" i="12"/>
  <c r="L9" i="12"/>
  <c r="AH40" i="6"/>
  <c r="O69" i="6"/>
  <c r="AH48" i="6"/>
  <c r="O58" i="6"/>
  <c r="AJ48" i="6"/>
  <c r="AJ40" i="6"/>
  <c r="J32" i="20"/>
  <c r="J12" i="20"/>
  <c r="J26" i="20"/>
  <c r="K28" i="20"/>
  <c r="J3" i="20"/>
  <c r="H2" i="14"/>
  <c r="H17" i="14"/>
  <c r="J38" i="20"/>
  <c r="I11" i="14"/>
  <c r="K34" i="20"/>
  <c r="J22" i="20"/>
  <c r="K10" i="20"/>
  <c r="I51" i="21"/>
  <c r="K51" i="21" s="1"/>
  <c r="H8" i="14"/>
  <c r="I8" i="14"/>
  <c r="J25" i="20"/>
  <c r="I23" i="14"/>
  <c r="J21" i="20"/>
  <c r="I7" i="14"/>
  <c r="H7" i="14"/>
  <c r="J36" i="20"/>
  <c r="H10" i="14"/>
  <c r="I10" i="14"/>
  <c r="I18" i="14"/>
  <c r="H18" i="14"/>
  <c r="I24" i="14"/>
  <c r="H24" i="14"/>
  <c r="H6" i="14"/>
  <c r="I6" i="14"/>
  <c r="H16" i="14"/>
  <c r="I16" i="14"/>
  <c r="R191" i="6"/>
  <c r="M190" i="17" s="1"/>
  <c r="I12" i="14"/>
  <c r="H12" i="14"/>
  <c r="L2" i="12"/>
  <c r="K4" i="20" l="1"/>
  <c r="K45" i="20"/>
  <c r="T207" i="2"/>
  <c r="AB207" i="2"/>
  <c r="K35" i="20"/>
  <c r="K16" i="20"/>
  <c r="K15" i="20"/>
  <c r="K40" i="20"/>
  <c r="W207" i="2"/>
  <c r="J19" i="20"/>
  <c r="J9" i="20"/>
  <c r="L12" i="16"/>
  <c r="K13" i="20"/>
  <c r="J41" i="20"/>
  <c r="K39" i="20"/>
  <c r="K6" i="20"/>
  <c r="K7" i="20"/>
  <c r="O52" i="2"/>
  <c r="Z52" i="2" s="1"/>
  <c r="K42" i="20"/>
  <c r="J44" i="20"/>
  <c r="K44" i="20"/>
  <c r="I255" i="17"/>
  <c r="G43" i="28"/>
  <c r="I258" i="17"/>
  <c r="G47" i="28"/>
  <c r="I253" i="17"/>
  <c r="G41" i="28"/>
  <c r="I252" i="17"/>
  <c r="G40" i="28"/>
  <c r="H180" i="2"/>
  <c r="K20" i="14"/>
  <c r="M32" i="8"/>
  <c r="AM63" i="6"/>
  <c r="AM64" i="6" s="1"/>
  <c r="AN63" i="6"/>
  <c r="AN64" i="6" s="1"/>
  <c r="AK63" i="6"/>
  <c r="AK64" i="6" s="1"/>
  <c r="J2" i="19"/>
  <c r="K21" i="14"/>
  <c r="Q52" i="2"/>
  <c r="AB52" i="2" s="1"/>
  <c r="H183" i="2"/>
  <c r="I170" i="17" s="1"/>
  <c r="H216" i="2"/>
  <c r="I203" i="17" s="1"/>
  <c r="AU44" i="2"/>
  <c r="N52" i="2"/>
  <c r="Y52" i="2" s="1"/>
  <c r="AV44" i="2"/>
  <c r="AT44" i="2"/>
  <c r="I14" i="19"/>
  <c r="M52" i="2"/>
  <c r="X52" i="2" s="1"/>
  <c r="AW44" i="2"/>
  <c r="AX44" i="2"/>
  <c r="J34" i="19"/>
  <c r="R60" i="6"/>
  <c r="M59" i="17" s="1"/>
  <c r="AK247" i="2"/>
  <c r="AK239" i="2"/>
  <c r="AK246" i="2"/>
  <c r="J20" i="19"/>
  <c r="J15" i="15"/>
  <c r="AG239" i="2"/>
  <c r="J28" i="21"/>
  <c r="J21" i="19"/>
  <c r="J14" i="8"/>
  <c r="AI231" i="2"/>
  <c r="J4" i="19"/>
  <c r="I22" i="19"/>
  <c r="K31" i="8"/>
  <c r="I11" i="19"/>
  <c r="AG246" i="2"/>
  <c r="AG247" i="2"/>
  <c r="J34" i="8"/>
  <c r="I8" i="19"/>
  <c r="H73" i="2"/>
  <c r="I60" i="17" s="1"/>
  <c r="AL246" i="2"/>
  <c r="AL247" i="2"/>
  <c r="AL239" i="2"/>
  <c r="I18" i="15"/>
  <c r="J31" i="19"/>
  <c r="I15" i="19"/>
  <c r="AD247" i="2"/>
  <c r="I33" i="19"/>
  <c r="I13" i="19"/>
  <c r="I13" i="10"/>
  <c r="J26" i="19"/>
  <c r="I5" i="19"/>
  <c r="AD246" i="2"/>
  <c r="J23" i="19"/>
  <c r="AD239" i="2"/>
  <c r="J16" i="15"/>
  <c r="J17" i="15"/>
  <c r="J25" i="8"/>
  <c r="AM247" i="2"/>
  <c r="I3" i="15"/>
  <c r="AM246" i="2"/>
  <c r="I3" i="19"/>
  <c r="AM239" i="2"/>
  <c r="AI247" i="2"/>
  <c r="J19" i="8"/>
  <c r="L48" i="12"/>
  <c r="I21" i="10"/>
  <c r="H78" i="2"/>
  <c r="I65" i="17" s="1"/>
  <c r="J8" i="8"/>
  <c r="I10" i="19"/>
  <c r="AI246" i="2"/>
  <c r="K49" i="8"/>
  <c r="J19" i="15"/>
  <c r="AI254" i="2"/>
  <c r="H254" i="2" s="1"/>
  <c r="I241" i="17" s="1"/>
  <c r="J5" i="8"/>
  <c r="I28" i="19"/>
  <c r="AH247" i="2"/>
  <c r="AH239" i="2"/>
  <c r="K6" i="8"/>
  <c r="AH246" i="2"/>
  <c r="J14" i="15"/>
  <c r="J19" i="19"/>
  <c r="J35" i="8"/>
  <c r="I24" i="19"/>
  <c r="J24" i="19"/>
  <c r="J16" i="19"/>
  <c r="I16" i="19"/>
  <c r="I35" i="19"/>
  <c r="M272" i="17"/>
  <c r="J30" i="19"/>
  <c r="J44" i="8"/>
  <c r="K30" i="8"/>
  <c r="J8" i="15"/>
  <c r="J18" i="21"/>
  <c r="J17" i="21"/>
  <c r="I15" i="10"/>
  <c r="J10" i="10"/>
  <c r="J27" i="8"/>
  <c r="K45" i="8"/>
  <c r="M51" i="21"/>
  <c r="K23" i="8"/>
  <c r="J41" i="8"/>
  <c r="J28" i="8"/>
  <c r="I25" i="10"/>
  <c r="J26" i="8"/>
  <c r="J23" i="21"/>
  <c r="J48" i="8"/>
  <c r="J21" i="8"/>
  <c r="K24" i="8"/>
  <c r="J4" i="8"/>
  <c r="J42" i="8"/>
  <c r="J3" i="8"/>
  <c r="J33" i="8"/>
  <c r="I12" i="15"/>
  <c r="I5" i="15"/>
  <c r="I10" i="15"/>
  <c r="K43" i="8"/>
  <c r="J18" i="8"/>
  <c r="J20" i="10"/>
  <c r="J9" i="19"/>
  <c r="I9" i="19"/>
  <c r="AJ246" i="2"/>
  <c r="J17" i="19"/>
  <c r="I17" i="19"/>
  <c r="AJ247" i="2"/>
  <c r="AJ239" i="2"/>
  <c r="J17" i="8"/>
  <c r="J32" i="19"/>
  <c r="I2" i="15"/>
  <c r="J2" i="15"/>
  <c r="M38" i="8"/>
  <c r="L3" i="10"/>
  <c r="L50" i="12"/>
  <c r="L24" i="10"/>
  <c r="L22" i="10"/>
  <c r="L2" i="10"/>
  <c r="L8" i="10"/>
  <c r="J7" i="15"/>
  <c r="L6" i="10"/>
  <c r="M36" i="8"/>
  <c r="I6" i="15"/>
  <c r="L5" i="10"/>
  <c r="M50" i="21"/>
  <c r="L51" i="12"/>
  <c r="I9" i="8"/>
  <c r="K9" i="8" s="1"/>
  <c r="M34" i="8"/>
  <c r="J6" i="19"/>
  <c r="I6" i="19"/>
  <c r="I27" i="19"/>
  <c r="J27" i="19"/>
  <c r="L44" i="12"/>
  <c r="M16" i="8"/>
  <c r="I36" i="19"/>
  <c r="J36" i="19"/>
  <c r="J11" i="8"/>
  <c r="K11" i="8"/>
  <c r="M31" i="21"/>
  <c r="J25" i="19"/>
  <c r="I29" i="19"/>
  <c r="J29" i="19"/>
  <c r="M37" i="21"/>
  <c r="I12" i="8"/>
  <c r="K12" i="8" s="1"/>
  <c r="J12" i="19"/>
  <c r="I12" i="19"/>
  <c r="K7" i="14"/>
  <c r="I10" i="8"/>
  <c r="K10" i="8" s="1"/>
  <c r="M45" i="21"/>
  <c r="L7" i="10"/>
  <c r="M42" i="21"/>
  <c r="M36" i="21"/>
  <c r="I15" i="8"/>
  <c r="K15" i="8" s="1"/>
  <c r="I11" i="15"/>
  <c r="J11" i="15"/>
  <c r="J9" i="15"/>
  <c r="I9" i="15"/>
  <c r="J13" i="15"/>
  <c r="I13" i="15"/>
  <c r="AI236" i="2"/>
  <c r="L42" i="12"/>
  <c r="J29" i="8"/>
  <c r="H294" i="2"/>
  <c r="J23" i="10"/>
  <c r="H295" i="2"/>
  <c r="G70" i="28" s="1"/>
  <c r="H272" i="2"/>
  <c r="H276" i="2"/>
  <c r="J46" i="8"/>
  <c r="K46" i="8"/>
  <c r="H292" i="2"/>
  <c r="K2" i="8"/>
  <c r="K26" i="21"/>
  <c r="M30" i="8"/>
  <c r="J37" i="8"/>
  <c r="K37" i="8"/>
  <c r="M11" i="8"/>
  <c r="M29" i="8"/>
  <c r="M20" i="8"/>
  <c r="M25" i="8"/>
  <c r="M33" i="8"/>
  <c r="AH236" i="2"/>
  <c r="R189" i="6"/>
  <c r="M188" i="17" s="1"/>
  <c r="J39" i="21"/>
  <c r="J41" i="21"/>
  <c r="H250" i="2"/>
  <c r="I237" i="17" s="1"/>
  <c r="K12" i="21"/>
  <c r="M32" i="21"/>
  <c r="I14" i="10"/>
  <c r="J14" i="10"/>
  <c r="J12" i="10"/>
  <c r="I12" i="10"/>
  <c r="I17" i="10"/>
  <c r="I9" i="10"/>
  <c r="J9" i="10"/>
  <c r="M49" i="21"/>
  <c r="H235" i="2"/>
  <c r="I222" i="17" s="1"/>
  <c r="H252" i="2"/>
  <c r="I239" i="17" s="1"/>
  <c r="H230" i="2"/>
  <c r="AJ236" i="2"/>
  <c r="H255" i="2"/>
  <c r="AL236" i="2"/>
  <c r="AL234" i="2"/>
  <c r="AM234" i="2"/>
  <c r="AD234" i="2"/>
  <c r="AK236" i="2"/>
  <c r="AK234" i="2"/>
  <c r="AG234" i="2"/>
  <c r="AH231" i="2"/>
  <c r="AH233" i="2"/>
  <c r="J42" i="21"/>
  <c r="K36" i="21"/>
  <c r="M48" i="21"/>
  <c r="M39" i="21"/>
  <c r="AK231" i="2"/>
  <c r="J2" i="21"/>
  <c r="AD233" i="2"/>
  <c r="AD231" i="2"/>
  <c r="AM233" i="2"/>
  <c r="AM231" i="2"/>
  <c r="AL231" i="2"/>
  <c r="AL233" i="2"/>
  <c r="AJ231" i="2"/>
  <c r="AJ233" i="2"/>
  <c r="H232" i="2"/>
  <c r="I219" i="17" s="1"/>
  <c r="AG231" i="2"/>
  <c r="AG233" i="2"/>
  <c r="AW79" i="2"/>
  <c r="AK84" i="2" s="1"/>
  <c r="AS79" i="2"/>
  <c r="AG84" i="2" s="1"/>
  <c r="J3" i="12"/>
  <c r="AU79" i="2"/>
  <c r="AI84" i="2" s="1"/>
  <c r="AP79" i="2"/>
  <c r="AD84" i="2" s="1"/>
  <c r="AT79" i="2"/>
  <c r="AH84" i="2" s="1"/>
  <c r="J56" i="21"/>
  <c r="J5" i="12"/>
  <c r="AX79" i="2"/>
  <c r="AL84" i="2" s="1"/>
  <c r="AV79" i="2"/>
  <c r="AJ84" i="2" s="1"/>
  <c r="J17" i="12"/>
  <c r="J63" i="21"/>
  <c r="I34" i="12"/>
  <c r="J39" i="12"/>
  <c r="J40" i="12"/>
  <c r="J31" i="12"/>
  <c r="P207" i="2"/>
  <c r="J67" i="21"/>
  <c r="O207" i="2"/>
  <c r="I42" i="12"/>
  <c r="J48" i="21"/>
  <c r="N207" i="2"/>
  <c r="J30" i="21"/>
  <c r="N39" i="9"/>
  <c r="J48" i="12"/>
  <c r="I12" i="16"/>
  <c r="J24" i="21"/>
  <c r="N31" i="9"/>
  <c r="J6" i="12"/>
  <c r="J32" i="12"/>
  <c r="K207" i="2"/>
  <c r="I11" i="16"/>
  <c r="K21" i="21"/>
  <c r="I38" i="12"/>
  <c r="O41" i="9"/>
  <c r="J207" i="2"/>
  <c r="K53" i="21"/>
  <c r="N26" i="9"/>
  <c r="J24" i="12"/>
  <c r="K61" i="21"/>
  <c r="K64" i="21"/>
  <c r="K40" i="21"/>
  <c r="J30" i="12"/>
  <c r="I47" i="12"/>
  <c r="J29" i="12"/>
  <c r="O9" i="9"/>
  <c r="J4" i="12"/>
  <c r="I43" i="12"/>
  <c r="I11" i="12"/>
  <c r="K69" i="21"/>
  <c r="J45" i="12"/>
  <c r="N17" i="9"/>
  <c r="K60" i="21"/>
  <c r="J27" i="12"/>
  <c r="O13" i="9"/>
  <c r="N10" i="9"/>
  <c r="J33" i="12"/>
  <c r="N11" i="9"/>
  <c r="O28" i="9"/>
  <c r="J6" i="16"/>
  <c r="J21" i="12"/>
  <c r="I55" i="12"/>
  <c r="J19" i="12"/>
  <c r="N23" i="9"/>
  <c r="O46" i="9"/>
  <c r="L43" i="12"/>
  <c r="K43" i="21"/>
  <c r="J2" i="12"/>
  <c r="K27" i="21"/>
  <c r="J12" i="12"/>
  <c r="O2" i="9"/>
  <c r="K65" i="21"/>
  <c r="J28" i="12"/>
  <c r="J3" i="21"/>
  <c r="J16" i="12"/>
  <c r="J25" i="12"/>
  <c r="K20" i="21"/>
  <c r="I44" i="12"/>
  <c r="L4" i="10"/>
  <c r="O18" i="9"/>
  <c r="J13" i="16"/>
  <c r="K68" i="21"/>
  <c r="J15" i="12"/>
  <c r="J59" i="21"/>
  <c r="K52" i="21"/>
  <c r="J57" i="21"/>
  <c r="K13" i="21"/>
  <c r="J46" i="21"/>
  <c r="I23" i="12"/>
  <c r="K66" i="21"/>
  <c r="I13" i="12"/>
  <c r="K15" i="21"/>
  <c r="J5" i="21"/>
  <c r="O25" i="9"/>
  <c r="K6" i="21"/>
  <c r="I53" i="12"/>
  <c r="N21" i="9"/>
  <c r="N22" i="9"/>
  <c r="J14" i="12"/>
  <c r="K4" i="21"/>
  <c r="N12" i="9"/>
  <c r="J18" i="16"/>
  <c r="J10" i="12"/>
  <c r="J9" i="12"/>
  <c r="J7" i="12"/>
  <c r="J7" i="21"/>
  <c r="O44" i="9"/>
  <c r="I35" i="12"/>
  <c r="O35" i="9"/>
  <c r="I54" i="12"/>
  <c r="O37" i="9"/>
  <c r="O16" i="9"/>
  <c r="N16" i="9"/>
  <c r="I3" i="16"/>
  <c r="N7" i="9"/>
  <c r="O7" i="9"/>
  <c r="K8" i="21"/>
  <c r="J8" i="21"/>
  <c r="I18" i="12"/>
  <c r="J11" i="21"/>
  <c r="K11" i="21"/>
  <c r="K45" i="21"/>
  <c r="K35" i="21"/>
  <c r="J8" i="12"/>
  <c r="K29" i="21"/>
  <c r="J29" i="21"/>
  <c r="J10" i="21"/>
  <c r="O43" i="9"/>
  <c r="N43" i="9"/>
  <c r="O32" i="9"/>
  <c r="N32" i="9"/>
  <c r="K47" i="21"/>
  <c r="J47" i="21"/>
  <c r="J16" i="21"/>
  <c r="K16" i="21"/>
  <c r="N5" i="9"/>
  <c r="O5" i="9"/>
  <c r="N40" i="9"/>
  <c r="O40" i="9"/>
  <c r="O45" i="9"/>
  <c r="K62" i="21"/>
  <c r="J9" i="21"/>
  <c r="M207" i="2"/>
  <c r="K19" i="21"/>
  <c r="O3" i="9"/>
  <c r="N15" i="9"/>
  <c r="N20" i="9"/>
  <c r="O36" i="9"/>
  <c r="O19" i="9"/>
  <c r="O33" i="9"/>
  <c r="N14" i="9"/>
  <c r="N24" i="9"/>
  <c r="O30" i="9"/>
  <c r="O38" i="9"/>
  <c r="N38" i="9"/>
  <c r="N29" i="9"/>
  <c r="N4" i="9"/>
  <c r="O4" i="9"/>
  <c r="N42" i="9"/>
  <c r="O42" i="9"/>
  <c r="N8" i="9"/>
  <c r="O8" i="9"/>
  <c r="J8" i="16"/>
  <c r="O27" i="9"/>
  <c r="N27" i="9"/>
  <c r="J9" i="16"/>
  <c r="I9" i="16"/>
  <c r="J16" i="16"/>
  <c r="I17" i="16"/>
  <c r="J17" i="16"/>
  <c r="J14" i="16"/>
  <c r="J2" i="16"/>
  <c r="I15" i="16"/>
  <c r="J15" i="16"/>
  <c r="J5" i="16"/>
  <c r="I5" i="16"/>
  <c r="R72" i="6"/>
  <c r="M71" i="17" s="1"/>
  <c r="R58" i="6"/>
  <c r="M57" i="17" s="1"/>
  <c r="R69" i="6"/>
  <c r="M68" i="17" s="1"/>
  <c r="R40" i="6"/>
  <c r="M39" i="17" s="1"/>
  <c r="J51" i="21"/>
  <c r="Y207" i="2" l="1"/>
  <c r="U207" i="2"/>
  <c r="Z207" i="2"/>
  <c r="AA207" i="2"/>
  <c r="X207" i="2"/>
  <c r="V207" i="2"/>
  <c r="I281" i="17"/>
  <c r="G45" i="28"/>
  <c r="I279" i="17"/>
  <c r="G68" i="28"/>
  <c r="H41" i="12"/>
  <c r="I41" i="12" s="1"/>
  <c r="I263" i="17"/>
  <c r="G52" i="28"/>
  <c r="I259" i="17"/>
  <c r="G48" i="28"/>
  <c r="I167" i="17"/>
  <c r="G19" i="28"/>
  <c r="I58" i="21"/>
  <c r="K58" i="21" s="1"/>
  <c r="I217" i="17"/>
  <c r="AR64" i="6"/>
  <c r="AQ64" i="6" s="1"/>
  <c r="I25" i="21"/>
  <c r="K25" i="21" s="1"/>
  <c r="I22" i="21"/>
  <c r="J22" i="21" s="1"/>
  <c r="AX45" i="2"/>
  <c r="AL52" i="2" s="1"/>
  <c r="AY45" i="2"/>
  <c r="AM52" i="2" s="1"/>
  <c r="AT45" i="2"/>
  <c r="AH52" i="2" s="1"/>
  <c r="AU45" i="2"/>
  <c r="AI52" i="2" s="1"/>
  <c r="AW45" i="2"/>
  <c r="AK52" i="2" s="1"/>
  <c r="AP45" i="2"/>
  <c r="AD52" i="2" s="1"/>
  <c r="AV45" i="2"/>
  <c r="AJ52" i="2" s="1"/>
  <c r="AS45" i="2"/>
  <c r="AG52" i="2" s="1"/>
  <c r="L40" i="12"/>
  <c r="H46" i="12"/>
  <c r="J46" i="12" s="1"/>
  <c r="H239" i="2"/>
  <c r="I226" i="17" s="1"/>
  <c r="H247" i="2"/>
  <c r="I234" i="17" s="1"/>
  <c r="H246" i="2"/>
  <c r="I233" i="17" s="1"/>
  <c r="I39" i="8"/>
  <c r="J39" i="8" s="1"/>
  <c r="I282" i="17"/>
  <c r="H27" i="10"/>
  <c r="I27" i="10" s="1"/>
  <c r="I242" i="17"/>
  <c r="J12" i="8"/>
  <c r="J10" i="8"/>
  <c r="J9" i="8"/>
  <c r="J15" i="8"/>
  <c r="H24" i="10"/>
  <c r="J24" i="10" s="1"/>
  <c r="I38" i="8"/>
  <c r="H7" i="10"/>
  <c r="I7" i="10" s="1"/>
  <c r="H2" i="10"/>
  <c r="H4" i="10"/>
  <c r="I4" i="10" s="1"/>
  <c r="M43" i="21"/>
  <c r="I36" i="8"/>
  <c r="J36" i="8" s="1"/>
  <c r="H26" i="10"/>
  <c r="H22" i="10"/>
  <c r="J22" i="10" s="1"/>
  <c r="I20" i="8"/>
  <c r="I16" i="8"/>
  <c r="H236" i="2"/>
  <c r="I223" i="17" s="1"/>
  <c r="H234" i="2"/>
  <c r="I221" i="17" s="1"/>
  <c r="H84" i="2"/>
  <c r="I71" i="17" s="1"/>
  <c r="AD207" i="2"/>
  <c r="AE207" i="2"/>
  <c r="AH207" i="2"/>
  <c r="AI207" i="2"/>
  <c r="AJ207" i="2"/>
  <c r="AK207" i="2"/>
  <c r="AL207" i="2"/>
  <c r="AM207" i="2"/>
  <c r="J41" i="12"/>
  <c r="L49" i="12"/>
  <c r="L38" i="12"/>
  <c r="AF207" i="2"/>
  <c r="AG207" i="2"/>
  <c r="I44" i="21"/>
  <c r="J44" i="21" s="1"/>
  <c r="L52" i="12"/>
  <c r="L20" i="12"/>
  <c r="I38" i="21"/>
  <c r="J58" i="21" l="1"/>
  <c r="J25" i="21"/>
  <c r="P73" i="6"/>
  <c r="R73" i="6" s="1"/>
  <c r="L53" i="12" s="1"/>
  <c r="P74" i="6"/>
  <c r="R74" i="6" s="1"/>
  <c r="M73" i="17" s="1"/>
  <c r="P75" i="6"/>
  <c r="R75" i="6" s="1"/>
  <c r="M74" i="17" s="1"/>
  <c r="K22" i="21"/>
  <c r="I24" i="10"/>
  <c r="H18" i="10"/>
  <c r="J18" i="10" s="1"/>
  <c r="K39" i="8"/>
  <c r="H52" i="2"/>
  <c r="I39" i="17" s="1"/>
  <c r="H19" i="10"/>
  <c r="I19" i="10" s="1"/>
  <c r="H11" i="10"/>
  <c r="J11" i="10" s="1"/>
  <c r="J27" i="10"/>
  <c r="I46" i="12"/>
  <c r="I22" i="10"/>
  <c r="J7" i="10"/>
  <c r="H8" i="10"/>
  <c r="I8" i="10" s="1"/>
  <c r="K36" i="8"/>
  <c r="J4" i="10"/>
  <c r="K16" i="8"/>
  <c r="J16" i="8"/>
  <c r="J20" i="8"/>
  <c r="K20" i="8"/>
  <c r="H52" i="12"/>
  <c r="I52" i="12" s="1"/>
  <c r="H6" i="10"/>
  <c r="H207" i="2"/>
  <c r="K44" i="21"/>
  <c r="L55" i="12"/>
  <c r="I37" i="21"/>
  <c r="I2" i="10"/>
  <c r="J2" i="10"/>
  <c r="I194" i="17" l="1"/>
  <c r="I18" i="10"/>
  <c r="L54" i="12"/>
  <c r="J19" i="10"/>
  <c r="H20" i="12"/>
  <c r="I20" i="12" s="1"/>
  <c r="I11" i="10"/>
  <c r="J8" i="10"/>
  <c r="J52" i="12"/>
  <c r="M72" i="17"/>
  <c r="I6" i="10"/>
  <c r="J6" i="10"/>
  <c r="I49" i="21"/>
  <c r="J49" i="21" s="1"/>
  <c r="J20" i="12"/>
  <c r="K49" i="21" l="1"/>
  <c r="H58" i="2"/>
  <c r="I45" i="17" s="1"/>
  <c r="H26" i="12" l="1"/>
  <c r="I26" i="12" s="1"/>
  <c r="J26" i="12" l="1"/>
  <c r="M231" i="2"/>
  <c r="M233" i="2"/>
  <c r="X233" i="2" l="1"/>
  <c r="H233" i="2" s="1"/>
  <c r="I220" i="17" s="1"/>
  <c r="X231" i="2"/>
  <c r="H231" i="2" s="1"/>
  <c r="I218" i="17" s="1"/>
  <c r="H3" i="10" l="1"/>
  <c r="J3" i="10" s="1"/>
  <c r="H5" i="10"/>
  <c r="I3" i="10" l="1"/>
  <c r="I5" i="10"/>
  <c r="J5" i="10"/>
  <c r="H124" i="33"/>
  <c r="H132" i="17" s="1"/>
  <c r="G124" i="33"/>
  <c r="G132" i="17" s="1"/>
  <c r="CC124" i="33"/>
  <c r="CG124" i="33"/>
  <c r="BZ124" i="33"/>
  <c r="DR3" i="33"/>
  <c r="DR4" i="33" s="1"/>
  <c r="AR3" i="33"/>
  <c r="AR4" i="33" s="1"/>
  <c r="S3" i="33"/>
  <c r="S4" i="33" s="1"/>
  <c r="R3" i="33"/>
  <c r="R4" i="33" s="1"/>
  <c r="EH3" i="33"/>
  <c r="EH4" i="33" s="1"/>
  <c r="DY3" i="33"/>
  <c r="DY4" i="33" s="1"/>
  <c r="A35" i="36"/>
  <c r="A125" i="33"/>
  <c r="A133" i="17"/>
  <c r="K133" i="17" s="1"/>
  <c r="Y125" i="33" s="1"/>
  <c r="CB124" i="33"/>
  <c r="A124" i="33"/>
  <c r="CA124" i="33"/>
  <c r="CF124" i="33"/>
  <c r="CD124" i="33"/>
  <c r="CE124" i="33"/>
  <c r="BS124" i="33"/>
  <c r="P124" i="33"/>
  <c r="BR124" i="33"/>
  <c r="BX124" i="33"/>
  <c r="BW124" i="33"/>
  <c r="BV124" i="33"/>
  <c r="BT124" i="33"/>
  <c r="D124" i="33"/>
  <c r="B145" i="2" s="1"/>
  <c r="BY124" i="33"/>
  <c r="BU124" i="33"/>
  <c r="N124" i="33"/>
  <c r="C145" i="2"/>
  <c r="BL124" i="33"/>
  <c r="T124" i="33"/>
  <c r="D132" i="17" s="1"/>
  <c r="BC124" i="33"/>
  <c r="R124" i="33"/>
  <c r="BO124" i="33"/>
  <c r="Q124" i="33"/>
  <c r="BN124" i="33"/>
  <c r="BM124" i="33"/>
  <c r="BD124" i="33"/>
  <c r="BJ124" i="33"/>
  <c r="BG124" i="33"/>
  <c r="BB124" i="33"/>
  <c r="BE124" i="33"/>
  <c r="W124" i="33"/>
  <c r="J34" i="9" s="1"/>
  <c r="BQ124" i="33"/>
  <c r="BI124" i="33"/>
  <c r="C124" i="33"/>
  <c r="E124" i="33"/>
  <c r="E34" i="9" s="1"/>
  <c r="AD124" i="33"/>
  <c r="E132" i="17" s="1"/>
  <c r="V124" i="33"/>
  <c r="F34" i="9" s="1"/>
  <c r="BF124" i="33"/>
  <c r="BK124" i="33"/>
  <c r="O124" i="33"/>
  <c r="S124" i="33"/>
  <c r="BP124" i="33"/>
  <c r="BH124" i="33"/>
  <c r="CH124" i="33"/>
  <c r="AG124" i="33"/>
  <c r="AI124" i="33"/>
  <c r="AH124" i="33"/>
  <c r="DM124" i="33"/>
  <c r="CI124" i="33"/>
  <c r="CP124" i="33"/>
  <c r="CN124" i="33"/>
  <c r="CO124" i="33"/>
  <c r="DE124" i="33"/>
  <c r="DF124" i="33"/>
  <c r="CQ124" i="33"/>
  <c r="CW124" i="33"/>
  <c r="CY124" i="33"/>
  <c r="DD124" i="33"/>
  <c r="DG124" i="33"/>
  <c r="CV124" i="33"/>
  <c r="DL124" i="33"/>
  <c r="CR124" i="33"/>
  <c r="CK124" i="33"/>
  <c r="CS124" i="33"/>
  <c r="DA124" i="33"/>
  <c r="DI124" i="33"/>
  <c r="CJ124" i="33"/>
  <c r="CZ124" i="33"/>
  <c r="CL124" i="33"/>
  <c r="CT124" i="33"/>
  <c r="DB124" i="33"/>
  <c r="DJ124" i="33"/>
  <c r="DH124" i="33"/>
  <c r="CX124" i="33"/>
  <c r="CM124" i="33"/>
  <c r="CU124" i="33"/>
  <c r="DC124" i="33"/>
  <c r="DK124" i="33"/>
  <c r="B3" i="33" l="1"/>
  <c r="B4" i="33" s="1"/>
  <c r="AV3" i="33"/>
  <c r="AV4" i="33" s="1"/>
  <c r="D36" i="34" s="1"/>
  <c r="AW3" i="33"/>
  <c r="AW4" i="33" s="1"/>
  <c r="D38" i="34" s="1"/>
  <c r="AX3" i="33"/>
  <c r="AX4" i="33" s="1"/>
  <c r="D39" i="34" s="1"/>
  <c r="AY3" i="33"/>
  <c r="AY4" i="33" s="1"/>
  <c r="D40" i="34" s="1"/>
  <c r="AZ3" i="33"/>
  <c r="AZ4" i="33" s="1"/>
  <c r="D41" i="34" s="1"/>
  <c r="BA3" i="33"/>
  <c r="BA4" i="33" s="1"/>
  <c r="D42" i="34" s="1"/>
  <c r="AV6" i="33"/>
  <c r="AV7" i="33" s="1"/>
  <c r="AX8" i="33"/>
  <c r="CH6" i="33"/>
  <c r="CH7" i="33" s="1"/>
  <c r="CI6" i="33"/>
  <c r="CI7" i="33" s="1"/>
  <c r="BT6" i="33"/>
  <c r="BT7" i="33" s="1"/>
  <c r="BE6" i="33"/>
  <c r="BE7" i="33" s="1"/>
  <c r="AJ6" i="33"/>
  <c r="AJ7" i="33" s="1"/>
  <c r="U6" i="33"/>
  <c r="U7" i="33" s="1"/>
  <c r="F6" i="33"/>
  <c r="F7" i="33" s="1"/>
  <c r="EJ6" i="33"/>
  <c r="EJ7" i="33" s="1"/>
  <c r="DU6" i="33"/>
  <c r="DU7" i="33" s="1"/>
  <c r="DF6" i="33"/>
  <c r="DF7" i="33" s="1"/>
  <c r="CQ6" i="33"/>
  <c r="CQ7" i="33" s="1"/>
  <c r="CB6" i="33"/>
  <c r="CB7" i="33" s="1"/>
  <c r="BM6" i="33"/>
  <c r="BM7" i="33" s="1"/>
  <c r="AR6" i="33"/>
  <c r="AR7" i="33" s="1"/>
  <c r="AC6" i="33"/>
  <c r="AC7" i="33" s="1"/>
  <c r="N6" i="33"/>
  <c r="N7" i="33" s="1"/>
  <c r="ER6" i="33"/>
  <c r="ER7" i="33" s="1"/>
  <c r="EC6" i="33"/>
  <c r="EC7" i="33" s="1"/>
  <c r="DL8" i="33"/>
  <c r="DL9" i="33" s="1"/>
  <c r="CW8" i="33"/>
  <c r="CW9" i="33" s="1"/>
  <c r="CH8" i="33"/>
  <c r="CH9" i="33" s="1"/>
  <c r="CI8" i="33"/>
  <c r="CI9" i="33" s="1"/>
  <c r="CJ8" i="33"/>
  <c r="CJ9" i="33" s="1"/>
  <c r="BU8" i="33"/>
  <c r="BU9" i="33" s="1"/>
  <c r="BF8" i="33"/>
  <c r="BF9" i="33" s="1"/>
  <c r="AK8" i="33"/>
  <c r="AK9" i="33" s="1"/>
  <c r="V8" i="33"/>
  <c r="V9" i="33" s="1"/>
  <c r="G8" i="33"/>
  <c r="G9" i="33" s="1"/>
  <c r="EK8" i="33"/>
  <c r="EK9" i="33" s="1"/>
  <c r="DV8" i="33"/>
  <c r="DV9" i="33" s="1"/>
  <c r="DG8" i="33"/>
  <c r="DG9" i="33" s="1"/>
  <c r="CR8" i="33"/>
  <c r="CR9" i="33" s="1"/>
  <c r="CC8" i="33"/>
  <c r="CC9" i="33" s="1"/>
  <c r="BN8" i="33"/>
  <c r="BN9" i="33" s="1"/>
  <c r="AS8" i="33"/>
  <c r="AS9" i="33" s="1"/>
  <c r="R6" i="33"/>
  <c r="R7" i="33" s="1"/>
  <c r="CN6" i="33"/>
  <c r="CN7" i="33" s="1"/>
  <c r="EO6" i="33"/>
  <c r="EO7" i="33" s="1"/>
  <c r="AG8" i="33"/>
  <c r="AG9" i="33" s="1"/>
  <c r="DD8" i="33"/>
  <c r="DD9" i="33" s="1"/>
  <c r="EA8" i="33"/>
  <c r="EA9" i="33" s="1"/>
  <c r="AW6" i="33"/>
  <c r="AW7" i="33" s="1"/>
  <c r="AY8" i="33"/>
  <c r="CX6" i="33"/>
  <c r="CX7" i="33" s="1"/>
  <c r="CY6" i="33"/>
  <c r="CY7" i="33" s="1"/>
  <c r="CJ6" i="33"/>
  <c r="CJ7" i="33" s="1"/>
  <c r="BU6" i="33"/>
  <c r="BU7" i="33" s="1"/>
  <c r="BF6" i="33"/>
  <c r="BF7" i="33" s="1"/>
  <c r="AK6" i="33"/>
  <c r="AK7" i="33" s="1"/>
  <c r="V6" i="33"/>
  <c r="V7" i="33" s="1"/>
  <c r="G6" i="33"/>
  <c r="G7" i="33" s="1"/>
  <c r="EK6" i="33"/>
  <c r="EK7" i="33" s="1"/>
  <c r="DV6" i="33"/>
  <c r="DV7" i="33" s="1"/>
  <c r="DG6" i="33"/>
  <c r="DG7" i="33" s="1"/>
  <c r="CR6" i="33"/>
  <c r="CR7" i="33" s="1"/>
  <c r="CC6" i="33"/>
  <c r="CC7" i="33" s="1"/>
  <c r="BN6" i="33"/>
  <c r="BN7" i="33" s="1"/>
  <c r="AS6" i="33"/>
  <c r="AS7" i="33" s="1"/>
  <c r="AD6" i="33"/>
  <c r="AD7" i="33" s="1"/>
  <c r="O6" i="33"/>
  <c r="O7" i="33" s="1"/>
  <c r="B8" i="33"/>
  <c r="B9" i="33" s="1"/>
  <c r="EB8" i="33"/>
  <c r="EB9" i="33" s="1"/>
  <c r="DM8" i="33"/>
  <c r="DM9" i="33" s="1"/>
  <c r="CX8" i="33"/>
  <c r="CX9" i="33" s="1"/>
  <c r="CY8" i="33"/>
  <c r="CY9" i="33" s="1"/>
  <c r="CZ8" i="33"/>
  <c r="CZ9" i="33" s="1"/>
  <c r="CK8" i="33"/>
  <c r="CK9" i="33" s="1"/>
  <c r="BV8" i="33"/>
  <c r="BV9" i="33" s="1"/>
  <c r="BG8" i="33"/>
  <c r="BG9" i="33" s="1"/>
  <c r="AL8" i="33"/>
  <c r="AL9" i="33" s="1"/>
  <c r="W8" i="33"/>
  <c r="W9" i="33" s="1"/>
  <c r="H8" i="33"/>
  <c r="H9" i="33" s="1"/>
  <c r="EL8" i="33"/>
  <c r="EL9" i="33" s="1"/>
  <c r="DW8" i="33"/>
  <c r="DW9" i="33" s="1"/>
  <c r="DH8" i="33"/>
  <c r="DH9" i="33" s="1"/>
  <c r="CS8" i="33"/>
  <c r="CS9" i="33" s="1"/>
  <c r="CD8" i="33"/>
  <c r="CD9" i="33" s="1"/>
  <c r="BO8" i="33"/>
  <c r="BO9" i="33" s="1"/>
  <c r="DR6" i="33"/>
  <c r="DR7" i="33" s="1"/>
  <c r="BY6" i="33"/>
  <c r="BY7" i="33" s="1"/>
  <c r="CV6" i="33"/>
  <c r="CV7" i="33" s="1"/>
  <c r="S8" i="33"/>
  <c r="S9" i="33" s="1"/>
  <c r="BK8" i="33"/>
  <c r="BK9" i="33" s="1"/>
  <c r="AX6" i="33"/>
  <c r="AX7" i="33" s="1"/>
  <c r="AZ8" i="33"/>
  <c r="DN6" i="33"/>
  <c r="DN7" i="33" s="1"/>
  <c r="DO6" i="33"/>
  <c r="DO7" i="33" s="1"/>
  <c r="CZ6" i="33"/>
  <c r="CZ7" i="33" s="1"/>
  <c r="CK6" i="33"/>
  <c r="CK7" i="33" s="1"/>
  <c r="BV6" i="33"/>
  <c r="BV7" i="33" s="1"/>
  <c r="BG6" i="33"/>
  <c r="BG7" i="33" s="1"/>
  <c r="AL6" i="33"/>
  <c r="AL7" i="33" s="1"/>
  <c r="W6" i="33"/>
  <c r="W7" i="33" s="1"/>
  <c r="H6" i="33"/>
  <c r="H7" i="33" s="1"/>
  <c r="EL6" i="33"/>
  <c r="EL7" i="33" s="1"/>
  <c r="DW6" i="33"/>
  <c r="DW7" i="33" s="1"/>
  <c r="DH6" i="33"/>
  <c r="DH7" i="33" s="1"/>
  <c r="CS6" i="33"/>
  <c r="CS7" i="33" s="1"/>
  <c r="CD6" i="33"/>
  <c r="CD7" i="33" s="1"/>
  <c r="BO6" i="33"/>
  <c r="BO7" i="33" s="1"/>
  <c r="AT6" i="33"/>
  <c r="AT7" i="33" s="1"/>
  <c r="AE6" i="33"/>
  <c r="AE7" i="33" s="1"/>
  <c r="N8" i="33"/>
  <c r="N9" i="33" s="1"/>
  <c r="B80" i="34" s="1"/>
  <c r="ER8" i="33"/>
  <c r="ER9" i="33" s="1"/>
  <c r="EC8" i="33"/>
  <c r="EC9" i="33" s="1"/>
  <c r="DN8" i="33"/>
  <c r="DN9" i="33" s="1"/>
  <c r="DO8" i="33"/>
  <c r="DO9" i="33" s="1"/>
  <c r="DP8" i="33"/>
  <c r="DP9" i="33" s="1"/>
  <c r="DA8" i="33"/>
  <c r="DA9" i="33" s="1"/>
  <c r="CL8" i="33"/>
  <c r="CL9" i="33" s="1"/>
  <c r="BW8" i="33"/>
  <c r="BW9" i="33" s="1"/>
  <c r="BH8" i="33"/>
  <c r="BH9" i="33" s="1"/>
  <c r="AM8" i="33"/>
  <c r="AM9" i="33" s="1"/>
  <c r="X8" i="33"/>
  <c r="X9" i="33" s="1"/>
  <c r="I8" i="33"/>
  <c r="I9" i="33" s="1"/>
  <c r="EM8" i="33"/>
  <c r="EM9" i="33" s="1"/>
  <c r="DX8" i="33"/>
  <c r="DX9" i="33" s="1"/>
  <c r="DI8" i="33"/>
  <c r="DI9" i="33" s="1"/>
  <c r="H97" i="34" s="1"/>
  <c r="CT8" i="33"/>
  <c r="CT9" i="33" s="1"/>
  <c r="I94" i="34" s="1"/>
  <c r="CE8" i="33"/>
  <c r="CE9" i="33" s="1"/>
  <c r="BA6" i="33"/>
  <c r="BA7" i="33" s="1"/>
  <c r="K6" i="33"/>
  <c r="K7" i="33" s="1"/>
  <c r="AU8" i="33"/>
  <c r="AU9" i="33" s="1"/>
  <c r="DS8" i="33"/>
  <c r="DS9" i="33" s="1"/>
  <c r="L8" i="33"/>
  <c r="L9" i="33" s="1"/>
  <c r="AY6" i="33"/>
  <c r="AY7" i="33" s="1"/>
  <c r="BA8" i="33"/>
  <c r="ED6" i="33"/>
  <c r="ED7" i="33" s="1"/>
  <c r="EE6" i="33"/>
  <c r="EE7" i="33" s="1"/>
  <c r="DP6" i="33"/>
  <c r="DP7" i="33" s="1"/>
  <c r="DA6" i="33"/>
  <c r="DA7" i="33" s="1"/>
  <c r="CL6" i="33"/>
  <c r="CL7" i="33" s="1"/>
  <c r="BW6" i="33"/>
  <c r="BW7" i="33" s="1"/>
  <c r="BH6" i="33"/>
  <c r="BH7" i="33" s="1"/>
  <c r="AM6" i="33"/>
  <c r="AM7" i="33" s="1"/>
  <c r="X6" i="33"/>
  <c r="X7" i="33" s="1"/>
  <c r="I6" i="33"/>
  <c r="I7" i="33" s="1"/>
  <c r="EM6" i="33"/>
  <c r="EM7" i="33" s="1"/>
  <c r="DX6" i="33"/>
  <c r="DX7" i="33" s="1"/>
  <c r="DI6" i="33"/>
  <c r="DI7" i="33" s="1"/>
  <c r="CT6" i="33"/>
  <c r="CT7" i="33" s="1"/>
  <c r="CE6" i="33"/>
  <c r="CE7" i="33" s="1"/>
  <c r="BP6" i="33"/>
  <c r="BP7" i="33" s="1"/>
  <c r="AU6" i="33"/>
  <c r="AU7" i="33" s="1"/>
  <c r="AD8" i="33"/>
  <c r="AD9" i="33" s="1"/>
  <c r="O8" i="33"/>
  <c r="O9" i="33" s="1"/>
  <c r="ES8" i="33"/>
  <c r="ES9" i="33" s="1"/>
  <c r="ED8" i="33"/>
  <c r="ED9" i="33" s="1"/>
  <c r="EE8" i="33"/>
  <c r="EE9" i="33" s="1"/>
  <c r="EF8" i="33"/>
  <c r="EF9" i="33" s="1"/>
  <c r="DQ8" i="33"/>
  <c r="DQ9" i="33" s="1"/>
  <c r="DB8" i="33"/>
  <c r="DB9" i="33" s="1"/>
  <c r="CM8" i="33"/>
  <c r="CM9" i="33" s="1"/>
  <c r="BX8" i="33"/>
  <c r="BX9" i="33" s="1"/>
  <c r="BI8" i="33"/>
  <c r="BI9" i="33" s="1"/>
  <c r="AN8" i="33"/>
  <c r="AN9" i="33" s="1"/>
  <c r="Y8" i="33"/>
  <c r="Y9" i="33" s="1"/>
  <c r="J8" i="33"/>
  <c r="J9" i="33" s="1"/>
  <c r="EN8" i="33"/>
  <c r="EN9" i="33" s="1"/>
  <c r="DY8" i="33"/>
  <c r="DY9" i="33" s="1"/>
  <c r="DJ8" i="33"/>
  <c r="DJ9" i="33" s="1"/>
  <c r="CU8" i="33"/>
  <c r="CU9" i="33" s="1"/>
  <c r="AF6" i="33"/>
  <c r="AF7" i="33" s="1"/>
  <c r="DC6" i="33"/>
  <c r="DC7" i="33" s="1"/>
  <c r="DZ6" i="33"/>
  <c r="DZ7" i="33" s="1"/>
  <c r="AF8" i="33"/>
  <c r="AF9" i="33" s="1"/>
  <c r="CO8" i="33"/>
  <c r="CO9" i="33" s="1"/>
  <c r="L95" i="34" s="1"/>
  <c r="EP8" i="33"/>
  <c r="EP9" i="33" s="1"/>
  <c r="AZ6" i="33"/>
  <c r="AZ7" i="33" s="1"/>
  <c r="P6" i="33"/>
  <c r="P7" i="33" s="1"/>
  <c r="Q6" i="33"/>
  <c r="Q7" i="33" s="1"/>
  <c r="ES6" i="33"/>
  <c r="ES7" i="33" s="1"/>
  <c r="EF6" i="33"/>
  <c r="EF7" i="33" s="1"/>
  <c r="DQ6" i="33"/>
  <c r="DQ7" i="33" s="1"/>
  <c r="DB6" i="33"/>
  <c r="DB7" i="33" s="1"/>
  <c r="CM6" i="33"/>
  <c r="CM7" i="33" s="1"/>
  <c r="BX6" i="33"/>
  <c r="BX7" i="33" s="1"/>
  <c r="BI6" i="33"/>
  <c r="BI7" i="33" s="1"/>
  <c r="AN6" i="33"/>
  <c r="AN7" i="33" s="1"/>
  <c r="Y6" i="33"/>
  <c r="Y7" i="33" s="1"/>
  <c r="J6" i="33"/>
  <c r="J7" i="33" s="1"/>
  <c r="EN6" i="33"/>
  <c r="EN7" i="33" s="1"/>
  <c r="DY6" i="33"/>
  <c r="DY7" i="33" s="1"/>
  <c r="DJ6" i="33"/>
  <c r="DJ7" i="33" s="1"/>
  <c r="CU6" i="33"/>
  <c r="CU7" i="33" s="1"/>
  <c r="CF6" i="33"/>
  <c r="CF7" i="33" s="1"/>
  <c r="BQ6" i="33"/>
  <c r="BQ7" i="33" s="1"/>
  <c r="AT8" i="33"/>
  <c r="AT9" i="33" s="1"/>
  <c r="AE8" i="33"/>
  <c r="AE9" i="33" s="1"/>
  <c r="P8" i="33"/>
  <c r="P9" i="33" s="1"/>
  <c r="P88" i="34" s="1"/>
  <c r="Q8" i="33"/>
  <c r="Q9" i="33" s="1"/>
  <c r="P90" i="34" s="1"/>
  <c r="R8" i="33"/>
  <c r="R9" i="33" s="1"/>
  <c r="C8" i="33"/>
  <c r="C9" i="33" s="1"/>
  <c r="EG8" i="33"/>
  <c r="EG9" i="33" s="1"/>
  <c r="DR8" i="33"/>
  <c r="DR9" i="33" s="1"/>
  <c r="DC8" i="33"/>
  <c r="DC9" i="33" s="1"/>
  <c r="CN8" i="33"/>
  <c r="CN9" i="33" s="1"/>
  <c r="BY8" i="33"/>
  <c r="BY9" i="33" s="1"/>
  <c r="BJ8" i="33"/>
  <c r="BJ9" i="33" s="1"/>
  <c r="E88" i="34" s="1"/>
  <c r="AO8" i="33"/>
  <c r="AO9" i="33" s="1"/>
  <c r="Z8" i="33"/>
  <c r="Z9" i="33" s="1"/>
  <c r="K8" i="33"/>
  <c r="K9" i="33" s="1"/>
  <c r="EO8" i="33"/>
  <c r="EO9" i="33" s="1"/>
  <c r="DZ8" i="33"/>
  <c r="DZ9" i="33" s="1"/>
  <c r="DK8" i="33"/>
  <c r="DK9" i="33" s="1"/>
  <c r="EG6" i="33"/>
  <c r="EG7" i="33" s="1"/>
  <c r="BJ6" i="33"/>
  <c r="BJ7" i="33" s="1"/>
  <c r="DK6" i="33"/>
  <c r="DK7" i="33" s="1"/>
  <c r="AH8" i="33"/>
  <c r="AH9" i="33" s="1"/>
  <c r="BZ8" i="33"/>
  <c r="BZ9" i="33" s="1"/>
  <c r="AV8" i="33"/>
  <c r="BB6" i="33"/>
  <c r="BB7" i="33" s="1"/>
  <c r="BC6" i="33"/>
  <c r="BC7" i="33" s="1"/>
  <c r="AH6" i="33"/>
  <c r="AH7" i="33" s="1"/>
  <c r="S6" i="33"/>
  <c r="S7" i="33" s="1"/>
  <c r="D6" i="33"/>
  <c r="D7" i="33" s="1"/>
  <c r="EH6" i="33"/>
  <c r="EH7" i="33" s="1"/>
  <c r="DS6" i="33"/>
  <c r="DS7" i="33" s="1"/>
  <c r="DD6" i="33"/>
  <c r="DD7" i="33" s="1"/>
  <c r="CO6" i="33"/>
  <c r="CO7" i="33" s="1"/>
  <c r="BZ6" i="33"/>
  <c r="BZ7" i="33" s="1"/>
  <c r="BK6" i="33"/>
  <c r="BK7" i="33" s="1"/>
  <c r="AP6" i="33"/>
  <c r="AP7" i="33" s="1"/>
  <c r="AA6" i="33"/>
  <c r="AA7" i="33" s="1"/>
  <c r="L6" i="33"/>
  <c r="L7" i="33" s="1"/>
  <c r="EP6" i="33"/>
  <c r="EP7" i="33" s="1"/>
  <c r="EA6" i="33"/>
  <c r="EA7" i="33" s="1"/>
  <c r="DL6" i="33"/>
  <c r="DL7" i="33" s="1"/>
  <c r="CW6" i="33"/>
  <c r="CW7" i="33" s="1"/>
  <c r="CF8" i="33"/>
  <c r="CF9" i="33" s="1"/>
  <c r="K91" i="34" s="1"/>
  <c r="BQ8" i="33"/>
  <c r="BQ9" i="33" s="1"/>
  <c r="L88" i="34" s="1"/>
  <c r="BB8" i="33"/>
  <c r="BB9" i="33" s="1"/>
  <c r="BC8" i="33"/>
  <c r="BC9" i="33" s="1"/>
  <c r="BD8" i="33"/>
  <c r="BD9" i="33" s="1"/>
  <c r="AI8" i="33"/>
  <c r="AI9" i="33" s="1"/>
  <c r="T8" i="33"/>
  <c r="T9" i="33" s="1"/>
  <c r="E8" i="33"/>
  <c r="E9" i="33" s="1"/>
  <c r="EI8" i="33"/>
  <c r="EI9" i="33" s="1"/>
  <c r="DT8" i="33"/>
  <c r="DT9" i="33" s="1"/>
  <c r="DE8" i="33"/>
  <c r="DE9" i="33" s="1"/>
  <c r="L96" i="34" s="1"/>
  <c r="CP8" i="33"/>
  <c r="CP9" i="33" s="1"/>
  <c r="CA8" i="33"/>
  <c r="CA9" i="33" s="1"/>
  <c r="F91" i="34" s="1"/>
  <c r="BL8" i="33"/>
  <c r="BL9" i="33" s="1"/>
  <c r="G88" i="34" s="1"/>
  <c r="AQ8" i="33"/>
  <c r="AQ9" i="33" s="1"/>
  <c r="AB8" i="33"/>
  <c r="AB9" i="33" s="1"/>
  <c r="M8" i="33"/>
  <c r="M9" i="33" s="1"/>
  <c r="EQ8" i="33"/>
  <c r="EQ9" i="33" s="1"/>
  <c r="AG6" i="33"/>
  <c r="AG7" i="33" s="1"/>
  <c r="AO6" i="33"/>
  <c r="AO7" i="33" s="1"/>
  <c r="BP8" i="33"/>
  <c r="BP9" i="33" s="1"/>
  <c r="EH8" i="33"/>
  <c r="EH9" i="33" s="1"/>
  <c r="AA8" i="33"/>
  <c r="AA9" i="33" s="1"/>
  <c r="AW8" i="33"/>
  <c r="BR6" i="33"/>
  <c r="BR7" i="33" s="1"/>
  <c r="BS6" i="33"/>
  <c r="BS7" i="33" s="1"/>
  <c r="BD6" i="33"/>
  <c r="BD7" i="33" s="1"/>
  <c r="AI6" i="33"/>
  <c r="AI7" i="33" s="1"/>
  <c r="T6" i="33"/>
  <c r="T7" i="33" s="1"/>
  <c r="E6" i="33"/>
  <c r="E7" i="33" s="1"/>
  <c r="EI6" i="33"/>
  <c r="EI7" i="33" s="1"/>
  <c r="DT6" i="33"/>
  <c r="DT7" i="33" s="1"/>
  <c r="DE6" i="33"/>
  <c r="DE7" i="33" s="1"/>
  <c r="CP6" i="33"/>
  <c r="CP7" i="33" s="1"/>
  <c r="CA6" i="33"/>
  <c r="CA7" i="33" s="1"/>
  <c r="BL6" i="33"/>
  <c r="BL7" i="33" s="1"/>
  <c r="AQ6" i="33"/>
  <c r="AQ7" i="33" s="1"/>
  <c r="AB6" i="33"/>
  <c r="AB7" i="33" s="1"/>
  <c r="M6" i="33"/>
  <c r="M7" i="33" s="1"/>
  <c r="EQ6" i="33"/>
  <c r="EQ7" i="33" s="1"/>
  <c r="EB6" i="33"/>
  <c r="EB7" i="33" s="1"/>
  <c r="DM6" i="33"/>
  <c r="DM7" i="33" s="1"/>
  <c r="CV8" i="33"/>
  <c r="CV9" i="33" s="1"/>
  <c r="CG8" i="33"/>
  <c r="CG9" i="33" s="1"/>
  <c r="BR8" i="33"/>
  <c r="BR9" i="33" s="1"/>
  <c r="E90" i="34" s="1"/>
  <c r="BS8" i="33"/>
  <c r="BS9" i="33" s="1"/>
  <c r="F90" i="34" s="1"/>
  <c r="BT8" i="33"/>
  <c r="BT9" i="33" s="1"/>
  <c r="BE8" i="33"/>
  <c r="BE9" i="33" s="1"/>
  <c r="H89" i="34" s="1"/>
  <c r="AJ8" i="33"/>
  <c r="AJ9" i="33" s="1"/>
  <c r="U8" i="33"/>
  <c r="U9" i="33" s="1"/>
  <c r="F8" i="33"/>
  <c r="F9" i="33" s="1"/>
  <c r="EJ8" i="33"/>
  <c r="EJ9" i="33" s="1"/>
  <c r="DU8" i="33"/>
  <c r="DU9" i="33" s="1"/>
  <c r="DF8" i="33"/>
  <c r="DF9" i="33" s="1"/>
  <c r="CQ8" i="33"/>
  <c r="CQ9" i="33" s="1"/>
  <c r="CB8" i="33"/>
  <c r="CB9" i="33" s="1"/>
  <c r="G91" i="34" s="1"/>
  <c r="BM8" i="33"/>
  <c r="BM9" i="33" s="1"/>
  <c r="H88" i="34" s="1"/>
  <c r="AR8" i="33"/>
  <c r="AR9" i="33" s="1"/>
  <c r="AC8" i="33"/>
  <c r="AC9" i="33" s="1"/>
  <c r="C6" i="33"/>
  <c r="C7" i="33" s="1"/>
  <c r="Z6" i="33"/>
  <c r="Z7" i="33" s="1"/>
  <c r="CG6" i="33"/>
  <c r="CG7" i="33" s="1"/>
  <c r="D8" i="33"/>
  <c r="D9" i="33" s="1"/>
  <c r="AP8" i="33"/>
  <c r="AP9" i="33" s="1"/>
  <c r="K34" i="9"/>
  <c r="L34" i="9"/>
  <c r="C132" i="17"/>
  <c r="I26" i="34"/>
  <c r="P55" i="34"/>
  <c r="P56" i="34"/>
  <c r="EJ3" i="33"/>
  <c r="EJ4" i="33" s="1"/>
  <c r="DP3" i="33"/>
  <c r="DP4" i="33" s="1"/>
  <c r="G95" i="34"/>
  <c r="B133" i="6"/>
  <c r="EC3" i="33"/>
  <c r="EC4" i="33" s="1"/>
  <c r="AN124" i="33"/>
  <c r="EB3" i="33"/>
  <c r="EB4" i="33" s="1"/>
  <c r="DU3" i="33"/>
  <c r="DU4" i="33" s="1"/>
  <c r="N3" i="33"/>
  <c r="N4" i="33" s="1"/>
  <c r="L133" i="17"/>
  <c r="Z125" i="33" s="1"/>
  <c r="EG3" i="33"/>
  <c r="EG4" i="33" s="1"/>
  <c r="J89" i="34"/>
  <c r="CB3" i="33"/>
  <c r="CB4" i="33" s="1"/>
  <c r="D145" i="2"/>
  <c r="I34" i="9"/>
  <c r="AO3" i="33"/>
  <c r="AO4" i="33" s="1"/>
  <c r="K3" i="33"/>
  <c r="K4" i="33" s="1"/>
  <c r="ER3" i="33"/>
  <c r="ER4" i="33" s="1"/>
  <c r="DD3" i="33"/>
  <c r="DD4" i="33" s="1"/>
  <c r="BS3" i="33"/>
  <c r="BS4" i="33" s="1"/>
  <c r="CZ3" i="33"/>
  <c r="CZ4" i="33" s="1"/>
  <c r="D5" i="34"/>
  <c r="J3" i="33"/>
  <c r="J4" i="33" s="1"/>
  <c r="AH3" i="33"/>
  <c r="AH4" i="33" s="1"/>
  <c r="AN3" i="33"/>
  <c r="AN4" i="33" s="1"/>
  <c r="CH3" i="33"/>
  <c r="CH4" i="33" s="1"/>
  <c r="EP3" i="33"/>
  <c r="EP4" i="33" s="1"/>
  <c r="DI3" i="33"/>
  <c r="DI4" i="33" s="1"/>
  <c r="DF3" i="33"/>
  <c r="DF4" i="33" s="1"/>
  <c r="DL3" i="33"/>
  <c r="DL4" i="33" s="1"/>
  <c r="BZ3" i="33"/>
  <c r="BZ4" i="33" s="1"/>
  <c r="CD3" i="33"/>
  <c r="CD4" i="33" s="1"/>
  <c r="BN3" i="33"/>
  <c r="BN4" i="33" s="1"/>
  <c r="CU3" i="33"/>
  <c r="CU4" i="33" s="1"/>
  <c r="BG3" i="33"/>
  <c r="BG4" i="33" s="1"/>
  <c r="AC3" i="33"/>
  <c r="AC4" i="33" s="1"/>
  <c r="BO3" i="33"/>
  <c r="BO4" i="33" s="1"/>
  <c r="EL3" i="33"/>
  <c r="EL4" i="33" s="1"/>
  <c r="BY3" i="33"/>
  <c r="BY4" i="33" s="1"/>
  <c r="DA3" i="33"/>
  <c r="DA4" i="33" s="1"/>
  <c r="BU3" i="33"/>
  <c r="BU4" i="33" s="1"/>
  <c r="CC3" i="33"/>
  <c r="CC4" i="33" s="1"/>
  <c r="EO3" i="33"/>
  <c r="EO4" i="33" s="1"/>
  <c r="BV3" i="33"/>
  <c r="BV4" i="33" s="1"/>
  <c r="BX3" i="33"/>
  <c r="BX4" i="33" s="1"/>
  <c r="BR3" i="33"/>
  <c r="BR4" i="33" s="1"/>
  <c r="D3" i="33"/>
  <c r="D4" i="33" s="1"/>
  <c r="EN3" i="33"/>
  <c r="EN4" i="33" s="1"/>
  <c r="BW3" i="33"/>
  <c r="BW4" i="33" s="1"/>
  <c r="BT3" i="33"/>
  <c r="BT4" i="33" s="1"/>
  <c r="DE3" i="33"/>
  <c r="DE4" i="33" s="1"/>
  <c r="CA3" i="33"/>
  <c r="CA4" i="33" s="1"/>
  <c r="CE3" i="33"/>
  <c r="CE4" i="33" s="1"/>
  <c r="AG3" i="33"/>
  <c r="AG4" i="33" s="1"/>
  <c r="AF3" i="33"/>
  <c r="AF4" i="33" s="1"/>
  <c r="AK3" i="33"/>
  <c r="AK4" i="33" s="1"/>
  <c r="CM3" i="33"/>
  <c r="CM4" i="33" s="1"/>
  <c r="BF3" i="33"/>
  <c r="BF4" i="33" s="1"/>
  <c r="E3" i="33"/>
  <c r="E4" i="33" s="1"/>
  <c r="L94" i="34"/>
  <c r="DM3" i="33"/>
  <c r="DM4" i="33" s="1"/>
  <c r="CN3" i="33"/>
  <c r="CN4" i="33" s="1"/>
  <c r="DH3" i="33"/>
  <c r="DH4" i="33" s="1"/>
  <c r="DB3" i="33"/>
  <c r="DB4" i="33" s="1"/>
  <c r="A145" i="2"/>
  <c r="A133" i="6"/>
  <c r="AE3" i="33"/>
  <c r="AE4" i="33" s="1"/>
  <c r="CW3" i="33"/>
  <c r="CW4" i="33" s="1"/>
  <c r="CV3" i="33"/>
  <c r="CV4" i="33" s="1"/>
  <c r="CS3" i="33"/>
  <c r="CS4" i="33" s="1"/>
  <c r="G3" i="33"/>
  <c r="G4" i="33" s="1"/>
  <c r="C94" i="34"/>
  <c r="F89" i="34"/>
  <c r="CX3" i="33"/>
  <c r="CX4" i="33" s="1"/>
  <c r="DJ3" i="33"/>
  <c r="DJ4" i="33" s="1"/>
  <c r="BC3" i="33"/>
  <c r="BC4" i="33" s="1"/>
  <c r="CI3" i="33"/>
  <c r="CI4" i="33" s="1"/>
  <c r="U3" i="33"/>
  <c r="U4" i="33" s="1"/>
  <c r="J96" i="34"/>
  <c r="F94" i="34"/>
  <c r="E94" i="34"/>
  <c r="C88" i="34"/>
  <c r="ES3" i="33"/>
  <c r="ES4" i="33" s="1"/>
  <c r="EM3" i="33"/>
  <c r="EM4" i="33" s="1"/>
  <c r="CY3" i="33"/>
  <c r="CY4" i="33" s="1"/>
  <c r="L3" i="33"/>
  <c r="L4" i="33" s="1"/>
  <c r="BJ3" i="33"/>
  <c r="BJ4" i="33" s="1"/>
  <c r="AJ3" i="33"/>
  <c r="AJ4" i="33" s="1"/>
  <c r="DC3" i="33"/>
  <c r="DC4" i="33" s="1"/>
  <c r="CF3" i="33"/>
  <c r="CF4" i="33" s="1"/>
  <c r="BE3" i="33"/>
  <c r="BE4" i="33" s="1"/>
  <c r="AS3" i="33"/>
  <c r="AS4" i="33" s="1"/>
  <c r="CL3" i="33"/>
  <c r="CL4" i="33" s="1"/>
  <c r="CP3" i="33"/>
  <c r="CP4" i="33" s="1"/>
  <c r="EQ3" i="33"/>
  <c r="EQ4" i="33" s="1"/>
  <c r="CR3" i="33"/>
  <c r="CR4" i="33" s="1"/>
  <c r="BH3" i="33"/>
  <c r="BH4" i="33" s="1"/>
  <c r="BM3" i="33"/>
  <c r="BM4" i="33" s="1"/>
  <c r="BQ3" i="33"/>
  <c r="BQ4" i="33" s="1"/>
  <c r="K97" i="34"/>
  <c r="J97" i="34"/>
  <c r="P91" i="34"/>
  <c r="DG3" i="33"/>
  <c r="DG4" i="33" s="1"/>
  <c r="BL3" i="33"/>
  <c r="BL4" i="33" s="1"/>
  <c r="AT3" i="33"/>
  <c r="AT4" i="33" s="1"/>
  <c r="E89" i="34"/>
  <c r="J91" i="34"/>
  <c r="J95" i="34"/>
  <c r="C80" i="34"/>
  <c r="K96" i="34"/>
  <c r="H94" i="34"/>
  <c r="L97" i="34"/>
  <c r="CQ3" i="33"/>
  <c r="CQ4" i="33" s="1"/>
  <c r="K89" i="34"/>
  <c r="E91" i="34"/>
  <c r="L91" i="34"/>
  <c r="AA3" i="33"/>
  <c r="AA4" i="33" s="1"/>
  <c r="AL3" i="33"/>
  <c r="AL4" i="33" s="1"/>
  <c r="CT3" i="33"/>
  <c r="CT4" i="33" s="1"/>
  <c r="I97" i="34"/>
  <c r="I96" i="34"/>
  <c r="E97" i="34"/>
  <c r="J94" i="34"/>
  <c r="J88" i="34"/>
  <c r="G94" i="34"/>
  <c r="DK3" i="33"/>
  <c r="DK4" i="33" s="1"/>
  <c r="BP3" i="33"/>
  <c r="BP4" i="33" s="1"/>
  <c r="P92" i="34"/>
  <c r="G90" i="34"/>
  <c r="I95" i="34"/>
  <c r="H91" i="34"/>
  <c r="DW3" i="33"/>
  <c r="DW4" i="33" s="1"/>
  <c r="EI3" i="33"/>
  <c r="EI4" i="33" s="1"/>
  <c r="CG3" i="33"/>
  <c r="CG4" i="33" s="1"/>
  <c r="CK3" i="33"/>
  <c r="CK4" i="33" s="1"/>
  <c r="AD3" i="33"/>
  <c r="AD4" i="33" s="1"/>
  <c r="CJ3" i="33"/>
  <c r="CJ4" i="33" s="1"/>
  <c r="K95" i="34"/>
  <c r="G97" i="34"/>
  <c r="CO3" i="33"/>
  <c r="CO4" i="33" s="1"/>
  <c r="B6" i="33"/>
  <c r="B7" i="33" s="1"/>
  <c r="G96" i="34"/>
  <c r="F88" i="34"/>
  <c r="F95" i="34"/>
  <c r="I89" i="34"/>
  <c r="Z3" i="33"/>
  <c r="Z4" i="33" s="1"/>
  <c r="P3" i="33"/>
  <c r="P4" i="33" s="1"/>
  <c r="W3" i="33"/>
  <c r="W4" i="33" s="1"/>
  <c r="DN3" i="33"/>
  <c r="DN4" i="33" s="1"/>
  <c r="AU3" i="33"/>
  <c r="AU4" i="33" s="1"/>
  <c r="EK3" i="33"/>
  <c r="EK4" i="33" s="1"/>
  <c r="AB3" i="33"/>
  <c r="AB4" i="33" s="1"/>
  <c r="BD3" i="33"/>
  <c r="BD4" i="33" s="1"/>
  <c r="E96" i="34"/>
  <c r="ED3" i="33"/>
  <c r="ED4" i="33" s="1"/>
  <c r="DT3" i="33"/>
  <c r="DT4" i="33" s="1"/>
  <c r="EF3" i="33"/>
  <c r="EF4" i="33" s="1"/>
  <c r="DS3" i="33"/>
  <c r="DS4" i="33" s="1"/>
  <c r="AQ3" i="33"/>
  <c r="AQ4" i="33" s="1"/>
  <c r="BI3" i="33"/>
  <c r="BI4" i="33" s="1"/>
  <c r="F97" i="34"/>
  <c r="K88" i="34"/>
  <c r="K90" i="34"/>
  <c r="J90" i="34"/>
  <c r="I88" i="34"/>
  <c r="H90" i="34"/>
  <c r="O3" i="33"/>
  <c r="O4" i="33" s="1"/>
  <c r="DZ3" i="33"/>
  <c r="DZ4" i="33" s="1"/>
  <c r="AP3" i="33"/>
  <c r="AP4" i="33" s="1"/>
  <c r="AI3" i="33"/>
  <c r="AI4" i="33" s="1"/>
  <c r="X3" i="33"/>
  <c r="X4" i="33" s="1"/>
  <c r="M3" i="33"/>
  <c r="M4" i="33" s="1"/>
  <c r="I91" i="34"/>
  <c r="E95" i="34"/>
  <c r="L90" i="34"/>
  <c r="K94" i="34"/>
  <c r="C3" i="33"/>
  <c r="C4" i="33" s="1"/>
  <c r="Q3" i="33"/>
  <c r="Q4" i="33" s="1"/>
  <c r="EE3" i="33"/>
  <c r="EE4" i="33" s="1"/>
  <c r="EA3" i="33"/>
  <c r="EA4" i="33" s="1"/>
  <c r="DQ3" i="33"/>
  <c r="DQ4" i="33" s="1"/>
  <c r="A132" i="17"/>
  <c r="I3" i="33"/>
  <c r="I4" i="33" s="1"/>
  <c r="H96" i="34"/>
  <c r="I90" i="34"/>
  <c r="BB3" i="33"/>
  <c r="BB4" i="33" s="1"/>
  <c r="L89" i="34"/>
  <c r="Y3" i="33"/>
  <c r="Y4" i="33" s="1"/>
  <c r="DO3" i="33"/>
  <c r="DO4" i="33" s="1"/>
  <c r="F3" i="33"/>
  <c r="F4" i="33" s="1"/>
  <c r="H3" i="33"/>
  <c r="H4" i="33" s="1"/>
  <c r="BK3" i="33"/>
  <c r="BK4" i="33" s="1"/>
  <c r="G89" i="34"/>
  <c r="F96" i="34"/>
  <c r="DV3" i="33"/>
  <c r="DV4" i="33" s="1"/>
  <c r="T3" i="33"/>
  <c r="T4" i="33" s="1"/>
  <c r="AM3" i="33"/>
  <c r="AM4" i="33" s="1"/>
  <c r="DX3" i="33"/>
  <c r="DX4" i="33" s="1"/>
  <c r="H95" i="34"/>
  <c r="A146" i="2"/>
  <c r="A134" i="6"/>
  <c r="S21" i="2" l="1"/>
  <c r="S22" i="2" s="1"/>
  <c r="AN21" i="2"/>
  <c r="AN22" i="2" s="1"/>
  <c r="AC21" i="2"/>
  <c r="AC22" i="2" s="1"/>
  <c r="R21" i="2"/>
  <c r="R22" i="2" s="1"/>
  <c r="I21" i="2"/>
  <c r="I22" i="2" s="1"/>
  <c r="E47" i="34" s="1"/>
  <c r="L21" i="2"/>
  <c r="L22" i="2" s="1"/>
  <c r="H47" i="34" s="1"/>
  <c r="Q21" i="2"/>
  <c r="Q22" i="2" s="1"/>
  <c r="AB21" i="2"/>
  <c r="AB22" i="2" s="1"/>
  <c r="M48" i="34" s="1"/>
  <c r="O21" i="2"/>
  <c r="O22" i="2" s="1"/>
  <c r="W21" i="2"/>
  <c r="W22" i="2" s="1"/>
  <c r="T21" i="2"/>
  <c r="T22" i="2" s="1"/>
  <c r="E48" i="34" s="1"/>
  <c r="P21" i="2"/>
  <c r="P22" i="2" s="1"/>
  <c r="N21" i="2"/>
  <c r="N22" i="2" s="1"/>
  <c r="M21" i="2"/>
  <c r="M22" i="2" s="1"/>
  <c r="I47" i="34" s="1"/>
  <c r="J21" i="2"/>
  <c r="J22" i="2" s="1"/>
  <c r="K21" i="2"/>
  <c r="K22" i="2" s="1"/>
  <c r="G47" i="34" s="1"/>
  <c r="AL21" i="2"/>
  <c r="AL22" i="2" s="1"/>
  <c r="AG21" i="2"/>
  <c r="AG22" i="2" s="1"/>
  <c r="AK21" i="2"/>
  <c r="AK22" i="2" s="1"/>
  <c r="AE21" i="2"/>
  <c r="AE22" i="2" s="1"/>
  <c r="Z21" i="2"/>
  <c r="Z22" i="2" s="1"/>
  <c r="X21" i="2"/>
  <c r="X22" i="2" s="1"/>
  <c r="I48" i="34" s="1"/>
  <c r="AJ21" i="2"/>
  <c r="AJ22" i="2" s="1"/>
  <c r="Y21" i="2"/>
  <c r="Y22" i="2" s="1"/>
  <c r="J48" i="34" s="1"/>
  <c r="V21" i="2"/>
  <c r="V22" i="2" s="1"/>
  <c r="AI21" i="2"/>
  <c r="AI22" i="2" s="1"/>
  <c r="AF21" i="2"/>
  <c r="AF22" i="2" s="1"/>
  <c r="AM21" i="2"/>
  <c r="AM22" i="2" s="1"/>
  <c r="U21" i="2"/>
  <c r="U22" i="2" s="1"/>
  <c r="F48" i="34" s="1"/>
  <c r="AA21" i="2"/>
  <c r="AA22" i="2" s="1"/>
  <c r="L48" i="34" s="1"/>
  <c r="AH21" i="2"/>
  <c r="AH22" i="2" s="1"/>
  <c r="AD21" i="2"/>
  <c r="AD22" i="2" s="1"/>
  <c r="H21" i="2"/>
  <c r="H22" i="2" s="1"/>
  <c r="C46" i="34" s="1"/>
  <c r="AG23" i="2"/>
  <c r="AG24" i="2" s="1"/>
  <c r="H67" i="34" s="1"/>
  <c r="J23" i="2"/>
  <c r="J24" i="2" s="1"/>
  <c r="F65" i="34" s="1"/>
  <c r="I25" i="2"/>
  <c r="I26" i="2" s="1"/>
  <c r="E83" i="34" s="1"/>
  <c r="AF25" i="2"/>
  <c r="AF26" i="2" s="1"/>
  <c r="G85" i="34" s="1"/>
  <c r="K23" i="2"/>
  <c r="K24" i="2" s="1"/>
  <c r="H23" i="2"/>
  <c r="H24" i="2" s="1"/>
  <c r="C64" i="34" s="1"/>
  <c r="Z23" i="2"/>
  <c r="Z24" i="2" s="1"/>
  <c r="Y25" i="2"/>
  <c r="Y26" i="2" s="1"/>
  <c r="J84" i="34" s="1"/>
  <c r="R25" i="2"/>
  <c r="R26" i="2" s="1"/>
  <c r="AA23" i="2"/>
  <c r="AA24" i="2" s="1"/>
  <c r="R23" i="2"/>
  <c r="R24" i="2" s="1"/>
  <c r="S25" i="2"/>
  <c r="S26" i="2" s="1"/>
  <c r="H25" i="2"/>
  <c r="H26" i="2" s="1"/>
  <c r="C82" i="34" s="1"/>
  <c r="AH25" i="2"/>
  <c r="AH26" i="2" s="1"/>
  <c r="I85" i="34" s="1"/>
  <c r="L23" i="2"/>
  <c r="L24" i="2" s="1"/>
  <c r="H65" i="34" s="1"/>
  <c r="AH23" i="2"/>
  <c r="AH24" i="2" s="1"/>
  <c r="I67" i="34" s="1"/>
  <c r="AI25" i="2"/>
  <c r="AI26" i="2" s="1"/>
  <c r="J85" i="34" s="1"/>
  <c r="J25" i="2"/>
  <c r="J26" i="2" s="1"/>
  <c r="F83" i="34" s="1"/>
  <c r="AB23" i="2"/>
  <c r="AB24" i="2" s="1"/>
  <c r="S23" i="2"/>
  <c r="S24" i="2" s="1"/>
  <c r="AG25" i="2"/>
  <c r="AG26" i="2" s="1"/>
  <c r="Z25" i="2"/>
  <c r="Z26" i="2" s="1"/>
  <c r="K84" i="34" s="1"/>
  <c r="M23" i="2"/>
  <c r="M24" i="2" s="1"/>
  <c r="AI23" i="2"/>
  <c r="AI24" i="2" s="1"/>
  <c r="J67" i="34" s="1"/>
  <c r="T25" i="2"/>
  <c r="T26" i="2" s="1"/>
  <c r="E84" i="34" s="1"/>
  <c r="K25" i="2"/>
  <c r="K26" i="2" s="1"/>
  <c r="AC23" i="2"/>
  <c r="AC24" i="2" s="1"/>
  <c r="T23" i="2"/>
  <c r="T24" i="2" s="1"/>
  <c r="E66" i="34" s="1"/>
  <c r="AJ25" i="2"/>
  <c r="AJ26" i="2" s="1"/>
  <c r="K85" i="34" s="1"/>
  <c r="AA25" i="2"/>
  <c r="AA26" i="2" s="1"/>
  <c r="L84" i="34" s="1"/>
  <c r="N23" i="2"/>
  <c r="N24" i="2" s="1"/>
  <c r="J65" i="34" s="1"/>
  <c r="AJ23" i="2"/>
  <c r="AJ24" i="2" s="1"/>
  <c r="K67" i="34" s="1"/>
  <c r="U25" i="2"/>
  <c r="U26" i="2" s="1"/>
  <c r="F84" i="34" s="1"/>
  <c r="L25" i="2"/>
  <c r="L26" i="2" s="1"/>
  <c r="P25" i="2"/>
  <c r="P26" i="2" s="1"/>
  <c r="AD23" i="2"/>
  <c r="AD24" i="2" s="1"/>
  <c r="E67" i="34" s="1"/>
  <c r="U23" i="2"/>
  <c r="U24" i="2" s="1"/>
  <c r="F66" i="34" s="1"/>
  <c r="AK25" i="2"/>
  <c r="AK26" i="2" s="1"/>
  <c r="L85" i="34" s="1"/>
  <c r="AB25" i="2"/>
  <c r="AB26" i="2" s="1"/>
  <c r="M84" i="34" s="1"/>
  <c r="O23" i="2"/>
  <c r="O24" i="2" s="1"/>
  <c r="K65" i="34" s="1"/>
  <c r="AK23" i="2"/>
  <c r="AK24" i="2" s="1"/>
  <c r="L67" i="34" s="1"/>
  <c r="V25" i="2"/>
  <c r="V26" i="2" s="1"/>
  <c r="M25" i="2"/>
  <c r="M26" i="2" s="1"/>
  <c r="AE23" i="2"/>
  <c r="AE24" i="2" s="1"/>
  <c r="F67" i="34" s="1"/>
  <c r="V23" i="2"/>
  <c r="V24" i="2" s="1"/>
  <c r="AL25" i="2"/>
  <c r="AL26" i="2" s="1"/>
  <c r="M85" i="34" s="1"/>
  <c r="AC25" i="2"/>
  <c r="AC26" i="2" s="1"/>
  <c r="N84" i="34" s="1"/>
  <c r="Y23" i="2"/>
  <c r="Y24" i="2" s="1"/>
  <c r="J66" i="34" s="1"/>
  <c r="AL23" i="2"/>
  <c r="AL24" i="2" s="1"/>
  <c r="M67" i="34" s="1"/>
  <c r="Q25" i="2"/>
  <c r="Q26" i="2" s="1"/>
  <c r="N25" i="2"/>
  <c r="N26" i="2" s="1"/>
  <c r="J83" i="34" s="1"/>
  <c r="AN25" i="2"/>
  <c r="AN26" i="2" s="1"/>
  <c r="P23" i="2"/>
  <c r="P24" i="2" s="1"/>
  <c r="L65" i="34" s="1"/>
  <c r="W23" i="2"/>
  <c r="W24" i="2" s="1"/>
  <c r="H66" i="34" s="1"/>
  <c r="W25" i="2"/>
  <c r="W26" i="2" s="1"/>
  <c r="AD25" i="2"/>
  <c r="AD26" i="2" s="1"/>
  <c r="E85" i="34" s="1"/>
  <c r="AF23" i="2"/>
  <c r="AF24" i="2" s="1"/>
  <c r="G67" i="34" s="1"/>
  <c r="AM23" i="2"/>
  <c r="AM24" i="2" s="1"/>
  <c r="N67" i="34" s="1"/>
  <c r="AM25" i="2"/>
  <c r="AM26" i="2" s="1"/>
  <c r="O25" i="2"/>
  <c r="O26" i="2" s="1"/>
  <c r="Q23" i="2"/>
  <c r="Q24" i="2" s="1"/>
  <c r="M65" i="34" s="1"/>
  <c r="I23" i="2"/>
  <c r="I24" i="2" s="1"/>
  <c r="E65" i="34" s="1"/>
  <c r="X23" i="2"/>
  <c r="X24" i="2" s="1"/>
  <c r="I66" i="34" s="1"/>
  <c r="X25" i="2"/>
  <c r="X26" i="2" s="1"/>
  <c r="I84" i="34" s="1"/>
  <c r="AE25" i="2"/>
  <c r="AE26" i="2" s="1"/>
  <c r="F85" i="34" s="1"/>
  <c r="AN23" i="2"/>
  <c r="AN24" i="2" s="1"/>
  <c r="B82" i="34"/>
  <c r="B66" i="34"/>
  <c r="C52" i="34"/>
  <c r="J54" i="34"/>
  <c r="H52" i="34"/>
  <c r="F68" i="34"/>
  <c r="F53" i="34"/>
  <c r="G61" i="34"/>
  <c r="G68" i="34"/>
  <c r="I55" i="34"/>
  <c r="L52" i="34"/>
  <c r="K53" i="34"/>
  <c r="L68" i="34"/>
  <c r="I61" i="34"/>
  <c r="K59" i="34"/>
  <c r="E5" i="34"/>
  <c r="E55" i="34"/>
  <c r="F59" i="34"/>
  <c r="F58" i="34"/>
  <c r="G58" i="34"/>
  <c r="E60" i="34"/>
  <c r="L61" i="34"/>
  <c r="E54" i="34"/>
  <c r="K61" i="34"/>
  <c r="F15" i="34"/>
  <c r="I52" i="34"/>
  <c r="L27" i="34"/>
  <c r="G53" i="34"/>
  <c r="L59" i="34"/>
  <c r="G52" i="34"/>
  <c r="J68" i="34"/>
  <c r="K54" i="34"/>
  <c r="E61" i="34"/>
  <c r="I60" i="34"/>
  <c r="D9" i="34"/>
  <c r="I58" i="34"/>
  <c r="F61" i="34"/>
  <c r="I54" i="34"/>
  <c r="H61" i="34"/>
  <c r="D32" i="34"/>
  <c r="D30" i="34"/>
  <c r="D28" i="34"/>
  <c r="D12" i="34"/>
  <c r="H68" i="34"/>
  <c r="I68" i="34"/>
  <c r="F60" i="34"/>
  <c r="N5" i="34"/>
  <c r="D23" i="34"/>
  <c r="E58" i="34"/>
  <c r="I53" i="34"/>
  <c r="H55" i="34"/>
  <c r="E59" i="34"/>
  <c r="E53" i="34"/>
  <c r="G59" i="34"/>
  <c r="I59" i="34"/>
  <c r="J59" i="34"/>
  <c r="H54" i="34"/>
  <c r="D31" i="34"/>
  <c r="G55" i="34"/>
  <c r="D19" i="34"/>
  <c r="L26" i="34"/>
  <c r="C58" i="34"/>
  <c r="D27" i="34"/>
  <c r="H60" i="34"/>
  <c r="F23" i="34"/>
  <c r="L53" i="34"/>
  <c r="P52" i="34"/>
  <c r="H59" i="34"/>
  <c r="K52" i="34"/>
  <c r="H53" i="34"/>
  <c r="H58" i="34"/>
  <c r="F20" i="34"/>
  <c r="L54" i="34"/>
  <c r="F13" i="34"/>
  <c r="F12" i="34"/>
  <c r="D34" i="34"/>
  <c r="N8" i="34"/>
  <c r="L55" i="34"/>
  <c r="J61" i="34"/>
  <c r="K55" i="34"/>
  <c r="K58" i="34"/>
  <c r="F22" i="34"/>
  <c r="E68" i="34"/>
  <c r="K5" i="34"/>
  <c r="F24" i="34"/>
  <c r="J60" i="34"/>
  <c r="L58" i="34"/>
  <c r="J55" i="34"/>
  <c r="J52" i="34"/>
  <c r="G60" i="34"/>
  <c r="D26" i="34"/>
  <c r="F19" i="34"/>
  <c r="F55" i="34"/>
  <c r="D10" i="34"/>
  <c r="F54" i="34"/>
  <c r="P54" i="34"/>
  <c r="D33" i="34"/>
  <c r="F52" i="34"/>
  <c r="E52" i="34"/>
  <c r="L60" i="34"/>
  <c r="J53" i="34"/>
  <c r="K60" i="34"/>
  <c r="F17" i="34"/>
  <c r="C44" i="34"/>
  <c r="F16" i="34"/>
  <c r="D16" i="34"/>
  <c r="G54" i="34"/>
  <c r="J58" i="34"/>
  <c r="K68" i="34"/>
  <c r="B44" i="34"/>
  <c r="L76" i="34"/>
  <c r="F70" i="34"/>
  <c r="K72" i="34"/>
  <c r="G77" i="34"/>
  <c r="P72" i="34"/>
  <c r="H72" i="34"/>
  <c r="L77" i="34"/>
  <c r="I73" i="34"/>
  <c r="L72" i="34"/>
  <c r="L79" i="34"/>
  <c r="G78" i="34"/>
  <c r="P70" i="34"/>
  <c r="E76" i="34"/>
  <c r="F79" i="34"/>
  <c r="E73" i="34"/>
  <c r="J78" i="34"/>
  <c r="J77" i="34"/>
  <c r="G71" i="34"/>
  <c r="J73" i="34"/>
  <c r="F77" i="34"/>
  <c r="I76" i="34"/>
  <c r="K79" i="34"/>
  <c r="L78" i="34"/>
  <c r="G72" i="34"/>
  <c r="H79" i="34"/>
  <c r="K70" i="34"/>
  <c r="E71" i="34"/>
  <c r="L71" i="34"/>
  <c r="K73" i="34"/>
  <c r="J71" i="34"/>
  <c r="L73" i="34"/>
  <c r="E79" i="34"/>
  <c r="C70" i="34"/>
  <c r="F78" i="34"/>
  <c r="I77" i="34"/>
  <c r="G73" i="34"/>
  <c r="J79" i="34"/>
  <c r="C62" i="34"/>
  <c r="H71" i="34"/>
  <c r="I72" i="34"/>
  <c r="E70" i="34"/>
  <c r="H70" i="34"/>
  <c r="K71" i="34"/>
  <c r="C76" i="34"/>
  <c r="H78" i="34"/>
  <c r="L70" i="34"/>
  <c r="J70" i="34"/>
  <c r="H73" i="34"/>
  <c r="E78" i="34"/>
  <c r="G79" i="34"/>
  <c r="I71" i="34"/>
  <c r="P73" i="34"/>
  <c r="H77" i="34"/>
  <c r="E77" i="34"/>
  <c r="F72" i="34"/>
  <c r="E72" i="34"/>
  <c r="I79" i="34"/>
  <c r="I70" i="34"/>
  <c r="J72" i="34"/>
  <c r="K78" i="34"/>
  <c r="I78" i="34"/>
  <c r="F73" i="34"/>
  <c r="F71" i="34"/>
  <c r="K76" i="34"/>
  <c r="H76" i="34"/>
  <c r="B62" i="34"/>
  <c r="G70" i="34"/>
  <c r="J76" i="34"/>
  <c r="K77" i="34"/>
  <c r="G76" i="34"/>
  <c r="P74" i="34"/>
  <c r="F76" i="34"/>
  <c r="O18" i="6"/>
  <c r="F18" i="6"/>
  <c r="F8" i="34" s="1"/>
  <c r="V18" i="6"/>
  <c r="L18" i="6"/>
  <c r="N18" i="6"/>
  <c r="I18" i="6"/>
  <c r="I8" i="34" s="1"/>
  <c r="H18" i="6"/>
  <c r="H8" i="34" s="1"/>
  <c r="M18" i="6"/>
  <c r="D18" i="6"/>
  <c r="D8" i="34" s="1"/>
  <c r="T18" i="6"/>
  <c r="P18" i="6"/>
  <c r="G18" i="6"/>
  <c r="G8" i="34" s="1"/>
  <c r="K18" i="6"/>
  <c r="E18" i="6"/>
  <c r="E8" i="34" s="1"/>
  <c r="R18" i="6"/>
  <c r="K8" i="34" s="1"/>
  <c r="U18" i="6"/>
  <c r="B22" i="2"/>
  <c r="B64" i="34"/>
  <c r="AJ145" i="2"/>
  <c r="AE145" i="2"/>
  <c r="AK145" i="2"/>
  <c r="AM145" i="2"/>
  <c r="AH145" i="2"/>
  <c r="AI145" i="2"/>
  <c r="AL145" i="2"/>
  <c r="AD145" i="2"/>
  <c r="AG145" i="2"/>
  <c r="AF145" i="2"/>
  <c r="I17" i="17"/>
  <c r="M17" i="1" s="1"/>
  <c r="I16" i="17"/>
  <c r="M15" i="1" s="1"/>
  <c r="I18" i="17"/>
  <c r="M19" i="1" s="1"/>
  <c r="M17" i="17"/>
  <c r="Q17" i="1" s="1"/>
  <c r="H18" i="17"/>
  <c r="L19" i="1" s="1"/>
  <c r="G18" i="17"/>
  <c r="K19" i="1" s="1"/>
  <c r="C17" i="17"/>
  <c r="G18" i="1" s="1"/>
  <c r="D17" i="17"/>
  <c r="H17" i="1" s="1"/>
  <c r="F17" i="17"/>
  <c r="J17" i="1" s="1"/>
  <c r="J16" i="17"/>
  <c r="N15" i="1" s="1"/>
  <c r="H17" i="17"/>
  <c r="L17" i="1" s="1"/>
  <c r="K132" i="17"/>
  <c r="Y124" i="33" s="1"/>
  <c r="F16" i="17"/>
  <c r="J15" i="1" s="1"/>
  <c r="F18" i="17"/>
  <c r="J19" i="1" s="1"/>
  <c r="G17" i="17"/>
  <c r="K17" i="1" s="1"/>
  <c r="B18" i="17"/>
  <c r="G19" i="1" s="1"/>
  <c r="E17" i="17"/>
  <c r="I17" i="1" s="1"/>
  <c r="K17" i="17"/>
  <c r="O17" i="1" s="1"/>
  <c r="J18" i="17"/>
  <c r="N19" i="1" s="1"/>
  <c r="C16" i="17"/>
  <c r="G16" i="1" s="1"/>
  <c r="L132" i="17"/>
  <c r="Z124" i="33" s="1"/>
  <c r="M18" i="17"/>
  <c r="Q19" i="1" s="1"/>
  <c r="K18" i="17"/>
  <c r="O19" i="1" s="1"/>
  <c r="J17" i="17"/>
  <c r="N17" i="1" s="1"/>
  <c r="B17" i="17"/>
  <c r="G17" i="1" s="1"/>
  <c r="D16" i="17"/>
  <c r="H15" i="1" s="1"/>
  <c r="L16" i="17"/>
  <c r="P15" i="1" s="1"/>
  <c r="D18" i="17"/>
  <c r="H19" i="1" s="1"/>
  <c r="G16" i="17"/>
  <c r="K15" i="1" s="1"/>
  <c r="K16" i="17"/>
  <c r="O15" i="1" s="1"/>
  <c r="E18" i="17"/>
  <c r="I19" i="1" s="1"/>
  <c r="E16" i="17"/>
  <c r="I15" i="1" s="1"/>
  <c r="H16" i="17"/>
  <c r="L15" i="1" s="1"/>
  <c r="C18" i="17"/>
  <c r="G20" i="1" s="1"/>
  <c r="L17" i="17"/>
  <c r="P17" i="1" s="1"/>
  <c r="B16" i="17"/>
  <c r="G15" i="1" s="1"/>
  <c r="M16" i="17"/>
  <c r="Q15" i="1" s="1"/>
  <c r="L18" i="17"/>
  <c r="P19" i="1" s="1"/>
  <c r="J47" i="34"/>
  <c r="G48" i="34"/>
  <c r="I65" i="34"/>
  <c r="N83" i="34"/>
  <c r="G65" i="34"/>
  <c r="N48" i="34"/>
  <c r="L47" i="34"/>
  <c r="M47" i="34"/>
  <c r="H84" i="34"/>
  <c r="M66" i="34"/>
  <c r="G66" i="34"/>
  <c r="K66" i="34"/>
  <c r="G83" i="34"/>
  <c r="N65" i="34"/>
  <c r="I83" i="34"/>
  <c r="N47" i="34"/>
  <c r="K48" i="34"/>
  <c r="L83" i="34"/>
  <c r="K47" i="34"/>
  <c r="N66" i="34"/>
  <c r="N85" i="34"/>
  <c r="H85" i="34"/>
  <c r="G84" i="34"/>
  <c r="F47" i="34"/>
  <c r="M83" i="34"/>
  <c r="H83" i="34"/>
  <c r="H48" i="34"/>
  <c r="K83" i="34"/>
  <c r="L66" i="34"/>
  <c r="R28" i="2" l="1"/>
  <c r="R29" i="2" s="1"/>
  <c r="I28" i="2"/>
  <c r="I29" i="2" s="1"/>
  <c r="M28" i="2"/>
  <c r="M29" i="2" s="1"/>
  <c r="O28" i="2"/>
  <c r="O29" i="2" s="1"/>
  <c r="K28" i="2"/>
  <c r="K29" i="2" s="1"/>
  <c r="Q28" i="2"/>
  <c r="Q29" i="2" s="1"/>
  <c r="N28" i="2"/>
  <c r="N29" i="2" s="1"/>
  <c r="L28" i="2"/>
  <c r="L29" i="2" s="1"/>
  <c r="P28" i="2"/>
  <c r="P29" i="2" s="1"/>
  <c r="J28" i="2"/>
  <c r="J29" i="2" s="1"/>
  <c r="C72" i="34"/>
  <c r="C66" i="34"/>
  <c r="C96" i="34"/>
  <c r="C90" i="34"/>
  <c r="C78" i="34"/>
  <c r="H145" i="2"/>
  <c r="I132" i="17" s="1"/>
  <c r="C60" i="34"/>
  <c r="C54" i="34"/>
  <c r="G9" i="17"/>
  <c r="K20" i="1" s="1"/>
  <c r="D9" i="17"/>
  <c r="B9" i="17"/>
  <c r="C9" i="17"/>
  <c r="H9" i="17"/>
  <c r="L20" i="1" s="1"/>
  <c r="F9" i="17"/>
  <c r="J20" i="1" s="1"/>
  <c r="G5" i="17"/>
  <c r="K16" i="1" s="1"/>
  <c r="F5" i="17"/>
  <c r="J16" i="1" s="1"/>
  <c r="B5" i="17"/>
  <c r="C5" i="17"/>
  <c r="H5" i="17"/>
  <c r="L16" i="1" s="1"/>
  <c r="D5" i="17"/>
  <c r="D7" i="17"/>
  <c r="G7" i="17"/>
  <c r="K18" i="1" s="1"/>
  <c r="F7" i="17"/>
  <c r="J18" i="1" s="1"/>
  <c r="H7" i="17"/>
  <c r="L18" i="1" s="1"/>
  <c r="C7" i="17"/>
  <c r="B7" i="17"/>
  <c r="M34" i="9" l="1"/>
  <c r="O34" i="9" s="1"/>
  <c r="L46" i="34"/>
  <c r="L82" i="34"/>
  <c r="L64" i="34"/>
  <c r="G46" i="34"/>
  <c r="G64" i="34"/>
  <c r="G82" i="34"/>
  <c r="J46" i="34"/>
  <c r="J82" i="34"/>
  <c r="J64" i="34"/>
  <c r="E46" i="34"/>
  <c r="E64" i="34"/>
  <c r="E82" i="34"/>
  <c r="M46" i="34"/>
  <c r="M82" i="34"/>
  <c r="M64" i="34"/>
  <c r="I46" i="34"/>
  <c r="I64" i="34"/>
  <c r="I82" i="34"/>
  <c r="K46" i="34"/>
  <c r="K82" i="34"/>
  <c r="K64" i="34"/>
  <c r="S8" i="17"/>
  <c r="S9" i="17"/>
  <c r="S4" i="17"/>
  <c r="S5" i="17"/>
  <c r="S7" i="17"/>
  <c r="S6" i="17"/>
  <c r="S11" i="17"/>
  <c r="S10" i="17"/>
  <c r="F46" i="34"/>
  <c r="F82" i="34"/>
  <c r="F64" i="34"/>
  <c r="H46" i="34"/>
  <c r="H64" i="34"/>
  <c r="H82" i="34"/>
  <c r="N46" i="34"/>
  <c r="N64" i="34"/>
  <c r="N82" i="34"/>
  <c r="N34" i="9" l="1"/>
  <c r="Q17" i="17"/>
  <c r="P17" i="1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4" authorId="0" shapeId="0" xr:uid="{00000000-0006-0000-0300-000001000000}">
      <text>
        <r>
          <rPr>
            <b/>
            <sz val="9"/>
            <color indexed="81"/>
            <rFont val="細明體"/>
            <family val="3"/>
            <charset val="136"/>
          </rPr>
          <t>或</t>
        </r>
        <r>
          <rPr>
            <b/>
            <sz val="9"/>
            <color indexed="81"/>
            <rFont val="Tahoma"/>
            <family val="2"/>
          </rPr>
          <t>Mean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Chan</author>
    <author>CHAN, Koon Ho</author>
    <author>Michael</author>
  </authors>
  <commentList>
    <comment ref="R1" authorId="0" shapeId="0" xr:uid="{00000000-0006-0000-0500-000001000000}">
      <text>
        <r>
          <rPr>
            <sz val="9"/>
            <color indexed="81"/>
            <rFont val="Tahoma"/>
            <family val="2"/>
          </rPr>
          <t>Unspecified electives may include Category A elective subjects, Mathematics extended modules (M1/M2) (except for JS1801) and Category C other language subjects (at grade E or above) (except for JS1200, JS1201, JS1801, JS1805, JS1806 and JS1807)</t>
        </r>
      </text>
    </comment>
    <comment ref="E4" authorId="1" shapeId="0" xr:uid="{00000000-0006-0000-0500-000004000000}">
      <text>
        <r>
          <rPr>
            <b/>
            <sz val="9"/>
            <color indexed="81"/>
            <rFont val="Tahoma"/>
            <family val="2"/>
          </rPr>
          <t>Best 6 (</t>
        </r>
        <r>
          <rPr>
            <b/>
            <sz val="9"/>
            <color indexed="81"/>
            <rFont val="細明體"/>
            <family val="3"/>
            <charset val="136"/>
          </rPr>
          <t>包括英文、數學</t>
        </r>
        <r>
          <rPr>
            <b/>
            <sz val="9"/>
            <color indexed="81"/>
            <rFont val="Tahoma"/>
            <family val="2"/>
          </rPr>
          <t>)</t>
        </r>
      </text>
    </comment>
    <comment ref="E5" authorId="1" shapeId="0" xr:uid="{00000000-0006-0000-0500-000006000000}">
      <text>
        <r>
          <rPr>
            <b/>
            <sz val="9"/>
            <color indexed="81"/>
            <rFont val="Tahoma"/>
            <family val="2"/>
          </rPr>
          <t>2022</t>
        </r>
        <r>
          <rPr>
            <b/>
            <sz val="9"/>
            <color indexed="81"/>
            <rFont val="細明體"/>
            <family val="3"/>
            <charset val="136"/>
          </rPr>
          <t>年將以</t>
        </r>
        <r>
          <rPr>
            <b/>
            <sz val="9"/>
            <color indexed="81"/>
            <rFont val="Tahoma"/>
            <family val="2"/>
          </rPr>
          <t>4C2X</t>
        </r>
        <r>
          <rPr>
            <b/>
            <sz val="9"/>
            <color indexed="81"/>
            <rFont val="細明體"/>
            <family val="3"/>
            <charset val="136"/>
          </rPr>
          <t>收生
此處仍以</t>
        </r>
        <r>
          <rPr>
            <b/>
            <sz val="9"/>
            <color indexed="81"/>
            <rFont val="Tahoma"/>
            <family val="2"/>
          </rPr>
          <t>Best 6 (</t>
        </r>
        <r>
          <rPr>
            <b/>
            <sz val="9"/>
            <color indexed="81"/>
            <rFont val="細明體"/>
            <family val="3"/>
            <charset val="136"/>
          </rPr>
          <t>包括英文</t>
        </r>
        <r>
          <rPr>
            <b/>
            <sz val="9"/>
            <color indexed="81"/>
            <rFont val="Tahoma"/>
            <family val="2"/>
          </rPr>
          <t>)</t>
        </r>
        <r>
          <rPr>
            <b/>
            <sz val="9"/>
            <color indexed="81"/>
            <rFont val="細明體"/>
            <family val="3"/>
            <charset val="136"/>
          </rPr>
          <t>作估算，請注意</t>
        </r>
      </text>
    </comment>
    <comment ref="E6" authorId="0" shapeId="0" xr:uid="{00000000-0006-0000-0500-000008000000}">
      <text>
        <r>
          <rPr>
            <b/>
            <sz val="9"/>
            <color indexed="81"/>
            <rFont val="Tahoma"/>
            <family val="2"/>
          </rPr>
          <t>x1.5:</t>
        </r>
        <r>
          <rPr>
            <sz val="9"/>
            <color indexed="81"/>
            <rFont val="Tahoma"/>
            <family val="2"/>
          </rPr>
          <t xml:space="preserve"> </t>
        </r>
        <r>
          <rPr>
            <sz val="9"/>
            <color indexed="81"/>
            <rFont val="細明體"/>
            <family val="3"/>
            <charset val="136"/>
          </rPr>
          <t>英文</t>
        </r>
      </text>
    </comment>
    <comment ref="E16" authorId="0" shapeId="0" xr:uid="{00000000-0006-0000-0500-00000C000000}">
      <text>
        <r>
          <rPr>
            <b/>
            <sz val="9"/>
            <color indexed="81"/>
            <rFont val="Tahoma"/>
            <family val="2"/>
          </rPr>
          <t>x2:</t>
        </r>
        <r>
          <rPr>
            <sz val="9"/>
            <color indexed="81"/>
            <rFont val="Tahoma"/>
            <family val="2"/>
          </rPr>
          <t xml:space="preserve"> </t>
        </r>
        <r>
          <rPr>
            <sz val="9"/>
            <color indexed="81"/>
            <rFont val="細明體"/>
            <family val="3"/>
            <charset val="136"/>
          </rPr>
          <t>英文</t>
        </r>
      </text>
    </comment>
    <comment ref="E17" authorId="0" shapeId="0" xr:uid="{00000000-0006-0000-0500-00000D000000}">
      <text>
        <r>
          <rPr>
            <b/>
            <sz val="9"/>
            <color indexed="81"/>
            <rFont val="Tahoma"/>
            <family val="2"/>
          </rPr>
          <t xml:space="preserve">x2: </t>
        </r>
        <r>
          <rPr>
            <sz val="9"/>
            <color indexed="81"/>
            <rFont val="細明體"/>
            <family val="3"/>
            <charset val="136"/>
          </rPr>
          <t>英文</t>
        </r>
      </text>
    </comment>
    <comment ref="E18" authorId="0" shapeId="0" xr:uid="{00000000-0006-0000-0500-00000E000000}">
      <text>
        <r>
          <rPr>
            <b/>
            <sz val="9"/>
            <color indexed="81"/>
            <rFont val="Tahoma"/>
            <family val="2"/>
          </rPr>
          <t xml:space="preserve">x2: </t>
        </r>
        <r>
          <rPr>
            <sz val="9"/>
            <color indexed="81"/>
            <rFont val="細明體"/>
            <family val="3"/>
            <charset val="136"/>
          </rPr>
          <t xml:space="preserve">英文
</t>
        </r>
        <r>
          <rPr>
            <b/>
            <sz val="9"/>
            <color indexed="81"/>
            <rFont val="Tahoma"/>
            <family val="2"/>
          </rPr>
          <t xml:space="preserve">x1.5: </t>
        </r>
        <r>
          <rPr>
            <sz val="9"/>
            <color indexed="81"/>
            <rFont val="細明體"/>
            <family val="3"/>
            <charset val="136"/>
          </rPr>
          <t>數學</t>
        </r>
      </text>
    </comment>
    <comment ref="E19" authorId="0" shapeId="0" xr:uid="{00000000-0006-0000-0500-00000F000000}">
      <text>
        <r>
          <rPr>
            <b/>
            <sz val="9"/>
            <color indexed="81"/>
            <rFont val="Tahoma"/>
            <family val="2"/>
          </rPr>
          <t>2022</t>
        </r>
        <r>
          <rPr>
            <b/>
            <sz val="9"/>
            <color indexed="81"/>
            <rFont val="細明體"/>
            <family val="3"/>
            <charset val="136"/>
          </rPr>
          <t xml:space="preserve">年將以新比重收生
</t>
        </r>
        <r>
          <rPr>
            <sz val="9"/>
            <color indexed="81"/>
            <rFont val="Tahoma"/>
            <family val="2"/>
          </rPr>
          <t>(</t>
        </r>
        <r>
          <rPr>
            <b/>
            <sz val="9"/>
            <color indexed="81"/>
            <rFont val="Tahoma"/>
            <family val="2"/>
          </rPr>
          <t>x2</t>
        </r>
        <r>
          <rPr>
            <sz val="9"/>
            <color indexed="81"/>
            <rFont val="Tahoma"/>
            <family val="2"/>
          </rPr>
          <t xml:space="preserve">: </t>
        </r>
        <r>
          <rPr>
            <sz val="9"/>
            <color indexed="81"/>
            <rFont val="細明體"/>
            <family val="3"/>
            <charset val="136"/>
          </rPr>
          <t>英文</t>
        </r>
        <r>
          <rPr>
            <sz val="9"/>
            <color indexed="81"/>
            <rFont val="Tahoma"/>
            <family val="2"/>
          </rPr>
          <t>)</t>
        </r>
        <r>
          <rPr>
            <b/>
            <sz val="9"/>
            <color indexed="81"/>
            <rFont val="Tahoma"/>
            <family val="2"/>
          </rPr>
          <t xml:space="preserve">
</t>
        </r>
        <r>
          <rPr>
            <b/>
            <sz val="9"/>
            <color indexed="81"/>
            <rFont val="細明體"/>
            <family val="3"/>
            <charset val="136"/>
          </rPr>
          <t>此處仍以無比重作估算，請注意</t>
        </r>
      </text>
    </comment>
    <comment ref="E20" authorId="0" shapeId="0" xr:uid="{00000000-0006-0000-0500-000010000000}">
      <text>
        <r>
          <rPr>
            <b/>
            <sz val="9"/>
            <color indexed="81"/>
            <rFont val="Tahoma"/>
            <family val="2"/>
          </rPr>
          <t>Best 5 (</t>
        </r>
        <r>
          <rPr>
            <b/>
            <sz val="9"/>
            <color indexed="81"/>
            <rFont val="細明體"/>
            <family val="3"/>
            <charset val="136"/>
          </rPr>
          <t>包括英文、數學、最佳理科</t>
        </r>
        <r>
          <rPr>
            <b/>
            <sz val="9"/>
            <color indexed="81"/>
            <rFont val="Tahoma"/>
            <family val="2"/>
          </rPr>
          <t>)</t>
        </r>
        <r>
          <rPr>
            <b/>
            <sz val="9"/>
            <color indexed="81"/>
            <rFont val="細明體"/>
            <family val="3"/>
            <charset val="136"/>
          </rPr>
          <t xml:space="preserve">
</t>
        </r>
        <r>
          <rPr>
            <b/>
            <sz val="9"/>
            <color indexed="81"/>
            <rFont val="Tahoma"/>
            <family val="2"/>
          </rPr>
          <t xml:space="preserve">
2022</t>
        </r>
        <r>
          <rPr>
            <b/>
            <sz val="9"/>
            <color indexed="81"/>
            <rFont val="細明體"/>
            <family val="3"/>
            <charset val="136"/>
          </rPr>
          <t xml:space="preserve">年將以新比重收生
</t>
        </r>
        <r>
          <rPr>
            <sz val="9"/>
            <color indexed="81"/>
            <rFont val="Tahoma"/>
            <family val="2"/>
          </rPr>
          <t>(</t>
        </r>
        <r>
          <rPr>
            <b/>
            <sz val="9"/>
            <color indexed="81"/>
            <rFont val="Tahoma"/>
            <family val="2"/>
          </rPr>
          <t>x2.5:</t>
        </r>
        <r>
          <rPr>
            <sz val="9"/>
            <color indexed="81"/>
            <rFont val="Tahoma"/>
            <family val="2"/>
          </rPr>
          <t xml:space="preserve"> </t>
        </r>
        <r>
          <rPr>
            <sz val="9"/>
            <color indexed="81"/>
            <rFont val="細明體"/>
            <family val="3"/>
            <charset val="136"/>
          </rPr>
          <t>數學</t>
        </r>
        <r>
          <rPr>
            <sz val="9"/>
            <color indexed="81"/>
            <rFont val="Tahoma"/>
            <family val="2"/>
          </rPr>
          <t xml:space="preserve">
</t>
        </r>
        <r>
          <rPr>
            <b/>
            <sz val="9"/>
            <color indexed="81"/>
            <rFont val="Tahoma"/>
            <family val="2"/>
          </rPr>
          <t>x2:</t>
        </r>
        <r>
          <rPr>
            <sz val="9"/>
            <color indexed="81"/>
            <rFont val="Tahoma"/>
            <family val="2"/>
          </rPr>
          <t xml:space="preserve"> </t>
        </r>
        <r>
          <rPr>
            <sz val="9"/>
            <color indexed="81"/>
            <rFont val="細明體"/>
            <family val="3"/>
            <charset val="136"/>
          </rPr>
          <t>英文、第一理科</t>
        </r>
        <r>
          <rPr>
            <sz val="9"/>
            <color indexed="81"/>
            <rFont val="Tahoma"/>
            <family val="2"/>
          </rPr>
          <t xml:space="preserve"> (</t>
        </r>
        <r>
          <rPr>
            <sz val="9"/>
            <color indexed="81"/>
            <rFont val="細明體"/>
            <family val="3"/>
            <charset val="136"/>
          </rPr>
          <t>生物、化學、物理、綜合科學、組合科學</t>
        </r>
        <r>
          <rPr>
            <sz val="9"/>
            <color indexed="81"/>
            <rFont val="Tahoma"/>
            <family val="2"/>
          </rPr>
          <t xml:space="preserve">)
</t>
        </r>
        <r>
          <rPr>
            <b/>
            <sz val="9"/>
            <color indexed="81"/>
            <rFont val="Tahoma"/>
            <family val="2"/>
          </rPr>
          <t>x1.5:</t>
        </r>
        <r>
          <rPr>
            <sz val="9"/>
            <color indexed="81"/>
            <rFont val="Tahoma"/>
            <family val="2"/>
          </rPr>
          <t xml:space="preserve"> </t>
        </r>
        <r>
          <rPr>
            <sz val="9"/>
            <color indexed="81"/>
            <rFont val="細明體"/>
            <family val="3"/>
            <charset val="136"/>
          </rPr>
          <t>第二理科、地理、</t>
        </r>
        <r>
          <rPr>
            <sz val="9"/>
            <color indexed="81"/>
            <rFont val="Tahoma"/>
            <family val="2"/>
          </rPr>
          <t>M1/2)</t>
        </r>
        <r>
          <rPr>
            <b/>
            <sz val="9"/>
            <color indexed="81"/>
            <rFont val="Tahoma"/>
            <family val="2"/>
          </rPr>
          <t xml:space="preserve">
</t>
        </r>
        <r>
          <rPr>
            <b/>
            <sz val="9"/>
            <color indexed="81"/>
            <rFont val="細明體"/>
            <family val="3"/>
            <charset val="136"/>
          </rPr>
          <t xml:space="preserve">
此處仍以原本比重作估算，請注意
</t>
        </r>
        <r>
          <rPr>
            <b/>
            <sz val="9"/>
            <color indexed="81"/>
            <rFont val="Tahoma"/>
            <family val="2"/>
          </rPr>
          <t>x2.5:</t>
        </r>
        <r>
          <rPr>
            <sz val="9"/>
            <color indexed="81"/>
            <rFont val="Tahoma"/>
            <family val="2"/>
          </rPr>
          <t xml:space="preserve"> </t>
        </r>
        <r>
          <rPr>
            <sz val="9"/>
            <color indexed="81"/>
            <rFont val="細明體"/>
            <family val="3"/>
            <charset val="136"/>
          </rPr>
          <t>數學、第一理科</t>
        </r>
        <r>
          <rPr>
            <sz val="9"/>
            <color indexed="81"/>
            <rFont val="Tahoma"/>
            <family val="2"/>
          </rPr>
          <t xml:space="preserve"> (</t>
        </r>
        <r>
          <rPr>
            <sz val="9"/>
            <color indexed="81"/>
            <rFont val="細明體"/>
            <family val="3"/>
            <charset val="136"/>
          </rPr>
          <t>生物、化學、物理、綜合科學、組合科學</t>
        </r>
        <r>
          <rPr>
            <sz val="9"/>
            <color indexed="81"/>
            <rFont val="Tahoma"/>
            <family val="2"/>
          </rPr>
          <t xml:space="preserve">)
</t>
        </r>
        <r>
          <rPr>
            <b/>
            <sz val="9"/>
            <color indexed="81"/>
            <rFont val="Tahoma"/>
            <family val="2"/>
          </rPr>
          <t xml:space="preserve">x2: </t>
        </r>
        <r>
          <rPr>
            <sz val="9"/>
            <color indexed="81"/>
            <rFont val="細明體"/>
            <family val="3"/>
            <charset val="136"/>
          </rPr>
          <t xml:space="preserve">英文
</t>
        </r>
        <r>
          <rPr>
            <b/>
            <sz val="9"/>
            <color indexed="81"/>
            <rFont val="Tahoma"/>
            <family val="2"/>
          </rPr>
          <t>x1.5:</t>
        </r>
        <r>
          <rPr>
            <sz val="9"/>
            <color indexed="81"/>
            <rFont val="Tahoma"/>
            <family val="2"/>
          </rPr>
          <t xml:space="preserve"> </t>
        </r>
        <r>
          <rPr>
            <sz val="9"/>
            <color indexed="81"/>
            <rFont val="細明體"/>
            <family val="3"/>
            <charset val="136"/>
          </rPr>
          <t>第二理科、地理、</t>
        </r>
        <r>
          <rPr>
            <sz val="9"/>
            <color indexed="81"/>
            <rFont val="Tahoma"/>
            <family val="2"/>
          </rPr>
          <t>M1/2</t>
        </r>
      </text>
    </comment>
    <comment ref="R20" authorId="2" shapeId="0" xr:uid="{00000000-0006-0000-0500-000012000000}">
      <text>
        <r>
          <rPr>
            <b/>
            <sz val="9"/>
            <color indexed="81"/>
            <rFont val="細明體"/>
            <family val="3"/>
            <charset val="136"/>
          </rPr>
          <t>以下一科︰</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物理、化學</t>
        </r>
        <r>
          <rPr>
            <sz val="9"/>
            <color indexed="81"/>
            <rFont val="Tahoma"/>
            <family val="2"/>
          </rPr>
          <t>)</t>
        </r>
      </text>
    </comment>
    <comment ref="E21" authorId="1" shapeId="0" xr:uid="{00000000-0006-0000-0500-000013000000}">
      <text>
        <r>
          <rPr>
            <b/>
            <sz val="9"/>
            <color indexed="81"/>
            <rFont val="Tahoma"/>
            <family val="2"/>
          </rPr>
          <t>Best 6 (</t>
        </r>
        <r>
          <rPr>
            <b/>
            <sz val="9"/>
            <color indexed="81"/>
            <rFont val="細明體"/>
            <family val="3"/>
            <charset val="136"/>
          </rPr>
          <t>包括英文</t>
        </r>
        <r>
          <rPr>
            <b/>
            <sz val="9"/>
            <color indexed="81"/>
            <rFont val="Tahoma"/>
            <family val="2"/>
          </rPr>
          <t>)</t>
        </r>
      </text>
    </comment>
    <comment ref="E22" authorId="0" shapeId="0" xr:uid="{4B5AE9A2-D985-4B88-AAE4-9F567CD8F3FE}">
      <text>
        <r>
          <rPr>
            <b/>
            <sz val="9"/>
            <color indexed="81"/>
            <rFont val="Tahoma"/>
            <family val="2"/>
          </rPr>
          <t>2022</t>
        </r>
        <r>
          <rPr>
            <b/>
            <sz val="9"/>
            <color indexed="81"/>
            <rFont val="細明體"/>
            <family val="3"/>
            <charset val="136"/>
          </rPr>
          <t xml:space="preserve">年新科目
</t>
        </r>
        <r>
          <rPr>
            <b/>
            <sz val="9"/>
            <color indexed="81"/>
            <rFont val="Tahoma"/>
            <family val="2"/>
          </rPr>
          <t>Best 6 (</t>
        </r>
        <r>
          <rPr>
            <b/>
            <sz val="9"/>
            <color indexed="81"/>
            <rFont val="細明體"/>
            <family val="3"/>
            <charset val="136"/>
          </rPr>
          <t>包括英文</t>
        </r>
        <r>
          <rPr>
            <b/>
            <sz val="9"/>
            <color indexed="81"/>
            <rFont val="Tahoma"/>
            <family val="2"/>
          </rPr>
          <t>)</t>
        </r>
      </text>
    </comment>
    <comment ref="E23" authorId="0" shapeId="0" xr:uid="{00000000-0006-0000-0500-000015000000}">
      <text>
        <r>
          <rPr>
            <b/>
            <sz val="9"/>
            <color indexed="81"/>
            <rFont val="Tahoma"/>
            <family val="2"/>
          </rPr>
          <t xml:space="preserve">x2: </t>
        </r>
        <r>
          <rPr>
            <sz val="9"/>
            <color indexed="81"/>
            <rFont val="細明體"/>
            <family val="3"/>
            <charset val="136"/>
          </rPr>
          <t>英文、數學</t>
        </r>
      </text>
    </comment>
    <comment ref="E24" authorId="0" shapeId="0" xr:uid="{00000000-0006-0000-0500-000017000000}">
      <text>
        <r>
          <rPr>
            <b/>
            <sz val="9"/>
            <color indexed="81"/>
            <rFont val="Tahoma"/>
            <family val="2"/>
          </rPr>
          <t xml:space="preserve">x2: </t>
        </r>
        <r>
          <rPr>
            <sz val="9"/>
            <color indexed="81"/>
            <rFont val="細明體"/>
            <family val="3"/>
            <charset val="136"/>
          </rPr>
          <t>英文、數學</t>
        </r>
      </text>
    </comment>
    <comment ref="E25" authorId="0" shapeId="0" xr:uid="{00000000-0006-0000-0500-000018000000}">
      <text>
        <r>
          <rPr>
            <b/>
            <sz val="9"/>
            <color indexed="81"/>
            <rFont val="Tahoma"/>
            <family val="2"/>
          </rPr>
          <t>x2:</t>
        </r>
        <r>
          <rPr>
            <sz val="9"/>
            <color indexed="81"/>
            <rFont val="Tahoma"/>
            <family val="2"/>
          </rPr>
          <t xml:space="preserve"> </t>
        </r>
        <r>
          <rPr>
            <sz val="9"/>
            <color indexed="81"/>
            <rFont val="細明體"/>
            <family val="3"/>
            <charset val="136"/>
          </rPr>
          <t>英文、數學</t>
        </r>
      </text>
    </comment>
    <comment ref="E27" authorId="0" shapeId="0" xr:uid="{00000000-0006-0000-0500-00001C000000}">
      <text>
        <r>
          <rPr>
            <b/>
            <sz val="9"/>
            <color indexed="81"/>
            <rFont val="Tahoma"/>
            <family val="2"/>
          </rPr>
          <t xml:space="preserve">x2: </t>
        </r>
        <r>
          <rPr>
            <sz val="9"/>
            <color indexed="81"/>
            <rFont val="細明體"/>
            <family val="3"/>
            <charset val="136"/>
          </rPr>
          <t xml:space="preserve">中文，英文
</t>
        </r>
        <r>
          <rPr>
            <b/>
            <sz val="9"/>
            <color indexed="81"/>
            <rFont val="Tahoma"/>
            <family val="2"/>
          </rPr>
          <t>x1.5:</t>
        </r>
        <r>
          <rPr>
            <sz val="9"/>
            <color indexed="81"/>
            <rFont val="Tahoma"/>
            <family val="2"/>
          </rPr>
          <t xml:space="preserve"> </t>
        </r>
        <r>
          <rPr>
            <sz val="9"/>
            <color indexed="81"/>
            <rFont val="細明體"/>
            <family val="3"/>
            <charset val="136"/>
          </rPr>
          <t>通識</t>
        </r>
        <r>
          <rPr>
            <sz val="9"/>
            <color indexed="81"/>
            <rFont val="Tahoma"/>
            <family val="2"/>
          </rPr>
          <t>/</t>
        </r>
        <r>
          <rPr>
            <sz val="9"/>
            <color indexed="81"/>
            <rFont val="細明體"/>
            <family val="3"/>
            <charset val="136"/>
          </rPr>
          <t>中國歷史</t>
        </r>
        <r>
          <rPr>
            <sz val="9"/>
            <color indexed="81"/>
            <rFont val="Tahoma"/>
            <family val="2"/>
          </rPr>
          <t>/</t>
        </r>
        <r>
          <rPr>
            <sz val="9"/>
            <color indexed="81"/>
            <rFont val="細明體"/>
            <family val="3"/>
            <charset val="136"/>
          </rPr>
          <t>中國文學</t>
        </r>
        <r>
          <rPr>
            <sz val="9"/>
            <color indexed="81"/>
            <rFont val="Tahoma"/>
            <family val="2"/>
          </rPr>
          <t>/</t>
        </r>
        <r>
          <rPr>
            <sz val="9"/>
            <color indexed="81"/>
            <rFont val="細明體"/>
            <family val="3"/>
            <charset val="136"/>
          </rPr>
          <t>歷史</t>
        </r>
        <r>
          <rPr>
            <sz val="9"/>
            <color indexed="81"/>
            <rFont val="Tahoma"/>
            <family val="2"/>
          </rPr>
          <t>/</t>
        </r>
        <r>
          <rPr>
            <sz val="9"/>
            <color indexed="81"/>
            <rFont val="細明體"/>
            <family val="3"/>
            <charset val="136"/>
          </rPr>
          <t>視覺藝術</t>
        </r>
      </text>
    </comment>
    <comment ref="E28" authorId="0" shapeId="0" xr:uid="{00000000-0006-0000-0500-00001D000000}">
      <text>
        <r>
          <rPr>
            <b/>
            <sz val="9"/>
            <color indexed="81"/>
            <rFont val="Tahoma"/>
            <family val="2"/>
          </rPr>
          <t>Best 6 (</t>
        </r>
        <r>
          <rPr>
            <b/>
            <sz val="9"/>
            <color indexed="81"/>
            <rFont val="細明體"/>
            <family val="3"/>
            <charset val="136"/>
          </rPr>
          <t>包括英文</t>
        </r>
        <r>
          <rPr>
            <b/>
            <sz val="9"/>
            <color indexed="81"/>
            <rFont val="Tahoma"/>
            <family val="2"/>
          </rPr>
          <t>)</t>
        </r>
        <r>
          <rPr>
            <b/>
            <sz val="9"/>
            <color indexed="81"/>
            <rFont val="細明體"/>
            <family val="3"/>
            <charset val="136"/>
          </rPr>
          <t xml:space="preserve">
</t>
        </r>
        <r>
          <rPr>
            <b/>
            <sz val="9"/>
            <color indexed="81"/>
            <rFont val="Tahoma"/>
            <family val="2"/>
          </rPr>
          <t xml:space="preserve">x2.5: </t>
        </r>
        <r>
          <rPr>
            <sz val="9"/>
            <color indexed="81"/>
            <rFont val="細明體"/>
            <family val="3"/>
            <charset val="136"/>
          </rPr>
          <t xml:space="preserve">英文
</t>
        </r>
        <r>
          <rPr>
            <b/>
            <sz val="9"/>
            <color indexed="81"/>
            <rFont val="Tahoma"/>
            <family val="2"/>
          </rPr>
          <t xml:space="preserve">x1.5: </t>
        </r>
        <r>
          <rPr>
            <sz val="9"/>
            <color indexed="81"/>
            <rFont val="細明體"/>
            <family val="3"/>
            <charset val="136"/>
          </rPr>
          <t>英國文學、通識</t>
        </r>
      </text>
    </comment>
    <comment ref="E29" authorId="0" shapeId="0" xr:uid="{00000000-0006-0000-0500-000021000000}">
      <text>
        <r>
          <rPr>
            <b/>
            <sz val="9"/>
            <color indexed="81"/>
            <rFont val="Tahoma"/>
            <family val="2"/>
          </rPr>
          <t>Best 5 (</t>
        </r>
        <r>
          <rPr>
            <b/>
            <sz val="9"/>
            <color indexed="81"/>
            <rFont val="細明體"/>
            <family val="3"/>
            <charset val="136"/>
          </rPr>
          <t>包括英文</t>
        </r>
        <r>
          <rPr>
            <b/>
            <sz val="9"/>
            <color indexed="81"/>
            <rFont val="Tahoma"/>
            <family val="2"/>
          </rPr>
          <t>)</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中文、英文</t>
        </r>
      </text>
    </comment>
    <comment ref="E30" authorId="0" shapeId="0" xr:uid="{00000000-0006-0000-0500-000022000000}">
      <text>
        <r>
          <rPr>
            <b/>
            <sz val="9"/>
            <color indexed="81"/>
            <rFont val="Tahoma"/>
            <family val="2"/>
          </rPr>
          <t>2022</t>
        </r>
        <r>
          <rPr>
            <b/>
            <sz val="9"/>
            <color indexed="81"/>
            <rFont val="細明體"/>
            <family val="3"/>
            <charset val="136"/>
          </rPr>
          <t>年將以</t>
        </r>
        <r>
          <rPr>
            <b/>
            <sz val="9"/>
            <color indexed="81"/>
            <rFont val="Tahoma"/>
            <family val="2"/>
          </rPr>
          <t xml:space="preserve">4C2X </t>
        </r>
        <r>
          <rPr>
            <b/>
            <sz val="9"/>
            <color indexed="81"/>
            <rFont val="細明體"/>
            <family val="3"/>
            <charset val="136"/>
          </rPr>
          <t xml:space="preserve">及新比重收生
</t>
        </r>
        <r>
          <rPr>
            <sz val="9"/>
            <color indexed="81"/>
            <rFont val="Tahoma"/>
            <family val="2"/>
          </rPr>
          <t>(</t>
        </r>
        <r>
          <rPr>
            <b/>
            <sz val="9"/>
            <color indexed="81"/>
            <rFont val="Tahoma"/>
            <family val="2"/>
          </rPr>
          <t xml:space="preserve">x1.5: </t>
        </r>
        <r>
          <rPr>
            <sz val="9"/>
            <color indexed="81"/>
            <rFont val="細明體"/>
            <family val="3"/>
            <charset val="136"/>
          </rPr>
          <t>英文</t>
        </r>
        <r>
          <rPr>
            <sz val="9"/>
            <color indexed="81"/>
            <rFont val="Tahoma"/>
            <family val="2"/>
          </rPr>
          <t xml:space="preserve">)
</t>
        </r>
        <r>
          <rPr>
            <b/>
            <sz val="9"/>
            <color indexed="81"/>
            <rFont val="細明體"/>
            <family val="3"/>
            <charset val="136"/>
          </rPr>
          <t xml:space="preserve">
此處仍以</t>
        </r>
        <r>
          <rPr>
            <b/>
            <sz val="9"/>
            <color indexed="81"/>
            <rFont val="Tahoma"/>
            <family val="2"/>
          </rPr>
          <t xml:space="preserve">4C1X </t>
        </r>
        <r>
          <rPr>
            <b/>
            <sz val="9"/>
            <color indexed="81"/>
            <rFont val="細明體"/>
            <family val="3"/>
            <charset val="136"/>
          </rPr>
          <t>及</t>
        </r>
        <r>
          <rPr>
            <b/>
            <sz val="9"/>
            <color indexed="81"/>
            <rFont val="細明體"/>
            <family val="3"/>
            <charset val="136"/>
          </rPr>
          <t>原本比重</t>
        </r>
        <r>
          <rPr>
            <b/>
            <sz val="9"/>
            <color indexed="81"/>
            <rFont val="細明體"/>
            <family val="3"/>
            <charset val="136"/>
          </rPr>
          <t xml:space="preserve">作估算，請注意
</t>
        </r>
        <r>
          <rPr>
            <b/>
            <sz val="9"/>
            <color indexed="81"/>
            <rFont val="Tahoma"/>
            <family val="2"/>
          </rPr>
          <t xml:space="preserve">x2: </t>
        </r>
        <r>
          <rPr>
            <sz val="9"/>
            <color indexed="81"/>
            <rFont val="細明體"/>
            <family val="3"/>
            <charset val="136"/>
          </rPr>
          <t xml:space="preserve">英文
</t>
        </r>
        <r>
          <rPr>
            <b/>
            <sz val="9"/>
            <color indexed="81"/>
            <rFont val="Tahoma"/>
            <family val="2"/>
          </rPr>
          <t>x1.5:</t>
        </r>
        <r>
          <rPr>
            <sz val="9"/>
            <color indexed="81"/>
            <rFont val="Tahoma"/>
            <family val="2"/>
          </rPr>
          <t xml:space="preserve"> </t>
        </r>
        <r>
          <rPr>
            <sz val="9"/>
            <color indexed="81"/>
            <rFont val="細明體"/>
            <family val="3"/>
            <charset val="136"/>
          </rPr>
          <t>通識</t>
        </r>
      </text>
    </comment>
    <comment ref="E32" authorId="0" shapeId="0" xr:uid="{00000000-0006-0000-0500-000023000000}">
      <text>
        <r>
          <rPr>
            <b/>
            <sz val="9"/>
            <color indexed="81"/>
            <rFont val="Tahoma"/>
            <family val="2"/>
          </rPr>
          <t>2022</t>
        </r>
        <r>
          <rPr>
            <b/>
            <sz val="9"/>
            <color indexed="81"/>
            <rFont val="細明體"/>
            <family val="3"/>
            <charset val="136"/>
          </rPr>
          <t>年將以</t>
        </r>
        <r>
          <rPr>
            <b/>
            <sz val="9"/>
            <color indexed="81"/>
            <rFont val="Tahoma"/>
            <family val="2"/>
          </rPr>
          <t>Best 5 (</t>
        </r>
        <r>
          <rPr>
            <b/>
            <sz val="9"/>
            <color indexed="81"/>
            <rFont val="細明體"/>
            <family val="3"/>
            <charset val="136"/>
          </rPr>
          <t>包括英文</t>
        </r>
        <r>
          <rPr>
            <b/>
            <sz val="9"/>
            <color indexed="81"/>
            <rFont val="Tahoma"/>
            <family val="2"/>
          </rPr>
          <t>)</t>
        </r>
        <r>
          <rPr>
            <b/>
            <sz val="9"/>
            <color indexed="81"/>
            <rFont val="細明體"/>
            <family val="3"/>
            <charset val="136"/>
          </rPr>
          <t>收生</t>
        </r>
        <r>
          <rPr>
            <b/>
            <sz val="9"/>
            <color indexed="81"/>
            <rFont val="Tahoma"/>
            <family val="2"/>
          </rPr>
          <t xml:space="preserve">
</t>
        </r>
        <r>
          <rPr>
            <b/>
            <sz val="9"/>
            <color indexed="81"/>
            <rFont val="細明體"/>
            <family val="3"/>
            <charset val="136"/>
          </rPr>
          <t>此處仍以</t>
        </r>
        <r>
          <rPr>
            <b/>
            <sz val="9"/>
            <color indexed="81"/>
            <rFont val="Tahoma"/>
            <family val="2"/>
          </rPr>
          <t xml:space="preserve">4C2X </t>
        </r>
        <r>
          <rPr>
            <b/>
            <sz val="9"/>
            <color indexed="81"/>
            <rFont val="細明體"/>
            <family val="3"/>
            <charset val="136"/>
          </rPr>
          <t xml:space="preserve">作估算，請注意
</t>
        </r>
        <r>
          <rPr>
            <b/>
            <sz val="9"/>
            <color indexed="81"/>
            <rFont val="Tahoma"/>
            <family val="2"/>
          </rPr>
          <t xml:space="preserve">x2: </t>
        </r>
        <r>
          <rPr>
            <sz val="9"/>
            <color indexed="81"/>
            <rFont val="細明體"/>
            <family val="3"/>
            <charset val="136"/>
          </rPr>
          <t>英文</t>
        </r>
      </text>
    </comment>
    <comment ref="E33" authorId="0" shapeId="0" xr:uid="{00000000-0006-0000-0500-000024000000}">
      <text>
        <r>
          <rPr>
            <b/>
            <sz val="9"/>
            <color indexed="81"/>
            <rFont val="Tahoma"/>
            <family val="2"/>
          </rPr>
          <t>2022</t>
        </r>
        <r>
          <rPr>
            <b/>
            <sz val="9"/>
            <color indexed="81"/>
            <rFont val="細明體"/>
            <family val="3"/>
            <charset val="136"/>
          </rPr>
          <t>年將以</t>
        </r>
        <r>
          <rPr>
            <b/>
            <sz val="9"/>
            <color indexed="81"/>
            <rFont val="Tahoma"/>
            <family val="2"/>
          </rPr>
          <t>Best 5 (</t>
        </r>
        <r>
          <rPr>
            <b/>
            <sz val="9"/>
            <color indexed="81"/>
            <rFont val="細明體"/>
            <family val="3"/>
            <charset val="136"/>
          </rPr>
          <t>包括英文</t>
        </r>
        <r>
          <rPr>
            <b/>
            <sz val="9"/>
            <color indexed="81"/>
            <rFont val="Tahoma"/>
            <family val="2"/>
          </rPr>
          <t>)</t>
        </r>
        <r>
          <rPr>
            <b/>
            <sz val="9"/>
            <color indexed="81"/>
            <rFont val="細明體"/>
            <family val="3"/>
            <charset val="136"/>
          </rPr>
          <t>收生
此處仍以</t>
        </r>
        <r>
          <rPr>
            <b/>
            <sz val="9"/>
            <color indexed="81"/>
            <rFont val="Tahoma"/>
            <family val="2"/>
          </rPr>
          <t xml:space="preserve">4C2X </t>
        </r>
        <r>
          <rPr>
            <b/>
            <sz val="9"/>
            <color indexed="81"/>
            <rFont val="細明體"/>
            <family val="3"/>
            <charset val="136"/>
          </rPr>
          <t xml:space="preserve">作估算，請注意
</t>
        </r>
        <r>
          <rPr>
            <b/>
            <sz val="9"/>
            <color indexed="81"/>
            <rFont val="Tahoma"/>
            <family val="2"/>
          </rPr>
          <t xml:space="preserve">x2: </t>
        </r>
        <r>
          <rPr>
            <sz val="9"/>
            <color indexed="81"/>
            <rFont val="細明體"/>
            <family val="3"/>
            <charset val="136"/>
          </rPr>
          <t>英文</t>
        </r>
      </text>
    </comment>
    <comment ref="E34" authorId="0" shapeId="0" xr:uid="{00000000-0006-0000-0500-000025000000}">
      <text>
        <r>
          <rPr>
            <b/>
            <sz val="9"/>
            <color indexed="81"/>
            <rFont val="Tahoma"/>
            <family val="2"/>
          </rPr>
          <t>2022</t>
        </r>
        <r>
          <rPr>
            <b/>
            <sz val="9"/>
            <color indexed="81"/>
            <rFont val="細明體"/>
            <family val="3"/>
            <charset val="136"/>
          </rPr>
          <t>年將以</t>
        </r>
        <r>
          <rPr>
            <b/>
            <sz val="9"/>
            <color indexed="81"/>
            <rFont val="Tahoma"/>
            <family val="2"/>
          </rPr>
          <t>Best 5 (</t>
        </r>
        <r>
          <rPr>
            <b/>
            <sz val="9"/>
            <color indexed="81"/>
            <rFont val="細明體"/>
            <family val="3"/>
            <charset val="136"/>
          </rPr>
          <t>包括英文</t>
        </r>
        <r>
          <rPr>
            <b/>
            <sz val="9"/>
            <color indexed="81"/>
            <rFont val="Tahoma"/>
            <family val="2"/>
          </rPr>
          <t>)</t>
        </r>
        <r>
          <rPr>
            <b/>
            <sz val="9"/>
            <color indexed="81"/>
            <rFont val="細明體"/>
            <family val="3"/>
            <charset val="136"/>
          </rPr>
          <t>收生
此處仍以</t>
        </r>
        <r>
          <rPr>
            <b/>
            <sz val="9"/>
            <color indexed="81"/>
            <rFont val="Tahoma"/>
            <family val="2"/>
          </rPr>
          <t xml:space="preserve">4C2X </t>
        </r>
        <r>
          <rPr>
            <b/>
            <sz val="9"/>
            <color indexed="81"/>
            <rFont val="細明體"/>
            <family val="3"/>
            <charset val="136"/>
          </rPr>
          <t xml:space="preserve">作估算，請注意
</t>
        </r>
        <r>
          <rPr>
            <b/>
            <sz val="9"/>
            <color indexed="81"/>
            <rFont val="Tahoma"/>
            <family val="2"/>
          </rPr>
          <t xml:space="preserve">x2: </t>
        </r>
        <r>
          <rPr>
            <sz val="9"/>
            <color indexed="81"/>
            <rFont val="細明體"/>
            <family val="3"/>
            <charset val="136"/>
          </rPr>
          <t>英文</t>
        </r>
      </text>
    </comment>
    <comment ref="E35" authorId="0" shapeId="0" xr:uid="{00000000-0006-0000-0500-000026000000}">
      <text>
        <r>
          <rPr>
            <b/>
            <sz val="9"/>
            <color indexed="81"/>
            <rFont val="Tahoma"/>
            <family val="2"/>
          </rPr>
          <t>2022</t>
        </r>
        <r>
          <rPr>
            <b/>
            <sz val="9"/>
            <color indexed="81"/>
            <rFont val="細明體"/>
            <family val="3"/>
            <charset val="136"/>
          </rPr>
          <t>年將以</t>
        </r>
        <r>
          <rPr>
            <b/>
            <sz val="9"/>
            <color indexed="81"/>
            <rFont val="Tahoma"/>
            <family val="2"/>
          </rPr>
          <t>Best 5 (</t>
        </r>
        <r>
          <rPr>
            <b/>
            <sz val="9"/>
            <color indexed="81"/>
            <rFont val="細明體"/>
            <family val="3"/>
            <charset val="136"/>
          </rPr>
          <t>包括英文</t>
        </r>
        <r>
          <rPr>
            <b/>
            <sz val="9"/>
            <color indexed="81"/>
            <rFont val="Tahoma"/>
            <family val="2"/>
          </rPr>
          <t>)</t>
        </r>
        <r>
          <rPr>
            <b/>
            <sz val="9"/>
            <color indexed="81"/>
            <rFont val="細明體"/>
            <family val="3"/>
            <charset val="136"/>
          </rPr>
          <t>收生
此處仍以</t>
        </r>
        <r>
          <rPr>
            <b/>
            <sz val="9"/>
            <color indexed="81"/>
            <rFont val="Tahoma"/>
            <family val="2"/>
          </rPr>
          <t xml:space="preserve">4C2X </t>
        </r>
        <r>
          <rPr>
            <b/>
            <sz val="9"/>
            <color indexed="81"/>
            <rFont val="細明體"/>
            <family val="3"/>
            <charset val="136"/>
          </rPr>
          <t xml:space="preserve">作估算，請注意
</t>
        </r>
        <r>
          <rPr>
            <b/>
            <sz val="9"/>
            <color indexed="81"/>
            <rFont val="Tahoma"/>
            <family val="2"/>
          </rPr>
          <t xml:space="preserve">x2: </t>
        </r>
        <r>
          <rPr>
            <sz val="9"/>
            <color indexed="81"/>
            <rFont val="細明體"/>
            <family val="3"/>
            <charset val="136"/>
          </rPr>
          <t>英文</t>
        </r>
      </text>
    </comment>
    <comment ref="E36" authorId="0" shapeId="0" xr:uid="{3EC55F5C-6E18-47AD-A7C8-8E4DFA84622F}">
      <text>
        <r>
          <rPr>
            <b/>
            <sz val="9"/>
            <color indexed="81"/>
            <rFont val="Tahoma"/>
            <family val="2"/>
          </rPr>
          <t>2022</t>
        </r>
        <r>
          <rPr>
            <b/>
            <sz val="9"/>
            <color indexed="81"/>
            <rFont val="細明體"/>
            <family val="3"/>
            <charset val="136"/>
          </rPr>
          <t>年新科目</t>
        </r>
        <r>
          <rPr>
            <sz val="9"/>
            <color indexed="81"/>
            <rFont val="Tahoma"/>
            <family val="2"/>
          </rPr>
          <t xml:space="preserve">
</t>
        </r>
      </text>
    </comment>
    <comment ref="E37" authorId="0" shapeId="0" xr:uid="{4B16AA90-EE3C-4151-9A10-475A627DA844}">
      <text>
        <r>
          <rPr>
            <b/>
            <sz val="9"/>
            <color indexed="81"/>
            <rFont val="Tahoma"/>
            <family val="2"/>
          </rPr>
          <t>2022</t>
        </r>
        <r>
          <rPr>
            <b/>
            <sz val="9"/>
            <color indexed="81"/>
            <rFont val="細明體"/>
            <family val="3"/>
            <charset val="136"/>
          </rPr>
          <t>年新科目</t>
        </r>
        <r>
          <rPr>
            <sz val="9"/>
            <color indexed="81"/>
            <rFont val="Tahoma"/>
            <family val="2"/>
          </rPr>
          <t xml:space="preserve">
</t>
        </r>
        <r>
          <rPr>
            <b/>
            <sz val="9"/>
            <color indexed="81"/>
            <rFont val="Tahoma"/>
            <family val="2"/>
          </rPr>
          <t>Best 6 (</t>
        </r>
        <r>
          <rPr>
            <b/>
            <sz val="9"/>
            <color indexed="81"/>
            <rFont val="細明體"/>
            <family val="3"/>
            <charset val="136"/>
          </rPr>
          <t>包括英文</t>
        </r>
        <r>
          <rPr>
            <b/>
            <sz val="9"/>
            <color indexed="81"/>
            <rFont val="Tahoma"/>
            <family val="2"/>
          </rPr>
          <t>)</t>
        </r>
      </text>
    </comment>
    <comment ref="E38" authorId="1" shapeId="0" xr:uid="{00000000-0006-0000-0500-000028000000}">
      <text>
        <r>
          <rPr>
            <b/>
            <sz val="9"/>
            <color indexed="81"/>
            <rFont val="Tahoma"/>
            <family val="2"/>
          </rPr>
          <t>x2.5:</t>
        </r>
        <r>
          <rPr>
            <sz val="9"/>
            <color indexed="81"/>
            <rFont val="Tahoma"/>
            <family val="2"/>
          </rPr>
          <t xml:space="preserve"> </t>
        </r>
        <r>
          <rPr>
            <sz val="9"/>
            <color indexed="81"/>
            <rFont val="細明體"/>
            <family val="3"/>
            <charset val="136"/>
          </rPr>
          <t>數學、物理、生物、化學、經濟、</t>
        </r>
        <r>
          <rPr>
            <sz val="9"/>
            <color indexed="81"/>
            <rFont val="Tahoma"/>
            <family val="2"/>
          </rPr>
          <t xml:space="preserve">M1/2
</t>
        </r>
        <r>
          <rPr>
            <b/>
            <sz val="9"/>
            <color indexed="81"/>
            <rFont val="Tahoma"/>
            <family val="2"/>
          </rPr>
          <t xml:space="preserve">x2: </t>
        </r>
        <r>
          <rPr>
            <sz val="9"/>
            <color indexed="81"/>
            <rFont val="細明體"/>
            <family val="3"/>
            <charset val="136"/>
          </rPr>
          <t>英文</t>
        </r>
      </text>
    </comment>
    <comment ref="R38" authorId="0" shapeId="0" xr:uid="{1B93A9ED-67AE-4F24-9AFE-A4DA87F61187}">
      <text>
        <r>
          <rPr>
            <b/>
            <sz val="9"/>
            <color indexed="81"/>
            <rFont val="細明體"/>
            <family val="3"/>
            <charset val="136"/>
          </rPr>
          <t xml:space="preserve">以下兩科︰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經濟
</t>
        </r>
        <r>
          <rPr>
            <sz val="9"/>
            <color indexed="81"/>
            <rFont val="Tahoma"/>
            <family val="2"/>
          </rPr>
          <t xml:space="preserve">- M1/2
- </t>
        </r>
        <r>
          <rPr>
            <sz val="9"/>
            <color indexed="81"/>
            <rFont val="細明體"/>
            <family val="3"/>
            <charset val="136"/>
          </rPr>
          <t>物理</t>
        </r>
        <r>
          <rPr>
            <sz val="9"/>
            <color indexed="81"/>
            <rFont val="Tahoma"/>
            <family val="2"/>
          </rPr>
          <t xml:space="preserve"> 
</t>
        </r>
      </text>
    </comment>
    <comment ref="S38" authorId="0" shapeId="0" xr:uid="{F09FE0B1-DCBA-458B-9A2C-602BF994AF93}">
      <text>
        <r>
          <rPr>
            <b/>
            <sz val="9"/>
            <color indexed="81"/>
            <rFont val="細明體"/>
            <family val="3"/>
            <charset val="136"/>
          </rPr>
          <t>以下兩科︰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經濟
</t>
        </r>
        <r>
          <rPr>
            <sz val="9"/>
            <color indexed="81"/>
            <rFont val="Tahoma"/>
            <family val="2"/>
          </rPr>
          <t xml:space="preserve">- M1/2
- </t>
        </r>
        <r>
          <rPr>
            <sz val="9"/>
            <color indexed="81"/>
            <rFont val="細明體"/>
            <family val="3"/>
            <charset val="136"/>
          </rPr>
          <t>物理</t>
        </r>
        <r>
          <rPr>
            <sz val="9"/>
            <color indexed="81"/>
            <rFont val="Tahoma"/>
            <family val="2"/>
          </rPr>
          <t xml:space="preserve"> </t>
        </r>
      </text>
    </comment>
    <comment ref="E39" authorId="1" shapeId="0" xr:uid="{00000000-0006-0000-0500-00002A000000}">
      <text>
        <r>
          <rPr>
            <b/>
            <sz val="9"/>
            <color indexed="81"/>
            <rFont val="Tahoma"/>
            <family val="2"/>
          </rPr>
          <t>Best 6 (</t>
        </r>
        <r>
          <rPr>
            <b/>
            <sz val="9"/>
            <color indexed="81"/>
            <rFont val="細明體"/>
            <family val="3"/>
            <charset val="136"/>
          </rPr>
          <t>包括英文</t>
        </r>
        <r>
          <rPr>
            <b/>
            <sz val="9"/>
            <color indexed="81"/>
            <rFont val="Tahoma"/>
            <family val="2"/>
          </rPr>
          <t xml:space="preserve">)
</t>
        </r>
        <r>
          <rPr>
            <b/>
            <sz val="9"/>
            <color indexed="81"/>
            <rFont val="細明體"/>
            <family val="3"/>
            <charset val="136"/>
          </rPr>
          <t xml:space="preserve">
</t>
        </r>
        <r>
          <rPr>
            <b/>
            <sz val="9"/>
            <color indexed="81"/>
            <rFont val="Tahoma"/>
            <family val="2"/>
          </rPr>
          <t xml:space="preserve">x2.5: </t>
        </r>
        <r>
          <rPr>
            <sz val="9"/>
            <color indexed="81"/>
            <rFont val="細明體"/>
            <family val="3"/>
            <charset val="136"/>
          </rPr>
          <t>英文、數學、物理、</t>
        </r>
        <r>
          <rPr>
            <sz val="9"/>
            <color indexed="81"/>
            <rFont val="Tahoma"/>
            <family val="2"/>
          </rPr>
          <t>M1/2</t>
        </r>
        <r>
          <rPr>
            <sz val="9"/>
            <color indexed="81"/>
            <rFont val="細明體"/>
            <family val="3"/>
            <charset val="136"/>
          </rPr>
          <t>、組合科學</t>
        </r>
        <r>
          <rPr>
            <sz val="9"/>
            <color indexed="81"/>
            <rFont val="Tahoma"/>
            <family val="2"/>
          </rPr>
          <t>(</t>
        </r>
        <r>
          <rPr>
            <sz val="9"/>
            <color indexed="81"/>
            <rFont val="細明體"/>
            <family val="3"/>
            <charset val="136"/>
          </rPr>
          <t>含物理</t>
        </r>
        <r>
          <rPr>
            <sz val="9"/>
            <color indexed="81"/>
            <rFont val="Tahoma"/>
            <family val="2"/>
          </rPr>
          <t>)</t>
        </r>
        <r>
          <rPr>
            <sz val="9"/>
            <color indexed="81"/>
            <rFont val="細明體"/>
            <family val="3"/>
            <charset val="136"/>
          </rPr>
          <t xml:space="preserve">、綜合科學
</t>
        </r>
        <r>
          <rPr>
            <b/>
            <sz val="9"/>
            <color indexed="81"/>
            <rFont val="Tahoma"/>
            <family val="2"/>
          </rPr>
          <t xml:space="preserve">x1.5: </t>
        </r>
        <r>
          <rPr>
            <sz val="9"/>
            <color indexed="81"/>
            <rFont val="細明體"/>
            <family val="3"/>
            <charset val="136"/>
          </rPr>
          <t>中文</t>
        </r>
      </text>
    </comment>
    <comment ref="R39" authorId="0" shapeId="0" xr:uid="{24ED597D-23AB-442F-913F-8BFD480B3C17}">
      <text>
        <r>
          <rPr>
            <b/>
            <sz val="9"/>
            <color indexed="81"/>
            <rFont val="細明體"/>
            <family val="3"/>
            <charset val="136"/>
          </rPr>
          <t>以下一科</t>
        </r>
        <r>
          <rPr>
            <b/>
            <sz val="9"/>
            <color indexed="81"/>
            <rFont val="Tahoma"/>
            <family val="2"/>
          </rPr>
          <t xml:space="preserve">:
</t>
        </r>
        <r>
          <rPr>
            <sz val="9"/>
            <color indexed="81"/>
            <rFont val="Tahoma"/>
            <family val="2"/>
          </rPr>
          <t xml:space="preserve">- </t>
        </r>
        <r>
          <rPr>
            <sz val="9"/>
            <color indexed="81"/>
            <rFont val="細明體"/>
            <family val="3"/>
            <charset val="136"/>
          </rPr>
          <t>組合科學</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 xml:space="preserve">綜合科學
</t>
        </r>
        <r>
          <rPr>
            <sz val="9"/>
            <color indexed="81"/>
            <rFont val="Tahoma"/>
            <family val="2"/>
          </rPr>
          <t xml:space="preserve">- </t>
        </r>
        <r>
          <rPr>
            <sz val="9"/>
            <color indexed="81"/>
            <rFont val="細明體"/>
            <family val="3"/>
            <charset val="136"/>
          </rPr>
          <t>物理</t>
        </r>
        <r>
          <rPr>
            <sz val="9"/>
            <color indexed="81"/>
            <rFont val="Tahoma"/>
            <family val="2"/>
          </rPr>
          <t xml:space="preserve">
</t>
        </r>
      </text>
    </comment>
    <comment ref="E40" authorId="0" shapeId="0" xr:uid="{00000000-0006-0000-0500-00002B000000}">
      <text>
        <r>
          <rPr>
            <b/>
            <sz val="9"/>
            <color indexed="81"/>
            <rFont val="Tahoma"/>
            <family val="2"/>
          </rPr>
          <t xml:space="preserve">x2: </t>
        </r>
        <r>
          <rPr>
            <sz val="9"/>
            <color indexed="81"/>
            <rFont val="細明體"/>
            <family val="3"/>
            <charset val="136"/>
          </rPr>
          <t>英文，化學</t>
        </r>
        <r>
          <rPr>
            <sz val="9"/>
            <color indexed="81"/>
            <rFont val="Tahoma"/>
            <family val="2"/>
          </rPr>
          <t xml:space="preserve">
</t>
        </r>
        <r>
          <rPr>
            <b/>
            <sz val="9"/>
            <color indexed="81"/>
            <rFont val="Tahoma"/>
            <family val="2"/>
          </rPr>
          <t xml:space="preserve">x1.5: </t>
        </r>
        <r>
          <rPr>
            <sz val="9"/>
            <color indexed="81"/>
            <rFont val="細明體"/>
            <family val="3"/>
            <charset val="136"/>
          </rPr>
          <t>數學，組合科學</t>
        </r>
        <r>
          <rPr>
            <sz val="9"/>
            <color indexed="81"/>
            <rFont val="Tahoma"/>
            <family val="2"/>
          </rPr>
          <t>(</t>
        </r>
        <r>
          <rPr>
            <sz val="9"/>
            <color indexed="81"/>
            <rFont val="細明體"/>
            <family val="3"/>
            <charset val="136"/>
          </rPr>
          <t>化學</t>
        </r>
        <r>
          <rPr>
            <sz val="9"/>
            <color indexed="81"/>
            <rFont val="Tahoma"/>
            <family val="2"/>
          </rPr>
          <t>)</t>
        </r>
      </text>
    </comment>
    <comment ref="P40" authorId="0" shapeId="0" xr:uid="{B8F809E6-C060-492E-AAEB-91A4A839E82A}">
      <text>
        <r>
          <rPr>
            <sz val="9"/>
            <color indexed="81"/>
            <rFont val="細明體"/>
            <family val="3"/>
            <charset val="136"/>
          </rPr>
          <t>若於數學科中只獲</t>
        </r>
        <r>
          <rPr>
            <sz val="9"/>
            <color indexed="81"/>
            <rFont val="Tahoma"/>
            <family val="2"/>
          </rPr>
          <t>Lv.2</t>
        </r>
        <r>
          <rPr>
            <sz val="9"/>
            <color indexed="81"/>
            <rFont val="細明體"/>
            <family val="3"/>
            <charset val="136"/>
          </rPr>
          <t>的成績︰
則需在</t>
        </r>
        <r>
          <rPr>
            <b/>
            <sz val="9"/>
            <color indexed="81"/>
            <rFont val="細明體"/>
            <family val="3"/>
            <charset val="136"/>
          </rPr>
          <t>以下一科</t>
        </r>
        <r>
          <rPr>
            <sz val="9"/>
            <color indexed="81"/>
            <rFont val="細明體"/>
            <family val="3"/>
            <charset val="136"/>
          </rPr>
          <t>取得</t>
        </r>
        <r>
          <rPr>
            <sz val="9"/>
            <color indexed="81"/>
            <rFont val="Tahoma"/>
            <family val="2"/>
          </rPr>
          <t>Lv.3</t>
        </r>
        <r>
          <rPr>
            <sz val="9"/>
            <color indexed="81"/>
            <rFont val="細明體"/>
            <family val="3"/>
            <charset val="136"/>
          </rPr>
          <t xml:space="preserve">︰
</t>
        </r>
        <r>
          <rPr>
            <sz val="9"/>
            <color indexed="81"/>
            <rFont val="Tahoma"/>
            <family val="2"/>
          </rPr>
          <t xml:space="preserve">- BAFS
-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t>
        </r>
        <r>
          <rPr>
            <sz val="9"/>
            <color indexed="81"/>
            <rFont val="細明體"/>
            <family val="3"/>
            <charset val="136"/>
          </rPr>
          <t>物理</t>
        </r>
        <r>
          <rPr>
            <sz val="9"/>
            <color indexed="81"/>
            <rFont val="Tahoma"/>
            <family val="2"/>
          </rPr>
          <t xml:space="preserve">
</t>
        </r>
      </text>
    </comment>
    <comment ref="R40" authorId="2" shapeId="0" xr:uid="{00000000-0006-0000-0500-00002D000000}">
      <text>
        <r>
          <rPr>
            <b/>
            <sz val="9"/>
            <color indexed="81"/>
            <rFont val="細明體"/>
            <family val="3"/>
            <charset val="136"/>
          </rPr>
          <t>以下一科︰</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化學</t>
        </r>
        <r>
          <rPr>
            <sz val="9"/>
            <color indexed="81"/>
            <rFont val="Tahoma"/>
            <family val="2"/>
          </rPr>
          <t>)</t>
        </r>
      </text>
    </comment>
    <comment ref="S40" authorId="2" shapeId="0" xr:uid="{00000000-0006-0000-0500-00002E000000}">
      <text>
        <r>
          <rPr>
            <sz val="9"/>
            <color indexed="81"/>
            <rFont val="細明體"/>
            <family val="3"/>
            <charset val="136"/>
          </rPr>
          <t>若於數學科中獲</t>
        </r>
        <r>
          <rPr>
            <sz val="9"/>
            <color indexed="81"/>
            <rFont val="Tahoma"/>
            <family val="2"/>
          </rPr>
          <t>Lv.3</t>
        </r>
        <r>
          <rPr>
            <sz val="9"/>
            <color indexed="81"/>
            <rFont val="細明體"/>
            <family val="3"/>
            <charset val="136"/>
          </rPr>
          <t>或以上的成績︰</t>
        </r>
        <r>
          <rPr>
            <b/>
            <sz val="9"/>
            <color indexed="81"/>
            <rFont val="細明體"/>
            <family val="3"/>
            <charset val="136"/>
          </rPr>
          <t xml:space="preserve">
任何一科
</t>
        </r>
        <r>
          <rPr>
            <sz val="9"/>
            <color indexed="81"/>
            <rFont val="細明體"/>
            <family val="3"/>
            <charset val="136"/>
          </rPr>
          <t>若於數學科中只獲</t>
        </r>
        <r>
          <rPr>
            <sz val="9"/>
            <color indexed="81"/>
            <rFont val="Tahoma"/>
            <family val="2"/>
          </rPr>
          <t>Lv.2</t>
        </r>
        <r>
          <rPr>
            <sz val="9"/>
            <color indexed="81"/>
            <rFont val="細明體"/>
            <family val="3"/>
            <charset val="136"/>
          </rPr>
          <t>的成績</t>
        </r>
        <r>
          <rPr>
            <b/>
            <sz val="9"/>
            <color indexed="81"/>
            <rFont val="細明體"/>
            <family val="3"/>
            <charset val="136"/>
          </rPr>
          <t>︰
以下一科︰</t>
        </r>
        <r>
          <rPr>
            <sz val="9"/>
            <color indexed="81"/>
            <rFont val="細明體"/>
            <family val="3"/>
            <charset val="136"/>
          </rPr>
          <t xml:space="preserve">
</t>
        </r>
        <r>
          <rPr>
            <sz val="9"/>
            <color indexed="81"/>
            <rFont val="Tahoma"/>
            <family val="2"/>
          </rPr>
          <t xml:space="preserve">- BAFS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綜合科學</t>
        </r>
        <r>
          <rPr>
            <sz val="9"/>
            <color indexed="81"/>
            <rFont val="Tahoma"/>
            <family val="2"/>
          </rPr>
          <t xml:space="preserve">
- ICT
- </t>
        </r>
        <r>
          <rPr>
            <sz val="9"/>
            <color indexed="81"/>
            <rFont val="細明體"/>
            <family val="3"/>
            <charset val="136"/>
          </rPr>
          <t>物理</t>
        </r>
      </text>
    </comment>
    <comment ref="E41" authorId="1" shapeId="0" xr:uid="{00000000-0006-0000-0500-00002F000000}">
      <text>
        <r>
          <rPr>
            <b/>
            <sz val="9"/>
            <color indexed="81"/>
            <rFont val="Tahoma"/>
            <family val="2"/>
          </rPr>
          <t>Best 5 (</t>
        </r>
        <r>
          <rPr>
            <b/>
            <sz val="9"/>
            <color indexed="81"/>
            <rFont val="細明體"/>
            <family val="3"/>
            <charset val="136"/>
          </rPr>
          <t>包括英文、數學、最佳理科</t>
        </r>
        <r>
          <rPr>
            <b/>
            <sz val="9"/>
            <color indexed="81"/>
            <rFont val="Tahoma"/>
            <family val="2"/>
          </rPr>
          <t xml:space="preserve">*)
*: </t>
        </r>
        <r>
          <rPr>
            <sz val="9"/>
            <color indexed="81"/>
            <rFont val="細明體"/>
            <family val="3"/>
            <charset val="136"/>
          </rPr>
          <t>生物、化學、組合科學、</t>
        </r>
        <r>
          <rPr>
            <sz val="9"/>
            <color indexed="81"/>
            <rFont val="Tahoma"/>
            <family val="2"/>
          </rPr>
          <t>ICT</t>
        </r>
        <r>
          <rPr>
            <sz val="9"/>
            <color indexed="81"/>
            <rFont val="細明體"/>
            <family val="3"/>
            <charset val="136"/>
          </rPr>
          <t>、綜合科學、</t>
        </r>
        <r>
          <rPr>
            <sz val="9"/>
            <color indexed="81"/>
            <rFont val="Tahoma"/>
            <family val="2"/>
          </rPr>
          <t>M1/2</t>
        </r>
        <r>
          <rPr>
            <sz val="9"/>
            <color indexed="81"/>
            <rFont val="細明體"/>
            <family val="3"/>
            <charset val="136"/>
          </rPr>
          <t>、物理</t>
        </r>
      </text>
    </comment>
    <comment ref="R41" authorId="2" shapeId="0" xr:uid="{00000000-0006-0000-0500-000031000000}">
      <text>
        <r>
          <rPr>
            <b/>
            <sz val="9"/>
            <color indexed="81"/>
            <rFont val="細明體"/>
            <family val="3"/>
            <charset val="136"/>
          </rPr>
          <t>以下一科︰</t>
        </r>
        <r>
          <rPr>
            <sz val="9"/>
            <color indexed="81"/>
            <rFont val="Tahoma"/>
            <family val="2"/>
          </rPr>
          <t xml:space="preserve">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 ICT
- M1/2
- </t>
        </r>
        <r>
          <rPr>
            <sz val="9"/>
            <color indexed="81"/>
            <rFont val="細明體"/>
            <family val="3"/>
            <charset val="136"/>
          </rPr>
          <t>物理</t>
        </r>
      </text>
    </comment>
    <comment ref="E42" authorId="0" shapeId="0" xr:uid="{00000000-0006-0000-0500-000032000000}">
      <text>
        <r>
          <rPr>
            <b/>
            <sz val="9"/>
            <color indexed="81"/>
            <rFont val="Tahoma"/>
            <family val="2"/>
          </rPr>
          <t>Best 5 (</t>
        </r>
        <r>
          <rPr>
            <b/>
            <sz val="9"/>
            <color indexed="81"/>
            <rFont val="細明體"/>
            <family val="3"/>
            <charset val="136"/>
          </rPr>
          <t>包括英文、數學</t>
        </r>
        <r>
          <rPr>
            <b/>
            <sz val="9"/>
            <color indexed="81"/>
            <rFont val="Tahoma"/>
            <family val="2"/>
          </rPr>
          <t>)</t>
        </r>
        <r>
          <rPr>
            <b/>
            <sz val="9"/>
            <color indexed="81"/>
            <rFont val="細明體"/>
            <family val="3"/>
            <charset val="136"/>
          </rPr>
          <t xml:space="preserve">
</t>
        </r>
        <r>
          <rPr>
            <b/>
            <sz val="9"/>
            <color indexed="81"/>
            <rFont val="Tahoma"/>
            <family val="2"/>
          </rPr>
          <t xml:space="preserve">x2: </t>
        </r>
        <r>
          <rPr>
            <sz val="9"/>
            <color indexed="81"/>
            <rFont val="細明體"/>
            <family val="3"/>
            <charset val="136"/>
          </rPr>
          <t>英文、數學、組合科學</t>
        </r>
        <r>
          <rPr>
            <sz val="9"/>
            <color indexed="81"/>
            <rFont val="Tahoma"/>
            <family val="2"/>
          </rPr>
          <t>(</t>
        </r>
        <r>
          <rPr>
            <sz val="9"/>
            <color indexed="81"/>
            <rFont val="細明體"/>
            <family val="3"/>
            <charset val="136"/>
          </rPr>
          <t>物理、化學</t>
        </r>
        <r>
          <rPr>
            <sz val="9"/>
            <color indexed="81"/>
            <rFont val="Tahoma"/>
            <family val="2"/>
          </rPr>
          <t>)</t>
        </r>
        <r>
          <rPr>
            <sz val="9"/>
            <color indexed="81"/>
            <rFont val="細明體"/>
            <family val="3"/>
            <charset val="136"/>
          </rPr>
          <t>、組合科學</t>
        </r>
        <r>
          <rPr>
            <sz val="9"/>
            <color indexed="81"/>
            <rFont val="Tahoma"/>
            <family val="2"/>
          </rPr>
          <t>(</t>
        </r>
        <r>
          <rPr>
            <sz val="9"/>
            <color indexed="81"/>
            <rFont val="細明體"/>
            <family val="3"/>
            <charset val="136"/>
          </rPr>
          <t>物理、生物</t>
        </r>
        <r>
          <rPr>
            <sz val="9"/>
            <color indexed="81"/>
            <rFont val="Tahoma"/>
            <family val="2"/>
          </rPr>
          <t>)</t>
        </r>
        <r>
          <rPr>
            <sz val="9"/>
            <color indexed="81"/>
            <rFont val="細明體"/>
            <family val="3"/>
            <charset val="136"/>
          </rPr>
          <t>、物理、</t>
        </r>
        <r>
          <rPr>
            <sz val="9"/>
            <color indexed="81"/>
            <rFont val="Tahoma"/>
            <family val="2"/>
          </rPr>
          <t>ICT</t>
        </r>
        <r>
          <rPr>
            <sz val="9"/>
            <color indexed="81"/>
            <rFont val="細明體"/>
            <family val="3"/>
            <charset val="136"/>
          </rPr>
          <t>、</t>
        </r>
        <r>
          <rPr>
            <sz val="9"/>
            <color indexed="81"/>
            <rFont val="Tahoma"/>
            <family val="2"/>
          </rPr>
          <t xml:space="preserve">M1/2
</t>
        </r>
        <r>
          <rPr>
            <b/>
            <sz val="9"/>
            <color indexed="81"/>
            <rFont val="Tahoma"/>
            <family val="2"/>
          </rPr>
          <t xml:space="preserve">x1.5: </t>
        </r>
        <r>
          <rPr>
            <sz val="9"/>
            <color indexed="81"/>
            <rFont val="細明體"/>
            <family val="3"/>
            <charset val="136"/>
          </rPr>
          <t>組合科學</t>
        </r>
        <r>
          <rPr>
            <sz val="9"/>
            <color indexed="81"/>
            <rFont val="Tahoma"/>
            <family val="2"/>
          </rPr>
          <t>(</t>
        </r>
        <r>
          <rPr>
            <sz val="9"/>
            <color indexed="81"/>
            <rFont val="細明體"/>
            <family val="3"/>
            <charset val="136"/>
          </rPr>
          <t>生物、化學</t>
        </r>
        <r>
          <rPr>
            <sz val="9"/>
            <color indexed="81"/>
            <rFont val="Tahoma"/>
            <family val="2"/>
          </rPr>
          <t>)</t>
        </r>
        <r>
          <rPr>
            <sz val="9"/>
            <color indexed="81"/>
            <rFont val="細明體"/>
            <family val="3"/>
            <charset val="136"/>
          </rPr>
          <t>、生物、化學、綜合科學</t>
        </r>
      </text>
    </comment>
    <comment ref="R42" authorId="2" shapeId="0" xr:uid="{00000000-0006-0000-0500-000033000000}">
      <text>
        <r>
          <rPr>
            <b/>
            <sz val="9"/>
            <color indexed="81"/>
            <rFont val="細明體"/>
            <family val="3"/>
            <charset val="136"/>
          </rPr>
          <t xml:space="preserve">以下一科︰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E43" authorId="0" shapeId="0" xr:uid="{00000000-0006-0000-0500-000034000000}">
      <text>
        <r>
          <rPr>
            <b/>
            <sz val="9"/>
            <color indexed="81"/>
            <rFont val="Tahoma"/>
            <family val="2"/>
          </rPr>
          <t>Best 5 (</t>
        </r>
        <r>
          <rPr>
            <b/>
            <sz val="9"/>
            <color indexed="81"/>
            <rFont val="細明體"/>
            <family val="3"/>
            <charset val="136"/>
          </rPr>
          <t>包括數學</t>
        </r>
        <r>
          <rPr>
            <b/>
            <sz val="9"/>
            <color indexed="81"/>
            <rFont val="Tahoma"/>
            <family val="2"/>
          </rPr>
          <t>)</t>
        </r>
        <r>
          <rPr>
            <b/>
            <sz val="9"/>
            <color indexed="81"/>
            <rFont val="細明體"/>
            <family val="3"/>
            <charset val="136"/>
          </rPr>
          <t xml:space="preserve">
</t>
        </r>
        <r>
          <rPr>
            <b/>
            <sz val="9"/>
            <color indexed="81"/>
            <rFont val="Tahoma"/>
            <family val="2"/>
          </rPr>
          <t xml:space="preserve">x2.5: </t>
        </r>
        <r>
          <rPr>
            <sz val="9"/>
            <color indexed="81"/>
            <rFont val="細明體"/>
            <family val="3"/>
            <charset val="136"/>
          </rPr>
          <t xml:space="preserve">數學
</t>
        </r>
        <r>
          <rPr>
            <sz val="9"/>
            <color indexed="81"/>
            <rFont val="Tahoma"/>
            <family val="2"/>
          </rPr>
          <t xml:space="preserve">
</t>
        </r>
        <r>
          <rPr>
            <b/>
            <sz val="9"/>
            <color indexed="81"/>
            <rFont val="Tahoma"/>
            <family val="2"/>
          </rPr>
          <t xml:space="preserve">x2: </t>
        </r>
        <r>
          <rPr>
            <sz val="9"/>
            <color indexed="81"/>
            <rFont val="細明體"/>
            <family val="3"/>
            <charset val="136"/>
          </rPr>
          <t>英文、</t>
        </r>
        <r>
          <rPr>
            <sz val="9"/>
            <color indexed="81"/>
            <rFont val="Tahoma"/>
            <family val="2"/>
          </rPr>
          <t xml:space="preserve">M1/2
</t>
        </r>
        <r>
          <rPr>
            <b/>
            <sz val="9"/>
            <color indexed="81"/>
            <rFont val="Tahoma"/>
            <family val="2"/>
          </rPr>
          <t xml:space="preserve">x1.5: </t>
        </r>
        <r>
          <rPr>
            <sz val="9"/>
            <color indexed="81"/>
            <rFont val="細明體"/>
            <family val="3"/>
            <charset val="136"/>
          </rPr>
          <t>組合科學，生物，化學，物理</t>
        </r>
      </text>
    </comment>
    <comment ref="R43" authorId="2" shapeId="0" xr:uid="{00000000-0006-0000-0500-000036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BAFS</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E44" authorId="0" shapeId="0" xr:uid="{00000000-0006-0000-0500-000037000000}">
      <text>
        <r>
          <rPr>
            <b/>
            <sz val="9"/>
            <color indexed="81"/>
            <rFont val="Tahoma"/>
            <family val="2"/>
          </rPr>
          <t>Best 6 (</t>
        </r>
        <r>
          <rPr>
            <b/>
            <sz val="9"/>
            <color indexed="81"/>
            <rFont val="細明體"/>
            <family val="3"/>
            <charset val="136"/>
          </rPr>
          <t>包括數學</t>
        </r>
        <r>
          <rPr>
            <b/>
            <sz val="9"/>
            <color indexed="81"/>
            <rFont val="Tahoma"/>
            <family val="2"/>
          </rPr>
          <t>)</t>
        </r>
        <r>
          <rPr>
            <b/>
            <sz val="9"/>
            <color indexed="81"/>
            <rFont val="細明體"/>
            <family val="3"/>
            <charset val="136"/>
          </rPr>
          <t xml:space="preserve">
</t>
        </r>
        <r>
          <rPr>
            <b/>
            <sz val="9"/>
            <color indexed="81"/>
            <rFont val="Tahoma"/>
            <family val="2"/>
          </rPr>
          <t>x2:</t>
        </r>
        <r>
          <rPr>
            <sz val="9"/>
            <color indexed="81"/>
            <rFont val="Tahoma"/>
            <family val="2"/>
          </rPr>
          <t xml:space="preserve"> </t>
        </r>
        <r>
          <rPr>
            <sz val="9"/>
            <color indexed="81"/>
            <rFont val="細明體"/>
            <family val="3"/>
            <charset val="136"/>
          </rPr>
          <t>英文，數學，物理</t>
        </r>
        <r>
          <rPr>
            <sz val="9"/>
            <color indexed="81"/>
            <rFont val="Tahoma"/>
            <family val="2"/>
          </rPr>
          <t xml:space="preserve">
</t>
        </r>
        <r>
          <rPr>
            <b/>
            <sz val="9"/>
            <color indexed="81"/>
            <rFont val="Tahoma"/>
            <family val="2"/>
          </rPr>
          <t xml:space="preserve">x1.5: </t>
        </r>
        <r>
          <rPr>
            <sz val="9"/>
            <color indexed="81"/>
            <rFont val="細明體"/>
            <family val="3"/>
            <charset val="136"/>
          </rPr>
          <t>組合科學</t>
        </r>
        <r>
          <rPr>
            <sz val="9"/>
            <color indexed="81"/>
            <rFont val="細明體"/>
            <family val="3"/>
            <charset val="136"/>
          </rPr>
          <t>，化學，</t>
        </r>
        <r>
          <rPr>
            <sz val="9"/>
            <color indexed="81"/>
            <rFont val="Tahoma"/>
            <family val="2"/>
          </rPr>
          <t>DAT</t>
        </r>
        <r>
          <rPr>
            <sz val="9"/>
            <color indexed="81"/>
            <rFont val="細明體"/>
            <family val="3"/>
            <charset val="136"/>
          </rPr>
          <t>，</t>
        </r>
        <r>
          <rPr>
            <sz val="9"/>
            <color indexed="81"/>
            <rFont val="Tahoma"/>
            <family val="2"/>
          </rPr>
          <t>M1/2</t>
        </r>
      </text>
    </comment>
    <comment ref="R44" authorId="2" shapeId="0" xr:uid="{00000000-0006-0000-0500-00003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DAT
- M1/2
- </t>
        </r>
        <r>
          <rPr>
            <sz val="9"/>
            <color indexed="81"/>
            <rFont val="細明體"/>
            <family val="3"/>
            <charset val="136"/>
          </rPr>
          <t>物理</t>
        </r>
      </text>
    </comment>
    <comment ref="E45" authorId="0" shapeId="0" xr:uid="{00000000-0006-0000-0500-000039000000}">
      <text>
        <r>
          <rPr>
            <b/>
            <sz val="9"/>
            <color indexed="81"/>
            <rFont val="Tahoma"/>
            <family val="2"/>
          </rPr>
          <t>Best 5 (</t>
        </r>
        <r>
          <rPr>
            <b/>
            <sz val="9"/>
            <color indexed="81"/>
            <rFont val="細明體"/>
            <family val="3"/>
            <charset val="136"/>
          </rPr>
          <t>包括數學</t>
        </r>
        <r>
          <rPr>
            <b/>
            <sz val="9"/>
            <color indexed="81"/>
            <rFont val="Tahoma"/>
            <family val="2"/>
          </rPr>
          <t>)</t>
        </r>
        <r>
          <rPr>
            <b/>
            <sz val="9"/>
            <color indexed="81"/>
            <rFont val="細明體"/>
            <family val="3"/>
            <charset val="136"/>
          </rPr>
          <t xml:space="preserve">
</t>
        </r>
        <r>
          <rPr>
            <b/>
            <sz val="9"/>
            <color indexed="81"/>
            <rFont val="Tahoma"/>
            <family val="2"/>
          </rPr>
          <t xml:space="preserve">x2: </t>
        </r>
        <r>
          <rPr>
            <sz val="9"/>
            <color indexed="81"/>
            <rFont val="細明體"/>
            <family val="3"/>
            <charset val="136"/>
          </rPr>
          <t xml:space="preserve">英文，物理
</t>
        </r>
        <r>
          <rPr>
            <b/>
            <sz val="9"/>
            <color indexed="81"/>
            <rFont val="細明體"/>
            <family val="3"/>
            <charset val="136"/>
          </rPr>
          <t xml:space="preserve">
</t>
        </r>
        <r>
          <rPr>
            <b/>
            <sz val="9"/>
            <color indexed="81"/>
            <rFont val="Tahoma"/>
            <family val="2"/>
          </rPr>
          <t xml:space="preserve">x1.5: </t>
        </r>
        <r>
          <rPr>
            <sz val="9"/>
            <color indexed="81"/>
            <rFont val="Tahoma"/>
            <family val="2"/>
          </rPr>
          <t xml:space="preserve">M1/2
</t>
        </r>
        <r>
          <rPr>
            <b/>
            <sz val="9"/>
            <color indexed="81"/>
            <rFont val="Tahoma"/>
            <family val="2"/>
          </rPr>
          <t>x1.25:</t>
        </r>
        <r>
          <rPr>
            <sz val="9"/>
            <color indexed="81"/>
            <rFont val="Tahoma"/>
            <family val="2"/>
          </rPr>
          <t xml:space="preserve"> </t>
        </r>
        <r>
          <rPr>
            <sz val="9"/>
            <color indexed="81"/>
            <rFont val="細明體"/>
            <family val="3"/>
            <charset val="136"/>
          </rPr>
          <t>數學</t>
        </r>
      </text>
    </comment>
    <comment ref="R45" authorId="2" shapeId="0" xr:uid="{00000000-0006-0000-0500-00003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E46" authorId="0" shapeId="0" xr:uid="{00000000-0006-0000-0500-00003C000000}">
      <text>
        <r>
          <rPr>
            <b/>
            <sz val="9"/>
            <color indexed="81"/>
            <rFont val="Tahoma"/>
            <family val="2"/>
          </rPr>
          <t>Best 6 (</t>
        </r>
        <r>
          <rPr>
            <b/>
            <sz val="9"/>
            <color indexed="81"/>
            <rFont val="細明體"/>
            <family val="3"/>
            <charset val="136"/>
          </rPr>
          <t>包括英文、數學、最佳理科</t>
        </r>
        <r>
          <rPr>
            <b/>
            <sz val="9"/>
            <color indexed="81"/>
            <rFont val="Tahoma"/>
            <family val="2"/>
          </rPr>
          <t>*)</t>
        </r>
        <r>
          <rPr>
            <b/>
            <sz val="9"/>
            <color indexed="81"/>
            <rFont val="細明體"/>
            <family val="3"/>
            <charset val="136"/>
          </rPr>
          <t xml:space="preserve">
</t>
        </r>
        <r>
          <rPr>
            <b/>
            <sz val="9"/>
            <color indexed="81"/>
            <rFont val="Tahoma"/>
            <family val="2"/>
          </rPr>
          <t xml:space="preserve">
2021</t>
        </r>
        <r>
          <rPr>
            <b/>
            <sz val="9"/>
            <color indexed="81"/>
            <rFont val="細明體"/>
            <family val="3"/>
            <charset val="136"/>
          </rPr>
          <t xml:space="preserve">年將以新比重收生
</t>
        </r>
        <r>
          <rPr>
            <sz val="9"/>
            <color indexed="81"/>
            <rFont val="Tahoma"/>
            <family val="2"/>
          </rPr>
          <t>(</t>
        </r>
        <r>
          <rPr>
            <b/>
            <sz val="9"/>
            <color indexed="81"/>
            <rFont val="Tahoma"/>
            <family val="2"/>
          </rPr>
          <t>x2:</t>
        </r>
        <r>
          <rPr>
            <sz val="9"/>
            <color indexed="81"/>
            <rFont val="Tahoma"/>
            <family val="2"/>
          </rPr>
          <t xml:space="preserve"> </t>
        </r>
        <r>
          <rPr>
            <sz val="9"/>
            <color indexed="81"/>
            <rFont val="細明體"/>
            <family val="3"/>
            <charset val="136"/>
          </rPr>
          <t>數學、物理</t>
        </r>
        <r>
          <rPr>
            <b/>
            <sz val="9"/>
            <color indexed="81"/>
            <rFont val="細明體"/>
            <family val="3"/>
            <charset val="136"/>
          </rPr>
          <t xml:space="preserve">
</t>
        </r>
        <r>
          <rPr>
            <b/>
            <sz val="9"/>
            <color indexed="81"/>
            <rFont val="Tahoma"/>
            <family val="2"/>
          </rPr>
          <t xml:space="preserve">x1.5: </t>
        </r>
        <r>
          <rPr>
            <sz val="9"/>
            <color indexed="81"/>
            <rFont val="細明體"/>
            <family val="3"/>
            <charset val="136"/>
          </rPr>
          <t>英文、生物、化學、</t>
        </r>
        <r>
          <rPr>
            <sz val="9"/>
            <color indexed="81"/>
            <rFont val="Tahoma"/>
            <family val="2"/>
          </rPr>
          <t>M1/2)</t>
        </r>
        <r>
          <rPr>
            <b/>
            <sz val="9"/>
            <color indexed="81"/>
            <rFont val="Tahoma"/>
            <family val="2"/>
          </rPr>
          <t xml:space="preserve">
</t>
        </r>
        <r>
          <rPr>
            <b/>
            <sz val="9"/>
            <color indexed="81"/>
            <rFont val="細明體"/>
            <family val="3"/>
            <charset val="136"/>
          </rPr>
          <t xml:space="preserve">
此處仍以原本比重作估算，請注意
</t>
        </r>
        <r>
          <rPr>
            <b/>
            <sz val="9"/>
            <color indexed="81"/>
            <rFont val="Tahoma"/>
            <family val="2"/>
          </rPr>
          <t xml:space="preserve">x2: </t>
        </r>
        <r>
          <rPr>
            <sz val="9"/>
            <color indexed="81"/>
            <rFont val="細明體"/>
            <family val="3"/>
            <charset val="136"/>
          </rPr>
          <t xml:space="preserve">英文，物理
</t>
        </r>
        <r>
          <rPr>
            <b/>
            <sz val="9"/>
            <color indexed="81"/>
            <rFont val="Tahoma"/>
            <family val="2"/>
          </rPr>
          <t>x1.5:</t>
        </r>
        <r>
          <rPr>
            <sz val="9"/>
            <color indexed="81"/>
            <rFont val="Tahoma"/>
            <family val="2"/>
          </rPr>
          <t xml:space="preserve"> </t>
        </r>
        <r>
          <rPr>
            <sz val="9"/>
            <color indexed="81"/>
            <rFont val="細明體"/>
            <family val="3"/>
            <charset val="136"/>
          </rPr>
          <t>生物、化學、</t>
        </r>
        <r>
          <rPr>
            <sz val="9"/>
            <color indexed="81"/>
            <rFont val="Tahoma"/>
            <family val="2"/>
          </rPr>
          <t xml:space="preserve">M1/2
</t>
        </r>
        <r>
          <rPr>
            <b/>
            <sz val="9"/>
            <color indexed="81"/>
            <rFont val="Tahoma"/>
            <family val="2"/>
          </rPr>
          <t xml:space="preserve">*: </t>
        </r>
        <r>
          <rPr>
            <sz val="9"/>
            <color indexed="81"/>
            <rFont val="細明體"/>
            <family val="3"/>
            <charset val="136"/>
          </rPr>
          <t>生物、化學、組合科學</t>
        </r>
        <r>
          <rPr>
            <sz val="9"/>
            <color indexed="81"/>
            <rFont val="Tahoma"/>
            <family val="2"/>
          </rPr>
          <t>(</t>
        </r>
        <r>
          <rPr>
            <sz val="9"/>
            <color indexed="81"/>
            <rFont val="細明體"/>
            <family val="3"/>
            <charset val="136"/>
          </rPr>
          <t>物理</t>
        </r>
        <r>
          <rPr>
            <sz val="9"/>
            <color indexed="81"/>
            <rFont val="Tahoma"/>
            <family val="2"/>
          </rPr>
          <t>)</t>
        </r>
        <r>
          <rPr>
            <sz val="9"/>
            <color indexed="81"/>
            <rFont val="細明體"/>
            <family val="3"/>
            <charset val="136"/>
          </rPr>
          <t>、綜合科學、</t>
        </r>
        <r>
          <rPr>
            <sz val="9"/>
            <color indexed="81"/>
            <rFont val="Tahoma"/>
            <family val="2"/>
          </rPr>
          <t>DAT</t>
        </r>
        <r>
          <rPr>
            <sz val="9"/>
            <color indexed="81"/>
            <rFont val="細明體"/>
            <family val="3"/>
            <charset val="136"/>
          </rPr>
          <t>、</t>
        </r>
        <r>
          <rPr>
            <sz val="9"/>
            <color indexed="81"/>
            <rFont val="Tahoma"/>
            <family val="2"/>
          </rPr>
          <t>M1/2</t>
        </r>
        <r>
          <rPr>
            <sz val="9"/>
            <color indexed="81"/>
            <rFont val="細明體"/>
            <family val="3"/>
            <charset val="136"/>
          </rPr>
          <t>、物理</t>
        </r>
        <r>
          <rPr>
            <sz val="9"/>
            <color indexed="81"/>
            <rFont val="Tahoma"/>
            <family val="2"/>
          </rPr>
          <t>6</t>
        </r>
      </text>
    </comment>
    <comment ref="R46" authorId="2" shapeId="0" xr:uid="{00000000-0006-0000-0500-00003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E47" authorId="0" shapeId="0" xr:uid="{00000000-0006-0000-0500-00003E000000}">
      <text>
        <r>
          <rPr>
            <b/>
            <sz val="9"/>
            <color indexed="81"/>
            <rFont val="Tahoma"/>
            <family val="2"/>
          </rPr>
          <t>Best 5 (</t>
        </r>
        <r>
          <rPr>
            <b/>
            <sz val="9"/>
            <color indexed="81"/>
            <rFont val="細明體"/>
            <family val="3"/>
            <charset val="136"/>
          </rPr>
          <t>若同學有修讀</t>
        </r>
        <r>
          <rPr>
            <b/>
            <sz val="9"/>
            <color indexed="81"/>
            <rFont val="Tahoma"/>
            <family val="2"/>
          </rPr>
          <t>M1/2</t>
        </r>
        <r>
          <rPr>
            <b/>
            <sz val="9"/>
            <color indexed="81"/>
            <rFont val="細明體"/>
            <family val="3"/>
            <charset val="136"/>
          </rPr>
          <t>及數學，則只會取其中較高分者</t>
        </r>
        <r>
          <rPr>
            <b/>
            <sz val="9"/>
            <color indexed="81"/>
            <rFont val="Tahoma"/>
            <family val="2"/>
          </rPr>
          <t>)</t>
        </r>
        <r>
          <rPr>
            <b/>
            <sz val="9"/>
            <color indexed="81"/>
            <rFont val="細明體"/>
            <family val="3"/>
            <charset val="136"/>
          </rPr>
          <t xml:space="preserve">
</t>
        </r>
        <r>
          <rPr>
            <b/>
            <sz val="9"/>
            <color indexed="81"/>
            <rFont val="Tahoma"/>
            <family val="2"/>
          </rPr>
          <t xml:space="preserve">x2: </t>
        </r>
        <r>
          <rPr>
            <sz val="9"/>
            <color indexed="81"/>
            <rFont val="細明體"/>
            <family val="3"/>
            <charset val="136"/>
          </rPr>
          <t>英文，數學、化學，物理，生物，組合科學、</t>
        </r>
        <r>
          <rPr>
            <sz val="9"/>
            <color indexed="81"/>
            <rFont val="Tahoma"/>
            <family val="2"/>
          </rPr>
          <t>M1/2</t>
        </r>
      </text>
    </comment>
    <comment ref="R47" authorId="2" shapeId="0" xr:uid="{00000000-0006-0000-0500-00003F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 </t>
        </r>
        <r>
          <rPr>
            <sz val="9"/>
            <color indexed="81"/>
            <rFont val="細明體"/>
            <family val="3"/>
            <charset val="136"/>
          </rPr>
          <t>物理</t>
        </r>
      </text>
    </comment>
    <comment ref="E48" authorId="1" shapeId="0" xr:uid="{00000000-0006-0000-0500-000040000000}">
      <text>
        <r>
          <rPr>
            <b/>
            <sz val="9"/>
            <color indexed="81"/>
            <rFont val="Tahoma"/>
            <family val="2"/>
          </rPr>
          <t>Best 5 (</t>
        </r>
        <r>
          <rPr>
            <b/>
            <sz val="9"/>
            <color indexed="81"/>
            <rFont val="細明體"/>
            <family val="3"/>
            <charset val="136"/>
          </rPr>
          <t>包含英文、數學</t>
        </r>
        <r>
          <rPr>
            <b/>
            <sz val="9"/>
            <color indexed="81"/>
            <rFont val="Tahoma"/>
            <family val="2"/>
          </rPr>
          <t>)</t>
        </r>
        <r>
          <rPr>
            <b/>
            <sz val="9"/>
            <color indexed="81"/>
            <rFont val="細明體"/>
            <family val="3"/>
            <charset val="136"/>
          </rPr>
          <t xml:space="preserve">
</t>
        </r>
        <r>
          <rPr>
            <b/>
            <sz val="9"/>
            <color indexed="81"/>
            <rFont val="Tahoma"/>
            <family val="2"/>
          </rPr>
          <t>x2:</t>
        </r>
        <r>
          <rPr>
            <sz val="9"/>
            <color indexed="81"/>
            <rFont val="Tahoma"/>
            <family val="2"/>
          </rPr>
          <t xml:space="preserve"> </t>
        </r>
        <r>
          <rPr>
            <sz val="9"/>
            <color indexed="81"/>
            <rFont val="細明體"/>
            <family val="3"/>
            <charset val="136"/>
          </rPr>
          <t>英文、數學、物理、</t>
        </r>
        <r>
          <rPr>
            <sz val="9"/>
            <color indexed="81"/>
            <rFont val="Tahoma"/>
            <family val="2"/>
          </rPr>
          <t>M1/2</t>
        </r>
        <r>
          <rPr>
            <sz val="9"/>
            <color indexed="81"/>
            <rFont val="細明體"/>
            <family val="3"/>
            <charset val="136"/>
          </rPr>
          <t>、</t>
        </r>
        <r>
          <rPr>
            <sz val="9"/>
            <color indexed="81"/>
            <rFont val="Tahoma"/>
            <family val="2"/>
          </rPr>
          <t xml:space="preserve">ICT
</t>
        </r>
        <r>
          <rPr>
            <b/>
            <sz val="9"/>
            <color indexed="81"/>
            <rFont val="Tahoma"/>
            <family val="2"/>
          </rPr>
          <t>x1.5:</t>
        </r>
        <r>
          <rPr>
            <sz val="9"/>
            <color indexed="81"/>
            <rFont val="Tahoma"/>
            <family val="2"/>
          </rPr>
          <t xml:space="preserve"> </t>
        </r>
        <r>
          <rPr>
            <sz val="9"/>
            <color indexed="81"/>
            <rFont val="細明體"/>
            <family val="3"/>
            <charset val="136"/>
          </rPr>
          <t>化學、組合科學</t>
        </r>
        <r>
          <rPr>
            <sz val="9"/>
            <color indexed="81"/>
            <rFont val="Tahoma"/>
            <family val="2"/>
          </rPr>
          <t>(</t>
        </r>
        <r>
          <rPr>
            <sz val="9"/>
            <color indexed="81"/>
            <rFont val="細明體"/>
            <family val="3"/>
            <charset val="136"/>
          </rPr>
          <t>含物理</t>
        </r>
        <r>
          <rPr>
            <sz val="9"/>
            <color indexed="81"/>
            <rFont val="Tahoma"/>
            <family val="2"/>
          </rPr>
          <t>)</t>
        </r>
        <r>
          <rPr>
            <sz val="9"/>
            <color indexed="81"/>
            <rFont val="細明體"/>
            <family val="3"/>
            <charset val="136"/>
          </rPr>
          <t>、</t>
        </r>
        <r>
          <rPr>
            <sz val="9"/>
            <color indexed="81"/>
            <rFont val="Tahoma"/>
            <family val="2"/>
          </rPr>
          <t>DAT</t>
        </r>
      </text>
    </comment>
    <comment ref="R48" authorId="2" shapeId="0" xr:uid="{00000000-0006-0000-0500-000041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DAT</t>
        </r>
        <r>
          <rPr>
            <sz val="9"/>
            <color indexed="81"/>
            <rFont val="細明體"/>
            <family val="3"/>
            <charset val="136"/>
          </rPr>
          <t xml:space="preserve">
</t>
        </r>
        <r>
          <rPr>
            <sz val="9"/>
            <color indexed="81"/>
            <rFont val="Tahoma"/>
            <family val="2"/>
          </rPr>
          <t xml:space="preserve">- ICT
- M1/2
- </t>
        </r>
        <r>
          <rPr>
            <sz val="9"/>
            <color indexed="81"/>
            <rFont val="細明體"/>
            <family val="3"/>
            <charset val="136"/>
          </rPr>
          <t>物理</t>
        </r>
      </text>
    </comment>
    <comment ref="E49" authorId="0" shapeId="0" xr:uid="{55B9ACBC-EC70-4F92-B1E6-C3696A937B3E}">
      <text>
        <r>
          <rPr>
            <b/>
            <sz val="9"/>
            <color indexed="81"/>
            <rFont val="Tahoma"/>
            <family val="2"/>
          </rPr>
          <t>2022</t>
        </r>
        <r>
          <rPr>
            <b/>
            <sz val="9"/>
            <color indexed="81"/>
            <rFont val="細明體"/>
            <family val="3"/>
            <charset val="136"/>
          </rPr>
          <t>年新科目</t>
        </r>
        <r>
          <rPr>
            <sz val="9"/>
            <color indexed="81"/>
            <rFont val="Tahoma"/>
            <family val="2"/>
          </rPr>
          <t xml:space="preserve">
</t>
        </r>
        <r>
          <rPr>
            <b/>
            <sz val="9"/>
            <color indexed="81"/>
            <rFont val="Tahoma"/>
            <family val="2"/>
          </rPr>
          <t>Best 6 (</t>
        </r>
        <r>
          <rPr>
            <b/>
            <sz val="9"/>
            <color indexed="81"/>
            <rFont val="細明體"/>
            <family val="3"/>
            <charset val="136"/>
          </rPr>
          <t>包含英文</t>
        </r>
        <r>
          <rPr>
            <b/>
            <sz val="9"/>
            <color indexed="81"/>
            <rFont val="Tahoma"/>
            <family val="2"/>
          </rPr>
          <t>)
x2:</t>
        </r>
        <r>
          <rPr>
            <sz val="9"/>
            <color indexed="81"/>
            <rFont val="Tahoma"/>
            <family val="2"/>
          </rPr>
          <t xml:space="preserve"> </t>
        </r>
        <r>
          <rPr>
            <sz val="9"/>
            <color indexed="81"/>
            <rFont val="細明體"/>
            <family val="3"/>
            <charset val="136"/>
          </rPr>
          <t>英文、數學、生物、化學、組合科學、</t>
        </r>
        <r>
          <rPr>
            <sz val="9"/>
            <color indexed="81"/>
            <rFont val="Tahoma"/>
            <family val="2"/>
          </rPr>
          <t>DAT</t>
        </r>
        <r>
          <rPr>
            <sz val="9"/>
            <color indexed="81"/>
            <rFont val="細明體"/>
            <family val="3"/>
            <charset val="136"/>
          </rPr>
          <t>、</t>
        </r>
        <r>
          <rPr>
            <sz val="9"/>
            <color indexed="81"/>
            <rFont val="Tahoma"/>
            <family val="2"/>
          </rPr>
          <t>ICT</t>
        </r>
        <r>
          <rPr>
            <sz val="9"/>
            <color indexed="81"/>
            <rFont val="細明體"/>
            <family val="3"/>
            <charset val="136"/>
          </rPr>
          <t>、綜合科學、</t>
        </r>
        <r>
          <rPr>
            <sz val="9"/>
            <color indexed="81"/>
            <rFont val="Tahoma"/>
            <family val="2"/>
          </rPr>
          <t>M1/2</t>
        </r>
        <r>
          <rPr>
            <sz val="9"/>
            <color indexed="81"/>
            <rFont val="細明體"/>
            <family val="3"/>
            <charset val="136"/>
          </rPr>
          <t>、物理</t>
        </r>
      </text>
    </comment>
    <comment ref="E50" authorId="0" shapeId="0" xr:uid="{62F105F0-4A7E-42A4-90B1-8320335048BF}">
      <text>
        <r>
          <rPr>
            <b/>
            <sz val="9"/>
            <color indexed="81"/>
            <rFont val="Tahoma"/>
            <family val="2"/>
          </rPr>
          <t>2022</t>
        </r>
        <r>
          <rPr>
            <b/>
            <sz val="9"/>
            <color indexed="81"/>
            <rFont val="細明體"/>
            <family val="3"/>
            <charset val="136"/>
          </rPr>
          <t xml:space="preserve">年新科目
</t>
        </r>
        <r>
          <rPr>
            <b/>
            <sz val="9"/>
            <color indexed="81"/>
            <rFont val="Tahoma"/>
            <family val="2"/>
          </rPr>
          <t>Best 5 (</t>
        </r>
        <r>
          <rPr>
            <b/>
            <sz val="9"/>
            <color indexed="81"/>
            <rFont val="細明體"/>
            <family val="3"/>
            <charset val="136"/>
          </rPr>
          <t>包括英文、數學</t>
        </r>
        <r>
          <rPr>
            <b/>
            <sz val="9"/>
            <color indexed="81"/>
            <rFont val="Tahoma"/>
            <family val="2"/>
          </rPr>
          <t>)
x1.5:</t>
        </r>
        <r>
          <rPr>
            <sz val="9"/>
            <color indexed="81"/>
            <rFont val="Tahoma"/>
            <family val="2"/>
          </rPr>
          <t xml:space="preserve"> </t>
        </r>
        <r>
          <rPr>
            <sz val="9"/>
            <color indexed="81"/>
            <rFont val="細明體"/>
            <family val="3"/>
            <charset val="136"/>
          </rPr>
          <t>英文、</t>
        </r>
        <r>
          <rPr>
            <sz val="9"/>
            <color indexed="81"/>
            <rFont val="Tahoma"/>
            <family val="2"/>
          </rPr>
          <t>M1/2</t>
        </r>
      </text>
    </comment>
    <comment ref="E51" authorId="0" shapeId="0" xr:uid="{CCDE39BA-A1E1-4257-B885-7C88875385EF}">
      <text>
        <r>
          <rPr>
            <b/>
            <sz val="9"/>
            <color indexed="81"/>
            <rFont val="Tahoma"/>
            <family val="2"/>
          </rPr>
          <t>2022</t>
        </r>
        <r>
          <rPr>
            <b/>
            <sz val="9"/>
            <color indexed="81"/>
            <rFont val="細明體"/>
            <family val="3"/>
            <charset val="136"/>
          </rPr>
          <t>年新科目</t>
        </r>
        <r>
          <rPr>
            <sz val="9"/>
            <color indexed="81"/>
            <rFont val="Tahoma"/>
            <family val="2"/>
          </rPr>
          <t xml:space="preserve">
</t>
        </r>
      </text>
    </comment>
    <comment ref="E52" authorId="1" shapeId="0" xr:uid="{00000000-0006-0000-0500-000042000000}">
      <text>
        <r>
          <rPr>
            <b/>
            <sz val="9"/>
            <color indexed="81"/>
            <rFont val="Tahoma"/>
            <family val="2"/>
          </rPr>
          <t>Best 6 (</t>
        </r>
        <r>
          <rPr>
            <b/>
            <sz val="9"/>
            <color indexed="81"/>
            <rFont val="細明體"/>
            <family val="3"/>
            <charset val="136"/>
          </rPr>
          <t>包括英文、數學、生物及化學</t>
        </r>
        <r>
          <rPr>
            <b/>
            <sz val="9"/>
            <color indexed="81"/>
            <rFont val="Tahoma"/>
            <family val="2"/>
          </rPr>
          <t>)</t>
        </r>
      </text>
    </comment>
    <comment ref="R52" authorId="2" shapeId="0" xr:uid="{00000000-0006-0000-0500-000044000000}">
      <text>
        <r>
          <rPr>
            <b/>
            <sz val="9"/>
            <color indexed="81"/>
            <rFont val="細明體"/>
            <family val="3"/>
            <charset val="136"/>
          </rPr>
          <t xml:space="preserve">以下兩科︰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化學</t>
        </r>
      </text>
    </comment>
    <comment ref="S52" authorId="2" shapeId="0" xr:uid="{00000000-0006-0000-0500-000045000000}">
      <text>
        <r>
          <rPr>
            <b/>
            <sz val="9"/>
            <color indexed="81"/>
            <rFont val="細明體"/>
            <family val="3"/>
            <charset val="136"/>
          </rPr>
          <t xml:space="preserve">以下兩科︰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化學</t>
        </r>
      </text>
    </comment>
    <comment ref="E53" authorId="0" shapeId="0" xr:uid="{00000000-0006-0000-0500-000046000000}">
      <text>
        <r>
          <rPr>
            <b/>
            <sz val="9"/>
            <color indexed="81"/>
            <rFont val="Tahoma"/>
            <family val="2"/>
          </rPr>
          <t xml:space="preserve">x2: </t>
        </r>
        <r>
          <rPr>
            <sz val="9"/>
            <color indexed="81"/>
            <rFont val="細明體"/>
            <family val="3"/>
            <charset val="136"/>
          </rPr>
          <t xml:space="preserve">英文，物理，化學，生物，組合科學，
</t>
        </r>
        <r>
          <rPr>
            <b/>
            <sz val="9"/>
            <color indexed="81"/>
            <rFont val="Tahoma"/>
            <family val="2"/>
          </rPr>
          <t xml:space="preserve">x1.5: </t>
        </r>
        <r>
          <rPr>
            <sz val="9"/>
            <color indexed="81"/>
            <rFont val="細明體"/>
            <family val="3"/>
            <charset val="136"/>
          </rPr>
          <t>數學，</t>
        </r>
        <r>
          <rPr>
            <sz val="9"/>
            <color indexed="81"/>
            <rFont val="Tahoma"/>
            <family val="2"/>
          </rPr>
          <t>BAFS</t>
        </r>
        <r>
          <rPr>
            <sz val="9"/>
            <color indexed="81"/>
            <rFont val="細明體"/>
            <family val="3"/>
            <charset val="136"/>
          </rPr>
          <t>，</t>
        </r>
        <r>
          <rPr>
            <sz val="9"/>
            <color indexed="81"/>
            <rFont val="Tahoma"/>
            <family val="2"/>
          </rPr>
          <t>ICT</t>
        </r>
        <r>
          <rPr>
            <sz val="9"/>
            <color indexed="81"/>
            <rFont val="細明體"/>
            <family val="3"/>
            <charset val="136"/>
          </rPr>
          <t>，</t>
        </r>
        <r>
          <rPr>
            <sz val="9"/>
            <color indexed="81"/>
            <rFont val="Tahoma"/>
            <family val="2"/>
          </rPr>
          <t>DAT</t>
        </r>
        <r>
          <rPr>
            <sz val="9"/>
            <color indexed="81"/>
            <rFont val="細明體"/>
            <family val="3"/>
            <charset val="136"/>
          </rPr>
          <t>，</t>
        </r>
        <r>
          <rPr>
            <sz val="9"/>
            <color indexed="81"/>
            <rFont val="Tahoma"/>
            <family val="2"/>
          </rPr>
          <t>M1/2</t>
        </r>
        <r>
          <rPr>
            <sz val="9"/>
            <color indexed="81"/>
            <rFont val="細明體"/>
            <family val="3"/>
            <charset val="136"/>
          </rPr>
          <t>，綜合科學</t>
        </r>
      </text>
    </comment>
    <comment ref="R53" authorId="2" shapeId="0" xr:uid="{00000000-0006-0000-0500-000047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S53" authorId="2" shapeId="0" xr:uid="{00000000-0006-0000-0500-00004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E54" authorId="0" shapeId="0" xr:uid="{00000000-0006-0000-0500-000049000000}">
      <text>
        <r>
          <rPr>
            <b/>
            <sz val="9"/>
            <color indexed="81"/>
            <rFont val="Tahoma"/>
            <family val="2"/>
          </rPr>
          <t xml:space="preserve">x2: </t>
        </r>
        <r>
          <rPr>
            <sz val="9"/>
            <color indexed="81"/>
            <rFont val="細明體"/>
            <family val="3"/>
            <charset val="136"/>
          </rPr>
          <t xml:space="preserve">英文，物理，化學，生物，組合科學，
</t>
        </r>
        <r>
          <rPr>
            <b/>
            <sz val="9"/>
            <color indexed="81"/>
            <rFont val="Tahoma"/>
            <family val="2"/>
          </rPr>
          <t xml:space="preserve">x1.5: </t>
        </r>
        <r>
          <rPr>
            <sz val="9"/>
            <color indexed="81"/>
            <rFont val="細明體"/>
            <family val="3"/>
            <charset val="136"/>
          </rPr>
          <t>數學，</t>
        </r>
        <r>
          <rPr>
            <sz val="9"/>
            <color indexed="81"/>
            <rFont val="Tahoma"/>
            <family val="2"/>
          </rPr>
          <t>BAFS</t>
        </r>
        <r>
          <rPr>
            <sz val="9"/>
            <color indexed="81"/>
            <rFont val="細明體"/>
            <family val="3"/>
            <charset val="136"/>
          </rPr>
          <t>，</t>
        </r>
        <r>
          <rPr>
            <sz val="9"/>
            <color indexed="81"/>
            <rFont val="Tahoma"/>
            <family val="2"/>
          </rPr>
          <t>ICT</t>
        </r>
        <r>
          <rPr>
            <sz val="9"/>
            <color indexed="81"/>
            <rFont val="細明體"/>
            <family val="3"/>
            <charset val="136"/>
          </rPr>
          <t>，</t>
        </r>
        <r>
          <rPr>
            <sz val="9"/>
            <color indexed="81"/>
            <rFont val="Tahoma"/>
            <family val="2"/>
          </rPr>
          <t>DAT</t>
        </r>
        <r>
          <rPr>
            <sz val="9"/>
            <color indexed="81"/>
            <rFont val="細明體"/>
            <family val="3"/>
            <charset val="136"/>
          </rPr>
          <t>，</t>
        </r>
        <r>
          <rPr>
            <sz val="9"/>
            <color indexed="81"/>
            <rFont val="Tahoma"/>
            <family val="2"/>
          </rPr>
          <t>M1/2</t>
        </r>
        <r>
          <rPr>
            <sz val="9"/>
            <color indexed="81"/>
            <rFont val="細明體"/>
            <family val="3"/>
            <charset val="136"/>
          </rPr>
          <t>，綜合科學</t>
        </r>
      </text>
    </comment>
    <comment ref="R54" authorId="2" shapeId="0" xr:uid="{00000000-0006-0000-0500-00004A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S54" authorId="2" shapeId="0" xr:uid="{00000000-0006-0000-0500-00004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E55" authorId="0" shapeId="0" xr:uid="{00000000-0006-0000-0500-00004C000000}">
      <text>
        <r>
          <rPr>
            <b/>
            <sz val="9"/>
            <color indexed="81"/>
            <rFont val="Tahoma"/>
            <family val="2"/>
          </rPr>
          <t xml:space="preserve">x2: </t>
        </r>
        <r>
          <rPr>
            <sz val="9"/>
            <color indexed="81"/>
            <rFont val="細明體"/>
            <family val="3"/>
            <charset val="136"/>
          </rPr>
          <t xml:space="preserve">英文，物理，化學，生物，組合科學，
</t>
        </r>
        <r>
          <rPr>
            <b/>
            <sz val="9"/>
            <color indexed="81"/>
            <rFont val="細明體"/>
            <family val="3"/>
            <charset val="136"/>
          </rPr>
          <t xml:space="preserve">
</t>
        </r>
        <r>
          <rPr>
            <b/>
            <sz val="9"/>
            <color indexed="81"/>
            <rFont val="Tahoma"/>
            <family val="2"/>
          </rPr>
          <t xml:space="preserve">x1.5: </t>
        </r>
        <r>
          <rPr>
            <sz val="9"/>
            <color indexed="81"/>
            <rFont val="細明體"/>
            <family val="3"/>
            <charset val="136"/>
          </rPr>
          <t>數學，</t>
        </r>
        <r>
          <rPr>
            <sz val="9"/>
            <color indexed="81"/>
            <rFont val="Tahoma"/>
            <family val="2"/>
          </rPr>
          <t>BAFS</t>
        </r>
        <r>
          <rPr>
            <sz val="9"/>
            <color indexed="81"/>
            <rFont val="細明體"/>
            <family val="3"/>
            <charset val="136"/>
          </rPr>
          <t>，</t>
        </r>
        <r>
          <rPr>
            <sz val="9"/>
            <color indexed="81"/>
            <rFont val="Tahoma"/>
            <family val="2"/>
          </rPr>
          <t>ICT</t>
        </r>
        <r>
          <rPr>
            <sz val="9"/>
            <color indexed="81"/>
            <rFont val="細明體"/>
            <family val="3"/>
            <charset val="136"/>
          </rPr>
          <t>，</t>
        </r>
        <r>
          <rPr>
            <sz val="9"/>
            <color indexed="81"/>
            <rFont val="Tahoma"/>
            <family val="2"/>
          </rPr>
          <t>DAT</t>
        </r>
        <r>
          <rPr>
            <sz val="9"/>
            <color indexed="81"/>
            <rFont val="細明體"/>
            <family val="3"/>
            <charset val="136"/>
          </rPr>
          <t>，</t>
        </r>
        <r>
          <rPr>
            <sz val="9"/>
            <color indexed="81"/>
            <rFont val="Tahoma"/>
            <family val="2"/>
          </rPr>
          <t>M1/2</t>
        </r>
        <r>
          <rPr>
            <sz val="9"/>
            <color indexed="81"/>
            <rFont val="細明體"/>
            <family val="3"/>
            <charset val="136"/>
          </rPr>
          <t>，綜合科學</t>
        </r>
      </text>
    </comment>
    <comment ref="R55" authorId="2" shapeId="0" xr:uid="{00000000-0006-0000-0500-00004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S55" authorId="2" shapeId="0" xr:uid="{00000000-0006-0000-0500-00004E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E4" authorId="0" shapeId="0" xr:uid="{035C2404-065D-4EE6-935F-0EC1427542EC}">
      <text>
        <r>
          <rPr>
            <b/>
            <sz val="9"/>
            <color indexed="81"/>
            <rFont val="Tahoma"/>
            <family val="2"/>
          </rPr>
          <t>2022</t>
        </r>
        <r>
          <rPr>
            <b/>
            <sz val="9"/>
            <color indexed="81"/>
            <rFont val="細明體"/>
            <family val="3"/>
            <charset val="136"/>
          </rPr>
          <t>年新科目</t>
        </r>
      </text>
    </comment>
    <comment ref="E5" authorId="0" shapeId="0" xr:uid="{19CDA2AF-AEC2-44B5-9704-D77128417ACF}">
      <text>
        <r>
          <rPr>
            <b/>
            <sz val="9"/>
            <color indexed="81"/>
            <rFont val="Tahoma"/>
            <family val="2"/>
          </rPr>
          <t>2022</t>
        </r>
        <r>
          <rPr>
            <b/>
            <sz val="9"/>
            <color indexed="81"/>
            <rFont val="細明體"/>
            <family val="3"/>
            <charset val="136"/>
          </rPr>
          <t xml:space="preserve">年將以新比重收生
</t>
        </r>
        <r>
          <rPr>
            <sz val="9"/>
            <color indexed="81"/>
            <rFont val="Tahoma"/>
            <family val="2"/>
          </rPr>
          <t>(</t>
        </r>
        <r>
          <rPr>
            <b/>
            <sz val="9"/>
            <color indexed="81"/>
            <rFont val="Tahoma"/>
            <family val="2"/>
          </rPr>
          <t>x1.2:</t>
        </r>
        <r>
          <rPr>
            <sz val="9"/>
            <color indexed="81"/>
            <rFont val="Tahoma"/>
            <family val="2"/>
          </rPr>
          <t xml:space="preserve"> </t>
        </r>
        <r>
          <rPr>
            <sz val="9"/>
            <color indexed="81"/>
            <rFont val="細明體"/>
            <family val="3"/>
            <charset val="136"/>
          </rPr>
          <t>英文</t>
        </r>
        <r>
          <rPr>
            <sz val="9"/>
            <color indexed="81"/>
            <rFont val="Tahoma"/>
            <family val="2"/>
          </rPr>
          <t>)</t>
        </r>
        <r>
          <rPr>
            <b/>
            <sz val="9"/>
            <color indexed="81"/>
            <rFont val="Tahoma"/>
            <family val="2"/>
          </rPr>
          <t xml:space="preserve">
</t>
        </r>
        <r>
          <rPr>
            <b/>
            <sz val="9"/>
            <color indexed="81"/>
            <rFont val="細明體"/>
            <family val="3"/>
            <charset val="136"/>
          </rPr>
          <t xml:space="preserve">此處仍以原本比重作估算，請注意
</t>
        </r>
        <r>
          <rPr>
            <b/>
            <sz val="9"/>
            <color indexed="81"/>
            <rFont val="Tahoma"/>
            <family val="2"/>
          </rPr>
          <t xml:space="preserve">x1.5: </t>
        </r>
        <r>
          <rPr>
            <sz val="9"/>
            <color indexed="81"/>
            <rFont val="細明體"/>
            <family val="3"/>
            <charset val="136"/>
          </rPr>
          <t>英文</t>
        </r>
      </text>
    </comment>
    <comment ref="E6" authorId="0" shapeId="0" xr:uid="{60314FD4-0759-403B-8518-E5F4716D1C90}">
      <text>
        <r>
          <rPr>
            <b/>
            <sz val="9"/>
            <color indexed="81"/>
            <rFont val="Tahoma"/>
            <family val="2"/>
          </rPr>
          <t>2022</t>
        </r>
        <r>
          <rPr>
            <b/>
            <sz val="9"/>
            <color indexed="81"/>
            <rFont val="細明體"/>
            <family val="3"/>
            <charset val="136"/>
          </rPr>
          <t xml:space="preserve">年將以新比重收生
</t>
        </r>
        <r>
          <rPr>
            <sz val="9"/>
            <color indexed="81"/>
            <rFont val="Tahoma"/>
            <family val="2"/>
          </rPr>
          <t>(</t>
        </r>
        <r>
          <rPr>
            <b/>
            <sz val="9"/>
            <color indexed="81"/>
            <rFont val="Tahoma"/>
            <family val="2"/>
          </rPr>
          <t>x1.2:</t>
        </r>
        <r>
          <rPr>
            <sz val="9"/>
            <color indexed="81"/>
            <rFont val="Tahoma"/>
            <family val="2"/>
          </rPr>
          <t xml:space="preserve"> </t>
        </r>
        <r>
          <rPr>
            <sz val="9"/>
            <color indexed="81"/>
            <rFont val="細明體"/>
            <family val="3"/>
            <charset val="136"/>
          </rPr>
          <t>英文</t>
        </r>
        <r>
          <rPr>
            <sz val="9"/>
            <color indexed="81"/>
            <rFont val="Tahoma"/>
            <family val="2"/>
          </rPr>
          <t>)</t>
        </r>
        <r>
          <rPr>
            <b/>
            <sz val="9"/>
            <color indexed="81"/>
            <rFont val="Tahoma"/>
            <family val="2"/>
          </rPr>
          <t xml:space="preserve">
</t>
        </r>
        <r>
          <rPr>
            <b/>
            <sz val="9"/>
            <color indexed="81"/>
            <rFont val="細明體"/>
            <family val="3"/>
            <charset val="136"/>
          </rPr>
          <t xml:space="preserve">此處仍以原本比重作估算，請注意
</t>
        </r>
        <r>
          <rPr>
            <b/>
            <sz val="9"/>
            <color indexed="81"/>
            <rFont val="Tahoma"/>
            <family val="2"/>
          </rPr>
          <t xml:space="preserve">x1.5: </t>
        </r>
        <r>
          <rPr>
            <sz val="9"/>
            <color indexed="81"/>
            <rFont val="細明體"/>
            <family val="3"/>
            <charset val="136"/>
          </rPr>
          <t>英文</t>
        </r>
      </text>
    </comment>
    <comment ref="E7" authorId="0" shapeId="0" xr:uid="{A04C98DA-FB93-45CC-B8A4-66FF3889C09C}">
      <text>
        <r>
          <rPr>
            <b/>
            <sz val="9"/>
            <color indexed="81"/>
            <rFont val="Tahoma"/>
            <family val="2"/>
          </rPr>
          <t>2022</t>
        </r>
        <r>
          <rPr>
            <b/>
            <sz val="9"/>
            <color indexed="81"/>
            <rFont val="細明體"/>
            <family val="3"/>
            <charset val="136"/>
          </rPr>
          <t xml:space="preserve">年新科目
</t>
        </r>
        <r>
          <rPr>
            <b/>
            <sz val="9"/>
            <color indexed="81"/>
            <rFont val="Tahoma"/>
            <family val="2"/>
          </rPr>
          <t>Best 5 (</t>
        </r>
        <r>
          <rPr>
            <b/>
            <sz val="9"/>
            <color indexed="81"/>
            <rFont val="細明體"/>
            <family val="3"/>
            <charset val="136"/>
          </rPr>
          <t>包括中文、英文</t>
        </r>
        <r>
          <rPr>
            <b/>
            <sz val="9"/>
            <color indexed="81"/>
            <rFont val="Tahoma"/>
            <family val="2"/>
          </rPr>
          <t xml:space="preserve">)
x1.25: </t>
        </r>
        <r>
          <rPr>
            <sz val="9"/>
            <color indexed="81"/>
            <rFont val="細明體"/>
            <family val="3"/>
            <charset val="136"/>
          </rPr>
          <t>中文、英文</t>
        </r>
      </text>
    </comment>
    <comment ref="E8" authorId="0" shapeId="0" xr:uid="{37A8FA23-EFE5-46D2-9B31-C567E79C644B}">
      <text>
        <r>
          <rPr>
            <b/>
            <sz val="9"/>
            <color indexed="81"/>
            <rFont val="Tahoma"/>
            <family val="2"/>
          </rPr>
          <t>Best 5 (</t>
        </r>
        <r>
          <rPr>
            <b/>
            <sz val="9"/>
            <color indexed="81"/>
            <rFont val="細明體"/>
            <family val="3"/>
            <charset val="136"/>
          </rPr>
          <t>包括中文、英文</t>
        </r>
        <r>
          <rPr>
            <b/>
            <sz val="9"/>
            <color indexed="81"/>
            <rFont val="Tahoma"/>
            <family val="2"/>
          </rPr>
          <t>)</t>
        </r>
        <r>
          <rPr>
            <b/>
            <sz val="9"/>
            <color indexed="81"/>
            <rFont val="細明體"/>
            <family val="3"/>
            <charset val="136"/>
          </rPr>
          <t xml:space="preserve">
</t>
        </r>
        <r>
          <rPr>
            <b/>
            <sz val="9"/>
            <color indexed="81"/>
            <rFont val="Tahoma"/>
            <family val="2"/>
          </rPr>
          <t>x1.25:</t>
        </r>
        <r>
          <rPr>
            <sz val="9"/>
            <color indexed="81"/>
            <rFont val="Tahoma"/>
            <family val="2"/>
          </rPr>
          <t xml:space="preserve"> </t>
        </r>
        <r>
          <rPr>
            <sz val="9"/>
            <color indexed="81"/>
            <rFont val="細明體"/>
            <family val="3"/>
            <charset val="136"/>
          </rPr>
          <t>中文、英文</t>
        </r>
      </text>
    </comment>
    <comment ref="E9" authorId="0" shapeId="0" xr:uid="{1868C27F-F160-4359-8BE4-FFE4B9086530}">
      <text>
        <r>
          <rPr>
            <b/>
            <sz val="9"/>
            <color indexed="81"/>
            <rFont val="Tahoma"/>
            <family val="2"/>
          </rPr>
          <t>Best 5 (</t>
        </r>
        <r>
          <rPr>
            <b/>
            <sz val="9"/>
            <color indexed="81"/>
            <rFont val="細明體"/>
            <family val="3"/>
            <charset val="136"/>
          </rPr>
          <t>包括英文</t>
        </r>
        <r>
          <rPr>
            <b/>
            <sz val="9"/>
            <color indexed="81"/>
            <rFont val="Tahoma"/>
            <family val="2"/>
          </rPr>
          <t>)</t>
        </r>
      </text>
    </comment>
    <comment ref="E10" authorId="0" shapeId="0" xr:uid="{62AAA967-5945-4A38-ADD8-F517C37FFF9D}">
      <text>
        <r>
          <rPr>
            <b/>
            <sz val="9"/>
            <color indexed="81"/>
            <rFont val="Tahoma"/>
            <family val="2"/>
          </rPr>
          <t>2022</t>
        </r>
        <r>
          <rPr>
            <b/>
            <sz val="9"/>
            <color indexed="81"/>
            <rFont val="細明體"/>
            <family val="3"/>
            <charset val="136"/>
          </rPr>
          <t xml:space="preserve">年新科目
</t>
        </r>
        <r>
          <rPr>
            <b/>
            <sz val="9"/>
            <color indexed="81"/>
            <rFont val="Tahoma"/>
            <family val="2"/>
          </rPr>
          <t>Best 5 (</t>
        </r>
        <r>
          <rPr>
            <b/>
            <sz val="9"/>
            <color indexed="81"/>
            <rFont val="細明體"/>
            <family val="3"/>
            <charset val="136"/>
          </rPr>
          <t>包括中文、英文</t>
        </r>
        <r>
          <rPr>
            <b/>
            <sz val="9"/>
            <color indexed="81"/>
            <rFont val="Tahoma"/>
            <family val="2"/>
          </rPr>
          <t xml:space="preserve">)
x1.25: </t>
        </r>
        <r>
          <rPr>
            <sz val="9"/>
            <color indexed="81"/>
            <rFont val="細明體"/>
            <family val="3"/>
            <charset val="136"/>
          </rPr>
          <t>中文、英文</t>
        </r>
      </text>
    </comment>
    <comment ref="E11" authorId="0" shapeId="0" xr:uid="{33DB2956-5741-4D57-9498-D3294B0D6796}">
      <text>
        <r>
          <rPr>
            <b/>
            <sz val="9"/>
            <color indexed="81"/>
            <rFont val="Tahoma"/>
            <family val="2"/>
          </rPr>
          <t>2022</t>
        </r>
        <r>
          <rPr>
            <b/>
            <sz val="9"/>
            <color indexed="81"/>
            <rFont val="細明體"/>
            <family val="3"/>
            <charset val="136"/>
          </rPr>
          <t>年將以新比重收生</t>
        </r>
        <r>
          <rPr>
            <sz val="9"/>
            <color indexed="81"/>
            <rFont val="細明體"/>
            <family val="3"/>
            <charset val="136"/>
          </rPr>
          <t xml:space="preserve">
</t>
        </r>
        <r>
          <rPr>
            <sz val="9"/>
            <color indexed="81"/>
            <rFont val="Tahoma"/>
            <family val="2"/>
          </rPr>
          <t>(</t>
        </r>
        <r>
          <rPr>
            <b/>
            <sz val="9"/>
            <color indexed="81"/>
            <rFont val="Tahoma"/>
            <family val="2"/>
          </rPr>
          <t>x1.5:</t>
        </r>
        <r>
          <rPr>
            <sz val="9"/>
            <color indexed="81"/>
            <rFont val="Tahoma"/>
            <family val="2"/>
          </rPr>
          <t xml:space="preserve"> </t>
        </r>
        <r>
          <rPr>
            <sz val="9"/>
            <color indexed="81"/>
            <rFont val="細明體"/>
            <family val="3"/>
            <charset val="136"/>
          </rPr>
          <t xml:space="preserve">中文、英文、生物
</t>
        </r>
        <r>
          <rPr>
            <b/>
            <sz val="9"/>
            <color indexed="81"/>
            <rFont val="Tahoma"/>
            <family val="2"/>
          </rPr>
          <t>x1.25:</t>
        </r>
        <r>
          <rPr>
            <sz val="9"/>
            <color indexed="81"/>
            <rFont val="Tahoma"/>
            <family val="2"/>
          </rPr>
          <t xml:space="preserve"> </t>
        </r>
        <r>
          <rPr>
            <sz val="9"/>
            <color indexed="81"/>
            <rFont val="細明體"/>
            <family val="3"/>
            <charset val="136"/>
          </rPr>
          <t>化學</t>
        </r>
        <r>
          <rPr>
            <sz val="9"/>
            <color indexed="81"/>
            <rFont val="Tahoma"/>
            <family val="2"/>
          </rPr>
          <t xml:space="preserve">)
</t>
        </r>
        <r>
          <rPr>
            <b/>
            <sz val="9"/>
            <color indexed="81"/>
            <rFont val="細明體"/>
            <family val="3"/>
            <charset val="136"/>
          </rPr>
          <t xml:space="preserve">
經考慮後，此處將</t>
        </r>
        <r>
          <rPr>
            <b/>
            <sz val="9"/>
            <color indexed="81"/>
            <rFont val="Tahoma"/>
            <family val="2"/>
          </rPr>
          <t xml:space="preserve"> *</t>
        </r>
        <r>
          <rPr>
            <b/>
            <sz val="9"/>
            <color indexed="81"/>
            <rFont val="細明體"/>
            <family val="3"/>
            <charset val="136"/>
          </rPr>
          <t>不會估算</t>
        </r>
        <r>
          <rPr>
            <b/>
            <sz val="9"/>
            <color indexed="81"/>
            <rFont val="Tahoma"/>
            <family val="2"/>
          </rPr>
          <t xml:space="preserve">* </t>
        </r>
        <r>
          <rPr>
            <b/>
            <sz val="9"/>
            <color indexed="81"/>
            <rFont val="細明體"/>
            <family val="3"/>
            <charset val="136"/>
          </rPr>
          <t>已被刪去的比重，請注意。</t>
        </r>
        <r>
          <rPr>
            <sz val="9"/>
            <color indexed="81"/>
            <rFont val="細明體"/>
            <family val="3"/>
            <charset val="136"/>
          </rPr>
          <t xml:space="preserve">
</t>
        </r>
        <r>
          <rPr>
            <b/>
            <sz val="9"/>
            <color indexed="81"/>
            <rFont val="細明體"/>
            <family val="3"/>
            <charset val="136"/>
          </rPr>
          <t>刪去比重包括︰</t>
        </r>
        <r>
          <rPr>
            <sz val="9"/>
            <color indexed="81"/>
            <rFont val="細明體"/>
            <family val="3"/>
            <charset val="136"/>
          </rPr>
          <t>中國歷史、中國文學、組合科學、數學、物理</t>
        </r>
        <r>
          <rPr>
            <sz val="9"/>
            <color indexed="81"/>
            <rFont val="Tahoma"/>
            <family val="2"/>
          </rPr>
          <t xml:space="preserve">
</t>
        </r>
        <r>
          <rPr>
            <b/>
            <sz val="9"/>
            <color indexed="81"/>
            <rFont val="細明體"/>
            <family val="3"/>
            <charset val="136"/>
          </rPr>
          <t xml:space="preserve">原有比重︰
</t>
        </r>
        <r>
          <rPr>
            <b/>
            <sz val="9"/>
            <color indexed="81"/>
            <rFont val="Tahoma"/>
            <family val="2"/>
          </rPr>
          <t>x1.5:</t>
        </r>
        <r>
          <rPr>
            <sz val="9"/>
            <color indexed="81"/>
            <rFont val="Tahoma"/>
            <family val="2"/>
          </rPr>
          <t xml:space="preserve"> </t>
        </r>
        <r>
          <rPr>
            <sz val="9"/>
            <color indexed="81"/>
            <rFont val="細明體"/>
            <family val="3"/>
            <charset val="136"/>
          </rPr>
          <t xml:space="preserve">中文、英文、生物
</t>
        </r>
        <r>
          <rPr>
            <b/>
            <sz val="9"/>
            <color indexed="81"/>
            <rFont val="Tahoma"/>
            <family val="2"/>
          </rPr>
          <t>x1.25:</t>
        </r>
        <r>
          <rPr>
            <sz val="9"/>
            <color indexed="81"/>
            <rFont val="Tahoma"/>
            <family val="2"/>
          </rPr>
          <t xml:space="preserve"> </t>
        </r>
        <r>
          <rPr>
            <sz val="9"/>
            <color indexed="81"/>
            <rFont val="細明體"/>
            <family val="3"/>
            <charset val="136"/>
          </rPr>
          <t>化學、中國歷史、中國文學、組合科學、數學、物理</t>
        </r>
      </text>
    </comment>
    <comment ref="E12" authorId="0" shapeId="0" xr:uid="{60833E4C-B9B8-4427-A2E9-598CC5D2783D}">
      <text>
        <r>
          <rPr>
            <b/>
            <sz val="9"/>
            <color indexed="81"/>
            <rFont val="Tahoma"/>
            <family val="2"/>
          </rPr>
          <t>2022</t>
        </r>
        <r>
          <rPr>
            <b/>
            <sz val="9"/>
            <color indexed="81"/>
            <rFont val="細明體"/>
            <family val="3"/>
            <charset val="136"/>
          </rPr>
          <t xml:space="preserve">年將以新比重收生
</t>
        </r>
        <r>
          <rPr>
            <sz val="9"/>
            <color indexed="81"/>
            <rFont val="Tahoma"/>
            <family val="2"/>
          </rPr>
          <t>(</t>
        </r>
        <r>
          <rPr>
            <b/>
            <sz val="9"/>
            <color indexed="81"/>
            <rFont val="Tahoma"/>
            <family val="2"/>
          </rPr>
          <t xml:space="preserve">x1.5: </t>
        </r>
        <r>
          <rPr>
            <sz val="9"/>
            <color indexed="81"/>
            <rFont val="細明體"/>
            <family val="3"/>
            <charset val="136"/>
          </rPr>
          <t>英文、化學</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生物、數學</t>
        </r>
        <r>
          <rPr>
            <sz val="9"/>
            <color indexed="81"/>
            <rFont val="Tahoma"/>
            <family val="2"/>
          </rPr>
          <t>)</t>
        </r>
        <r>
          <rPr>
            <b/>
            <sz val="9"/>
            <color indexed="81"/>
            <rFont val="Tahoma"/>
            <family val="2"/>
          </rPr>
          <t xml:space="preserve">
</t>
        </r>
        <r>
          <rPr>
            <b/>
            <sz val="9"/>
            <color indexed="81"/>
            <rFont val="細明體"/>
            <family val="3"/>
            <charset val="136"/>
          </rPr>
          <t>經考慮後，此處將</t>
        </r>
        <r>
          <rPr>
            <b/>
            <sz val="9"/>
            <color indexed="81"/>
            <rFont val="Tahoma"/>
            <family val="2"/>
          </rPr>
          <t xml:space="preserve"> *</t>
        </r>
        <r>
          <rPr>
            <b/>
            <sz val="9"/>
            <color indexed="81"/>
            <rFont val="細明體"/>
            <family val="3"/>
            <charset val="136"/>
          </rPr>
          <t>不會估算</t>
        </r>
        <r>
          <rPr>
            <b/>
            <sz val="9"/>
            <color indexed="81"/>
            <rFont val="Tahoma"/>
            <family val="2"/>
          </rPr>
          <t xml:space="preserve">* </t>
        </r>
        <r>
          <rPr>
            <b/>
            <sz val="9"/>
            <color indexed="81"/>
            <rFont val="細明體"/>
            <family val="3"/>
            <charset val="136"/>
          </rPr>
          <t>已被刪去的比重，請注意。
刪去比重包括︰</t>
        </r>
        <r>
          <rPr>
            <sz val="9"/>
            <color indexed="81"/>
            <rFont val="細明體"/>
            <family val="3"/>
            <charset val="136"/>
          </rPr>
          <t>中文、中國文學、組合科學、物理</t>
        </r>
        <r>
          <rPr>
            <b/>
            <sz val="9"/>
            <color indexed="81"/>
            <rFont val="細明體"/>
            <family val="3"/>
            <charset val="136"/>
          </rPr>
          <t xml:space="preserve">
原有比重︰
</t>
        </r>
        <r>
          <rPr>
            <b/>
            <sz val="9"/>
            <color indexed="81"/>
            <rFont val="Tahoma"/>
            <family val="2"/>
          </rPr>
          <t>x1.5:</t>
        </r>
        <r>
          <rPr>
            <sz val="9"/>
            <color indexed="81"/>
            <rFont val="Tahoma"/>
            <family val="2"/>
          </rPr>
          <t xml:space="preserve"> </t>
        </r>
        <r>
          <rPr>
            <sz val="9"/>
            <color indexed="81"/>
            <rFont val="細明體"/>
            <family val="3"/>
            <charset val="136"/>
          </rPr>
          <t>中文、英文、化學</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生物、中國文學、組合科學、數學、物理</t>
        </r>
      </text>
    </comment>
    <comment ref="E14" authorId="0" shapeId="0" xr:uid="{43F284BC-68F5-404E-86F5-6E23B287CE25}">
      <text>
        <r>
          <rPr>
            <b/>
            <sz val="9"/>
            <color indexed="81"/>
            <rFont val="Tahoma"/>
            <family val="2"/>
          </rPr>
          <t xml:space="preserve">x2: </t>
        </r>
        <r>
          <rPr>
            <sz val="9"/>
            <color indexed="81"/>
            <rFont val="細明體"/>
            <family val="3"/>
            <charset val="136"/>
          </rPr>
          <t>英文</t>
        </r>
      </text>
    </comment>
    <comment ref="E16" authorId="0" shapeId="0" xr:uid="{E89B0782-E392-4855-BAA7-ED4997762C75}">
      <text>
        <r>
          <rPr>
            <b/>
            <sz val="9"/>
            <color indexed="81"/>
            <rFont val="Tahoma"/>
            <family val="2"/>
          </rPr>
          <t>x2:</t>
        </r>
        <r>
          <rPr>
            <sz val="9"/>
            <color indexed="81"/>
            <rFont val="Tahoma"/>
            <family val="2"/>
          </rPr>
          <t xml:space="preserve"> </t>
        </r>
        <r>
          <rPr>
            <sz val="9"/>
            <color indexed="81"/>
            <rFont val="細明體"/>
            <family val="3"/>
            <charset val="136"/>
          </rPr>
          <t xml:space="preserve">英文
</t>
        </r>
        <r>
          <rPr>
            <b/>
            <sz val="9"/>
            <color indexed="81"/>
            <rFont val="Tahoma"/>
            <family val="2"/>
          </rPr>
          <t>x1.5:</t>
        </r>
        <r>
          <rPr>
            <sz val="9"/>
            <color indexed="81"/>
            <rFont val="Tahoma"/>
            <family val="2"/>
          </rPr>
          <t xml:space="preserve"> </t>
        </r>
        <r>
          <rPr>
            <sz val="9"/>
            <color indexed="81"/>
            <rFont val="細明體"/>
            <family val="3"/>
            <charset val="136"/>
          </rPr>
          <t>通識</t>
        </r>
      </text>
    </comment>
    <comment ref="E17" authorId="0" shapeId="0" xr:uid="{F4DF7A22-90A4-482A-8898-AF8E147EF6E3}">
      <text>
        <r>
          <rPr>
            <b/>
            <sz val="9"/>
            <color indexed="81"/>
            <rFont val="Tahoma"/>
            <family val="2"/>
          </rPr>
          <t>Best 5 (</t>
        </r>
        <r>
          <rPr>
            <b/>
            <sz val="9"/>
            <color indexed="81"/>
            <rFont val="細明體"/>
            <family val="3"/>
            <charset val="136"/>
          </rPr>
          <t>包括英文</t>
        </r>
        <r>
          <rPr>
            <b/>
            <sz val="9"/>
            <color indexed="81"/>
            <rFont val="Tahoma"/>
            <family val="2"/>
          </rPr>
          <t>)</t>
        </r>
        <r>
          <rPr>
            <sz val="9"/>
            <color indexed="81"/>
            <rFont val="Tahoma"/>
            <family val="2"/>
          </rPr>
          <t xml:space="preserve">
</t>
        </r>
      </text>
    </comment>
    <comment ref="E19" authorId="0" shapeId="0" xr:uid="{EDD852F0-F145-4D14-BEFA-0820F401BE64}">
      <text>
        <r>
          <rPr>
            <b/>
            <sz val="9"/>
            <color indexed="81"/>
            <rFont val="Tahoma"/>
            <family val="2"/>
          </rPr>
          <t>2022</t>
        </r>
        <r>
          <rPr>
            <b/>
            <sz val="9"/>
            <color indexed="81"/>
            <rFont val="細明體"/>
            <family val="3"/>
            <charset val="136"/>
          </rPr>
          <t xml:space="preserve">年新科目
</t>
        </r>
        <r>
          <rPr>
            <b/>
            <sz val="9"/>
            <color indexed="81"/>
            <rFont val="Tahoma"/>
            <family val="2"/>
          </rPr>
          <t xml:space="preserve">x1.2: </t>
        </r>
        <r>
          <rPr>
            <sz val="9"/>
            <color indexed="81"/>
            <rFont val="細明體"/>
            <family val="3"/>
            <charset val="136"/>
          </rPr>
          <t>數學</t>
        </r>
      </text>
    </comment>
    <comment ref="E20" authorId="0" shapeId="0" xr:uid="{654DB4EC-A49B-4B3B-BC9E-5E5706CD2C78}">
      <text>
        <r>
          <rPr>
            <b/>
            <sz val="9"/>
            <color indexed="81"/>
            <rFont val="Tahoma"/>
            <family val="2"/>
          </rPr>
          <t>2022</t>
        </r>
        <r>
          <rPr>
            <b/>
            <sz val="9"/>
            <color indexed="81"/>
            <rFont val="細明體"/>
            <family val="3"/>
            <charset val="136"/>
          </rPr>
          <t>年新科目</t>
        </r>
        <r>
          <rPr>
            <sz val="9"/>
            <color indexed="81"/>
            <rFont val="Tahoma"/>
            <family val="2"/>
          </rPr>
          <t xml:space="preserve">
</t>
        </r>
      </text>
    </comment>
    <comment ref="E21" authorId="0" shapeId="0" xr:uid="{4AC077F3-9B7E-4527-9E22-E90A9195486A}">
      <text>
        <r>
          <rPr>
            <b/>
            <sz val="9"/>
            <color indexed="81"/>
            <rFont val="Tahoma"/>
            <family val="2"/>
          </rPr>
          <t>2022</t>
        </r>
        <r>
          <rPr>
            <b/>
            <sz val="9"/>
            <color indexed="81"/>
            <rFont val="細明體"/>
            <family val="3"/>
            <charset val="136"/>
          </rPr>
          <t xml:space="preserve">年新科目
</t>
        </r>
        <r>
          <rPr>
            <b/>
            <sz val="9"/>
            <color indexed="81"/>
            <rFont val="Tahoma"/>
            <family val="2"/>
          </rPr>
          <t>Best 5 (</t>
        </r>
        <r>
          <rPr>
            <b/>
            <sz val="9"/>
            <color indexed="81"/>
            <rFont val="細明體"/>
            <family val="3"/>
            <charset val="136"/>
          </rPr>
          <t>包括英文</t>
        </r>
        <r>
          <rPr>
            <b/>
            <sz val="9"/>
            <color indexed="81"/>
            <rFont val="Tahoma"/>
            <family val="2"/>
          </rPr>
          <t>)</t>
        </r>
      </text>
    </comment>
    <comment ref="E22" authorId="0" shapeId="0" xr:uid="{182F9688-8F00-48AF-98F6-EFCD077236EF}">
      <text>
        <r>
          <rPr>
            <b/>
            <sz val="9"/>
            <color indexed="81"/>
            <rFont val="Tahoma"/>
            <family val="2"/>
          </rPr>
          <t>2022</t>
        </r>
        <r>
          <rPr>
            <b/>
            <sz val="9"/>
            <color indexed="81"/>
            <rFont val="細明體"/>
            <family val="3"/>
            <charset val="136"/>
          </rPr>
          <t>年新科目</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J1" authorId="0" shapeId="0" xr:uid="{00000000-0006-0000-0A00-000001000000}">
      <text>
        <r>
          <rPr>
            <b/>
            <sz val="9"/>
            <color indexed="81"/>
            <rFont val="細明體"/>
            <family val="3"/>
            <charset val="136"/>
          </rPr>
          <t xml:space="preserve">可選擇：
</t>
        </r>
        <r>
          <rPr>
            <b/>
            <sz val="9"/>
            <color indexed="81"/>
            <rFont val="Tahoma"/>
            <family val="2"/>
          </rPr>
          <t>UQ/Median/LQ</t>
        </r>
        <r>
          <rPr>
            <sz val="9"/>
            <color indexed="81"/>
            <rFont val="Tahoma"/>
            <family val="2"/>
          </rPr>
          <t xml:space="preserve">
</t>
        </r>
      </text>
    </comment>
    <comment ref="M11" authorId="0" shapeId="0" xr:uid="{00000000-0006-0000-0A00-00000C000000}">
      <text>
        <r>
          <rPr>
            <sz val="9"/>
            <color indexed="81"/>
            <rFont val="Tahoma"/>
            <family val="2"/>
          </rPr>
          <t xml:space="preserve">Applicants should have attained a level of proficiency in their main instrument/ voice at or above </t>
        </r>
        <r>
          <rPr>
            <b/>
            <sz val="9"/>
            <color indexed="81"/>
            <rFont val="Tahoma"/>
            <family val="2"/>
          </rPr>
          <t>Grade 8 (ABRSM/ Trinity College)</t>
        </r>
        <r>
          <rPr>
            <sz val="9"/>
            <color indexed="81"/>
            <rFont val="Tahoma"/>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Chan</author>
    <author>Michael</author>
  </authors>
  <commentList>
    <comment ref="E2" authorId="0" shapeId="0" xr:uid="{00000000-0006-0000-0B00-000001000000}">
      <text>
        <r>
          <rPr>
            <sz val="9"/>
            <color indexed="81"/>
            <rFont val="細明體"/>
            <family val="3"/>
            <charset val="136"/>
          </rPr>
          <t>英文</t>
        </r>
        <r>
          <rPr>
            <sz val="9"/>
            <color indexed="81"/>
            <rFont val="Tahoma"/>
            <family val="2"/>
          </rPr>
          <t xml:space="preserve"> x1 </t>
        </r>
        <r>
          <rPr>
            <sz val="9"/>
            <color indexed="81"/>
            <rFont val="細明體"/>
            <family val="3"/>
            <charset val="136"/>
          </rPr>
          <t>數學</t>
        </r>
        <r>
          <rPr>
            <sz val="9"/>
            <color indexed="81"/>
            <rFont val="Tahoma"/>
            <family val="2"/>
          </rPr>
          <t xml:space="preserve"> x1
+</t>
        </r>
        <r>
          <rPr>
            <sz val="9"/>
            <color indexed="81"/>
            <rFont val="細明體"/>
            <family val="3"/>
            <charset val="136"/>
          </rPr>
          <t xml:space="preserve">
最佳兩科理科</t>
        </r>
        <r>
          <rPr>
            <sz val="9"/>
            <color indexed="81"/>
            <rFont val="Tahoma"/>
            <family val="2"/>
          </rPr>
          <t xml:space="preserve"> x1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
</t>
        </r>
        <r>
          <rPr>
            <sz val="9"/>
            <color indexed="81"/>
            <rFont val="細明體"/>
            <family val="3"/>
            <charset val="136"/>
          </rPr>
          <t>最佳一科</t>
        </r>
        <r>
          <rPr>
            <sz val="9"/>
            <color indexed="81"/>
            <rFont val="Tahoma"/>
            <family val="2"/>
          </rPr>
          <t xml:space="preserve"> x1</t>
        </r>
      </text>
    </comment>
    <comment ref="L2" authorId="0" shapeId="0" xr:uid="{00000000-0006-0000-0B00-000002000000}">
      <text>
        <r>
          <rPr>
            <b/>
            <sz val="9"/>
            <color indexed="81"/>
            <rFont val="Tahoma"/>
            <family val="2"/>
          </rPr>
          <t xml:space="preserve">Interview is compulsory for admission. </t>
        </r>
      </text>
    </comment>
    <comment ref="R2" authorId="0" shapeId="0" xr:uid="{00000000-0006-0000-0B00-000004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E3" authorId="0" shapeId="0" xr:uid="{00000000-0006-0000-0B00-000006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x2:</t>
        </r>
        <r>
          <rPr>
            <b/>
            <sz val="9"/>
            <color indexed="81"/>
            <rFont val="Tahoma"/>
            <family val="2"/>
          </rPr>
          <t xml:space="preserve"> </t>
        </r>
        <r>
          <rPr>
            <sz val="9"/>
            <color indexed="81"/>
            <rFont val="Tahoma"/>
            <family val="2"/>
          </rPr>
          <t xml:space="preserve">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R3" authorId="0" shapeId="0" xr:uid="{00000000-0006-0000-0B00-000009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E4" authorId="0" shapeId="0" xr:uid="{00000000-0006-0000-0B00-00000A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t>
        </r>
        <r>
          <rPr>
            <sz val="9"/>
            <color indexed="81"/>
            <rFont val="細明體"/>
            <family val="3"/>
            <charset val="136"/>
          </rPr>
          <t xml:space="preserve">
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x1.5: M1/2 /</t>
        </r>
        <r>
          <rPr>
            <sz val="9"/>
            <color indexed="81"/>
            <rFont val="細明體"/>
            <family val="3"/>
            <charset val="136"/>
          </rPr>
          <t>物理</t>
        </r>
        <r>
          <rPr>
            <sz val="9"/>
            <color indexed="81"/>
            <rFont val="Tahoma"/>
            <family val="2"/>
          </rPr>
          <t>/</t>
        </r>
        <r>
          <rPr>
            <sz val="9"/>
            <color indexed="81"/>
            <rFont val="細明體"/>
            <family val="3"/>
            <charset val="136"/>
          </rPr>
          <t>組合科學</t>
        </r>
      </text>
    </comment>
    <comment ref="R4" authorId="0" shapeId="0" xr:uid="{00000000-0006-0000-0B00-00000C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E5" authorId="0" shapeId="0" xr:uid="{00000000-0006-0000-0B00-00000D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R5" authorId="0" shapeId="0" xr:uid="{00000000-0006-0000-0B00-00000F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E6" authorId="0" shapeId="0" xr:uid="{00000000-0006-0000-0B00-00001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R6" authorId="0" shapeId="0" xr:uid="{00000000-0006-0000-0B00-000012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E7" authorId="0" shapeId="0" xr:uid="{00000000-0006-0000-0B00-00001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/DAT)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t>
        </r>
      </text>
    </comment>
    <comment ref="L7" authorId="1" shapeId="0" xr:uid="{00000000-0006-0000-0B00-000014000000}">
      <text>
        <r>
          <rPr>
            <sz val="9"/>
            <color indexed="81"/>
            <rFont val="Tahoma"/>
            <family val="2"/>
          </rPr>
          <t>Submission of Design and Technology Project experience document (</t>
        </r>
        <r>
          <rPr>
            <b/>
            <sz val="9"/>
            <color indexed="81"/>
            <rFont val="Tahoma"/>
            <family val="2"/>
          </rPr>
          <t>DTP</t>
        </r>
        <r>
          <rPr>
            <sz val="9"/>
            <color indexed="81"/>
            <rFont val="Tahoma"/>
            <family val="2"/>
          </rPr>
          <t>)/ Student Learning Profile (</t>
        </r>
        <r>
          <rPr>
            <b/>
            <sz val="9"/>
            <color indexed="81"/>
            <rFont val="Tahoma"/>
            <family val="2"/>
          </rPr>
          <t>SLP</t>
        </r>
        <r>
          <rPr>
            <sz val="9"/>
            <color indexed="81"/>
            <rFont val="Tahoma"/>
            <family val="2"/>
          </rPr>
          <t>)/ Other Experiences and Achievements (</t>
        </r>
        <r>
          <rPr>
            <b/>
            <sz val="9"/>
            <color indexed="81"/>
            <rFont val="Tahoma"/>
            <family val="2"/>
          </rPr>
          <t>OEA</t>
        </r>
        <r>
          <rPr>
            <sz val="9"/>
            <color indexed="81"/>
            <rFont val="Tahoma"/>
            <family val="2"/>
          </rPr>
          <t xml:space="preserve">) are </t>
        </r>
        <r>
          <rPr>
            <b/>
            <sz val="9"/>
            <color indexed="81"/>
            <rFont val="Tahoma"/>
            <family val="2"/>
          </rPr>
          <t>compulsory for admissions</t>
        </r>
        <r>
          <rPr>
            <sz val="9"/>
            <color indexed="81"/>
            <rFont val="Tahoma"/>
            <family val="2"/>
          </rPr>
          <t xml:space="preserve"> to this program.</t>
        </r>
      </text>
    </comment>
    <comment ref="R7" authorId="0" shapeId="0" xr:uid="{00000000-0006-0000-0B00-000016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 / DAT</t>
        </r>
      </text>
    </comment>
    <comment ref="E8" authorId="0" shapeId="0" xr:uid="{00000000-0006-0000-0B00-000017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R8" authorId="0" shapeId="0" xr:uid="{00000000-0006-0000-0B00-000019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E9" authorId="0" shapeId="0" xr:uid="{00000000-0006-0000-0B00-00001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0" authorId="0" shapeId="0" xr:uid="{00000000-0006-0000-0B00-00001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1" authorId="0" shapeId="0" xr:uid="{00000000-0006-0000-0B00-00001F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E12" authorId="0" shapeId="0" xr:uid="{00000000-0006-0000-0B00-000021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3" authorId="0" shapeId="0" xr:uid="{00000000-0006-0000-0B00-00002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4" authorId="0" shapeId="0" xr:uid="{00000000-0006-0000-0B00-00002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5" authorId="0" shapeId="0" xr:uid="{00000000-0006-0000-0B00-000028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6" authorId="0" shapeId="0" xr:uid="{00000000-0006-0000-0B00-00002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7" authorId="0" shapeId="0" xr:uid="{00000000-0006-0000-0B00-00002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18" authorId="0" shapeId="0" xr:uid="{00000000-0006-0000-0B00-00002E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E19" authorId="0" shapeId="0" xr:uid="{00000000-0006-0000-0B00-00003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E20" authorId="0" shapeId="0" xr:uid="{00000000-0006-0000-0B00-000032000000}">
      <text>
        <r>
          <rPr>
            <sz val="9"/>
            <color indexed="81"/>
            <rFont val="細明體"/>
            <family val="3"/>
            <charset val="136"/>
          </rPr>
          <t>英文</t>
        </r>
        <r>
          <rPr>
            <sz val="9"/>
            <color indexed="81"/>
            <rFont val="Tahoma"/>
            <family val="2"/>
          </rPr>
          <t xml:space="preserve"> x2 </t>
        </r>
        <r>
          <rPr>
            <sz val="9"/>
            <color indexed="81"/>
            <rFont val="細明體"/>
            <family val="3"/>
            <charset val="136"/>
          </rPr>
          <t>中文</t>
        </r>
        <r>
          <rPr>
            <sz val="9"/>
            <color indexed="81"/>
            <rFont val="Tahoma"/>
            <family val="2"/>
          </rPr>
          <t xml:space="preserve"> x1.5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E21" authorId="0" shapeId="0" xr:uid="{00000000-0006-0000-0B00-000034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E22" authorId="0" shapeId="0" xr:uid="{00000000-0006-0000-0B00-00003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最佳下列理科</t>
        </r>
        <r>
          <rPr>
            <sz val="9"/>
            <color indexed="81"/>
            <rFont val="Tahoma"/>
            <family val="2"/>
          </rPr>
          <t xml:space="preserve"> x1.5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t>
        </r>
      </text>
    </comment>
    <comment ref="R22" authorId="1" shapeId="0" xr:uid="{00000000-0006-0000-0B00-000038000000}">
      <text>
        <r>
          <rPr>
            <b/>
            <sz val="9"/>
            <color indexed="81"/>
            <rFont val="細明體"/>
            <family val="3"/>
            <charset val="136"/>
          </rPr>
          <t>以下一科</t>
        </r>
        <r>
          <rPr>
            <b/>
            <sz val="9"/>
            <color indexed="81"/>
            <rFont val="Tahoma"/>
            <family val="2"/>
          </rPr>
          <t>:</t>
        </r>
        <r>
          <rPr>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text>
    </comment>
    <comment ref="E23" authorId="0" shapeId="0" xr:uid="{00000000-0006-0000-0B00-000039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E24" authorId="0" shapeId="0" xr:uid="{00000000-0006-0000-0B00-00003B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M1/2 x 2 </t>
        </r>
        <r>
          <rPr>
            <sz val="9"/>
            <color indexed="81"/>
            <rFont val="細明體"/>
            <family val="3"/>
            <charset val="136"/>
          </rPr>
          <t>或</t>
        </r>
        <r>
          <rPr>
            <sz val="9"/>
            <color indexed="81"/>
            <rFont val="Tahoma"/>
            <family val="2"/>
          </rPr>
          <t xml:space="preserve">
</t>
        </r>
        <r>
          <rPr>
            <sz val="9"/>
            <color indexed="81"/>
            <rFont val="細明體"/>
            <family val="3"/>
            <charset val="136"/>
          </rPr>
          <t>最佳下列科目</t>
        </r>
        <r>
          <rPr>
            <sz val="9"/>
            <color indexed="81"/>
            <rFont val="Tahoma"/>
            <family val="2"/>
          </rPr>
          <t xml:space="preserve"> x1.5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t>
        </r>
        <r>
          <rPr>
            <sz val="9"/>
            <color indexed="81"/>
            <rFont val="細明體"/>
            <family val="3"/>
            <charset val="136"/>
          </rPr>
          <t>物理</t>
        </r>
        <r>
          <rPr>
            <sz val="9"/>
            <color indexed="81"/>
            <rFont val="Tahoma"/>
            <family val="2"/>
          </rPr>
          <t>/</t>
        </r>
        <r>
          <rPr>
            <sz val="9"/>
            <color indexed="81"/>
            <rFont val="細明體"/>
            <family val="3"/>
            <charset val="136"/>
          </rPr>
          <t>組合科學</t>
        </r>
        <r>
          <rPr>
            <sz val="9"/>
            <color indexed="81"/>
            <rFont val="Tahoma"/>
            <family val="2"/>
          </rPr>
          <t>/</t>
        </r>
        <r>
          <rPr>
            <sz val="9"/>
            <color indexed="81"/>
            <rFont val="細明體"/>
            <family val="3"/>
            <charset val="136"/>
          </rPr>
          <t>綜合科學</t>
        </r>
        <r>
          <rPr>
            <sz val="9"/>
            <color indexed="81"/>
            <rFont val="Tahoma"/>
            <family val="2"/>
          </rPr>
          <t>/</t>
        </r>
        <r>
          <rPr>
            <sz val="9"/>
            <color indexed="81"/>
            <rFont val="細明體"/>
            <family val="3"/>
            <charset val="136"/>
          </rPr>
          <t>經濟</t>
        </r>
        <r>
          <rPr>
            <sz val="9"/>
            <color indexed="81"/>
            <rFont val="Tahoma"/>
            <family val="2"/>
          </rPr>
          <t xml:space="preserve">)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t>
        </r>
      </text>
    </comment>
    <comment ref="R24" authorId="0" shapeId="0" xr:uid="{00000000-0006-0000-0B00-00003D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綜合科學</t>
        </r>
        <r>
          <rPr>
            <sz val="9"/>
            <color indexed="81"/>
            <rFont val="Tahoma"/>
            <family val="2"/>
          </rPr>
          <t xml:space="preserve">/
</t>
        </r>
        <r>
          <rPr>
            <sz val="9"/>
            <color indexed="81"/>
            <rFont val="細明體"/>
            <family val="3"/>
            <charset val="136"/>
          </rPr>
          <t>經濟</t>
        </r>
        <r>
          <rPr>
            <sz val="9"/>
            <color indexed="81"/>
            <rFont val="Tahoma"/>
            <family val="2"/>
          </rPr>
          <t>/ M1/2</t>
        </r>
      </text>
    </comment>
    <comment ref="E25" authorId="0" shapeId="0" xr:uid="{00000000-0006-0000-0B00-00003E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E26" authorId="0" shapeId="0" xr:uid="{2199F5B3-DB31-472C-820E-00A3068FD516}">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r>
          <rPr>
            <sz val="9"/>
            <color indexed="81"/>
            <rFont val="細明體"/>
            <family val="3"/>
            <charset val="136"/>
          </rPr>
          <t>或
下列最佳理科</t>
        </r>
        <r>
          <rPr>
            <sz val="9"/>
            <color indexed="81"/>
            <rFont val="Tahoma"/>
            <family val="2"/>
          </rPr>
          <t xml:space="preserve"> x1.5
(</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/M1/2)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t>
        </r>
      </text>
    </comment>
    <comment ref="E27" authorId="0" shapeId="0" xr:uid="{00000000-0006-0000-0B00-00004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(M1/2 x1.5)
</t>
        </r>
      </text>
    </comment>
    <comment ref="R27" authorId="0" shapeId="0" xr:uid="{00000000-0006-0000-0B00-000042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G16" authorId="0" shapeId="0" xr:uid="{17A31B39-C575-402F-BF35-5FC623FDA864}">
      <text>
        <r>
          <rPr>
            <sz val="9"/>
            <color indexed="81"/>
            <rFont val="細明體"/>
            <family val="3"/>
            <charset val="136"/>
          </rPr>
          <t>嶺大公佈的</t>
        </r>
        <r>
          <rPr>
            <sz val="9"/>
            <color indexed="81"/>
            <rFont val="Tahoma"/>
            <family val="2"/>
          </rPr>
          <t>LQ</t>
        </r>
        <r>
          <rPr>
            <sz val="9"/>
            <color indexed="81"/>
            <rFont val="細明體"/>
            <family val="3"/>
            <charset val="136"/>
          </rPr>
          <t>分數為</t>
        </r>
        <r>
          <rPr>
            <sz val="9"/>
            <color indexed="81"/>
            <rFont val="Tahoma"/>
            <family val="2"/>
          </rPr>
          <t>24.5</t>
        </r>
        <r>
          <rPr>
            <sz val="9"/>
            <color indexed="81"/>
            <rFont val="細明體"/>
            <family val="3"/>
            <charset val="136"/>
          </rPr>
          <t>，然而若根據嶺大提供的原始分數，再加以比重，則會得出</t>
        </r>
        <r>
          <rPr>
            <sz val="9"/>
            <color indexed="81"/>
            <rFont val="Tahoma"/>
            <family val="2"/>
          </rPr>
          <t>23.5</t>
        </r>
        <r>
          <rPr>
            <sz val="9"/>
            <color indexed="81"/>
            <rFont val="細明體"/>
            <family val="3"/>
            <charset val="136"/>
          </rPr>
          <t>‧故此處應為手民之誤。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L2" authorId="0" shapeId="0" xr:uid="{00000000-0006-0000-0E00-000002000000}">
      <text>
        <r>
          <rPr>
            <b/>
            <sz val="9"/>
            <color indexed="81"/>
            <rFont val="細明體"/>
            <family val="3"/>
            <charset val="136"/>
          </rPr>
          <t>前</t>
        </r>
        <r>
          <rPr>
            <b/>
            <sz val="9"/>
            <color indexed="81"/>
            <rFont val="Tahoma"/>
            <family val="2"/>
          </rPr>
          <t xml:space="preserve">: </t>
        </r>
        <r>
          <rPr>
            <sz val="9"/>
            <color indexed="81"/>
            <rFont val="Tahoma"/>
            <family val="2"/>
          </rPr>
          <t>21 - 25 June 2021</t>
        </r>
        <r>
          <rPr>
            <b/>
            <sz val="9"/>
            <color indexed="81"/>
            <rFont val="Tahoma"/>
            <family val="2"/>
          </rPr>
          <t xml:space="preserve">
</t>
        </r>
        <r>
          <rPr>
            <b/>
            <sz val="9"/>
            <color indexed="81"/>
            <rFont val="細明體"/>
            <family val="3"/>
            <charset val="136"/>
          </rPr>
          <t>後</t>
        </r>
        <r>
          <rPr>
            <b/>
            <sz val="9"/>
            <color indexed="81"/>
            <rFont val="Tahoma"/>
            <family val="2"/>
          </rPr>
          <t xml:space="preserve">: </t>
        </r>
        <r>
          <rPr>
            <sz val="9"/>
            <color indexed="81"/>
            <rFont val="Tahoma"/>
            <family val="2"/>
          </rPr>
          <t xml:space="preserve">29 - 31 July 2021 / Mid - late August
Shortlisted candidates will receive an email notification with detailed arrangements of the admission interview/ test.
</t>
        </r>
      </text>
    </comment>
    <comment ref="K6" authorId="1" shapeId="0" xr:uid="{00000000-0006-0000-0E00-000009000000}">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F9" authorId="1" shapeId="0" xr:uid="{BB2CD7EE-3460-4E52-ADFF-5059F2EAA34F}">
      <text>
        <r>
          <rPr>
            <sz val="9"/>
            <color indexed="81"/>
            <rFont val="細明體"/>
            <family val="3"/>
            <charset val="136"/>
          </rPr>
          <t>由於課程於</t>
        </r>
        <r>
          <rPr>
            <sz val="9"/>
            <color indexed="81"/>
            <rFont val="Tahoma"/>
            <family val="2"/>
          </rPr>
          <t>2021</t>
        </r>
        <r>
          <rPr>
            <sz val="9"/>
            <color indexed="81"/>
            <rFont val="細明體"/>
            <family val="3"/>
            <charset val="136"/>
          </rPr>
          <t>年未有收生，此處引用</t>
        </r>
        <r>
          <rPr>
            <sz val="9"/>
            <color indexed="81"/>
            <rFont val="Tahoma"/>
            <family val="2"/>
          </rPr>
          <t>2020</t>
        </r>
        <r>
          <rPr>
            <sz val="9"/>
            <color indexed="81"/>
            <rFont val="細明體"/>
            <family val="3"/>
            <charset val="136"/>
          </rPr>
          <t>年數字。</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E9" authorId="0" shapeId="0" xr:uid="{00000000-0006-0000-0F00-000001000000}">
      <text>
        <r>
          <rPr>
            <b/>
            <sz val="9"/>
            <color indexed="81"/>
            <rFont val="Tahoma"/>
            <family val="2"/>
          </rPr>
          <t>x2:</t>
        </r>
        <r>
          <rPr>
            <sz val="9"/>
            <color indexed="81"/>
            <rFont val="Tahoma"/>
            <family val="2"/>
          </rPr>
          <t xml:space="preserve"> </t>
        </r>
        <r>
          <rPr>
            <sz val="9"/>
            <color indexed="81"/>
            <rFont val="細明體"/>
            <family val="3"/>
            <charset val="136"/>
          </rPr>
          <t>中文</t>
        </r>
      </text>
    </comment>
    <comment ref="E10" authorId="0" shapeId="0" xr:uid="{00000000-0006-0000-0F00-000002000000}">
      <text>
        <r>
          <rPr>
            <b/>
            <sz val="9"/>
            <color indexed="81"/>
            <rFont val="Tahoma"/>
            <family val="2"/>
          </rPr>
          <t xml:space="preserve">x1.5: </t>
        </r>
        <r>
          <rPr>
            <sz val="9"/>
            <color indexed="81"/>
            <rFont val="細明體"/>
            <family val="3"/>
            <charset val="136"/>
          </rPr>
          <t>中文、英文</t>
        </r>
        <r>
          <rPr>
            <sz val="9"/>
            <color indexed="81"/>
            <rFont val="Tahoma"/>
            <family val="2"/>
          </rPr>
          <t xml:space="preserve"> </t>
        </r>
      </text>
    </comment>
    <comment ref="E11" authorId="0" shapeId="0" xr:uid="{00000000-0006-0000-0F00-000003000000}">
      <text>
        <r>
          <rPr>
            <b/>
            <sz val="9"/>
            <color indexed="81"/>
            <rFont val="Tahoma"/>
            <family val="2"/>
          </rPr>
          <t>x1.5:</t>
        </r>
        <r>
          <rPr>
            <sz val="9"/>
            <color indexed="81"/>
            <rFont val="Tahoma"/>
            <family val="2"/>
          </rPr>
          <t xml:space="preserve"> </t>
        </r>
        <r>
          <rPr>
            <sz val="9"/>
            <color indexed="81"/>
            <rFont val="細明體"/>
            <family val="3"/>
            <charset val="136"/>
          </rPr>
          <t>中文、英文</t>
        </r>
      </text>
    </comment>
    <comment ref="E24" authorId="0" shapeId="0" xr:uid="{00000000-0006-0000-0F00-000004000000}">
      <text>
        <r>
          <rPr>
            <b/>
            <sz val="9"/>
            <color indexed="81"/>
            <rFont val="Tahoma"/>
            <family val="2"/>
          </rPr>
          <t xml:space="preserve">x2: </t>
        </r>
        <r>
          <rPr>
            <sz val="9"/>
            <color indexed="81"/>
            <rFont val="細明體"/>
            <family val="3"/>
            <charset val="136"/>
          </rPr>
          <t>英文</t>
        </r>
      </text>
    </comment>
    <comment ref="E25" authorId="0" shapeId="0" xr:uid="{00000000-0006-0000-0F00-000006000000}">
      <text>
        <r>
          <rPr>
            <b/>
            <sz val="9"/>
            <color indexed="81"/>
            <rFont val="Tahoma"/>
            <family val="2"/>
          </rPr>
          <t xml:space="preserve">x2: </t>
        </r>
        <r>
          <rPr>
            <sz val="9"/>
            <color indexed="81"/>
            <rFont val="細明體"/>
            <family val="3"/>
            <charset val="136"/>
          </rPr>
          <t>英文</t>
        </r>
      </text>
    </comment>
    <comment ref="E26" authorId="0" shapeId="0" xr:uid="{00000000-0006-0000-0F00-000007000000}">
      <text>
        <r>
          <rPr>
            <b/>
            <sz val="9"/>
            <color indexed="81"/>
            <rFont val="Tahoma"/>
            <family val="2"/>
          </rPr>
          <t xml:space="preserve">x2: </t>
        </r>
        <r>
          <rPr>
            <sz val="9"/>
            <color indexed="81"/>
            <rFont val="細明體"/>
            <family val="3"/>
            <charset val="136"/>
          </rPr>
          <t>中文、中國文學</t>
        </r>
        <r>
          <rPr>
            <sz val="9"/>
            <color indexed="81"/>
            <rFont val="Tahoma"/>
            <family val="2"/>
          </rPr>
          <t xml:space="preserve"> </t>
        </r>
      </text>
    </comment>
    <comment ref="E27" authorId="0" shapeId="0" xr:uid="{00000000-0006-0000-0F00-000008000000}">
      <text>
        <r>
          <rPr>
            <b/>
            <sz val="9"/>
            <color indexed="81"/>
            <rFont val="Tahoma"/>
            <family val="2"/>
          </rPr>
          <t xml:space="preserve">x2: </t>
        </r>
        <r>
          <rPr>
            <sz val="9"/>
            <color indexed="81"/>
            <rFont val="細明體"/>
            <family val="3"/>
            <charset val="136"/>
          </rPr>
          <t>中文、中國文學</t>
        </r>
      </text>
    </comment>
    <comment ref="C29" authorId="0" shapeId="0" xr:uid="{00000000-0006-0000-0F00-00000A000000}">
      <text>
        <r>
          <rPr>
            <sz val="9"/>
            <color indexed="81"/>
            <rFont val="細明體"/>
            <family val="3"/>
            <charset val="136"/>
          </rPr>
          <t>若應用學習科目</t>
        </r>
        <r>
          <rPr>
            <sz val="9"/>
            <color indexed="81"/>
            <rFont val="Tahoma"/>
            <family val="2"/>
          </rPr>
          <t xml:space="preserve"> (</t>
        </r>
        <r>
          <rPr>
            <sz val="9"/>
            <color indexed="81"/>
            <rFont val="細明體"/>
            <family val="3"/>
            <charset val="136"/>
          </rPr>
          <t>乙類科目</t>
        </r>
        <r>
          <rPr>
            <sz val="9"/>
            <color indexed="81"/>
            <rFont val="Tahoma"/>
            <family val="2"/>
          </rPr>
          <t xml:space="preserve">) </t>
        </r>
        <r>
          <rPr>
            <sz val="9"/>
            <color indexed="81"/>
            <rFont val="細明體"/>
            <family val="3"/>
            <charset val="136"/>
          </rPr>
          <t>被用作滿足入學要求的選修科目，「幼兒教育」會被當作甲類科目看待。</t>
        </r>
      </text>
    </comment>
    <comment ref="E29" authorId="0" shapeId="0" xr:uid="{00000000-0006-0000-0F00-00000B000000}">
      <text>
        <r>
          <rPr>
            <b/>
            <sz val="9"/>
            <color indexed="81"/>
            <rFont val="Tahoma"/>
            <family val="2"/>
          </rPr>
          <t xml:space="preserve">x2: </t>
        </r>
        <r>
          <rPr>
            <sz val="9"/>
            <color indexed="81"/>
            <rFont val="Tahoma"/>
            <family val="2"/>
          </rPr>
          <t xml:space="preserve">(ApL) </t>
        </r>
        <r>
          <rPr>
            <sz val="9"/>
            <color indexed="81"/>
            <rFont val="細明體"/>
            <family val="3"/>
            <charset val="136"/>
          </rPr>
          <t xml:space="preserve">幼兒教育
</t>
        </r>
        <r>
          <rPr>
            <sz val="9"/>
            <color indexed="81"/>
            <rFont val="Tahoma"/>
            <family val="2"/>
          </rPr>
          <t>Child Care and Education</t>
        </r>
      </text>
    </comment>
    <comment ref="C33" authorId="0" shapeId="0" xr:uid="{00000000-0006-0000-0F00-00000F000000}">
      <text>
        <r>
          <rPr>
            <sz val="9"/>
            <color indexed="81"/>
            <rFont val="細明體"/>
            <family val="3"/>
            <charset val="136"/>
          </rPr>
          <t>選修科為</t>
        </r>
        <r>
          <rPr>
            <b/>
            <sz val="9"/>
            <color indexed="81"/>
            <rFont val="細明體"/>
            <family val="3"/>
            <charset val="136"/>
          </rPr>
          <t>理科</t>
        </r>
        <r>
          <rPr>
            <b/>
            <sz val="9"/>
            <color indexed="81"/>
            <rFont val="Tahoma"/>
            <family val="2"/>
          </rPr>
          <t>*</t>
        </r>
        <r>
          <rPr>
            <sz val="9"/>
            <color indexed="81"/>
            <rFont val="細明體"/>
            <family val="3"/>
            <charset val="136"/>
          </rPr>
          <t xml:space="preserve">者將被優先考慮
</t>
        </r>
        <r>
          <rPr>
            <b/>
            <sz val="9"/>
            <color indexed="81"/>
            <rFont val="細明體"/>
            <family val="3"/>
            <charset val="136"/>
          </rPr>
          <t>理科</t>
        </r>
        <r>
          <rPr>
            <b/>
            <sz val="9"/>
            <color indexed="81"/>
            <rFont val="Tahoma"/>
            <family val="2"/>
          </rPr>
          <t>*:</t>
        </r>
        <r>
          <rPr>
            <sz val="9"/>
            <color indexed="81"/>
            <rFont val="Tahoma"/>
            <family val="2"/>
          </rPr>
          <t xml:space="preserve"> </t>
        </r>
        <r>
          <rPr>
            <sz val="9"/>
            <color indexed="81"/>
            <rFont val="細明體"/>
            <family val="3"/>
            <charset val="136"/>
          </rPr>
          <t>生物、化學、物理、組合科學、綜合科學、</t>
        </r>
        <r>
          <rPr>
            <sz val="9"/>
            <color indexed="81"/>
            <rFont val="Tahoma"/>
            <family val="2"/>
          </rPr>
          <t>M1/2</t>
        </r>
        <r>
          <rPr>
            <sz val="9"/>
            <color indexed="81"/>
            <rFont val="細明體"/>
            <family val="3"/>
            <charset val="136"/>
          </rPr>
          <t>、</t>
        </r>
        <r>
          <rPr>
            <sz val="9"/>
            <color indexed="81"/>
            <rFont val="Tahoma"/>
            <family val="2"/>
          </rPr>
          <t>ICT</t>
        </r>
      </text>
    </comment>
    <comment ref="R33" authorId="0" shapeId="0" xr:uid="{00000000-0006-0000-0F00-000011000000}">
      <text>
        <r>
          <rPr>
            <sz val="9"/>
            <color indexed="81"/>
            <rFont val="細明體"/>
            <family val="3"/>
            <charset val="136"/>
          </rPr>
          <t>選修科為</t>
        </r>
        <r>
          <rPr>
            <b/>
            <sz val="9"/>
            <color indexed="81"/>
            <rFont val="細明體"/>
            <family val="3"/>
            <charset val="136"/>
          </rPr>
          <t>理科</t>
        </r>
        <r>
          <rPr>
            <b/>
            <sz val="9"/>
            <color indexed="81"/>
            <rFont val="Tahoma"/>
            <family val="2"/>
          </rPr>
          <t>*</t>
        </r>
        <r>
          <rPr>
            <sz val="9"/>
            <color indexed="81"/>
            <rFont val="細明體"/>
            <family val="3"/>
            <charset val="136"/>
          </rPr>
          <t xml:space="preserve">者將被優先考慮
</t>
        </r>
        <r>
          <rPr>
            <b/>
            <sz val="9"/>
            <color indexed="81"/>
            <rFont val="細明體"/>
            <family val="3"/>
            <charset val="136"/>
          </rPr>
          <t>理科</t>
        </r>
        <r>
          <rPr>
            <b/>
            <sz val="9"/>
            <color indexed="81"/>
            <rFont val="Tahoma"/>
            <family val="2"/>
          </rPr>
          <t>*:</t>
        </r>
        <r>
          <rPr>
            <sz val="9"/>
            <color indexed="81"/>
            <rFont val="Tahoma"/>
            <family val="2"/>
          </rPr>
          <t xml:space="preserve"> </t>
        </r>
        <r>
          <rPr>
            <sz val="9"/>
            <color indexed="81"/>
            <rFont val="細明體"/>
            <family val="3"/>
            <charset val="136"/>
          </rPr>
          <t>生物、化學、物理、組合科學、綜合科學、</t>
        </r>
        <r>
          <rPr>
            <sz val="9"/>
            <color indexed="81"/>
            <rFont val="Tahoma"/>
            <family val="2"/>
          </rPr>
          <t>M1/2</t>
        </r>
        <r>
          <rPr>
            <sz val="9"/>
            <color indexed="81"/>
            <rFont val="細明體"/>
            <family val="3"/>
            <charset val="136"/>
          </rPr>
          <t>、</t>
        </r>
        <r>
          <rPr>
            <sz val="9"/>
            <color indexed="81"/>
            <rFont val="Tahoma"/>
            <family val="2"/>
          </rPr>
          <t>ICT</t>
        </r>
      </text>
    </comment>
    <comment ref="C34" authorId="0" shapeId="0" xr:uid="{00000000-0006-0000-0F00-000012000000}">
      <text>
        <r>
          <rPr>
            <sz val="9"/>
            <color indexed="81"/>
            <rFont val="細明體"/>
            <family val="3"/>
            <charset val="136"/>
          </rPr>
          <t>選修科為</t>
        </r>
        <r>
          <rPr>
            <b/>
            <sz val="9"/>
            <color indexed="81"/>
            <rFont val="細明體"/>
            <family val="3"/>
            <charset val="136"/>
          </rPr>
          <t>理科</t>
        </r>
        <r>
          <rPr>
            <b/>
            <sz val="9"/>
            <color indexed="81"/>
            <rFont val="Tahoma"/>
            <family val="2"/>
          </rPr>
          <t>*</t>
        </r>
        <r>
          <rPr>
            <sz val="9"/>
            <color indexed="81"/>
            <rFont val="細明體"/>
            <family val="3"/>
            <charset val="136"/>
          </rPr>
          <t xml:space="preserve">者將被優先考慮
</t>
        </r>
        <r>
          <rPr>
            <b/>
            <sz val="9"/>
            <color indexed="81"/>
            <rFont val="細明體"/>
            <family val="3"/>
            <charset val="136"/>
          </rPr>
          <t>理科</t>
        </r>
        <r>
          <rPr>
            <b/>
            <sz val="9"/>
            <color indexed="81"/>
            <rFont val="Tahoma"/>
            <family val="2"/>
          </rPr>
          <t>*:</t>
        </r>
        <r>
          <rPr>
            <sz val="9"/>
            <color indexed="81"/>
            <rFont val="Tahoma"/>
            <family val="2"/>
          </rPr>
          <t xml:space="preserve"> </t>
        </r>
        <r>
          <rPr>
            <sz val="9"/>
            <color indexed="81"/>
            <rFont val="細明體"/>
            <family val="3"/>
            <charset val="136"/>
          </rPr>
          <t>生物、化學、物理、組合科學、綜合科學、</t>
        </r>
        <r>
          <rPr>
            <sz val="9"/>
            <color indexed="81"/>
            <rFont val="Tahoma"/>
            <family val="2"/>
          </rPr>
          <t>M1/2</t>
        </r>
        <r>
          <rPr>
            <sz val="9"/>
            <color indexed="81"/>
            <rFont val="細明體"/>
            <family val="3"/>
            <charset val="136"/>
          </rPr>
          <t>、</t>
        </r>
        <r>
          <rPr>
            <sz val="9"/>
            <color indexed="81"/>
            <rFont val="Tahoma"/>
            <family val="2"/>
          </rPr>
          <t>ICT</t>
        </r>
      </text>
    </comment>
    <comment ref="R34" authorId="0" shapeId="0" xr:uid="{00000000-0006-0000-0F00-000014000000}">
      <text>
        <r>
          <rPr>
            <sz val="9"/>
            <color indexed="81"/>
            <rFont val="細明體"/>
            <family val="3"/>
            <charset val="136"/>
          </rPr>
          <t>選修科為</t>
        </r>
        <r>
          <rPr>
            <b/>
            <sz val="9"/>
            <color indexed="81"/>
            <rFont val="細明體"/>
            <family val="3"/>
            <charset val="136"/>
          </rPr>
          <t>理科</t>
        </r>
        <r>
          <rPr>
            <b/>
            <sz val="9"/>
            <color indexed="81"/>
            <rFont val="Tahoma"/>
            <family val="2"/>
          </rPr>
          <t>*</t>
        </r>
        <r>
          <rPr>
            <sz val="9"/>
            <color indexed="81"/>
            <rFont val="細明體"/>
            <family val="3"/>
            <charset val="136"/>
          </rPr>
          <t xml:space="preserve">者將被優先考慮
</t>
        </r>
        <r>
          <rPr>
            <b/>
            <sz val="9"/>
            <color indexed="81"/>
            <rFont val="細明體"/>
            <family val="3"/>
            <charset val="136"/>
          </rPr>
          <t>理科</t>
        </r>
        <r>
          <rPr>
            <b/>
            <sz val="9"/>
            <color indexed="81"/>
            <rFont val="Tahoma"/>
            <family val="2"/>
          </rPr>
          <t>*:</t>
        </r>
        <r>
          <rPr>
            <sz val="9"/>
            <color indexed="81"/>
            <rFont val="Tahoma"/>
            <family val="2"/>
          </rPr>
          <t xml:space="preserve"> </t>
        </r>
        <r>
          <rPr>
            <sz val="9"/>
            <color indexed="81"/>
            <rFont val="細明體"/>
            <family val="3"/>
            <charset val="136"/>
          </rPr>
          <t>生物、化學、物理、組合科學、綜合科學、</t>
        </r>
        <r>
          <rPr>
            <sz val="9"/>
            <color indexed="81"/>
            <rFont val="Tahoma"/>
            <family val="2"/>
          </rPr>
          <t>M1/2</t>
        </r>
        <r>
          <rPr>
            <sz val="9"/>
            <color indexed="81"/>
            <rFont val="細明體"/>
            <family val="3"/>
            <charset val="136"/>
          </rPr>
          <t>、</t>
        </r>
        <r>
          <rPr>
            <sz val="9"/>
            <color indexed="81"/>
            <rFont val="Tahoma"/>
            <family val="2"/>
          </rPr>
          <t>ICT</t>
        </r>
      </text>
    </comment>
    <comment ref="E37" authorId="0" shapeId="0" xr:uid="{D51F9907-FA1F-486E-A855-2C5B5FF4B57C}">
      <text>
        <r>
          <rPr>
            <b/>
            <sz val="9"/>
            <color indexed="81"/>
            <rFont val="Tahoma"/>
            <family val="2"/>
          </rPr>
          <t>2022</t>
        </r>
        <r>
          <rPr>
            <b/>
            <sz val="9"/>
            <color indexed="81"/>
            <rFont val="細明體"/>
            <family val="3"/>
            <charset val="136"/>
          </rPr>
          <t>年新科目</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N2" authorId="0" shapeId="0" xr:uid="{00000000-0006-0000-1100-000001000000}">
      <text>
        <r>
          <rPr>
            <sz val="9"/>
            <color indexed="81"/>
            <rFont val="Tahoma"/>
            <family val="2"/>
          </rPr>
          <t xml:space="preserve">Applicant </t>
        </r>
        <r>
          <rPr>
            <b/>
            <sz val="9"/>
            <color indexed="81"/>
            <rFont val="Tahoma"/>
            <family val="2"/>
          </rPr>
          <t>must have passed the admission interview</t>
        </r>
        <r>
          <rPr>
            <sz val="9"/>
            <color indexed="81"/>
            <rFont val="Tahoma"/>
            <family val="2"/>
          </rPr>
          <t xml:space="preserve"> for successful application.</t>
        </r>
      </text>
    </comment>
    <comment ref="T2" authorId="1" shapeId="0" xr:uid="{00000000-0006-0000-1100-000002000000}">
      <text>
        <r>
          <rPr>
            <sz val="9"/>
            <color indexed="81"/>
            <rFont val="細明體"/>
            <family val="3"/>
            <charset val="136"/>
          </rPr>
          <t>優先考慮</t>
        </r>
        <r>
          <rPr>
            <sz val="9"/>
            <color indexed="81"/>
            <rFont val="Tahoma"/>
            <family val="2"/>
          </rPr>
          <t xml:space="preserve">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Lv.2</t>
        </r>
        <r>
          <rPr>
            <b/>
            <sz val="9"/>
            <color indexed="81"/>
            <rFont val="細明體"/>
            <family val="3"/>
            <charset val="136"/>
          </rPr>
          <t>或以上</t>
        </r>
        <r>
          <rPr>
            <sz val="9"/>
            <color indexed="81"/>
            <rFont val="細明體"/>
            <family val="3"/>
            <charset val="136"/>
          </rPr>
          <t>者</t>
        </r>
      </text>
    </comment>
    <comment ref="N3" authorId="0" shapeId="0" xr:uid="{00000000-0006-0000-1100-000003000000}">
      <text>
        <r>
          <rPr>
            <b/>
            <sz val="9"/>
            <color indexed="81"/>
            <rFont val="Tahoma"/>
            <family val="2"/>
          </rPr>
          <t>(For all applicants)</t>
        </r>
      </text>
    </comment>
    <comment ref="E4" authorId="1" shapeId="0" xr:uid="{00000000-0006-0000-1100-000004000000}">
      <text>
        <r>
          <rPr>
            <b/>
            <sz val="9"/>
            <color indexed="81"/>
            <rFont val="細明體"/>
            <family val="3"/>
            <charset val="136"/>
          </rPr>
          <t>優先考慮</t>
        </r>
        <r>
          <rPr>
            <b/>
            <sz val="9"/>
            <color indexed="81"/>
            <rFont val="Tahoma"/>
            <family val="2"/>
          </rPr>
          <t xml:space="preserve">: </t>
        </r>
        <r>
          <rPr>
            <sz val="9"/>
            <color indexed="81"/>
            <rFont val="Tahoma"/>
            <family val="2"/>
          </rPr>
          <t xml:space="preserve">
- </t>
        </r>
        <r>
          <rPr>
            <sz val="9"/>
            <color indexed="81"/>
            <rFont val="細明體"/>
            <family val="3"/>
            <charset val="136"/>
          </rPr>
          <t>英文</t>
        </r>
        <r>
          <rPr>
            <b/>
            <sz val="9"/>
            <color indexed="81"/>
            <rFont val="Tahoma"/>
            <family val="2"/>
          </rPr>
          <t xml:space="preserve"> </t>
        </r>
        <r>
          <rPr>
            <sz val="9"/>
            <color indexed="81"/>
            <rFont val="細明體"/>
            <family val="3"/>
            <charset val="136"/>
          </rPr>
          <t>考獲</t>
        </r>
        <r>
          <rPr>
            <b/>
            <sz val="9"/>
            <color indexed="81"/>
            <rFont val="Tahoma"/>
            <family val="2"/>
          </rPr>
          <t xml:space="preserve"> Lv.4 </t>
        </r>
        <r>
          <rPr>
            <b/>
            <sz val="9"/>
            <color indexed="81"/>
            <rFont val="細明體"/>
            <family val="3"/>
            <charset val="136"/>
          </rPr>
          <t>或以上</t>
        </r>
        <r>
          <rPr>
            <b/>
            <sz val="9"/>
            <color indexed="81"/>
            <rFont val="Tahoma"/>
            <family val="2"/>
          </rPr>
          <t xml:space="preserve"> </t>
        </r>
        <r>
          <rPr>
            <sz val="9"/>
            <color indexed="81"/>
            <rFont val="細明體"/>
            <family val="3"/>
            <charset val="136"/>
          </rPr>
          <t xml:space="preserve">者
</t>
        </r>
        <r>
          <rPr>
            <sz val="9"/>
            <color indexed="81"/>
            <rFont val="Tahoma"/>
            <family val="2"/>
          </rPr>
          <t xml:space="preserve">- </t>
        </r>
        <r>
          <rPr>
            <sz val="9"/>
            <color indexed="81"/>
            <rFont val="細明體"/>
            <family val="3"/>
            <charset val="136"/>
          </rPr>
          <t>生物、物理、組合科學</t>
        </r>
        <r>
          <rPr>
            <sz val="9"/>
            <color indexed="81"/>
            <rFont val="Tahoma"/>
            <family val="2"/>
          </rPr>
          <t>(</t>
        </r>
        <r>
          <rPr>
            <sz val="9"/>
            <color indexed="81"/>
            <rFont val="細明體"/>
            <family val="3"/>
            <charset val="136"/>
          </rPr>
          <t>物理、生物</t>
        </r>
        <r>
          <rPr>
            <sz val="9"/>
            <color indexed="81"/>
            <rFont val="Tahoma"/>
            <family val="2"/>
          </rPr>
          <t xml:space="preserve">) </t>
        </r>
        <r>
          <rPr>
            <sz val="9"/>
            <color indexed="81"/>
            <rFont val="細明體"/>
            <family val="3"/>
            <charset val="136"/>
          </rPr>
          <t>考獲</t>
        </r>
        <r>
          <rPr>
            <b/>
            <sz val="9"/>
            <color indexed="81"/>
            <rFont val="Tahoma"/>
            <family val="2"/>
          </rPr>
          <t xml:space="preserve"> Lv.3 </t>
        </r>
        <r>
          <rPr>
            <b/>
            <sz val="9"/>
            <color indexed="81"/>
            <rFont val="細明體"/>
            <family val="3"/>
            <charset val="136"/>
          </rPr>
          <t>或以上</t>
        </r>
        <r>
          <rPr>
            <sz val="9"/>
            <color indexed="81"/>
            <rFont val="細明體"/>
            <family val="3"/>
            <charset val="136"/>
          </rPr>
          <t>者</t>
        </r>
      </text>
    </comment>
    <comment ref="N4" authorId="0" shapeId="0" xr:uid="{00000000-0006-0000-1100-000005000000}">
      <text>
        <r>
          <rPr>
            <sz val="9"/>
            <color indexed="81"/>
            <rFont val="Tahoma"/>
            <family val="2"/>
          </rPr>
          <t xml:space="preserve">(For selected candidates)
</t>
        </r>
      </text>
    </comment>
    <comment ref="Q4" authorId="0" shapeId="0" xr:uid="{00000000-0006-0000-1100-000006000000}">
      <text>
        <r>
          <rPr>
            <sz val="9"/>
            <color indexed="81"/>
            <rFont val="細明體"/>
            <family val="3"/>
            <charset val="136"/>
          </rPr>
          <t>優先考慮</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sz val="9"/>
            <color indexed="81"/>
            <rFont val="Tahoma"/>
            <family val="2"/>
          </rPr>
          <t xml:space="preserve"> </t>
        </r>
        <r>
          <rPr>
            <b/>
            <sz val="9"/>
            <color indexed="81"/>
            <rFont val="Tahoma"/>
            <family val="2"/>
          </rPr>
          <t xml:space="preserve">Lv.4 </t>
        </r>
        <r>
          <rPr>
            <b/>
            <sz val="9"/>
            <color indexed="81"/>
            <rFont val="細明體"/>
            <family val="3"/>
            <charset val="136"/>
          </rPr>
          <t>或以上</t>
        </r>
        <r>
          <rPr>
            <sz val="9"/>
            <color indexed="81"/>
            <rFont val="Tahoma"/>
            <family val="2"/>
          </rPr>
          <t xml:space="preserve"> </t>
        </r>
        <r>
          <rPr>
            <sz val="9"/>
            <color indexed="81"/>
            <rFont val="細明體"/>
            <family val="3"/>
            <charset val="136"/>
          </rPr>
          <t>者</t>
        </r>
      </text>
    </comment>
    <comment ref="T4" authorId="1" shapeId="0" xr:uid="{00000000-0006-0000-1100-000007000000}">
      <text>
        <r>
          <rPr>
            <sz val="9"/>
            <color indexed="81"/>
            <rFont val="細明體"/>
            <family val="3"/>
            <charset val="136"/>
          </rPr>
          <t>優先考慮</t>
        </r>
        <r>
          <rPr>
            <sz val="9"/>
            <color indexed="81"/>
            <rFont val="Tahoma"/>
            <family val="2"/>
          </rPr>
          <t xml:space="preserve"> </t>
        </r>
        <r>
          <rPr>
            <b/>
            <sz val="9"/>
            <color indexed="81"/>
            <rFont val="細明體"/>
            <family val="3"/>
            <charset val="136"/>
          </rPr>
          <t>物理</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物理、生物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N5" authorId="0" shapeId="0" xr:uid="{00000000-0006-0000-1100-000009000000}">
      <text>
        <r>
          <rPr>
            <sz val="9"/>
            <color indexed="81"/>
            <rFont val="Tahoma"/>
            <family val="2"/>
          </rPr>
          <t xml:space="preserve">(Shortlisted local applicants will be invited)
</t>
        </r>
      </text>
    </comment>
    <comment ref="N6" authorId="0" shapeId="0" xr:uid="{00000000-0006-0000-1100-00000A000000}">
      <text>
        <r>
          <rPr>
            <sz val="9"/>
            <color indexed="81"/>
            <rFont val="Tahoma"/>
            <family val="2"/>
          </rPr>
          <t xml:space="preserve">Selected applicants may be invited to attend an interview / written test.
The date and time of the interview will be informed during June 2021. </t>
        </r>
      </text>
    </comment>
    <comment ref="E9" authorId="1" shapeId="0" xr:uid="{00000000-0006-0000-1100-00000B000000}">
      <text>
        <r>
          <rPr>
            <b/>
            <sz val="9"/>
            <color indexed="81"/>
            <rFont val="Tahoma"/>
            <family val="2"/>
          </rPr>
          <t>Best 5 (</t>
        </r>
        <r>
          <rPr>
            <b/>
            <sz val="9"/>
            <color indexed="81"/>
            <rFont val="細明體"/>
            <family val="3"/>
            <charset val="136"/>
          </rPr>
          <t>包括英文、數學</t>
        </r>
        <r>
          <rPr>
            <b/>
            <sz val="9"/>
            <color indexed="81"/>
            <rFont val="Tahoma"/>
            <family val="2"/>
          </rPr>
          <t xml:space="preserve">)
</t>
        </r>
        <r>
          <rPr>
            <sz val="9"/>
            <color indexed="81"/>
            <rFont val="Tahoma"/>
            <family val="2"/>
          </rPr>
          <t xml:space="preserve">
</t>
        </r>
        <r>
          <rPr>
            <b/>
            <sz val="9"/>
            <color indexed="81"/>
            <rFont val="細明體"/>
            <family val="3"/>
            <charset val="136"/>
          </rPr>
          <t>此處並無計算比重</t>
        </r>
        <r>
          <rPr>
            <sz val="9"/>
            <color indexed="81"/>
            <rFont val="細明體"/>
            <family val="3"/>
            <charset val="136"/>
          </rPr>
          <t xml:space="preserve">
</t>
        </r>
        <r>
          <rPr>
            <b/>
            <sz val="9"/>
            <color indexed="81"/>
            <rFont val="Tahoma"/>
            <family val="2"/>
          </rPr>
          <t>x10:</t>
        </r>
        <r>
          <rPr>
            <sz val="9"/>
            <color indexed="81"/>
            <rFont val="Tahoma"/>
            <family val="2"/>
          </rPr>
          <t xml:space="preserve"> </t>
        </r>
        <r>
          <rPr>
            <sz val="9"/>
            <color indexed="81"/>
            <rFont val="細明體"/>
            <family val="3"/>
            <charset val="136"/>
          </rPr>
          <t>英文、數學、</t>
        </r>
        <r>
          <rPr>
            <sz val="9"/>
            <color indexed="81"/>
            <rFont val="Tahoma"/>
            <family val="2"/>
          </rPr>
          <t>BAFS</t>
        </r>
        <r>
          <rPr>
            <sz val="9"/>
            <color indexed="81"/>
            <rFont val="細明體"/>
            <family val="3"/>
            <charset val="136"/>
          </rPr>
          <t>、經濟、地理、</t>
        </r>
        <r>
          <rPr>
            <sz val="9"/>
            <color indexed="81"/>
            <rFont val="Tahoma"/>
            <family val="2"/>
          </rPr>
          <t>ICT</t>
        </r>
        <r>
          <rPr>
            <sz val="9"/>
            <color indexed="81"/>
            <rFont val="細明體"/>
            <family val="3"/>
            <charset val="136"/>
          </rPr>
          <t>、物理、</t>
        </r>
        <r>
          <rPr>
            <sz val="9"/>
            <color indexed="81"/>
            <rFont val="Tahoma"/>
            <family val="2"/>
          </rPr>
          <t xml:space="preserve">M1/2
</t>
        </r>
        <r>
          <rPr>
            <b/>
            <sz val="9"/>
            <color indexed="81"/>
            <rFont val="Tahoma"/>
            <family val="2"/>
          </rPr>
          <t xml:space="preserve">x7: </t>
        </r>
        <r>
          <rPr>
            <sz val="9"/>
            <color indexed="81"/>
            <rFont val="細明體"/>
            <family val="3"/>
            <charset val="136"/>
          </rPr>
          <t xml:space="preserve">中文、通識、組合科學、綜合科學、化學、生物
</t>
        </r>
        <r>
          <rPr>
            <b/>
            <sz val="9"/>
            <color indexed="81"/>
            <rFont val="Tahoma"/>
            <family val="2"/>
          </rPr>
          <t xml:space="preserve">x5: </t>
        </r>
        <r>
          <rPr>
            <sz val="9"/>
            <color indexed="81"/>
            <rFont val="細明體"/>
            <family val="3"/>
            <charset val="136"/>
          </rPr>
          <t>其他選修科目</t>
        </r>
        <r>
          <rPr>
            <sz val="9"/>
            <color indexed="81"/>
            <rFont val="Tahoma"/>
            <family val="2"/>
          </rPr>
          <t xml:space="preserve"> (1</t>
        </r>
        <r>
          <rPr>
            <sz val="9"/>
            <color indexed="81"/>
            <rFont val="細明體"/>
            <family val="3"/>
            <charset val="136"/>
          </rPr>
          <t>個選修科</t>
        </r>
        <r>
          <rPr>
            <sz val="9"/>
            <color indexed="81"/>
            <rFont val="Tahoma"/>
            <family val="2"/>
          </rPr>
          <t>)</t>
        </r>
      </text>
    </comment>
    <comment ref="N9" authorId="0" shapeId="0" xr:uid="{00000000-0006-0000-1100-00000C000000}">
      <text>
        <r>
          <rPr>
            <sz val="9"/>
            <color indexed="81"/>
            <rFont val="細明體"/>
            <family val="3"/>
            <charset val="136"/>
          </rPr>
          <t>申請者有機會獲邀參與入學面試。
獲邀申請者請按照指定面試時間及地點參加面試。未能依時參加者的入學機會可能被調低。
面試將於</t>
        </r>
        <r>
          <rPr>
            <sz val="9"/>
            <color indexed="81"/>
            <rFont val="Tahoma"/>
            <family val="2"/>
          </rPr>
          <t>2021</t>
        </r>
        <r>
          <rPr>
            <sz val="9"/>
            <color indexed="81"/>
            <rFont val="細明體"/>
            <family val="3"/>
            <charset val="136"/>
          </rPr>
          <t>年</t>
        </r>
        <r>
          <rPr>
            <sz val="9"/>
            <color indexed="81"/>
            <rFont val="Tahoma"/>
            <family val="2"/>
          </rPr>
          <t>5</t>
        </r>
        <r>
          <rPr>
            <sz val="9"/>
            <color indexed="81"/>
            <rFont val="細明體"/>
            <family val="3"/>
            <charset val="136"/>
          </rPr>
          <t>月至</t>
        </r>
        <r>
          <rPr>
            <sz val="9"/>
            <color indexed="81"/>
            <rFont val="Tahoma"/>
            <family val="2"/>
          </rPr>
          <t>7</t>
        </r>
        <r>
          <rPr>
            <sz val="9"/>
            <color indexed="81"/>
            <rFont val="細明體"/>
            <family val="3"/>
            <charset val="136"/>
          </rPr>
          <t>月舉行，獲邀申請者將收到電郵通知有關詳情。</t>
        </r>
      </text>
    </comment>
    <comment ref="E10" authorId="1" shapeId="0" xr:uid="{00000000-0006-0000-1100-00000D000000}">
      <text>
        <r>
          <rPr>
            <b/>
            <sz val="9"/>
            <color indexed="81"/>
            <rFont val="細明體"/>
            <family val="3"/>
            <charset val="136"/>
          </rPr>
          <t xml:space="preserve">此處並無計算比重
</t>
        </r>
        <r>
          <rPr>
            <b/>
            <sz val="9"/>
            <color indexed="81"/>
            <rFont val="Tahoma"/>
            <family val="2"/>
          </rPr>
          <t xml:space="preserve">x5: </t>
        </r>
        <r>
          <rPr>
            <sz val="9"/>
            <color indexed="81"/>
            <rFont val="細明體"/>
            <family val="3"/>
            <charset val="136"/>
          </rPr>
          <t>英文、數學、</t>
        </r>
        <r>
          <rPr>
            <sz val="9"/>
            <color indexed="81"/>
            <rFont val="Tahoma"/>
            <family val="2"/>
          </rPr>
          <t>BAFS</t>
        </r>
        <r>
          <rPr>
            <sz val="9"/>
            <color indexed="81"/>
            <rFont val="細明體"/>
            <family val="3"/>
            <charset val="136"/>
          </rPr>
          <t>、經濟、</t>
        </r>
        <r>
          <rPr>
            <sz val="9"/>
            <color indexed="81"/>
            <rFont val="Tahoma"/>
            <family val="2"/>
          </rPr>
          <t>M1/2</t>
        </r>
        <r>
          <rPr>
            <sz val="9"/>
            <color indexed="81"/>
            <rFont val="細明體"/>
            <family val="3"/>
            <charset val="136"/>
          </rPr>
          <t>、經濟、物理</t>
        </r>
        <r>
          <rPr>
            <b/>
            <sz val="9"/>
            <color indexed="81"/>
            <rFont val="細明體"/>
            <family val="3"/>
            <charset val="136"/>
          </rPr>
          <t xml:space="preserve">
</t>
        </r>
        <r>
          <rPr>
            <b/>
            <sz val="9"/>
            <color indexed="81"/>
            <rFont val="Tahoma"/>
            <family val="2"/>
          </rPr>
          <t xml:space="preserve">x3: </t>
        </r>
        <r>
          <rPr>
            <sz val="9"/>
            <color indexed="81"/>
            <rFont val="細明體"/>
            <family val="3"/>
            <charset val="136"/>
          </rPr>
          <t>中文、通識、</t>
        </r>
        <r>
          <rPr>
            <sz val="9"/>
            <color indexed="81"/>
            <rFont val="Tahoma"/>
            <family val="2"/>
          </rPr>
          <t>ICT</t>
        </r>
        <r>
          <rPr>
            <sz val="9"/>
            <color indexed="81"/>
            <rFont val="細明體"/>
            <family val="3"/>
            <charset val="136"/>
          </rPr>
          <t>、組合科學、綜合科學、化學、生物</t>
        </r>
        <r>
          <rPr>
            <b/>
            <sz val="9"/>
            <color indexed="81"/>
            <rFont val="Tahoma"/>
            <family val="2"/>
          </rPr>
          <t xml:space="preserve">
</t>
        </r>
        <r>
          <rPr>
            <b/>
            <sz val="9"/>
            <color indexed="81"/>
            <rFont val="細明體"/>
            <family val="3"/>
            <charset val="136"/>
          </rPr>
          <t xml:space="preserve">
</t>
        </r>
        <r>
          <rPr>
            <b/>
            <sz val="9"/>
            <color indexed="81"/>
            <rFont val="Tahoma"/>
            <family val="2"/>
          </rPr>
          <t>x2:</t>
        </r>
        <r>
          <rPr>
            <sz val="9"/>
            <color indexed="81"/>
            <rFont val="Tahoma"/>
            <family val="2"/>
          </rPr>
          <t xml:space="preserve"> </t>
        </r>
        <r>
          <rPr>
            <sz val="9"/>
            <color indexed="81"/>
            <rFont val="細明體"/>
            <family val="3"/>
            <charset val="136"/>
          </rPr>
          <t>其他選修科</t>
        </r>
        <r>
          <rPr>
            <sz val="9"/>
            <color indexed="81"/>
            <rFont val="Tahoma"/>
            <family val="2"/>
          </rPr>
          <t xml:space="preserve"> (1</t>
        </r>
        <r>
          <rPr>
            <sz val="9"/>
            <color indexed="81"/>
            <rFont val="細明體"/>
            <family val="3"/>
            <charset val="136"/>
          </rPr>
          <t>個選修科</t>
        </r>
        <r>
          <rPr>
            <sz val="9"/>
            <color indexed="81"/>
            <rFont val="Tahoma"/>
            <family val="2"/>
          </rPr>
          <t>)</t>
        </r>
      </text>
    </comment>
    <comment ref="N10" authorId="0" shapeId="0" xr:uid="{00000000-0006-0000-1100-00000E000000}">
      <text>
        <r>
          <rPr>
            <sz val="9"/>
            <color indexed="81"/>
            <rFont val="細明體"/>
            <family val="3"/>
            <charset val="136"/>
          </rPr>
          <t>個別申請人或需參加筆試及面試。</t>
        </r>
      </text>
    </comment>
    <comment ref="E11" authorId="1" shapeId="0" xr:uid="{00000000-0006-0000-1100-00000F000000}">
      <text>
        <r>
          <rPr>
            <b/>
            <sz val="9"/>
            <color indexed="81"/>
            <rFont val="細明體"/>
            <family val="3"/>
            <charset val="136"/>
          </rPr>
          <t>此處並無計算比重</t>
        </r>
        <r>
          <rPr>
            <b/>
            <sz val="9"/>
            <color indexed="81"/>
            <rFont val="Tahoma"/>
            <family val="2"/>
          </rPr>
          <t xml:space="preserve">
x3:</t>
        </r>
        <r>
          <rPr>
            <sz val="9"/>
            <color indexed="81"/>
            <rFont val="Tahoma"/>
            <family val="2"/>
          </rPr>
          <t xml:space="preserve"> </t>
        </r>
        <r>
          <rPr>
            <sz val="9"/>
            <color indexed="81"/>
            <rFont val="細明體"/>
            <family val="3"/>
            <charset val="136"/>
          </rPr>
          <t>數學、</t>
        </r>
        <r>
          <rPr>
            <sz val="9"/>
            <color indexed="81"/>
            <rFont val="Tahoma"/>
            <family val="2"/>
          </rPr>
          <t>ICT</t>
        </r>
        <r>
          <rPr>
            <sz val="9"/>
            <color indexed="81"/>
            <rFont val="細明體"/>
            <family val="3"/>
            <charset val="136"/>
          </rPr>
          <t>、</t>
        </r>
        <r>
          <rPr>
            <sz val="9"/>
            <color indexed="81"/>
            <rFont val="Tahoma"/>
            <family val="2"/>
          </rPr>
          <t>M1/2</t>
        </r>
        <r>
          <rPr>
            <sz val="9"/>
            <color indexed="81"/>
            <rFont val="細明體"/>
            <family val="3"/>
            <charset val="136"/>
          </rPr>
          <t>、經濟、</t>
        </r>
        <r>
          <rPr>
            <sz val="9"/>
            <color indexed="81"/>
            <rFont val="Tahoma"/>
            <family val="2"/>
          </rPr>
          <t>BAFS</t>
        </r>
        <r>
          <rPr>
            <sz val="9"/>
            <color indexed="81"/>
            <rFont val="細明體"/>
            <family val="3"/>
            <charset val="136"/>
          </rPr>
          <t xml:space="preserve">、物理
</t>
        </r>
        <r>
          <rPr>
            <b/>
            <sz val="9"/>
            <color indexed="81"/>
            <rFont val="Tahoma"/>
            <family val="2"/>
          </rPr>
          <t>x2:</t>
        </r>
        <r>
          <rPr>
            <sz val="9"/>
            <color indexed="81"/>
            <rFont val="Tahoma"/>
            <family val="2"/>
          </rPr>
          <t xml:space="preserve"> </t>
        </r>
        <r>
          <rPr>
            <sz val="9"/>
            <color indexed="81"/>
            <rFont val="細明體"/>
            <family val="3"/>
            <charset val="136"/>
          </rPr>
          <t>中文、英文、通識、生物、化學、組合科學、綜合科學</t>
        </r>
      </text>
    </comment>
    <comment ref="N11" authorId="0" shapeId="0" xr:uid="{00000000-0006-0000-1100-000010000000}">
      <text>
        <r>
          <rPr>
            <sz val="9"/>
            <color indexed="81"/>
            <rFont val="細明體"/>
            <family val="3"/>
            <charset val="136"/>
          </rPr>
          <t>申請者有機會獲邀參與入學面試。
獲邀申請者請按照指定面試時間及地點參加面試。未能依時參加者的入學機會可能被調低。
面試將於</t>
        </r>
        <r>
          <rPr>
            <sz val="9"/>
            <color indexed="81"/>
            <rFont val="Tahoma"/>
            <family val="2"/>
          </rPr>
          <t>2021</t>
        </r>
        <r>
          <rPr>
            <sz val="9"/>
            <color indexed="81"/>
            <rFont val="細明體"/>
            <family val="3"/>
            <charset val="136"/>
          </rPr>
          <t>年</t>
        </r>
        <r>
          <rPr>
            <sz val="9"/>
            <color indexed="81"/>
            <rFont val="Tahoma"/>
            <family val="2"/>
          </rPr>
          <t>5</t>
        </r>
        <r>
          <rPr>
            <sz val="9"/>
            <color indexed="81"/>
            <rFont val="細明體"/>
            <family val="3"/>
            <charset val="136"/>
          </rPr>
          <t>月至</t>
        </r>
        <r>
          <rPr>
            <sz val="9"/>
            <color indexed="81"/>
            <rFont val="Tahoma"/>
            <family val="2"/>
          </rPr>
          <t>7</t>
        </r>
        <r>
          <rPr>
            <sz val="9"/>
            <color indexed="81"/>
            <rFont val="細明體"/>
            <family val="3"/>
            <charset val="136"/>
          </rPr>
          <t>月舉行，獲邀申請者將收到電郵通知有關詳情。</t>
        </r>
      </text>
    </comment>
    <comment ref="E12" authorId="1" shapeId="0" xr:uid="{00000000-0006-0000-1100-000011000000}">
      <text>
        <r>
          <rPr>
            <b/>
            <sz val="9"/>
            <color indexed="81"/>
            <rFont val="Tahoma"/>
            <family val="2"/>
          </rPr>
          <t>Best 5 (</t>
        </r>
        <r>
          <rPr>
            <b/>
            <sz val="9"/>
            <color indexed="81"/>
            <rFont val="細明體"/>
            <family val="3"/>
            <charset val="136"/>
          </rPr>
          <t>包括數學</t>
        </r>
        <r>
          <rPr>
            <b/>
            <sz val="9"/>
            <color indexed="81"/>
            <rFont val="Tahoma"/>
            <family val="2"/>
          </rPr>
          <t>)</t>
        </r>
      </text>
    </comment>
    <comment ref="N12" authorId="0" shapeId="0" xr:uid="{00000000-0006-0000-1100-000012000000}">
      <text>
        <r>
          <rPr>
            <sz val="9"/>
            <color indexed="81"/>
            <rFont val="細明體"/>
            <family val="3"/>
            <charset val="136"/>
          </rPr>
          <t>本課程不設筆試。
本課程按申請人的情況考慮是否需要面試。
面試將於</t>
        </r>
        <r>
          <rPr>
            <sz val="9"/>
            <color indexed="81"/>
            <rFont val="Tahoma"/>
            <family val="2"/>
          </rPr>
          <t>2021</t>
        </r>
        <r>
          <rPr>
            <sz val="9"/>
            <color indexed="81"/>
            <rFont val="細明體"/>
            <family val="3"/>
            <charset val="136"/>
          </rPr>
          <t>年</t>
        </r>
        <r>
          <rPr>
            <sz val="9"/>
            <color indexed="81"/>
            <rFont val="Tahoma"/>
            <family val="2"/>
          </rPr>
          <t>5</t>
        </r>
        <r>
          <rPr>
            <sz val="9"/>
            <color indexed="81"/>
            <rFont val="細明體"/>
            <family val="3"/>
            <charset val="136"/>
          </rPr>
          <t>月至</t>
        </r>
        <r>
          <rPr>
            <sz val="9"/>
            <color indexed="81"/>
            <rFont val="Tahoma"/>
            <family val="2"/>
          </rPr>
          <t>7</t>
        </r>
        <r>
          <rPr>
            <sz val="9"/>
            <color indexed="81"/>
            <rFont val="細明體"/>
            <family val="3"/>
            <charset val="136"/>
          </rPr>
          <t>月期間進行。獲邀申請人將收到電郵通知有關詳情。</t>
        </r>
      </text>
    </comment>
    <comment ref="E13" authorId="1" shapeId="0" xr:uid="{00000000-0006-0000-1100-000013000000}">
      <text>
        <r>
          <rPr>
            <b/>
            <sz val="9"/>
            <color indexed="81"/>
            <rFont val="細明體"/>
            <family val="3"/>
            <charset val="136"/>
          </rPr>
          <t>此處並無計算比重</t>
        </r>
        <r>
          <rPr>
            <b/>
            <sz val="9"/>
            <color indexed="81"/>
            <rFont val="Tahoma"/>
            <family val="2"/>
          </rPr>
          <t xml:space="preserve">
x10:</t>
        </r>
        <r>
          <rPr>
            <sz val="9"/>
            <color indexed="81"/>
            <rFont val="Tahoma"/>
            <family val="2"/>
          </rPr>
          <t xml:space="preserve"> </t>
        </r>
        <r>
          <rPr>
            <sz val="9"/>
            <color indexed="81"/>
            <rFont val="細明體"/>
            <family val="3"/>
            <charset val="136"/>
          </rPr>
          <t>英文、數學、</t>
        </r>
        <r>
          <rPr>
            <sz val="9"/>
            <color indexed="81"/>
            <rFont val="Tahoma"/>
            <family val="2"/>
          </rPr>
          <t>BAFS</t>
        </r>
        <r>
          <rPr>
            <sz val="9"/>
            <color indexed="81"/>
            <rFont val="細明體"/>
            <family val="3"/>
            <charset val="136"/>
          </rPr>
          <t>、經濟、地理、</t>
        </r>
        <r>
          <rPr>
            <sz val="9"/>
            <color indexed="81"/>
            <rFont val="Tahoma"/>
            <family val="2"/>
          </rPr>
          <t>ICT</t>
        </r>
        <r>
          <rPr>
            <sz val="9"/>
            <color indexed="81"/>
            <rFont val="細明體"/>
            <family val="3"/>
            <charset val="136"/>
          </rPr>
          <t>、物理、</t>
        </r>
        <r>
          <rPr>
            <sz val="9"/>
            <color indexed="81"/>
            <rFont val="Tahoma"/>
            <family val="2"/>
          </rPr>
          <t xml:space="preserve">M1/2
</t>
        </r>
        <r>
          <rPr>
            <b/>
            <sz val="9"/>
            <color indexed="81"/>
            <rFont val="Tahoma"/>
            <family val="2"/>
          </rPr>
          <t xml:space="preserve">x7: </t>
        </r>
        <r>
          <rPr>
            <sz val="9"/>
            <color indexed="81"/>
            <rFont val="細明體"/>
            <family val="3"/>
            <charset val="136"/>
          </rPr>
          <t xml:space="preserve">中文、通識、組合科學、綜合科學、化學、生物
</t>
        </r>
        <r>
          <rPr>
            <b/>
            <sz val="9"/>
            <color indexed="81"/>
            <rFont val="Tahoma"/>
            <family val="2"/>
          </rPr>
          <t>x5:</t>
        </r>
        <r>
          <rPr>
            <sz val="9"/>
            <color indexed="81"/>
            <rFont val="Tahoma"/>
            <family val="2"/>
          </rPr>
          <t xml:space="preserve"> </t>
        </r>
        <r>
          <rPr>
            <sz val="9"/>
            <color indexed="81"/>
            <rFont val="細明體"/>
            <family val="3"/>
            <charset val="136"/>
          </rPr>
          <t>其他選修科目</t>
        </r>
        <r>
          <rPr>
            <sz val="9"/>
            <color indexed="81"/>
            <rFont val="Tahoma"/>
            <family val="2"/>
          </rPr>
          <t xml:space="preserve"> (1</t>
        </r>
        <r>
          <rPr>
            <sz val="9"/>
            <color indexed="81"/>
            <rFont val="細明體"/>
            <family val="3"/>
            <charset val="136"/>
          </rPr>
          <t>個選修科</t>
        </r>
        <r>
          <rPr>
            <sz val="9"/>
            <color indexed="81"/>
            <rFont val="Tahoma"/>
            <family val="2"/>
          </rPr>
          <t xml:space="preserve">)
</t>
        </r>
      </text>
    </comment>
    <comment ref="N13" authorId="0" shapeId="0" xr:uid="{00000000-0006-0000-1100-000014000000}">
      <text>
        <r>
          <rPr>
            <sz val="9"/>
            <color indexed="81"/>
            <rFont val="細明體"/>
            <family val="3"/>
            <charset val="136"/>
          </rPr>
          <t>申請者有機會獲邀參與入學面試。
獲邀申請者請按照指定面試時間及地點參加面試。未能依時參加者的入學機會可能被調低。
面試將於</t>
        </r>
        <r>
          <rPr>
            <sz val="9"/>
            <color indexed="81"/>
            <rFont val="Tahoma"/>
            <family val="2"/>
          </rPr>
          <t>2021</t>
        </r>
        <r>
          <rPr>
            <sz val="9"/>
            <color indexed="81"/>
            <rFont val="細明體"/>
            <family val="3"/>
            <charset val="136"/>
          </rPr>
          <t>年</t>
        </r>
        <r>
          <rPr>
            <sz val="9"/>
            <color indexed="81"/>
            <rFont val="Tahoma"/>
            <family val="2"/>
          </rPr>
          <t>5</t>
        </r>
        <r>
          <rPr>
            <sz val="9"/>
            <color indexed="81"/>
            <rFont val="細明體"/>
            <family val="3"/>
            <charset val="136"/>
          </rPr>
          <t>月至</t>
        </r>
        <r>
          <rPr>
            <sz val="9"/>
            <color indexed="81"/>
            <rFont val="Tahoma"/>
            <family val="2"/>
          </rPr>
          <t>7</t>
        </r>
        <r>
          <rPr>
            <sz val="9"/>
            <color indexed="81"/>
            <rFont val="細明體"/>
            <family val="3"/>
            <charset val="136"/>
          </rPr>
          <t>月舉行，獲邀申請者將收到電郵通知有關詳情。</t>
        </r>
      </text>
    </comment>
    <comment ref="N14" authorId="0" shapeId="0" xr:uid="{00000000-0006-0000-1100-000016000000}">
      <text>
        <r>
          <rPr>
            <sz val="9"/>
            <color indexed="81"/>
            <rFont val="細明體"/>
            <family val="3"/>
            <charset val="136"/>
          </rPr>
          <t>申請者有機會獲邀參與入學面試，及需遞交藝術和設計相關的個人作品集。
獲邀申請者請按照指定面試時間及地點參加面試。未能依時參加者的入學機會可能被調低。
面試將於</t>
        </r>
        <r>
          <rPr>
            <sz val="9"/>
            <color indexed="81"/>
            <rFont val="Tahoma"/>
            <family val="2"/>
          </rPr>
          <t>2021</t>
        </r>
        <r>
          <rPr>
            <sz val="9"/>
            <color indexed="81"/>
            <rFont val="細明體"/>
            <family val="3"/>
            <charset val="136"/>
          </rPr>
          <t>年</t>
        </r>
        <r>
          <rPr>
            <sz val="9"/>
            <color indexed="81"/>
            <rFont val="Tahoma"/>
            <family val="2"/>
          </rPr>
          <t>5</t>
        </r>
        <r>
          <rPr>
            <sz val="9"/>
            <color indexed="81"/>
            <rFont val="細明體"/>
            <family val="3"/>
            <charset val="136"/>
          </rPr>
          <t>月至</t>
        </r>
        <r>
          <rPr>
            <sz val="9"/>
            <color indexed="81"/>
            <rFont val="Tahoma"/>
            <family val="2"/>
          </rPr>
          <t>7</t>
        </r>
        <r>
          <rPr>
            <sz val="9"/>
            <color indexed="81"/>
            <rFont val="細明體"/>
            <family val="3"/>
            <charset val="136"/>
          </rPr>
          <t>月舉行，獲邀申請者將收到電郵通知有關詳情。</t>
        </r>
      </text>
    </comment>
    <comment ref="E15" authorId="0" shapeId="0" xr:uid="{00000000-0006-0000-1100-000017000000}">
      <text>
        <r>
          <rPr>
            <sz val="9"/>
            <color indexed="81"/>
            <rFont val="細明體"/>
            <family val="3"/>
            <charset val="136"/>
          </rPr>
          <t>只考慮甲類科目</t>
        </r>
      </text>
    </comment>
    <comment ref="M15" authorId="0" shapeId="0" xr:uid="{00000000-0006-0000-1100-000018000000}">
      <text>
        <r>
          <rPr>
            <sz val="9"/>
            <color indexed="81"/>
            <rFont val="Tahoma"/>
            <family val="2"/>
          </rPr>
          <t>Applicants should be fluent in written English and Chinese, and in oral English and Cantonese.</t>
        </r>
      </text>
    </comment>
    <comment ref="N15" authorId="1" shapeId="0" xr:uid="{00000000-0006-0000-1100-000019000000}">
      <text>
        <r>
          <rPr>
            <sz val="9"/>
            <color indexed="81"/>
            <rFont val="Tahoma"/>
            <family val="2"/>
          </rPr>
          <t xml:space="preserve">(On a selective basis)
</t>
        </r>
      </text>
    </comment>
    <comment ref="Q15" authorId="0" shapeId="0" xr:uid="{00000000-0006-0000-1100-00001A000000}">
      <text>
        <r>
          <rPr>
            <sz val="9"/>
            <color indexed="81"/>
            <rFont val="細明體"/>
            <family val="3"/>
            <charset val="136"/>
          </rPr>
          <t>優先考慮</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C16" authorId="0" shapeId="0" xr:uid="{00000000-0006-0000-1100-00001B000000}">
      <text>
        <r>
          <rPr>
            <sz val="9"/>
            <color indexed="81"/>
            <rFont val="細明體"/>
            <family val="3"/>
            <charset val="136"/>
          </rPr>
          <t>申請人應有</t>
        </r>
        <r>
          <rPr>
            <b/>
            <sz val="9"/>
            <color indexed="81"/>
            <rFont val="細明體"/>
            <family val="3"/>
            <charset val="136"/>
          </rPr>
          <t>正常顏色視力</t>
        </r>
      </text>
    </comment>
    <comment ref="E16" authorId="1" shapeId="0" xr:uid="{00000000-0006-0000-1100-00001C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化學</t>
        </r>
        <r>
          <rPr>
            <b/>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化學</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N16" authorId="1" shapeId="0" xr:uid="{00000000-0006-0000-1100-00001D000000}">
      <text>
        <r>
          <rPr>
            <sz val="9"/>
            <color indexed="81"/>
            <rFont val="Tahoma"/>
            <family val="2"/>
          </rPr>
          <t xml:space="preserve">(On a selective basis)
</t>
        </r>
      </text>
    </comment>
    <comment ref="Q16" authorId="0" shapeId="0" xr:uid="{00000000-0006-0000-1100-00001E000000}">
      <text>
        <r>
          <rPr>
            <sz val="9"/>
            <color indexed="81"/>
            <rFont val="細明體"/>
            <family val="3"/>
            <charset val="136"/>
          </rPr>
          <t>優先考慮</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T16" authorId="0" shapeId="0" xr:uid="{00000000-0006-0000-1100-00001F000000}">
      <text>
        <r>
          <rPr>
            <sz val="9"/>
            <color indexed="81"/>
            <rFont val="細明體"/>
            <family val="3"/>
            <charset val="136"/>
          </rPr>
          <t>優先考慮</t>
        </r>
        <r>
          <rPr>
            <sz val="9"/>
            <color indexed="81"/>
            <rFont val="Tahoma"/>
            <family val="2"/>
          </rPr>
          <t xml:space="preserve"> </t>
        </r>
        <r>
          <rPr>
            <b/>
            <sz val="9"/>
            <color indexed="81"/>
            <rFont val="細明體"/>
            <family val="3"/>
            <charset val="136"/>
          </rPr>
          <t>化學</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化學</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C17" authorId="1" shapeId="0" xr:uid="{00000000-0006-0000-1100-000020000000}">
      <text>
        <r>
          <rPr>
            <sz val="9"/>
            <color indexed="81"/>
            <rFont val="細明體"/>
            <family val="3"/>
            <charset val="136"/>
          </rPr>
          <t>申請人應有</t>
        </r>
        <r>
          <rPr>
            <b/>
            <sz val="9"/>
            <color indexed="81"/>
            <rFont val="細明體"/>
            <family val="3"/>
            <charset val="136"/>
          </rPr>
          <t>正常顏色視力</t>
        </r>
      </text>
    </comment>
    <comment ref="E17" authorId="1" shapeId="0" xr:uid="{00000000-0006-0000-1100-000021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r>
          <rPr>
            <sz val="9"/>
            <color indexed="81"/>
            <rFont val="Tahoma"/>
            <family val="2"/>
          </rPr>
          <t xml:space="preserve">
- </t>
        </r>
        <r>
          <rPr>
            <b/>
            <sz val="9"/>
            <color indexed="81"/>
            <rFont val="細明體"/>
            <family val="3"/>
            <charset val="136"/>
          </rPr>
          <t>數學</t>
        </r>
        <r>
          <rPr>
            <sz val="9"/>
            <color indexed="81"/>
            <rFont val="Tahoma"/>
            <family val="2"/>
          </rPr>
          <t xml:space="preserve"> </t>
        </r>
        <r>
          <rPr>
            <sz val="9"/>
            <color indexed="81"/>
            <rFont val="細明體"/>
            <family val="3"/>
            <charset val="136"/>
          </rPr>
          <t>和</t>
        </r>
        <r>
          <rPr>
            <sz val="9"/>
            <color indexed="81"/>
            <rFont val="Tahoma"/>
            <family val="2"/>
          </rPr>
          <t xml:space="preserve"> </t>
        </r>
        <r>
          <rPr>
            <b/>
            <sz val="9"/>
            <color indexed="81"/>
            <rFont val="細明體"/>
            <family val="3"/>
            <charset val="136"/>
          </rPr>
          <t>通識</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物理</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綜合科學</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t>
        </r>
        <r>
          <rPr>
            <b/>
            <sz val="9"/>
            <color indexed="81"/>
            <rFont val="細明體"/>
            <family val="3"/>
            <charset val="136"/>
          </rPr>
          <t>物理</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N17" authorId="1" shapeId="0" xr:uid="{00000000-0006-0000-1100-000022000000}">
      <text>
        <r>
          <rPr>
            <sz val="9"/>
            <color indexed="81"/>
            <rFont val="Tahoma"/>
            <family val="2"/>
          </rPr>
          <t xml:space="preserve">(On a selective basis)
</t>
        </r>
      </text>
    </comment>
    <comment ref="Q17" authorId="0" shapeId="0" xr:uid="{00000000-0006-0000-1100-000023000000}">
      <text>
        <r>
          <rPr>
            <sz val="9"/>
            <color indexed="81"/>
            <rFont val="細明體"/>
            <family val="3"/>
            <charset val="136"/>
          </rPr>
          <t>優先考慮</t>
        </r>
        <r>
          <rPr>
            <sz val="9"/>
            <color indexed="81"/>
            <rFont val="Tahoma"/>
            <family val="2"/>
          </rPr>
          <t xml:space="preserve"> </t>
        </r>
        <r>
          <rPr>
            <b/>
            <sz val="9"/>
            <color indexed="81"/>
            <rFont val="細明體"/>
            <family val="3"/>
            <charset val="136"/>
          </rPr>
          <t>英文</t>
        </r>
        <r>
          <rPr>
            <b/>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R17" authorId="0" shapeId="0" xr:uid="{00000000-0006-0000-1100-000024000000}">
      <text>
        <r>
          <rPr>
            <sz val="9"/>
            <color indexed="81"/>
            <rFont val="細明體"/>
            <family val="3"/>
            <charset val="136"/>
          </rPr>
          <t>優先考慮</t>
        </r>
        <r>
          <rPr>
            <sz val="9"/>
            <color indexed="81"/>
            <rFont val="Tahoma"/>
            <family val="2"/>
          </rPr>
          <t xml:space="preserve"> </t>
        </r>
        <r>
          <rPr>
            <b/>
            <sz val="9"/>
            <color indexed="81"/>
            <rFont val="細明體"/>
            <family val="3"/>
            <charset val="136"/>
          </rPr>
          <t>數學</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S17" authorId="0" shapeId="0" xr:uid="{00000000-0006-0000-1100-000025000000}">
      <text>
        <r>
          <rPr>
            <sz val="9"/>
            <color indexed="81"/>
            <rFont val="細明體"/>
            <family val="3"/>
            <charset val="136"/>
          </rPr>
          <t>優先考慮</t>
        </r>
        <r>
          <rPr>
            <sz val="9"/>
            <color indexed="81"/>
            <rFont val="Tahoma"/>
            <family val="2"/>
          </rPr>
          <t xml:space="preserve"> </t>
        </r>
        <r>
          <rPr>
            <b/>
            <sz val="9"/>
            <color indexed="81"/>
            <rFont val="細明體"/>
            <family val="3"/>
            <charset val="136"/>
          </rPr>
          <t>通識</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T17" authorId="0" shapeId="0" xr:uid="{00000000-0006-0000-1100-000026000000}">
      <text>
        <r>
          <rPr>
            <b/>
            <sz val="9"/>
            <color indexed="81"/>
            <rFont val="細明體"/>
            <family val="3"/>
            <charset val="136"/>
          </rPr>
          <t>以下一科</t>
        </r>
        <r>
          <rPr>
            <sz val="9"/>
            <color indexed="81"/>
            <rFont val="Tahoma"/>
            <family val="2"/>
          </rPr>
          <t xml:space="preserve">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 </t>
        </r>
        <r>
          <rPr>
            <sz val="9"/>
            <color indexed="81"/>
            <rFont val="細明體"/>
            <family val="3"/>
            <charset val="136"/>
          </rPr>
          <t>綜合科學</t>
        </r>
        <r>
          <rPr>
            <sz val="9"/>
            <color indexed="81"/>
            <rFont val="Tahoma"/>
            <family val="2"/>
          </rPr>
          <t xml:space="preserve">
</t>
        </r>
        <r>
          <rPr>
            <b/>
            <sz val="9"/>
            <color indexed="81"/>
            <rFont val="細明體"/>
            <family val="3"/>
            <charset val="136"/>
          </rPr>
          <t>或</t>
        </r>
        <r>
          <rPr>
            <sz val="9"/>
            <color indexed="81"/>
            <rFont val="Tahoma"/>
            <family val="2"/>
          </rPr>
          <t xml:space="preserve">
</t>
        </r>
        <r>
          <rPr>
            <sz val="9"/>
            <color indexed="81"/>
            <rFont val="細明體"/>
            <family val="3"/>
            <charset val="136"/>
          </rPr>
          <t>應用學習科目</t>
        </r>
        <r>
          <rPr>
            <sz val="9"/>
            <color indexed="81"/>
            <rFont val="Tahoma"/>
            <family val="2"/>
          </rPr>
          <t xml:space="preserve">:
- </t>
        </r>
        <r>
          <rPr>
            <sz val="9"/>
            <color indexed="81"/>
            <rFont val="細明體"/>
            <family val="3"/>
            <charset val="136"/>
          </rPr>
          <t>健康護理實務</t>
        </r>
        <r>
          <rPr>
            <sz val="9"/>
            <color indexed="81"/>
            <rFont val="Tahoma"/>
            <family val="2"/>
          </rPr>
          <t xml:space="preserve"> (Health Care Practice)
‘Attained with Distinction (I)’
</t>
        </r>
        <r>
          <rPr>
            <sz val="9"/>
            <color indexed="81"/>
            <rFont val="細明體"/>
            <family val="3"/>
            <charset val="136"/>
          </rPr>
          <t>優先考慮</t>
        </r>
        <r>
          <rPr>
            <sz val="9"/>
            <color indexed="81"/>
            <rFont val="Tahoma"/>
            <family val="2"/>
          </rPr>
          <t xml:space="preserve"> </t>
        </r>
        <r>
          <rPr>
            <b/>
            <sz val="9"/>
            <color indexed="81"/>
            <rFont val="細明體"/>
            <family val="3"/>
            <charset val="136"/>
          </rPr>
          <t>物理</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綜合科學</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t>
        </r>
        <r>
          <rPr>
            <b/>
            <sz val="9"/>
            <color indexed="81"/>
            <rFont val="細明體"/>
            <family val="3"/>
            <charset val="136"/>
          </rPr>
          <t>物理</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18" authorId="1" shapeId="0" xr:uid="{00000000-0006-0000-1100-000027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N18" authorId="1" shapeId="0" xr:uid="{00000000-0006-0000-1100-000028000000}">
      <text>
        <r>
          <rPr>
            <sz val="9"/>
            <color indexed="81"/>
            <rFont val="Tahoma"/>
            <family val="2"/>
          </rPr>
          <t xml:space="preserve">(On a selective basis)
</t>
        </r>
      </text>
    </comment>
    <comment ref="Q18" authorId="0" shapeId="0" xr:uid="{00000000-0006-0000-1100-000029000000}">
      <text>
        <r>
          <rPr>
            <sz val="9"/>
            <color indexed="81"/>
            <rFont val="細明體"/>
            <family val="3"/>
            <charset val="136"/>
          </rPr>
          <t>優先考慮</t>
        </r>
        <r>
          <rPr>
            <sz val="9"/>
            <color indexed="81"/>
            <rFont val="Tahoma"/>
            <family val="2"/>
          </rPr>
          <t xml:space="preserve"> </t>
        </r>
        <r>
          <rPr>
            <b/>
            <sz val="9"/>
            <color indexed="81"/>
            <rFont val="細明體"/>
            <family val="3"/>
            <charset val="136"/>
          </rPr>
          <t>英文</t>
        </r>
        <r>
          <rPr>
            <b/>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T18" authorId="1" shapeId="0" xr:uid="{00000000-0006-0000-1100-00002A000000}">
      <text>
        <r>
          <rPr>
            <sz val="9"/>
            <color indexed="81"/>
            <rFont val="細明體"/>
            <family val="3"/>
            <charset val="136"/>
          </rPr>
          <t>優先考慮</t>
        </r>
        <r>
          <rPr>
            <sz val="9"/>
            <color indexed="81"/>
            <rFont val="Tahoma"/>
            <family val="2"/>
          </rPr>
          <t xml:space="preserve">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E19" authorId="1" shapeId="0" xr:uid="{00000000-0006-0000-1100-00002B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b/>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N19" authorId="1" shapeId="0" xr:uid="{00000000-0006-0000-1100-00002C000000}">
      <text>
        <r>
          <rPr>
            <sz val="9"/>
            <color indexed="81"/>
            <rFont val="Tahoma"/>
            <family val="2"/>
          </rPr>
          <t xml:space="preserve">(On a selective basis)
</t>
        </r>
      </text>
    </comment>
    <comment ref="Q19" authorId="0" shapeId="0" xr:uid="{00000000-0006-0000-1100-00002D000000}">
      <text>
        <r>
          <rPr>
            <sz val="9"/>
            <color indexed="81"/>
            <rFont val="細明體"/>
            <family val="3"/>
            <charset val="136"/>
          </rPr>
          <t>優先考慮</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T19" authorId="1" shapeId="0" xr:uid="{00000000-0006-0000-1100-00002E000000}">
      <text>
        <r>
          <rPr>
            <sz val="9"/>
            <color indexed="81"/>
            <rFont val="細明體"/>
            <family val="3"/>
            <charset val="136"/>
          </rPr>
          <t>優先考慮</t>
        </r>
        <r>
          <rPr>
            <sz val="9"/>
            <color indexed="81"/>
            <rFont val="Tahoma"/>
            <family val="2"/>
          </rPr>
          <t xml:space="preserve">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E20" authorId="1" shapeId="0" xr:uid="{5C5B75F4-5A1A-43E2-93E6-BA05071516C5}">
      <text>
        <r>
          <rPr>
            <b/>
            <sz val="9"/>
            <color indexed="81"/>
            <rFont val="Tahoma"/>
            <family val="2"/>
          </rPr>
          <t>2022</t>
        </r>
        <r>
          <rPr>
            <b/>
            <sz val="9"/>
            <color indexed="81"/>
            <rFont val="細明體"/>
            <family val="3"/>
            <charset val="136"/>
          </rPr>
          <t>年新科目</t>
        </r>
      </text>
    </comment>
    <comment ref="E21" authorId="1" shapeId="0" xr:uid="{00000000-0006-0000-1100-00002F000000}">
      <text>
        <r>
          <rPr>
            <b/>
            <sz val="9"/>
            <color indexed="81"/>
            <rFont val="Tahoma"/>
            <family val="2"/>
          </rPr>
          <t xml:space="preserve">x1.5: </t>
        </r>
        <r>
          <rPr>
            <sz val="9"/>
            <color indexed="81"/>
            <rFont val="細明體"/>
            <family val="3"/>
            <charset val="136"/>
          </rPr>
          <t>中文、英文</t>
        </r>
      </text>
    </comment>
    <comment ref="E24" authorId="1" shapeId="0" xr:uid="{00000000-0006-0000-1100-000031000000}">
      <text>
        <r>
          <rPr>
            <b/>
            <sz val="9"/>
            <color indexed="81"/>
            <rFont val="Tahoma"/>
            <family val="2"/>
          </rPr>
          <t xml:space="preserve">x1.2: </t>
        </r>
        <r>
          <rPr>
            <sz val="9"/>
            <color indexed="81"/>
            <rFont val="細明體"/>
            <family val="3"/>
            <charset val="136"/>
          </rPr>
          <t>生物、化學、物理、組合科學、綜合科學、</t>
        </r>
        <r>
          <rPr>
            <sz val="9"/>
            <color indexed="81"/>
            <rFont val="Tahoma"/>
            <family val="2"/>
          </rPr>
          <t>HMSC</t>
        </r>
      </text>
    </comment>
    <comment ref="N24" authorId="0" shapeId="0" xr:uid="{00000000-0006-0000-1100-000032000000}">
      <text>
        <r>
          <rPr>
            <sz val="9"/>
            <color indexed="81"/>
            <rFont val="Tahoma"/>
            <family val="2"/>
          </rPr>
          <t xml:space="preserve">(On a selective basis)
</t>
        </r>
      </text>
    </comment>
    <comment ref="E25" authorId="1" shapeId="0" xr:uid="{00000000-0006-0000-1100-000033000000}">
      <text>
        <r>
          <rPr>
            <b/>
            <sz val="9"/>
            <color indexed="81"/>
            <rFont val="Tahoma"/>
            <family val="2"/>
          </rPr>
          <t xml:space="preserve">x1.2: </t>
        </r>
        <r>
          <rPr>
            <sz val="9"/>
            <color indexed="81"/>
            <rFont val="細明體"/>
            <family val="3"/>
            <charset val="136"/>
          </rPr>
          <t>生物、化學、物理、組合科學、綜合科學、</t>
        </r>
        <r>
          <rPr>
            <sz val="9"/>
            <color indexed="81"/>
            <rFont val="Tahoma"/>
            <family val="2"/>
          </rPr>
          <t>HMSC</t>
        </r>
      </text>
    </comment>
    <comment ref="N25" authorId="0" shapeId="0" xr:uid="{00000000-0006-0000-1100-000034000000}">
      <text>
        <r>
          <rPr>
            <sz val="9"/>
            <color indexed="81"/>
            <rFont val="Tahoma"/>
            <family val="2"/>
          </rPr>
          <t xml:space="preserve">(On a selective basis)
</t>
        </r>
      </text>
    </comment>
    <comment ref="E26" authorId="1" shapeId="0" xr:uid="{00000000-0006-0000-1100-000036000000}">
      <text>
        <r>
          <rPr>
            <b/>
            <sz val="9"/>
            <color indexed="81"/>
            <rFont val="Tahoma"/>
            <family val="2"/>
          </rPr>
          <t xml:space="preserve">x2: </t>
        </r>
        <r>
          <rPr>
            <sz val="9"/>
            <color indexed="81"/>
            <rFont val="細明體"/>
            <family val="3"/>
            <charset val="136"/>
          </rPr>
          <t>中文、英文、物理、生物、組合科學</t>
        </r>
        <r>
          <rPr>
            <sz val="9"/>
            <color indexed="81"/>
            <rFont val="Tahoma"/>
            <family val="2"/>
          </rPr>
          <t>(</t>
        </r>
        <r>
          <rPr>
            <sz val="9"/>
            <color indexed="81"/>
            <rFont val="細明體"/>
            <family val="3"/>
            <charset val="136"/>
          </rPr>
          <t>物理、生物</t>
        </r>
        <r>
          <rPr>
            <sz val="9"/>
            <color indexed="81"/>
            <rFont val="Tahoma"/>
            <family val="2"/>
          </rPr>
          <t>)</t>
        </r>
      </text>
    </comment>
    <comment ref="N26" authorId="0" shapeId="0" xr:uid="{00000000-0006-0000-1100-000037000000}">
      <text>
        <r>
          <rPr>
            <sz val="9"/>
            <color indexed="81"/>
            <rFont val="Tahoma"/>
            <family val="2"/>
          </rPr>
          <t xml:space="preserve">(On a selective basis)
</t>
        </r>
      </text>
    </comment>
    <comment ref="N36" authorId="1" shapeId="0" xr:uid="{00000000-0006-0000-1100-00003B000000}">
      <text>
        <r>
          <rPr>
            <sz val="9"/>
            <color indexed="81"/>
            <rFont val="Tahoma"/>
            <family val="2"/>
          </rPr>
          <t xml:space="preserve">May require interview and/or test
</t>
        </r>
      </text>
    </comment>
    <comment ref="N37" authorId="1" shapeId="0" xr:uid="{00000000-0006-0000-1100-00003D000000}">
      <text>
        <r>
          <rPr>
            <sz val="9"/>
            <color indexed="81"/>
            <rFont val="Tahoma"/>
            <family val="2"/>
          </rPr>
          <t xml:space="preserve">May require interview and/or test
</t>
        </r>
      </text>
    </comment>
    <comment ref="N38" authorId="1" shapeId="0" xr:uid="{00000000-0006-0000-1100-00003F000000}">
      <text>
        <r>
          <rPr>
            <sz val="9"/>
            <color indexed="81"/>
            <rFont val="Tahoma"/>
            <family val="2"/>
          </rPr>
          <t xml:space="preserve">May require interview and/or test
</t>
        </r>
      </text>
    </comment>
    <comment ref="N39" authorId="1" shapeId="0" xr:uid="{00000000-0006-0000-1100-000041000000}">
      <text>
        <r>
          <rPr>
            <sz val="9"/>
            <color indexed="81"/>
            <rFont val="Tahoma"/>
            <family val="2"/>
          </rPr>
          <t xml:space="preserve">May require interview and/or test
</t>
        </r>
      </text>
    </comment>
    <comment ref="N40" authorId="1" shapeId="0" xr:uid="{00000000-0006-0000-1100-000043000000}">
      <text>
        <r>
          <rPr>
            <sz val="9"/>
            <color indexed="81"/>
            <rFont val="Tahoma"/>
            <family val="2"/>
          </rPr>
          <t xml:space="preserve">May require interview and/or test
</t>
        </r>
      </text>
    </comment>
    <comment ref="T40" authorId="1" shapeId="0" xr:uid="{00000000-0006-0000-1100-000044000000}">
      <text>
        <r>
          <rPr>
            <b/>
            <sz val="9"/>
            <color indexed="81"/>
            <rFont val="細明體"/>
            <family val="3"/>
            <charset val="136"/>
          </rPr>
          <t>以下一科</t>
        </r>
        <r>
          <rPr>
            <b/>
            <sz val="9"/>
            <color indexed="81"/>
            <rFont val="Tahoma"/>
            <family val="2"/>
          </rPr>
          <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物理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綜合科學</t>
        </r>
        <r>
          <rPr>
            <sz val="9"/>
            <color indexed="81"/>
            <rFont val="Tahoma"/>
            <family val="2"/>
          </rPr>
          <t xml:space="preserve">
- M1/2</t>
        </r>
      </text>
    </comment>
    <comment ref="N41" authorId="1" shapeId="0" xr:uid="{00000000-0006-0000-1100-000046000000}">
      <text>
        <r>
          <rPr>
            <sz val="9"/>
            <color indexed="81"/>
            <rFont val="Tahoma"/>
            <family val="2"/>
          </rPr>
          <t xml:space="preserve">May require interview and/or test
</t>
        </r>
      </text>
    </comment>
    <comment ref="N42" authorId="1" shapeId="0" xr:uid="{00000000-0006-0000-1100-000048000000}">
      <text>
        <r>
          <rPr>
            <sz val="9"/>
            <color indexed="81"/>
            <rFont val="Tahoma"/>
            <family val="2"/>
          </rPr>
          <t xml:space="preserve">May require interview and/or test
</t>
        </r>
      </text>
    </comment>
    <comment ref="E43" authorId="1" shapeId="0" xr:uid="{00000000-0006-0000-1100-000049000000}">
      <text>
        <r>
          <rPr>
            <b/>
            <sz val="9"/>
            <color indexed="81"/>
            <rFont val="細明體"/>
            <family val="3"/>
            <charset val="136"/>
          </rPr>
          <t xml:space="preserve">此處並無計算比重
</t>
        </r>
        <r>
          <rPr>
            <b/>
            <sz val="9"/>
            <color indexed="81"/>
            <rFont val="Tahoma"/>
            <family val="2"/>
          </rPr>
          <t xml:space="preserve">x2: </t>
        </r>
        <r>
          <rPr>
            <sz val="9"/>
            <color indexed="81"/>
            <rFont val="細明體"/>
            <family val="3"/>
            <charset val="136"/>
          </rPr>
          <t>體育</t>
        </r>
      </text>
    </comment>
    <comment ref="N43" authorId="1" shapeId="0" xr:uid="{00000000-0006-0000-1100-00004B000000}">
      <text>
        <r>
          <rPr>
            <sz val="9"/>
            <color indexed="81"/>
            <rFont val="Tahoma"/>
            <family val="2"/>
          </rPr>
          <t xml:space="preserve">May require interview and/or test
</t>
        </r>
      </text>
    </comment>
    <comment ref="E44" authorId="1" shapeId="0" xr:uid="{00000000-0006-0000-1100-000050000000}">
      <text>
        <r>
          <rPr>
            <sz val="9"/>
            <color indexed="81"/>
            <rFont val="細明體"/>
            <family val="3"/>
            <charset val="136"/>
          </rPr>
          <t>未有提供資料
但推測應為</t>
        </r>
        <r>
          <rPr>
            <sz val="9"/>
            <color indexed="81"/>
            <rFont val="Tahoma"/>
            <family val="2"/>
          </rPr>
          <t>4C1X</t>
        </r>
      </text>
    </comment>
    <comment ref="N44" authorId="1" shapeId="0" xr:uid="{00000000-0006-0000-1100-000051000000}">
      <text>
        <r>
          <rPr>
            <sz val="9"/>
            <color indexed="81"/>
            <rFont val="Tahoma"/>
            <family val="2"/>
          </rPr>
          <t xml:space="preserve">(On a selective basis)
</t>
        </r>
      </text>
    </comment>
    <comment ref="E45" authorId="1" shapeId="0" xr:uid="{00000000-0006-0000-1100-000052000000}">
      <text>
        <r>
          <rPr>
            <sz val="9"/>
            <color indexed="81"/>
            <rFont val="細明體"/>
            <family val="3"/>
            <charset val="136"/>
          </rPr>
          <t>優先考慮</t>
        </r>
        <r>
          <rPr>
            <sz val="9"/>
            <color indexed="81"/>
            <rFont val="Tahoma"/>
            <family val="2"/>
          </rPr>
          <t xml:space="preserve"> </t>
        </r>
        <r>
          <rPr>
            <b/>
            <sz val="9"/>
            <color indexed="81"/>
            <rFont val="Tahoma"/>
            <family val="2"/>
          </rPr>
          <t>ICT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N45" authorId="1" shapeId="0" xr:uid="{00000000-0006-0000-1100-000053000000}">
      <text>
        <r>
          <rPr>
            <sz val="9"/>
            <color indexed="81"/>
            <rFont val="Tahoma"/>
            <family val="2"/>
          </rPr>
          <t xml:space="preserve">May require interview and/or test
</t>
        </r>
      </text>
    </comment>
    <comment ref="T45" authorId="1" shapeId="0" xr:uid="{00000000-0006-0000-1100-000054000000}">
      <text>
        <r>
          <rPr>
            <sz val="9"/>
            <color indexed="81"/>
            <rFont val="細明體"/>
            <family val="3"/>
            <charset val="136"/>
          </rPr>
          <t>優先考慮</t>
        </r>
        <r>
          <rPr>
            <sz val="9"/>
            <color indexed="81"/>
            <rFont val="Tahoma"/>
            <family val="2"/>
          </rPr>
          <t xml:space="preserve"> </t>
        </r>
        <r>
          <rPr>
            <b/>
            <sz val="9"/>
            <color indexed="81"/>
            <rFont val="細明體"/>
            <family val="3"/>
            <charset val="136"/>
          </rPr>
          <t>資訊及通訊科技</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C17" authorId="0" shapeId="0" xr:uid="{00000000-0006-0000-1300-000002000000}">
      <text>
        <r>
          <rPr>
            <b/>
            <sz val="9"/>
            <color indexed="81"/>
            <rFont val="細明體"/>
            <family val="3"/>
            <charset val="136"/>
          </rPr>
          <t>包含英文及</t>
        </r>
        <r>
          <rPr>
            <b/>
            <sz val="9"/>
            <color indexed="81"/>
            <rFont val="Tahoma"/>
            <family val="2"/>
          </rPr>
          <t xml:space="preserve"> [</t>
        </r>
        <r>
          <rPr>
            <b/>
            <sz val="9"/>
            <color indexed="81"/>
            <rFont val="細明體"/>
            <family val="3"/>
            <charset val="136"/>
          </rPr>
          <t>數學和</t>
        </r>
        <r>
          <rPr>
            <b/>
            <sz val="9"/>
            <color indexed="81"/>
            <rFont val="Tahoma"/>
            <family val="2"/>
          </rPr>
          <t>M1/2]</t>
        </r>
        <r>
          <rPr>
            <b/>
            <sz val="9"/>
            <color indexed="81"/>
            <rFont val="細明體"/>
            <family val="3"/>
            <charset val="136"/>
          </rPr>
          <t>其中最佳一科</t>
        </r>
      </text>
    </comment>
    <comment ref="C19" authorId="0" shapeId="0" xr:uid="{00000000-0006-0000-1300-000003000000}">
      <text>
        <r>
          <rPr>
            <b/>
            <sz val="9"/>
            <color indexed="81"/>
            <rFont val="Tahoma"/>
            <family val="2"/>
          </rPr>
          <t>x2</t>
        </r>
        <r>
          <rPr>
            <sz val="9"/>
            <color indexed="81"/>
            <rFont val="Tahoma"/>
            <family val="2"/>
          </rPr>
          <t xml:space="preserve">: </t>
        </r>
        <r>
          <rPr>
            <sz val="9"/>
            <color indexed="81"/>
            <rFont val="細明體"/>
            <family val="3"/>
            <charset val="136"/>
          </rPr>
          <t xml:space="preserve">英文、數學
</t>
        </r>
        <r>
          <rPr>
            <b/>
            <sz val="9"/>
            <color indexed="81"/>
            <rFont val="Tahoma"/>
            <family val="2"/>
          </rPr>
          <t xml:space="preserve">x1.5: </t>
        </r>
        <r>
          <rPr>
            <sz val="9"/>
            <color indexed="81"/>
            <rFont val="Tahoma"/>
            <family val="2"/>
          </rPr>
          <t>[M1/2</t>
        </r>
        <r>
          <rPr>
            <sz val="9"/>
            <color indexed="81"/>
            <rFont val="細明體"/>
            <family val="3"/>
            <charset val="136"/>
          </rPr>
          <t>、化學、物理或經濟</t>
        </r>
        <r>
          <rPr>
            <sz val="9"/>
            <color indexed="81"/>
            <rFont val="Tahoma"/>
            <family val="2"/>
          </rPr>
          <t xml:space="preserve">] </t>
        </r>
        <r>
          <rPr>
            <sz val="9"/>
            <color indexed="81"/>
            <rFont val="細明體"/>
            <family val="3"/>
            <charset val="136"/>
          </rPr>
          <t>其中最佳一科</t>
        </r>
        <r>
          <rPr>
            <sz val="9"/>
            <color indexed="81"/>
            <rFont val="Tahoma"/>
            <family val="2"/>
          </rPr>
          <t>)</t>
        </r>
      </text>
    </comment>
    <comment ref="C20" authorId="0" shapeId="0" xr:uid="{00000000-0006-0000-1300-000004000000}">
      <text>
        <r>
          <rPr>
            <b/>
            <sz val="9"/>
            <color indexed="81"/>
            <rFont val="Tahoma"/>
            <family val="2"/>
          </rPr>
          <t xml:space="preserve">x2: </t>
        </r>
        <r>
          <rPr>
            <sz val="9"/>
            <color indexed="81"/>
            <rFont val="細明體"/>
            <family val="3"/>
            <charset val="136"/>
          </rPr>
          <t>英文、通識</t>
        </r>
        <r>
          <rPr>
            <sz val="9"/>
            <color indexed="81"/>
            <rFont val="Tahoma"/>
            <family val="2"/>
          </rPr>
          <t xml:space="preserve">
</t>
        </r>
        <r>
          <rPr>
            <b/>
            <sz val="9"/>
            <color indexed="81"/>
            <rFont val="Tahoma"/>
            <family val="2"/>
          </rPr>
          <t xml:space="preserve">x 1.5: </t>
        </r>
        <r>
          <rPr>
            <sz val="9"/>
            <color indexed="81"/>
            <rFont val="細明體"/>
            <family val="3"/>
            <charset val="136"/>
          </rPr>
          <t>中文</t>
        </r>
      </text>
    </comment>
    <comment ref="C22" authorId="0" shapeId="0" xr:uid="{00000000-0006-0000-1300-000005000000}">
      <text>
        <r>
          <rPr>
            <b/>
            <sz val="9"/>
            <color indexed="81"/>
            <rFont val="細明體"/>
            <family val="3"/>
            <charset val="136"/>
          </rPr>
          <t xml:space="preserve">包含中文
</t>
        </r>
        <r>
          <rPr>
            <b/>
            <sz val="9"/>
            <color indexed="81"/>
            <rFont val="Tahoma"/>
            <family val="2"/>
          </rPr>
          <t xml:space="preserve">
</t>
        </r>
        <r>
          <rPr>
            <sz val="9"/>
            <color indexed="81"/>
            <rFont val="細明體"/>
            <family val="3"/>
            <charset val="136"/>
          </rPr>
          <t>中文有較高比重</t>
        </r>
        <r>
          <rPr>
            <sz val="9"/>
            <color indexed="81"/>
            <rFont val="Tahoma"/>
            <family val="2"/>
          </rPr>
          <t xml:space="preserve">
(</t>
        </r>
        <r>
          <rPr>
            <sz val="9"/>
            <color indexed="81"/>
            <rFont val="細明體"/>
            <family val="3"/>
            <charset val="136"/>
          </rPr>
          <t>此處作</t>
        </r>
        <r>
          <rPr>
            <sz val="9"/>
            <color indexed="81"/>
            <rFont val="Tahoma"/>
            <family val="2"/>
          </rPr>
          <t>x1.5)</t>
        </r>
      </text>
    </comment>
    <comment ref="C23" authorId="0" shapeId="0" xr:uid="{00000000-0006-0000-1300-000006000000}">
      <text>
        <r>
          <rPr>
            <b/>
            <sz val="9"/>
            <color indexed="81"/>
            <rFont val="細明體"/>
            <family val="3"/>
            <charset val="136"/>
          </rPr>
          <t xml:space="preserve">包含英文
</t>
        </r>
        <r>
          <rPr>
            <b/>
            <sz val="9"/>
            <color indexed="81"/>
            <rFont val="Tahoma"/>
            <family val="2"/>
          </rPr>
          <t xml:space="preserve">
</t>
        </r>
        <r>
          <rPr>
            <sz val="9"/>
            <color indexed="81"/>
            <rFont val="細明體"/>
            <family val="3"/>
            <charset val="136"/>
          </rPr>
          <t>英文有較高比重</t>
        </r>
        <r>
          <rPr>
            <sz val="9"/>
            <color indexed="81"/>
            <rFont val="Tahoma"/>
            <family val="2"/>
          </rPr>
          <t xml:space="preserve">
(</t>
        </r>
        <r>
          <rPr>
            <sz val="9"/>
            <color indexed="81"/>
            <rFont val="細明體"/>
            <family val="3"/>
            <charset val="136"/>
          </rPr>
          <t>此處作</t>
        </r>
        <r>
          <rPr>
            <sz val="9"/>
            <color indexed="81"/>
            <rFont val="Tahoma"/>
            <family val="2"/>
          </rPr>
          <t>x1.5)</t>
        </r>
      </text>
    </comment>
    <comment ref="C24" authorId="0" shapeId="0" xr:uid="{00000000-0006-0000-1300-000007000000}">
      <text>
        <r>
          <rPr>
            <b/>
            <sz val="9"/>
            <color indexed="81"/>
            <rFont val="Tahoma"/>
            <family val="2"/>
          </rPr>
          <t xml:space="preserve">x1.5: </t>
        </r>
        <r>
          <rPr>
            <sz val="9"/>
            <color indexed="81"/>
            <rFont val="細明體"/>
            <family val="3"/>
            <charset val="136"/>
          </rPr>
          <t>數學、</t>
        </r>
        <r>
          <rPr>
            <sz val="9"/>
            <color indexed="81"/>
            <rFont val="Tahoma"/>
            <family val="2"/>
          </rPr>
          <t>M1/2</t>
        </r>
        <r>
          <rPr>
            <sz val="9"/>
            <color indexed="81"/>
            <rFont val="細明體"/>
            <family val="3"/>
            <charset val="136"/>
          </rPr>
          <t>、中文、英文</t>
        </r>
      </text>
    </comment>
    <comment ref="C28" authorId="0" shapeId="0" xr:uid="{00000000-0006-0000-1300-000008000000}">
      <text>
        <r>
          <rPr>
            <b/>
            <sz val="9"/>
            <color indexed="81"/>
            <rFont val="Tahoma"/>
            <family val="2"/>
          </rPr>
          <t xml:space="preserve">x1.5: </t>
        </r>
        <r>
          <rPr>
            <sz val="9"/>
            <color indexed="81"/>
            <rFont val="細明體"/>
            <family val="3"/>
            <charset val="136"/>
          </rPr>
          <t xml:space="preserve">英文
</t>
        </r>
        <r>
          <rPr>
            <sz val="9"/>
            <color indexed="81"/>
            <rFont val="Tahoma"/>
            <family val="2"/>
          </rPr>
          <t xml:space="preserve">
</t>
        </r>
        <r>
          <rPr>
            <b/>
            <sz val="9"/>
            <color indexed="81"/>
            <rFont val="Tahoma"/>
            <family val="2"/>
          </rPr>
          <t xml:space="preserve">x1.25: </t>
        </r>
        <r>
          <rPr>
            <sz val="9"/>
            <color indexed="81"/>
            <rFont val="細明體"/>
            <family val="3"/>
            <charset val="136"/>
          </rPr>
          <t>中文、通識</t>
        </r>
      </text>
    </comment>
    <comment ref="C29" authorId="0" shapeId="0" xr:uid="{00000000-0006-0000-1300-000009000000}">
      <text>
        <r>
          <rPr>
            <b/>
            <sz val="9"/>
            <color indexed="81"/>
            <rFont val="Tahoma"/>
            <family val="2"/>
          </rPr>
          <t xml:space="preserve">x2: </t>
        </r>
        <r>
          <rPr>
            <sz val="9"/>
            <color indexed="81"/>
            <rFont val="細明體"/>
            <family val="3"/>
            <charset val="136"/>
          </rPr>
          <t xml:space="preserve">英文、通識
</t>
        </r>
        <r>
          <rPr>
            <sz val="9"/>
            <color indexed="81"/>
            <rFont val="Tahoma"/>
            <family val="2"/>
          </rPr>
          <t xml:space="preserve">
</t>
        </r>
        <r>
          <rPr>
            <b/>
            <sz val="9"/>
            <color indexed="81"/>
            <rFont val="Tahoma"/>
            <family val="2"/>
          </rPr>
          <t xml:space="preserve">x1.5: </t>
        </r>
        <r>
          <rPr>
            <sz val="9"/>
            <color indexed="81"/>
            <rFont val="細明體"/>
            <family val="3"/>
            <charset val="136"/>
          </rPr>
          <t>中文</t>
        </r>
      </text>
    </comment>
    <comment ref="R48" authorId="0" shapeId="0" xr:uid="{4334D919-70D5-4C69-8013-A52169E64A5A}">
      <text>
        <r>
          <rPr>
            <sz val="9"/>
            <color indexed="81"/>
            <rFont val="Tahoma"/>
            <family val="2"/>
          </rPr>
          <t>Penalty will be imposed on subjects which were retaken</t>
        </r>
      </text>
    </comment>
    <comment ref="R62" authorId="0" shapeId="0" xr:uid="{D806EBB1-8598-4F4A-B9A1-4099AA62EE3C}">
      <text>
        <r>
          <rPr>
            <sz val="9"/>
            <color indexed="81"/>
            <rFont val="Tahoma"/>
            <family val="2"/>
          </rPr>
          <t>Penalty will be imposed on subjects which were retaken</t>
        </r>
      </text>
    </comment>
    <comment ref="R64" authorId="0" shapeId="0" xr:uid="{7FE0A793-0596-43BD-BF61-9099CC030158}">
      <text>
        <r>
          <rPr>
            <sz val="9"/>
            <color indexed="81"/>
            <rFont val="Tahoma"/>
            <family val="2"/>
          </rPr>
          <t>Penalty will be imposed on subjects which were retaken</t>
        </r>
      </text>
    </comment>
    <comment ref="R66" authorId="0" shapeId="0" xr:uid="{5EDDC559-72D9-498E-9A9D-467509D5C787}">
      <text>
        <r>
          <rPr>
            <sz val="9"/>
            <color indexed="81"/>
            <rFont val="Tahoma"/>
            <family val="2"/>
          </rPr>
          <t>Penalty will be imposed on subjects which were retaken</t>
        </r>
      </text>
    </comment>
    <comment ref="R67" authorId="0" shapeId="0" xr:uid="{922B417C-D583-451C-A502-93451614082F}">
      <text>
        <r>
          <rPr>
            <sz val="9"/>
            <color indexed="81"/>
            <rFont val="Tahoma"/>
            <family val="2"/>
          </rPr>
          <t>Penalty will be imposed on subjects which were retaken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D17" authorId="0" shapeId="0" xr:uid="{950BC47F-6339-442C-9A08-7A3570F71E9F}">
      <text>
        <r>
          <rPr>
            <b/>
            <sz val="9"/>
            <color indexed="81"/>
            <rFont val="細明體"/>
            <family val="3"/>
            <charset val="136"/>
          </rPr>
          <t>入學要求</t>
        </r>
      </text>
    </comment>
    <comment ref="K17" authorId="0" shapeId="0" xr:uid="{B66E2FBB-3F46-41D0-B6B9-0C4A7C9C0E1F}">
      <text>
        <r>
          <rPr>
            <b/>
            <sz val="9"/>
            <color indexed="81"/>
            <rFont val="細明體"/>
            <family val="3"/>
            <charset val="136"/>
          </rPr>
          <t>入學要求</t>
        </r>
      </text>
    </comment>
    <comment ref="D21" authorId="0" shapeId="0" xr:uid="{00000000-0006-0000-0200-000001000000}">
      <text>
        <r>
          <rPr>
            <b/>
            <sz val="9"/>
            <color indexed="81"/>
            <rFont val="細明體"/>
            <family val="3"/>
            <charset val="136"/>
          </rPr>
          <t>入學要求</t>
        </r>
      </text>
    </comment>
    <comment ref="K21" authorId="0" shapeId="0" xr:uid="{00000000-0006-0000-0200-000002000000}">
      <text>
        <r>
          <rPr>
            <b/>
            <sz val="9"/>
            <color indexed="81"/>
            <rFont val="細明體"/>
            <family val="3"/>
            <charset val="136"/>
          </rPr>
          <t>入學要求</t>
        </r>
      </text>
    </comment>
    <comment ref="H40" authorId="0" shapeId="0" xr:uid="{00000000-0006-0000-0200-000003000000}">
      <text>
        <r>
          <rPr>
            <b/>
            <sz val="9"/>
            <color indexed="81"/>
            <rFont val="Tahoma"/>
            <family val="2"/>
          </rPr>
          <t>Level 3</t>
        </r>
        <r>
          <rPr>
            <sz val="9"/>
            <color indexed="81"/>
            <rFont val="Tahoma"/>
            <family val="2"/>
          </rPr>
          <t xml:space="preserve"> in one elective subject from:
- Biology
- Chemistry
- Combined Science 
- Integrated Science
- Physics</t>
        </r>
      </text>
    </comment>
    <comment ref="H59" authorId="1" shapeId="0" xr:uid="{A2E472FC-C114-4636-88FE-F7C6114EBFE4}">
      <text>
        <r>
          <rPr>
            <b/>
            <sz val="9"/>
            <color indexed="81"/>
            <rFont val="Tahoma"/>
            <family val="2"/>
          </rPr>
          <t xml:space="preserve">Level 3 </t>
        </r>
        <r>
          <rPr>
            <sz val="9"/>
            <color indexed="81"/>
            <rFont val="Tahoma"/>
            <family val="2"/>
          </rPr>
          <t xml:space="preserve">in one elective subject from:
</t>
        </r>
        <r>
          <rPr>
            <b/>
            <sz val="9"/>
            <color indexed="81"/>
            <rFont val="Tahoma"/>
            <family val="2"/>
          </rPr>
          <t xml:space="preserve">
- </t>
        </r>
        <r>
          <rPr>
            <sz val="9"/>
            <color indexed="81"/>
            <rFont val="Tahoma"/>
            <family val="2"/>
          </rPr>
          <t>Combined Science (Physics)
- Integrated Science
- Physics</t>
        </r>
      </text>
    </comment>
    <comment ref="F60" authorId="0" shapeId="0" xr:uid="{00000000-0006-0000-0200-000004000000}">
      <text>
        <r>
          <rPr>
            <b/>
            <sz val="9"/>
            <color indexed="81"/>
            <rFont val="Tahoma"/>
            <family val="2"/>
          </rPr>
          <t>Level 3</t>
        </r>
        <r>
          <rPr>
            <sz val="9"/>
            <color indexed="81"/>
            <rFont val="Tahoma"/>
            <family val="2"/>
          </rPr>
          <t xml:space="preserve"> in Mathematics if no other science subject is taken
</t>
        </r>
      </text>
    </comment>
    <comment ref="H60" authorId="0" shapeId="0" xr:uid="{00000000-0006-0000-0200-000005000000}">
      <text>
        <r>
          <rPr>
            <b/>
            <sz val="9"/>
            <color indexed="81"/>
            <rFont val="Tahoma"/>
            <family val="2"/>
          </rPr>
          <t>Level 3</t>
        </r>
        <r>
          <rPr>
            <sz val="9"/>
            <color indexed="81"/>
            <rFont val="Tahoma"/>
            <family val="2"/>
          </rPr>
          <t xml:space="preserve"> in one elective subject from:
- Chemistry
- Combined Science
(Biology and Chemistry)
- Combined Science
(Chemistry and Physics)</t>
        </r>
      </text>
    </comment>
    <comment ref="I60" authorId="0" shapeId="0" xr:uid="{00000000-0006-0000-0200-000006000000}">
      <text>
        <r>
          <rPr>
            <sz val="9"/>
            <color indexed="81"/>
            <rFont val="細明體"/>
            <family val="3"/>
            <charset val="136"/>
          </rPr>
          <t>若於數學科中獲</t>
        </r>
        <r>
          <rPr>
            <sz val="9"/>
            <color indexed="81"/>
            <rFont val="Tahoma"/>
            <family val="2"/>
          </rPr>
          <t>Lv.3</t>
        </r>
        <r>
          <rPr>
            <sz val="9"/>
            <color indexed="81"/>
            <rFont val="細明體"/>
            <family val="3"/>
            <charset val="136"/>
          </rPr>
          <t xml:space="preserve">或以上的成績︰
</t>
        </r>
        <r>
          <rPr>
            <b/>
            <sz val="9"/>
            <color indexed="81"/>
            <rFont val="細明體"/>
            <family val="3"/>
            <charset val="136"/>
          </rPr>
          <t>任何一科</t>
        </r>
        <r>
          <rPr>
            <sz val="9"/>
            <color indexed="81"/>
            <rFont val="細明體"/>
            <family val="3"/>
            <charset val="136"/>
          </rPr>
          <t xml:space="preserve">
若於數學科中只獲</t>
        </r>
        <r>
          <rPr>
            <sz val="9"/>
            <color indexed="81"/>
            <rFont val="Tahoma"/>
            <family val="2"/>
          </rPr>
          <t>Lv.2</t>
        </r>
        <r>
          <rPr>
            <sz val="9"/>
            <color indexed="81"/>
            <rFont val="細明體"/>
            <family val="3"/>
            <charset val="136"/>
          </rPr>
          <t xml:space="preserve">的成績︰
</t>
        </r>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物理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組合科學</t>
        </r>
        <r>
          <rPr>
            <sz val="9"/>
            <color indexed="81"/>
            <rFont val="Tahoma"/>
            <family val="2"/>
          </rPr>
          <t>(</t>
        </r>
        <r>
          <rPr>
            <sz val="9"/>
            <color indexed="81"/>
            <rFont val="細明體"/>
            <family val="3"/>
            <charset val="136"/>
          </rPr>
          <t>物理、生物</t>
        </r>
        <r>
          <rPr>
            <sz val="9"/>
            <color indexed="81"/>
            <rFont val="Tahoma"/>
            <family val="2"/>
          </rPr>
          <t>)</t>
        </r>
        <r>
          <rPr>
            <sz val="9"/>
            <color indexed="81"/>
            <rFont val="細明體"/>
            <family val="3"/>
            <charset val="136"/>
          </rPr>
          <t xml:space="preserve">
</t>
        </r>
        <r>
          <rPr>
            <sz val="9"/>
            <color indexed="81"/>
            <rFont val="Tahoma"/>
            <family val="2"/>
          </rPr>
          <t>- BAFS
- DAT
- ICT</t>
        </r>
      </text>
    </comment>
    <comment ref="H61" authorId="0" shapeId="0" xr:uid="{00000000-0006-0000-0200-000007000000}">
      <text>
        <r>
          <rPr>
            <b/>
            <sz val="9"/>
            <color indexed="81"/>
            <rFont val="Tahoma"/>
            <family val="2"/>
          </rPr>
          <t>Level 3</t>
        </r>
        <r>
          <rPr>
            <sz val="9"/>
            <color indexed="81"/>
            <rFont val="Tahoma"/>
            <family val="2"/>
          </rPr>
          <t xml:space="preserve"> in one elective subject from:
- Biology
- Chemistry
- Combined Science
- ICT
- M1/M2
- Physics</t>
        </r>
      </text>
    </comment>
    <comment ref="H62" authorId="0" shapeId="0" xr:uid="{00000000-0006-0000-0200-000008000000}">
      <text>
        <r>
          <rPr>
            <b/>
            <sz val="9"/>
            <color indexed="81"/>
            <rFont val="Tahoma"/>
            <family val="2"/>
          </rPr>
          <t>Level 3</t>
        </r>
        <r>
          <rPr>
            <sz val="9"/>
            <color indexed="81"/>
            <rFont val="Tahoma"/>
            <family val="2"/>
          </rPr>
          <t xml:space="preserve"> in one elective subject from:
- Biology
- Chemistry
- Combined Science
- Integrated Science
- ICT
- M1/M2
- Physics</t>
        </r>
      </text>
    </comment>
    <comment ref="H63" authorId="0" shapeId="0" xr:uid="{00000000-0006-0000-0200-000009000000}">
      <text>
        <r>
          <rPr>
            <b/>
            <sz val="9"/>
            <color indexed="81"/>
            <rFont val="Tahoma"/>
            <family val="2"/>
          </rPr>
          <t xml:space="preserve">Level 3 </t>
        </r>
        <r>
          <rPr>
            <sz val="9"/>
            <color indexed="81"/>
            <rFont val="Tahoma"/>
            <family val="2"/>
          </rPr>
          <t>in one elective subject from:
Biology
BAFS
Chemistry
DAT
ICT
M1/M2
Physics
Science (Combined or Integrated)</t>
        </r>
      </text>
    </comment>
    <comment ref="H64" authorId="0" shapeId="0" xr:uid="{00000000-0006-0000-0200-00000A000000}">
      <text>
        <r>
          <rPr>
            <b/>
            <sz val="9"/>
            <color indexed="81"/>
            <rFont val="Tahoma"/>
            <family val="2"/>
          </rPr>
          <t>Level 3</t>
        </r>
        <r>
          <rPr>
            <sz val="9"/>
            <color indexed="81"/>
            <rFont val="Tahoma"/>
            <family val="2"/>
          </rPr>
          <t xml:space="preserve"> in one elective subject from:
- Chemistry
- Combined Science
- M1/2
- DAT
- Physics</t>
        </r>
      </text>
    </comment>
    <comment ref="H65" authorId="0" shapeId="0" xr:uid="{00000000-0006-0000-0200-00000B000000}">
      <text>
        <r>
          <rPr>
            <b/>
            <sz val="9"/>
            <color indexed="81"/>
            <rFont val="Tahoma"/>
            <family val="2"/>
          </rPr>
          <t>Level 3</t>
        </r>
        <r>
          <rPr>
            <sz val="9"/>
            <color indexed="81"/>
            <rFont val="Tahoma"/>
            <family val="2"/>
          </rPr>
          <t xml:space="preserve"> in one elective subject from:
- Chemistry
- Combined Science
(Biology and Physics)
- Combined Science
(Chemistry and Physics)
- DAT
- Physics</t>
        </r>
      </text>
    </comment>
    <comment ref="H66" authorId="0" shapeId="0" xr:uid="{00000000-0006-0000-0200-00000C000000}">
      <text>
        <r>
          <rPr>
            <b/>
            <sz val="9"/>
            <color indexed="81"/>
            <rFont val="Tahoma"/>
            <family val="2"/>
          </rPr>
          <t xml:space="preserve">Level 3 </t>
        </r>
        <r>
          <rPr>
            <sz val="9"/>
            <color indexed="81"/>
            <rFont val="Tahoma"/>
            <family val="2"/>
          </rPr>
          <t xml:space="preserve">in one elective subject from:
- Chemistry
- Combined Science (Biology and Physics)
- Combined Science (Chemistry and Physics)
- DAT
- Physics
</t>
        </r>
      </text>
    </comment>
    <comment ref="H67" authorId="0" shapeId="0" xr:uid="{00000000-0006-0000-0200-00000D000000}">
      <text>
        <r>
          <rPr>
            <b/>
            <sz val="9"/>
            <color indexed="81"/>
            <rFont val="Tahoma"/>
            <family val="2"/>
          </rPr>
          <t>Level 3</t>
        </r>
        <r>
          <rPr>
            <sz val="9"/>
            <color indexed="81"/>
            <rFont val="Tahoma"/>
            <family val="2"/>
          </rPr>
          <t xml:space="preserve"> in one elective subject from:
- Biology
- Chemistry
- Combined Science
- Physics</t>
        </r>
      </text>
    </comment>
    <comment ref="H68" authorId="0" shapeId="0" xr:uid="{00000000-0006-0000-0200-00000E000000}">
      <text>
        <r>
          <rPr>
            <b/>
            <sz val="9"/>
            <color indexed="81"/>
            <rFont val="Tahoma"/>
            <family val="2"/>
          </rPr>
          <t>Level 3</t>
        </r>
        <r>
          <rPr>
            <sz val="9"/>
            <color indexed="81"/>
            <rFont val="Tahoma"/>
            <family val="2"/>
          </rPr>
          <t xml:space="preserve"> in one elective subject from:
- Chemistry
- Combined Science (Physics)
- DAT
- ICT
- M1/2
- Physics</t>
        </r>
      </text>
    </comment>
    <comment ref="H72" authorId="0" shapeId="0" xr:uid="{00000000-0006-0000-0200-00000F000000}">
      <text>
        <r>
          <rPr>
            <b/>
            <sz val="9"/>
            <color indexed="81"/>
            <rFont val="Tahoma"/>
            <family val="2"/>
          </rPr>
          <t xml:space="preserve">Level 3 </t>
        </r>
        <r>
          <rPr>
            <sz val="9"/>
            <color indexed="81"/>
            <rFont val="Tahoma"/>
            <family val="2"/>
          </rPr>
          <t>in Biology and Chemistry</t>
        </r>
      </text>
    </comment>
    <comment ref="I72" authorId="0" shapeId="0" xr:uid="{00000000-0006-0000-0200-000010000000}">
      <text>
        <r>
          <rPr>
            <b/>
            <sz val="9"/>
            <color indexed="81"/>
            <rFont val="Tahoma"/>
            <family val="2"/>
          </rPr>
          <t xml:space="preserve">Level 3 </t>
        </r>
        <r>
          <rPr>
            <sz val="9"/>
            <color indexed="81"/>
            <rFont val="Tahoma"/>
            <family val="2"/>
          </rPr>
          <t>in Biology and Chemistry</t>
        </r>
      </text>
    </comment>
    <comment ref="H73" authorId="0" shapeId="0" xr:uid="{00000000-0006-0000-0200-000011000000}">
      <text>
        <r>
          <rPr>
            <b/>
            <sz val="9"/>
            <color indexed="81"/>
            <rFont val="Tahoma"/>
            <family val="2"/>
          </rPr>
          <t>Level 3</t>
        </r>
        <r>
          <rPr>
            <sz val="9"/>
            <color indexed="81"/>
            <rFont val="Tahoma"/>
            <family val="2"/>
          </rPr>
          <t xml:space="preserve"> in one elective subject from:
- Biology
- Chemistry
- Combined Science</t>
        </r>
      </text>
    </comment>
    <comment ref="I73" authorId="0" shapeId="0" xr:uid="{00000000-0006-0000-0200-000012000000}">
      <text>
        <r>
          <rPr>
            <b/>
            <sz val="9"/>
            <color indexed="81"/>
            <rFont val="Tahoma"/>
            <family val="2"/>
          </rPr>
          <t xml:space="preserve">Level 3 </t>
        </r>
        <r>
          <rPr>
            <sz val="9"/>
            <color indexed="81"/>
            <rFont val="Tahoma"/>
            <family val="2"/>
          </rPr>
          <t>in one elective subject from:
Biology
BAFS
Chemistry
DAT
ICT
M1/M2
Physics
Science (Combined or Integrated)</t>
        </r>
      </text>
    </comment>
    <comment ref="H74" authorId="0" shapeId="0" xr:uid="{00000000-0006-0000-0200-000013000000}">
      <text>
        <r>
          <rPr>
            <b/>
            <sz val="9"/>
            <color indexed="81"/>
            <rFont val="Tahoma"/>
            <family val="2"/>
          </rPr>
          <t>Level 3</t>
        </r>
        <r>
          <rPr>
            <sz val="9"/>
            <color indexed="81"/>
            <rFont val="Tahoma"/>
            <family val="2"/>
          </rPr>
          <t xml:space="preserve"> in one elective subject from:
- Biology
- Chemistry
- Combined Science</t>
        </r>
      </text>
    </comment>
    <comment ref="I74" authorId="0" shapeId="0" xr:uid="{00000000-0006-0000-0200-000014000000}">
      <text>
        <r>
          <rPr>
            <b/>
            <sz val="9"/>
            <color indexed="81"/>
            <rFont val="Tahoma"/>
            <family val="2"/>
          </rPr>
          <t xml:space="preserve">Level 3 </t>
        </r>
        <r>
          <rPr>
            <sz val="9"/>
            <color indexed="81"/>
            <rFont val="Tahoma"/>
            <family val="2"/>
          </rPr>
          <t>in one elective subject from:
Biology
BAFS
Chemistry
DAT
ICT
M1/M2
Physics
Science (Combined or Integrated)</t>
        </r>
      </text>
    </comment>
    <comment ref="H75" authorId="0" shapeId="0" xr:uid="{00000000-0006-0000-0200-000015000000}">
      <text>
        <r>
          <rPr>
            <b/>
            <sz val="9"/>
            <color indexed="81"/>
            <rFont val="Tahoma"/>
            <family val="2"/>
          </rPr>
          <t>Level 3</t>
        </r>
        <r>
          <rPr>
            <sz val="9"/>
            <color indexed="81"/>
            <rFont val="Tahoma"/>
            <family val="2"/>
          </rPr>
          <t xml:space="preserve"> in one elective subject from:
- Biology
- Chemistry
- Combined Science</t>
        </r>
      </text>
    </comment>
    <comment ref="I75" authorId="0" shapeId="0" xr:uid="{00000000-0006-0000-0200-000016000000}">
      <text>
        <r>
          <rPr>
            <b/>
            <sz val="9"/>
            <color indexed="81"/>
            <rFont val="Tahoma"/>
            <family val="2"/>
          </rPr>
          <t xml:space="preserve">Level 3 </t>
        </r>
        <r>
          <rPr>
            <sz val="9"/>
            <color indexed="81"/>
            <rFont val="Tahoma"/>
            <family val="2"/>
          </rPr>
          <t>in one elective subject from:
Biology
BAFS
Chemistry
DAT
ICT
M1/M2
Physics
Science (Combined or Integrated)</t>
        </r>
      </text>
    </comment>
    <comment ref="D77" authorId="0" shapeId="0" xr:uid="{00000000-0006-0000-0200-000017000000}">
      <text>
        <r>
          <rPr>
            <b/>
            <sz val="9"/>
            <color indexed="81"/>
            <rFont val="細明體"/>
            <family val="3"/>
            <charset val="136"/>
          </rPr>
          <t>入學要求</t>
        </r>
      </text>
    </comment>
    <comment ref="K77" authorId="0" shapeId="0" xr:uid="{00000000-0006-0000-0200-000018000000}">
      <text>
        <r>
          <rPr>
            <b/>
            <sz val="9"/>
            <color indexed="81"/>
            <rFont val="細明體"/>
            <family val="3"/>
            <charset val="136"/>
          </rPr>
          <t>入學要求</t>
        </r>
      </text>
    </comment>
    <comment ref="D100" authorId="0" shapeId="0" xr:uid="{00000000-0006-0000-0200-000039000000}">
      <text>
        <r>
          <rPr>
            <b/>
            <sz val="9"/>
            <color indexed="81"/>
            <rFont val="細明體"/>
            <family val="3"/>
            <charset val="136"/>
          </rPr>
          <t>入學要求</t>
        </r>
      </text>
    </comment>
    <comment ref="K100" authorId="0" shapeId="0" xr:uid="{00000000-0006-0000-0200-00003A000000}">
      <text>
        <r>
          <rPr>
            <b/>
            <sz val="9"/>
            <color indexed="81"/>
            <rFont val="細明體"/>
            <family val="3"/>
            <charset val="136"/>
          </rPr>
          <t>入學要求</t>
        </r>
      </text>
    </comment>
    <comment ref="D217" authorId="0" shapeId="0" xr:uid="{00000000-0006-0000-0200-000087000000}">
      <text>
        <r>
          <rPr>
            <b/>
            <sz val="9"/>
            <color indexed="81"/>
            <rFont val="細明體"/>
            <family val="3"/>
            <charset val="136"/>
          </rPr>
          <t>入學要求</t>
        </r>
      </text>
    </comment>
    <comment ref="K217" authorId="0" shapeId="0" xr:uid="{00000000-0006-0000-0200-000088000000}">
      <text>
        <r>
          <rPr>
            <b/>
            <sz val="9"/>
            <color indexed="81"/>
            <rFont val="細明體"/>
            <family val="3"/>
            <charset val="136"/>
          </rPr>
          <t>入學要求</t>
        </r>
      </text>
    </comment>
    <comment ref="H218" authorId="1" shapeId="0" xr:uid="{00000000-0006-0000-0200-00008A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text>
    </comment>
    <comment ref="H219" authorId="1" shapeId="0" xr:uid="{00000000-0006-0000-0200-00008D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H220" authorId="1" shapeId="0" xr:uid="{00000000-0006-0000-0200-00008F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H221" authorId="1" shapeId="0" xr:uid="{00000000-0006-0000-0200-000091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H222" authorId="1" shapeId="0" xr:uid="{00000000-0006-0000-0200-000093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H223" authorId="1" shapeId="0" xr:uid="{00000000-0006-0000-0200-000095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 / DAT</t>
        </r>
      </text>
    </comment>
    <comment ref="H224" authorId="1" shapeId="0" xr:uid="{00000000-0006-0000-0200-000097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H238" authorId="0" shapeId="0" xr:uid="{00000000-0006-0000-0200-0000A6000000}">
      <text>
        <r>
          <rPr>
            <b/>
            <sz val="9"/>
            <color indexed="81"/>
            <rFont val="細明體"/>
            <family val="3"/>
            <charset val="136"/>
          </rPr>
          <t>以下一科</t>
        </r>
        <r>
          <rPr>
            <b/>
            <sz val="9"/>
            <color indexed="81"/>
            <rFont val="Tahoma"/>
            <family val="2"/>
          </rPr>
          <t>:</t>
        </r>
        <r>
          <rPr>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text>
    </comment>
    <comment ref="H240" authorId="1" shapeId="0" xr:uid="{00000000-0006-0000-0200-0000A9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經濟</t>
        </r>
        <r>
          <rPr>
            <sz val="9"/>
            <color indexed="81"/>
            <rFont val="Tahoma"/>
            <family val="2"/>
          </rPr>
          <t>/ M1/2</t>
        </r>
      </text>
    </comment>
    <comment ref="H243" authorId="1" shapeId="0" xr:uid="{00000000-0006-0000-0200-0000AC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I289" authorId="0" shapeId="0" xr:uid="{00000000-0006-0000-0200-0000EA000000}">
      <text>
        <r>
          <rPr>
            <sz val="9"/>
            <color indexed="81"/>
            <rFont val="Tahoma"/>
            <family val="2"/>
          </rPr>
          <t xml:space="preserve">Level 3 or above in </t>
        </r>
        <r>
          <rPr>
            <b/>
            <sz val="9"/>
            <color indexed="81"/>
            <rFont val="Tahoma"/>
            <family val="2"/>
          </rPr>
          <t xml:space="preserve">M1/2 is preferred </t>
        </r>
        <r>
          <rPr>
            <sz val="9"/>
            <color indexed="81"/>
            <rFont val="Tahoma"/>
            <family val="2"/>
          </rPr>
          <t xml:space="preserve">(but not required).
</t>
        </r>
      </text>
    </comment>
    <comment ref="I290" authorId="0" shapeId="0" xr:uid="{00000000-0006-0000-0200-0000ED000000}">
      <text>
        <r>
          <rPr>
            <b/>
            <sz val="9"/>
            <color indexed="81"/>
            <rFont val="Tahoma"/>
            <family val="2"/>
          </rPr>
          <t>M1/2 is required.</t>
        </r>
        <r>
          <rPr>
            <sz val="9"/>
            <color indexed="81"/>
            <rFont val="Tahoma"/>
            <family val="2"/>
          </rPr>
          <t xml:space="preserve">
</t>
        </r>
      </text>
    </comment>
    <comment ref="H319" authorId="1" shapeId="0" xr:uid="{8E41B0CB-FBCB-4EC9-9391-EC977DCD2236}">
      <text>
        <r>
          <rPr>
            <sz val="9"/>
            <color indexed="81"/>
            <rFont val="細明體"/>
            <family val="3"/>
            <charset val="136"/>
          </rPr>
          <t>數學科考獲</t>
        </r>
        <r>
          <rPr>
            <sz val="9"/>
            <color indexed="81"/>
            <rFont val="Tahoma"/>
            <family val="2"/>
          </rPr>
          <t xml:space="preserve"> </t>
        </r>
        <r>
          <rPr>
            <b/>
            <sz val="9"/>
            <color indexed="81"/>
            <rFont val="Tahoma"/>
            <family val="2"/>
          </rPr>
          <t>Lv.3</t>
        </r>
        <r>
          <rPr>
            <sz val="9"/>
            <color indexed="81"/>
            <rFont val="Tahoma"/>
            <family val="2"/>
          </rPr>
          <t xml:space="preserve"> </t>
        </r>
        <r>
          <rPr>
            <b/>
            <sz val="9"/>
            <color indexed="81"/>
            <rFont val="細明體"/>
            <family val="3"/>
            <charset val="136"/>
          </rPr>
          <t>及</t>
        </r>
        <r>
          <rPr>
            <sz val="9"/>
            <color indexed="81"/>
            <rFont val="Tahoma"/>
            <family val="2"/>
          </rPr>
          <t xml:space="preserve"> M1/2 </t>
        </r>
        <r>
          <rPr>
            <sz val="9"/>
            <color indexed="81"/>
            <rFont val="細明體"/>
            <family val="3"/>
            <charset val="136"/>
          </rPr>
          <t>考獲</t>
        </r>
        <r>
          <rPr>
            <sz val="9"/>
            <color indexed="81"/>
            <rFont val="Tahoma"/>
            <family val="2"/>
          </rPr>
          <t xml:space="preserve"> </t>
        </r>
        <r>
          <rPr>
            <b/>
            <sz val="9"/>
            <color indexed="81"/>
            <rFont val="Tahoma"/>
            <family val="2"/>
          </rPr>
          <t>Lv.2</t>
        </r>
        <r>
          <rPr>
            <sz val="9"/>
            <color indexed="81"/>
            <rFont val="Tahoma"/>
            <family val="2"/>
          </rPr>
          <t xml:space="preserve">
</t>
        </r>
        <r>
          <rPr>
            <sz val="9"/>
            <color indexed="81"/>
            <rFont val="細明體"/>
            <family val="3"/>
            <charset val="136"/>
          </rPr>
          <t>或
數學科考獲</t>
        </r>
        <r>
          <rPr>
            <b/>
            <sz val="9"/>
            <color indexed="81"/>
            <rFont val="Tahoma"/>
            <family val="2"/>
          </rPr>
          <t xml:space="preserve"> Lv.5 </t>
        </r>
        <r>
          <rPr>
            <sz val="9"/>
            <color indexed="81"/>
            <rFont val="細明體"/>
            <family val="3"/>
            <charset val="136"/>
          </rPr>
          <t>但未有修讀</t>
        </r>
        <r>
          <rPr>
            <sz val="9"/>
            <color indexed="81"/>
            <rFont val="Tahoma"/>
            <family val="2"/>
          </rPr>
          <t>M1/2</t>
        </r>
        <r>
          <rPr>
            <sz val="9"/>
            <color indexed="81"/>
            <rFont val="細明體"/>
            <family val="3"/>
            <charset val="136"/>
          </rPr>
          <t>者，將會按個別情況考慮。</t>
        </r>
      </text>
    </comment>
    <comment ref="R320" authorId="1" shapeId="0" xr:uid="{E65F5EE5-BC36-43A2-ABDB-DFDF7DA210A8}">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Chan</author>
    <author>CHAN, Koon Ho</author>
    <author>Michael</author>
  </authors>
  <commentList>
    <comment ref="E25" authorId="0" shapeId="0" xr:uid="{00000000-0006-0000-0000-000001000000}">
      <text>
        <r>
          <rPr>
            <b/>
            <sz val="9"/>
            <color indexed="81"/>
            <rFont val="細明體"/>
            <family val="3"/>
            <charset val="136"/>
          </rPr>
          <t>英文</t>
        </r>
        <r>
          <rPr>
            <b/>
            <sz val="9"/>
            <color indexed="81"/>
            <rFont val="Tahoma"/>
            <family val="2"/>
          </rPr>
          <t xml:space="preserve">x1.5
</t>
        </r>
      </text>
    </comment>
    <comment ref="E35" authorId="0" shapeId="0" xr:uid="{00000000-0006-0000-0000-000002000000}">
      <text>
        <r>
          <rPr>
            <sz val="9"/>
            <color indexed="81"/>
            <rFont val="細明體"/>
            <family val="3"/>
            <charset val="136"/>
          </rPr>
          <t>英文</t>
        </r>
        <r>
          <rPr>
            <sz val="9"/>
            <color indexed="81"/>
            <rFont val="Tahoma"/>
            <family val="2"/>
          </rPr>
          <t xml:space="preserve">x2
</t>
        </r>
      </text>
    </comment>
    <comment ref="E36" authorId="0" shapeId="0" xr:uid="{00000000-0006-0000-0000-000003000000}">
      <text>
        <r>
          <rPr>
            <sz val="9"/>
            <color indexed="81"/>
            <rFont val="細明體"/>
            <family val="3"/>
            <charset val="136"/>
          </rPr>
          <t>英文</t>
        </r>
        <r>
          <rPr>
            <sz val="9"/>
            <color indexed="81"/>
            <rFont val="Tahoma"/>
            <family val="2"/>
          </rPr>
          <t xml:space="preserve">x2
</t>
        </r>
      </text>
    </comment>
    <comment ref="E37" authorId="0" shapeId="0" xr:uid="{00000000-0006-0000-0000-000004000000}">
      <text>
        <r>
          <rPr>
            <b/>
            <sz val="9"/>
            <color indexed="81"/>
            <rFont val="細明體"/>
            <family val="3"/>
            <charset val="136"/>
          </rPr>
          <t>英文</t>
        </r>
        <r>
          <rPr>
            <b/>
            <sz val="9"/>
            <color indexed="81"/>
            <rFont val="Tahoma"/>
            <family val="2"/>
          </rPr>
          <t>x2</t>
        </r>
        <r>
          <rPr>
            <b/>
            <sz val="9"/>
            <color indexed="81"/>
            <rFont val="細明體"/>
            <family val="3"/>
            <charset val="136"/>
          </rPr>
          <t>，數學</t>
        </r>
        <r>
          <rPr>
            <b/>
            <sz val="9"/>
            <color indexed="81"/>
            <rFont val="Tahoma"/>
            <family val="2"/>
          </rPr>
          <t xml:space="preserve">x1.5
</t>
        </r>
      </text>
    </comment>
    <comment ref="E38" authorId="0" shapeId="0" xr:uid="{00000000-0006-0000-0000-000005000000}">
      <text>
        <r>
          <rPr>
            <b/>
            <sz val="9"/>
            <color indexed="81"/>
            <rFont val="細明體"/>
            <family val="3"/>
            <charset val="136"/>
          </rPr>
          <t>英文</t>
        </r>
        <r>
          <rPr>
            <b/>
            <sz val="9"/>
            <color indexed="81"/>
            <rFont val="Tahoma"/>
            <family val="2"/>
          </rPr>
          <t>x2</t>
        </r>
        <r>
          <rPr>
            <sz val="9"/>
            <color indexed="81"/>
            <rFont val="Tahoma"/>
            <family val="2"/>
          </rPr>
          <t xml:space="preserve">
</t>
        </r>
      </text>
    </comment>
    <comment ref="E39" authorId="0" shapeId="0" xr:uid="{00000000-0006-0000-0000-000006000000}">
      <text>
        <r>
          <rPr>
            <b/>
            <sz val="9"/>
            <color indexed="81"/>
            <rFont val="細明體"/>
            <family val="3"/>
            <charset val="136"/>
          </rPr>
          <t>英文</t>
        </r>
        <r>
          <rPr>
            <b/>
            <sz val="9"/>
            <color indexed="81"/>
            <rFont val="Tahoma"/>
            <family val="2"/>
          </rPr>
          <t xml:space="preserve">x2, </t>
        </r>
        <r>
          <rPr>
            <b/>
            <sz val="9"/>
            <color indexed="81"/>
            <rFont val="細明體"/>
            <family val="3"/>
            <charset val="136"/>
          </rPr>
          <t>數學</t>
        </r>
        <r>
          <rPr>
            <b/>
            <sz val="9"/>
            <color indexed="81"/>
            <rFont val="Tahoma"/>
            <family val="2"/>
          </rPr>
          <t xml:space="preserve">x2.5, </t>
        </r>
        <r>
          <rPr>
            <b/>
            <sz val="9"/>
            <color indexed="81"/>
            <rFont val="細明體"/>
            <family val="3"/>
            <charset val="136"/>
          </rPr>
          <t>化學</t>
        </r>
        <r>
          <rPr>
            <b/>
            <sz val="9"/>
            <color indexed="81"/>
            <rFont val="Tahoma"/>
            <family val="2"/>
          </rPr>
          <t>/</t>
        </r>
        <r>
          <rPr>
            <b/>
            <sz val="9"/>
            <color indexed="81"/>
            <rFont val="細明體"/>
            <family val="3"/>
            <charset val="136"/>
          </rPr>
          <t>物理</t>
        </r>
        <r>
          <rPr>
            <b/>
            <sz val="9"/>
            <color indexed="81"/>
            <rFont val="Tahoma"/>
            <family val="2"/>
          </rPr>
          <t>/</t>
        </r>
        <r>
          <rPr>
            <b/>
            <sz val="9"/>
            <color indexed="81"/>
            <rFont val="細明體"/>
            <family val="3"/>
            <charset val="136"/>
          </rPr>
          <t>組合科學</t>
        </r>
        <r>
          <rPr>
            <b/>
            <sz val="9"/>
            <color indexed="81"/>
            <rFont val="Tahoma"/>
            <family val="2"/>
          </rPr>
          <t>(</t>
        </r>
        <r>
          <rPr>
            <b/>
            <sz val="9"/>
            <color indexed="81"/>
            <rFont val="細明體"/>
            <family val="3"/>
            <charset val="136"/>
          </rPr>
          <t>物理、化學</t>
        </r>
        <r>
          <rPr>
            <b/>
            <sz val="9"/>
            <color indexed="81"/>
            <rFont val="Tahoma"/>
            <family val="2"/>
          </rPr>
          <t>)x2.5</t>
        </r>
      </text>
    </comment>
    <comment ref="E41" authorId="0" shapeId="0" xr:uid="{00000000-0006-0000-0000-000007000000}">
      <text>
        <r>
          <rPr>
            <b/>
            <sz val="9"/>
            <color indexed="81"/>
            <rFont val="細明體"/>
            <family val="3"/>
            <charset val="136"/>
          </rPr>
          <t>英文</t>
        </r>
        <r>
          <rPr>
            <b/>
            <sz val="9"/>
            <color indexed="81"/>
            <rFont val="Tahoma"/>
            <family val="2"/>
          </rPr>
          <t>x2</t>
        </r>
        <r>
          <rPr>
            <b/>
            <sz val="9"/>
            <color indexed="81"/>
            <rFont val="細明體"/>
            <family val="3"/>
            <charset val="136"/>
          </rPr>
          <t>，數學</t>
        </r>
        <r>
          <rPr>
            <b/>
            <sz val="9"/>
            <color indexed="81"/>
            <rFont val="Tahoma"/>
            <family val="2"/>
          </rPr>
          <t>x2</t>
        </r>
        <r>
          <rPr>
            <sz val="9"/>
            <color indexed="81"/>
            <rFont val="Tahoma"/>
            <family val="2"/>
          </rPr>
          <t xml:space="preserve">
</t>
        </r>
      </text>
    </comment>
    <comment ref="E42" authorId="0" shapeId="0" xr:uid="{00000000-0006-0000-0000-000008000000}">
      <text>
        <r>
          <rPr>
            <b/>
            <sz val="9"/>
            <color indexed="81"/>
            <rFont val="細明體"/>
            <family val="3"/>
            <charset val="136"/>
          </rPr>
          <t>英文</t>
        </r>
        <r>
          <rPr>
            <b/>
            <sz val="9"/>
            <color indexed="81"/>
            <rFont val="Tahoma"/>
            <family val="2"/>
          </rPr>
          <t>x2</t>
        </r>
        <r>
          <rPr>
            <b/>
            <sz val="9"/>
            <color indexed="81"/>
            <rFont val="細明體"/>
            <family val="3"/>
            <charset val="136"/>
          </rPr>
          <t>，數學</t>
        </r>
        <r>
          <rPr>
            <b/>
            <sz val="9"/>
            <color indexed="81"/>
            <rFont val="Tahoma"/>
            <family val="2"/>
          </rPr>
          <t>x2</t>
        </r>
        <r>
          <rPr>
            <sz val="9"/>
            <color indexed="81"/>
            <rFont val="Tahoma"/>
            <family val="2"/>
          </rPr>
          <t xml:space="preserve">
</t>
        </r>
      </text>
    </comment>
    <comment ref="E43" authorId="0" shapeId="0" xr:uid="{00000000-0006-0000-0000-000009000000}">
      <text>
        <r>
          <rPr>
            <b/>
            <sz val="9"/>
            <color indexed="81"/>
            <rFont val="細明體"/>
            <family val="3"/>
            <charset val="136"/>
          </rPr>
          <t>英文</t>
        </r>
        <r>
          <rPr>
            <b/>
            <sz val="9"/>
            <color indexed="81"/>
            <rFont val="Tahoma"/>
            <family val="2"/>
          </rPr>
          <t>x2</t>
        </r>
        <r>
          <rPr>
            <b/>
            <sz val="9"/>
            <color indexed="81"/>
            <rFont val="細明體"/>
            <family val="3"/>
            <charset val="136"/>
          </rPr>
          <t>，數學</t>
        </r>
        <r>
          <rPr>
            <b/>
            <sz val="9"/>
            <color indexed="81"/>
            <rFont val="Tahoma"/>
            <family val="2"/>
          </rPr>
          <t>x2</t>
        </r>
        <r>
          <rPr>
            <sz val="9"/>
            <color indexed="81"/>
            <rFont val="Tahoma"/>
            <family val="2"/>
          </rPr>
          <t xml:space="preserve">
</t>
        </r>
      </text>
    </comment>
    <comment ref="E44" authorId="0" shapeId="0" xr:uid="{00000000-0006-0000-0000-00000A000000}">
      <text>
        <r>
          <rPr>
            <b/>
            <sz val="9"/>
            <color indexed="81"/>
            <rFont val="細明體"/>
            <family val="3"/>
            <charset val="136"/>
          </rPr>
          <t>英文</t>
        </r>
        <r>
          <rPr>
            <b/>
            <sz val="9"/>
            <color indexed="81"/>
            <rFont val="Tahoma"/>
            <family val="2"/>
          </rPr>
          <t>x2</t>
        </r>
        <r>
          <rPr>
            <sz val="9"/>
            <color indexed="81"/>
            <rFont val="Tahoma"/>
            <family val="2"/>
          </rPr>
          <t xml:space="preserve">
</t>
        </r>
      </text>
    </comment>
    <comment ref="E45" authorId="0" shapeId="0" xr:uid="{00000000-0006-0000-0000-00000B000000}">
      <text>
        <r>
          <rPr>
            <b/>
            <sz val="9"/>
            <color indexed="81"/>
            <rFont val="細明體"/>
            <family val="3"/>
            <charset val="136"/>
          </rPr>
          <t>英文</t>
        </r>
        <r>
          <rPr>
            <b/>
            <sz val="9"/>
            <color indexed="81"/>
            <rFont val="Tahoma"/>
            <family val="2"/>
          </rPr>
          <t>x2</t>
        </r>
        <r>
          <rPr>
            <sz val="9"/>
            <color indexed="81"/>
            <rFont val="Tahoma"/>
            <family val="2"/>
          </rPr>
          <t xml:space="preserve">
</t>
        </r>
      </text>
    </comment>
    <comment ref="E46" authorId="0" shapeId="0" xr:uid="{00000000-0006-0000-0000-00000C000000}">
      <text>
        <r>
          <rPr>
            <b/>
            <sz val="9"/>
            <color indexed="81"/>
            <rFont val="Tahoma"/>
            <family val="2"/>
          </rPr>
          <t>(2020</t>
        </r>
        <r>
          <rPr>
            <b/>
            <sz val="9"/>
            <color indexed="81"/>
            <rFont val="細明體"/>
            <family val="3"/>
            <charset val="136"/>
          </rPr>
          <t>年改為所有科目</t>
        </r>
        <r>
          <rPr>
            <b/>
            <sz val="9"/>
            <color indexed="81"/>
            <rFont val="Tahoma"/>
            <family val="2"/>
          </rPr>
          <t xml:space="preserve">x1)
</t>
        </r>
        <r>
          <rPr>
            <b/>
            <sz val="9"/>
            <color indexed="81"/>
            <rFont val="細明體"/>
            <family val="3"/>
            <charset val="136"/>
          </rPr>
          <t>英文</t>
        </r>
        <r>
          <rPr>
            <b/>
            <sz val="9"/>
            <color indexed="81"/>
            <rFont val="Tahoma"/>
            <family val="2"/>
          </rPr>
          <t>x2</t>
        </r>
        <r>
          <rPr>
            <b/>
            <sz val="9"/>
            <color indexed="81"/>
            <rFont val="細明體"/>
            <family val="3"/>
            <charset val="136"/>
          </rPr>
          <t>，通識</t>
        </r>
        <r>
          <rPr>
            <b/>
            <sz val="9"/>
            <color indexed="81"/>
            <rFont val="Tahoma"/>
            <family val="2"/>
          </rPr>
          <t>x1.5</t>
        </r>
      </text>
    </comment>
    <comment ref="E47" authorId="0" shapeId="0" xr:uid="{00000000-0006-0000-0000-00000D000000}">
      <text>
        <r>
          <rPr>
            <b/>
            <sz val="9"/>
            <color indexed="81"/>
            <rFont val="Tahoma"/>
            <family val="2"/>
          </rPr>
          <t xml:space="preserve">x2: </t>
        </r>
        <r>
          <rPr>
            <b/>
            <sz val="9"/>
            <color indexed="81"/>
            <rFont val="細明體"/>
            <family val="3"/>
            <charset val="136"/>
          </rPr>
          <t xml:space="preserve">中文，英文
</t>
        </r>
        <r>
          <rPr>
            <b/>
            <sz val="9"/>
            <color indexed="81"/>
            <rFont val="Tahoma"/>
            <family val="2"/>
          </rPr>
          <t xml:space="preserve">x1.5: </t>
        </r>
        <r>
          <rPr>
            <b/>
            <sz val="9"/>
            <color indexed="81"/>
            <rFont val="細明體"/>
            <family val="3"/>
            <charset val="136"/>
          </rPr>
          <t>通識</t>
        </r>
        <r>
          <rPr>
            <b/>
            <sz val="9"/>
            <color indexed="81"/>
            <rFont val="Tahoma"/>
            <family val="2"/>
          </rPr>
          <t>/</t>
        </r>
        <r>
          <rPr>
            <b/>
            <sz val="9"/>
            <color indexed="81"/>
            <rFont val="細明體"/>
            <family val="3"/>
            <charset val="136"/>
          </rPr>
          <t>中國歷史</t>
        </r>
        <r>
          <rPr>
            <b/>
            <sz val="9"/>
            <color indexed="81"/>
            <rFont val="Tahoma"/>
            <family val="2"/>
          </rPr>
          <t>/</t>
        </r>
        <r>
          <rPr>
            <b/>
            <sz val="9"/>
            <color indexed="81"/>
            <rFont val="細明體"/>
            <family val="3"/>
            <charset val="136"/>
          </rPr>
          <t>中國文學</t>
        </r>
        <r>
          <rPr>
            <b/>
            <sz val="9"/>
            <color indexed="81"/>
            <rFont val="Tahoma"/>
            <family val="2"/>
          </rPr>
          <t>/</t>
        </r>
        <r>
          <rPr>
            <b/>
            <sz val="9"/>
            <color indexed="81"/>
            <rFont val="細明體"/>
            <family val="3"/>
            <charset val="136"/>
          </rPr>
          <t>歷史</t>
        </r>
        <r>
          <rPr>
            <b/>
            <sz val="9"/>
            <color indexed="81"/>
            <rFont val="Tahoma"/>
            <family val="2"/>
          </rPr>
          <t>/</t>
        </r>
        <r>
          <rPr>
            <b/>
            <sz val="9"/>
            <color indexed="81"/>
            <rFont val="細明體"/>
            <family val="3"/>
            <charset val="136"/>
          </rPr>
          <t>視覺藝術</t>
        </r>
      </text>
    </comment>
    <comment ref="E48" authorId="0" shapeId="0" xr:uid="{00000000-0006-0000-0000-00000E000000}">
      <text>
        <r>
          <rPr>
            <b/>
            <sz val="9"/>
            <color indexed="81"/>
            <rFont val="細明體"/>
            <family val="3"/>
            <charset val="136"/>
          </rPr>
          <t>英文</t>
        </r>
        <r>
          <rPr>
            <b/>
            <sz val="9"/>
            <color indexed="81"/>
            <rFont val="Tahoma"/>
            <family val="2"/>
          </rPr>
          <t>x2.5</t>
        </r>
        <r>
          <rPr>
            <b/>
            <sz val="9"/>
            <color indexed="81"/>
            <rFont val="細明體"/>
            <family val="3"/>
            <charset val="136"/>
          </rPr>
          <t>，通識</t>
        </r>
        <r>
          <rPr>
            <b/>
            <sz val="9"/>
            <color indexed="81"/>
            <rFont val="Tahoma"/>
            <family val="2"/>
          </rPr>
          <t>x1.5</t>
        </r>
        <r>
          <rPr>
            <b/>
            <sz val="9"/>
            <color indexed="81"/>
            <rFont val="細明體"/>
            <family val="3"/>
            <charset val="136"/>
          </rPr>
          <t>，英國文學</t>
        </r>
        <r>
          <rPr>
            <b/>
            <sz val="9"/>
            <color indexed="81"/>
            <rFont val="Tahoma"/>
            <family val="2"/>
          </rPr>
          <t xml:space="preserve">x1.5
</t>
        </r>
        <r>
          <rPr>
            <sz val="9"/>
            <color indexed="81"/>
            <rFont val="Tahoma"/>
            <family val="2"/>
          </rPr>
          <t xml:space="preserve">
</t>
        </r>
      </text>
    </comment>
    <comment ref="E49" authorId="0" shapeId="0" xr:uid="{00000000-0006-0000-0000-00000F000000}">
      <text>
        <r>
          <rPr>
            <b/>
            <sz val="9"/>
            <color indexed="81"/>
            <rFont val="細明體"/>
            <family val="3"/>
            <charset val="136"/>
          </rPr>
          <t>中文</t>
        </r>
        <r>
          <rPr>
            <b/>
            <sz val="9"/>
            <color indexed="81"/>
            <rFont val="Tahoma"/>
            <family val="2"/>
          </rPr>
          <t>x1.5</t>
        </r>
        <r>
          <rPr>
            <b/>
            <sz val="9"/>
            <color indexed="81"/>
            <rFont val="細明體"/>
            <family val="3"/>
            <charset val="136"/>
          </rPr>
          <t>，英文</t>
        </r>
        <r>
          <rPr>
            <b/>
            <sz val="9"/>
            <color indexed="81"/>
            <rFont val="Tahoma"/>
            <family val="2"/>
          </rPr>
          <t>x2</t>
        </r>
        <r>
          <rPr>
            <sz val="9"/>
            <color indexed="81"/>
            <rFont val="Tahoma"/>
            <family val="2"/>
          </rPr>
          <t xml:space="preserve">
</t>
        </r>
      </text>
    </comment>
    <comment ref="E50" authorId="0" shapeId="0" xr:uid="{00000000-0006-0000-0000-000010000000}">
      <text>
        <r>
          <rPr>
            <b/>
            <sz val="9"/>
            <color indexed="81"/>
            <rFont val="細明體"/>
            <family val="3"/>
            <charset val="136"/>
          </rPr>
          <t>中文</t>
        </r>
        <r>
          <rPr>
            <b/>
            <sz val="9"/>
            <color indexed="81"/>
            <rFont val="Tahoma"/>
            <family val="2"/>
          </rPr>
          <t>x1.25</t>
        </r>
        <r>
          <rPr>
            <b/>
            <sz val="9"/>
            <color indexed="81"/>
            <rFont val="細明體"/>
            <family val="3"/>
            <charset val="136"/>
          </rPr>
          <t>，英文</t>
        </r>
        <r>
          <rPr>
            <b/>
            <sz val="9"/>
            <color indexed="81"/>
            <rFont val="Tahoma"/>
            <family val="2"/>
          </rPr>
          <t>x1.25</t>
        </r>
        <r>
          <rPr>
            <sz val="9"/>
            <color indexed="81"/>
            <rFont val="Tahoma"/>
            <family val="2"/>
          </rPr>
          <t xml:space="preserve">
</t>
        </r>
      </text>
    </comment>
    <comment ref="E51" authorId="0" shapeId="0" xr:uid="{00000000-0006-0000-0000-000011000000}">
      <text>
        <r>
          <rPr>
            <b/>
            <sz val="9"/>
            <color indexed="81"/>
            <rFont val="細明體"/>
            <family val="3"/>
            <charset val="136"/>
          </rPr>
          <t>英文</t>
        </r>
        <r>
          <rPr>
            <b/>
            <sz val="9"/>
            <color indexed="81"/>
            <rFont val="Tahoma"/>
            <family val="2"/>
          </rPr>
          <t>x2</t>
        </r>
        <r>
          <rPr>
            <b/>
            <sz val="9"/>
            <color indexed="81"/>
            <rFont val="細明體"/>
            <family val="3"/>
            <charset val="136"/>
          </rPr>
          <t>，通識</t>
        </r>
        <r>
          <rPr>
            <b/>
            <sz val="9"/>
            <color indexed="81"/>
            <rFont val="Tahoma"/>
            <family val="2"/>
          </rPr>
          <t>x1.5</t>
        </r>
        <r>
          <rPr>
            <sz val="9"/>
            <color indexed="81"/>
            <rFont val="Tahoma"/>
            <family val="2"/>
          </rPr>
          <t xml:space="preserve">
</t>
        </r>
      </text>
    </comment>
    <comment ref="E52" authorId="0" shapeId="0" xr:uid="{00000000-0006-0000-0000-000012000000}">
      <text>
        <r>
          <rPr>
            <b/>
            <sz val="9"/>
            <color indexed="81"/>
            <rFont val="細明體"/>
            <family val="3"/>
            <charset val="136"/>
          </rPr>
          <t>英文</t>
        </r>
        <r>
          <rPr>
            <b/>
            <sz val="9"/>
            <color indexed="81"/>
            <rFont val="Tahoma"/>
            <family val="2"/>
          </rPr>
          <t>x2</t>
        </r>
        <r>
          <rPr>
            <sz val="9"/>
            <color indexed="81"/>
            <rFont val="Tahoma"/>
            <family val="2"/>
          </rPr>
          <t xml:space="preserve">
</t>
        </r>
      </text>
    </comment>
    <comment ref="E53" authorId="0" shapeId="0" xr:uid="{00000000-0006-0000-0000-000013000000}">
      <text>
        <r>
          <rPr>
            <b/>
            <sz val="9"/>
            <color indexed="81"/>
            <rFont val="細明體"/>
            <family val="3"/>
            <charset val="136"/>
          </rPr>
          <t>英文</t>
        </r>
        <r>
          <rPr>
            <b/>
            <sz val="9"/>
            <color indexed="81"/>
            <rFont val="Tahoma"/>
            <family val="2"/>
          </rPr>
          <t>x2</t>
        </r>
        <r>
          <rPr>
            <sz val="9"/>
            <color indexed="81"/>
            <rFont val="Tahoma"/>
            <family val="2"/>
          </rPr>
          <t xml:space="preserve">
</t>
        </r>
      </text>
    </comment>
    <comment ref="E54" authorId="0" shapeId="0" xr:uid="{00000000-0006-0000-0000-000014000000}">
      <text>
        <r>
          <rPr>
            <b/>
            <sz val="9"/>
            <color indexed="81"/>
            <rFont val="細明體"/>
            <family val="3"/>
            <charset val="136"/>
          </rPr>
          <t>英文</t>
        </r>
        <r>
          <rPr>
            <b/>
            <sz val="9"/>
            <color indexed="81"/>
            <rFont val="Tahoma"/>
            <family val="2"/>
          </rPr>
          <t>x2</t>
        </r>
        <r>
          <rPr>
            <sz val="9"/>
            <color indexed="81"/>
            <rFont val="Tahoma"/>
            <family val="2"/>
          </rPr>
          <t xml:space="preserve">
</t>
        </r>
      </text>
    </comment>
    <comment ref="E55" authorId="0" shapeId="0" xr:uid="{00000000-0006-0000-0000-000015000000}">
      <text>
        <r>
          <rPr>
            <b/>
            <sz val="9"/>
            <color indexed="81"/>
            <rFont val="細明體"/>
            <family val="3"/>
            <charset val="136"/>
          </rPr>
          <t>英文</t>
        </r>
        <r>
          <rPr>
            <b/>
            <sz val="9"/>
            <color indexed="81"/>
            <rFont val="Tahoma"/>
            <family val="2"/>
          </rPr>
          <t>x2</t>
        </r>
        <r>
          <rPr>
            <sz val="9"/>
            <color indexed="81"/>
            <rFont val="Tahoma"/>
            <family val="2"/>
          </rPr>
          <t xml:space="preserve">
</t>
        </r>
      </text>
    </comment>
    <comment ref="E56" authorId="1" shapeId="0" xr:uid="{00000000-0006-0000-0000-000016000000}">
      <text>
        <r>
          <rPr>
            <b/>
            <sz val="9"/>
            <color indexed="81"/>
            <rFont val="Tahoma"/>
            <family val="2"/>
          </rPr>
          <t xml:space="preserve">2021年新科目
x2.5:數學、物理、生物、化學、經濟、M1/2
x2:英文
</t>
        </r>
      </text>
    </comment>
    <comment ref="E57" authorId="1" shapeId="0" xr:uid="{00000000-0006-0000-0000-000017000000}">
      <text>
        <r>
          <rPr>
            <b/>
            <sz val="9"/>
            <color indexed="81"/>
            <rFont val="Tahoma"/>
            <family val="2"/>
          </rPr>
          <t xml:space="preserve">2021年新科目
x2.5:英文、數學、物理、M1/2、組合科學(含物理)、綜合科學
x1.5: 中文
</t>
        </r>
      </text>
    </comment>
    <comment ref="E58" authorId="0" shapeId="0" xr:uid="{00000000-0006-0000-0000-000018000000}">
      <text>
        <r>
          <rPr>
            <b/>
            <sz val="9"/>
            <color indexed="81"/>
            <rFont val="Tahoma"/>
            <family val="2"/>
          </rPr>
          <t xml:space="preserve">x2: </t>
        </r>
        <r>
          <rPr>
            <b/>
            <sz val="9"/>
            <color indexed="81"/>
            <rFont val="細明體"/>
            <family val="3"/>
            <charset val="136"/>
          </rPr>
          <t>英文，化學</t>
        </r>
        <r>
          <rPr>
            <b/>
            <sz val="9"/>
            <color indexed="81"/>
            <rFont val="Tahoma"/>
            <family val="2"/>
          </rPr>
          <t xml:space="preserve">x2
x1.5: </t>
        </r>
        <r>
          <rPr>
            <b/>
            <sz val="9"/>
            <color indexed="81"/>
            <rFont val="細明體"/>
            <family val="3"/>
            <charset val="136"/>
          </rPr>
          <t>數學，組合科學</t>
        </r>
        <r>
          <rPr>
            <b/>
            <sz val="9"/>
            <color indexed="81"/>
            <rFont val="Tahoma"/>
            <family val="2"/>
          </rPr>
          <t>(</t>
        </r>
        <r>
          <rPr>
            <b/>
            <sz val="9"/>
            <color indexed="81"/>
            <rFont val="細明體"/>
            <family val="3"/>
            <charset val="136"/>
          </rPr>
          <t>化學</t>
        </r>
        <r>
          <rPr>
            <b/>
            <sz val="9"/>
            <color indexed="81"/>
            <rFont val="Tahoma"/>
            <family val="2"/>
          </rPr>
          <t>)</t>
        </r>
      </text>
    </comment>
    <comment ref="E59" authorId="0" shapeId="0" xr:uid="{00000000-0006-0000-0000-000019000000}">
      <text>
        <r>
          <rPr>
            <b/>
            <sz val="9"/>
            <color indexed="81"/>
            <rFont val="細明體"/>
            <family val="3"/>
            <charset val="136"/>
          </rPr>
          <t>英文</t>
        </r>
        <r>
          <rPr>
            <b/>
            <sz val="9"/>
            <color indexed="81"/>
            <rFont val="Tahoma"/>
            <family val="2"/>
          </rPr>
          <t>x2</t>
        </r>
        <r>
          <rPr>
            <sz val="9"/>
            <color indexed="81"/>
            <rFont val="Tahoma"/>
            <family val="2"/>
          </rPr>
          <t xml:space="preserve">
</t>
        </r>
      </text>
    </comment>
    <comment ref="E60" authorId="0" shapeId="0" xr:uid="{00000000-0006-0000-0000-00001A000000}">
      <text>
        <r>
          <rPr>
            <b/>
            <sz val="9"/>
            <color indexed="81"/>
            <rFont val="Tahoma"/>
            <family val="2"/>
          </rPr>
          <t xml:space="preserve">x2: </t>
        </r>
        <r>
          <rPr>
            <b/>
            <sz val="9"/>
            <color indexed="81"/>
            <rFont val="細明體"/>
            <family val="3"/>
            <charset val="136"/>
          </rPr>
          <t>英文，數學，組合科學</t>
        </r>
        <r>
          <rPr>
            <b/>
            <sz val="9"/>
            <color indexed="81"/>
            <rFont val="Tahoma"/>
            <family val="2"/>
          </rPr>
          <t>(</t>
        </r>
        <r>
          <rPr>
            <b/>
            <sz val="9"/>
            <color indexed="81"/>
            <rFont val="細明體"/>
            <family val="3"/>
            <charset val="136"/>
          </rPr>
          <t>物理、化學</t>
        </r>
        <r>
          <rPr>
            <b/>
            <sz val="9"/>
            <color indexed="81"/>
            <rFont val="Tahoma"/>
            <family val="2"/>
          </rPr>
          <t>)</t>
        </r>
        <r>
          <rPr>
            <b/>
            <sz val="9"/>
            <color indexed="81"/>
            <rFont val="細明體"/>
            <family val="3"/>
            <charset val="136"/>
          </rPr>
          <t>，組合科學</t>
        </r>
        <r>
          <rPr>
            <b/>
            <sz val="9"/>
            <color indexed="81"/>
            <rFont val="Tahoma"/>
            <family val="2"/>
          </rPr>
          <t>(</t>
        </r>
        <r>
          <rPr>
            <b/>
            <sz val="9"/>
            <color indexed="81"/>
            <rFont val="細明體"/>
            <family val="3"/>
            <charset val="136"/>
          </rPr>
          <t>物理、生物</t>
        </r>
        <r>
          <rPr>
            <b/>
            <sz val="9"/>
            <color indexed="81"/>
            <rFont val="Tahoma"/>
            <family val="2"/>
          </rPr>
          <t>)</t>
        </r>
        <r>
          <rPr>
            <b/>
            <sz val="9"/>
            <color indexed="81"/>
            <rFont val="細明體"/>
            <family val="3"/>
            <charset val="136"/>
          </rPr>
          <t>，物理，</t>
        </r>
        <r>
          <rPr>
            <b/>
            <sz val="9"/>
            <color indexed="81"/>
            <rFont val="Tahoma"/>
            <family val="2"/>
          </rPr>
          <t>ICT</t>
        </r>
        <r>
          <rPr>
            <b/>
            <sz val="9"/>
            <color indexed="81"/>
            <rFont val="細明體"/>
            <family val="3"/>
            <charset val="136"/>
          </rPr>
          <t>，</t>
        </r>
        <r>
          <rPr>
            <b/>
            <sz val="9"/>
            <color indexed="81"/>
            <rFont val="Tahoma"/>
            <family val="2"/>
          </rPr>
          <t xml:space="preserve">M1/2
x1.5: </t>
        </r>
        <r>
          <rPr>
            <b/>
            <sz val="9"/>
            <color indexed="81"/>
            <rFont val="細明體"/>
            <family val="3"/>
            <charset val="136"/>
          </rPr>
          <t>組合科學</t>
        </r>
        <r>
          <rPr>
            <b/>
            <sz val="9"/>
            <color indexed="81"/>
            <rFont val="Tahoma"/>
            <family val="2"/>
          </rPr>
          <t>(</t>
        </r>
        <r>
          <rPr>
            <b/>
            <sz val="9"/>
            <color indexed="81"/>
            <rFont val="細明體"/>
            <family val="3"/>
            <charset val="136"/>
          </rPr>
          <t>生物、化學</t>
        </r>
        <r>
          <rPr>
            <b/>
            <sz val="9"/>
            <color indexed="81"/>
            <rFont val="Tahoma"/>
            <family val="2"/>
          </rPr>
          <t>)</t>
        </r>
        <r>
          <rPr>
            <b/>
            <sz val="9"/>
            <color indexed="81"/>
            <rFont val="細明體"/>
            <family val="3"/>
            <charset val="136"/>
          </rPr>
          <t>，生物，化學，綜合科學</t>
        </r>
        <r>
          <rPr>
            <sz val="9"/>
            <color indexed="81"/>
            <rFont val="Tahoma"/>
            <family val="2"/>
          </rPr>
          <t xml:space="preserve">
</t>
        </r>
      </text>
    </comment>
    <comment ref="E61" authorId="0" shapeId="0" xr:uid="{00000000-0006-0000-0000-00001B000000}">
      <text>
        <r>
          <rPr>
            <b/>
            <sz val="9"/>
            <color indexed="81"/>
            <rFont val="Tahoma"/>
            <family val="2"/>
          </rPr>
          <t xml:space="preserve">x2.5: </t>
        </r>
        <r>
          <rPr>
            <b/>
            <sz val="9"/>
            <color indexed="81"/>
            <rFont val="細明體"/>
            <family val="3"/>
            <charset val="136"/>
          </rPr>
          <t>數學</t>
        </r>
        <r>
          <rPr>
            <b/>
            <sz val="9"/>
            <color indexed="81"/>
            <rFont val="Tahoma"/>
            <family val="2"/>
          </rPr>
          <t xml:space="preserve">
x2: </t>
        </r>
        <r>
          <rPr>
            <b/>
            <sz val="9"/>
            <color indexed="81"/>
            <rFont val="細明體"/>
            <family val="3"/>
            <charset val="136"/>
          </rPr>
          <t>英文、</t>
        </r>
        <r>
          <rPr>
            <b/>
            <sz val="9"/>
            <color indexed="81"/>
            <rFont val="Tahoma"/>
            <family val="2"/>
          </rPr>
          <t xml:space="preserve">M1/2
x1.5: </t>
        </r>
        <r>
          <rPr>
            <b/>
            <sz val="9"/>
            <color indexed="81"/>
            <rFont val="細明體"/>
            <family val="3"/>
            <charset val="136"/>
          </rPr>
          <t>組合科學，生物，化學，物理</t>
        </r>
        <r>
          <rPr>
            <sz val="9"/>
            <color indexed="81"/>
            <rFont val="Tahoma"/>
            <family val="2"/>
          </rPr>
          <t xml:space="preserve">
</t>
        </r>
      </text>
    </comment>
    <comment ref="E62" authorId="0" shapeId="0" xr:uid="{00000000-0006-0000-0000-00001C000000}">
      <text>
        <r>
          <rPr>
            <b/>
            <sz val="9"/>
            <color indexed="81"/>
            <rFont val="Tahoma"/>
            <family val="2"/>
          </rPr>
          <t xml:space="preserve">x2: </t>
        </r>
        <r>
          <rPr>
            <b/>
            <sz val="9"/>
            <color indexed="81"/>
            <rFont val="細明體"/>
            <family val="3"/>
            <charset val="136"/>
          </rPr>
          <t>英文，數學，物理</t>
        </r>
        <r>
          <rPr>
            <b/>
            <sz val="9"/>
            <color indexed="81"/>
            <rFont val="Tahoma"/>
            <family val="2"/>
          </rPr>
          <t xml:space="preserve">
x1.5: </t>
        </r>
        <r>
          <rPr>
            <b/>
            <sz val="9"/>
            <color indexed="81"/>
            <rFont val="細明體"/>
            <family val="3"/>
            <charset val="136"/>
          </rPr>
          <t>組合科學</t>
        </r>
        <r>
          <rPr>
            <b/>
            <sz val="9"/>
            <color indexed="81"/>
            <rFont val="Tahoma"/>
            <family val="2"/>
          </rPr>
          <t>(</t>
        </r>
        <r>
          <rPr>
            <b/>
            <sz val="9"/>
            <color indexed="81"/>
            <rFont val="細明體"/>
            <family val="3"/>
            <charset val="136"/>
          </rPr>
          <t>生物、化學</t>
        </r>
        <r>
          <rPr>
            <b/>
            <sz val="9"/>
            <color indexed="81"/>
            <rFont val="Tahoma"/>
            <family val="2"/>
          </rPr>
          <t>)</t>
        </r>
        <r>
          <rPr>
            <b/>
            <sz val="9"/>
            <color indexed="81"/>
            <rFont val="細明體"/>
            <family val="3"/>
            <charset val="136"/>
          </rPr>
          <t>，化學，</t>
        </r>
        <r>
          <rPr>
            <b/>
            <sz val="9"/>
            <color indexed="81"/>
            <rFont val="Tahoma"/>
            <family val="2"/>
          </rPr>
          <t>DAT</t>
        </r>
        <r>
          <rPr>
            <b/>
            <sz val="9"/>
            <color indexed="81"/>
            <rFont val="細明體"/>
            <family val="3"/>
            <charset val="136"/>
          </rPr>
          <t>，</t>
        </r>
        <r>
          <rPr>
            <b/>
            <sz val="9"/>
            <color indexed="81"/>
            <rFont val="Tahoma"/>
            <family val="2"/>
          </rPr>
          <t>M1/2</t>
        </r>
        <r>
          <rPr>
            <sz val="9"/>
            <color indexed="81"/>
            <rFont val="Tahoma"/>
            <family val="2"/>
          </rPr>
          <t xml:space="preserve">
</t>
        </r>
      </text>
    </comment>
    <comment ref="E63" authorId="0" shapeId="0" xr:uid="{00000000-0006-0000-0000-00001D000000}">
      <text>
        <r>
          <rPr>
            <b/>
            <sz val="9"/>
            <color indexed="81"/>
            <rFont val="Tahoma"/>
            <family val="2"/>
          </rPr>
          <t xml:space="preserve">x2: </t>
        </r>
        <r>
          <rPr>
            <b/>
            <sz val="9"/>
            <color indexed="81"/>
            <rFont val="細明體"/>
            <family val="3"/>
            <charset val="136"/>
          </rPr>
          <t xml:space="preserve">英文，物理
</t>
        </r>
        <r>
          <rPr>
            <b/>
            <sz val="9"/>
            <color indexed="81"/>
            <rFont val="Tahoma"/>
            <family val="2"/>
          </rPr>
          <t xml:space="preserve">x1.5: M1/2
x1.25: </t>
        </r>
        <r>
          <rPr>
            <b/>
            <sz val="9"/>
            <color indexed="81"/>
            <rFont val="細明體"/>
            <family val="3"/>
            <charset val="136"/>
          </rPr>
          <t xml:space="preserve">數學
</t>
        </r>
        <r>
          <rPr>
            <sz val="9"/>
            <color indexed="81"/>
            <rFont val="Tahoma"/>
            <family val="2"/>
          </rPr>
          <t xml:space="preserve">
</t>
        </r>
      </text>
    </comment>
    <comment ref="E64" authorId="0" shapeId="0" xr:uid="{00000000-0006-0000-0000-00001E000000}">
      <text>
        <r>
          <rPr>
            <b/>
            <sz val="9"/>
            <color indexed="81"/>
            <rFont val="Tahoma"/>
            <family val="2"/>
          </rPr>
          <t xml:space="preserve">x2: </t>
        </r>
        <r>
          <rPr>
            <b/>
            <sz val="9"/>
            <color indexed="81"/>
            <rFont val="細明體"/>
            <family val="3"/>
            <charset val="136"/>
          </rPr>
          <t xml:space="preserve">英文，物理
</t>
        </r>
        <r>
          <rPr>
            <b/>
            <sz val="9"/>
            <color indexed="81"/>
            <rFont val="Tahoma"/>
            <family val="2"/>
          </rPr>
          <t>x1.5: M1/2</t>
        </r>
        <r>
          <rPr>
            <b/>
            <sz val="9"/>
            <color indexed="81"/>
            <rFont val="細明體"/>
            <family val="3"/>
            <charset val="136"/>
          </rPr>
          <t xml:space="preserve">，化學
</t>
        </r>
        <r>
          <rPr>
            <sz val="9"/>
            <color indexed="81"/>
            <rFont val="Tahoma"/>
            <family val="2"/>
          </rPr>
          <t xml:space="preserve">
</t>
        </r>
      </text>
    </comment>
    <comment ref="E65" authorId="0" shapeId="0" xr:uid="{00000000-0006-0000-0000-00001F000000}">
      <text>
        <r>
          <rPr>
            <b/>
            <sz val="9"/>
            <color indexed="81"/>
            <rFont val="Tahoma"/>
            <family val="2"/>
          </rPr>
          <t xml:space="preserve">x2: </t>
        </r>
        <r>
          <rPr>
            <b/>
            <sz val="9"/>
            <color indexed="81"/>
            <rFont val="細明體"/>
            <family val="3"/>
            <charset val="136"/>
          </rPr>
          <t xml:space="preserve">英文，數學，化學，物理，生物，組合科學
</t>
        </r>
        <r>
          <rPr>
            <sz val="9"/>
            <color indexed="81"/>
            <rFont val="Tahoma"/>
            <family val="2"/>
          </rPr>
          <t xml:space="preserve">
</t>
        </r>
      </text>
    </comment>
    <comment ref="E68" authorId="0" shapeId="0" xr:uid="{00000000-0006-0000-0000-000020000000}">
      <text>
        <r>
          <rPr>
            <b/>
            <sz val="9"/>
            <color indexed="81"/>
            <rFont val="Tahoma"/>
            <family val="2"/>
          </rPr>
          <t xml:space="preserve">x2: </t>
        </r>
        <r>
          <rPr>
            <b/>
            <sz val="9"/>
            <color indexed="81"/>
            <rFont val="細明體"/>
            <family val="3"/>
            <charset val="136"/>
          </rPr>
          <t xml:space="preserve">英文，物理，化學，生物，組合科學，
</t>
        </r>
        <r>
          <rPr>
            <b/>
            <sz val="9"/>
            <color indexed="81"/>
            <rFont val="Tahoma"/>
            <family val="2"/>
          </rPr>
          <t xml:space="preserve">x1.5: </t>
        </r>
        <r>
          <rPr>
            <b/>
            <sz val="9"/>
            <color indexed="81"/>
            <rFont val="細明體"/>
            <family val="3"/>
            <charset val="136"/>
          </rPr>
          <t>數學，</t>
        </r>
        <r>
          <rPr>
            <b/>
            <sz val="9"/>
            <color indexed="81"/>
            <rFont val="Tahoma"/>
            <family val="2"/>
          </rPr>
          <t>BAFS</t>
        </r>
        <r>
          <rPr>
            <b/>
            <sz val="9"/>
            <color indexed="81"/>
            <rFont val="細明體"/>
            <family val="3"/>
            <charset val="136"/>
          </rPr>
          <t>，</t>
        </r>
        <r>
          <rPr>
            <b/>
            <sz val="9"/>
            <color indexed="81"/>
            <rFont val="Tahoma"/>
            <family val="2"/>
          </rPr>
          <t>ICT</t>
        </r>
        <r>
          <rPr>
            <b/>
            <sz val="9"/>
            <color indexed="81"/>
            <rFont val="細明體"/>
            <family val="3"/>
            <charset val="136"/>
          </rPr>
          <t>，</t>
        </r>
        <r>
          <rPr>
            <b/>
            <sz val="9"/>
            <color indexed="81"/>
            <rFont val="Tahoma"/>
            <family val="2"/>
          </rPr>
          <t>DAT</t>
        </r>
        <r>
          <rPr>
            <b/>
            <sz val="9"/>
            <color indexed="81"/>
            <rFont val="細明體"/>
            <family val="3"/>
            <charset val="136"/>
          </rPr>
          <t>，</t>
        </r>
        <r>
          <rPr>
            <b/>
            <sz val="9"/>
            <color indexed="81"/>
            <rFont val="Tahoma"/>
            <family val="2"/>
          </rPr>
          <t>M1/2</t>
        </r>
        <r>
          <rPr>
            <b/>
            <sz val="9"/>
            <color indexed="81"/>
            <rFont val="細明體"/>
            <family val="3"/>
            <charset val="136"/>
          </rPr>
          <t>，綜合科學</t>
        </r>
        <r>
          <rPr>
            <sz val="9"/>
            <color indexed="81"/>
            <rFont val="Tahoma"/>
            <family val="2"/>
          </rPr>
          <t xml:space="preserve">
</t>
        </r>
      </text>
    </comment>
    <comment ref="E69" authorId="0" shapeId="0" xr:uid="{00000000-0006-0000-0000-000021000000}">
      <text>
        <r>
          <rPr>
            <b/>
            <sz val="9"/>
            <color indexed="81"/>
            <rFont val="Tahoma"/>
            <family val="2"/>
          </rPr>
          <t xml:space="preserve">x2: </t>
        </r>
        <r>
          <rPr>
            <b/>
            <sz val="9"/>
            <color indexed="81"/>
            <rFont val="細明體"/>
            <family val="3"/>
            <charset val="136"/>
          </rPr>
          <t xml:space="preserve">英文，物理，化學，生物，組合科學，
</t>
        </r>
        <r>
          <rPr>
            <b/>
            <sz val="9"/>
            <color indexed="81"/>
            <rFont val="Tahoma"/>
            <family val="2"/>
          </rPr>
          <t xml:space="preserve">x1.5: </t>
        </r>
        <r>
          <rPr>
            <b/>
            <sz val="9"/>
            <color indexed="81"/>
            <rFont val="細明體"/>
            <family val="3"/>
            <charset val="136"/>
          </rPr>
          <t>數學，</t>
        </r>
        <r>
          <rPr>
            <b/>
            <sz val="9"/>
            <color indexed="81"/>
            <rFont val="Tahoma"/>
            <family val="2"/>
          </rPr>
          <t>BAFS</t>
        </r>
        <r>
          <rPr>
            <b/>
            <sz val="9"/>
            <color indexed="81"/>
            <rFont val="細明體"/>
            <family val="3"/>
            <charset val="136"/>
          </rPr>
          <t>，</t>
        </r>
        <r>
          <rPr>
            <b/>
            <sz val="9"/>
            <color indexed="81"/>
            <rFont val="Tahoma"/>
            <family val="2"/>
          </rPr>
          <t>ICT</t>
        </r>
        <r>
          <rPr>
            <b/>
            <sz val="9"/>
            <color indexed="81"/>
            <rFont val="細明體"/>
            <family val="3"/>
            <charset val="136"/>
          </rPr>
          <t>，</t>
        </r>
        <r>
          <rPr>
            <b/>
            <sz val="9"/>
            <color indexed="81"/>
            <rFont val="Tahoma"/>
            <family val="2"/>
          </rPr>
          <t>DAT</t>
        </r>
        <r>
          <rPr>
            <b/>
            <sz val="9"/>
            <color indexed="81"/>
            <rFont val="細明體"/>
            <family val="3"/>
            <charset val="136"/>
          </rPr>
          <t>，</t>
        </r>
        <r>
          <rPr>
            <b/>
            <sz val="9"/>
            <color indexed="81"/>
            <rFont val="Tahoma"/>
            <family val="2"/>
          </rPr>
          <t>M1/2</t>
        </r>
        <r>
          <rPr>
            <b/>
            <sz val="9"/>
            <color indexed="81"/>
            <rFont val="細明體"/>
            <family val="3"/>
            <charset val="136"/>
          </rPr>
          <t>，綜合科學</t>
        </r>
        <r>
          <rPr>
            <sz val="9"/>
            <color indexed="81"/>
            <rFont val="Tahoma"/>
            <family val="2"/>
          </rPr>
          <t xml:space="preserve">
</t>
        </r>
      </text>
    </comment>
    <comment ref="E70" authorId="0" shapeId="0" xr:uid="{00000000-0006-0000-0000-000022000000}">
      <text>
        <r>
          <rPr>
            <b/>
            <sz val="9"/>
            <color indexed="81"/>
            <rFont val="Tahoma"/>
            <family val="2"/>
          </rPr>
          <t xml:space="preserve">x2: </t>
        </r>
        <r>
          <rPr>
            <b/>
            <sz val="9"/>
            <color indexed="81"/>
            <rFont val="細明體"/>
            <family val="3"/>
            <charset val="136"/>
          </rPr>
          <t xml:space="preserve">英文，物理，化學，生物，組合科學，
</t>
        </r>
        <r>
          <rPr>
            <b/>
            <sz val="9"/>
            <color indexed="81"/>
            <rFont val="Tahoma"/>
            <family val="2"/>
          </rPr>
          <t xml:space="preserve">x1.5: </t>
        </r>
        <r>
          <rPr>
            <b/>
            <sz val="9"/>
            <color indexed="81"/>
            <rFont val="細明體"/>
            <family val="3"/>
            <charset val="136"/>
          </rPr>
          <t>數學，</t>
        </r>
        <r>
          <rPr>
            <b/>
            <sz val="9"/>
            <color indexed="81"/>
            <rFont val="Tahoma"/>
            <family val="2"/>
          </rPr>
          <t>BAFS</t>
        </r>
        <r>
          <rPr>
            <b/>
            <sz val="9"/>
            <color indexed="81"/>
            <rFont val="細明體"/>
            <family val="3"/>
            <charset val="136"/>
          </rPr>
          <t>，</t>
        </r>
        <r>
          <rPr>
            <b/>
            <sz val="9"/>
            <color indexed="81"/>
            <rFont val="Tahoma"/>
            <family val="2"/>
          </rPr>
          <t>ICT</t>
        </r>
        <r>
          <rPr>
            <b/>
            <sz val="9"/>
            <color indexed="81"/>
            <rFont val="細明體"/>
            <family val="3"/>
            <charset val="136"/>
          </rPr>
          <t>，</t>
        </r>
        <r>
          <rPr>
            <b/>
            <sz val="9"/>
            <color indexed="81"/>
            <rFont val="Tahoma"/>
            <family val="2"/>
          </rPr>
          <t>DAT</t>
        </r>
        <r>
          <rPr>
            <b/>
            <sz val="9"/>
            <color indexed="81"/>
            <rFont val="細明體"/>
            <family val="3"/>
            <charset val="136"/>
          </rPr>
          <t>，</t>
        </r>
        <r>
          <rPr>
            <b/>
            <sz val="9"/>
            <color indexed="81"/>
            <rFont val="Tahoma"/>
            <family val="2"/>
          </rPr>
          <t>M1/2</t>
        </r>
        <r>
          <rPr>
            <b/>
            <sz val="9"/>
            <color indexed="81"/>
            <rFont val="細明體"/>
            <family val="3"/>
            <charset val="136"/>
          </rPr>
          <t>，綜合科學</t>
        </r>
        <r>
          <rPr>
            <sz val="9"/>
            <color indexed="81"/>
            <rFont val="Tahoma"/>
            <family val="2"/>
          </rPr>
          <t xml:space="preserve">
</t>
        </r>
      </text>
    </comment>
    <comment ref="E85" authorId="0" shapeId="0" xr:uid="{00000000-0006-0000-0000-000023000000}">
      <text>
        <r>
          <rPr>
            <b/>
            <sz val="9"/>
            <color indexed="81"/>
            <rFont val="Tahoma"/>
            <family val="2"/>
          </rPr>
          <t>x2:</t>
        </r>
        <r>
          <rPr>
            <b/>
            <sz val="9"/>
            <color indexed="81"/>
            <rFont val="細明體"/>
            <family val="3"/>
            <charset val="136"/>
          </rPr>
          <t xml:space="preserve">
</t>
        </r>
        <r>
          <rPr>
            <sz val="9"/>
            <color indexed="81"/>
            <rFont val="細明體"/>
            <family val="3"/>
            <charset val="136"/>
          </rPr>
          <t>英文、英語文學</t>
        </r>
        <r>
          <rPr>
            <b/>
            <sz val="9"/>
            <color indexed="81"/>
            <rFont val="細明體"/>
            <family val="3"/>
            <charset val="136"/>
          </rPr>
          <t xml:space="preserve">
</t>
        </r>
        <r>
          <rPr>
            <b/>
            <sz val="9"/>
            <color indexed="81"/>
            <rFont val="Tahoma"/>
            <family val="2"/>
          </rPr>
          <t xml:space="preserve">
x1.5:
</t>
        </r>
        <r>
          <rPr>
            <sz val="9"/>
            <color indexed="81"/>
            <rFont val="細明體"/>
            <family val="3"/>
            <charset val="136"/>
          </rPr>
          <t>中文、中國文學、通識、數學</t>
        </r>
      </text>
    </comment>
    <comment ref="E87" authorId="0" shapeId="0" xr:uid="{00000000-0006-0000-0000-000024000000}">
      <text>
        <r>
          <rPr>
            <b/>
            <sz val="9"/>
            <color indexed="81"/>
            <rFont val="Tahoma"/>
            <family val="2"/>
          </rPr>
          <t xml:space="preserve">x1.5:
英文 
</t>
        </r>
      </text>
    </comment>
    <comment ref="E88" authorId="0" shapeId="0" xr:uid="{00000000-0006-0000-0000-000025000000}">
      <text>
        <r>
          <rPr>
            <b/>
            <sz val="9"/>
            <color indexed="81"/>
            <rFont val="Tahoma"/>
            <family val="2"/>
          </rPr>
          <t xml:space="preserve">x1.5:
英文 
</t>
        </r>
      </text>
    </comment>
    <comment ref="E89" authorId="0" shapeId="0" xr:uid="{00000000-0006-0000-0000-000026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0" authorId="0" shapeId="0" xr:uid="{00000000-0006-0000-0000-000027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1" authorId="0" shapeId="0" xr:uid="{00000000-0006-0000-0000-000028000000}">
      <text>
        <r>
          <rPr>
            <b/>
            <sz val="9"/>
            <color indexed="81"/>
            <rFont val="Tahoma"/>
            <family val="2"/>
          </rPr>
          <t>Best 5 (</t>
        </r>
        <r>
          <rPr>
            <b/>
            <sz val="9"/>
            <color indexed="81"/>
            <rFont val="細明體"/>
            <family val="3"/>
            <charset val="136"/>
          </rPr>
          <t>包括英文</t>
        </r>
        <r>
          <rPr>
            <b/>
            <sz val="9"/>
            <color indexed="81"/>
            <rFont val="Tahoma"/>
            <family val="2"/>
          </rPr>
          <t>)</t>
        </r>
        <r>
          <rPr>
            <sz val="9"/>
            <color indexed="81"/>
            <rFont val="Tahoma"/>
            <family val="2"/>
          </rPr>
          <t xml:space="preserve">
</t>
        </r>
      </text>
    </comment>
    <comment ref="E92" authorId="0" shapeId="0" xr:uid="{00000000-0006-0000-0000-000029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3" authorId="0" shapeId="0" xr:uid="{00000000-0006-0000-0000-00002A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4" authorId="0" shapeId="0" xr:uid="{00000000-0006-0000-0000-00002B000000}">
      <text>
        <r>
          <rPr>
            <b/>
            <sz val="9"/>
            <color indexed="81"/>
            <rFont val="Tahoma"/>
            <family val="2"/>
          </rPr>
          <t xml:space="preserve">x1.5: </t>
        </r>
        <r>
          <rPr>
            <sz val="9"/>
            <color indexed="81"/>
            <rFont val="細明體"/>
            <family val="3"/>
            <charset val="136"/>
          </rPr>
          <t>中文、英文、生物</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中史、中國文學、化學、組合科學、數學、物理</t>
        </r>
      </text>
    </comment>
    <comment ref="E95" authorId="0" shapeId="0" xr:uid="{00000000-0006-0000-0000-00002C000000}">
      <text>
        <r>
          <rPr>
            <b/>
            <sz val="9"/>
            <color indexed="81"/>
            <rFont val="Tahoma"/>
            <family val="2"/>
          </rPr>
          <t xml:space="preserve">x1.5: </t>
        </r>
        <r>
          <rPr>
            <sz val="9"/>
            <color indexed="81"/>
            <rFont val="細明體"/>
            <family val="3"/>
            <charset val="136"/>
          </rPr>
          <t>中文、英文、化學</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生物、中國文學、組合科學、數學、物理</t>
        </r>
      </text>
    </comment>
    <comment ref="E96" authorId="1" shapeId="0" xr:uid="{00000000-0006-0000-0000-00002D000000}">
      <text>
        <r>
          <rPr>
            <b/>
            <sz val="9"/>
            <color indexed="81"/>
            <rFont val="Tahoma"/>
            <family val="2"/>
          </rPr>
          <t>2021年將以4C2X收生
此處仍以Best 6作估算，請注意</t>
        </r>
      </text>
    </comment>
    <comment ref="E97" authorId="0" shapeId="0" xr:uid="{00000000-0006-0000-0000-00002E000000}">
      <text>
        <r>
          <rPr>
            <b/>
            <sz val="9"/>
            <color indexed="81"/>
            <rFont val="Tahoma"/>
            <family val="2"/>
          </rPr>
          <t xml:space="preserve">x2:
英文 
</t>
        </r>
      </text>
    </comment>
    <comment ref="E148" authorId="0" shapeId="0" xr:uid="{00000000-0006-0000-0000-000035000000}">
      <text>
        <r>
          <rPr>
            <b/>
            <sz val="9"/>
            <color indexed="81"/>
            <rFont val="Tahoma"/>
            <family val="2"/>
          </rPr>
          <t xml:space="preserve">Chinese with heavier weighting
</t>
        </r>
      </text>
    </comment>
    <comment ref="E151" authorId="0" shapeId="0" xr:uid="{00000000-0006-0000-0000-000036000000}">
      <text>
        <r>
          <rPr>
            <b/>
            <sz val="9"/>
            <color indexed="81"/>
            <rFont val="Tahoma"/>
            <family val="2"/>
          </rPr>
          <t>Literature in English is preferred
English with heavier weighting</t>
        </r>
      </text>
    </comment>
    <comment ref="E152" authorId="0" shapeId="0" xr:uid="{00000000-0006-0000-0000-000037000000}">
      <text>
        <r>
          <rPr>
            <b/>
            <sz val="9"/>
            <color indexed="81"/>
            <rFont val="Tahoma"/>
            <family val="2"/>
          </rPr>
          <t>Visual Arts is preferred</t>
        </r>
        <r>
          <rPr>
            <sz val="9"/>
            <color indexed="81"/>
            <rFont val="Tahoma"/>
            <family val="2"/>
          </rPr>
          <t xml:space="preserve">
</t>
        </r>
      </text>
    </comment>
    <comment ref="E156" authorId="0" shapeId="0" xr:uid="{00000000-0006-0000-0000-000038000000}">
      <text>
        <r>
          <rPr>
            <b/>
            <sz val="9"/>
            <color indexed="81"/>
            <rFont val="Tahoma"/>
            <family val="2"/>
          </rPr>
          <t xml:space="preserve">Music is preferred
</t>
        </r>
      </text>
    </comment>
    <comment ref="E157" authorId="0" shapeId="0" xr:uid="{00000000-0006-0000-0000-000039000000}">
      <text>
        <r>
          <rPr>
            <b/>
            <sz val="9"/>
            <color indexed="81"/>
            <rFont val="Tahoma"/>
            <family val="2"/>
          </rPr>
          <t>English and Chinese must be included</t>
        </r>
      </text>
    </comment>
    <comment ref="E161" authorId="0" shapeId="0" xr:uid="{00000000-0006-0000-0000-00003A000000}">
      <text>
        <r>
          <rPr>
            <b/>
            <sz val="9"/>
            <color indexed="81"/>
            <rFont val="Tahoma"/>
            <family val="2"/>
          </rPr>
          <t>(a) English Language at Level 4 or above is preferred</t>
        </r>
      </text>
    </comment>
    <comment ref="E174" authorId="0" shapeId="0" xr:uid="{00000000-0006-0000-0000-00003B000000}">
      <text>
        <r>
          <rPr>
            <b/>
            <sz val="9"/>
            <color indexed="81"/>
            <rFont val="細明體"/>
            <family val="3"/>
            <charset val="136"/>
          </rPr>
          <t>中文、英文</t>
        </r>
        <r>
          <rPr>
            <b/>
            <sz val="9"/>
            <color indexed="81"/>
            <rFont val="Tahoma"/>
            <family val="2"/>
          </rPr>
          <t xml:space="preserve"> x 1.2, </t>
        </r>
        <r>
          <rPr>
            <b/>
            <sz val="9"/>
            <color indexed="81"/>
            <rFont val="細明體"/>
            <family val="3"/>
            <charset val="136"/>
          </rPr>
          <t>數學、</t>
        </r>
        <r>
          <rPr>
            <b/>
            <sz val="9"/>
            <color indexed="81"/>
            <rFont val="Tahoma"/>
            <family val="2"/>
          </rPr>
          <t>M1/2 x 1.5</t>
        </r>
      </text>
    </comment>
    <comment ref="E176" authorId="0" shapeId="0" xr:uid="{00000000-0006-0000-0000-00003C000000}">
      <text>
        <r>
          <rPr>
            <b/>
            <sz val="9"/>
            <color indexed="81"/>
            <rFont val="Tahoma"/>
            <family val="2"/>
          </rPr>
          <t>Mathematics (x 1.5)
• M1 or M2 (x 1.75)
• Biology, Chemistry, Combined Science, DAT, ICT, Physics (x 1.5)
• Liberal Studies (x 0.5)</t>
        </r>
        <r>
          <rPr>
            <sz val="9"/>
            <color indexed="81"/>
            <rFont val="Tahoma"/>
            <family val="2"/>
          </rPr>
          <t xml:space="preserve">
</t>
        </r>
      </text>
    </comment>
    <comment ref="E181" authorId="0" shapeId="0" xr:uid="{00000000-0006-0000-0000-00003D000000}">
      <text>
        <r>
          <rPr>
            <b/>
            <sz val="9"/>
            <color indexed="81"/>
            <rFont val="Tahoma"/>
            <family val="2"/>
          </rPr>
          <t>The following subjects are preferred:
• M1/M2
• Biology
• Chemistry
• Combined Science
• ICT
• Physics
^ Candidates with Level 4 in Mathematics (Compulsory Part) and good results in other HKDSE subjects will be exceptionally considered on a case by case basis.</t>
        </r>
        <r>
          <rPr>
            <sz val="9"/>
            <color indexed="81"/>
            <rFont val="Tahoma"/>
            <family val="2"/>
          </rPr>
          <t xml:space="preserve">
</t>
        </r>
      </text>
    </comment>
    <comment ref="E184" authorId="0" shapeId="0" xr:uid="{00000000-0006-0000-0000-00003E000000}">
      <text>
        <r>
          <rPr>
            <b/>
            <sz val="9"/>
            <color indexed="81"/>
            <rFont val="Tahoma"/>
            <family val="2"/>
          </rPr>
          <t>Subjects with heavier weighting:
• Biology, Chemistry, Combined Science, Integrated Science, Physics</t>
        </r>
      </text>
    </comment>
    <comment ref="E187" authorId="0" shapeId="0" xr:uid="{00000000-0006-0000-0000-00003F000000}">
      <text>
        <r>
          <rPr>
            <b/>
            <sz val="9"/>
            <color indexed="81"/>
            <rFont val="Tahoma"/>
            <family val="2"/>
          </rPr>
          <t>Preferred subjects for one of the two electives:
• Biology
• Chemistry
• Combined Science
• Integrated Science
• Physics</t>
        </r>
      </text>
    </comment>
    <comment ref="E189" authorId="0" shapeId="0" xr:uid="{00000000-0006-0000-0000-000040000000}">
      <text>
        <r>
          <rPr>
            <sz val="9"/>
            <color indexed="81"/>
            <rFont val="Tahoma"/>
            <family val="2"/>
          </rPr>
          <t>(a) Category A subjects only
(b) Preferred subjects:
• M1/M2
• Biology
• Chemistry
• Combined Science
• Economics
• Geography
• ICT
• Integrated Science
• Physics
• Tech and Living (FST)</t>
        </r>
      </text>
    </comment>
    <comment ref="E190" authorId="0" shapeId="0" xr:uid="{00000000-0006-0000-0000-000041000000}">
      <text>
        <r>
          <rPr>
            <b/>
            <sz val="9"/>
            <color indexed="81"/>
            <rFont val="Tahoma"/>
            <family val="2"/>
          </rPr>
          <t>Subjects with heavier weighting:
• English
• Mathematics
• M1 or M2
• Biology, Chemistry, Combined Science, Geography, Integrated Science, Physics</t>
        </r>
      </text>
    </comment>
    <comment ref="E191" authorId="0" shapeId="0" xr:uid="{00000000-0006-0000-0000-000042000000}">
      <text>
        <r>
          <rPr>
            <b/>
            <sz val="9"/>
            <color indexed="81"/>
            <rFont val="Tahoma"/>
            <family val="2"/>
          </rPr>
          <t>The programme places much heavier emphasis on M1 or M2</t>
        </r>
        <r>
          <rPr>
            <sz val="9"/>
            <color indexed="81"/>
            <rFont val="Tahoma"/>
            <family val="2"/>
          </rPr>
          <t xml:space="preserve">
</t>
        </r>
      </text>
    </comment>
    <comment ref="E192" authorId="0" shapeId="0" xr:uid="{00000000-0006-0000-0000-000043000000}">
      <text>
        <r>
          <rPr>
            <b/>
            <sz val="9"/>
            <color indexed="81"/>
            <rFont val="Tahoma"/>
            <family val="2"/>
          </rPr>
          <t>Subjects with heavier weighting:
• Mathematics
• M1 or M2
• Physics</t>
        </r>
        <r>
          <rPr>
            <sz val="9"/>
            <color indexed="81"/>
            <rFont val="Tahoma"/>
            <family val="2"/>
          </rPr>
          <t xml:space="preserve">
</t>
        </r>
      </text>
    </comment>
    <comment ref="E217" authorId="0" shapeId="0" xr:uid="{00000000-0006-0000-0000-000044000000}">
      <text>
        <r>
          <rPr>
            <b/>
            <sz val="9"/>
            <color indexed="81"/>
            <rFont val="細明體"/>
            <family val="3"/>
            <charset val="136"/>
          </rPr>
          <t>英文</t>
        </r>
        <r>
          <rPr>
            <b/>
            <sz val="9"/>
            <color indexed="81"/>
            <rFont val="Tahoma"/>
            <family val="2"/>
          </rPr>
          <t xml:space="preserve"> x1 </t>
        </r>
        <r>
          <rPr>
            <b/>
            <sz val="9"/>
            <color indexed="81"/>
            <rFont val="細明體"/>
            <family val="3"/>
            <charset val="136"/>
          </rPr>
          <t>數學</t>
        </r>
        <r>
          <rPr>
            <b/>
            <sz val="9"/>
            <color indexed="81"/>
            <rFont val="Tahoma"/>
            <family val="2"/>
          </rPr>
          <t xml:space="preserve"> x1
+</t>
        </r>
        <r>
          <rPr>
            <b/>
            <sz val="9"/>
            <color indexed="81"/>
            <rFont val="細明體"/>
            <family val="3"/>
            <charset val="136"/>
          </rPr>
          <t xml:space="preserve">
最佳兩科</t>
        </r>
        <r>
          <rPr>
            <b/>
            <sz val="9"/>
            <color indexed="81"/>
            <rFont val="Tahoma"/>
            <family val="2"/>
          </rPr>
          <t xml:space="preserve"> x1
(</t>
        </r>
        <r>
          <rPr>
            <sz val="9"/>
            <color indexed="81"/>
            <rFont val="Tahoma"/>
            <family val="2"/>
          </rPr>
          <t xml:space="preserve">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
</t>
        </r>
        <r>
          <rPr>
            <b/>
            <sz val="9"/>
            <color indexed="81"/>
            <rFont val="細明體"/>
            <family val="3"/>
            <charset val="136"/>
          </rPr>
          <t>最佳一科</t>
        </r>
        <r>
          <rPr>
            <b/>
            <sz val="9"/>
            <color indexed="81"/>
            <rFont val="Tahoma"/>
            <family val="2"/>
          </rPr>
          <t xml:space="preserve"> x1</t>
        </r>
        <r>
          <rPr>
            <sz val="9"/>
            <color indexed="81"/>
            <rFont val="Tahoma"/>
            <family val="2"/>
          </rPr>
          <t xml:space="preserve">
</t>
        </r>
      </text>
    </comment>
    <comment ref="E218" authorId="0" shapeId="0" xr:uid="{00000000-0006-0000-0000-000045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(M1/2/ </t>
        </r>
        <r>
          <rPr>
            <sz val="9"/>
            <color indexed="81"/>
            <rFont val="細明體"/>
            <family val="3"/>
            <charset val="136"/>
          </rPr>
          <t>物理</t>
        </r>
        <r>
          <rPr>
            <sz val="9"/>
            <color indexed="81"/>
            <rFont val="Tahoma"/>
            <family val="2"/>
          </rPr>
          <t>) x2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x1.5</t>
        </r>
      </text>
    </comment>
    <comment ref="E219" authorId="0" shapeId="0" xr:uid="{00000000-0006-0000-0000-000046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t>
        </r>
        <r>
          <rPr>
            <sz val="9"/>
            <color indexed="81"/>
            <rFont val="細明體"/>
            <family val="3"/>
            <charset val="136"/>
          </rPr>
          <t xml:space="preserve">
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x2
(M1/2 /</t>
        </r>
        <r>
          <rPr>
            <sz val="9"/>
            <color indexed="81"/>
            <rFont val="細明體"/>
            <family val="3"/>
            <charset val="136"/>
          </rPr>
          <t>物理</t>
        </r>
        <r>
          <rPr>
            <sz val="9"/>
            <color indexed="81"/>
            <rFont val="Tahoma"/>
            <family val="2"/>
          </rPr>
          <t>/</t>
        </r>
        <r>
          <rPr>
            <sz val="9"/>
            <color indexed="81"/>
            <rFont val="細明體"/>
            <family val="3"/>
            <charset val="136"/>
          </rPr>
          <t>組合科學</t>
        </r>
        <r>
          <rPr>
            <sz val="9"/>
            <color indexed="81"/>
            <rFont val="Tahoma"/>
            <family val="2"/>
          </rPr>
          <t>) x1</t>
        </r>
      </text>
    </comment>
    <comment ref="E220" authorId="0" shapeId="0" xr:uid="{00000000-0006-0000-0000-000047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(M1/2/ </t>
        </r>
        <r>
          <rPr>
            <sz val="9"/>
            <color indexed="81"/>
            <rFont val="細明體"/>
            <family val="3"/>
            <charset val="136"/>
          </rPr>
          <t>物理</t>
        </r>
        <r>
          <rPr>
            <sz val="9"/>
            <color indexed="81"/>
            <rFont val="Tahoma"/>
            <family val="2"/>
          </rPr>
          <t>) x2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x1.5</t>
        </r>
      </text>
    </comment>
    <comment ref="E221" authorId="0" shapeId="0" xr:uid="{00000000-0006-0000-0000-000048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E222" authorId="0" shapeId="0" xr:uid="{00000000-0006-0000-0000-000049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/DAT)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t>
        </r>
      </text>
    </comment>
    <comment ref="E223" authorId="0" shapeId="0" xr:uid="{00000000-0006-0000-0000-00004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E224" authorId="0" shapeId="0" xr:uid="{00000000-0006-0000-0000-00004B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25" authorId="0" shapeId="0" xr:uid="{00000000-0006-0000-0000-00004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26" authorId="0" shapeId="0" xr:uid="{00000000-0006-0000-0000-00004D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E227" authorId="0" shapeId="0" xr:uid="{00000000-0006-0000-0000-00004E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28" authorId="0" shapeId="0" xr:uid="{00000000-0006-0000-0000-00004F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29" authorId="0" shapeId="0" xr:uid="{00000000-0006-0000-0000-00005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30" authorId="0" shapeId="0" xr:uid="{00000000-0006-0000-0000-000051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31" authorId="0" shapeId="0" xr:uid="{00000000-0006-0000-0000-000052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32" authorId="0" shapeId="0" xr:uid="{00000000-0006-0000-0000-00005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E233" authorId="0" shapeId="0" xr:uid="{00000000-0006-0000-0000-000054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E234" authorId="0" shapeId="0" xr:uid="{00000000-0006-0000-0000-000055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E235" authorId="0" shapeId="0" xr:uid="{00000000-0006-0000-0000-000056000000}">
      <text>
        <r>
          <rPr>
            <sz val="9"/>
            <color indexed="81"/>
            <rFont val="細明體"/>
            <family val="3"/>
            <charset val="136"/>
          </rPr>
          <t>英文</t>
        </r>
        <r>
          <rPr>
            <sz val="9"/>
            <color indexed="81"/>
            <rFont val="Tahoma"/>
            <family val="2"/>
          </rPr>
          <t xml:space="preserve"> x2 </t>
        </r>
        <r>
          <rPr>
            <sz val="9"/>
            <color indexed="81"/>
            <rFont val="細明體"/>
            <family val="3"/>
            <charset val="136"/>
          </rPr>
          <t>中文</t>
        </r>
        <r>
          <rPr>
            <sz val="9"/>
            <color indexed="81"/>
            <rFont val="Tahoma"/>
            <family val="2"/>
          </rPr>
          <t xml:space="preserve"> x1.5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E236" authorId="0" shapeId="0" xr:uid="{00000000-0006-0000-0000-000057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E237" authorId="0" shapeId="0" xr:uid="{00000000-0006-0000-0000-000058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最佳下列理科</t>
        </r>
        <r>
          <rPr>
            <sz val="9"/>
            <color indexed="81"/>
            <rFont val="Tahoma"/>
            <family val="2"/>
          </rPr>
          <t xml:space="preserve"> x1.5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t>
        </r>
      </text>
    </comment>
    <comment ref="E238" authorId="0" shapeId="0" xr:uid="{00000000-0006-0000-0000-000059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E239" authorId="0" shapeId="0" xr:uid="{00000000-0006-0000-0000-00005A000000}">
      <text>
        <r>
          <rPr>
            <b/>
            <sz val="9"/>
            <color indexed="81"/>
            <rFont val="細明體"/>
            <family val="3"/>
            <charset val="136"/>
          </rPr>
          <t>英文</t>
        </r>
        <r>
          <rPr>
            <b/>
            <sz val="9"/>
            <color indexed="81"/>
            <rFont val="Tahoma"/>
            <family val="2"/>
          </rPr>
          <t xml:space="preserve"> x2 </t>
        </r>
        <r>
          <rPr>
            <b/>
            <sz val="9"/>
            <color indexed="81"/>
            <rFont val="細明體"/>
            <family val="3"/>
            <charset val="136"/>
          </rPr>
          <t>數學</t>
        </r>
        <r>
          <rPr>
            <b/>
            <sz val="9"/>
            <color indexed="81"/>
            <rFont val="Tahoma"/>
            <family val="2"/>
          </rPr>
          <t xml:space="preserve"> x2</t>
        </r>
        <r>
          <rPr>
            <sz val="9"/>
            <color indexed="81"/>
            <rFont val="Tahoma"/>
            <family val="2"/>
          </rPr>
          <t xml:space="preserve">
+
</t>
        </r>
        <r>
          <rPr>
            <b/>
            <sz val="9"/>
            <color indexed="81"/>
            <rFont val="Tahoma"/>
            <family val="2"/>
          </rPr>
          <t>M1/2 x 2</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最佳下列科目</t>
        </r>
        <r>
          <rPr>
            <b/>
            <sz val="9"/>
            <color indexed="81"/>
            <rFont val="Tahoma"/>
            <family val="2"/>
          </rPr>
          <t xml:space="preserve"> x1.5</t>
        </r>
        <r>
          <rPr>
            <sz val="9"/>
            <color indexed="81"/>
            <rFont val="Tahoma"/>
            <family val="2"/>
          </rPr>
          <t xml:space="preserve">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t>
        </r>
        <r>
          <rPr>
            <sz val="9"/>
            <color indexed="81"/>
            <rFont val="細明體"/>
            <family val="3"/>
            <charset val="136"/>
          </rPr>
          <t>物理</t>
        </r>
        <r>
          <rPr>
            <sz val="9"/>
            <color indexed="81"/>
            <rFont val="Tahoma"/>
            <family val="2"/>
          </rPr>
          <t>/</t>
        </r>
        <r>
          <rPr>
            <sz val="9"/>
            <color indexed="81"/>
            <rFont val="細明體"/>
            <family val="3"/>
            <charset val="136"/>
          </rPr>
          <t>組合科學</t>
        </r>
        <r>
          <rPr>
            <sz val="9"/>
            <color indexed="81"/>
            <rFont val="Tahoma"/>
            <family val="2"/>
          </rPr>
          <t>/</t>
        </r>
        <r>
          <rPr>
            <sz val="9"/>
            <color indexed="81"/>
            <rFont val="細明體"/>
            <family val="3"/>
            <charset val="136"/>
          </rPr>
          <t>綜合科學</t>
        </r>
        <r>
          <rPr>
            <sz val="9"/>
            <color indexed="81"/>
            <rFont val="Tahoma"/>
            <family val="2"/>
          </rPr>
          <t>/</t>
        </r>
        <r>
          <rPr>
            <sz val="9"/>
            <color indexed="81"/>
            <rFont val="細明體"/>
            <family val="3"/>
            <charset val="136"/>
          </rPr>
          <t>經濟</t>
        </r>
        <r>
          <rPr>
            <sz val="9"/>
            <color indexed="81"/>
            <rFont val="Tahoma"/>
            <family val="2"/>
          </rPr>
          <t xml:space="preserve">)
+
</t>
        </r>
        <r>
          <rPr>
            <b/>
            <sz val="9"/>
            <color indexed="81"/>
            <rFont val="細明體"/>
            <family val="3"/>
            <charset val="136"/>
          </rPr>
          <t>最佳</t>
        </r>
        <r>
          <rPr>
            <b/>
            <sz val="9"/>
            <color indexed="81"/>
            <rFont val="Tahoma"/>
            <family val="2"/>
          </rPr>
          <t>3</t>
        </r>
        <r>
          <rPr>
            <b/>
            <sz val="9"/>
            <color indexed="81"/>
            <rFont val="細明體"/>
            <family val="3"/>
            <charset val="136"/>
          </rPr>
          <t>科</t>
        </r>
        <r>
          <rPr>
            <b/>
            <sz val="9"/>
            <color indexed="81"/>
            <rFont val="Tahoma"/>
            <family val="2"/>
          </rPr>
          <t xml:space="preserve"> x1</t>
        </r>
        <r>
          <rPr>
            <sz val="9"/>
            <color indexed="81"/>
            <rFont val="Tahoma"/>
            <family val="2"/>
          </rPr>
          <t xml:space="preserve">
</t>
        </r>
      </text>
    </comment>
    <comment ref="E240" authorId="0" shapeId="0" xr:uid="{00000000-0006-0000-0000-00005B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E241" authorId="0" shapeId="0" xr:uid="{00000000-0006-0000-0000-00005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(M1/2 x1.5)
</t>
        </r>
      </text>
    </comment>
    <comment ref="E246" authorId="2" shapeId="0" xr:uid="{00000000-0006-0000-0000-00005E000000}">
      <text>
        <r>
          <rPr>
            <sz val="9"/>
            <color indexed="81"/>
            <rFont val="Tahoma"/>
            <family val="2"/>
          </rPr>
          <t xml:space="preserve">Consideration of both Category A and C subjects, </t>
        </r>
        <r>
          <rPr>
            <b/>
            <sz val="9"/>
            <color indexed="81"/>
            <rFont val="Tahoma"/>
            <family val="2"/>
          </rPr>
          <t>excluding M1/M2.</t>
        </r>
      </text>
    </comment>
    <comment ref="E247" authorId="2" shapeId="0" xr:uid="{00000000-0006-0000-0000-00005F000000}">
      <text>
        <r>
          <rPr>
            <sz val="9"/>
            <color indexed="81"/>
            <rFont val="Tahoma"/>
            <family val="2"/>
          </rPr>
          <t>Consideration of both Category A and C subjects,</t>
        </r>
        <r>
          <rPr>
            <b/>
            <sz val="9"/>
            <color indexed="81"/>
            <rFont val="Tahoma"/>
            <family val="2"/>
          </rPr>
          <t xml:space="preserve"> excluding M1/M2.</t>
        </r>
      </text>
    </comment>
    <comment ref="E248" authorId="2" shapeId="0" xr:uid="{00000000-0006-0000-0000-000060000000}">
      <text>
        <r>
          <rPr>
            <sz val="9"/>
            <color indexed="81"/>
            <rFont val="Tahoma"/>
            <family val="2"/>
          </rPr>
          <t xml:space="preserve">Consideration of both Category A and C subjects, </t>
        </r>
        <r>
          <rPr>
            <b/>
            <sz val="9"/>
            <color indexed="81"/>
            <rFont val="Tahoma"/>
            <family val="2"/>
          </rPr>
          <t xml:space="preserve">excluding M1/M2.
</t>
        </r>
      </text>
    </comment>
    <comment ref="E249" authorId="2" shapeId="0" xr:uid="{00000000-0006-0000-0000-000061000000}">
      <text>
        <r>
          <rPr>
            <sz val="9"/>
            <color indexed="81"/>
            <rFont val="Tahoma"/>
            <family val="2"/>
          </rPr>
          <t xml:space="preserve">Consideration of both Category A and C subjects, </t>
        </r>
        <r>
          <rPr>
            <b/>
            <sz val="9"/>
            <color indexed="81"/>
            <rFont val="Tahoma"/>
            <family val="2"/>
          </rPr>
          <t xml:space="preserve">excluding M1/M2.
</t>
        </r>
        <r>
          <rPr>
            <sz val="9"/>
            <color indexed="81"/>
            <rFont val="Tahoma"/>
            <family val="2"/>
          </rPr>
          <t xml:space="preserve">
The best 5 subjects must </t>
        </r>
        <r>
          <rPr>
            <b/>
            <sz val="9"/>
            <color indexed="81"/>
            <rFont val="Tahoma"/>
            <family val="2"/>
          </rPr>
          <t>include English Language</t>
        </r>
        <r>
          <rPr>
            <sz val="9"/>
            <color indexed="81"/>
            <rFont val="Tahoma"/>
            <family val="2"/>
          </rPr>
          <t xml:space="preserve">
</t>
        </r>
      </text>
    </comment>
    <comment ref="E250" authorId="0" shapeId="0" xr:uid="{00000000-0006-0000-0000-000062000000}">
      <text>
        <r>
          <rPr>
            <sz val="9"/>
            <color indexed="81"/>
            <rFont val="Tahoma"/>
            <family val="2"/>
          </rPr>
          <t xml:space="preserve">The best 6 subjects must include English Language, Mathematics.
M1/M2 can be included.
Weighting: English Language, Mathematics
</t>
        </r>
      </text>
    </comment>
    <comment ref="E251" authorId="0" shapeId="0" xr:uid="{00000000-0006-0000-0000-000063000000}">
      <text>
        <r>
          <rPr>
            <sz val="9"/>
            <color indexed="81"/>
            <rFont val="Tahoma"/>
            <family val="2"/>
          </rPr>
          <t xml:space="preserve">The best 6 subjects must include English Language, Mathematics.
M1/M2 can be included in lieu of Mathematics.
Weighting: English Language, Mathematics, M1/M2
</t>
        </r>
      </text>
    </comment>
    <comment ref="E252" authorId="0" shapeId="0" xr:uid="{00000000-0006-0000-0000-000064000000}">
      <text>
        <r>
          <rPr>
            <sz val="9"/>
            <color indexed="81"/>
            <rFont val="Tahoma"/>
            <family val="2"/>
          </rPr>
          <t xml:space="preserve">The best 6 subjects must include English Language, Mathematics.
M1/M2 can be included in lieu of Mathematics.
Weighting: English Language, Mathematics, M1/M2
</t>
        </r>
      </text>
    </comment>
    <comment ref="E253" authorId="0" shapeId="0" xr:uid="{00000000-0006-0000-0000-000065000000}">
      <text>
        <r>
          <rPr>
            <sz val="9"/>
            <color indexed="81"/>
            <rFont val="Tahoma"/>
            <family val="2"/>
          </rPr>
          <t xml:space="preserve">The best 6 subjects must include English Language, Mathematics.
M1/M2 can be included.
Weighting: English Language, Mathematics
</t>
        </r>
      </text>
    </comment>
    <comment ref="E254" authorId="0" shapeId="0" xr:uid="{00000000-0006-0000-0000-000066000000}">
      <text>
        <r>
          <rPr>
            <sz val="9"/>
            <color indexed="81"/>
            <rFont val="Tahoma"/>
            <family val="2"/>
          </rPr>
          <t xml:space="preserve">The best 6 subjects must include English Language, Mathematics.
M1/M2 can be included in lieu of Mathematics.
Weighting: English Language, Mathematics, M1/M2
</t>
        </r>
      </text>
    </comment>
    <comment ref="E255" authorId="2" shapeId="0" xr:uid="{00000000-0006-0000-0000-000067000000}">
      <text>
        <r>
          <rPr>
            <sz val="9"/>
            <color indexed="81"/>
            <rFont val="Tahoma"/>
            <family val="2"/>
          </rPr>
          <t xml:space="preserve">The best 6 subjects must include </t>
        </r>
        <r>
          <rPr>
            <b/>
            <sz val="9"/>
            <color indexed="81"/>
            <rFont val="Tahoma"/>
            <family val="2"/>
          </rPr>
          <t>English Language, Mathematics,
M1/M2</t>
        </r>
        <r>
          <rPr>
            <sz val="9"/>
            <color indexed="81"/>
            <rFont val="Tahoma"/>
            <family val="2"/>
          </rPr>
          <t xml:space="preserve">, plus the best three among the remaining subjects.
</t>
        </r>
        <r>
          <rPr>
            <sz val="9"/>
            <color indexed="81"/>
            <rFont val="細明體"/>
            <family val="3"/>
            <charset val="136"/>
          </rPr>
          <t>最高比重</t>
        </r>
        <r>
          <rPr>
            <sz val="9"/>
            <color indexed="81"/>
            <rFont val="Tahoma"/>
            <family val="2"/>
          </rPr>
          <t xml:space="preserve">: English Language
</t>
        </r>
        <r>
          <rPr>
            <sz val="9"/>
            <color indexed="81"/>
            <rFont val="細明體"/>
            <family val="3"/>
            <charset val="136"/>
          </rPr>
          <t>較高比重</t>
        </r>
        <r>
          <rPr>
            <sz val="9"/>
            <color indexed="81"/>
            <rFont val="Tahoma"/>
            <family val="2"/>
          </rPr>
          <t>: Mathematics, M1/M2</t>
        </r>
      </text>
    </comment>
    <comment ref="E256" authorId="0" shapeId="0" xr:uid="{00000000-0006-0000-0000-000068000000}">
      <text>
        <r>
          <rPr>
            <sz val="9"/>
            <color indexed="81"/>
            <rFont val="Tahoma"/>
            <family val="2"/>
          </rPr>
          <t xml:space="preserve">The best 6 subjects must include English Language, Mathematics.
M1/M2 can be included in lieu of Mathematics.
Weighting: English Language, Mathematics, M1/M2
</t>
        </r>
      </text>
    </comment>
    <comment ref="E257" authorId="2" shapeId="0" xr:uid="{00000000-0006-0000-0000-000069000000}">
      <text>
        <r>
          <rPr>
            <sz val="9"/>
            <color indexed="81"/>
            <rFont val="Tahoma"/>
            <family val="2"/>
          </rPr>
          <t xml:space="preserve">The bes t 6 subjects must include a </t>
        </r>
        <r>
          <rPr>
            <b/>
            <sz val="9"/>
            <color indexed="81"/>
            <rFont val="Tahoma"/>
            <family val="2"/>
          </rPr>
          <t>Science elective</t>
        </r>
        <r>
          <rPr>
            <sz val="9"/>
            <color indexed="81"/>
            <rFont val="Tahoma"/>
            <family val="2"/>
          </rPr>
          <t xml:space="preserve"> subject*
Weighting: Science electives*, </t>
        </r>
        <r>
          <rPr>
            <b/>
            <sz val="9"/>
            <color indexed="81"/>
            <rFont val="Tahoma"/>
            <family val="2"/>
          </rPr>
          <t>excluding Integrated Science</t>
        </r>
        <r>
          <rPr>
            <sz val="9"/>
            <color indexed="81"/>
            <rFont val="Tahoma"/>
            <family val="2"/>
          </rPr>
          <t xml:space="preserve">
*:Biology, Chemistry, Physics, Combined Science, Integrated Science.</t>
        </r>
      </text>
    </comment>
    <comment ref="E258" authorId="2" shapeId="0" xr:uid="{00000000-0006-0000-0000-00006A000000}">
      <text>
        <r>
          <rPr>
            <sz val="9"/>
            <color indexed="81"/>
            <rFont val="Tahoma"/>
            <family val="2"/>
          </rPr>
          <t>The best 5 subjects must include</t>
        </r>
        <r>
          <rPr>
            <b/>
            <sz val="9"/>
            <color indexed="81"/>
            <rFont val="Tahoma"/>
            <family val="2"/>
          </rPr>
          <t xml:space="preserve"> English Language</t>
        </r>
        <r>
          <rPr>
            <sz val="9"/>
            <color indexed="81"/>
            <rFont val="Tahoma"/>
            <family val="2"/>
          </rPr>
          <t xml:space="preserve"> and </t>
        </r>
        <r>
          <rPr>
            <b/>
            <sz val="9"/>
            <color indexed="81"/>
            <rFont val="Tahoma"/>
            <family val="2"/>
          </rPr>
          <t>Liberal Studies</t>
        </r>
        <r>
          <rPr>
            <sz val="9"/>
            <color indexed="81"/>
            <rFont val="Tahoma"/>
            <family val="2"/>
          </rPr>
          <t xml:space="preserve">
</t>
        </r>
        <r>
          <rPr>
            <b/>
            <sz val="9"/>
            <color indexed="81"/>
            <rFont val="細明體"/>
            <family val="3"/>
            <charset val="136"/>
          </rPr>
          <t>最高比重</t>
        </r>
        <r>
          <rPr>
            <sz val="9"/>
            <color indexed="81"/>
            <rFont val="Tahoma"/>
            <family val="2"/>
          </rPr>
          <t xml:space="preserve">: English Language
</t>
        </r>
        <r>
          <rPr>
            <b/>
            <sz val="9"/>
            <color indexed="81"/>
            <rFont val="細明體"/>
            <family val="3"/>
            <charset val="136"/>
          </rPr>
          <t>較高比重</t>
        </r>
        <r>
          <rPr>
            <sz val="9"/>
            <color indexed="81"/>
            <rFont val="Tahoma"/>
            <family val="2"/>
          </rPr>
          <t xml:space="preserve">: Liberal Studies
</t>
        </r>
      </text>
    </comment>
    <comment ref="E259" authorId="2" shapeId="0" xr:uid="{00000000-0006-0000-0000-00006B000000}">
      <text>
        <r>
          <rPr>
            <sz val="9"/>
            <color indexed="81"/>
            <rFont val="Tahoma"/>
            <family val="2"/>
          </rPr>
          <t xml:space="preserve">The best 5 subjects must include </t>
        </r>
        <r>
          <rPr>
            <b/>
            <sz val="9"/>
            <color indexed="81"/>
            <rFont val="Tahoma"/>
            <family val="2"/>
          </rPr>
          <t>Chinese Language</t>
        </r>
        <r>
          <rPr>
            <sz val="9"/>
            <color indexed="81"/>
            <rFont val="Tahoma"/>
            <family val="2"/>
          </rPr>
          <t xml:space="preserve"> and </t>
        </r>
        <r>
          <rPr>
            <b/>
            <sz val="9"/>
            <color indexed="81"/>
            <rFont val="Tahoma"/>
            <family val="2"/>
          </rPr>
          <t>Liberal Studies</t>
        </r>
        <r>
          <rPr>
            <sz val="9"/>
            <color indexed="81"/>
            <rFont val="Tahoma"/>
            <family val="2"/>
          </rPr>
          <t xml:space="preserve">
</t>
        </r>
        <r>
          <rPr>
            <b/>
            <sz val="9"/>
            <color indexed="81"/>
            <rFont val="細明體"/>
            <family val="3"/>
            <charset val="136"/>
          </rPr>
          <t>最高比重</t>
        </r>
        <r>
          <rPr>
            <b/>
            <sz val="9"/>
            <color indexed="81"/>
            <rFont val="Tahoma"/>
            <family val="2"/>
          </rPr>
          <t xml:space="preserve">: </t>
        </r>
        <r>
          <rPr>
            <sz val="9"/>
            <color indexed="81"/>
            <rFont val="Tahoma"/>
            <family val="2"/>
          </rPr>
          <t xml:space="preserve">Chinese Language
</t>
        </r>
        <r>
          <rPr>
            <b/>
            <sz val="9"/>
            <color indexed="81"/>
            <rFont val="細明體"/>
            <family val="3"/>
            <charset val="136"/>
          </rPr>
          <t>較高比重</t>
        </r>
        <r>
          <rPr>
            <b/>
            <sz val="9"/>
            <color indexed="81"/>
            <rFont val="Tahoma"/>
            <family val="2"/>
          </rPr>
          <t>:</t>
        </r>
        <r>
          <rPr>
            <sz val="9"/>
            <color indexed="81"/>
            <rFont val="Tahoma"/>
            <family val="2"/>
          </rPr>
          <t xml:space="preserve"> Liberal Studies
</t>
        </r>
      </text>
    </comment>
    <comment ref="E260" authorId="2" shapeId="0" xr:uid="{00000000-0006-0000-0000-00006C000000}">
      <text>
        <r>
          <rPr>
            <sz val="9"/>
            <color indexed="81"/>
            <rFont val="Tahoma"/>
            <family val="2"/>
          </rPr>
          <t xml:space="preserve">The best 5 subjects must include </t>
        </r>
        <r>
          <rPr>
            <b/>
            <sz val="9"/>
            <color indexed="81"/>
            <rFont val="Tahoma"/>
            <family val="2"/>
          </rPr>
          <t>English Language</t>
        </r>
        <r>
          <rPr>
            <sz val="9"/>
            <color indexed="81"/>
            <rFont val="Tahoma"/>
            <family val="2"/>
          </rPr>
          <t xml:space="preserve"> and </t>
        </r>
        <r>
          <rPr>
            <b/>
            <sz val="9"/>
            <color indexed="81"/>
            <rFont val="Tahoma"/>
            <family val="2"/>
          </rPr>
          <t>Chinese Language</t>
        </r>
        <r>
          <rPr>
            <sz val="9"/>
            <color indexed="81"/>
            <rFont val="Tahoma"/>
            <family val="2"/>
          </rPr>
          <t xml:space="preserve">.
</t>
        </r>
        <r>
          <rPr>
            <sz val="9"/>
            <color indexed="81"/>
            <rFont val="細明體"/>
            <family val="3"/>
            <charset val="136"/>
          </rPr>
          <t>最高比重</t>
        </r>
        <r>
          <rPr>
            <sz val="9"/>
            <color indexed="81"/>
            <rFont val="Tahoma"/>
            <family val="2"/>
          </rPr>
          <t xml:space="preserve">: </t>
        </r>
        <r>
          <rPr>
            <b/>
            <sz val="9"/>
            <color indexed="81"/>
            <rFont val="Tahoma"/>
            <family val="2"/>
          </rPr>
          <t>English Language</t>
        </r>
        <r>
          <rPr>
            <sz val="9"/>
            <color indexed="81"/>
            <rFont val="Tahoma"/>
            <family val="2"/>
          </rPr>
          <t xml:space="preserve">
</t>
        </r>
        <r>
          <rPr>
            <sz val="9"/>
            <color indexed="81"/>
            <rFont val="細明體"/>
            <family val="3"/>
            <charset val="136"/>
          </rPr>
          <t>較高比重</t>
        </r>
        <r>
          <rPr>
            <sz val="9"/>
            <color indexed="81"/>
            <rFont val="Tahoma"/>
            <family val="2"/>
          </rPr>
          <t xml:space="preserve">: </t>
        </r>
        <r>
          <rPr>
            <b/>
            <sz val="9"/>
            <color indexed="81"/>
            <rFont val="Tahoma"/>
            <family val="2"/>
          </rPr>
          <t>Chinese Language</t>
        </r>
        <r>
          <rPr>
            <sz val="9"/>
            <color indexed="81"/>
            <rFont val="Tahoma"/>
            <family val="2"/>
          </rPr>
          <t xml:space="preserve">
</t>
        </r>
      </text>
    </comment>
    <comment ref="E261" authorId="2" shapeId="0" xr:uid="{00000000-0006-0000-0000-00006D000000}">
      <text>
        <r>
          <rPr>
            <sz val="9"/>
            <color indexed="81"/>
            <rFont val="Tahoma"/>
            <family val="2"/>
          </rPr>
          <t xml:space="preserve">The best 5 subjects must include </t>
        </r>
        <r>
          <rPr>
            <b/>
            <sz val="9"/>
            <color indexed="81"/>
            <rFont val="Tahoma"/>
            <family val="2"/>
          </rPr>
          <t>English Language</t>
        </r>
        <r>
          <rPr>
            <sz val="9"/>
            <color indexed="81"/>
            <rFont val="Tahoma"/>
            <family val="2"/>
          </rPr>
          <t xml:space="preserve">, </t>
        </r>
        <r>
          <rPr>
            <b/>
            <sz val="9"/>
            <color indexed="81"/>
            <rFont val="Tahoma"/>
            <family val="2"/>
          </rPr>
          <t>Mathematics</t>
        </r>
        <r>
          <rPr>
            <sz val="9"/>
            <color indexed="81"/>
            <rFont val="Tahoma"/>
            <family val="2"/>
          </rPr>
          <t xml:space="preserve"> and
the </t>
        </r>
        <r>
          <rPr>
            <b/>
            <sz val="9"/>
            <color indexed="81"/>
            <rFont val="Tahoma"/>
            <family val="2"/>
          </rPr>
          <t>best Science elective subject</t>
        </r>
        <r>
          <rPr>
            <sz val="9"/>
            <color indexed="81"/>
            <rFont val="Tahoma"/>
            <family val="2"/>
          </rPr>
          <t xml:space="preserve">*
M1/M2 can be included.
</t>
        </r>
        <r>
          <rPr>
            <b/>
            <sz val="9"/>
            <color indexed="81"/>
            <rFont val="細明體"/>
            <family val="3"/>
            <charset val="136"/>
          </rPr>
          <t>最高比重</t>
        </r>
        <r>
          <rPr>
            <b/>
            <sz val="9"/>
            <color indexed="81"/>
            <rFont val="Tahoma"/>
            <family val="2"/>
          </rPr>
          <t>:</t>
        </r>
        <r>
          <rPr>
            <sz val="9"/>
            <color indexed="81"/>
            <rFont val="Tahoma"/>
            <family val="2"/>
          </rPr>
          <t xml:space="preserve"> Mathematics, M1/M2, Science* Electives
</t>
        </r>
        <r>
          <rPr>
            <b/>
            <sz val="9"/>
            <color indexed="81"/>
            <rFont val="細明體"/>
            <family val="3"/>
            <charset val="136"/>
          </rPr>
          <t>較高比重</t>
        </r>
        <r>
          <rPr>
            <b/>
            <sz val="9"/>
            <color indexed="81"/>
            <rFont val="Tahoma"/>
            <family val="2"/>
          </rPr>
          <t>:</t>
        </r>
        <r>
          <rPr>
            <sz val="9"/>
            <color indexed="81"/>
            <rFont val="Tahoma"/>
            <family val="2"/>
          </rPr>
          <t xml:space="preserve"> English Language, Non-Science* Electives
*: Biology, Chemistry, Physics, Combined Science, Integrated Science.
</t>
        </r>
      </text>
    </comment>
    <comment ref="E263" authorId="2" shapeId="0" xr:uid="{00000000-0006-0000-0000-00006E000000}">
      <text>
        <r>
          <rPr>
            <sz val="9"/>
            <color indexed="81"/>
            <rFont val="Tahoma"/>
            <family val="2"/>
          </rPr>
          <t xml:space="preserve">Consideration of both Category A and C subjects, </t>
        </r>
        <r>
          <rPr>
            <b/>
            <sz val="9"/>
            <color indexed="81"/>
            <rFont val="Tahoma"/>
            <family val="2"/>
          </rPr>
          <t>excluding M1/M2.</t>
        </r>
        <r>
          <rPr>
            <sz val="9"/>
            <color indexed="81"/>
            <rFont val="Tahoma"/>
            <family val="2"/>
          </rPr>
          <t xml:space="preserve">
</t>
        </r>
      </text>
    </comment>
    <comment ref="E264" authorId="2" shapeId="0" xr:uid="{00000000-0006-0000-0000-00006F000000}">
      <text>
        <r>
          <rPr>
            <sz val="9"/>
            <color indexed="81"/>
            <rFont val="Tahoma"/>
            <family val="2"/>
          </rPr>
          <t xml:space="preserve">Consideration of both Category A and C subjects, in
which </t>
        </r>
        <r>
          <rPr>
            <b/>
            <sz val="9"/>
            <color indexed="81"/>
            <rFont val="Tahoma"/>
            <family val="2"/>
          </rPr>
          <t>M1/M2 can be included</t>
        </r>
        <r>
          <rPr>
            <sz val="9"/>
            <color indexed="81"/>
            <rFont val="Tahoma"/>
            <family val="2"/>
          </rPr>
          <t xml:space="preserve"> as an elective.</t>
        </r>
        <r>
          <rPr>
            <b/>
            <sz val="9"/>
            <color indexed="81"/>
            <rFont val="Tahoma"/>
            <family val="2"/>
          </rPr>
          <t xml:space="preserve">
</t>
        </r>
        <r>
          <rPr>
            <sz val="9"/>
            <color indexed="81"/>
            <rFont val="Tahoma"/>
            <family val="2"/>
          </rPr>
          <t xml:space="preserve">
The best 5 subjects must include </t>
        </r>
        <r>
          <rPr>
            <b/>
            <sz val="9"/>
            <color indexed="81"/>
            <rFont val="Tahoma"/>
            <family val="2"/>
          </rPr>
          <t xml:space="preserve">English Language and Mathematics.
</t>
        </r>
      </text>
    </comment>
    <comment ref="E265" authorId="2" shapeId="0" xr:uid="{00000000-0006-0000-0000-000070000000}">
      <text>
        <r>
          <rPr>
            <sz val="9"/>
            <color indexed="81"/>
            <rFont val="Tahoma"/>
            <family val="2"/>
          </rPr>
          <t xml:space="preserve">Consideration of both Category A and C subjects, in
which </t>
        </r>
        <r>
          <rPr>
            <b/>
            <sz val="9"/>
            <color indexed="81"/>
            <rFont val="Tahoma"/>
            <family val="2"/>
          </rPr>
          <t>M1/M2 can be included</t>
        </r>
        <r>
          <rPr>
            <sz val="9"/>
            <color indexed="81"/>
            <rFont val="Tahoma"/>
            <family val="2"/>
          </rPr>
          <t xml:space="preserve"> as an elective.
The best 5 subjects must include </t>
        </r>
        <r>
          <rPr>
            <b/>
            <sz val="9"/>
            <color indexed="81"/>
            <rFont val="Tahoma"/>
            <family val="2"/>
          </rPr>
          <t xml:space="preserve">English Language </t>
        </r>
        <r>
          <rPr>
            <sz val="9"/>
            <color indexed="81"/>
            <rFont val="Tahoma"/>
            <family val="2"/>
          </rPr>
          <t>and</t>
        </r>
        <r>
          <rPr>
            <b/>
            <sz val="9"/>
            <color indexed="81"/>
            <rFont val="Tahoma"/>
            <family val="2"/>
          </rPr>
          <t xml:space="preserve"> Mathematics</t>
        </r>
        <r>
          <rPr>
            <sz val="9"/>
            <color indexed="81"/>
            <rFont val="Tahoma"/>
            <family val="2"/>
          </rPr>
          <t xml:space="preserve">.
</t>
        </r>
      </text>
    </comment>
    <comment ref="E266" authorId="2" shapeId="0" xr:uid="{00000000-0006-0000-0000-000071000000}">
      <text>
        <r>
          <rPr>
            <sz val="9"/>
            <color indexed="81"/>
            <rFont val="Tahoma"/>
            <family val="2"/>
          </rPr>
          <t xml:space="preserve">Consideration of both Category A and C subjects, in
which </t>
        </r>
        <r>
          <rPr>
            <b/>
            <sz val="9"/>
            <color indexed="81"/>
            <rFont val="Tahoma"/>
            <family val="2"/>
          </rPr>
          <t>M1/M2 can be included</t>
        </r>
        <r>
          <rPr>
            <sz val="9"/>
            <color indexed="81"/>
            <rFont val="Tahoma"/>
            <family val="2"/>
          </rPr>
          <t xml:space="preserve"> as an elective.
The best 5 subjects must include</t>
        </r>
        <r>
          <rPr>
            <b/>
            <sz val="9"/>
            <color indexed="81"/>
            <rFont val="Tahoma"/>
            <family val="2"/>
          </rPr>
          <t xml:space="preserve"> English Language</t>
        </r>
        <r>
          <rPr>
            <sz val="9"/>
            <color indexed="81"/>
            <rFont val="Tahoma"/>
            <family val="2"/>
          </rPr>
          <t xml:space="preserve"> and </t>
        </r>
        <r>
          <rPr>
            <b/>
            <sz val="9"/>
            <color indexed="81"/>
            <rFont val="Tahoma"/>
            <family val="2"/>
          </rPr>
          <t>Mathematics.</t>
        </r>
        <r>
          <rPr>
            <sz val="9"/>
            <color indexed="81"/>
            <rFont val="Tahoma"/>
            <family val="2"/>
          </rPr>
          <t xml:space="preserve">
</t>
        </r>
      </text>
    </comment>
    <comment ref="E267" authorId="2" shapeId="0" xr:uid="{00000000-0006-0000-0000-000072000000}">
      <text>
        <r>
          <rPr>
            <sz val="9"/>
            <color indexed="81"/>
            <rFont val="Tahoma"/>
            <family val="2"/>
          </rPr>
          <t xml:space="preserve">Consideration of both Category A and C subjects, in
which </t>
        </r>
        <r>
          <rPr>
            <b/>
            <sz val="9"/>
            <color indexed="81"/>
            <rFont val="Tahoma"/>
            <family val="2"/>
          </rPr>
          <t>M1/M2 can be included</t>
        </r>
        <r>
          <rPr>
            <sz val="9"/>
            <color indexed="81"/>
            <rFont val="Tahoma"/>
            <family val="2"/>
          </rPr>
          <t xml:space="preserve"> as an elective.
The best 5 subjects must include </t>
        </r>
        <r>
          <rPr>
            <b/>
            <sz val="9"/>
            <color indexed="81"/>
            <rFont val="Tahoma"/>
            <family val="2"/>
          </rPr>
          <t>English Language</t>
        </r>
        <r>
          <rPr>
            <sz val="9"/>
            <color indexed="81"/>
            <rFont val="Tahoma"/>
            <family val="2"/>
          </rPr>
          <t xml:space="preserve"> and </t>
        </r>
        <r>
          <rPr>
            <b/>
            <sz val="9"/>
            <color indexed="81"/>
            <rFont val="Tahoma"/>
            <family val="2"/>
          </rPr>
          <t>Mathematics</t>
        </r>
        <r>
          <rPr>
            <sz val="9"/>
            <color indexed="81"/>
            <rFont val="Tahoma"/>
            <family val="2"/>
          </rPr>
          <t>.</t>
        </r>
      </text>
    </comment>
    <comment ref="E268" authorId="2" shapeId="0" xr:uid="{00000000-0006-0000-0000-000073000000}">
      <text>
        <r>
          <rPr>
            <sz val="9"/>
            <color indexed="81"/>
            <rFont val="Tahoma"/>
            <family val="2"/>
          </rPr>
          <t xml:space="preserve">The best 6 subjects must include </t>
        </r>
        <r>
          <rPr>
            <b/>
            <sz val="9"/>
            <color indexed="81"/>
            <rFont val="Tahoma"/>
            <family val="2"/>
          </rPr>
          <t>English Language</t>
        </r>
        <r>
          <rPr>
            <sz val="9"/>
            <color indexed="81"/>
            <rFont val="Tahoma"/>
            <family val="2"/>
          </rPr>
          <t xml:space="preserve">
</t>
        </r>
      </text>
    </comment>
    <comment ref="E269" authorId="2" shapeId="0" xr:uid="{00000000-0006-0000-0000-000074000000}">
      <text>
        <r>
          <rPr>
            <sz val="9"/>
            <color indexed="81"/>
            <rFont val="Tahoma"/>
            <family val="2"/>
          </rPr>
          <t xml:space="preserve">The best 6 subjects must include </t>
        </r>
        <r>
          <rPr>
            <b/>
            <sz val="9"/>
            <color indexed="81"/>
            <rFont val="Tahoma"/>
            <family val="2"/>
          </rPr>
          <t>English Language</t>
        </r>
      </text>
    </comment>
    <comment ref="E271" authorId="2" shapeId="0" xr:uid="{00000000-0006-0000-0000-000075000000}">
      <text>
        <r>
          <rPr>
            <sz val="9"/>
            <color indexed="81"/>
            <rFont val="Tahoma"/>
            <family val="2"/>
          </rPr>
          <t xml:space="preserve">The score of </t>
        </r>
        <r>
          <rPr>
            <b/>
            <sz val="9"/>
            <color indexed="81"/>
            <rFont val="Tahoma"/>
            <family val="2"/>
          </rPr>
          <t xml:space="preserve">Mathematics compulsory </t>
        </r>
        <r>
          <rPr>
            <sz val="9"/>
            <color indexed="81"/>
            <rFont val="Tahoma"/>
            <family val="2"/>
          </rPr>
          <t xml:space="preserve">part (MA) or the </t>
        </r>
        <r>
          <rPr>
            <b/>
            <sz val="9"/>
            <color indexed="81"/>
            <rFont val="Tahoma"/>
            <family val="2"/>
          </rPr>
          <t>combined score of
MA and M1/M2</t>
        </r>
        <r>
          <rPr>
            <sz val="9"/>
            <color indexed="81"/>
            <rFont val="Tahoma"/>
            <family val="2"/>
          </rPr>
          <t xml:space="preserve"> calculated as below, whichever is higher, will be taken into
consideration.
</t>
        </r>
        <r>
          <rPr>
            <b/>
            <sz val="9"/>
            <color indexed="81"/>
            <rFont val="Tahoma"/>
            <family val="2"/>
          </rPr>
          <t>[MA+(M1/M2*0.5)]/1.5</t>
        </r>
      </text>
    </comment>
    <comment ref="E272" authorId="2" shapeId="0" xr:uid="{00000000-0006-0000-0000-000076000000}">
      <text>
        <r>
          <rPr>
            <sz val="9"/>
            <color indexed="81"/>
            <rFont val="Tahoma"/>
            <family val="2"/>
          </rPr>
          <t xml:space="preserve">Consideration of both Category A and C subjects, </t>
        </r>
        <r>
          <rPr>
            <b/>
            <sz val="9"/>
            <color indexed="81"/>
            <rFont val="Tahoma"/>
            <family val="2"/>
          </rPr>
          <t xml:space="preserve">excluding M1/M2.
</t>
        </r>
      </text>
    </comment>
    <comment ref="E273" authorId="2" shapeId="0" xr:uid="{00000000-0006-0000-0000-000077000000}">
      <text>
        <r>
          <rPr>
            <sz val="9"/>
            <color indexed="81"/>
            <rFont val="Tahoma"/>
            <family val="2"/>
          </rPr>
          <t xml:space="preserve">Consideration of both Category A and C subjects, </t>
        </r>
        <r>
          <rPr>
            <b/>
            <sz val="9"/>
            <color indexed="81"/>
            <rFont val="Tahoma"/>
            <family val="2"/>
          </rPr>
          <t>excluding M1/M2.</t>
        </r>
        <r>
          <rPr>
            <sz val="9"/>
            <color indexed="81"/>
            <rFont val="Tahoma"/>
            <family val="2"/>
          </rPr>
          <t xml:space="preserve">
</t>
        </r>
      </text>
    </comment>
    <comment ref="E274" authorId="2" shapeId="0" xr:uid="{00000000-0006-0000-0000-000078000000}">
      <text>
        <r>
          <rPr>
            <sz val="9"/>
            <color indexed="81"/>
            <rFont val="Tahoma"/>
            <family val="2"/>
          </rPr>
          <t xml:space="preserve">The score of </t>
        </r>
        <r>
          <rPr>
            <b/>
            <sz val="9"/>
            <color indexed="81"/>
            <rFont val="Tahoma"/>
            <family val="2"/>
          </rPr>
          <t>Mathematics compulsory part</t>
        </r>
        <r>
          <rPr>
            <sz val="9"/>
            <color indexed="81"/>
            <rFont val="Tahoma"/>
            <family val="2"/>
          </rPr>
          <t xml:space="preserve"> (MA) or the </t>
        </r>
        <r>
          <rPr>
            <b/>
            <sz val="9"/>
            <color indexed="81"/>
            <rFont val="Tahoma"/>
            <family val="2"/>
          </rPr>
          <t>combined score of
MA and M1/M2</t>
        </r>
        <r>
          <rPr>
            <sz val="9"/>
            <color indexed="81"/>
            <rFont val="Tahoma"/>
            <family val="2"/>
          </rPr>
          <t xml:space="preserve"> calculated as below, whichever is higher, will be taken into
consideration.
</t>
        </r>
        <r>
          <rPr>
            <b/>
            <sz val="9"/>
            <color indexed="81"/>
            <rFont val="Tahoma"/>
            <family val="2"/>
          </rPr>
          <t xml:space="preserve">
[MA+(M1/M2*0.5)]/1.5</t>
        </r>
        <r>
          <rPr>
            <sz val="9"/>
            <color indexed="81"/>
            <rFont val="Tahoma"/>
            <family val="2"/>
          </rPr>
          <t xml:space="preserve">
</t>
        </r>
      </text>
    </comment>
    <comment ref="E275" authorId="2" shapeId="0" xr:uid="{00000000-0006-0000-0000-000079000000}">
      <text>
        <r>
          <rPr>
            <sz val="9"/>
            <color indexed="81"/>
            <rFont val="Tahoma"/>
            <family val="2"/>
          </rPr>
          <t xml:space="preserve">The score of </t>
        </r>
        <r>
          <rPr>
            <b/>
            <sz val="9"/>
            <color indexed="81"/>
            <rFont val="Tahoma"/>
            <family val="2"/>
          </rPr>
          <t xml:space="preserve">Mathematics compulsory part </t>
        </r>
        <r>
          <rPr>
            <sz val="9"/>
            <color indexed="81"/>
            <rFont val="Tahoma"/>
            <family val="2"/>
          </rPr>
          <t>(MA) or the</t>
        </r>
        <r>
          <rPr>
            <b/>
            <sz val="9"/>
            <color indexed="81"/>
            <rFont val="Tahoma"/>
            <family val="2"/>
          </rPr>
          <t xml:space="preserve"> combined score of
MA and M1/M2</t>
        </r>
        <r>
          <rPr>
            <sz val="9"/>
            <color indexed="81"/>
            <rFont val="Tahoma"/>
            <family val="2"/>
          </rPr>
          <t xml:space="preserve"> calculated as below, whichever is higher, will be taken into
consideration.
</t>
        </r>
        <r>
          <rPr>
            <b/>
            <sz val="9"/>
            <color indexed="81"/>
            <rFont val="Tahoma"/>
            <family val="2"/>
          </rPr>
          <t>[MA+(M1/M2*0.5)]/1.5</t>
        </r>
        <r>
          <rPr>
            <sz val="9"/>
            <color indexed="81"/>
            <rFont val="Tahoma"/>
            <family val="2"/>
          </rPr>
          <t xml:space="preserve">
</t>
        </r>
      </text>
    </comment>
    <comment ref="E276" authorId="0" shapeId="0" xr:uid="{00000000-0006-0000-0000-00007A000000}">
      <text>
        <r>
          <rPr>
            <b/>
            <sz val="9"/>
            <color indexed="81"/>
            <rFont val="Tahoma"/>
            <family val="2"/>
          </rPr>
          <t>2021</t>
        </r>
        <r>
          <rPr>
            <b/>
            <sz val="9"/>
            <color indexed="81"/>
            <rFont val="細明體"/>
            <family val="3"/>
            <charset val="136"/>
          </rPr>
          <t>年新科目</t>
        </r>
        <r>
          <rPr>
            <sz val="9"/>
            <color indexed="81"/>
            <rFont val="Tahoma"/>
            <family val="2"/>
          </rPr>
          <t xml:space="preserve">
The best 6 subjects must include </t>
        </r>
        <r>
          <rPr>
            <b/>
            <sz val="9"/>
            <color indexed="81"/>
            <rFont val="Tahoma"/>
            <family val="2"/>
          </rPr>
          <t>English Language</t>
        </r>
        <r>
          <rPr>
            <sz val="9"/>
            <color indexed="81"/>
            <rFont val="Tahoma"/>
            <family val="2"/>
          </rPr>
          <t xml:space="preserve">, </t>
        </r>
        <r>
          <rPr>
            <b/>
            <sz val="9"/>
            <color indexed="81"/>
            <rFont val="Tahoma"/>
            <family val="2"/>
          </rPr>
          <t>Mathematics</t>
        </r>
        <r>
          <rPr>
            <sz val="9"/>
            <color indexed="81"/>
            <rFont val="Tahoma"/>
            <family val="2"/>
          </rPr>
          <t xml:space="preserve">, </t>
        </r>
        <r>
          <rPr>
            <b/>
            <sz val="9"/>
            <color indexed="81"/>
            <rFont val="Tahoma"/>
            <family val="2"/>
          </rPr>
          <t>M1/M2</t>
        </r>
        <r>
          <rPr>
            <sz val="9"/>
            <color indexed="81"/>
            <rFont val="Tahoma"/>
            <family val="2"/>
          </rPr>
          <t xml:space="preserve">, </t>
        </r>
        <r>
          <rPr>
            <b/>
            <sz val="9"/>
            <color indexed="81"/>
            <rFont val="Tahoma"/>
            <family val="2"/>
          </rPr>
          <t>best two Science elective</t>
        </r>
        <r>
          <rPr>
            <sz val="9"/>
            <color indexed="81"/>
            <rFont val="Tahoma"/>
            <family val="2"/>
          </rPr>
          <t xml:space="preserve"> subjects*, plus the best one among the remaining subjects, </t>
        </r>
        <r>
          <rPr>
            <b/>
            <sz val="9"/>
            <color indexed="81"/>
            <rFont val="Tahoma"/>
            <family val="2"/>
          </rPr>
          <t xml:space="preserve">excluding Integrated Science.
</t>
        </r>
        <r>
          <rPr>
            <b/>
            <sz val="9"/>
            <color indexed="81"/>
            <rFont val="細明體"/>
            <family val="3"/>
            <charset val="136"/>
          </rPr>
          <t>未公佈詳細科目比重</t>
        </r>
        <r>
          <rPr>
            <b/>
            <sz val="9"/>
            <color indexed="81"/>
            <rFont val="Tahoma"/>
            <family val="2"/>
          </rPr>
          <t xml:space="preserve">
</t>
        </r>
        <r>
          <rPr>
            <sz val="9"/>
            <color indexed="81"/>
            <rFont val="Tahoma"/>
            <family val="2"/>
          </rPr>
          <t>*: Biology, Chemistry, Physics, Combined Science.</t>
        </r>
      </text>
    </comment>
    <comment ref="E277" authorId="2" shapeId="0" xr:uid="{00000000-0006-0000-0000-00007B000000}">
      <text>
        <r>
          <rPr>
            <sz val="9"/>
            <color indexed="81"/>
            <rFont val="Tahoma"/>
            <family val="2"/>
          </rPr>
          <t xml:space="preserve">The best 6 subjects must include </t>
        </r>
        <r>
          <rPr>
            <b/>
            <sz val="9"/>
            <color indexed="81"/>
            <rFont val="Tahoma"/>
            <family val="2"/>
          </rPr>
          <t xml:space="preserve">English Language, Mathematics, M1/M2.
</t>
        </r>
        <r>
          <rPr>
            <sz val="9"/>
            <color indexed="81"/>
            <rFont val="Tahoma"/>
            <family val="2"/>
          </rPr>
          <t xml:space="preserve">
</t>
        </r>
        <r>
          <rPr>
            <b/>
            <sz val="9"/>
            <color indexed="81"/>
            <rFont val="細明體"/>
            <family val="3"/>
            <charset val="136"/>
          </rPr>
          <t>較高比重</t>
        </r>
        <r>
          <rPr>
            <b/>
            <sz val="9"/>
            <color indexed="81"/>
            <rFont val="Tahoma"/>
            <family val="2"/>
          </rPr>
          <t>:</t>
        </r>
        <r>
          <rPr>
            <sz val="9"/>
            <color indexed="81"/>
            <rFont val="Tahoma"/>
            <family val="2"/>
          </rPr>
          <t xml:space="preserve"> English Language, Mathematics, M1/M2
</t>
        </r>
      </text>
    </comment>
    <comment ref="E278" authorId="2" shapeId="0" xr:uid="{00000000-0006-0000-0000-00007C000000}">
      <text>
        <r>
          <rPr>
            <sz val="9"/>
            <color indexed="81"/>
            <rFont val="Tahoma"/>
            <family val="2"/>
          </rPr>
          <t xml:space="preserve">The best 5 subjects must include </t>
        </r>
        <r>
          <rPr>
            <b/>
            <sz val="9"/>
            <color indexed="81"/>
            <rFont val="Tahoma"/>
            <family val="2"/>
          </rPr>
          <t>English Language, Mathematics</t>
        </r>
        <r>
          <rPr>
            <sz val="9"/>
            <color indexed="81"/>
            <rFont val="Tahoma"/>
            <family val="2"/>
          </rPr>
          <t xml:space="preserve"> and the
</t>
        </r>
        <r>
          <rPr>
            <b/>
            <sz val="9"/>
            <color indexed="81"/>
            <rFont val="Tahoma"/>
            <family val="2"/>
          </rPr>
          <t>best Science elective</t>
        </r>
        <r>
          <rPr>
            <sz val="9"/>
            <color indexed="81"/>
            <rFont val="Tahoma"/>
            <family val="2"/>
          </rPr>
          <t xml:space="preserve"> subject*.
M1/M2 can be included.
</t>
        </r>
        <r>
          <rPr>
            <b/>
            <sz val="9"/>
            <color indexed="81"/>
            <rFont val="細明體"/>
            <family val="3"/>
            <charset val="136"/>
          </rPr>
          <t>最高比重</t>
        </r>
        <r>
          <rPr>
            <b/>
            <sz val="9"/>
            <color indexed="81"/>
            <rFont val="Tahoma"/>
            <family val="2"/>
          </rPr>
          <t xml:space="preserve">: </t>
        </r>
        <r>
          <rPr>
            <sz val="9"/>
            <color indexed="81"/>
            <rFont val="Tahoma"/>
            <family val="2"/>
          </rPr>
          <t xml:space="preserve">Mathematics, M1/M2, Science* Electives
</t>
        </r>
        <r>
          <rPr>
            <b/>
            <sz val="9"/>
            <color indexed="81"/>
            <rFont val="細明體"/>
            <family val="3"/>
            <charset val="136"/>
          </rPr>
          <t>較高比重</t>
        </r>
        <r>
          <rPr>
            <b/>
            <sz val="9"/>
            <color indexed="81"/>
            <rFont val="Tahoma"/>
            <family val="2"/>
          </rPr>
          <t>:</t>
        </r>
        <r>
          <rPr>
            <sz val="9"/>
            <color indexed="81"/>
            <rFont val="Tahoma"/>
            <family val="2"/>
          </rPr>
          <t xml:space="preserve"> English Language, Non-Science* Electives
</t>
        </r>
      </text>
    </comment>
    <comment ref="E279" authorId="2" shapeId="0" xr:uid="{00000000-0006-0000-0000-00007D000000}">
      <text>
        <r>
          <rPr>
            <sz val="9"/>
            <color indexed="81"/>
            <rFont val="Tahoma"/>
            <family val="2"/>
          </rPr>
          <t xml:space="preserve">Consideration of both Category A and C subjects, </t>
        </r>
        <r>
          <rPr>
            <b/>
            <sz val="9"/>
            <color indexed="81"/>
            <rFont val="Tahoma"/>
            <family val="2"/>
          </rPr>
          <t>excluding M1/M2</t>
        </r>
      </text>
    </comment>
    <comment ref="E280" authorId="2" shapeId="0" xr:uid="{00000000-0006-0000-0000-00007E000000}">
      <text>
        <r>
          <rPr>
            <sz val="9"/>
            <color indexed="81"/>
            <rFont val="Tahoma"/>
            <family val="2"/>
          </rPr>
          <t xml:space="preserve">Consideration of both Category A and C subjects, </t>
        </r>
        <r>
          <rPr>
            <b/>
            <sz val="9"/>
            <color indexed="81"/>
            <rFont val="Tahoma"/>
            <family val="2"/>
          </rPr>
          <t>excluding M1/M2</t>
        </r>
        <r>
          <rPr>
            <sz val="9"/>
            <color indexed="81"/>
            <rFont val="Tahoma"/>
            <family val="2"/>
          </rPr>
          <t xml:space="preserve">
</t>
        </r>
      </text>
    </comment>
    <comment ref="E282" authorId="2" shapeId="0" xr:uid="{00000000-0006-0000-0000-00007F000000}">
      <text>
        <r>
          <rPr>
            <sz val="9"/>
            <color indexed="81"/>
            <rFont val="Tahoma"/>
            <family val="2"/>
          </rPr>
          <t xml:space="preserve">Consideration of both Category A and C subjects, </t>
        </r>
        <r>
          <rPr>
            <b/>
            <sz val="9"/>
            <color indexed="81"/>
            <rFont val="Tahoma"/>
            <family val="2"/>
          </rPr>
          <t>excluding M1/M2</t>
        </r>
        <r>
          <rPr>
            <sz val="9"/>
            <color indexed="81"/>
            <rFont val="Tahoma"/>
            <family val="2"/>
          </rPr>
          <t xml:space="preserve">
</t>
        </r>
      </text>
    </comment>
    <comment ref="E283" authorId="2" shapeId="0" xr:uid="{00000000-0006-0000-0000-000080000000}">
      <text>
        <r>
          <rPr>
            <sz val="9"/>
            <color indexed="81"/>
            <rFont val="Tahoma"/>
            <family val="2"/>
          </rPr>
          <t xml:space="preserve">Consideration of both Category A and C subjects, </t>
        </r>
        <r>
          <rPr>
            <b/>
            <sz val="9"/>
            <color indexed="81"/>
            <rFont val="Tahoma"/>
            <family val="2"/>
          </rPr>
          <t>excluding M1/M2</t>
        </r>
      </text>
    </comment>
    <comment ref="E284" authorId="2" shapeId="0" xr:uid="{00000000-0006-0000-0000-000081000000}">
      <text>
        <r>
          <rPr>
            <sz val="9"/>
            <color indexed="81"/>
            <rFont val="Tahoma"/>
            <family val="2"/>
          </rPr>
          <t xml:space="preserve">The best 6 subjects must include </t>
        </r>
        <r>
          <rPr>
            <b/>
            <sz val="9"/>
            <color indexed="81"/>
            <rFont val="Tahoma"/>
            <family val="2"/>
          </rPr>
          <t>English Language, Mathematics, M1/M2.</t>
        </r>
        <r>
          <rPr>
            <sz val="9"/>
            <color indexed="81"/>
            <rFont val="Tahoma"/>
            <family val="2"/>
          </rPr>
          <t xml:space="preserve">
</t>
        </r>
        <r>
          <rPr>
            <b/>
            <sz val="9"/>
            <color indexed="81"/>
            <rFont val="細明體"/>
            <family val="3"/>
            <charset val="136"/>
          </rPr>
          <t>最高比重</t>
        </r>
        <r>
          <rPr>
            <b/>
            <sz val="9"/>
            <color indexed="81"/>
            <rFont val="Tahoma"/>
            <family val="2"/>
          </rPr>
          <t>:</t>
        </r>
        <r>
          <rPr>
            <sz val="9"/>
            <color indexed="81"/>
            <rFont val="Tahoma"/>
            <family val="2"/>
          </rPr>
          <t xml:space="preserve"> English Language, Mathematics, M1/M2
</t>
        </r>
        <r>
          <rPr>
            <b/>
            <sz val="9"/>
            <color indexed="81"/>
            <rFont val="細明體"/>
            <family val="3"/>
            <charset val="136"/>
          </rPr>
          <t>較高比重</t>
        </r>
        <r>
          <rPr>
            <b/>
            <sz val="9"/>
            <color indexed="81"/>
            <rFont val="Tahoma"/>
            <family val="2"/>
          </rPr>
          <t>:</t>
        </r>
        <r>
          <rPr>
            <sz val="9"/>
            <color indexed="81"/>
            <rFont val="Tahoma"/>
            <family val="2"/>
          </rPr>
          <t xml:space="preserve"> Science Electives
</t>
        </r>
      </text>
    </comment>
    <comment ref="E285" authorId="0" shapeId="0" xr:uid="{00000000-0006-0000-0000-000082000000}">
      <text>
        <r>
          <rPr>
            <sz val="9"/>
            <color indexed="81"/>
            <rFont val="Tahoma"/>
            <family val="2"/>
          </rPr>
          <t xml:space="preserve">Consideration of both Category A and C subjects, in
which </t>
        </r>
        <r>
          <rPr>
            <b/>
            <sz val="9"/>
            <color indexed="81"/>
            <rFont val="Tahoma"/>
            <family val="2"/>
          </rPr>
          <t>M1/M2 can be included</t>
        </r>
        <r>
          <rPr>
            <sz val="9"/>
            <color indexed="81"/>
            <rFont val="Tahoma"/>
            <family val="2"/>
          </rPr>
          <t xml:space="preserve"> as an elective.</t>
        </r>
      </text>
    </comment>
    <comment ref="E286" authorId="2" shapeId="0" xr:uid="{00000000-0006-0000-0000-000083000000}">
      <text>
        <r>
          <rPr>
            <sz val="9"/>
            <color indexed="81"/>
            <rFont val="Tahoma"/>
            <family val="2"/>
          </rPr>
          <t xml:space="preserve">Consideration of both Category A and C subjects, in which </t>
        </r>
        <r>
          <rPr>
            <b/>
            <sz val="9"/>
            <color indexed="81"/>
            <rFont val="Tahoma"/>
            <family val="2"/>
          </rPr>
          <t>M1/M2 can be
included</t>
        </r>
        <r>
          <rPr>
            <sz val="9"/>
            <color indexed="81"/>
            <rFont val="Tahoma"/>
            <family val="2"/>
          </rPr>
          <t xml:space="preserve"> as an elective.
The best 6 subjects must include </t>
        </r>
        <r>
          <rPr>
            <b/>
            <sz val="9"/>
            <color indexed="81"/>
            <rFont val="Tahoma"/>
            <family val="2"/>
          </rPr>
          <t>English Language, Mathematics.</t>
        </r>
        <r>
          <rPr>
            <sz val="9"/>
            <color indexed="81"/>
            <rFont val="Tahoma"/>
            <family val="2"/>
          </rPr>
          <t xml:space="preserve">
</t>
        </r>
      </text>
    </comment>
    <comment ref="E287" authorId="2" shapeId="0" xr:uid="{00000000-0006-0000-0000-000084000000}">
      <text>
        <r>
          <rPr>
            <sz val="9"/>
            <color indexed="81"/>
            <rFont val="Tahoma"/>
            <family val="2"/>
          </rPr>
          <t xml:space="preserve">Consideration of both Category A and C subjects, </t>
        </r>
        <r>
          <rPr>
            <b/>
            <sz val="9"/>
            <color indexed="81"/>
            <rFont val="Tahoma"/>
            <family val="2"/>
          </rPr>
          <t>excluding M1/M2.</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CHAN, Koon Ho</author>
    <author>Michael Chan</author>
    <author>Michael</author>
  </authors>
  <commentList>
    <comment ref="D36" authorId="0" shapeId="0" xr:uid="{7A93CFFA-95F6-40B6-AD17-EFC1C1E608FC}">
      <text>
        <r>
          <rPr>
            <b/>
            <sz val="9"/>
            <color indexed="81"/>
            <rFont val="細明體"/>
            <family val="3"/>
            <charset val="136"/>
          </rPr>
          <t>包括英文、數學</t>
        </r>
      </text>
    </comment>
    <comment ref="D37" authorId="0" shapeId="0" xr:uid="{7F7C0AE6-EC80-44BD-9C2B-040AC74F1EFA}">
      <text>
        <r>
          <rPr>
            <b/>
            <sz val="9"/>
            <color indexed="81"/>
            <rFont val="Tahoma"/>
            <family val="2"/>
          </rPr>
          <t>2022</t>
        </r>
        <r>
          <rPr>
            <b/>
            <sz val="9"/>
            <color indexed="81"/>
            <rFont val="細明體"/>
            <family val="3"/>
            <charset val="136"/>
          </rPr>
          <t>年將以</t>
        </r>
        <r>
          <rPr>
            <b/>
            <sz val="9"/>
            <color indexed="81"/>
            <rFont val="Tahoma"/>
            <family val="2"/>
          </rPr>
          <t>4C2X</t>
        </r>
        <r>
          <rPr>
            <b/>
            <sz val="9"/>
            <color indexed="81"/>
            <rFont val="細明體"/>
            <family val="3"/>
            <charset val="136"/>
          </rPr>
          <t>收生
此處仍以</t>
        </r>
        <r>
          <rPr>
            <b/>
            <sz val="9"/>
            <color indexed="81"/>
            <rFont val="Tahoma"/>
            <family val="2"/>
          </rPr>
          <t>Best 6 (</t>
        </r>
        <r>
          <rPr>
            <b/>
            <sz val="9"/>
            <color indexed="81"/>
            <rFont val="細明體"/>
            <family val="3"/>
            <charset val="136"/>
          </rPr>
          <t>包括英文</t>
        </r>
        <r>
          <rPr>
            <b/>
            <sz val="9"/>
            <color indexed="81"/>
            <rFont val="Tahoma"/>
            <family val="2"/>
          </rPr>
          <t>)</t>
        </r>
        <r>
          <rPr>
            <b/>
            <sz val="9"/>
            <color indexed="81"/>
            <rFont val="細明體"/>
            <family val="3"/>
            <charset val="136"/>
          </rPr>
          <t>作估算，請注意</t>
        </r>
      </text>
    </comment>
    <comment ref="D38" authorId="1" shapeId="0" xr:uid="{0BBB1C86-6892-4B9D-A3A0-A9C7201EEB16}">
      <text>
        <r>
          <rPr>
            <b/>
            <sz val="9"/>
            <color indexed="81"/>
            <rFont val="Tahoma"/>
            <family val="2"/>
          </rPr>
          <t>x1.5:</t>
        </r>
        <r>
          <rPr>
            <sz val="9"/>
            <color indexed="81"/>
            <rFont val="Tahoma"/>
            <family val="2"/>
          </rPr>
          <t xml:space="preserve"> </t>
        </r>
        <r>
          <rPr>
            <sz val="9"/>
            <color indexed="81"/>
            <rFont val="細明體"/>
            <family val="3"/>
            <charset val="136"/>
          </rPr>
          <t>英文</t>
        </r>
      </text>
    </comment>
    <comment ref="D48" authorId="1" shapeId="0" xr:uid="{508DBB81-472F-4414-833E-DC3A8502C2E3}">
      <text>
        <r>
          <rPr>
            <b/>
            <sz val="9"/>
            <color indexed="81"/>
            <rFont val="Tahoma"/>
            <family val="2"/>
          </rPr>
          <t>x2:</t>
        </r>
        <r>
          <rPr>
            <sz val="9"/>
            <color indexed="81"/>
            <rFont val="Tahoma"/>
            <family val="2"/>
          </rPr>
          <t xml:space="preserve"> </t>
        </r>
        <r>
          <rPr>
            <sz val="9"/>
            <color indexed="81"/>
            <rFont val="細明體"/>
            <family val="3"/>
            <charset val="136"/>
          </rPr>
          <t>英文</t>
        </r>
      </text>
    </comment>
    <comment ref="D49" authorId="1" shapeId="0" xr:uid="{5472A4EF-6E2B-4CA4-86EE-B52B5D70A5A6}">
      <text>
        <r>
          <rPr>
            <b/>
            <sz val="9"/>
            <color indexed="81"/>
            <rFont val="Tahoma"/>
            <family val="2"/>
          </rPr>
          <t xml:space="preserve">x2: </t>
        </r>
        <r>
          <rPr>
            <sz val="9"/>
            <color indexed="81"/>
            <rFont val="細明體"/>
            <family val="3"/>
            <charset val="136"/>
          </rPr>
          <t>英文</t>
        </r>
      </text>
    </comment>
    <comment ref="D50" authorId="1" shapeId="0" xr:uid="{9DF62639-8767-4B0E-BC5F-67825A10D013}">
      <text>
        <r>
          <rPr>
            <b/>
            <sz val="9"/>
            <color indexed="81"/>
            <rFont val="Tahoma"/>
            <family val="2"/>
          </rPr>
          <t xml:space="preserve">x2: </t>
        </r>
        <r>
          <rPr>
            <sz val="9"/>
            <color indexed="81"/>
            <rFont val="細明體"/>
            <family val="3"/>
            <charset val="136"/>
          </rPr>
          <t xml:space="preserve">英文
</t>
        </r>
        <r>
          <rPr>
            <b/>
            <sz val="9"/>
            <color indexed="81"/>
            <rFont val="Tahoma"/>
            <family val="2"/>
          </rPr>
          <t xml:space="preserve">x1.5: </t>
        </r>
        <r>
          <rPr>
            <sz val="9"/>
            <color indexed="81"/>
            <rFont val="細明體"/>
            <family val="3"/>
            <charset val="136"/>
          </rPr>
          <t>數學</t>
        </r>
      </text>
    </comment>
    <comment ref="D51" authorId="1" shapeId="0" xr:uid="{A596C1D0-63AE-4A73-9F58-B7338068AD5E}">
      <text>
        <r>
          <rPr>
            <b/>
            <sz val="9"/>
            <color indexed="81"/>
            <rFont val="Tahoma"/>
            <family val="2"/>
          </rPr>
          <t>2022</t>
        </r>
        <r>
          <rPr>
            <b/>
            <sz val="9"/>
            <color indexed="81"/>
            <rFont val="細明體"/>
            <family val="3"/>
            <charset val="136"/>
          </rPr>
          <t xml:space="preserve">年將以新比重收生
</t>
        </r>
        <r>
          <rPr>
            <sz val="9"/>
            <color indexed="81"/>
            <rFont val="Tahoma"/>
            <family val="2"/>
          </rPr>
          <t>(</t>
        </r>
        <r>
          <rPr>
            <b/>
            <sz val="9"/>
            <color indexed="81"/>
            <rFont val="Tahoma"/>
            <family val="2"/>
          </rPr>
          <t>x2</t>
        </r>
        <r>
          <rPr>
            <sz val="9"/>
            <color indexed="81"/>
            <rFont val="Tahoma"/>
            <family val="2"/>
          </rPr>
          <t xml:space="preserve">: </t>
        </r>
        <r>
          <rPr>
            <sz val="9"/>
            <color indexed="81"/>
            <rFont val="細明體"/>
            <family val="3"/>
            <charset val="136"/>
          </rPr>
          <t>英文</t>
        </r>
        <r>
          <rPr>
            <sz val="9"/>
            <color indexed="81"/>
            <rFont val="Tahoma"/>
            <family val="2"/>
          </rPr>
          <t>)</t>
        </r>
        <r>
          <rPr>
            <b/>
            <sz val="9"/>
            <color indexed="81"/>
            <rFont val="Tahoma"/>
            <family val="2"/>
          </rPr>
          <t xml:space="preserve">
</t>
        </r>
        <r>
          <rPr>
            <b/>
            <sz val="9"/>
            <color indexed="81"/>
            <rFont val="細明體"/>
            <family val="3"/>
            <charset val="136"/>
          </rPr>
          <t>此處仍以無比重作估算，請注意</t>
        </r>
      </text>
    </comment>
    <comment ref="D52" authorId="1" shapeId="0" xr:uid="{70AAE1BA-DF5F-40D4-BC59-BBAE942F3859}">
      <text>
        <r>
          <rPr>
            <b/>
            <sz val="9"/>
            <color indexed="81"/>
            <rFont val="細明體"/>
            <family val="3"/>
            <charset val="136"/>
          </rPr>
          <t xml:space="preserve">包括英文、數學、最佳理科
</t>
        </r>
        <r>
          <rPr>
            <b/>
            <sz val="9"/>
            <color indexed="81"/>
            <rFont val="Tahoma"/>
            <family val="2"/>
          </rPr>
          <t xml:space="preserve">
2022</t>
        </r>
        <r>
          <rPr>
            <b/>
            <sz val="9"/>
            <color indexed="81"/>
            <rFont val="細明體"/>
            <family val="3"/>
            <charset val="136"/>
          </rPr>
          <t xml:space="preserve">年將以新比重收生
</t>
        </r>
        <r>
          <rPr>
            <sz val="9"/>
            <color indexed="81"/>
            <rFont val="Tahoma"/>
            <family val="2"/>
          </rPr>
          <t>(</t>
        </r>
        <r>
          <rPr>
            <b/>
            <sz val="9"/>
            <color indexed="81"/>
            <rFont val="Tahoma"/>
            <family val="2"/>
          </rPr>
          <t>x2.5:</t>
        </r>
        <r>
          <rPr>
            <sz val="9"/>
            <color indexed="81"/>
            <rFont val="Tahoma"/>
            <family val="2"/>
          </rPr>
          <t xml:space="preserve"> </t>
        </r>
        <r>
          <rPr>
            <sz val="9"/>
            <color indexed="81"/>
            <rFont val="細明體"/>
            <family val="3"/>
            <charset val="136"/>
          </rPr>
          <t>數學</t>
        </r>
        <r>
          <rPr>
            <sz val="9"/>
            <color indexed="81"/>
            <rFont val="Tahoma"/>
            <family val="2"/>
          </rPr>
          <t xml:space="preserve">
</t>
        </r>
        <r>
          <rPr>
            <b/>
            <sz val="9"/>
            <color indexed="81"/>
            <rFont val="Tahoma"/>
            <family val="2"/>
          </rPr>
          <t>x2:</t>
        </r>
        <r>
          <rPr>
            <sz val="9"/>
            <color indexed="81"/>
            <rFont val="Tahoma"/>
            <family val="2"/>
          </rPr>
          <t xml:space="preserve"> </t>
        </r>
        <r>
          <rPr>
            <sz val="9"/>
            <color indexed="81"/>
            <rFont val="細明體"/>
            <family val="3"/>
            <charset val="136"/>
          </rPr>
          <t>英文、第一理科</t>
        </r>
        <r>
          <rPr>
            <sz val="9"/>
            <color indexed="81"/>
            <rFont val="Tahoma"/>
            <family val="2"/>
          </rPr>
          <t xml:space="preserve"> (</t>
        </r>
        <r>
          <rPr>
            <sz val="9"/>
            <color indexed="81"/>
            <rFont val="細明體"/>
            <family val="3"/>
            <charset val="136"/>
          </rPr>
          <t>生物、化學、物理、綜合科學、組合科學</t>
        </r>
        <r>
          <rPr>
            <sz val="9"/>
            <color indexed="81"/>
            <rFont val="Tahoma"/>
            <family val="2"/>
          </rPr>
          <t xml:space="preserve">)
</t>
        </r>
        <r>
          <rPr>
            <b/>
            <sz val="9"/>
            <color indexed="81"/>
            <rFont val="Tahoma"/>
            <family val="2"/>
          </rPr>
          <t>x1.5:</t>
        </r>
        <r>
          <rPr>
            <sz val="9"/>
            <color indexed="81"/>
            <rFont val="Tahoma"/>
            <family val="2"/>
          </rPr>
          <t xml:space="preserve"> </t>
        </r>
        <r>
          <rPr>
            <sz val="9"/>
            <color indexed="81"/>
            <rFont val="細明體"/>
            <family val="3"/>
            <charset val="136"/>
          </rPr>
          <t>第二理科、地理、</t>
        </r>
        <r>
          <rPr>
            <sz val="9"/>
            <color indexed="81"/>
            <rFont val="Tahoma"/>
            <family val="2"/>
          </rPr>
          <t>M1/2)</t>
        </r>
        <r>
          <rPr>
            <b/>
            <sz val="9"/>
            <color indexed="81"/>
            <rFont val="Tahoma"/>
            <family val="2"/>
          </rPr>
          <t xml:space="preserve">
</t>
        </r>
        <r>
          <rPr>
            <b/>
            <sz val="9"/>
            <color indexed="81"/>
            <rFont val="細明體"/>
            <family val="3"/>
            <charset val="136"/>
          </rPr>
          <t xml:space="preserve">
此處仍以原本比重作估算，請注意
</t>
        </r>
        <r>
          <rPr>
            <b/>
            <sz val="9"/>
            <color indexed="81"/>
            <rFont val="Tahoma"/>
            <family val="2"/>
          </rPr>
          <t>x2.5:</t>
        </r>
        <r>
          <rPr>
            <sz val="9"/>
            <color indexed="81"/>
            <rFont val="Tahoma"/>
            <family val="2"/>
          </rPr>
          <t xml:space="preserve"> </t>
        </r>
        <r>
          <rPr>
            <sz val="9"/>
            <color indexed="81"/>
            <rFont val="細明體"/>
            <family val="3"/>
            <charset val="136"/>
          </rPr>
          <t>數學、第一理科</t>
        </r>
        <r>
          <rPr>
            <sz val="9"/>
            <color indexed="81"/>
            <rFont val="Tahoma"/>
            <family val="2"/>
          </rPr>
          <t xml:space="preserve"> (</t>
        </r>
        <r>
          <rPr>
            <sz val="9"/>
            <color indexed="81"/>
            <rFont val="細明體"/>
            <family val="3"/>
            <charset val="136"/>
          </rPr>
          <t>生物、化學、物理、綜合科學、組合科學</t>
        </r>
        <r>
          <rPr>
            <sz val="9"/>
            <color indexed="81"/>
            <rFont val="Tahoma"/>
            <family val="2"/>
          </rPr>
          <t xml:space="preserve">)
</t>
        </r>
        <r>
          <rPr>
            <b/>
            <sz val="9"/>
            <color indexed="81"/>
            <rFont val="Tahoma"/>
            <family val="2"/>
          </rPr>
          <t xml:space="preserve">x2: </t>
        </r>
        <r>
          <rPr>
            <sz val="9"/>
            <color indexed="81"/>
            <rFont val="細明體"/>
            <family val="3"/>
            <charset val="136"/>
          </rPr>
          <t xml:space="preserve">英文
</t>
        </r>
        <r>
          <rPr>
            <b/>
            <sz val="9"/>
            <color indexed="81"/>
            <rFont val="Tahoma"/>
            <family val="2"/>
          </rPr>
          <t>x1.5:</t>
        </r>
        <r>
          <rPr>
            <sz val="9"/>
            <color indexed="81"/>
            <rFont val="Tahoma"/>
            <family val="2"/>
          </rPr>
          <t xml:space="preserve"> </t>
        </r>
        <r>
          <rPr>
            <sz val="9"/>
            <color indexed="81"/>
            <rFont val="細明體"/>
            <family val="3"/>
            <charset val="136"/>
          </rPr>
          <t>第二理科、地理、</t>
        </r>
        <r>
          <rPr>
            <sz val="9"/>
            <color indexed="81"/>
            <rFont val="Tahoma"/>
            <family val="2"/>
          </rPr>
          <t>M1/2</t>
        </r>
      </text>
    </comment>
    <comment ref="D53" authorId="0" shapeId="0" xr:uid="{41828714-4D60-438F-9535-67081F9C6362}">
      <text>
        <r>
          <rPr>
            <b/>
            <sz val="9"/>
            <color indexed="81"/>
            <rFont val="細明體"/>
            <family val="3"/>
            <charset val="136"/>
          </rPr>
          <t>包括英文</t>
        </r>
      </text>
    </comment>
    <comment ref="D54" authorId="1" shapeId="0" xr:uid="{6ECFD2FF-DB29-44CF-90DA-2D0780760DDF}">
      <text>
        <r>
          <rPr>
            <b/>
            <sz val="9"/>
            <color indexed="81"/>
            <rFont val="Tahoma"/>
            <family val="2"/>
          </rPr>
          <t>2022</t>
        </r>
        <r>
          <rPr>
            <b/>
            <sz val="9"/>
            <color indexed="81"/>
            <rFont val="細明體"/>
            <family val="3"/>
            <charset val="136"/>
          </rPr>
          <t xml:space="preserve">年新科目
</t>
        </r>
        <r>
          <rPr>
            <b/>
            <sz val="9"/>
            <color indexed="81"/>
            <rFont val="Tahoma"/>
            <family val="2"/>
          </rPr>
          <t>Best 6 (</t>
        </r>
        <r>
          <rPr>
            <b/>
            <sz val="9"/>
            <color indexed="81"/>
            <rFont val="細明體"/>
            <family val="3"/>
            <charset val="136"/>
          </rPr>
          <t>包括英文</t>
        </r>
        <r>
          <rPr>
            <b/>
            <sz val="9"/>
            <color indexed="81"/>
            <rFont val="Tahoma"/>
            <family val="2"/>
          </rPr>
          <t>)</t>
        </r>
      </text>
    </comment>
    <comment ref="D55" authorId="1" shapeId="0" xr:uid="{3C6EA374-20BA-4168-8B44-DDD3BFD481CB}">
      <text>
        <r>
          <rPr>
            <b/>
            <sz val="9"/>
            <color indexed="81"/>
            <rFont val="Tahoma"/>
            <family val="2"/>
          </rPr>
          <t xml:space="preserve">x2: </t>
        </r>
        <r>
          <rPr>
            <sz val="9"/>
            <color indexed="81"/>
            <rFont val="細明體"/>
            <family val="3"/>
            <charset val="136"/>
          </rPr>
          <t>英文、數學</t>
        </r>
      </text>
    </comment>
    <comment ref="D56" authorId="1" shapeId="0" xr:uid="{384F763A-4A13-44BD-A7D1-A756EC4C3A70}">
      <text>
        <r>
          <rPr>
            <b/>
            <sz val="9"/>
            <color indexed="81"/>
            <rFont val="Tahoma"/>
            <family val="2"/>
          </rPr>
          <t xml:space="preserve">x2: </t>
        </r>
        <r>
          <rPr>
            <sz val="9"/>
            <color indexed="81"/>
            <rFont val="細明體"/>
            <family val="3"/>
            <charset val="136"/>
          </rPr>
          <t>英文、數學</t>
        </r>
      </text>
    </comment>
    <comment ref="D57" authorId="1" shapeId="0" xr:uid="{215D2507-2A70-491E-97EF-45A572D4D487}">
      <text>
        <r>
          <rPr>
            <b/>
            <sz val="9"/>
            <color indexed="81"/>
            <rFont val="Tahoma"/>
            <family val="2"/>
          </rPr>
          <t>x2:</t>
        </r>
        <r>
          <rPr>
            <sz val="9"/>
            <color indexed="81"/>
            <rFont val="Tahoma"/>
            <family val="2"/>
          </rPr>
          <t xml:space="preserve"> </t>
        </r>
        <r>
          <rPr>
            <sz val="9"/>
            <color indexed="81"/>
            <rFont val="細明體"/>
            <family val="3"/>
            <charset val="136"/>
          </rPr>
          <t>英文、數學</t>
        </r>
      </text>
    </comment>
    <comment ref="D59" authorId="1" shapeId="0" xr:uid="{9D59C148-B8E5-49B1-B608-359C702DB9DC}">
      <text>
        <r>
          <rPr>
            <b/>
            <sz val="9"/>
            <color indexed="81"/>
            <rFont val="Tahoma"/>
            <family val="2"/>
          </rPr>
          <t xml:space="preserve">x2: </t>
        </r>
        <r>
          <rPr>
            <sz val="9"/>
            <color indexed="81"/>
            <rFont val="細明體"/>
            <family val="3"/>
            <charset val="136"/>
          </rPr>
          <t xml:space="preserve">中文，英文
</t>
        </r>
        <r>
          <rPr>
            <b/>
            <sz val="9"/>
            <color indexed="81"/>
            <rFont val="Tahoma"/>
            <family val="2"/>
          </rPr>
          <t>x1.5:</t>
        </r>
        <r>
          <rPr>
            <sz val="9"/>
            <color indexed="81"/>
            <rFont val="Tahoma"/>
            <family val="2"/>
          </rPr>
          <t xml:space="preserve"> </t>
        </r>
        <r>
          <rPr>
            <sz val="9"/>
            <color indexed="81"/>
            <rFont val="細明體"/>
            <family val="3"/>
            <charset val="136"/>
          </rPr>
          <t>通識</t>
        </r>
        <r>
          <rPr>
            <sz val="9"/>
            <color indexed="81"/>
            <rFont val="Tahoma"/>
            <family val="2"/>
          </rPr>
          <t>/</t>
        </r>
        <r>
          <rPr>
            <sz val="9"/>
            <color indexed="81"/>
            <rFont val="細明體"/>
            <family val="3"/>
            <charset val="136"/>
          </rPr>
          <t>中國歷史</t>
        </r>
        <r>
          <rPr>
            <sz val="9"/>
            <color indexed="81"/>
            <rFont val="Tahoma"/>
            <family val="2"/>
          </rPr>
          <t>/</t>
        </r>
        <r>
          <rPr>
            <sz val="9"/>
            <color indexed="81"/>
            <rFont val="細明體"/>
            <family val="3"/>
            <charset val="136"/>
          </rPr>
          <t>中國文學</t>
        </r>
        <r>
          <rPr>
            <sz val="9"/>
            <color indexed="81"/>
            <rFont val="Tahoma"/>
            <family val="2"/>
          </rPr>
          <t>/</t>
        </r>
        <r>
          <rPr>
            <sz val="9"/>
            <color indexed="81"/>
            <rFont val="細明體"/>
            <family val="3"/>
            <charset val="136"/>
          </rPr>
          <t>歷史</t>
        </r>
        <r>
          <rPr>
            <sz val="9"/>
            <color indexed="81"/>
            <rFont val="Tahoma"/>
            <family val="2"/>
          </rPr>
          <t>/</t>
        </r>
        <r>
          <rPr>
            <sz val="9"/>
            <color indexed="81"/>
            <rFont val="細明體"/>
            <family val="3"/>
            <charset val="136"/>
          </rPr>
          <t>視覺藝術</t>
        </r>
      </text>
    </comment>
    <comment ref="D60" authorId="1" shapeId="0" xr:uid="{0CF36F85-2D53-4C77-B78D-21B46409B8F6}">
      <text>
        <r>
          <rPr>
            <b/>
            <sz val="9"/>
            <color indexed="81"/>
            <rFont val="Tahoma"/>
            <family val="2"/>
          </rPr>
          <t>Best 6(</t>
        </r>
        <r>
          <rPr>
            <b/>
            <sz val="9"/>
            <color indexed="81"/>
            <rFont val="細明體"/>
            <family val="3"/>
            <charset val="136"/>
          </rPr>
          <t>包括英文</t>
        </r>
        <r>
          <rPr>
            <b/>
            <sz val="9"/>
            <color indexed="81"/>
            <rFont val="Tahoma"/>
            <family val="2"/>
          </rPr>
          <t>)</t>
        </r>
        <r>
          <rPr>
            <b/>
            <sz val="9"/>
            <color indexed="81"/>
            <rFont val="細明體"/>
            <family val="3"/>
            <charset val="136"/>
          </rPr>
          <t xml:space="preserve">
</t>
        </r>
        <r>
          <rPr>
            <b/>
            <sz val="9"/>
            <color indexed="81"/>
            <rFont val="Tahoma"/>
            <family val="2"/>
          </rPr>
          <t xml:space="preserve">x2.5: </t>
        </r>
        <r>
          <rPr>
            <sz val="9"/>
            <color indexed="81"/>
            <rFont val="細明體"/>
            <family val="3"/>
            <charset val="136"/>
          </rPr>
          <t xml:space="preserve">英文
</t>
        </r>
        <r>
          <rPr>
            <b/>
            <sz val="9"/>
            <color indexed="81"/>
            <rFont val="Tahoma"/>
            <family val="2"/>
          </rPr>
          <t xml:space="preserve">x1.5: </t>
        </r>
        <r>
          <rPr>
            <sz val="9"/>
            <color indexed="81"/>
            <rFont val="細明體"/>
            <family val="3"/>
            <charset val="136"/>
          </rPr>
          <t>英國文學、通識</t>
        </r>
      </text>
    </comment>
    <comment ref="D61" authorId="1" shapeId="0" xr:uid="{57BAD842-52FF-4C8F-AC01-9B0A2CD60356}">
      <text>
        <r>
          <rPr>
            <b/>
            <sz val="9"/>
            <color indexed="81"/>
            <rFont val="Tahoma"/>
            <family val="2"/>
          </rPr>
          <t>Best 5 (</t>
        </r>
        <r>
          <rPr>
            <b/>
            <sz val="9"/>
            <color indexed="81"/>
            <rFont val="細明體"/>
            <family val="3"/>
            <charset val="136"/>
          </rPr>
          <t>包括英文</t>
        </r>
        <r>
          <rPr>
            <b/>
            <sz val="9"/>
            <color indexed="81"/>
            <rFont val="Tahoma"/>
            <family val="2"/>
          </rPr>
          <t>)</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中文、英文</t>
        </r>
      </text>
    </comment>
    <comment ref="D62" authorId="1" shapeId="0" xr:uid="{3FE34864-7773-4B74-A8B1-B885CF7DB2FD}">
      <text>
        <r>
          <rPr>
            <b/>
            <sz val="9"/>
            <color indexed="81"/>
            <rFont val="Tahoma"/>
            <family val="2"/>
          </rPr>
          <t>2022</t>
        </r>
        <r>
          <rPr>
            <b/>
            <sz val="9"/>
            <color indexed="81"/>
            <rFont val="細明體"/>
            <family val="3"/>
            <charset val="136"/>
          </rPr>
          <t>年將以</t>
        </r>
        <r>
          <rPr>
            <b/>
            <sz val="9"/>
            <color indexed="81"/>
            <rFont val="Tahoma"/>
            <family val="2"/>
          </rPr>
          <t xml:space="preserve">4C2X </t>
        </r>
        <r>
          <rPr>
            <b/>
            <sz val="9"/>
            <color indexed="81"/>
            <rFont val="細明體"/>
            <family val="3"/>
            <charset val="136"/>
          </rPr>
          <t xml:space="preserve">及新比重收生
</t>
        </r>
        <r>
          <rPr>
            <sz val="9"/>
            <color indexed="81"/>
            <rFont val="Tahoma"/>
            <family val="2"/>
          </rPr>
          <t>(</t>
        </r>
        <r>
          <rPr>
            <b/>
            <sz val="9"/>
            <color indexed="81"/>
            <rFont val="Tahoma"/>
            <family val="2"/>
          </rPr>
          <t xml:space="preserve">x1.5: </t>
        </r>
        <r>
          <rPr>
            <sz val="9"/>
            <color indexed="81"/>
            <rFont val="細明體"/>
            <family val="3"/>
            <charset val="136"/>
          </rPr>
          <t>英文</t>
        </r>
        <r>
          <rPr>
            <sz val="9"/>
            <color indexed="81"/>
            <rFont val="Tahoma"/>
            <family val="2"/>
          </rPr>
          <t xml:space="preserve">)
</t>
        </r>
        <r>
          <rPr>
            <b/>
            <sz val="9"/>
            <color indexed="81"/>
            <rFont val="細明體"/>
            <family val="3"/>
            <charset val="136"/>
          </rPr>
          <t xml:space="preserve">
此處仍以</t>
        </r>
        <r>
          <rPr>
            <b/>
            <sz val="9"/>
            <color indexed="81"/>
            <rFont val="Tahoma"/>
            <family val="2"/>
          </rPr>
          <t xml:space="preserve">4C1X </t>
        </r>
        <r>
          <rPr>
            <b/>
            <sz val="9"/>
            <color indexed="81"/>
            <rFont val="細明體"/>
            <family val="3"/>
            <charset val="136"/>
          </rPr>
          <t>及</t>
        </r>
        <r>
          <rPr>
            <b/>
            <sz val="9"/>
            <color indexed="81"/>
            <rFont val="細明體"/>
            <family val="3"/>
            <charset val="136"/>
          </rPr>
          <t>原本比重</t>
        </r>
        <r>
          <rPr>
            <b/>
            <sz val="9"/>
            <color indexed="81"/>
            <rFont val="細明體"/>
            <family val="3"/>
            <charset val="136"/>
          </rPr>
          <t xml:space="preserve">作估算，請注意
</t>
        </r>
        <r>
          <rPr>
            <b/>
            <sz val="9"/>
            <color indexed="81"/>
            <rFont val="Tahoma"/>
            <family val="2"/>
          </rPr>
          <t xml:space="preserve">x2: </t>
        </r>
        <r>
          <rPr>
            <sz val="9"/>
            <color indexed="81"/>
            <rFont val="細明體"/>
            <family val="3"/>
            <charset val="136"/>
          </rPr>
          <t xml:space="preserve">英文
</t>
        </r>
        <r>
          <rPr>
            <b/>
            <sz val="9"/>
            <color indexed="81"/>
            <rFont val="Tahoma"/>
            <family val="2"/>
          </rPr>
          <t>x1.5:</t>
        </r>
        <r>
          <rPr>
            <sz val="9"/>
            <color indexed="81"/>
            <rFont val="Tahoma"/>
            <family val="2"/>
          </rPr>
          <t xml:space="preserve"> </t>
        </r>
        <r>
          <rPr>
            <sz val="9"/>
            <color indexed="81"/>
            <rFont val="細明體"/>
            <family val="3"/>
            <charset val="136"/>
          </rPr>
          <t>通識</t>
        </r>
      </text>
    </comment>
    <comment ref="D64" authorId="1" shapeId="0" xr:uid="{CBDDA5E3-9CF8-4B09-A60E-09BD785A0832}">
      <text>
        <r>
          <rPr>
            <b/>
            <sz val="9"/>
            <color indexed="81"/>
            <rFont val="Tahoma"/>
            <family val="2"/>
          </rPr>
          <t>2022</t>
        </r>
        <r>
          <rPr>
            <b/>
            <sz val="9"/>
            <color indexed="81"/>
            <rFont val="細明體"/>
            <family val="3"/>
            <charset val="136"/>
          </rPr>
          <t>年將以</t>
        </r>
        <r>
          <rPr>
            <b/>
            <sz val="9"/>
            <color indexed="81"/>
            <rFont val="Tahoma"/>
            <family val="2"/>
          </rPr>
          <t>Best 5(</t>
        </r>
        <r>
          <rPr>
            <b/>
            <sz val="9"/>
            <color indexed="81"/>
            <rFont val="細明體"/>
            <family val="3"/>
            <charset val="136"/>
          </rPr>
          <t>包括英文</t>
        </r>
        <r>
          <rPr>
            <b/>
            <sz val="9"/>
            <color indexed="81"/>
            <rFont val="Tahoma"/>
            <family val="2"/>
          </rPr>
          <t>)</t>
        </r>
        <r>
          <rPr>
            <b/>
            <sz val="9"/>
            <color indexed="81"/>
            <rFont val="細明體"/>
            <family val="3"/>
            <charset val="136"/>
          </rPr>
          <t>收生</t>
        </r>
        <r>
          <rPr>
            <b/>
            <sz val="9"/>
            <color indexed="81"/>
            <rFont val="Tahoma"/>
            <family val="2"/>
          </rPr>
          <t xml:space="preserve">
</t>
        </r>
        <r>
          <rPr>
            <b/>
            <sz val="9"/>
            <color indexed="81"/>
            <rFont val="細明體"/>
            <family val="3"/>
            <charset val="136"/>
          </rPr>
          <t>此處仍以</t>
        </r>
        <r>
          <rPr>
            <b/>
            <sz val="9"/>
            <color indexed="81"/>
            <rFont val="Tahoma"/>
            <family val="2"/>
          </rPr>
          <t xml:space="preserve">4C2X </t>
        </r>
        <r>
          <rPr>
            <b/>
            <sz val="9"/>
            <color indexed="81"/>
            <rFont val="細明體"/>
            <family val="3"/>
            <charset val="136"/>
          </rPr>
          <t xml:space="preserve">作估算，請注意
</t>
        </r>
        <r>
          <rPr>
            <b/>
            <sz val="9"/>
            <color indexed="81"/>
            <rFont val="Tahoma"/>
            <family val="2"/>
          </rPr>
          <t xml:space="preserve">x2: </t>
        </r>
        <r>
          <rPr>
            <sz val="9"/>
            <color indexed="81"/>
            <rFont val="細明體"/>
            <family val="3"/>
            <charset val="136"/>
          </rPr>
          <t>英文</t>
        </r>
      </text>
    </comment>
    <comment ref="D65" authorId="1" shapeId="0" xr:uid="{34FBF1E8-E3C3-4E29-ADD3-D89B0292999C}">
      <text>
        <r>
          <rPr>
            <b/>
            <sz val="9"/>
            <color indexed="81"/>
            <rFont val="Tahoma"/>
            <family val="2"/>
          </rPr>
          <t>2022</t>
        </r>
        <r>
          <rPr>
            <b/>
            <sz val="9"/>
            <color indexed="81"/>
            <rFont val="細明體"/>
            <family val="3"/>
            <charset val="136"/>
          </rPr>
          <t>年將以</t>
        </r>
        <r>
          <rPr>
            <b/>
            <sz val="9"/>
            <color indexed="81"/>
            <rFont val="Tahoma"/>
            <family val="2"/>
          </rPr>
          <t>Best 5(</t>
        </r>
        <r>
          <rPr>
            <b/>
            <sz val="9"/>
            <color indexed="81"/>
            <rFont val="細明體"/>
            <family val="3"/>
            <charset val="136"/>
          </rPr>
          <t>包括英文</t>
        </r>
        <r>
          <rPr>
            <b/>
            <sz val="9"/>
            <color indexed="81"/>
            <rFont val="Tahoma"/>
            <family val="2"/>
          </rPr>
          <t>)</t>
        </r>
        <r>
          <rPr>
            <b/>
            <sz val="9"/>
            <color indexed="81"/>
            <rFont val="細明體"/>
            <family val="3"/>
            <charset val="136"/>
          </rPr>
          <t>收生
此處仍以</t>
        </r>
        <r>
          <rPr>
            <b/>
            <sz val="9"/>
            <color indexed="81"/>
            <rFont val="Tahoma"/>
            <family val="2"/>
          </rPr>
          <t xml:space="preserve">4C2X </t>
        </r>
        <r>
          <rPr>
            <b/>
            <sz val="9"/>
            <color indexed="81"/>
            <rFont val="細明體"/>
            <family val="3"/>
            <charset val="136"/>
          </rPr>
          <t xml:space="preserve">作估算，請注意
</t>
        </r>
        <r>
          <rPr>
            <b/>
            <sz val="9"/>
            <color indexed="81"/>
            <rFont val="Tahoma"/>
            <family val="2"/>
          </rPr>
          <t xml:space="preserve">x2: </t>
        </r>
        <r>
          <rPr>
            <sz val="9"/>
            <color indexed="81"/>
            <rFont val="細明體"/>
            <family val="3"/>
            <charset val="136"/>
          </rPr>
          <t>英文</t>
        </r>
      </text>
    </comment>
    <comment ref="D66" authorId="1" shapeId="0" xr:uid="{073A0EEE-4100-48B0-81CD-4EC13F6814F0}">
      <text>
        <r>
          <rPr>
            <b/>
            <sz val="9"/>
            <color indexed="81"/>
            <rFont val="Tahoma"/>
            <family val="2"/>
          </rPr>
          <t>2022</t>
        </r>
        <r>
          <rPr>
            <b/>
            <sz val="9"/>
            <color indexed="81"/>
            <rFont val="細明體"/>
            <family val="3"/>
            <charset val="136"/>
          </rPr>
          <t>年將以</t>
        </r>
        <r>
          <rPr>
            <b/>
            <sz val="9"/>
            <color indexed="81"/>
            <rFont val="Tahoma"/>
            <family val="2"/>
          </rPr>
          <t>Best 5(</t>
        </r>
        <r>
          <rPr>
            <b/>
            <sz val="9"/>
            <color indexed="81"/>
            <rFont val="細明體"/>
            <family val="3"/>
            <charset val="136"/>
          </rPr>
          <t>包括英文</t>
        </r>
        <r>
          <rPr>
            <b/>
            <sz val="9"/>
            <color indexed="81"/>
            <rFont val="Tahoma"/>
            <family val="2"/>
          </rPr>
          <t>)</t>
        </r>
        <r>
          <rPr>
            <b/>
            <sz val="9"/>
            <color indexed="81"/>
            <rFont val="細明體"/>
            <family val="3"/>
            <charset val="136"/>
          </rPr>
          <t>收生
此處仍以</t>
        </r>
        <r>
          <rPr>
            <b/>
            <sz val="9"/>
            <color indexed="81"/>
            <rFont val="Tahoma"/>
            <family val="2"/>
          </rPr>
          <t xml:space="preserve">4C2X </t>
        </r>
        <r>
          <rPr>
            <b/>
            <sz val="9"/>
            <color indexed="81"/>
            <rFont val="細明體"/>
            <family val="3"/>
            <charset val="136"/>
          </rPr>
          <t xml:space="preserve">作估算，請注意
</t>
        </r>
        <r>
          <rPr>
            <b/>
            <sz val="9"/>
            <color indexed="81"/>
            <rFont val="Tahoma"/>
            <family val="2"/>
          </rPr>
          <t xml:space="preserve">x2: </t>
        </r>
        <r>
          <rPr>
            <sz val="9"/>
            <color indexed="81"/>
            <rFont val="細明體"/>
            <family val="3"/>
            <charset val="136"/>
          </rPr>
          <t>英文</t>
        </r>
      </text>
    </comment>
    <comment ref="D67" authorId="1" shapeId="0" xr:uid="{3F35C215-3E8E-466D-8004-058EB283AB4C}">
      <text>
        <r>
          <rPr>
            <b/>
            <sz val="9"/>
            <color indexed="81"/>
            <rFont val="Tahoma"/>
            <family val="2"/>
          </rPr>
          <t>2022</t>
        </r>
        <r>
          <rPr>
            <b/>
            <sz val="9"/>
            <color indexed="81"/>
            <rFont val="細明體"/>
            <family val="3"/>
            <charset val="136"/>
          </rPr>
          <t>年將以</t>
        </r>
        <r>
          <rPr>
            <b/>
            <sz val="9"/>
            <color indexed="81"/>
            <rFont val="Tahoma"/>
            <family val="2"/>
          </rPr>
          <t>Best 5(</t>
        </r>
        <r>
          <rPr>
            <b/>
            <sz val="9"/>
            <color indexed="81"/>
            <rFont val="細明體"/>
            <family val="3"/>
            <charset val="136"/>
          </rPr>
          <t>包括英文</t>
        </r>
        <r>
          <rPr>
            <b/>
            <sz val="9"/>
            <color indexed="81"/>
            <rFont val="Tahoma"/>
            <family val="2"/>
          </rPr>
          <t>)</t>
        </r>
        <r>
          <rPr>
            <b/>
            <sz val="9"/>
            <color indexed="81"/>
            <rFont val="細明體"/>
            <family val="3"/>
            <charset val="136"/>
          </rPr>
          <t>收生
此處仍以</t>
        </r>
        <r>
          <rPr>
            <b/>
            <sz val="9"/>
            <color indexed="81"/>
            <rFont val="Tahoma"/>
            <family val="2"/>
          </rPr>
          <t xml:space="preserve">4C2X </t>
        </r>
        <r>
          <rPr>
            <b/>
            <sz val="9"/>
            <color indexed="81"/>
            <rFont val="細明體"/>
            <family val="3"/>
            <charset val="136"/>
          </rPr>
          <t xml:space="preserve">作估算，請注意
</t>
        </r>
        <r>
          <rPr>
            <b/>
            <sz val="9"/>
            <color indexed="81"/>
            <rFont val="Tahoma"/>
            <family val="2"/>
          </rPr>
          <t xml:space="preserve">x2: </t>
        </r>
        <r>
          <rPr>
            <sz val="9"/>
            <color indexed="81"/>
            <rFont val="細明體"/>
            <family val="3"/>
            <charset val="136"/>
          </rPr>
          <t>英文</t>
        </r>
      </text>
    </comment>
    <comment ref="D68" authorId="1" shapeId="0" xr:uid="{1FA3E0B1-36B3-4A66-AEC5-FECAE3278723}">
      <text>
        <r>
          <rPr>
            <b/>
            <sz val="9"/>
            <color indexed="81"/>
            <rFont val="Tahoma"/>
            <family val="2"/>
          </rPr>
          <t>2022</t>
        </r>
        <r>
          <rPr>
            <b/>
            <sz val="9"/>
            <color indexed="81"/>
            <rFont val="細明體"/>
            <family val="3"/>
            <charset val="136"/>
          </rPr>
          <t>年新科目</t>
        </r>
        <r>
          <rPr>
            <sz val="9"/>
            <color indexed="81"/>
            <rFont val="Tahoma"/>
            <family val="2"/>
          </rPr>
          <t xml:space="preserve">
</t>
        </r>
      </text>
    </comment>
    <comment ref="D69" authorId="1" shapeId="0" xr:uid="{B9E72BA6-E1A8-43A9-9B6D-750094500435}">
      <text>
        <r>
          <rPr>
            <b/>
            <sz val="9"/>
            <color indexed="81"/>
            <rFont val="Tahoma"/>
            <family val="2"/>
          </rPr>
          <t>2022</t>
        </r>
        <r>
          <rPr>
            <b/>
            <sz val="9"/>
            <color indexed="81"/>
            <rFont val="細明體"/>
            <family val="3"/>
            <charset val="136"/>
          </rPr>
          <t>年新科目</t>
        </r>
        <r>
          <rPr>
            <sz val="9"/>
            <color indexed="81"/>
            <rFont val="Tahoma"/>
            <family val="2"/>
          </rPr>
          <t xml:space="preserve">
</t>
        </r>
        <r>
          <rPr>
            <b/>
            <sz val="9"/>
            <color indexed="81"/>
            <rFont val="Tahoma"/>
            <family val="2"/>
          </rPr>
          <t>Best 6(</t>
        </r>
        <r>
          <rPr>
            <b/>
            <sz val="9"/>
            <color indexed="81"/>
            <rFont val="細明體"/>
            <family val="3"/>
            <charset val="136"/>
          </rPr>
          <t>包括英文</t>
        </r>
        <r>
          <rPr>
            <b/>
            <sz val="9"/>
            <color indexed="81"/>
            <rFont val="Tahoma"/>
            <family val="2"/>
          </rPr>
          <t>)</t>
        </r>
      </text>
    </comment>
    <comment ref="D70" authorId="0" shapeId="0" xr:uid="{E36F2456-2D5A-4171-BBBA-EF59C30E8D03}">
      <text>
        <r>
          <rPr>
            <b/>
            <sz val="9"/>
            <color indexed="81"/>
            <rFont val="Tahoma"/>
            <family val="2"/>
          </rPr>
          <t>x2.5:</t>
        </r>
        <r>
          <rPr>
            <sz val="9"/>
            <color indexed="81"/>
            <rFont val="Tahoma"/>
            <family val="2"/>
          </rPr>
          <t xml:space="preserve"> </t>
        </r>
        <r>
          <rPr>
            <sz val="9"/>
            <color indexed="81"/>
            <rFont val="細明體"/>
            <family val="3"/>
            <charset val="136"/>
          </rPr>
          <t>數學、物理、生物、化學、經濟、</t>
        </r>
        <r>
          <rPr>
            <sz val="9"/>
            <color indexed="81"/>
            <rFont val="Tahoma"/>
            <family val="2"/>
          </rPr>
          <t xml:space="preserve">M1/2
</t>
        </r>
        <r>
          <rPr>
            <b/>
            <sz val="9"/>
            <color indexed="81"/>
            <rFont val="Tahoma"/>
            <family val="2"/>
          </rPr>
          <t xml:space="preserve">x2: </t>
        </r>
        <r>
          <rPr>
            <sz val="9"/>
            <color indexed="81"/>
            <rFont val="細明體"/>
            <family val="3"/>
            <charset val="136"/>
          </rPr>
          <t>英文</t>
        </r>
      </text>
    </comment>
    <comment ref="D71" authorId="0" shapeId="0" xr:uid="{60A5FAE2-F12C-40B4-A288-B90AB600E9D3}">
      <text>
        <r>
          <rPr>
            <b/>
            <sz val="9"/>
            <color indexed="81"/>
            <rFont val="Tahoma"/>
            <family val="2"/>
          </rPr>
          <t>Best 6(</t>
        </r>
        <r>
          <rPr>
            <b/>
            <sz val="9"/>
            <color indexed="81"/>
            <rFont val="細明體"/>
            <family val="3"/>
            <charset val="136"/>
          </rPr>
          <t>包括英文</t>
        </r>
        <r>
          <rPr>
            <b/>
            <sz val="9"/>
            <color indexed="81"/>
            <rFont val="Tahoma"/>
            <family val="2"/>
          </rPr>
          <t xml:space="preserve">)
</t>
        </r>
        <r>
          <rPr>
            <b/>
            <sz val="9"/>
            <color indexed="81"/>
            <rFont val="細明體"/>
            <family val="3"/>
            <charset val="136"/>
          </rPr>
          <t xml:space="preserve">
</t>
        </r>
        <r>
          <rPr>
            <b/>
            <sz val="9"/>
            <color indexed="81"/>
            <rFont val="Tahoma"/>
            <family val="2"/>
          </rPr>
          <t xml:space="preserve">x2.5: </t>
        </r>
        <r>
          <rPr>
            <sz val="9"/>
            <color indexed="81"/>
            <rFont val="細明體"/>
            <family val="3"/>
            <charset val="136"/>
          </rPr>
          <t>英文、數學、物理、</t>
        </r>
        <r>
          <rPr>
            <sz val="9"/>
            <color indexed="81"/>
            <rFont val="Tahoma"/>
            <family val="2"/>
          </rPr>
          <t>M1/2</t>
        </r>
        <r>
          <rPr>
            <sz val="9"/>
            <color indexed="81"/>
            <rFont val="細明體"/>
            <family val="3"/>
            <charset val="136"/>
          </rPr>
          <t>、組合科學</t>
        </r>
        <r>
          <rPr>
            <sz val="9"/>
            <color indexed="81"/>
            <rFont val="Tahoma"/>
            <family val="2"/>
          </rPr>
          <t>(</t>
        </r>
        <r>
          <rPr>
            <sz val="9"/>
            <color indexed="81"/>
            <rFont val="細明體"/>
            <family val="3"/>
            <charset val="136"/>
          </rPr>
          <t>含物理</t>
        </r>
        <r>
          <rPr>
            <sz val="9"/>
            <color indexed="81"/>
            <rFont val="Tahoma"/>
            <family val="2"/>
          </rPr>
          <t>)</t>
        </r>
        <r>
          <rPr>
            <sz val="9"/>
            <color indexed="81"/>
            <rFont val="細明體"/>
            <family val="3"/>
            <charset val="136"/>
          </rPr>
          <t xml:space="preserve">、綜合科學
</t>
        </r>
        <r>
          <rPr>
            <b/>
            <sz val="9"/>
            <color indexed="81"/>
            <rFont val="Tahoma"/>
            <family val="2"/>
          </rPr>
          <t xml:space="preserve">x1.5: </t>
        </r>
        <r>
          <rPr>
            <sz val="9"/>
            <color indexed="81"/>
            <rFont val="細明體"/>
            <family val="3"/>
            <charset val="136"/>
          </rPr>
          <t>中文</t>
        </r>
      </text>
    </comment>
    <comment ref="D72" authorId="1" shapeId="0" xr:uid="{C62A8010-5CA4-4556-B434-EBCB43FCC4E4}">
      <text>
        <r>
          <rPr>
            <b/>
            <sz val="9"/>
            <color indexed="81"/>
            <rFont val="Tahoma"/>
            <family val="2"/>
          </rPr>
          <t xml:space="preserve">x2: </t>
        </r>
        <r>
          <rPr>
            <sz val="9"/>
            <color indexed="81"/>
            <rFont val="細明體"/>
            <family val="3"/>
            <charset val="136"/>
          </rPr>
          <t>英文，化學</t>
        </r>
        <r>
          <rPr>
            <sz val="9"/>
            <color indexed="81"/>
            <rFont val="Tahoma"/>
            <family val="2"/>
          </rPr>
          <t xml:space="preserve">
</t>
        </r>
        <r>
          <rPr>
            <b/>
            <sz val="9"/>
            <color indexed="81"/>
            <rFont val="Tahoma"/>
            <family val="2"/>
          </rPr>
          <t xml:space="preserve">x1.5: </t>
        </r>
        <r>
          <rPr>
            <sz val="9"/>
            <color indexed="81"/>
            <rFont val="細明體"/>
            <family val="3"/>
            <charset val="136"/>
          </rPr>
          <t>數學，組合科學</t>
        </r>
        <r>
          <rPr>
            <sz val="9"/>
            <color indexed="81"/>
            <rFont val="Tahoma"/>
            <family val="2"/>
          </rPr>
          <t>(</t>
        </r>
        <r>
          <rPr>
            <sz val="9"/>
            <color indexed="81"/>
            <rFont val="細明體"/>
            <family val="3"/>
            <charset val="136"/>
          </rPr>
          <t>化學</t>
        </r>
        <r>
          <rPr>
            <sz val="9"/>
            <color indexed="81"/>
            <rFont val="Tahoma"/>
            <family val="2"/>
          </rPr>
          <t>)</t>
        </r>
      </text>
    </comment>
    <comment ref="D73" authorId="0" shapeId="0" xr:uid="{8AC549DE-C185-4AEC-9673-79816E44442A}">
      <text>
        <r>
          <rPr>
            <b/>
            <sz val="9"/>
            <color indexed="81"/>
            <rFont val="Tahoma"/>
            <family val="2"/>
          </rPr>
          <t>Best 5 (</t>
        </r>
        <r>
          <rPr>
            <b/>
            <sz val="9"/>
            <color indexed="81"/>
            <rFont val="細明體"/>
            <family val="3"/>
            <charset val="136"/>
          </rPr>
          <t>包括英文、數學、最佳理科</t>
        </r>
        <r>
          <rPr>
            <b/>
            <sz val="9"/>
            <color indexed="81"/>
            <rFont val="Tahoma"/>
            <family val="2"/>
          </rPr>
          <t xml:space="preserve">*)
*: </t>
        </r>
        <r>
          <rPr>
            <sz val="9"/>
            <color indexed="81"/>
            <rFont val="細明體"/>
            <family val="3"/>
            <charset val="136"/>
          </rPr>
          <t>生物、化學、組合科學、</t>
        </r>
        <r>
          <rPr>
            <sz val="9"/>
            <color indexed="81"/>
            <rFont val="Tahoma"/>
            <family val="2"/>
          </rPr>
          <t>ICT</t>
        </r>
        <r>
          <rPr>
            <sz val="9"/>
            <color indexed="81"/>
            <rFont val="細明體"/>
            <family val="3"/>
            <charset val="136"/>
          </rPr>
          <t>、綜合科學、</t>
        </r>
        <r>
          <rPr>
            <sz val="9"/>
            <color indexed="81"/>
            <rFont val="Tahoma"/>
            <family val="2"/>
          </rPr>
          <t>M1/2</t>
        </r>
        <r>
          <rPr>
            <sz val="9"/>
            <color indexed="81"/>
            <rFont val="細明體"/>
            <family val="3"/>
            <charset val="136"/>
          </rPr>
          <t>、物理</t>
        </r>
      </text>
    </comment>
    <comment ref="D74" authorId="1" shapeId="0" xr:uid="{63D14D19-E400-4535-BD47-2C58B1CC6D10}">
      <text>
        <r>
          <rPr>
            <b/>
            <sz val="9"/>
            <color indexed="81"/>
            <rFont val="Tahoma"/>
            <family val="2"/>
          </rPr>
          <t>Best 5 (</t>
        </r>
        <r>
          <rPr>
            <b/>
            <sz val="9"/>
            <color indexed="81"/>
            <rFont val="細明體"/>
            <family val="3"/>
            <charset val="136"/>
          </rPr>
          <t>包括英文、數學</t>
        </r>
        <r>
          <rPr>
            <b/>
            <sz val="9"/>
            <color indexed="81"/>
            <rFont val="Tahoma"/>
            <family val="2"/>
          </rPr>
          <t>)</t>
        </r>
        <r>
          <rPr>
            <b/>
            <sz val="9"/>
            <color indexed="81"/>
            <rFont val="細明體"/>
            <family val="3"/>
            <charset val="136"/>
          </rPr>
          <t xml:space="preserve">
</t>
        </r>
        <r>
          <rPr>
            <b/>
            <sz val="9"/>
            <color indexed="81"/>
            <rFont val="Tahoma"/>
            <family val="2"/>
          </rPr>
          <t xml:space="preserve">x2: </t>
        </r>
        <r>
          <rPr>
            <sz val="9"/>
            <color indexed="81"/>
            <rFont val="細明體"/>
            <family val="3"/>
            <charset val="136"/>
          </rPr>
          <t>英文、數學、組合科學</t>
        </r>
        <r>
          <rPr>
            <sz val="9"/>
            <color indexed="81"/>
            <rFont val="Tahoma"/>
            <family val="2"/>
          </rPr>
          <t>(</t>
        </r>
        <r>
          <rPr>
            <sz val="9"/>
            <color indexed="81"/>
            <rFont val="細明體"/>
            <family val="3"/>
            <charset val="136"/>
          </rPr>
          <t>物理、化學</t>
        </r>
        <r>
          <rPr>
            <sz val="9"/>
            <color indexed="81"/>
            <rFont val="Tahoma"/>
            <family val="2"/>
          </rPr>
          <t>)</t>
        </r>
        <r>
          <rPr>
            <sz val="9"/>
            <color indexed="81"/>
            <rFont val="細明體"/>
            <family val="3"/>
            <charset val="136"/>
          </rPr>
          <t>、組合科學</t>
        </r>
        <r>
          <rPr>
            <sz val="9"/>
            <color indexed="81"/>
            <rFont val="Tahoma"/>
            <family val="2"/>
          </rPr>
          <t>(</t>
        </r>
        <r>
          <rPr>
            <sz val="9"/>
            <color indexed="81"/>
            <rFont val="細明體"/>
            <family val="3"/>
            <charset val="136"/>
          </rPr>
          <t>物理、生物</t>
        </r>
        <r>
          <rPr>
            <sz val="9"/>
            <color indexed="81"/>
            <rFont val="Tahoma"/>
            <family val="2"/>
          </rPr>
          <t>)</t>
        </r>
        <r>
          <rPr>
            <sz val="9"/>
            <color indexed="81"/>
            <rFont val="細明體"/>
            <family val="3"/>
            <charset val="136"/>
          </rPr>
          <t>、物理、</t>
        </r>
        <r>
          <rPr>
            <sz val="9"/>
            <color indexed="81"/>
            <rFont val="Tahoma"/>
            <family val="2"/>
          </rPr>
          <t>ICT</t>
        </r>
        <r>
          <rPr>
            <sz val="9"/>
            <color indexed="81"/>
            <rFont val="細明體"/>
            <family val="3"/>
            <charset val="136"/>
          </rPr>
          <t>、</t>
        </r>
        <r>
          <rPr>
            <sz val="9"/>
            <color indexed="81"/>
            <rFont val="Tahoma"/>
            <family val="2"/>
          </rPr>
          <t xml:space="preserve">M1/2
</t>
        </r>
        <r>
          <rPr>
            <b/>
            <sz val="9"/>
            <color indexed="81"/>
            <rFont val="Tahoma"/>
            <family val="2"/>
          </rPr>
          <t xml:space="preserve">x1.5: </t>
        </r>
        <r>
          <rPr>
            <sz val="9"/>
            <color indexed="81"/>
            <rFont val="細明體"/>
            <family val="3"/>
            <charset val="136"/>
          </rPr>
          <t>組合科學</t>
        </r>
        <r>
          <rPr>
            <sz val="9"/>
            <color indexed="81"/>
            <rFont val="Tahoma"/>
            <family val="2"/>
          </rPr>
          <t>(</t>
        </r>
        <r>
          <rPr>
            <sz val="9"/>
            <color indexed="81"/>
            <rFont val="細明體"/>
            <family val="3"/>
            <charset val="136"/>
          </rPr>
          <t>生物、化學</t>
        </r>
        <r>
          <rPr>
            <sz val="9"/>
            <color indexed="81"/>
            <rFont val="Tahoma"/>
            <family val="2"/>
          </rPr>
          <t>)</t>
        </r>
        <r>
          <rPr>
            <sz val="9"/>
            <color indexed="81"/>
            <rFont val="細明體"/>
            <family val="3"/>
            <charset val="136"/>
          </rPr>
          <t>、生物、化學、綜合科學</t>
        </r>
      </text>
    </comment>
    <comment ref="D75" authorId="1" shapeId="0" xr:uid="{71A0D5D5-8819-4964-80FD-A3BCB15C29D1}">
      <text>
        <r>
          <rPr>
            <b/>
            <sz val="9"/>
            <color indexed="81"/>
            <rFont val="Tahoma"/>
            <family val="2"/>
          </rPr>
          <t>Best 5 (</t>
        </r>
        <r>
          <rPr>
            <b/>
            <sz val="9"/>
            <color indexed="81"/>
            <rFont val="細明體"/>
            <family val="3"/>
            <charset val="136"/>
          </rPr>
          <t>包括數學</t>
        </r>
        <r>
          <rPr>
            <b/>
            <sz val="9"/>
            <color indexed="81"/>
            <rFont val="Tahoma"/>
            <family val="2"/>
          </rPr>
          <t>)</t>
        </r>
        <r>
          <rPr>
            <b/>
            <sz val="9"/>
            <color indexed="81"/>
            <rFont val="細明體"/>
            <family val="3"/>
            <charset val="136"/>
          </rPr>
          <t xml:space="preserve">
</t>
        </r>
        <r>
          <rPr>
            <b/>
            <sz val="9"/>
            <color indexed="81"/>
            <rFont val="Tahoma"/>
            <family val="2"/>
          </rPr>
          <t xml:space="preserve">x2.5: </t>
        </r>
        <r>
          <rPr>
            <sz val="9"/>
            <color indexed="81"/>
            <rFont val="細明體"/>
            <family val="3"/>
            <charset val="136"/>
          </rPr>
          <t xml:space="preserve">數學
</t>
        </r>
        <r>
          <rPr>
            <sz val="9"/>
            <color indexed="81"/>
            <rFont val="Tahoma"/>
            <family val="2"/>
          </rPr>
          <t xml:space="preserve">
</t>
        </r>
        <r>
          <rPr>
            <b/>
            <sz val="9"/>
            <color indexed="81"/>
            <rFont val="Tahoma"/>
            <family val="2"/>
          </rPr>
          <t xml:space="preserve">x2: </t>
        </r>
        <r>
          <rPr>
            <sz val="9"/>
            <color indexed="81"/>
            <rFont val="細明體"/>
            <family val="3"/>
            <charset val="136"/>
          </rPr>
          <t>英文、</t>
        </r>
        <r>
          <rPr>
            <sz val="9"/>
            <color indexed="81"/>
            <rFont val="Tahoma"/>
            <family val="2"/>
          </rPr>
          <t xml:space="preserve">M1/2
</t>
        </r>
        <r>
          <rPr>
            <b/>
            <sz val="9"/>
            <color indexed="81"/>
            <rFont val="Tahoma"/>
            <family val="2"/>
          </rPr>
          <t xml:space="preserve">x1.5: </t>
        </r>
        <r>
          <rPr>
            <sz val="9"/>
            <color indexed="81"/>
            <rFont val="細明體"/>
            <family val="3"/>
            <charset val="136"/>
          </rPr>
          <t>組合科學，生物，化學，物理</t>
        </r>
      </text>
    </comment>
    <comment ref="D76" authorId="1" shapeId="0" xr:uid="{44AB1052-0245-4BEA-9686-938C61960F71}">
      <text>
        <r>
          <rPr>
            <b/>
            <sz val="9"/>
            <color indexed="81"/>
            <rFont val="Tahoma"/>
            <family val="2"/>
          </rPr>
          <t>Best 6 (</t>
        </r>
        <r>
          <rPr>
            <b/>
            <sz val="9"/>
            <color indexed="81"/>
            <rFont val="細明體"/>
            <family val="3"/>
            <charset val="136"/>
          </rPr>
          <t>包括數學</t>
        </r>
        <r>
          <rPr>
            <b/>
            <sz val="9"/>
            <color indexed="81"/>
            <rFont val="Tahoma"/>
            <family val="2"/>
          </rPr>
          <t>)</t>
        </r>
        <r>
          <rPr>
            <b/>
            <sz val="9"/>
            <color indexed="81"/>
            <rFont val="細明體"/>
            <family val="3"/>
            <charset val="136"/>
          </rPr>
          <t xml:space="preserve">
</t>
        </r>
        <r>
          <rPr>
            <b/>
            <sz val="9"/>
            <color indexed="81"/>
            <rFont val="Tahoma"/>
            <family val="2"/>
          </rPr>
          <t>x2:</t>
        </r>
        <r>
          <rPr>
            <sz val="9"/>
            <color indexed="81"/>
            <rFont val="Tahoma"/>
            <family val="2"/>
          </rPr>
          <t xml:space="preserve"> </t>
        </r>
        <r>
          <rPr>
            <sz val="9"/>
            <color indexed="81"/>
            <rFont val="細明體"/>
            <family val="3"/>
            <charset val="136"/>
          </rPr>
          <t>英文，數學，物理</t>
        </r>
        <r>
          <rPr>
            <sz val="9"/>
            <color indexed="81"/>
            <rFont val="Tahoma"/>
            <family val="2"/>
          </rPr>
          <t xml:space="preserve">
</t>
        </r>
        <r>
          <rPr>
            <b/>
            <sz val="9"/>
            <color indexed="81"/>
            <rFont val="Tahoma"/>
            <family val="2"/>
          </rPr>
          <t xml:space="preserve">x1.5: </t>
        </r>
        <r>
          <rPr>
            <sz val="9"/>
            <color indexed="81"/>
            <rFont val="細明體"/>
            <family val="3"/>
            <charset val="136"/>
          </rPr>
          <t>組合科學</t>
        </r>
        <r>
          <rPr>
            <sz val="9"/>
            <color indexed="81"/>
            <rFont val="細明體"/>
            <family val="3"/>
            <charset val="136"/>
          </rPr>
          <t>，化學，</t>
        </r>
        <r>
          <rPr>
            <sz val="9"/>
            <color indexed="81"/>
            <rFont val="Tahoma"/>
            <family val="2"/>
          </rPr>
          <t>DAT</t>
        </r>
        <r>
          <rPr>
            <sz val="9"/>
            <color indexed="81"/>
            <rFont val="細明體"/>
            <family val="3"/>
            <charset val="136"/>
          </rPr>
          <t>，</t>
        </r>
        <r>
          <rPr>
            <sz val="9"/>
            <color indexed="81"/>
            <rFont val="Tahoma"/>
            <family val="2"/>
          </rPr>
          <t>M1/2</t>
        </r>
      </text>
    </comment>
    <comment ref="D77" authorId="1" shapeId="0" xr:uid="{B58FA36C-E06F-408D-B301-B87235D98F16}">
      <text>
        <r>
          <rPr>
            <b/>
            <sz val="9"/>
            <color indexed="81"/>
            <rFont val="Tahoma"/>
            <family val="2"/>
          </rPr>
          <t>Best 5 (</t>
        </r>
        <r>
          <rPr>
            <b/>
            <sz val="9"/>
            <color indexed="81"/>
            <rFont val="細明體"/>
            <family val="3"/>
            <charset val="136"/>
          </rPr>
          <t>包括數學</t>
        </r>
        <r>
          <rPr>
            <b/>
            <sz val="9"/>
            <color indexed="81"/>
            <rFont val="Tahoma"/>
            <family val="2"/>
          </rPr>
          <t>)</t>
        </r>
        <r>
          <rPr>
            <b/>
            <sz val="9"/>
            <color indexed="81"/>
            <rFont val="細明體"/>
            <family val="3"/>
            <charset val="136"/>
          </rPr>
          <t xml:space="preserve">
</t>
        </r>
        <r>
          <rPr>
            <b/>
            <sz val="9"/>
            <color indexed="81"/>
            <rFont val="Tahoma"/>
            <family val="2"/>
          </rPr>
          <t xml:space="preserve">x2: </t>
        </r>
        <r>
          <rPr>
            <sz val="9"/>
            <color indexed="81"/>
            <rFont val="細明體"/>
            <family val="3"/>
            <charset val="136"/>
          </rPr>
          <t xml:space="preserve">英文，物理
</t>
        </r>
        <r>
          <rPr>
            <b/>
            <sz val="9"/>
            <color indexed="81"/>
            <rFont val="細明體"/>
            <family val="3"/>
            <charset val="136"/>
          </rPr>
          <t xml:space="preserve">
</t>
        </r>
        <r>
          <rPr>
            <b/>
            <sz val="9"/>
            <color indexed="81"/>
            <rFont val="Tahoma"/>
            <family val="2"/>
          </rPr>
          <t xml:space="preserve">x1.5: </t>
        </r>
        <r>
          <rPr>
            <sz val="9"/>
            <color indexed="81"/>
            <rFont val="Tahoma"/>
            <family val="2"/>
          </rPr>
          <t xml:space="preserve">M1/2
</t>
        </r>
        <r>
          <rPr>
            <b/>
            <sz val="9"/>
            <color indexed="81"/>
            <rFont val="Tahoma"/>
            <family val="2"/>
          </rPr>
          <t>x1.25:</t>
        </r>
        <r>
          <rPr>
            <sz val="9"/>
            <color indexed="81"/>
            <rFont val="Tahoma"/>
            <family val="2"/>
          </rPr>
          <t xml:space="preserve"> </t>
        </r>
        <r>
          <rPr>
            <sz val="9"/>
            <color indexed="81"/>
            <rFont val="細明體"/>
            <family val="3"/>
            <charset val="136"/>
          </rPr>
          <t>數學</t>
        </r>
      </text>
    </comment>
    <comment ref="D78" authorId="1" shapeId="0" xr:uid="{A20AFE56-2E8D-47D8-A9DD-1A3B7A159445}">
      <text>
        <r>
          <rPr>
            <b/>
            <sz val="9"/>
            <color indexed="81"/>
            <rFont val="細明體"/>
            <family val="3"/>
            <charset val="136"/>
          </rPr>
          <t>包括英文、數學、最佳理科</t>
        </r>
        <r>
          <rPr>
            <b/>
            <sz val="9"/>
            <color indexed="81"/>
            <rFont val="Tahoma"/>
            <family val="2"/>
          </rPr>
          <t>*</t>
        </r>
        <r>
          <rPr>
            <b/>
            <sz val="9"/>
            <color indexed="81"/>
            <rFont val="細明體"/>
            <family val="3"/>
            <charset val="136"/>
          </rPr>
          <t xml:space="preserve">
</t>
        </r>
        <r>
          <rPr>
            <b/>
            <sz val="9"/>
            <color indexed="81"/>
            <rFont val="Tahoma"/>
            <family val="2"/>
          </rPr>
          <t xml:space="preserve">
2021</t>
        </r>
        <r>
          <rPr>
            <b/>
            <sz val="9"/>
            <color indexed="81"/>
            <rFont val="細明體"/>
            <family val="3"/>
            <charset val="136"/>
          </rPr>
          <t xml:space="preserve">年將以新比重收生
</t>
        </r>
        <r>
          <rPr>
            <sz val="9"/>
            <color indexed="81"/>
            <rFont val="Tahoma"/>
            <family val="2"/>
          </rPr>
          <t>(</t>
        </r>
        <r>
          <rPr>
            <b/>
            <sz val="9"/>
            <color indexed="81"/>
            <rFont val="Tahoma"/>
            <family val="2"/>
          </rPr>
          <t>x2:</t>
        </r>
        <r>
          <rPr>
            <sz val="9"/>
            <color indexed="81"/>
            <rFont val="Tahoma"/>
            <family val="2"/>
          </rPr>
          <t xml:space="preserve"> </t>
        </r>
        <r>
          <rPr>
            <sz val="9"/>
            <color indexed="81"/>
            <rFont val="細明體"/>
            <family val="3"/>
            <charset val="136"/>
          </rPr>
          <t>數學、物理</t>
        </r>
        <r>
          <rPr>
            <b/>
            <sz val="9"/>
            <color indexed="81"/>
            <rFont val="細明體"/>
            <family val="3"/>
            <charset val="136"/>
          </rPr>
          <t xml:space="preserve">
</t>
        </r>
        <r>
          <rPr>
            <b/>
            <sz val="9"/>
            <color indexed="81"/>
            <rFont val="Tahoma"/>
            <family val="2"/>
          </rPr>
          <t xml:space="preserve">x1.5: </t>
        </r>
        <r>
          <rPr>
            <sz val="9"/>
            <color indexed="81"/>
            <rFont val="細明體"/>
            <family val="3"/>
            <charset val="136"/>
          </rPr>
          <t>英文、生物、化學、</t>
        </r>
        <r>
          <rPr>
            <sz val="9"/>
            <color indexed="81"/>
            <rFont val="Tahoma"/>
            <family val="2"/>
          </rPr>
          <t>M1/2)</t>
        </r>
        <r>
          <rPr>
            <b/>
            <sz val="9"/>
            <color indexed="81"/>
            <rFont val="Tahoma"/>
            <family val="2"/>
          </rPr>
          <t xml:space="preserve">
</t>
        </r>
        <r>
          <rPr>
            <b/>
            <sz val="9"/>
            <color indexed="81"/>
            <rFont val="細明體"/>
            <family val="3"/>
            <charset val="136"/>
          </rPr>
          <t xml:space="preserve">
此處仍以原本比重作估算，請注意
</t>
        </r>
        <r>
          <rPr>
            <b/>
            <sz val="9"/>
            <color indexed="81"/>
            <rFont val="Tahoma"/>
            <family val="2"/>
          </rPr>
          <t xml:space="preserve">x2: </t>
        </r>
        <r>
          <rPr>
            <sz val="9"/>
            <color indexed="81"/>
            <rFont val="細明體"/>
            <family val="3"/>
            <charset val="136"/>
          </rPr>
          <t xml:space="preserve">英文，物理
</t>
        </r>
        <r>
          <rPr>
            <b/>
            <sz val="9"/>
            <color indexed="81"/>
            <rFont val="Tahoma"/>
            <family val="2"/>
          </rPr>
          <t>x1.5:</t>
        </r>
        <r>
          <rPr>
            <sz val="9"/>
            <color indexed="81"/>
            <rFont val="Tahoma"/>
            <family val="2"/>
          </rPr>
          <t xml:space="preserve"> </t>
        </r>
        <r>
          <rPr>
            <sz val="9"/>
            <color indexed="81"/>
            <rFont val="細明體"/>
            <family val="3"/>
            <charset val="136"/>
          </rPr>
          <t>生物、化學、</t>
        </r>
        <r>
          <rPr>
            <sz val="9"/>
            <color indexed="81"/>
            <rFont val="Tahoma"/>
            <family val="2"/>
          </rPr>
          <t xml:space="preserve">M1/2
</t>
        </r>
        <r>
          <rPr>
            <b/>
            <sz val="9"/>
            <color indexed="81"/>
            <rFont val="Tahoma"/>
            <family val="2"/>
          </rPr>
          <t xml:space="preserve">*: </t>
        </r>
        <r>
          <rPr>
            <sz val="9"/>
            <color indexed="81"/>
            <rFont val="細明體"/>
            <family val="3"/>
            <charset val="136"/>
          </rPr>
          <t>生物、化學、組合科學</t>
        </r>
        <r>
          <rPr>
            <sz val="9"/>
            <color indexed="81"/>
            <rFont val="Tahoma"/>
            <family val="2"/>
          </rPr>
          <t>(</t>
        </r>
        <r>
          <rPr>
            <sz val="9"/>
            <color indexed="81"/>
            <rFont val="細明體"/>
            <family val="3"/>
            <charset val="136"/>
          </rPr>
          <t>物理</t>
        </r>
        <r>
          <rPr>
            <sz val="9"/>
            <color indexed="81"/>
            <rFont val="Tahoma"/>
            <family val="2"/>
          </rPr>
          <t>)</t>
        </r>
        <r>
          <rPr>
            <sz val="9"/>
            <color indexed="81"/>
            <rFont val="細明體"/>
            <family val="3"/>
            <charset val="136"/>
          </rPr>
          <t>、綜合科學</t>
        </r>
        <r>
          <rPr>
            <sz val="9"/>
            <color indexed="81"/>
            <rFont val="細明體"/>
            <family val="3"/>
            <charset val="136"/>
          </rPr>
          <t>、</t>
        </r>
        <r>
          <rPr>
            <sz val="9"/>
            <color indexed="81"/>
            <rFont val="Tahoma"/>
            <family val="2"/>
          </rPr>
          <t>DAT</t>
        </r>
        <r>
          <rPr>
            <sz val="9"/>
            <color indexed="81"/>
            <rFont val="細明體"/>
            <family val="3"/>
            <charset val="136"/>
          </rPr>
          <t>、</t>
        </r>
        <r>
          <rPr>
            <sz val="9"/>
            <color indexed="81"/>
            <rFont val="Tahoma"/>
            <family val="2"/>
          </rPr>
          <t>M1/2</t>
        </r>
        <r>
          <rPr>
            <sz val="9"/>
            <color indexed="81"/>
            <rFont val="細明體"/>
            <family val="3"/>
            <charset val="136"/>
          </rPr>
          <t>、物理</t>
        </r>
      </text>
    </comment>
    <comment ref="D79" authorId="1" shapeId="0" xr:uid="{B136083D-498B-4BF5-9923-184B606885F3}">
      <text>
        <r>
          <rPr>
            <b/>
            <sz val="9"/>
            <color indexed="81"/>
            <rFont val="Tahoma"/>
            <family val="2"/>
          </rPr>
          <t>Best 5 (</t>
        </r>
        <r>
          <rPr>
            <b/>
            <sz val="9"/>
            <color indexed="81"/>
            <rFont val="細明體"/>
            <family val="3"/>
            <charset val="136"/>
          </rPr>
          <t>若同學有修讀</t>
        </r>
        <r>
          <rPr>
            <b/>
            <sz val="9"/>
            <color indexed="81"/>
            <rFont val="Tahoma"/>
            <family val="2"/>
          </rPr>
          <t>M1/2</t>
        </r>
        <r>
          <rPr>
            <b/>
            <sz val="9"/>
            <color indexed="81"/>
            <rFont val="細明體"/>
            <family val="3"/>
            <charset val="136"/>
          </rPr>
          <t>及數學，則只會取其中較高分者</t>
        </r>
        <r>
          <rPr>
            <b/>
            <sz val="9"/>
            <color indexed="81"/>
            <rFont val="Tahoma"/>
            <family val="2"/>
          </rPr>
          <t>)</t>
        </r>
        <r>
          <rPr>
            <b/>
            <sz val="9"/>
            <color indexed="81"/>
            <rFont val="細明體"/>
            <family val="3"/>
            <charset val="136"/>
          </rPr>
          <t xml:space="preserve">
</t>
        </r>
        <r>
          <rPr>
            <b/>
            <sz val="9"/>
            <color indexed="81"/>
            <rFont val="Tahoma"/>
            <family val="2"/>
          </rPr>
          <t xml:space="preserve">x2: </t>
        </r>
        <r>
          <rPr>
            <sz val="9"/>
            <color indexed="81"/>
            <rFont val="細明體"/>
            <family val="3"/>
            <charset val="136"/>
          </rPr>
          <t>英文，數學、化學，物理，生物，組合科學、</t>
        </r>
        <r>
          <rPr>
            <sz val="9"/>
            <color indexed="81"/>
            <rFont val="Tahoma"/>
            <family val="2"/>
          </rPr>
          <t>M1/2</t>
        </r>
      </text>
    </comment>
    <comment ref="D80" authorId="0" shapeId="0" xr:uid="{330DB101-2210-4E20-8059-887D09662E5A}">
      <text>
        <r>
          <rPr>
            <b/>
            <sz val="9"/>
            <color indexed="81"/>
            <rFont val="Tahoma"/>
            <family val="2"/>
          </rPr>
          <t>Best 5 (</t>
        </r>
        <r>
          <rPr>
            <b/>
            <sz val="9"/>
            <color indexed="81"/>
            <rFont val="細明體"/>
            <family val="3"/>
            <charset val="136"/>
          </rPr>
          <t>包含英文、數學</t>
        </r>
        <r>
          <rPr>
            <b/>
            <sz val="9"/>
            <color indexed="81"/>
            <rFont val="Tahoma"/>
            <family val="2"/>
          </rPr>
          <t>)</t>
        </r>
        <r>
          <rPr>
            <b/>
            <sz val="9"/>
            <color indexed="81"/>
            <rFont val="細明體"/>
            <family val="3"/>
            <charset val="136"/>
          </rPr>
          <t xml:space="preserve">
</t>
        </r>
        <r>
          <rPr>
            <b/>
            <sz val="9"/>
            <color indexed="81"/>
            <rFont val="Tahoma"/>
            <family val="2"/>
          </rPr>
          <t>x2:</t>
        </r>
        <r>
          <rPr>
            <sz val="9"/>
            <color indexed="81"/>
            <rFont val="Tahoma"/>
            <family val="2"/>
          </rPr>
          <t xml:space="preserve"> </t>
        </r>
        <r>
          <rPr>
            <sz val="9"/>
            <color indexed="81"/>
            <rFont val="細明體"/>
            <family val="3"/>
            <charset val="136"/>
          </rPr>
          <t>英文、數學、物理、</t>
        </r>
        <r>
          <rPr>
            <sz val="9"/>
            <color indexed="81"/>
            <rFont val="Tahoma"/>
            <family val="2"/>
          </rPr>
          <t>M1/2</t>
        </r>
        <r>
          <rPr>
            <sz val="9"/>
            <color indexed="81"/>
            <rFont val="細明體"/>
            <family val="3"/>
            <charset val="136"/>
          </rPr>
          <t>、</t>
        </r>
        <r>
          <rPr>
            <sz val="9"/>
            <color indexed="81"/>
            <rFont val="Tahoma"/>
            <family val="2"/>
          </rPr>
          <t xml:space="preserve">ICT
</t>
        </r>
        <r>
          <rPr>
            <b/>
            <sz val="9"/>
            <color indexed="81"/>
            <rFont val="Tahoma"/>
            <family val="2"/>
          </rPr>
          <t>x1.5:</t>
        </r>
        <r>
          <rPr>
            <sz val="9"/>
            <color indexed="81"/>
            <rFont val="Tahoma"/>
            <family val="2"/>
          </rPr>
          <t xml:space="preserve"> </t>
        </r>
        <r>
          <rPr>
            <sz val="9"/>
            <color indexed="81"/>
            <rFont val="細明體"/>
            <family val="3"/>
            <charset val="136"/>
          </rPr>
          <t>化學、組合科學</t>
        </r>
        <r>
          <rPr>
            <sz val="9"/>
            <color indexed="81"/>
            <rFont val="Tahoma"/>
            <family val="2"/>
          </rPr>
          <t>(</t>
        </r>
        <r>
          <rPr>
            <sz val="9"/>
            <color indexed="81"/>
            <rFont val="細明體"/>
            <family val="3"/>
            <charset val="136"/>
          </rPr>
          <t>含物理</t>
        </r>
        <r>
          <rPr>
            <sz val="9"/>
            <color indexed="81"/>
            <rFont val="Tahoma"/>
            <family val="2"/>
          </rPr>
          <t>)</t>
        </r>
        <r>
          <rPr>
            <sz val="9"/>
            <color indexed="81"/>
            <rFont val="細明體"/>
            <family val="3"/>
            <charset val="136"/>
          </rPr>
          <t>、</t>
        </r>
        <r>
          <rPr>
            <sz val="9"/>
            <color indexed="81"/>
            <rFont val="Tahoma"/>
            <family val="2"/>
          </rPr>
          <t>DAT</t>
        </r>
      </text>
    </comment>
    <comment ref="D81" authorId="1" shapeId="0" xr:uid="{14C76C89-8143-4C47-AD9C-874D39F2738A}">
      <text>
        <r>
          <rPr>
            <b/>
            <sz val="9"/>
            <color indexed="81"/>
            <rFont val="Tahoma"/>
            <family val="2"/>
          </rPr>
          <t>2022</t>
        </r>
        <r>
          <rPr>
            <b/>
            <sz val="9"/>
            <color indexed="81"/>
            <rFont val="細明體"/>
            <family val="3"/>
            <charset val="136"/>
          </rPr>
          <t>年新科目</t>
        </r>
        <r>
          <rPr>
            <sz val="9"/>
            <color indexed="81"/>
            <rFont val="Tahoma"/>
            <family val="2"/>
          </rPr>
          <t xml:space="preserve">
</t>
        </r>
        <r>
          <rPr>
            <b/>
            <sz val="9"/>
            <color indexed="81"/>
            <rFont val="Tahoma"/>
            <family val="2"/>
          </rPr>
          <t>Best 6(</t>
        </r>
        <r>
          <rPr>
            <b/>
            <sz val="9"/>
            <color indexed="81"/>
            <rFont val="細明體"/>
            <family val="3"/>
            <charset val="136"/>
          </rPr>
          <t>包含英文</t>
        </r>
        <r>
          <rPr>
            <b/>
            <sz val="9"/>
            <color indexed="81"/>
            <rFont val="Tahoma"/>
            <family val="2"/>
          </rPr>
          <t>)
x2:</t>
        </r>
        <r>
          <rPr>
            <sz val="9"/>
            <color indexed="81"/>
            <rFont val="Tahoma"/>
            <family val="2"/>
          </rPr>
          <t xml:space="preserve"> </t>
        </r>
        <r>
          <rPr>
            <sz val="9"/>
            <color indexed="81"/>
            <rFont val="細明體"/>
            <family val="3"/>
            <charset val="136"/>
          </rPr>
          <t>英文、數學、生物、化學、組合科學、</t>
        </r>
        <r>
          <rPr>
            <sz val="9"/>
            <color indexed="81"/>
            <rFont val="Tahoma"/>
            <family val="2"/>
          </rPr>
          <t>DAT</t>
        </r>
        <r>
          <rPr>
            <sz val="9"/>
            <color indexed="81"/>
            <rFont val="細明體"/>
            <family val="3"/>
            <charset val="136"/>
          </rPr>
          <t>、</t>
        </r>
        <r>
          <rPr>
            <sz val="9"/>
            <color indexed="81"/>
            <rFont val="Tahoma"/>
            <family val="2"/>
          </rPr>
          <t>ICT</t>
        </r>
        <r>
          <rPr>
            <sz val="9"/>
            <color indexed="81"/>
            <rFont val="細明體"/>
            <family val="3"/>
            <charset val="136"/>
          </rPr>
          <t>、綜合科學、</t>
        </r>
        <r>
          <rPr>
            <sz val="9"/>
            <color indexed="81"/>
            <rFont val="Tahoma"/>
            <family val="2"/>
          </rPr>
          <t>M1/2</t>
        </r>
        <r>
          <rPr>
            <sz val="9"/>
            <color indexed="81"/>
            <rFont val="細明體"/>
            <family val="3"/>
            <charset val="136"/>
          </rPr>
          <t>、物理</t>
        </r>
      </text>
    </comment>
    <comment ref="D82" authorId="1" shapeId="0" xr:uid="{3FCE8C17-ACB1-4062-8BE0-60665FA223BA}">
      <text>
        <r>
          <rPr>
            <b/>
            <sz val="9"/>
            <color indexed="81"/>
            <rFont val="Tahoma"/>
            <family val="2"/>
          </rPr>
          <t>2022</t>
        </r>
        <r>
          <rPr>
            <b/>
            <sz val="9"/>
            <color indexed="81"/>
            <rFont val="細明體"/>
            <family val="3"/>
            <charset val="136"/>
          </rPr>
          <t xml:space="preserve">年新科目
</t>
        </r>
        <r>
          <rPr>
            <b/>
            <sz val="9"/>
            <color indexed="81"/>
            <rFont val="Tahoma"/>
            <family val="2"/>
          </rPr>
          <t>Best 5(</t>
        </r>
        <r>
          <rPr>
            <b/>
            <sz val="9"/>
            <color indexed="81"/>
            <rFont val="細明體"/>
            <family val="3"/>
            <charset val="136"/>
          </rPr>
          <t>包括英文、數學</t>
        </r>
        <r>
          <rPr>
            <b/>
            <sz val="9"/>
            <color indexed="81"/>
            <rFont val="Tahoma"/>
            <family val="2"/>
          </rPr>
          <t>)
x1.5:</t>
        </r>
        <r>
          <rPr>
            <sz val="9"/>
            <color indexed="81"/>
            <rFont val="Tahoma"/>
            <family val="2"/>
          </rPr>
          <t xml:space="preserve"> </t>
        </r>
        <r>
          <rPr>
            <sz val="9"/>
            <color indexed="81"/>
            <rFont val="細明體"/>
            <family val="3"/>
            <charset val="136"/>
          </rPr>
          <t>英文、</t>
        </r>
        <r>
          <rPr>
            <sz val="9"/>
            <color indexed="81"/>
            <rFont val="Tahoma"/>
            <family val="2"/>
          </rPr>
          <t>M1/2</t>
        </r>
      </text>
    </comment>
    <comment ref="D83" authorId="1" shapeId="0" xr:uid="{9DEB45AB-57EA-4D80-9D61-A9CC1C371DE4}">
      <text>
        <r>
          <rPr>
            <b/>
            <sz val="9"/>
            <color indexed="81"/>
            <rFont val="Tahoma"/>
            <family val="2"/>
          </rPr>
          <t>2022</t>
        </r>
        <r>
          <rPr>
            <b/>
            <sz val="9"/>
            <color indexed="81"/>
            <rFont val="細明體"/>
            <family val="3"/>
            <charset val="136"/>
          </rPr>
          <t>年新科目</t>
        </r>
        <r>
          <rPr>
            <sz val="9"/>
            <color indexed="81"/>
            <rFont val="Tahoma"/>
            <family val="2"/>
          </rPr>
          <t xml:space="preserve">
</t>
        </r>
      </text>
    </comment>
    <comment ref="D84" authorId="0" shapeId="0" xr:uid="{857CFC93-BBEB-40B1-A1A5-20C308E07BF4}">
      <text>
        <r>
          <rPr>
            <b/>
            <sz val="9"/>
            <color indexed="81"/>
            <rFont val="細明體"/>
            <family val="3"/>
            <charset val="136"/>
          </rPr>
          <t>包括英文、數學、生物及化學</t>
        </r>
      </text>
    </comment>
    <comment ref="D85" authorId="1" shapeId="0" xr:uid="{C79FA209-8F70-4457-B427-A04BD87DA57E}">
      <text>
        <r>
          <rPr>
            <b/>
            <sz val="9"/>
            <color indexed="81"/>
            <rFont val="Tahoma"/>
            <family val="2"/>
          </rPr>
          <t xml:space="preserve">x2: </t>
        </r>
        <r>
          <rPr>
            <sz val="9"/>
            <color indexed="81"/>
            <rFont val="細明體"/>
            <family val="3"/>
            <charset val="136"/>
          </rPr>
          <t xml:space="preserve">英文，物理，化學，生物，組合科學，
</t>
        </r>
        <r>
          <rPr>
            <b/>
            <sz val="9"/>
            <color indexed="81"/>
            <rFont val="Tahoma"/>
            <family val="2"/>
          </rPr>
          <t xml:space="preserve">x1.5: </t>
        </r>
        <r>
          <rPr>
            <sz val="9"/>
            <color indexed="81"/>
            <rFont val="細明體"/>
            <family val="3"/>
            <charset val="136"/>
          </rPr>
          <t>數學，</t>
        </r>
        <r>
          <rPr>
            <sz val="9"/>
            <color indexed="81"/>
            <rFont val="Tahoma"/>
            <family val="2"/>
          </rPr>
          <t>BAFS</t>
        </r>
        <r>
          <rPr>
            <sz val="9"/>
            <color indexed="81"/>
            <rFont val="細明體"/>
            <family val="3"/>
            <charset val="136"/>
          </rPr>
          <t>，</t>
        </r>
        <r>
          <rPr>
            <sz val="9"/>
            <color indexed="81"/>
            <rFont val="Tahoma"/>
            <family val="2"/>
          </rPr>
          <t>ICT</t>
        </r>
        <r>
          <rPr>
            <sz val="9"/>
            <color indexed="81"/>
            <rFont val="細明體"/>
            <family val="3"/>
            <charset val="136"/>
          </rPr>
          <t>，</t>
        </r>
        <r>
          <rPr>
            <sz val="9"/>
            <color indexed="81"/>
            <rFont val="Tahoma"/>
            <family val="2"/>
          </rPr>
          <t>DAT</t>
        </r>
        <r>
          <rPr>
            <sz val="9"/>
            <color indexed="81"/>
            <rFont val="細明體"/>
            <family val="3"/>
            <charset val="136"/>
          </rPr>
          <t>，</t>
        </r>
        <r>
          <rPr>
            <sz val="9"/>
            <color indexed="81"/>
            <rFont val="Tahoma"/>
            <family val="2"/>
          </rPr>
          <t>M1/2</t>
        </r>
        <r>
          <rPr>
            <sz val="9"/>
            <color indexed="81"/>
            <rFont val="細明體"/>
            <family val="3"/>
            <charset val="136"/>
          </rPr>
          <t>，綜合科學</t>
        </r>
      </text>
    </comment>
    <comment ref="D86" authorId="1" shapeId="0" xr:uid="{E24FD2F9-C2DF-4E1C-9360-D1DE8F116517}">
      <text>
        <r>
          <rPr>
            <b/>
            <sz val="9"/>
            <color indexed="81"/>
            <rFont val="Tahoma"/>
            <family val="2"/>
          </rPr>
          <t xml:space="preserve">x2: </t>
        </r>
        <r>
          <rPr>
            <sz val="9"/>
            <color indexed="81"/>
            <rFont val="細明體"/>
            <family val="3"/>
            <charset val="136"/>
          </rPr>
          <t xml:space="preserve">英文，物理，化學，生物，組合科學，
</t>
        </r>
        <r>
          <rPr>
            <b/>
            <sz val="9"/>
            <color indexed="81"/>
            <rFont val="Tahoma"/>
            <family val="2"/>
          </rPr>
          <t xml:space="preserve">x1.5: </t>
        </r>
        <r>
          <rPr>
            <sz val="9"/>
            <color indexed="81"/>
            <rFont val="細明體"/>
            <family val="3"/>
            <charset val="136"/>
          </rPr>
          <t>數學，</t>
        </r>
        <r>
          <rPr>
            <sz val="9"/>
            <color indexed="81"/>
            <rFont val="Tahoma"/>
            <family val="2"/>
          </rPr>
          <t>BAFS</t>
        </r>
        <r>
          <rPr>
            <sz val="9"/>
            <color indexed="81"/>
            <rFont val="細明體"/>
            <family val="3"/>
            <charset val="136"/>
          </rPr>
          <t>，</t>
        </r>
        <r>
          <rPr>
            <sz val="9"/>
            <color indexed="81"/>
            <rFont val="Tahoma"/>
            <family val="2"/>
          </rPr>
          <t>ICT</t>
        </r>
        <r>
          <rPr>
            <sz val="9"/>
            <color indexed="81"/>
            <rFont val="細明體"/>
            <family val="3"/>
            <charset val="136"/>
          </rPr>
          <t>，</t>
        </r>
        <r>
          <rPr>
            <sz val="9"/>
            <color indexed="81"/>
            <rFont val="Tahoma"/>
            <family val="2"/>
          </rPr>
          <t>DAT</t>
        </r>
        <r>
          <rPr>
            <sz val="9"/>
            <color indexed="81"/>
            <rFont val="細明體"/>
            <family val="3"/>
            <charset val="136"/>
          </rPr>
          <t>，</t>
        </r>
        <r>
          <rPr>
            <sz val="9"/>
            <color indexed="81"/>
            <rFont val="Tahoma"/>
            <family val="2"/>
          </rPr>
          <t>M1/2</t>
        </r>
        <r>
          <rPr>
            <sz val="9"/>
            <color indexed="81"/>
            <rFont val="細明體"/>
            <family val="3"/>
            <charset val="136"/>
          </rPr>
          <t>，綜合科學</t>
        </r>
      </text>
    </comment>
    <comment ref="D87" authorId="1" shapeId="0" xr:uid="{BFF73BD9-D7C7-4E02-AF05-F5D8A1E5AF7D}">
      <text>
        <r>
          <rPr>
            <b/>
            <sz val="9"/>
            <color indexed="81"/>
            <rFont val="Tahoma"/>
            <family val="2"/>
          </rPr>
          <t xml:space="preserve">x2: </t>
        </r>
        <r>
          <rPr>
            <sz val="9"/>
            <color indexed="81"/>
            <rFont val="細明體"/>
            <family val="3"/>
            <charset val="136"/>
          </rPr>
          <t xml:space="preserve">英文，物理，化學，生物，組合科學，
</t>
        </r>
        <r>
          <rPr>
            <b/>
            <sz val="9"/>
            <color indexed="81"/>
            <rFont val="細明體"/>
            <family val="3"/>
            <charset val="136"/>
          </rPr>
          <t xml:space="preserve">
</t>
        </r>
        <r>
          <rPr>
            <b/>
            <sz val="9"/>
            <color indexed="81"/>
            <rFont val="Tahoma"/>
            <family val="2"/>
          </rPr>
          <t xml:space="preserve">x1.5: </t>
        </r>
        <r>
          <rPr>
            <sz val="9"/>
            <color indexed="81"/>
            <rFont val="細明體"/>
            <family val="3"/>
            <charset val="136"/>
          </rPr>
          <t>數學，</t>
        </r>
        <r>
          <rPr>
            <sz val="9"/>
            <color indexed="81"/>
            <rFont val="Tahoma"/>
            <family val="2"/>
          </rPr>
          <t>BAFS</t>
        </r>
        <r>
          <rPr>
            <sz val="9"/>
            <color indexed="81"/>
            <rFont val="細明體"/>
            <family val="3"/>
            <charset val="136"/>
          </rPr>
          <t>，</t>
        </r>
        <r>
          <rPr>
            <sz val="9"/>
            <color indexed="81"/>
            <rFont val="Tahoma"/>
            <family val="2"/>
          </rPr>
          <t>ICT</t>
        </r>
        <r>
          <rPr>
            <sz val="9"/>
            <color indexed="81"/>
            <rFont val="細明體"/>
            <family val="3"/>
            <charset val="136"/>
          </rPr>
          <t>，</t>
        </r>
        <r>
          <rPr>
            <sz val="9"/>
            <color indexed="81"/>
            <rFont val="Tahoma"/>
            <family val="2"/>
          </rPr>
          <t>DAT</t>
        </r>
        <r>
          <rPr>
            <sz val="9"/>
            <color indexed="81"/>
            <rFont val="細明體"/>
            <family val="3"/>
            <charset val="136"/>
          </rPr>
          <t>，</t>
        </r>
        <r>
          <rPr>
            <sz val="9"/>
            <color indexed="81"/>
            <rFont val="Tahoma"/>
            <family val="2"/>
          </rPr>
          <t>M1/2</t>
        </r>
        <r>
          <rPr>
            <sz val="9"/>
            <color indexed="81"/>
            <rFont val="細明體"/>
            <family val="3"/>
            <charset val="136"/>
          </rPr>
          <t>，綜合科學</t>
        </r>
      </text>
    </comment>
    <comment ref="D92" authorId="1" shapeId="0" xr:uid="{118D25DD-313E-4C2A-9A17-A1DE569B17D6}">
      <text>
        <r>
          <rPr>
            <b/>
            <sz val="9"/>
            <color indexed="81"/>
            <rFont val="Tahoma"/>
            <family val="2"/>
          </rPr>
          <t>2022</t>
        </r>
        <r>
          <rPr>
            <b/>
            <sz val="9"/>
            <color indexed="81"/>
            <rFont val="細明體"/>
            <family val="3"/>
            <charset val="136"/>
          </rPr>
          <t>年新科目</t>
        </r>
      </text>
    </comment>
    <comment ref="D93" authorId="1" shapeId="0" xr:uid="{8F8758F4-6D78-4398-90EC-D8A8E56C1FF3}">
      <text>
        <r>
          <rPr>
            <b/>
            <sz val="9"/>
            <color indexed="81"/>
            <rFont val="Tahoma"/>
            <family val="2"/>
          </rPr>
          <t>2022</t>
        </r>
        <r>
          <rPr>
            <b/>
            <sz val="9"/>
            <color indexed="81"/>
            <rFont val="細明體"/>
            <family val="3"/>
            <charset val="136"/>
          </rPr>
          <t xml:space="preserve">年將以新比重收生
</t>
        </r>
        <r>
          <rPr>
            <sz val="9"/>
            <color indexed="81"/>
            <rFont val="Tahoma"/>
            <family val="2"/>
          </rPr>
          <t>(</t>
        </r>
        <r>
          <rPr>
            <b/>
            <sz val="9"/>
            <color indexed="81"/>
            <rFont val="Tahoma"/>
            <family val="2"/>
          </rPr>
          <t>x1.2:</t>
        </r>
        <r>
          <rPr>
            <sz val="9"/>
            <color indexed="81"/>
            <rFont val="Tahoma"/>
            <family val="2"/>
          </rPr>
          <t xml:space="preserve"> </t>
        </r>
        <r>
          <rPr>
            <sz val="9"/>
            <color indexed="81"/>
            <rFont val="細明體"/>
            <family val="3"/>
            <charset val="136"/>
          </rPr>
          <t>英文</t>
        </r>
        <r>
          <rPr>
            <sz val="9"/>
            <color indexed="81"/>
            <rFont val="Tahoma"/>
            <family val="2"/>
          </rPr>
          <t>)</t>
        </r>
        <r>
          <rPr>
            <b/>
            <sz val="9"/>
            <color indexed="81"/>
            <rFont val="Tahoma"/>
            <family val="2"/>
          </rPr>
          <t xml:space="preserve">
</t>
        </r>
        <r>
          <rPr>
            <b/>
            <sz val="9"/>
            <color indexed="81"/>
            <rFont val="細明體"/>
            <family val="3"/>
            <charset val="136"/>
          </rPr>
          <t xml:space="preserve">此處仍以原本比重作估算，請注意
</t>
        </r>
        <r>
          <rPr>
            <b/>
            <sz val="9"/>
            <color indexed="81"/>
            <rFont val="Tahoma"/>
            <family val="2"/>
          </rPr>
          <t xml:space="preserve">x1.5: </t>
        </r>
        <r>
          <rPr>
            <sz val="9"/>
            <color indexed="81"/>
            <rFont val="細明體"/>
            <family val="3"/>
            <charset val="136"/>
          </rPr>
          <t>英文</t>
        </r>
      </text>
    </comment>
    <comment ref="D94" authorId="1" shapeId="0" xr:uid="{26F4FB4E-19C4-4839-9DF0-647D088D25A6}">
      <text>
        <r>
          <rPr>
            <b/>
            <sz val="9"/>
            <color indexed="81"/>
            <rFont val="Tahoma"/>
            <family val="2"/>
          </rPr>
          <t>2022</t>
        </r>
        <r>
          <rPr>
            <b/>
            <sz val="9"/>
            <color indexed="81"/>
            <rFont val="細明體"/>
            <family val="3"/>
            <charset val="136"/>
          </rPr>
          <t xml:space="preserve">年將以新比重收生
</t>
        </r>
        <r>
          <rPr>
            <sz val="9"/>
            <color indexed="81"/>
            <rFont val="Tahoma"/>
            <family val="2"/>
          </rPr>
          <t>(</t>
        </r>
        <r>
          <rPr>
            <b/>
            <sz val="9"/>
            <color indexed="81"/>
            <rFont val="Tahoma"/>
            <family val="2"/>
          </rPr>
          <t>x1.2:</t>
        </r>
        <r>
          <rPr>
            <sz val="9"/>
            <color indexed="81"/>
            <rFont val="Tahoma"/>
            <family val="2"/>
          </rPr>
          <t xml:space="preserve"> </t>
        </r>
        <r>
          <rPr>
            <sz val="9"/>
            <color indexed="81"/>
            <rFont val="細明體"/>
            <family val="3"/>
            <charset val="136"/>
          </rPr>
          <t>英文</t>
        </r>
        <r>
          <rPr>
            <sz val="9"/>
            <color indexed="81"/>
            <rFont val="Tahoma"/>
            <family val="2"/>
          </rPr>
          <t>)</t>
        </r>
        <r>
          <rPr>
            <b/>
            <sz val="9"/>
            <color indexed="81"/>
            <rFont val="Tahoma"/>
            <family val="2"/>
          </rPr>
          <t xml:space="preserve">
</t>
        </r>
        <r>
          <rPr>
            <b/>
            <sz val="9"/>
            <color indexed="81"/>
            <rFont val="細明體"/>
            <family val="3"/>
            <charset val="136"/>
          </rPr>
          <t xml:space="preserve">此處仍以原本比重作估算，請注意
</t>
        </r>
        <r>
          <rPr>
            <b/>
            <sz val="9"/>
            <color indexed="81"/>
            <rFont val="Tahoma"/>
            <family val="2"/>
          </rPr>
          <t xml:space="preserve">x1.5: </t>
        </r>
        <r>
          <rPr>
            <sz val="9"/>
            <color indexed="81"/>
            <rFont val="細明體"/>
            <family val="3"/>
            <charset val="136"/>
          </rPr>
          <t>英文</t>
        </r>
      </text>
    </comment>
    <comment ref="D95" authorId="1" shapeId="0" xr:uid="{768E50BC-2F4C-4D57-83E2-546E1498B4E1}">
      <text>
        <r>
          <rPr>
            <b/>
            <sz val="9"/>
            <color indexed="81"/>
            <rFont val="Tahoma"/>
            <family val="2"/>
          </rPr>
          <t>2022</t>
        </r>
        <r>
          <rPr>
            <b/>
            <sz val="9"/>
            <color indexed="81"/>
            <rFont val="細明體"/>
            <family val="3"/>
            <charset val="136"/>
          </rPr>
          <t xml:space="preserve">年新科目
</t>
        </r>
        <r>
          <rPr>
            <b/>
            <sz val="9"/>
            <color indexed="81"/>
            <rFont val="Tahoma"/>
            <family val="2"/>
          </rPr>
          <t>Best 5 (</t>
        </r>
        <r>
          <rPr>
            <b/>
            <sz val="9"/>
            <color indexed="81"/>
            <rFont val="細明體"/>
            <family val="3"/>
            <charset val="136"/>
          </rPr>
          <t>包括中文、英文</t>
        </r>
        <r>
          <rPr>
            <b/>
            <sz val="9"/>
            <color indexed="81"/>
            <rFont val="Tahoma"/>
            <family val="2"/>
          </rPr>
          <t xml:space="preserve">)
x1.25: </t>
        </r>
        <r>
          <rPr>
            <sz val="9"/>
            <color indexed="81"/>
            <rFont val="細明體"/>
            <family val="3"/>
            <charset val="136"/>
          </rPr>
          <t>中文、英文</t>
        </r>
      </text>
    </comment>
    <comment ref="D96" authorId="1" shapeId="0" xr:uid="{47A0A5AA-BCB9-459E-B40B-1F1156188C0A}">
      <text>
        <r>
          <rPr>
            <b/>
            <sz val="9"/>
            <color indexed="81"/>
            <rFont val="Tahoma"/>
            <family val="2"/>
          </rPr>
          <t>Best 5 (</t>
        </r>
        <r>
          <rPr>
            <b/>
            <sz val="9"/>
            <color indexed="81"/>
            <rFont val="細明體"/>
            <family val="3"/>
            <charset val="136"/>
          </rPr>
          <t>包括中文、英文</t>
        </r>
        <r>
          <rPr>
            <b/>
            <sz val="9"/>
            <color indexed="81"/>
            <rFont val="Tahoma"/>
            <family val="2"/>
          </rPr>
          <t>)</t>
        </r>
        <r>
          <rPr>
            <b/>
            <sz val="9"/>
            <color indexed="81"/>
            <rFont val="細明體"/>
            <family val="3"/>
            <charset val="136"/>
          </rPr>
          <t xml:space="preserve">
</t>
        </r>
        <r>
          <rPr>
            <b/>
            <sz val="9"/>
            <color indexed="81"/>
            <rFont val="Tahoma"/>
            <family val="2"/>
          </rPr>
          <t>x1.25:</t>
        </r>
        <r>
          <rPr>
            <sz val="9"/>
            <color indexed="81"/>
            <rFont val="Tahoma"/>
            <family val="2"/>
          </rPr>
          <t xml:space="preserve"> </t>
        </r>
        <r>
          <rPr>
            <sz val="9"/>
            <color indexed="81"/>
            <rFont val="細明體"/>
            <family val="3"/>
            <charset val="136"/>
          </rPr>
          <t>中文、英文</t>
        </r>
      </text>
    </comment>
    <comment ref="D97" authorId="1" shapeId="0" xr:uid="{CEDD495A-86C3-476D-A1D1-13A1EF216433}">
      <text>
        <r>
          <rPr>
            <b/>
            <sz val="9"/>
            <color indexed="81"/>
            <rFont val="Tahoma"/>
            <family val="2"/>
          </rPr>
          <t>Best 5 (</t>
        </r>
        <r>
          <rPr>
            <b/>
            <sz val="9"/>
            <color indexed="81"/>
            <rFont val="細明體"/>
            <family val="3"/>
            <charset val="136"/>
          </rPr>
          <t>包括英文</t>
        </r>
        <r>
          <rPr>
            <b/>
            <sz val="9"/>
            <color indexed="81"/>
            <rFont val="Tahoma"/>
            <family val="2"/>
          </rPr>
          <t>)</t>
        </r>
      </text>
    </comment>
    <comment ref="D98" authorId="1" shapeId="0" xr:uid="{70D94DF2-8E87-44F5-9FD4-EE3EEA2EB870}">
      <text>
        <r>
          <rPr>
            <b/>
            <sz val="9"/>
            <color indexed="81"/>
            <rFont val="Tahoma"/>
            <family val="2"/>
          </rPr>
          <t>2022</t>
        </r>
        <r>
          <rPr>
            <b/>
            <sz val="9"/>
            <color indexed="81"/>
            <rFont val="細明體"/>
            <family val="3"/>
            <charset val="136"/>
          </rPr>
          <t xml:space="preserve">年新科目
</t>
        </r>
        <r>
          <rPr>
            <b/>
            <sz val="9"/>
            <color indexed="81"/>
            <rFont val="Tahoma"/>
            <family val="2"/>
          </rPr>
          <t>Best 5 (</t>
        </r>
        <r>
          <rPr>
            <b/>
            <sz val="9"/>
            <color indexed="81"/>
            <rFont val="細明體"/>
            <family val="3"/>
            <charset val="136"/>
          </rPr>
          <t>包括中文、英文</t>
        </r>
        <r>
          <rPr>
            <b/>
            <sz val="9"/>
            <color indexed="81"/>
            <rFont val="Tahoma"/>
            <family val="2"/>
          </rPr>
          <t xml:space="preserve">)
x1.25: </t>
        </r>
        <r>
          <rPr>
            <sz val="9"/>
            <color indexed="81"/>
            <rFont val="細明體"/>
            <family val="3"/>
            <charset val="136"/>
          </rPr>
          <t>中文、英文</t>
        </r>
      </text>
    </comment>
    <comment ref="D99" authorId="1" shapeId="0" xr:uid="{E6DEEB26-25EA-432D-A23B-CD8E0A69855E}">
      <text>
        <r>
          <rPr>
            <b/>
            <sz val="9"/>
            <color indexed="81"/>
            <rFont val="Tahoma"/>
            <family val="2"/>
          </rPr>
          <t>2022</t>
        </r>
        <r>
          <rPr>
            <b/>
            <sz val="9"/>
            <color indexed="81"/>
            <rFont val="細明體"/>
            <family val="3"/>
            <charset val="136"/>
          </rPr>
          <t>年將以新比重收生</t>
        </r>
        <r>
          <rPr>
            <sz val="9"/>
            <color indexed="81"/>
            <rFont val="細明體"/>
            <family val="3"/>
            <charset val="136"/>
          </rPr>
          <t xml:space="preserve">
</t>
        </r>
        <r>
          <rPr>
            <sz val="9"/>
            <color indexed="81"/>
            <rFont val="Tahoma"/>
            <family val="2"/>
          </rPr>
          <t>(</t>
        </r>
        <r>
          <rPr>
            <b/>
            <sz val="9"/>
            <color indexed="81"/>
            <rFont val="Tahoma"/>
            <family val="2"/>
          </rPr>
          <t>x1.5:</t>
        </r>
        <r>
          <rPr>
            <sz val="9"/>
            <color indexed="81"/>
            <rFont val="Tahoma"/>
            <family val="2"/>
          </rPr>
          <t xml:space="preserve"> </t>
        </r>
        <r>
          <rPr>
            <sz val="9"/>
            <color indexed="81"/>
            <rFont val="細明體"/>
            <family val="3"/>
            <charset val="136"/>
          </rPr>
          <t xml:space="preserve">中文、英文、生物
</t>
        </r>
        <r>
          <rPr>
            <b/>
            <sz val="9"/>
            <color indexed="81"/>
            <rFont val="Tahoma"/>
            <family val="2"/>
          </rPr>
          <t>x1.25:</t>
        </r>
        <r>
          <rPr>
            <sz val="9"/>
            <color indexed="81"/>
            <rFont val="Tahoma"/>
            <family val="2"/>
          </rPr>
          <t xml:space="preserve"> </t>
        </r>
        <r>
          <rPr>
            <sz val="9"/>
            <color indexed="81"/>
            <rFont val="細明體"/>
            <family val="3"/>
            <charset val="136"/>
          </rPr>
          <t>化學</t>
        </r>
        <r>
          <rPr>
            <sz val="9"/>
            <color indexed="81"/>
            <rFont val="Tahoma"/>
            <family val="2"/>
          </rPr>
          <t xml:space="preserve">)
</t>
        </r>
        <r>
          <rPr>
            <b/>
            <sz val="9"/>
            <color indexed="81"/>
            <rFont val="細明體"/>
            <family val="3"/>
            <charset val="136"/>
          </rPr>
          <t xml:space="preserve">
經考慮後，此處將</t>
        </r>
        <r>
          <rPr>
            <b/>
            <sz val="9"/>
            <color indexed="81"/>
            <rFont val="Tahoma"/>
            <family val="2"/>
          </rPr>
          <t xml:space="preserve"> *</t>
        </r>
        <r>
          <rPr>
            <b/>
            <sz val="9"/>
            <color indexed="81"/>
            <rFont val="細明體"/>
            <family val="3"/>
            <charset val="136"/>
          </rPr>
          <t>不會估算</t>
        </r>
        <r>
          <rPr>
            <b/>
            <sz val="9"/>
            <color indexed="81"/>
            <rFont val="Tahoma"/>
            <family val="2"/>
          </rPr>
          <t xml:space="preserve">* </t>
        </r>
        <r>
          <rPr>
            <b/>
            <sz val="9"/>
            <color indexed="81"/>
            <rFont val="細明體"/>
            <family val="3"/>
            <charset val="136"/>
          </rPr>
          <t>已被刪去的比重，請注意。</t>
        </r>
        <r>
          <rPr>
            <sz val="9"/>
            <color indexed="81"/>
            <rFont val="細明體"/>
            <family val="3"/>
            <charset val="136"/>
          </rPr>
          <t xml:space="preserve">
</t>
        </r>
        <r>
          <rPr>
            <b/>
            <sz val="9"/>
            <color indexed="81"/>
            <rFont val="細明體"/>
            <family val="3"/>
            <charset val="136"/>
          </rPr>
          <t>刪去比重包括︰</t>
        </r>
        <r>
          <rPr>
            <sz val="9"/>
            <color indexed="81"/>
            <rFont val="細明體"/>
            <family val="3"/>
            <charset val="136"/>
          </rPr>
          <t>中國歷史、中國文學、組合科學、數學、物理</t>
        </r>
        <r>
          <rPr>
            <sz val="9"/>
            <color indexed="81"/>
            <rFont val="Tahoma"/>
            <family val="2"/>
          </rPr>
          <t xml:space="preserve">
</t>
        </r>
        <r>
          <rPr>
            <b/>
            <sz val="9"/>
            <color indexed="81"/>
            <rFont val="細明體"/>
            <family val="3"/>
            <charset val="136"/>
          </rPr>
          <t xml:space="preserve">原有比重︰
</t>
        </r>
        <r>
          <rPr>
            <b/>
            <sz val="9"/>
            <color indexed="81"/>
            <rFont val="Tahoma"/>
            <family val="2"/>
          </rPr>
          <t>x1.5:</t>
        </r>
        <r>
          <rPr>
            <sz val="9"/>
            <color indexed="81"/>
            <rFont val="Tahoma"/>
            <family val="2"/>
          </rPr>
          <t xml:space="preserve"> </t>
        </r>
        <r>
          <rPr>
            <sz val="9"/>
            <color indexed="81"/>
            <rFont val="細明體"/>
            <family val="3"/>
            <charset val="136"/>
          </rPr>
          <t xml:space="preserve">中文、英文、生物
</t>
        </r>
        <r>
          <rPr>
            <b/>
            <sz val="9"/>
            <color indexed="81"/>
            <rFont val="Tahoma"/>
            <family val="2"/>
          </rPr>
          <t>x1.25:</t>
        </r>
        <r>
          <rPr>
            <sz val="9"/>
            <color indexed="81"/>
            <rFont val="Tahoma"/>
            <family val="2"/>
          </rPr>
          <t xml:space="preserve"> </t>
        </r>
        <r>
          <rPr>
            <sz val="9"/>
            <color indexed="81"/>
            <rFont val="細明體"/>
            <family val="3"/>
            <charset val="136"/>
          </rPr>
          <t>化學、中國歷史、中國文學、組合科學、數學、物理</t>
        </r>
      </text>
    </comment>
    <comment ref="D100" authorId="1" shapeId="0" xr:uid="{79A70564-82DB-4B0C-9047-1D49C74B7F6A}">
      <text>
        <r>
          <rPr>
            <b/>
            <sz val="9"/>
            <color indexed="81"/>
            <rFont val="Tahoma"/>
            <family val="2"/>
          </rPr>
          <t>2022</t>
        </r>
        <r>
          <rPr>
            <b/>
            <sz val="9"/>
            <color indexed="81"/>
            <rFont val="細明體"/>
            <family val="3"/>
            <charset val="136"/>
          </rPr>
          <t xml:space="preserve">年將以新比重收生
</t>
        </r>
        <r>
          <rPr>
            <sz val="9"/>
            <color indexed="81"/>
            <rFont val="Tahoma"/>
            <family val="2"/>
          </rPr>
          <t>(</t>
        </r>
        <r>
          <rPr>
            <b/>
            <sz val="9"/>
            <color indexed="81"/>
            <rFont val="Tahoma"/>
            <family val="2"/>
          </rPr>
          <t xml:space="preserve">x1.5: </t>
        </r>
        <r>
          <rPr>
            <sz val="9"/>
            <color indexed="81"/>
            <rFont val="細明體"/>
            <family val="3"/>
            <charset val="136"/>
          </rPr>
          <t>英文、化學</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生物、數學</t>
        </r>
        <r>
          <rPr>
            <sz val="9"/>
            <color indexed="81"/>
            <rFont val="Tahoma"/>
            <family val="2"/>
          </rPr>
          <t>)</t>
        </r>
        <r>
          <rPr>
            <b/>
            <sz val="9"/>
            <color indexed="81"/>
            <rFont val="Tahoma"/>
            <family val="2"/>
          </rPr>
          <t xml:space="preserve">
</t>
        </r>
        <r>
          <rPr>
            <b/>
            <sz val="9"/>
            <color indexed="81"/>
            <rFont val="細明體"/>
            <family val="3"/>
            <charset val="136"/>
          </rPr>
          <t>經考慮後，此處將</t>
        </r>
        <r>
          <rPr>
            <b/>
            <sz val="9"/>
            <color indexed="81"/>
            <rFont val="Tahoma"/>
            <family val="2"/>
          </rPr>
          <t xml:space="preserve"> *</t>
        </r>
        <r>
          <rPr>
            <b/>
            <sz val="9"/>
            <color indexed="81"/>
            <rFont val="細明體"/>
            <family val="3"/>
            <charset val="136"/>
          </rPr>
          <t>不會估算</t>
        </r>
        <r>
          <rPr>
            <b/>
            <sz val="9"/>
            <color indexed="81"/>
            <rFont val="Tahoma"/>
            <family val="2"/>
          </rPr>
          <t xml:space="preserve">* </t>
        </r>
        <r>
          <rPr>
            <b/>
            <sz val="9"/>
            <color indexed="81"/>
            <rFont val="細明體"/>
            <family val="3"/>
            <charset val="136"/>
          </rPr>
          <t>已被刪去的比重，請注意。
刪去比重包括︰</t>
        </r>
        <r>
          <rPr>
            <sz val="9"/>
            <color indexed="81"/>
            <rFont val="細明體"/>
            <family val="3"/>
            <charset val="136"/>
          </rPr>
          <t>中文、中國文學、組合科學、物理</t>
        </r>
        <r>
          <rPr>
            <b/>
            <sz val="9"/>
            <color indexed="81"/>
            <rFont val="細明體"/>
            <family val="3"/>
            <charset val="136"/>
          </rPr>
          <t xml:space="preserve">
原有比重︰
</t>
        </r>
        <r>
          <rPr>
            <b/>
            <sz val="9"/>
            <color indexed="81"/>
            <rFont val="Tahoma"/>
            <family val="2"/>
          </rPr>
          <t>x1.5:</t>
        </r>
        <r>
          <rPr>
            <sz val="9"/>
            <color indexed="81"/>
            <rFont val="Tahoma"/>
            <family val="2"/>
          </rPr>
          <t xml:space="preserve"> </t>
        </r>
        <r>
          <rPr>
            <sz val="9"/>
            <color indexed="81"/>
            <rFont val="細明體"/>
            <family val="3"/>
            <charset val="136"/>
          </rPr>
          <t>中文、英文、化學</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生物、中國文學、組合科學、數學、物理</t>
        </r>
      </text>
    </comment>
    <comment ref="D102" authorId="1" shapeId="0" xr:uid="{FF9CD80E-1E71-4E63-BD7B-905C3991D564}">
      <text>
        <r>
          <rPr>
            <b/>
            <sz val="9"/>
            <color indexed="81"/>
            <rFont val="Tahoma"/>
            <family val="2"/>
          </rPr>
          <t xml:space="preserve">x2: </t>
        </r>
        <r>
          <rPr>
            <sz val="9"/>
            <color indexed="81"/>
            <rFont val="細明體"/>
            <family val="3"/>
            <charset val="136"/>
          </rPr>
          <t>英文</t>
        </r>
      </text>
    </comment>
    <comment ref="D104" authorId="1" shapeId="0" xr:uid="{00E4F958-ECD0-4ED5-946E-FE9D5F9DB6ED}">
      <text>
        <r>
          <rPr>
            <b/>
            <sz val="9"/>
            <color indexed="81"/>
            <rFont val="Tahoma"/>
            <family val="2"/>
          </rPr>
          <t>x2:</t>
        </r>
        <r>
          <rPr>
            <sz val="9"/>
            <color indexed="81"/>
            <rFont val="Tahoma"/>
            <family val="2"/>
          </rPr>
          <t xml:space="preserve"> </t>
        </r>
        <r>
          <rPr>
            <sz val="9"/>
            <color indexed="81"/>
            <rFont val="細明體"/>
            <family val="3"/>
            <charset val="136"/>
          </rPr>
          <t xml:space="preserve">英文
</t>
        </r>
        <r>
          <rPr>
            <b/>
            <sz val="9"/>
            <color indexed="81"/>
            <rFont val="Tahoma"/>
            <family val="2"/>
          </rPr>
          <t>x1.5:</t>
        </r>
        <r>
          <rPr>
            <sz val="9"/>
            <color indexed="81"/>
            <rFont val="Tahoma"/>
            <family val="2"/>
          </rPr>
          <t xml:space="preserve"> </t>
        </r>
        <r>
          <rPr>
            <sz val="9"/>
            <color indexed="81"/>
            <rFont val="細明體"/>
            <family val="3"/>
            <charset val="136"/>
          </rPr>
          <t>通識</t>
        </r>
      </text>
    </comment>
    <comment ref="D105" authorId="1" shapeId="0" xr:uid="{27A7D952-EFCE-4491-BC4C-AE14ECFA6498}">
      <text>
        <r>
          <rPr>
            <b/>
            <sz val="9"/>
            <color indexed="81"/>
            <rFont val="Tahoma"/>
            <family val="2"/>
          </rPr>
          <t>Best 5 (</t>
        </r>
        <r>
          <rPr>
            <b/>
            <sz val="9"/>
            <color indexed="81"/>
            <rFont val="細明體"/>
            <family val="3"/>
            <charset val="136"/>
          </rPr>
          <t>包括英文</t>
        </r>
        <r>
          <rPr>
            <b/>
            <sz val="9"/>
            <color indexed="81"/>
            <rFont val="Tahoma"/>
            <family val="2"/>
          </rPr>
          <t>)</t>
        </r>
        <r>
          <rPr>
            <sz val="9"/>
            <color indexed="81"/>
            <rFont val="Tahoma"/>
            <family val="2"/>
          </rPr>
          <t xml:space="preserve">
</t>
        </r>
      </text>
    </comment>
    <comment ref="D107" authorId="1" shapeId="0" xr:uid="{6EA97A00-E39D-46E7-850E-6EBC5358711F}">
      <text>
        <r>
          <rPr>
            <b/>
            <sz val="9"/>
            <color indexed="81"/>
            <rFont val="Tahoma"/>
            <family val="2"/>
          </rPr>
          <t>2022</t>
        </r>
        <r>
          <rPr>
            <b/>
            <sz val="9"/>
            <color indexed="81"/>
            <rFont val="細明體"/>
            <family val="3"/>
            <charset val="136"/>
          </rPr>
          <t xml:space="preserve">年新科目
</t>
        </r>
        <r>
          <rPr>
            <b/>
            <sz val="9"/>
            <color indexed="81"/>
            <rFont val="Tahoma"/>
            <family val="2"/>
          </rPr>
          <t xml:space="preserve">x1.2: </t>
        </r>
        <r>
          <rPr>
            <sz val="9"/>
            <color indexed="81"/>
            <rFont val="細明體"/>
            <family val="3"/>
            <charset val="136"/>
          </rPr>
          <t>數學</t>
        </r>
      </text>
    </comment>
    <comment ref="D108" authorId="1" shapeId="0" xr:uid="{A22AA535-EB8A-46F6-BDA6-1F6576D67E94}">
      <text>
        <r>
          <rPr>
            <b/>
            <sz val="9"/>
            <color indexed="81"/>
            <rFont val="Tahoma"/>
            <family val="2"/>
          </rPr>
          <t>2022</t>
        </r>
        <r>
          <rPr>
            <b/>
            <sz val="9"/>
            <color indexed="81"/>
            <rFont val="細明體"/>
            <family val="3"/>
            <charset val="136"/>
          </rPr>
          <t>年新科目</t>
        </r>
        <r>
          <rPr>
            <sz val="9"/>
            <color indexed="81"/>
            <rFont val="Tahoma"/>
            <family val="2"/>
          </rPr>
          <t xml:space="preserve">
</t>
        </r>
      </text>
    </comment>
    <comment ref="D109" authorId="1" shapeId="0" xr:uid="{02E4FA29-4D58-4C72-B0FA-722518644F61}">
      <text>
        <r>
          <rPr>
            <b/>
            <sz val="9"/>
            <color indexed="81"/>
            <rFont val="Tahoma"/>
            <family val="2"/>
          </rPr>
          <t>2022</t>
        </r>
        <r>
          <rPr>
            <b/>
            <sz val="9"/>
            <color indexed="81"/>
            <rFont val="細明體"/>
            <family val="3"/>
            <charset val="136"/>
          </rPr>
          <t xml:space="preserve">年新科目
</t>
        </r>
        <r>
          <rPr>
            <b/>
            <sz val="9"/>
            <color indexed="81"/>
            <rFont val="Tahoma"/>
            <family val="2"/>
          </rPr>
          <t>Best 5 (</t>
        </r>
        <r>
          <rPr>
            <b/>
            <sz val="9"/>
            <color indexed="81"/>
            <rFont val="細明體"/>
            <family val="3"/>
            <charset val="136"/>
          </rPr>
          <t>包括英文</t>
        </r>
        <r>
          <rPr>
            <b/>
            <sz val="9"/>
            <color indexed="81"/>
            <rFont val="Tahoma"/>
            <family val="2"/>
          </rPr>
          <t>)</t>
        </r>
      </text>
    </comment>
    <comment ref="D110" authorId="1" shapeId="0" xr:uid="{AB14D515-6A15-48F9-AF1E-2A7E705AFFAB}">
      <text>
        <r>
          <rPr>
            <b/>
            <sz val="9"/>
            <color indexed="81"/>
            <rFont val="Tahoma"/>
            <family val="2"/>
          </rPr>
          <t>2022</t>
        </r>
        <r>
          <rPr>
            <b/>
            <sz val="9"/>
            <color indexed="81"/>
            <rFont val="細明體"/>
            <family val="3"/>
            <charset val="136"/>
          </rPr>
          <t>年新科目</t>
        </r>
        <r>
          <rPr>
            <sz val="9"/>
            <color indexed="81"/>
            <rFont val="Tahoma"/>
            <family val="2"/>
          </rPr>
          <t xml:space="preserve">
</t>
        </r>
      </text>
    </comment>
    <comment ref="D230" authorId="1" shapeId="0" xr:uid="{00000000-0006-0000-0400-000098000000}">
      <text>
        <r>
          <rPr>
            <b/>
            <sz val="9"/>
            <color indexed="81"/>
            <rFont val="細明體"/>
            <family val="3"/>
            <charset val="136"/>
          </rPr>
          <t>英文</t>
        </r>
        <r>
          <rPr>
            <b/>
            <sz val="9"/>
            <color indexed="81"/>
            <rFont val="Tahoma"/>
            <family val="2"/>
          </rPr>
          <t xml:space="preserve"> x1 </t>
        </r>
        <r>
          <rPr>
            <b/>
            <sz val="9"/>
            <color indexed="81"/>
            <rFont val="細明體"/>
            <family val="3"/>
            <charset val="136"/>
          </rPr>
          <t>數學</t>
        </r>
        <r>
          <rPr>
            <b/>
            <sz val="9"/>
            <color indexed="81"/>
            <rFont val="Tahoma"/>
            <family val="2"/>
          </rPr>
          <t xml:space="preserve"> x1
+</t>
        </r>
        <r>
          <rPr>
            <b/>
            <sz val="9"/>
            <color indexed="81"/>
            <rFont val="細明體"/>
            <family val="3"/>
            <charset val="136"/>
          </rPr>
          <t xml:space="preserve">
最佳兩科</t>
        </r>
        <r>
          <rPr>
            <b/>
            <sz val="9"/>
            <color indexed="81"/>
            <rFont val="Tahoma"/>
            <family val="2"/>
          </rPr>
          <t xml:space="preserve"> x1
(</t>
        </r>
        <r>
          <rPr>
            <sz val="9"/>
            <color indexed="81"/>
            <rFont val="Tahoma"/>
            <family val="2"/>
          </rPr>
          <t xml:space="preserve">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
</t>
        </r>
        <r>
          <rPr>
            <b/>
            <sz val="9"/>
            <color indexed="81"/>
            <rFont val="細明體"/>
            <family val="3"/>
            <charset val="136"/>
          </rPr>
          <t>最佳一科</t>
        </r>
        <r>
          <rPr>
            <b/>
            <sz val="9"/>
            <color indexed="81"/>
            <rFont val="Tahoma"/>
            <family val="2"/>
          </rPr>
          <t xml:space="preserve"> x1</t>
        </r>
      </text>
    </comment>
    <comment ref="D231" authorId="1" shapeId="0" xr:uid="{00000000-0006-0000-0400-000099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(M1/2/ </t>
        </r>
        <r>
          <rPr>
            <sz val="9"/>
            <color indexed="81"/>
            <rFont val="細明體"/>
            <family val="3"/>
            <charset val="136"/>
          </rPr>
          <t>物理</t>
        </r>
        <r>
          <rPr>
            <sz val="9"/>
            <color indexed="81"/>
            <rFont val="Tahoma"/>
            <family val="2"/>
          </rPr>
          <t>) x2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x1.5</t>
        </r>
      </text>
    </comment>
    <comment ref="D232" authorId="1" shapeId="0" xr:uid="{00000000-0006-0000-0400-00009A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t>
        </r>
        <r>
          <rPr>
            <sz val="9"/>
            <color indexed="81"/>
            <rFont val="細明體"/>
            <family val="3"/>
            <charset val="136"/>
          </rPr>
          <t xml:space="preserve">
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x2
(M1/2 /</t>
        </r>
        <r>
          <rPr>
            <sz val="9"/>
            <color indexed="81"/>
            <rFont val="細明體"/>
            <family val="3"/>
            <charset val="136"/>
          </rPr>
          <t>物理</t>
        </r>
        <r>
          <rPr>
            <sz val="9"/>
            <color indexed="81"/>
            <rFont val="Tahoma"/>
            <family val="2"/>
          </rPr>
          <t>/</t>
        </r>
        <r>
          <rPr>
            <sz val="9"/>
            <color indexed="81"/>
            <rFont val="細明體"/>
            <family val="3"/>
            <charset val="136"/>
          </rPr>
          <t>組合科學</t>
        </r>
        <r>
          <rPr>
            <sz val="9"/>
            <color indexed="81"/>
            <rFont val="Tahoma"/>
            <family val="2"/>
          </rPr>
          <t>) x1</t>
        </r>
      </text>
    </comment>
    <comment ref="D233" authorId="1" shapeId="0" xr:uid="{00000000-0006-0000-0400-00009B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(M1/2/ </t>
        </r>
        <r>
          <rPr>
            <sz val="9"/>
            <color indexed="81"/>
            <rFont val="細明體"/>
            <family val="3"/>
            <charset val="136"/>
          </rPr>
          <t>物理</t>
        </r>
        <r>
          <rPr>
            <sz val="9"/>
            <color indexed="81"/>
            <rFont val="Tahoma"/>
            <family val="2"/>
          </rPr>
          <t>) x2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x1.5</t>
        </r>
      </text>
    </comment>
    <comment ref="D234" authorId="1" shapeId="0" xr:uid="{00000000-0006-0000-0400-00009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D235" authorId="1" shapeId="0" xr:uid="{00000000-0006-0000-0400-00009D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/DAT)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t>
        </r>
      </text>
    </comment>
    <comment ref="D236" authorId="1" shapeId="0" xr:uid="{00000000-0006-0000-0400-00009E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(M1/2 x1.5)</t>
        </r>
      </text>
    </comment>
    <comment ref="D237" authorId="1" shapeId="0" xr:uid="{00000000-0006-0000-0400-00009F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D238" authorId="1" shapeId="0" xr:uid="{00000000-0006-0000-0400-0000A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D239" authorId="1" shapeId="0" xr:uid="{00000000-0006-0000-0400-0000A1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D240" authorId="1" shapeId="0" xr:uid="{00000000-0006-0000-0400-0000A2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D241" authorId="1" shapeId="0" xr:uid="{00000000-0006-0000-0400-0000A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D242" authorId="1" shapeId="0" xr:uid="{00000000-0006-0000-0400-0000A4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D243" authorId="1" shapeId="0" xr:uid="{00000000-0006-0000-0400-0000A5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D244" authorId="1" shapeId="0" xr:uid="{00000000-0006-0000-0400-0000A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D245" authorId="1" shapeId="0" xr:uid="{00000000-0006-0000-0400-0000A7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D246" authorId="1" shapeId="0" xr:uid="{00000000-0006-0000-0400-0000A8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D247" authorId="1" shapeId="0" xr:uid="{00000000-0006-0000-0400-0000A9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D248" authorId="1" shapeId="0" xr:uid="{00000000-0006-0000-0400-0000AA000000}">
      <text>
        <r>
          <rPr>
            <sz val="9"/>
            <color indexed="81"/>
            <rFont val="細明體"/>
            <family val="3"/>
            <charset val="136"/>
          </rPr>
          <t>英文</t>
        </r>
        <r>
          <rPr>
            <sz val="9"/>
            <color indexed="81"/>
            <rFont val="Tahoma"/>
            <family val="2"/>
          </rPr>
          <t xml:space="preserve"> x2 </t>
        </r>
        <r>
          <rPr>
            <sz val="9"/>
            <color indexed="81"/>
            <rFont val="細明體"/>
            <family val="3"/>
            <charset val="136"/>
          </rPr>
          <t>中文</t>
        </r>
        <r>
          <rPr>
            <sz val="9"/>
            <color indexed="81"/>
            <rFont val="Tahoma"/>
            <family val="2"/>
          </rPr>
          <t xml:space="preserve"> x1.5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D249" authorId="1" shapeId="0" xr:uid="{00000000-0006-0000-0400-0000AB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D250" authorId="1" shapeId="0" xr:uid="{00000000-0006-0000-0400-0000A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最佳下列理科</t>
        </r>
        <r>
          <rPr>
            <sz val="9"/>
            <color indexed="81"/>
            <rFont val="Tahoma"/>
            <family val="2"/>
          </rPr>
          <t xml:space="preserve"> x1.5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t>
        </r>
      </text>
    </comment>
    <comment ref="D251" authorId="1" shapeId="0" xr:uid="{00000000-0006-0000-0400-0000AD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D252" authorId="1" shapeId="0" xr:uid="{00000000-0006-0000-0400-0000AE000000}">
      <text>
        <r>
          <rPr>
            <b/>
            <sz val="9"/>
            <color indexed="81"/>
            <rFont val="細明體"/>
            <family val="3"/>
            <charset val="136"/>
          </rPr>
          <t>英文</t>
        </r>
        <r>
          <rPr>
            <b/>
            <sz val="9"/>
            <color indexed="81"/>
            <rFont val="Tahoma"/>
            <family val="2"/>
          </rPr>
          <t xml:space="preserve"> x2 </t>
        </r>
        <r>
          <rPr>
            <b/>
            <sz val="9"/>
            <color indexed="81"/>
            <rFont val="細明體"/>
            <family val="3"/>
            <charset val="136"/>
          </rPr>
          <t>數學</t>
        </r>
        <r>
          <rPr>
            <b/>
            <sz val="9"/>
            <color indexed="81"/>
            <rFont val="Tahoma"/>
            <family val="2"/>
          </rPr>
          <t xml:space="preserve"> x2</t>
        </r>
        <r>
          <rPr>
            <sz val="9"/>
            <color indexed="81"/>
            <rFont val="Tahoma"/>
            <family val="2"/>
          </rPr>
          <t xml:space="preserve">
+
</t>
        </r>
        <r>
          <rPr>
            <b/>
            <sz val="9"/>
            <color indexed="81"/>
            <rFont val="Tahoma"/>
            <family val="2"/>
          </rPr>
          <t>M1/2 x 2</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最佳下列科目</t>
        </r>
        <r>
          <rPr>
            <b/>
            <sz val="9"/>
            <color indexed="81"/>
            <rFont val="Tahoma"/>
            <family val="2"/>
          </rPr>
          <t xml:space="preserve"> x1.5</t>
        </r>
        <r>
          <rPr>
            <sz val="9"/>
            <color indexed="81"/>
            <rFont val="Tahoma"/>
            <family val="2"/>
          </rPr>
          <t xml:space="preserve">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t>
        </r>
        <r>
          <rPr>
            <sz val="9"/>
            <color indexed="81"/>
            <rFont val="細明體"/>
            <family val="3"/>
            <charset val="136"/>
          </rPr>
          <t>物理</t>
        </r>
        <r>
          <rPr>
            <sz val="9"/>
            <color indexed="81"/>
            <rFont val="Tahoma"/>
            <family val="2"/>
          </rPr>
          <t>/</t>
        </r>
        <r>
          <rPr>
            <sz val="9"/>
            <color indexed="81"/>
            <rFont val="細明體"/>
            <family val="3"/>
            <charset val="136"/>
          </rPr>
          <t>組合科學</t>
        </r>
        <r>
          <rPr>
            <sz val="9"/>
            <color indexed="81"/>
            <rFont val="Tahoma"/>
            <family val="2"/>
          </rPr>
          <t>/</t>
        </r>
        <r>
          <rPr>
            <sz val="9"/>
            <color indexed="81"/>
            <rFont val="細明體"/>
            <family val="3"/>
            <charset val="136"/>
          </rPr>
          <t>綜合科學</t>
        </r>
        <r>
          <rPr>
            <sz val="9"/>
            <color indexed="81"/>
            <rFont val="Tahoma"/>
            <family val="2"/>
          </rPr>
          <t>/</t>
        </r>
        <r>
          <rPr>
            <sz val="9"/>
            <color indexed="81"/>
            <rFont val="細明體"/>
            <family val="3"/>
            <charset val="136"/>
          </rPr>
          <t>經濟</t>
        </r>
        <r>
          <rPr>
            <sz val="9"/>
            <color indexed="81"/>
            <rFont val="Tahoma"/>
            <family val="2"/>
          </rPr>
          <t xml:space="preserve">)
+
</t>
        </r>
        <r>
          <rPr>
            <b/>
            <sz val="9"/>
            <color indexed="81"/>
            <rFont val="細明體"/>
            <family val="3"/>
            <charset val="136"/>
          </rPr>
          <t>最佳</t>
        </r>
        <r>
          <rPr>
            <b/>
            <sz val="9"/>
            <color indexed="81"/>
            <rFont val="Tahoma"/>
            <family val="2"/>
          </rPr>
          <t>3</t>
        </r>
        <r>
          <rPr>
            <b/>
            <sz val="9"/>
            <color indexed="81"/>
            <rFont val="細明體"/>
            <family val="3"/>
            <charset val="136"/>
          </rPr>
          <t>科</t>
        </r>
        <r>
          <rPr>
            <b/>
            <sz val="9"/>
            <color indexed="81"/>
            <rFont val="Tahoma"/>
            <family val="2"/>
          </rPr>
          <t xml:space="preserve"> x1</t>
        </r>
        <r>
          <rPr>
            <sz val="9"/>
            <color indexed="81"/>
            <rFont val="Tahoma"/>
            <family val="2"/>
          </rPr>
          <t xml:space="preserve">
</t>
        </r>
      </text>
    </comment>
    <comment ref="D253" authorId="1" shapeId="0" xr:uid="{00000000-0006-0000-0400-0000AF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D254" authorId="1" shapeId="0" xr:uid="{BA34BAB5-07D2-4CD3-9703-793E938B9992}">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D255" authorId="1" shapeId="0" xr:uid="{6596C034-5BAC-4499-95D0-815712C04708}">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(M1/2 x1.5)
</t>
        </r>
      </text>
    </comment>
    <comment ref="D399" authorId="1" shapeId="0" xr:uid="{00000000-0006-0000-0400-0000DD000000}">
      <text>
        <r>
          <rPr>
            <b/>
            <sz val="9"/>
            <color indexed="81"/>
            <rFont val="Tahoma"/>
            <family val="2"/>
          </rPr>
          <t>Best 5 (</t>
        </r>
        <r>
          <rPr>
            <b/>
            <sz val="9"/>
            <color indexed="81"/>
            <rFont val="細明體"/>
            <family val="3"/>
            <charset val="136"/>
          </rPr>
          <t>包括英文、數學</t>
        </r>
        <r>
          <rPr>
            <b/>
            <sz val="9"/>
            <color indexed="81"/>
            <rFont val="Tahoma"/>
            <family val="2"/>
          </rPr>
          <t xml:space="preserve">)
</t>
        </r>
        <r>
          <rPr>
            <sz val="9"/>
            <color indexed="81"/>
            <rFont val="Tahoma"/>
            <family val="2"/>
          </rPr>
          <t xml:space="preserve">
</t>
        </r>
        <r>
          <rPr>
            <b/>
            <sz val="9"/>
            <color indexed="81"/>
            <rFont val="細明體"/>
            <family val="3"/>
            <charset val="136"/>
          </rPr>
          <t>此處並無計算比重</t>
        </r>
        <r>
          <rPr>
            <sz val="9"/>
            <color indexed="81"/>
            <rFont val="細明體"/>
            <family val="3"/>
            <charset val="136"/>
          </rPr>
          <t xml:space="preserve">
</t>
        </r>
        <r>
          <rPr>
            <b/>
            <sz val="9"/>
            <color indexed="81"/>
            <rFont val="Tahoma"/>
            <family val="2"/>
          </rPr>
          <t>x10:</t>
        </r>
        <r>
          <rPr>
            <sz val="9"/>
            <color indexed="81"/>
            <rFont val="Tahoma"/>
            <family val="2"/>
          </rPr>
          <t xml:space="preserve"> </t>
        </r>
        <r>
          <rPr>
            <sz val="9"/>
            <color indexed="81"/>
            <rFont val="細明體"/>
            <family val="3"/>
            <charset val="136"/>
          </rPr>
          <t>英文、數學、</t>
        </r>
        <r>
          <rPr>
            <sz val="9"/>
            <color indexed="81"/>
            <rFont val="Tahoma"/>
            <family val="2"/>
          </rPr>
          <t>BAFS</t>
        </r>
        <r>
          <rPr>
            <sz val="9"/>
            <color indexed="81"/>
            <rFont val="細明體"/>
            <family val="3"/>
            <charset val="136"/>
          </rPr>
          <t>、經濟、地理、</t>
        </r>
        <r>
          <rPr>
            <sz val="9"/>
            <color indexed="81"/>
            <rFont val="Tahoma"/>
            <family val="2"/>
          </rPr>
          <t>ICT</t>
        </r>
        <r>
          <rPr>
            <sz val="9"/>
            <color indexed="81"/>
            <rFont val="細明體"/>
            <family val="3"/>
            <charset val="136"/>
          </rPr>
          <t>、物理、</t>
        </r>
        <r>
          <rPr>
            <sz val="9"/>
            <color indexed="81"/>
            <rFont val="Tahoma"/>
            <family val="2"/>
          </rPr>
          <t xml:space="preserve">M1/2
</t>
        </r>
        <r>
          <rPr>
            <b/>
            <sz val="9"/>
            <color indexed="81"/>
            <rFont val="Tahoma"/>
            <family val="2"/>
          </rPr>
          <t xml:space="preserve">x7: </t>
        </r>
        <r>
          <rPr>
            <sz val="9"/>
            <color indexed="81"/>
            <rFont val="細明體"/>
            <family val="3"/>
            <charset val="136"/>
          </rPr>
          <t xml:space="preserve">中文、通識、組合科學、綜合科學、化學、生物
</t>
        </r>
        <r>
          <rPr>
            <b/>
            <sz val="9"/>
            <color indexed="81"/>
            <rFont val="Tahoma"/>
            <family val="2"/>
          </rPr>
          <t xml:space="preserve">x5: </t>
        </r>
        <r>
          <rPr>
            <sz val="9"/>
            <color indexed="81"/>
            <rFont val="細明體"/>
            <family val="3"/>
            <charset val="136"/>
          </rPr>
          <t>其他選修科目</t>
        </r>
        <r>
          <rPr>
            <sz val="9"/>
            <color indexed="81"/>
            <rFont val="Tahoma"/>
            <family val="2"/>
          </rPr>
          <t xml:space="preserve"> (1</t>
        </r>
        <r>
          <rPr>
            <sz val="9"/>
            <color indexed="81"/>
            <rFont val="細明體"/>
            <family val="3"/>
            <charset val="136"/>
          </rPr>
          <t>個選修科</t>
        </r>
        <r>
          <rPr>
            <sz val="9"/>
            <color indexed="81"/>
            <rFont val="Tahoma"/>
            <family val="2"/>
          </rPr>
          <t>)</t>
        </r>
      </text>
    </comment>
    <comment ref="D400" authorId="1" shapeId="0" xr:uid="{00000000-0006-0000-0400-0000DE000000}">
      <text>
        <r>
          <rPr>
            <b/>
            <sz val="9"/>
            <color indexed="81"/>
            <rFont val="細明體"/>
            <family val="3"/>
            <charset val="136"/>
          </rPr>
          <t xml:space="preserve">此處並無計算比重
</t>
        </r>
        <r>
          <rPr>
            <b/>
            <sz val="9"/>
            <color indexed="81"/>
            <rFont val="Tahoma"/>
            <family val="2"/>
          </rPr>
          <t xml:space="preserve">x5: </t>
        </r>
        <r>
          <rPr>
            <sz val="9"/>
            <color indexed="81"/>
            <rFont val="細明體"/>
            <family val="3"/>
            <charset val="136"/>
          </rPr>
          <t>英文、數學、</t>
        </r>
        <r>
          <rPr>
            <sz val="9"/>
            <color indexed="81"/>
            <rFont val="Tahoma"/>
            <family val="2"/>
          </rPr>
          <t>BAFS</t>
        </r>
        <r>
          <rPr>
            <sz val="9"/>
            <color indexed="81"/>
            <rFont val="細明體"/>
            <family val="3"/>
            <charset val="136"/>
          </rPr>
          <t>、經濟、</t>
        </r>
        <r>
          <rPr>
            <sz val="9"/>
            <color indexed="81"/>
            <rFont val="Tahoma"/>
            <family val="2"/>
          </rPr>
          <t>M1/2</t>
        </r>
        <r>
          <rPr>
            <sz val="9"/>
            <color indexed="81"/>
            <rFont val="細明體"/>
            <family val="3"/>
            <charset val="136"/>
          </rPr>
          <t>、經濟、物理</t>
        </r>
        <r>
          <rPr>
            <b/>
            <sz val="9"/>
            <color indexed="81"/>
            <rFont val="細明體"/>
            <family val="3"/>
            <charset val="136"/>
          </rPr>
          <t xml:space="preserve">
</t>
        </r>
        <r>
          <rPr>
            <b/>
            <sz val="9"/>
            <color indexed="81"/>
            <rFont val="Tahoma"/>
            <family val="2"/>
          </rPr>
          <t xml:space="preserve">x3: </t>
        </r>
        <r>
          <rPr>
            <sz val="9"/>
            <color indexed="81"/>
            <rFont val="細明體"/>
            <family val="3"/>
            <charset val="136"/>
          </rPr>
          <t>中文、通識、</t>
        </r>
        <r>
          <rPr>
            <sz val="9"/>
            <color indexed="81"/>
            <rFont val="Tahoma"/>
            <family val="2"/>
          </rPr>
          <t>ICT</t>
        </r>
        <r>
          <rPr>
            <sz val="9"/>
            <color indexed="81"/>
            <rFont val="細明體"/>
            <family val="3"/>
            <charset val="136"/>
          </rPr>
          <t>、組合科學、綜合科學、化學、生物</t>
        </r>
        <r>
          <rPr>
            <b/>
            <sz val="9"/>
            <color indexed="81"/>
            <rFont val="Tahoma"/>
            <family val="2"/>
          </rPr>
          <t xml:space="preserve">
</t>
        </r>
        <r>
          <rPr>
            <b/>
            <sz val="9"/>
            <color indexed="81"/>
            <rFont val="細明體"/>
            <family val="3"/>
            <charset val="136"/>
          </rPr>
          <t xml:space="preserve">
</t>
        </r>
        <r>
          <rPr>
            <b/>
            <sz val="9"/>
            <color indexed="81"/>
            <rFont val="Tahoma"/>
            <family val="2"/>
          </rPr>
          <t>x2:</t>
        </r>
        <r>
          <rPr>
            <sz val="9"/>
            <color indexed="81"/>
            <rFont val="Tahoma"/>
            <family val="2"/>
          </rPr>
          <t xml:space="preserve"> </t>
        </r>
        <r>
          <rPr>
            <sz val="9"/>
            <color indexed="81"/>
            <rFont val="細明體"/>
            <family val="3"/>
            <charset val="136"/>
          </rPr>
          <t>其他選修科</t>
        </r>
        <r>
          <rPr>
            <sz val="9"/>
            <color indexed="81"/>
            <rFont val="Tahoma"/>
            <family val="2"/>
          </rPr>
          <t xml:space="preserve"> (1</t>
        </r>
        <r>
          <rPr>
            <sz val="9"/>
            <color indexed="81"/>
            <rFont val="細明體"/>
            <family val="3"/>
            <charset val="136"/>
          </rPr>
          <t>個選修科</t>
        </r>
        <r>
          <rPr>
            <sz val="9"/>
            <color indexed="81"/>
            <rFont val="Tahoma"/>
            <family val="2"/>
          </rPr>
          <t>)</t>
        </r>
      </text>
    </comment>
    <comment ref="D401" authorId="1" shapeId="0" xr:uid="{00000000-0006-0000-0400-0000DF000000}">
      <text>
        <r>
          <rPr>
            <b/>
            <sz val="9"/>
            <color indexed="81"/>
            <rFont val="細明體"/>
            <family val="3"/>
            <charset val="136"/>
          </rPr>
          <t>此處並無計算比重</t>
        </r>
        <r>
          <rPr>
            <b/>
            <sz val="9"/>
            <color indexed="81"/>
            <rFont val="Tahoma"/>
            <family val="2"/>
          </rPr>
          <t xml:space="preserve">
x3:</t>
        </r>
        <r>
          <rPr>
            <sz val="9"/>
            <color indexed="81"/>
            <rFont val="Tahoma"/>
            <family val="2"/>
          </rPr>
          <t xml:space="preserve"> </t>
        </r>
        <r>
          <rPr>
            <sz val="9"/>
            <color indexed="81"/>
            <rFont val="細明體"/>
            <family val="3"/>
            <charset val="136"/>
          </rPr>
          <t>數學、</t>
        </r>
        <r>
          <rPr>
            <sz val="9"/>
            <color indexed="81"/>
            <rFont val="Tahoma"/>
            <family val="2"/>
          </rPr>
          <t>ICT</t>
        </r>
        <r>
          <rPr>
            <sz val="9"/>
            <color indexed="81"/>
            <rFont val="細明體"/>
            <family val="3"/>
            <charset val="136"/>
          </rPr>
          <t>、</t>
        </r>
        <r>
          <rPr>
            <sz val="9"/>
            <color indexed="81"/>
            <rFont val="Tahoma"/>
            <family val="2"/>
          </rPr>
          <t>M1/2</t>
        </r>
        <r>
          <rPr>
            <sz val="9"/>
            <color indexed="81"/>
            <rFont val="細明體"/>
            <family val="3"/>
            <charset val="136"/>
          </rPr>
          <t>、經濟、</t>
        </r>
        <r>
          <rPr>
            <sz val="9"/>
            <color indexed="81"/>
            <rFont val="Tahoma"/>
            <family val="2"/>
          </rPr>
          <t>BAFS</t>
        </r>
        <r>
          <rPr>
            <sz val="9"/>
            <color indexed="81"/>
            <rFont val="細明體"/>
            <family val="3"/>
            <charset val="136"/>
          </rPr>
          <t xml:space="preserve">、物理
</t>
        </r>
        <r>
          <rPr>
            <b/>
            <sz val="9"/>
            <color indexed="81"/>
            <rFont val="Tahoma"/>
            <family val="2"/>
          </rPr>
          <t>x2:</t>
        </r>
        <r>
          <rPr>
            <sz val="9"/>
            <color indexed="81"/>
            <rFont val="Tahoma"/>
            <family val="2"/>
          </rPr>
          <t xml:space="preserve"> </t>
        </r>
        <r>
          <rPr>
            <sz val="9"/>
            <color indexed="81"/>
            <rFont val="細明體"/>
            <family val="3"/>
            <charset val="136"/>
          </rPr>
          <t>中文、英文、通識、生物、化學、組合科學、綜合科學</t>
        </r>
      </text>
    </comment>
    <comment ref="D402" authorId="1" shapeId="0" xr:uid="{00000000-0006-0000-0400-0000E0000000}">
      <text>
        <r>
          <rPr>
            <b/>
            <sz val="9"/>
            <color indexed="81"/>
            <rFont val="Tahoma"/>
            <family val="2"/>
          </rPr>
          <t>Best 5 (</t>
        </r>
        <r>
          <rPr>
            <b/>
            <sz val="9"/>
            <color indexed="81"/>
            <rFont val="細明體"/>
            <family val="3"/>
            <charset val="136"/>
          </rPr>
          <t>包括數學</t>
        </r>
        <r>
          <rPr>
            <b/>
            <sz val="9"/>
            <color indexed="81"/>
            <rFont val="Tahoma"/>
            <family val="2"/>
          </rPr>
          <t>)</t>
        </r>
      </text>
    </comment>
    <comment ref="D403" authorId="1" shapeId="0" xr:uid="{00000000-0006-0000-0400-0000E1000000}">
      <text>
        <r>
          <rPr>
            <b/>
            <sz val="9"/>
            <color indexed="81"/>
            <rFont val="細明體"/>
            <family val="3"/>
            <charset val="136"/>
          </rPr>
          <t>此處並無計算比重</t>
        </r>
        <r>
          <rPr>
            <b/>
            <sz val="9"/>
            <color indexed="81"/>
            <rFont val="Tahoma"/>
            <family val="2"/>
          </rPr>
          <t xml:space="preserve">
x10:</t>
        </r>
        <r>
          <rPr>
            <sz val="9"/>
            <color indexed="81"/>
            <rFont val="Tahoma"/>
            <family val="2"/>
          </rPr>
          <t xml:space="preserve"> </t>
        </r>
        <r>
          <rPr>
            <sz val="9"/>
            <color indexed="81"/>
            <rFont val="細明體"/>
            <family val="3"/>
            <charset val="136"/>
          </rPr>
          <t>英文、數學、</t>
        </r>
        <r>
          <rPr>
            <sz val="9"/>
            <color indexed="81"/>
            <rFont val="Tahoma"/>
            <family val="2"/>
          </rPr>
          <t>BAFS</t>
        </r>
        <r>
          <rPr>
            <sz val="9"/>
            <color indexed="81"/>
            <rFont val="細明體"/>
            <family val="3"/>
            <charset val="136"/>
          </rPr>
          <t>、經濟、地理、</t>
        </r>
        <r>
          <rPr>
            <sz val="9"/>
            <color indexed="81"/>
            <rFont val="Tahoma"/>
            <family val="2"/>
          </rPr>
          <t>ICT</t>
        </r>
        <r>
          <rPr>
            <sz val="9"/>
            <color indexed="81"/>
            <rFont val="細明體"/>
            <family val="3"/>
            <charset val="136"/>
          </rPr>
          <t>、物理、</t>
        </r>
        <r>
          <rPr>
            <sz val="9"/>
            <color indexed="81"/>
            <rFont val="Tahoma"/>
            <family val="2"/>
          </rPr>
          <t xml:space="preserve">M1/2
</t>
        </r>
        <r>
          <rPr>
            <b/>
            <sz val="9"/>
            <color indexed="81"/>
            <rFont val="Tahoma"/>
            <family val="2"/>
          </rPr>
          <t xml:space="preserve">x7: </t>
        </r>
        <r>
          <rPr>
            <sz val="9"/>
            <color indexed="81"/>
            <rFont val="細明體"/>
            <family val="3"/>
            <charset val="136"/>
          </rPr>
          <t xml:space="preserve">中文、通識、組合科學、綜合科學、化學、生物
</t>
        </r>
        <r>
          <rPr>
            <b/>
            <sz val="9"/>
            <color indexed="81"/>
            <rFont val="Tahoma"/>
            <family val="2"/>
          </rPr>
          <t>x5:</t>
        </r>
        <r>
          <rPr>
            <sz val="9"/>
            <color indexed="81"/>
            <rFont val="Tahoma"/>
            <family val="2"/>
          </rPr>
          <t xml:space="preserve"> </t>
        </r>
        <r>
          <rPr>
            <sz val="9"/>
            <color indexed="81"/>
            <rFont val="細明體"/>
            <family val="3"/>
            <charset val="136"/>
          </rPr>
          <t>其他選修科目</t>
        </r>
        <r>
          <rPr>
            <sz val="9"/>
            <color indexed="81"/>
            <rFont val="Tahoma"/>
            <family val="2"/>
          </rPr>
          <t xml:space="preserve"> (1</t>
        </r>
        <r>
          <rPr>
            <sz val="9"/>
            <color indexed="81"/>
            <rFont val="細明體"/>
            <family val="3"/>
            <charset val="136"/>
          </rPr>
          <t>個選修科</t>
        </r>
        <r>
          <rPr>
            <sz val="9"/>
            <color indexed="81"/>
            <rFont val="Tahoma"/>
            <family val="2"/>
          </rPr>
          <t xml:space="preserve">)
</t>
        </r>
      </text>
    </comment>
    <comment ref="D405" authorId="2" shapeId="0" xr:uid="{00000000-0006-0000-0400-0000E2000000}">
      <text>
        <r>
          <rPr>
            <sz val="9"/>
            <color indexed="81"/>
            <rFont val="細明體"/>
            <family val="3"/>
            <charset val="136"/>
          </rPr>
          <t>只考慮甲類科目</t>
        </r>
      </text>
    </comment>
    <comment ref="D406" authorId="1" shapeId="0" xr:uid="{00000000-0006-0000-0400-0000E3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化學</t>
        </r>
        <r>
          <rPr>
            <b/>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化學</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D407" authorId="1" shapeId="0" xr:uid="{00000000-0006-0000-0400-0000E4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r>
          <rPr>
            <sz val="9"/>
            <color indexed="81"/>
            <rFont val="Tahoma"/>
            <family val="2"/>
          </rPr>
          <t xml:space="preserve">
- </t>
        </r>
        <r>
          <rPr>
            <b/>
            <sz val="9"/>
            <color indexed="81"/>
            <rFont val="細明體"/>
            <family val="3"/>
            <charset val="136"/>
          </rPr>
          <t>數學</t>
        </r>
        <r>
          <rPr>
            <sz val="9"/>
            <color indexed="81"/>
            <rFont val="Tahoma"/>
            <family val="2"/>
          </rPr>
          <t xml:space="preserve"> </t>
        </r>
        <r>
          <rPr>
            <sz val="9"/>
            <color indexed="81"/>
            <rFont val="細明體"/>
            <family val="3"/>
            <charset val="136"/>
          </rPr>
          <t>和</t>
        </r>
        <r>
          <rPr>
            <sz val="9"/>
            <color indexed="81"/>
            <rFont val="Tahoma"/>
            <family val="2"/>
          </rPr>
          <t xml:space="preserve"> </t>
        </r>
        <r>
          <rPr>
            <b/>
            <sz val="9"/>
            <color indexed="81"/>
            <rFont val="細明體"/>
            <family val="3"/>
            <charset val="136"/>
          </rPr>
          <t>通識</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物理</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綜合科學</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t>
        </r>
        <r>
          <rPr>
            <b/>
            <sz val="9"/>
            <color indexed="81"/>
            <rFont val="細明體"/>
            <family val="3"/>
            <charset val="136"/>
          </rPr>
          <t>物理</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D408" authorId="1" shapeId="0" xr:uid="{00000000-0006-0000-0400-0000E5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D409" authorId="1" shapeId="0" xr:uid="{00000000-0006-0000-0400-0000E6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b/>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<sst xmlns="http://schemas.openxmlformats.org/spreadsheetml/2006/main" count="43962" uniqueCount="3835">
  <si>
    <t>CityU</t>
  </si>
  <si>
    <t>JS1000</t>
  </si>
  <si>
    <t>UGC-funded</t>
  </si>
  <si>
    <t>BScCFFT</t>
  </si>
  <si>
    <t>BSc Computational Finance and Financial Technology</t>
  </si>
  <si>
    <t>理學士(計算金融及金融科技)</t>
  </si>
  <si>
    <t>BSc Computational Finance and Financial TechnologyUPDATED</t>
  </si>
  <si>
    <t>JS1001</t>
  </si>
  <si>
    <t>BBAGBU</t>
  </si>
  <si>
    <t>BBA Global Business</t>
  </si>
  <si>
    <t>工商管理學士(環球商業)</t>
  </si>
  <si>
    <t>BBA Global BusinessUPDATED</t>
  </si>
  <si>
    <t>JS1002</t>
  </si>
  <si>
    <t>BBAAC</t>
  </si>
  <si>
    <t>BBA Accountancy</t>
  </si>
  <si>
    <t>工商管理學士(會計)</t>
  </si>
  <si>
    <t>BBA AccountancyUPDATED</t>
  </si>
  <si>
    <t>JS1005</t>
  </si>
  <si>
    <t>BBAMGMT</t>
  </si>
  <si>
    <t>BBA Management</t>
  </si>
  <si>
    <t>工商管理學士(管理學)</t>
  </si>
  <si>
    <t>BBA ManagementUPDATED</t>
  </si>
  <si>
    <t>JS1007</t>
  </si>
  <si>
    <t>BBAMKT</t>
  </si>
  <si>
    <t>BBA Marketing</t>
  </si>
  <si>
    <t>工商管理學士(市場營銷)</t>
  </si>
  <si>
    <t>BBA MarketingUPDATED</t>
  </si>
  <si>
    <t>JS1012</t>
  </si>
  <si>
    <t>EF</t>
  </si>
  <si>
    <t>Department of Economics and Finance (options: BBA Business Economics, BBA Finance)UPDATED</t>
  </si>
  <si>
    <t>經濟及金融系 [選項: 工商管理學士(商業經濟)、工商管理學士(金融)]</t>
  </si>
  <si>
    <t>JS1013</t>
  </si>
  <si>
    <t>BBABE</t>
  </si>
  <si>
    <t>BBA Business EconomicsUPDATED</t>
  </si>
  <si>
    <t>工商管理學士(商業經濟)</t>
  </si>
  <si>
    <t>JS1014</t>
  </si>
  <si>
    <t>BBAFIN</t>
  </si>
  <si>
    <t>BBA FinanceUPDATED</t>
  </si>
  <si>
    <t>工商管理學士(金融)</t>
  </si>
  <si>
    <t>JS1017</t>
  </si>
  <si>
    <t>IS</t>
  </si>
  <si>
    <t>Department of Information Systems (options: BBA Global Business Systems Management, BBA Information Management)UPDATED</t>
  </si>
  <si>
    <t>資訊系統學系 [選項: 工商管理學士(環球商業系統管理)、工商管理學士(資訊管理)]</t>
  </si>
  <si>
    <t>JS1018</t>
  </si>
  <si>
    <t>BBAGBSM</t>
  </si>
  <si>
    <t>BBA Global Business Systems ManagementUPDATED</t>
  </si>
  <si>
    <t>工商管理學士(環球商業系統管理)</t>
  </si>
  <si>
    <t>JS1019</t>
  </si>
  <si>
    <t>BBAIFMG</t>
  </si>
  <si>
    <t>BBA Information ManagementUPDATED</t>
  </si>
  <si>
    <t>工商管理學士(資訊管理)</t>
  </si>
  <si>
    <t>JS1025</t>
  </si>
  <si>
    <t>MS</t>
  </si>
  <si>
    <t>Department of Management Sciences (options: BBA Business Analysis, BBA Business Operations Management)UPDATED</t>
  </si>
  <si>
    <t>管理科學系 [選項: 工商管理學士(商業分析)、工商管理學士(商業營運管理)]</t>
  </si>
  <si>
    <t>JS1026</t>
  </si>
  <si>
    <t>BBABANL</t>
  </si>
  <si>
    <t>BBA Business AnalysisUPDATED</t>
  </si>
  <si>
    <t>工商管理學士(商業分析)</t>
  </si>
  <si>
    <t>JS1027</t>
  </si>
  <si>
    <t>BBABOM</t>
  </si>
  <si>
    <t>BBA Business Operations ManagementUPDATED</t>
  </si>
  <si>
    <t>工商管理學士(商業營運管理)</t>
  </si>
  <si>
    <t>JS1041</t>
  </si>
  <si>
    <t>SCM</t>
  </si>
  <si>
    <t>School of Creative Media (options: BA Creative Media, BSc Creative Media, BAS New Media)</t>
  </si>
  <si>
    <t>創意媒體學院 [選項: 文學士(創意媒體)、理學士(創意媒體)、文理學士(新媒體)]</t>
  </si>
  <si>
    <t>School of Creative Media (options: BA Creative Media, BSc Creative Media, BAS New Media)UPDATED</t>
  </si>
  <si>
    <t>JS1042</t>
  </si>
  <si>
    <t>BACM</t>
  </si>
  <si>
    <t>BA Creative Media</t>
  </si>
  <si>
    <t>文學士(創意媒體)</t>
  </si>
  <si>
    <t>BA Creative MediaUPDATED</t>
  </si>
  <si>
    <t>JS1043</t>
  </si>
  <si>
    <t>BScCM</t>
  </si>
  <si>
    <t>BSc Creative Media</t>
  </si>
  <si>
    <t>理學士(創意媒體)</t>
  </si>
  <si>
    <t>BSc Creative MediaUPDATED</t>
  </si>
  <si>
    <t>JS1044</t>
  </si>
  <si>
    <t>BAS</t>
  </si>
  <si>
    <t>BAS New Media</t>
  </si>
  <si>
    <t>文理學士(新媒體)</t>
  </si>
  <si>
    <t>BAS New MediaUPDATED</t>
  </si>
  <si>
    <t>JS1051</t>
  </si>
  <si>
    <t>SEE</t>
  </si>
  <si>
    <t>School of Energy and Environment (options: BEng Energy Science and Engineering, BEng Environmental Science and Engineering)</t>
  </si>
  <si>
    <t>能源及環境學院 [選項: 工學士(能源科學及工程學)、工學士(環境科學及工程學)]</t>
  </si>
  <si>
    <t>School of Energy and Environment (options: BEng Energy Science and Engineering, BEng Environmental Science and Engineering)UPDATED</t>
  </si>
  <si>
    <t>JS1061</t>
  </si>
  <si>
    <t>LLB</t>
  </si>
  <si>
    <t>Bachelor of Laws</t>
  </si>
  <si>
    <t>法律學學士</t>
  </si>
  <si>
    <t>Bachelor of LawsUPDATED</t>
  </si>
  <si>
    <t>JS1062</t>
  </si>
  <si>
    <t>LLB&amp;BBAAC</t>
    <phoneticPr fontId="2" type="noConversion"/>
  </si>
  <si>
    <t>Bachelor of Laws and Bachelor of Business Administration in AccountancyUPDATED</t>
  </si>
  <si>
    <t>法律學學士與工商管理學士(會計)</t>
    <phoneticPr fontId="2" type="noConversion"/>
  </si>
  <si>
    <t>JS1071</t>
  </si>
  <si>
    <t>SDSC</t>
  </si>
  <si>
    <t>School of Data Science (options: BSc Data Science, BEng Data and Systems Engineering)</t>
  </si>
  <si>
    <t>數據科學學院 [選項：理學士 (數據科學)、工學士 (數據與系統工程)]</t>
  </si>
  <si>
    <t>School of Data Science (options: BSc Data Science, BSc Data and Systems Engineering)UPDATED</t>
  </si>
  <si>
    <t>數據科學學院 [選項：理學士 (數據科學)、理學士 (數據與系統工程)]</t>
  </si>
  <si>
    <t>JS1072</t>
  </si>
  <si>
    <t>BScDSC</t>
  </si>
  <si>
    <t>BSc Data Science</t>
  </si>
  <si>
    <t>理學士(數據科學)</t>
  </si>
  <si>
    <t>BSc Data ScienceUPDATED</t>
  </si>
  <si>
    <t>JS1073</t>
  </si>
  <si>
    <t>BEngDSE</t>
  </si>
  <si>
    <t>BEng Data and Systems Engineering</t>
  </si>
  <si>
    <t>工學士(數據與系統工程)</t>
  </si>
  <si>
    <t>JS1074</t>
  </si>
  <si>
    <t>BScDSE</t>
  </si>
  <si>
    <t>BSc Data and Systems EngineeringUPDATED</t>
  </si>
  <si>
    <t>理學士(數據與系統工程)</t>
  </si>
  <si>
    <t>JS1102</t>
  </si>
  <si>
    <t>BSocScASIS</t>
  </si>
  <si>
    <t>BSocSc Asian and International Studies</t>
  </si>
  <si>
    <t>社會科學學士(亞洲及國際研究)</t>
  </si>
  <si>
    <t>BSocSc Asian and International StudiesUPDATED</t>
  </si>
  <si>
    <t>JS1103</t>
  </si>
  <si>
    <t>BACHIS</t>
  </si>
  <si>
    <t>BA Chinese and History</t>
  </si>
  <si>
    <t>文學士(中文及歷史)</t>
  </si>
  <si>
    <t>BA Chinese and HistoryUPDATED</t>
  </si>
  <si>
    <t>JS1104</t>
  </si>
  <si>
    <t>BAEN</t>
  </si>
  <si>
    <t>BA English</t>
  </si>
  <si>
    <t>文學士(英語語言)</t>
  </si>
  <si>
    <t>BA EnglishUPDATED</t>
  </si>
  <si>
    <t>JS1105</t>
  </si>
  <si>
    <t>LT</t>
  </si>
  <si>
    <t>Department of Linguistics and Translation (options: BA Linguistics and Language Applications, BA Translation and Interpretation)</t>
  </si>
  <si>
    <t>翻譯及語言學系 [選項: 文學士(語言學及語言應用)、文學士(翻譯及傳譯)]</t>
  </si>
  <si>
    <t>JS1106</t>
  </si>
  <si>
    <t>COM</t>
  </si>
  <si>
    <t>Department of Media and Communication (options: BA Digital Television and Broadcasting, BA Media and Communication)</t>
  </si>
  <si>
    <t>媒體與傳播系 [選項: 文學士(數碼電視與廣播)、文學士(媒體與傳播)]</t>
  </si>
  <si>
    <t>Department of Media and Communication (options: BA Digital Television and Broadcasting, BA Media and Communication)UPDATED</t>
  </si>
  <si>
    <t>JS1108</t>
  </si>
  <si>
    <t>BSocScPPP</t>
  </si>
  <si>
    <t>BSocSc Public Policy and Politics</t>
  </si>
  <si>
    <t>社會科學學士(公共政策與政治)</t>
  </si>
  <si>
    <t>BSocSc Public Policy and PoliticsUPDATED</t>
  </si>
  <si>
    <t>JS1109</t>
    <phoneticPr fontId="2" type="noConversion"/>
  </si>
  <si>
    <t>BALLA</t>
  </si>
  <si>
    <t>BA Linguistics and Language ApplicationsUPDATED</t>
  </si>
  <si>
    <t>文學士(語言學及語言應用)</t>
  </si>
  <si>
    <t>JS1110</t>
  </si>
  <si>
    <t>SS</t>
  </si>
  <si>
    <t>Department of Social and Behavioural Sciences (options: BSocSc Criminology and Sociology, BSocSc Psychology, BSocSc Social Work)</t>
  </si>
  <si>
    <t>社會及行為科學系 [選項: 社會科學學士(犯罪學及社會學)、社會科學學士(心理學)、社會科學學士(社會工作)]</t>
  </si>
  <si>
    <t>Department of Social and Behavioural Sciences (options: BSocSc Criminology and Sociology, BSocSc Psychology, BSocSc Social Work)UPDATED</t>
  </si>
  <si>
    <t>JS1111</t>
  </si>
  <si>
    <t>BSocScCRSO</t>
  </si>
  <si>
    <t>BSocSc Criminology and Sociology</t>
  </si>
  <si>
    <t>社會科學學士(犯罪學及社會學)</t>
  </si>
  <si>
    <t>BSocSc Criminology and SociologyUPDATED</t>
  </si>
  <si>
    <t>JS1112</t>
  </si>
  <si>
    <t>BSocScPSY</t>
  </si>
  <si>
    <t>BSocSc Psychology</t>
  </si>
  <si>
    <t>社會科學學士(心理學)</t>
  </si>
  <si>
    <t>BSocSc PsychologyUPDATED</t>
  </si>
  <si>
    <t>JS1113</t>
  </si>
  <si>
    <t>BSocScSW</t>
  </si>
  <si>
    <t>BSocSc Social Work</t>
  </si>
  <si>
    <t>社會科學學士(社會工作)</t>
  </si>
  <si>
    <t>BSocSc Social WorkUPDATED</t>
  </si>
  <si>
    <t>JS1122</t>
  </si>
  <si>
    <t>BSocScPP&amp;LLB</t>
  </si>
  <si>
    <t>Bachelor of Social Sciences in Public Policy and Bachelor of LawsUPDATED</t>
  </si>
  <si>
    <t>社會科學學士(公共政策)與法律學學士</t>
  </si>
  <si>
    <t>JS1123</t>
  </si>
  <si>
    <t>BSocScCR&amp;LLB</t>
  </si>
  <si>
    <t>Bachelor of Social Sciences in Criminology and Bachelor of LawsUPDATED</t>
  </si>
  <si>
    <t>社會科學學士(犯罪學)與法律學學士</t>
  </si>
  <si>
    <t>JS1200</t>
  </si>
  <si>
    <t>GREAT</t>
  </si>
  <si>
    <t>Global Research Enrichment and Technopreneurship (GREAT)</t>
  </si>
  <si>
    <t>環球精研與科創課程</t>
  </si>
  <si>
    <t>Global Research Enrichment and Technopreneurship (GREAT)UPDATED</t>
  </si>
  <si>
    <t>JS1201</t>
  </si>
  <si>
    <t>ACE</t>
  </si>
  <si>
    <t>Department of Architecture and Civil Engineering (options: BEng Architectural Engineering, BEng Civil Engineering, BSc Surveying)</t>
  </si>
  <si>
    <t>建築學及土木工程學系 [選項: 工學士(建築工程)、工學士(土木工程)、理學士(測量學)]</t>
  </si>
  <si>
    <t>Department of Architecture and Civil Engineering (options: BEng Architectural Engineering, BEng Civil Engineering, BSc Surveying)UPDATED</t>
  </si>
  <si>
    <t>JS1202</t>
  </si>
  <si>
    <t>BScCHEM</t>
  </si>
  <si>
    <t>BSc Chemistry</t>
  </si>
  <si>
    <t>理學士(化學)</t>
  </si>
  <si>
    <t>BSc ChemistryUPDATED</t>
  </si>
  <si>
    <t>JS1204</t>
  </si>
  <si>
    <t>BScCSC</t>
  </si>
  <si>
    <t>BSc Computer Science</t>
  </si>
  <si>
    <t>理學士(電腦科學)</t>
  </si>
  <si>
    <t>BScCS</t>
  </si>
  <si>
    <t>BSc Computer ScienceUPDATED</t>
  </si>
  <si>
    <t>JS1205</t>
  </si>
  <si>
    <t>EE</t>
  </si>
  <si>
    <t>Department of Electrical Engineering (options:BEng Computer&amp;Data Engineering, BEng Electronic&amp;Electrical Engineering, BEng Information Engineering)</t>
  </si>
  <si>
    <t>電機工程學系 [選項: 工學士(電子計算機及數據工程學)、工學士(電子及電機工程學)、工學士(資訊工程學)]</t>
  </si>
  <si>
    <t>Department of Electrical Engineering (options: BEng Computer and Data Engineering, BEng Electronic and Electrical Engineering, BEng Information Engineering, BEng Microelectronics Engineering)UPDATED</t>
  </si>
  <si>
    <t>電機工程學系 [選項: 工學士(電子計算機及數據工程學)、工學士(電子及電機工程學)、工學士(資訊工程學)、工學士(微電子工程學)]</t>
  </si>
  <si>
    <t>JS1206</t>
  </si>
  <si>
    <t>BSc Computing Mathematics</t>
  </si>
  <si>
    <t>理學士(計算數學)</t>
  </si>
  <si>
    <t>BSc Computing MathematicsUPDATED</t>
  </si>
  <si>
    <t>JS1207</t>
  </si>
  <si>
    <t>MNE</t>
  </si>
  <si>
    <t>Department of Mechanical Engineering (options: BEng Mechanical Engineering,BEng Nuclear &amp; Risk Engineering)</t>
  </si>
  <si>
    <t>機械工程學系 [選項: 工學士(機械工程)、工學士(核子及風險工程)]</t>
  </si>
  <si>
    <t>Department of Mechanical Engineering (options: BEng Aerospace Engineering, BEng Mechanical Engineering, BEng Nuclear and Risk Engineering)UPDATED</t>
  </si>
  <si>
    <t>機械工程學系 [選項: 工學士(航空航天工程)、工學士(機械工程)、工學士(核子及風險工程)]</t>
  </si>
  <si>
    <t>JS1208</t>
  </si>
  <si>
    <t>BScPHY</t>
  </si>
  <si>
    <t>BSc Physics</t>
  </si>
  <si>
    <t>理學士(物理學)</t>
  </si>
  <si>
    <t>BSc PhysicsUPDATED</t>
  </si>
  <si>
    <t>JS1210</t>
  </si>
  <si>
    <t>BEngMASE</t>
  </si>
  <si>
    <t>BEng Materials Science and Engineering</t>
  </si>
  <si>
    <t>工學士(材料科學及工程)</t>
  </si>
  <si>
    <t>BEng Materials Science and EngineeringUPDATED</t>
  </si>
  <si>
    <t>JS1211</t>
  </si>
  <si>
    <t>BEngBME</t>
  </si>
  <si>
    <t>BEng Biomedical Engineering</t>
  </si>
  <si>
    <t>工學士(生物醫學工程)</t>
  </si>
  <si>
    <t>BEng Biomedical EngineeringUPDATED</t>
  </si>
  <si>
    <t>JS1216</t>
  </si>
  <si>
    <t>BEngITME</t>
  </si>
  <si>
    <t>BEng Intelligent Manufacturing EngineeringUPDATED</t>
  </si>
  <si>
    <t>工學士(智能製造工程學)</t>
  </si>
  <si>
    <t>JS1217</t>
  </si>
  <si>
    <t>CENG</t>
  </si>
  <si>
    <t>College of Engineering (option: any major in College of Engineering with Minor in Engineering Entrepreneurship)UPDATED</t>
  </si>
  <si>
    <t>工學院(選項: 工學院任何一個主修及工程創業副修)</t>
  </si>
  <si>
    <t>JS1220</t>
  </si>
  <si>
    <t>LLB&amp;BScCM</t>
  </si>
  <si>
    <t>Bachelor of Laws and Bachelor of Science in Computing MathematicsUPDATED</t>
  </si>
  <si>
    <t>法律學學士與理學士(計算數學)</t>
  </si>
  <si>
    <t>JS1221</t>
  </si>
  <si>
    <t>BScCS&amp;BScCFFT</t>
  </si>
  <si>
    <t>Bachelor of Science in Computer Science and Bachelor of Science in Computational Finance and Financial TechnologyUPDATED</t>
  </si>
  <si>
    <t>理學士(電腦科學)與理學士(計算金融及金融科技)</t>
  </si>
  <si>
    <t>JS1801</t>
  </si>
  <si>
    <t>BVM</t>
  </si>
  <si>
    <t>Bachelor of Veterinary Medicine</t>
  </si>
  <si>
    <t>獸醫學學士</t>
  </si>
  <si>
    <t>Bachelor of Veterinary MedicineUPDATED</t>
  </si>
  <si>
    <t>JS1805</t>
  </si>
  <si>
    <t>BMS</t>
  </si>
  <si>
    <t>Department of Biomedical Sciences (options: BSc Biological Sciences, BSc Biomedical Sciences)</t>
  </si>
  <si>
    <t>生物醫學系 [選項: 理學士(生物科學)、理學士(生物醫學)]</t>
  </si>
  <si>
    <t>Department of Biomedical Sciences (options: BSc Biological Sciences, BSc Biomedical Sciences)UPDATED</t>
  </si>
  <si>
    <t>JS1806</t>
  </si>
  <si>
    <t>BScBISI</t>
  </si>
  <si>
    <t>BSc Biological Sciences</t>
  </si>
  <si>
    <t>理學士(生物科學)</t>
  </si>
  <si>
    <t>BSc Biological SciencesUPDATED</t>
  </si>
  <si>
    <t>JS1807</t>
  </si>
  <si>
    <t>BScBMS</t>
  </si>
  <si>
    <t>BSc Biomedical Sciences</t>
  </si>
  <si>
    <t>理學士(生物醫學)</t>
  </si>
  <si>
    <t>BSc Biomedical SciencesUPDATED</t>
  </si>
  <si>
    <t>HKBU</t>
  </si>
  <si>
    <t>JS2020</t>
  </si>
  <si>
    <t>BA</t>
  </si>
  <si>
    <t>Bachelor of Arts</t>
  </si>
  <si>
    <t>文學士</t>
  </si>
  <si>
    <t>Bachelor of Arts (Hons) (Chinese Language and Literature / Creative and Professional Writing / English Language and Literature / Humanities / Translation)UPDATED</t>
  </si>
  <si>
    <t>文學士(榮譽) (中國語言文學 / 創意及專業寫作 / 英國語言文學 / 人文學 / 翻譯學)</t>
  </si>
  <si>
    <t>JS2021</t>
  </si>
  <si>
    <t>BA(CHI)</t>
  </si>
  <si>
    <t>Bachelor of Arts in Chinese Language and Literature</t>
  </si>
  <si>
    <t>中國語言文學文學士</t>
  </si>
  <si>
    <t>JS2022</t>
  </si>
  <si>
    <t>BA(CPW)</t>
  </si>
  <si>
    <t>Bachelor of Arts in Creative and Professional Writing</t>
  </si>
  <si>
    <t>創意及專業寫作文學士</t>
  </si>
  <si>
    <t>JS2023</t>
  </si>
  <si>
    <t>BA(ENG)</t>
  </si>
  <si>
    <t>Bachelor of Arts in English Language and Literature</t>
  </si>
  <si>
    <t>英國語言文學文學士</t>
  </si>
  <si>
    <t>JS2024</t>
  </si>
  <si>
    <t>BA(HUM)</t>
  </si>
  <si>
    <t>Bachelor of Arts in Humanities</t>
  </si>
  <si>
    <t>人文學文學士</t>
  </si>
  <si>
    <t>JS2025</t>
  </si>
  <si>
    <t>BA(RPE)</t>
  </si>
  <si>
    <t>Bachelor of Arts in Religion, Philosophy and Ethics</t>
  </si>
  <si>
    <t>宗教、哲學及倫理文學士</t>
  </si>
  <si>
    <t>Bachelor of Arts (Hons) in Religion, Philosophy and EthicsUPDATED</t>
  </si>
  <si>
    <t>宗教、哲學及倫理文學士(榮譽)</t>
  </si>
  <si>
    <t>JS2026</t>
  </si>
  <si>
    <t>BA(TRAN)</t>
  </si>
  <si>
    <t>Bachelor of Arts in Translation</t>
  </si>
  <si>
    <t>翻譯學文學士</t>
  </si>
  <si>
    <t>JS2030</t>
  </si>
  <si>
    <t>BA(MUSIC)</t>
  </si>
  <si>
    <t>Bachelor of Arts in MusicUPDATED</t>
  </si>
  <si>
    <t>音樂文學士</t>
  </si>
  <si>
    <t>JS2040</t>
  </si>
  <si>
    <t>BA(ELL)&amp;BEd(ELT)</t>
  </si>
  <si>
    <t>English Language &amp; Literature and English Language Teaching (Double Degree)</t>
  </si>
  <si>
    <t>英國語言文學及英語教學 (雙學位課程)</t>
  </si>
  <si>
    <t>JS2050</t>
  </si>
  <si>
    <t>BMUSIC(CI)</t>
  </si>
  <si>
    <t>Bachelor of Music in Creative Industries</t>
  </si>
  <si>
    <t>創意產業音樂學士</t>
  </si>
  <si>
    <t>JS2060</t>
  </si>
  <si>
    <t>BA/BMUS(MUSIC/CI)</t>
  </si>
  <si>
    <t>Bachelor of Arts (Hons) / Bachelor of Music (Hons) (Music / Creative Industries)UPDATED</t>
  </si>
  <si>
    <t>文學士(榮譽) / 音樂學士(榮譽) (音樂 / 創意產業)</t>
  </si>
  <si>
    <t>JS2110</t>
  </si>
  <si>
    <t>BBA(ACCT)</t>
  </si>
  <si>
    <t>Bachelor of Business Administration - Accounting Concentration</t>
  </si>
  <si>
    <t>工商管理學士 - 會計學專修</t>
  </si>
  <si>
    <t>Bachelor of Business Administration (Hons) - Accounting ConcentrationUPDATED</t>
  </si>
  <si>
    <t>工商管理學士(榮譽) - 會計學專修</t>
  </si>
  <si>
    <t>JS2120</t>
  </si>
  <si>
    <t>BBA</t>
  </si>
  <si>
    <t>Bachelor of Business Administration</t>
  </si>
  <si>
    <t>工商管理學士</t>
  </si>
  <si>
    <t>Bachelor of Business Administration (Hons)UPDATED</t>
  </si>
  <si>
    <t>工商管理學士(榮譽)</t>
  </si>
  <si>
    <t>JS2310</t>
  </si>
  <si>
    <t>BCOMM</t>
  </si>
  <si>
    <t>Bachelor of Communication (Hons) (Journalism and Digital Media / Public Relations and Advertising)UPDATED</t>
  </si>
  <si>
    <t>傳理學學士(榮譽) (新聞與數碼媒體 / 公關及廣告)</t>
  </si>
  <si>
    <t>JS2320</t>
  </si>
  <si>
    <t>BCOMM(AMA)</t>
  </si>
  <si>
    <t>Bachelor of Communication in Film (Animation and Media Arts Concentration)</t>
  </si>
  <si>
    <t>傳理學學士 - 電影主修 - 動畫及媒體藝術專修</t>
  </si>
  <si>
    <t>JS2330</t>
  </si>
  <si>
    <t>BCOMM(FTV)</t>
  </si>
  <si>
    <t>Bachelor of Communication in Film (Film and Television Concentration)</t>
  </si>
  <si>
    <t>傳理學學士 - 電影主修 - 電影電視專修</t>
  </si>
  <si>
    <t>Bachelor of Communication (Hons) in Film (Film and Television Concentration)UPDATED</t>
  </si>
  <si>
    <t>傳理學學士(榮譽) - 電影主修 - 電影電視專修</t>
  </si>
  <si>
    <t>JS2340</t>
  </si>
  <si>
    <t>BFA(AGS)</t>
  </si>
  <si>
    <t>Bachelor of Fine Arts in Acting for Global ScreenUPDATED</t>
  </si>
  <si>
    <t>環球螢幕演技藝術學士</t>
  </si>
  <si>
    <t>Bachelor of Fine Arts (Hons) in Acting for Global ScreenUPDATED</t>
  </si>
  <si>
    <t>環球螢幕演技藝術學士(榮譽)</t>
  </si>
  <si>
    <t>JS2350</t>
  </si>
  <si>
    <t>BCOMM(JOUR)</t>
  </si>
  <si>
    <t>Bachelor of Communication in Journalism and Digital MediaUPDATED</t>
  </si>
  <si>
    <t>傳理學學士 - 新聞與數碼媒體主修</t>
  </si>
  <si>
    <t>JS2360</t>
  </si>
  <si>
    <t>BCOMM(PRA)</t>
  </si>
  <si>
    <t>Bachelor of Communication in Public Relations and Advertising</t>
  </si>
  <si>
    <t>傳理學學士 - 公關及廣告主修</t>
  </si>
  <si>
    <t>JS2370</t>
  </si>
  <si>
    <t>BCOMM(GDA)</t>
  </si>
  <si>
    <t>Bachelor of Communication (Hons) in Game Design and AnimationUPDATED</t>
  </si>
  <si>
    <t>傳理學學士(榮譽) - 遊戲設計與動畫主修</t>
  </si>
  <si>
    <t>JS2410</t>
  </si>
  <si>
    <t>BCM&amp;BSc(BIOMED)</t>
  </si>
  <si>
    <t>Bachelor of Chinese Medicine and Bachelor of Science in Biomedical Science</t>
  </si>
  <si>
    <t>中醫學學士及生物醫學理學士</t>
  </si>
  <si>
    <t>Bachelor of Chinese Medicine and Bachelor of Science (Hons) in Biomedical ScienceUPDATED</t>
  </si>
  <si>
    <t>中醫學學士及生物醫學理學士(榮譽)</t>
  </si>
  <si>
    <t>JS2420</t>
  </si>
  <si>
    <t>BPharm</t>
  </si>
  <si>
    <t>Bachelor of Pharmacy in Chinese Medicine</t>
  </si>
  <si>
    <t>中藥學學士</t>
  </si>
  <si>
    <t>Bachelor of Pharmacy (Hons) in Chinese MedicineUPDATED</t>
  </si>
  <si>
    <t>中藥學學士(榮譽)</t>
  </si>
  <si>
    <t>JS2510</t>
  </si>
  <si>
    <t>BSc</t>
  </si>
  <si>
    <t>Bachelor of Science</t>
  </si>
  <si>
    <t>理學士</t>
  </si>
  <si>
    <t>Bachelor of Science (Hons)UPDATED</t>
  </si>
  <si>
    <t>理學士(榮譽)</t>
  </si>
  <si>
    <t>JS2610</t>
  </si>
  <si>
    <t>BA/ BSocSc</t>
  </si>
  <si>
    <t>Bachelor of Arts/ Bachelor of Social Sciences (Geography/ Government &amp; International Studies/ History/ Sociology)</t>
  </si>
  <si>
    <t>文學士/ 社會科學學士 (地理/ 政治及國際關係學/ 歷史/ 社會學)</t>
  </si>
  <si>
    <t>BA/BSocSc</t>
  </si>
  <si>
    <t>Bachelor of Arts (Hons) / Bachelor of Social Sciences (Hons) (European Studies [French/German Stream] / Geography/ Global and China Studies/ Government and International Studies/ History/ Sociology)UPDATED</t>
  </si>
  <si>
    <t>文學士(榮譽) / 社會科學學士(榮譽) (歐洲研究 [法文/德文] / 地理 / 全球及中國研究 / 政治及國際關係學 / 歷史 / 社會學)</t>
  </si>
  <si>
    <t>JS2620</t>
  </si>
  <si>
    <t>BA(PERM)</t>
  </si>
  <si>
    <t>Bachelor of Arts in Physical Education and Recreation Management</t>
  </si>
  <si>
    <t>體育及康樂管理文學士</t>
  </si>
  <si>
    <t>Bachelor of Arts (Hons) in Physical Education and Recreation ManagementUPDATED</t>
  </si>
  <si>
    <t>體育及康樂管理文學士(榮譽)</t>
  </si>
  <si>
    <t>JS2630</t>
  </si>
  <si>
    <t>BSocSc(EURO-FREN)</t>
  </si>
  <si>
    <t>Bachelor of Social Sciences in European Studies - French Stream</t>
  </si>
  <si>
    <t>歐洲研究社會科學學士 - 法文</t>
  </si>
  <si>
    <t>JS2640</t>
  </si>
  <si>
    <t>BSocSc(EURO-GERM)</t>
  </si>
  <si>
    <t>Bachelor of Social Sciences in European Studies - German Stream</t>
  </si>
  <si>
    <t>歐洲研究社會科學學士 - 德文</t>
  </si>
  <si>
    <t>JS2660</t>
  </si>
  <si>
    <t>BSW</t>
  </si>
  <si>
    <t>Bachelor of Social WorkUPDATED</t>
  </si>
  <si>
    <t>社會工作學士</t>
  </si>
  <si>
    <t>Bachelor of Social Work (Hons)UPDATED</t>
  </si>
  <si>
    <t>社會工作學士(榮譽)</t>
  </si>
  <si>
    <t>JS2670</t>
  </si>
  <si>
    <t>BSocSc(GCS)</t>
  </si>
  <si>
    <t>Bachelor of Social Sciences in Global and China Studies</t>
  </si>
  <si>
    <t>全球及中國研究社會科學學士</t>
  </si>
  <si>
    <t>JS2690</t>
  </si>
  <si>
    <t>BA/BSocSc&amp;BEd(PSHE)</t>
  </si>
  <si>
    <t>Geography/ History/ Sociology and Personal, Social and Humanities Education Teaching (Double Degree)</t>
  </si>
  <si>
    <t>地理/ 歷史/ 社會學及個人、社會及人文教學 (雙學位課程)</t>
  </si>
  <si>
    <t>JS2810</t>
  </si>
  <si>
    <t>BA(VA)</t>
  </si>
  <si>
    <t>Bachelor of Arts in Visual Arts</t>
  </si>
  <si>
    <t>視覺藝術文學士</t>
  </si>
  <si>
    <t>Bachelor of Arts (Hons) in Visual ArtsUPDATED</t>
  </si>
  <si>
    <t>視覺藝術文學士(榮譽)</t>
  </si>
  <si>
    <t>JS2910</t>
  </si>
  <si>
    <t>BSc(BCDA)</t>
  </si>
  <si>
    <t>Bachelor of Science in Business Computing and Data Analytics</t>
  </si>
  <si>
    <t>商業計算及數據分析理學士</t>
  </si>
  <si>
    <t>Bachelor of Science (Hons) in Business Computing and Data AnalyticsUPDATED</t>
  </si>
  <si>
    <t>商業計算及數據分析理學士(榮譽)</t>
  </si>
  <si>
    <t>JS2920</t>
  </si>
  <si>
    <t>BASc(ARTT)</t>
  </si>
  <si>
    <t>Bachelor of Arts and Science (Hons) in Arts and TechnologyUPDATED</t>
  </si>
  <si>
    <t>藝術及科技文理學士(榮譽)</t>
  </si>
  <si>
    <t>JS2930</t>
  </si>
  <si>
    <t>BA(BUSADMIN-GE)</t>
  </si>
  <si>
    <t>Bachelor of Arts (Hons) in Business Administration (Global Entertainment)UPDATED</t>
  </si>
  <si>
    <t>工商管理文學士(榮譽)(全球娛樂)</t>
  </si>
  <si>
    <t>JS2940</t>
  </si>
  <si>
    <t>BSocSc/BSc(HSWB)</t>
  </si>
  <si>
    <t>Bachelor of Social Sciences (Hons) / Bachelor of Science (Hons) in Innovation in Health and Social Well-BeingUPDATED</t>
  </si>
  <si>
    <t>創新醫療及社會健康社會科學學士(榮譽) / 理學士(榮譽)</t>
  </si>
  <si>
    <t>JS2950</t>
  </si>
  <si>
    <t>BAScT</t>
  </si>
  <si>
    <t>Bachelor of Arts, Science and Technology (Hons)UPDATED</t>
  </si>
  <si>
    <t>文理及科技學士(榮譽)</t>
  </si>
  <si>
    <t>PolyU</t>
  </si>
  <si>
    <t>JS3014</t>
  </si>
  <si>
    <t>HD APP PHY</t>
  </si>
  <si>
    <t>HD in Applied Physics</t>
  </si>
  <si>
    <t>應用物理學高級文憑</t>
  </si>
  <si>
    <t>JS3026</t>
  </si>
  <si>
    <t>HD BLDG SERV ENGG</t>
  </si>
  <si>
    <t>HD in Building Services Engineering</t>
  </si>
  <si>
    <t>屋宇設備工程學高級文憑</t>
  </si>
  <si>
    <t>JS3038</t>
  </si>
  <si>
    <t>HD BLDG TECH &amp; MGT(ENGG)</t>
  </si>
  <si>
    <t>HD in Building Technology &amp; Management (Engineering)</t>
  </si>
  <si>
    <t>建築科技及管理學高級文憑(工程)</t>
  </si>
  <si>
    <t>JS3040</t>
  </si>
  <si>
    <t>HD CHEM TECH</t>
  </si>
  <si>
    <t>HD in Chemical Technology</t>
  </si>
  <si>
    <t>化學科技高級文憑</t>
  </si>
  <si>
    <t>JS3052</t>
  </si>
  <si>
    <t>HD CIVIL ENGG</t>
  </si>
  <si>
    <t>HD in Civil Engineering</t>
  </si>
  <si>
    <t>土木工程學高級文憑</t>
  </si>
  <si>
    <t>JS3064</t>
  </si>
  <si>
    <t>HD ELECTRICAL ENGG</t>
  </si>
  <si>
    <t>HD in Electrical Engineering</t>
  </si>
  <si>
    <t>電機工程學高級文憑</t>
  </si>
  <si>
    <t>JS3076</t>
  </si>
  <si>
    <t>HD ELECTRONIC INFO ENGG</t>
  </si>
  <si>
    <t>HD in Electronic &amp; Information Engineering</t>
  </si>
  <si>
    <t>電子及資訊工程學高級文憑</t>
  </si>
  <si>
    <t>JS3105</t>
  </si>
  <si>
    <t>HD LAND SUR &amp; GEO-INFO</t>
  </si>
  <si>
    <t>HD in Land Surveying and Geo-Informatics</t>
  </si>
  <si>
    <t>土地測量及地理資訊學高級文憑</t>
  </si>
  <si>
    <t>JS3117</t>
  </si>
  <si>
    <t>HD INDUSTRIAL &amp; SYS ENGG</t>
  </si>
  <si>
    <t>HD in Industrial &amp; Systems Engineering</t>
  </si>
  <si>
    <t>工業及系統工程學高級文憑</t>
  </si>
  <si>
    <t>JS3284</t>
  </si>
  <si>
    <t>HD BLDG TECH &amp; MGT(SURV)</t>
  </si>
  <si>
    <t>HD in Building Technology &amp; Management (Surveying)</t>
  </si>
  <si>
    <t>建築科技及管理學高級文憑(測量)</t>
  </si>
  <si>
    <t>JS3010</t>
  </si>
  <si>
    <t>BIOT, FOOD SAFE &amp; CHEM T</t>
  </si>
  <si>
    <t>BSc (Hons) Scheme in Biotechnology, Food Safety and Chemical Technology</t>
  </si>
  <si>
    <t>生物科技、食物安全及化學科技(榮譽)理學士組合課程</t>
  </si>
  <si>
    <t>JS3020</t>
  </si>
  <si>
    <t>DATA SCI</t>
  </si>
  <si>
    <t>BSc (Hons) Scheme in Data Science</t>
  </si>
  <si>
    <t>數據科學(榮譽)理學士組合課程</t>
  </si>
  <si>
    <t>JS3030</t>
  </si>
  <si>
    <t>PHYSICS</t>
  </si>
  <si>
    <t>BSc (Hons) in Physics with a Secondary Major in AI &amp; Data Analytics / Innovation and Entrepreneurship</t>
  </si>
  <si>
    <t>物理學(榮譽)理學士 副主修人工智能及數據分析 / 創新及創業</t>
  </si>
  <si>
    <t>JS3060</t>
  </si>
  <si>
    <t>ACCT &amp; FINANCE</t>
  </si>
  <si>
    <t>BBA (Hons) Scheme in Accounting and Finance</t>
  </si>
  <si>
    <t>會計及金融(榮譽)工商管理學士組合課程</t>
  </si>
  <si>
    <t>JS3070</t>
  </si>
  <si>
    <t>AVIAT, MARITIME &amp; SC MGT</t>
  </si>
  <si>
    <t>BBA (Hons) Scheme in Aviation, Maritime and Supply Chain Management</t>
  </si>
  <si>
    <t>航空、航運及供應鏈管理(榮譽)工商管理學士組合課程</t>
  </si>
  <si>
    <t>JS3080</t>
  </si>
  <si>
    <t>MGT &amp; MARKETING</t>
  </si>
  <si>
    <t>BBA (Hons) Scheme in Management and Marketing</t>
  </si>
  <si>
    <t>管理及市場學(榮譽)工商管理學士組合課程</t>
  </si>
  <si>
    <t>JS3100</t>
  </si>
  <si>
    <t>BLDG &amp; REAL ESTATE</t>
  </si>
  <si>
    <t>BSc (Hons) Scheme in Building and Real Estate</t>
  </si>
  <si>
    <t>建築及房地產(榮譽)理學士組合課程</t>
  </si>
  <si>
    <t>JS3110</t>
  </si>
  <si>
    <t>BLDG SCI &amp; ENGG</t>
  </si>
  <si>
    <t>BEng (Hons) Scheme in Building Sciences and Engineering</t>
  </si>
  <si>
    <t>建築科學及工程學(榮譽)工學士組合課程</t>
  </si>
  <si>
    <t>JS3120</t>
  </si>
  <si>
    <t>CIVIL ENGG &amp; SUS DEVELOP</t>
  </si>
  <si>
    <t>BEng (Hons) Scheme in Civil Engineering and Sustainable Development</t>
  </si>
  <si>
    <t>土木工程及可持續發展學(榮譽)工學士組合課程</t>
  </si>
  <si>
    <t>JS3130</t>
  </si>
  <si>
    <t>LAND SURV &amp; GEO-INFO</t>
  </si>
  <si>
    <t>BSc (Hons) Scheme in Spatial Data Science and Smart Cities - BSc (Hons) in Land Surveying and Geo-Informatics</t>
  </si>
  <si>
    <t>空間數據科學及智慧城市(榮譽)理學士組合課程 - 土地測量及地理資訊學(榮譽)理學士</t>
  </si>
  <si>
    <t>JS3140</t>
  </si>
  <si>
    <t>AVIATION ENGG</t>
  </si>
  <si>
    <t>BEng (Hons) Scheme in Aviation Engineering</t>
  </si>
  <si>
    <t>航空工程學(榮譽)工學士組合課程</t>
  </si>
  <si>
    <t>JS3150</t>
  </si>
  <si>
    <t>BIOMEDICAL ENGG</t>
  </si>
  <si>
    <t>BSc (Hons) Scheme in Biomedical Engineering</t>
  </si>
  <si>
    <t>生物醫學工程(榮譽)理學士組合課程</t>
  </si>
  <si>
    <t>JS3170</t>
  </si>
  <si>
    <t>ELECTRICAL ENGG</t>
  </si>
  <si>
    <t>BEng (Hons) Scheme in Electrical Engineering</t>
  </si>
  <si>
    <t>電機工程學(榮譽)工學士組合課程</t>
  </si>
  <si>
    <t>JS3180</t>
  </si>
  <si>
    <t>INFO &amp; AI ENGG</t>
  </si>
  <si>
    <t>BEng (Hons)/BSc (Hons) Scheme in Information and Artificial Intelligence EngineeringUPDATED</t>
  </si>
  <si>
    <t>資訊及人工智能工程學(榮譽)工學士/理學士組合課程</t>
  </si>
  <si>
    <t>JS3230</t>
  </si>
  <si>
    <t>LINGUISTICS &amp; TRANSLAT</t>
  </si>
  <si>
    <t>BA (Hons) Scheme in Linguistics and Translation</t>
  </si>
  <si>
    <t>語言學及翻譯學(榮譽)文學士組合課程</t>
  </si>
  <si>
    <t>JS3240</t>
  </si>
  <si>
    <t>ENGL &amp; APP LINGUISTICS</t>
  </si>
  <si>
    <t>BA (Hons) Scheme in English and Applied Linguistics</t>
  </si>
  <si>
    <t>英文及應用語言學(榮譽)文學士組合課程</t>
  </si>
  <si>
    <t>JS3250</t>
  </si>
  <si>
    <t>APPLIED SOC SCI</t>
  </si>
  <si>
    <t>BA (Hons) Scheme in Applied Social Sciences</t>
  </si>
  <si>
    <t>應用社會科學(榮譽)文學士組合課程</t>
  </si>
  <si>
    <t>JS3290</t>
  </si>
  <si>
    <t>OPTOMETRY</t>
  </si>
  <si>
    <t>BSc (Hons) Scheme in Optometry</t>
  </si>
  <si>
    <t>眼科視光學(榮譽)理學士組合課程</t>
  </si>
  <si>
    <t>JS3310</t>
  </si>
  <si>
    <t>HOTEL &amp; TOURISM MGT</t>
  </si>
  <si>
    <t>BSc (Hons) Scheme in Hotel and Tourism Management</t>
  </si>
  <si>
    <t>酒店及旅遊管理(榮譽)理學士組合課程</t>
  </si>
  <si>
    <t>JS3337</t>
  </si>
  <si>
    <t>MENTAL HEALTH NURSING</t>
  </si>
  <si>
    <t>BSc (Hons) in Mental Health Nursing</t>
  </si>
  <si>
    <t>精神健康護理學(榮譽)理學士學位</t>
  </si>
  <si>
    <t>BSc (Hons) Scheme in Nursing - BSc (Hons) in Mental Health Nursing</t>
  </si>
  <si>
    <t>護理學(榮譽)理學士組合課程 - 精神健康護理學(榮譽)理學士</t>
  </si>
  <si>
    <t>JS3349</t>
  </si>
  <si>
    <t>FOOD SAFE TECH</t>
  </si>
  <si>
    <t>BSc (Hons) in Food Safety and Technology</t>
  </si>
  <si>
    <t>食品科技與食物安全(榮譽)理學士學位</t>
  </si>
  <si>
    <t>JS3351</t>
  </si>
  <si>
    <t>TRANS SYS ENGG</t>
  </si>
  <si>
    <t>BEng (Hons) in Transportation Systems Engineering</t>
  </si>
  <si>
    <t>運輸系統工程學(榮譽)工學士學位</t>
  </si>
  <si>
    <t>JS3375</t>
  </si>
  <si>
    <t>ENV &amp; SUSTAIN DEVELOP</t>
  </si>
  <si>
    <t>BEng (Hons) in Environmental Engineering &amp; Sustainable DevelopmentUPDATED</t>
  </si>
  <si>
    <t>環境工程與可持續發展學(榮譽)工學士學位</t>
  </si>
  <si>
    <t>JS3387</t>
  </si>
  <si>
    <t>LAND SUR &amp; GEO-INFO</t>
  </si>
  <si>
    <t>BSc (Hons) in Land Surveying and Geo-InformaticsUPDATED</t>
  </si>
  <si>
    <t>土地測量及地理資訊學(榮譽)理學士學位</t>
  </si>
  <si>
    <t>JS3442</t>
  </si>
  <si>
    <t>PROPERTY MGT</t>
  </si>
  <si>
    <t>BSc (Hons) in Property Management</t>
  </si>
  <si>
    <t>物業管理學(榮譽)理學士學位</t>
  </si>
  <si>
    <t>JS3466</t>
  </si>
  <si>
    <t>BBA (Hons) in Accounting &amp; Finance</t>
  </si>
  <si>
    <t>會計及金融(榮譽)工商管理學士學位</t>
  </si>
  <si>
    <t>JS3478</t>
  </si>
  <si>
    <t>MED LAB SCI</t>
  </si>
  <si>
    <t>BSc (Hons) in Medical Laboratory Science</t>
  </si>
  <si>
    <t>醫療化驗科學(榮譽)理學士學位</t>
  </si>
  <si>
    <t>BSc (Hons) Scheme in Medical Laboratory Science and Radiography - BSc (Hons) in Medical Laboratory Science</t>
  </si>
  <si>
    <t>醫療化驗科學及放射學(榮譽)理學士組合課程 - 醫療化驗科學(榮譽)理學士</t>
  </si>
  <si>
    <t>JS3492</t>
  </si>
  <si>
    <t>FASHION &amp; TEXTILES</t>
  </si>
  <si>
    <t>BA (Hons) Scheme in Fashion and Textiles</t>
  </si>
  <si>
    <t>服裝及紡織(榮譽)文學士學位組合課程</t>
  </si>
  <si>
    <t>服裝及紡織(榮譽)文學士組合課程</t>
  </si>
  <si>
    <t>JS3507</t>
  </si>
  <si>
    <t>BEng (Hons) in Aviation Engineering</t>
  </si>
  <si>
    <t>航空工程學(榮譽)工學士學位</t>
  </si>
  <si>
    <t>JS3519</t>
  </si>
  <si>
    <t>INT &amp; MULTI MEDIA TECH</t>
  </si>
  <si>
    <t>BSc (Hons) in Internet &amp; Multimedia Technologies</t>
  </si>
  <si>
    <t>互聯網及多媒體科技(榮譽)理學士學位</t>
  </si>
  <si>
    <t>JS3557</t>
  </si>
  <si>
    <t>PROD &amp; INDUSTRIAL ENGG</t>
  </si>
  <si>
    <t>BEng (Hons) Scheme in Product and Industrial Engineering</t>
  </si>
  <si>
    <t>產品及工業工程(榮譽)工學士學位組合課程</t>
  </si>
  <si>
    <t>產品及工業工程(榮譽)工學士組合課程</t>
  </si>
  <si>
    <t>JS3569</t>
  </si>
  <si>
    <t>DESIGN</t>
  </si>
  <si>
    <t>BA (Hons) Scheme in DesignUPDATED</t>
  </si>
  <si>
    <t>設計學(榮譽)文學士學位組合課程</t>
  </si>
  <si>
    <t>BA (Hons) Scheme in Design</t>
  </si>
  <si>
    <t>設計學(榮譽)文學士組合課程</t>
  </si>
  <si>
    <t>JS3571</t>
  </si>
  <si>
    <t>LOG &amp; ENTERPRISE ENGG</t>
  </si>
  <si>
    <t>BSc (Hons) Scheme in Logistics and Enterprise Engineering</t>
  </si>
  <si>
    <t>物流及企業工程(榮譽)理學士學位組合課程</t>
  </si>
  <si>
    <t>物流及企業工程(榮譽)理學士組合課程</t>
  </si>
  <si>
    <t>JS3583</t>
  </si>
  <si>
    <t>MGT</t>
  </si>
  <si>
    <t>BBA (Hons) in Management</t>
  </si>
  <si>
    <t>管理學(榮譽)工商管理學士學位</t>
  </si>
  <si>
    <t>JS3595</t>
  </si>
  <si>
    <t>FINANCIAL SERV</t>
  </si>
  <si>
    <t>BBA (Hons) in Financial Services</t>
  </si>
  <si>
    <t>金融服務(榮譽)工商管理學士學位</t>
  </si>
  <si>
    <t>JS3600</t>
  </si>
  <si>
    <t>BSc (Hons) in Biomedical Engineering</t>
  </si>
  <si>
    <t>生物醫學工程(榮譽)理學士學位</t>
  </si>
  <si>
    <t>JS3612</t>
  </si>
  <si>
    <t>RADIOGRAPHY</t>
  </si>
  <si>
    <t>BSc (Hons) in Radiography</t>
  </si>
  <si>
    <t>放射學(榮譽)理學士學位</t>
  </si>
  <si>
    <t>BSc (Hons) Scheme in Medical Laboratory Science and Radiography - BSc (Hons) in Radiography</t>
  </si>
  <si>
    <t>醫療化驗科學及放射學(榮譽)理學士組合課程 - 放射學(榮譽)理學士</t>
  </si>
  <si>
    <t>JS3624</t>
  </si>
  <si>
    <t>OCCUPATIONAL THERAPY</t>
  </si>
  <si>
    <t>BSc (Hons) in Occupational Therapy</t>
  </si>
  <si>
    <t>職業治療學(榮譽)理學士學位</t>
  </si>
  <si>
    <t>BSc (Hons) Scheme in Rehabilitation Sciences - BSc (Hons) in Occupational Therapy</t>
  </si>
  <si>
    <t>康復治療科學(榮譽)理學士組合課程 - 職業治療學(榮譽)理學士</t>
  </si>
  <si>
    <t>JS3636</t>
  </si>
  <si>
    <t>PHYSIOTHERAPY</t>
  </si>
  <si>
    <t>BSc (Hons) in Physiotherapy</t>
  </si>
  <si>
    <t>物理治療學(榮譽)理學士學位</t>
  </si>
  <si>
    <t>BSc (Hons) Scheme in Rehabilitation Sciences - BSc (Hons) in Physiotherapy</t>
  </si>
  <si>
    <t>康復治療科學(榮譽)理學士組合課程 - 物理治療學(榮譽)理學士</t>
  </si>
  <si>
    <t>JS3648</t>
  </si>
  <si>
    <t>NURSING</t>
  </si>
  <si>
    <t>BSc (Hons) in Nursing</t>
  </si>
  <si>
    <t>護理學(榮譽)理學士學位</t>
  </si>
  <si>
    <t>BSc (Hons) Scheme in Nursing - BSc (Hons) in Nursing</t>
  </si>
  <si>
    <t>護理學(榮譽)理學士組合課程 - 護理學(榮譽)理學士</t>
  </si>
  <si>
    <t>JS3650</t>
  </si>
  <si>
    <t>BSc (Hons) in Optometry</t>
  </si>
  <si>
    <t>眼科視光學(榮譽)理學士學位</t>
  </si>
  <si>
    <t>JS3662</t>
  </si>
  <si>
    <t>SOCIAL WORK</t>
  </si>
  <si>
    <t>BA (Hons) in Social Work</t>
  </si>
  <si>
    <t>社會工作(榮譽)文學士學位</t>
  </si>
  <si>
    <t>JS3674</t>
  </si>
  <si>
    <t>INT'L SHIP &amp; TRANS LGT</t>
  </si>
  <si>
    <t>BBA (Hons) in International Shipping &amp; Transport Logistics</t>
  </si>
  <si>
    <t>國際航運及物流管理(榮譽)工商管理學士學位</t>
  </si>
  <si>
    <t>JS3703</t>
  </si>
  <si>
    <t>ELECTRONIC &amp; INFO ENGG</t>
  </si>
  <si>
    <t>BEng (Hons) in Electronic &amp; Information Engineering</t>
  </si>
  <si>
    <t>電子及資訊工程學(榮譽)工學士學位</t>
  </si>
  <si>
    <t>JS3715</t>
  </si>
  <si>
    <t>BEng (Hons) in Electrical Engineering</t>
  </si>
  <si>
    <t>電機工程學(榮譽)工學士學位</t>
  </si>
  <si>
    <t>JS3739</t>
  </si>
  <si>
    <t>CIVIL ENGG</t>
  </si>
  <si>
    <t>BEng (Hons) in Civil Engineering</t>
  </si>
  <si>
    <t>土木工程學(榮譽)工學士學位</t>
  </si>
  <si>
    <t>JS3741</t>
  </si>
  <si>
    <t>MECHANICAL ENGG</t>
  </si>
  <si>
    <t>BEng (Hons) Scheme in Mechanical Engineering</t>
  </si>
  <si>
    <t>機械工程(榮譽)工學士學位組合課程</t>
  </si>
  <si>
    <t>機械工程學(榮譽)工學士組合課程</t>
  </si>
  <si>
    <t>JS3753</t>
  </si>
  <si>
    <t>BLDG SERV ENGG</t>
  </si>
  <si>
    <t>BEng (Hons) in Building Services Engineering</t>
  </si>
  <si>
    <t>屋宇設備工程學(榮譽)工學士學位</t>
  </si>
  <si>
    <t>JS3765</t>
  </si>
  <si>
    <t>SOC POLICY &amp; SOC ENTREPR</t>
  </si>
  <si>
    <t>BA (Hons) in Social Policy &amp; Social Entrepreneurship</t>
  </si>
  <si>
    <t>社會政策及社會創業(榮譽)文學士學位</t>
  </si>
  <si>
    <t>JS3777</t>
  </si>
  <si>
    <t>STRUCT &amp; FIRE SAFETY ENG</t>
  </si>
  <si>
    <t>BEng (Hons) in Structural and Fire Safety Engineering</t>
  </si>
  <si>
    <t>結構及消防安全工程學(榮譽)工學士學位</t>
  </si>
  <si>
    <t>JS3789</t>
  </si>
  <si>
    <t>SURVEYING</t>
  </si>
  <si>
    <t>BSc (Hons) in Surveying</t>
  </si>
  <si>
    <t>地產及建設測量學(榮譽)理學士學位</t>
  </si>
  <si>
    <t>JS3791</t>
  </si>
  <si>
    <t>BLDG ENGG &amp; MGT</t>
  </si>
  <si>
    <t>BSc (Hons) in Building Engineering and Management</t>
  </si>
  <si>
    <t>建築工程及管理學(榮譽)理學士學位</t>
  </si>
  <si>
    <t>JS3806</t>
  </si>
  <si>
    <t>INV SCI &amp; FIN ANALYTICS</t>
  </si>
  <si>
    <t>BSc (Hons) in Investment Science and Finance Analytics</t>
  </si>
  <si>
    <t>投資科學及金融分析(榮譽)理學士學位</t>
  </si>
  <si>
    <t>JS3818</t>
  </si>
  <si>
    <t>BA (Hons) in Linguistics and Translation</t>
  </si>
  <si>
    <t>語言學及翻譯學(榮譽)文學士學位</t>
  </si>
  <si>
    <t>JS3820</t>
  </si>
  <si>
    <t>TOUR &amp; EVENTS MGT</t>
  </si>
  <si>
    <t>BSc (Hons) in Tourism &amp; Events Management</t>
  </si>
  <si>
    <t>旅遊業及會展管理(榮譽)理學士學位</t>
  </si>
  <si>
    <t>JS3832</t>
  </si>
  <si>
    <t>BA (Hons) in English and Applied Linguistics</t>
  </si>
  <si>
    <t>英文及應用語言學(榮譽)文學士學位</t>
  </si>
  <si>
    <t>JS3844</t>
  </si>
  <si>
    <t>SUP CHAIN MGT &amp; ANALY</t>
  </si>
  <si>
    <t>BBA (Hons) in Supply Chain Management and Analytics</t>
  </si>
  <si>
    <t>供應鏈管理及分析(榮譽)工商管理學士學位</t>
  </si>
  <si>
    <t>JS3868</t>
  </si>
  <si>
    <t>COMPUTING</t>
  </si>
  <si>
    <t>BSc (Hons) Scheme in Computing</t>
  </si>
  <si>
    <t>電子計算(榮譽)理學士學位組合課程</t>
  </si>
  <si>
    <t>COMPUTING &amp; AI</t>
  </si>
  <si>
    <t>BSc (Hons) Scheme in Computing and AI</t>
  </si>
  <si>
    <t>電子計算及人工智能(榮譽)理學士組合課程</t>
  </si>
  <si>
    <t>JS3882</t>
  </si>
  <si>
    <t>HOTEL MGT</t>
  </si>
  <si>
    <t>BSc (Hons) in Hotel Management</t>
  </si>
  <si>
    <t>酒店業管理(榮譽)理學士學位</t>
  </si>
  <si>
    <t>JS3894</t>
  </si>
  <si>
    <t>MARKETING</t>
  </si>
  <si>
    <t>BBA (Hons) in Marketing</t>
  </si>
  <si>
    <t>市場學(榮譽)工商管理學士學位</t>
  </si>
  <si>
    <t>JS3911</t>
  </si>
  <si>
    <t>ACCOUNTANCY</t>
  </si>
  <si>
    <t>BBA (Hons) in Accountancy</t>
  </si>
  <si>
    <t>會計學(榮譽)工商管理學士學位</t>
  </si>
  <si>
    <t>JS3923</t>
  </si>
  <si>
    <t>APP BIO</t>
  </si>
  <si>
    <t>BSc (Hons) in Applied Biology with Biotechnology</t>
  </si>
  <si>
    <t>應用生物兼生物科技(榮譽)理學士學位</t>
  </si>
  <si>
    <t>JS3985</t>
  </si>
  <si>
    <t>JS3997</t>
  </si>
  <si>
    <t>CHEM TECH</t>
  </si>
  <si>
    <t>BSc (Hons) in Chemical Technology</t>
  </si>
  <si>
    <t>化學科技(榮譽)理學士學位</t>
  </si>
  <si>
    <t>CUHK</t>
  </si>
  <si>
    <t>JS4006</t>
  </si>
  <si>
    <t>ANTHROPOLOGY</t>
  </si>
  <si>
    <t>Anthropology</t>
  </si>
  <si>
    <t>人類學</t>
  </si>
  <si>
    <t>AnthropologyUPDATED</t>
  </si>
  <si>
    <t>JS4018</t>
  </si>
  <si>
    <t>CHI LANG &amp; LIT</t>
  </si>
  <si>
    <t>Chinese Language and Literature</t>
  </si>
  <si>
    <t>中國語言及文學</t>
  </si>
  <si>
    <t>Chinese Language and LiteratureUPDATED</t>
  </si>
  <si>
    <t>JS4020</t>
  </si>
  <si>
    <t>CULTURAL STUDIES</t>
  </si>
  <si>
    <t>Cultural Studies</t>
  </si>
  <si>
    <t>文化研究</t>
  </si>
  <si>
    <t>JS4022</t>
  </si>
  <si>
    <t>CULTURAL MANAGEMENT</t>
  </si>
  <si>
    <t>Cultural Management</t>
  </si>
  <si>
    <t>文化管理</t>
  </si>
  <si>
    <t>Cultural ManagementUPDATED</t>
  </si>
  <si>
    <t>JS4032</t>
  </si>
  <si>
    <t>ENGLISH</t>
  </si>
  <si>
    <t>English</t>
  </si>
  <si>
    <t>英文</t>
  </si>
  <si>
    <t>JS4044</t>
  </si>
  <si>
    <t>FINE ARTS</t>
  </si>
  <si>
    <t>Fine Arts</t>
  </si>
  <si>
    <t>藝術</t>
  </si>
  <si>
    <t>Fine ArtsUPDATED</t>
  </si>
  <si>
    <t>JS4056</t>
  </si>
  <si>
    <t>HISTORY</t>
  </si>
  <si>
    <t>History</t>
  </si>
  <si>
    <t>歷史</t>
  </si>
  <si>
    <t>HistoryUPDATED</t>
  </si>
  <si>
    <t>JS4068</t>
  </si>
  <si>
    <t>JAPANESE STUDIES</t>
  </si>
  <si>
    <t>Japanese Studies</t>
  </si>
  <si>
    <t>日本研究</t>
  </si>
  <si>
    <t>JS4070</t>
  </si>
  <si>
    <t>LINGUISTICS</t>
  </si>
  <si>
    <t>Linguistics</t>
  </si>
  <si>
    <t>語言學</t>
  </si>
  <si>
    <t>LinguisticsUPDATED</t>
  </si>
  <si>
    <t>JS4082</t>
  </si>
  <si>
    <t>MUSIC</t>
  </si>
  <si>
    <t>Music</t>
  </si>
  <si>
    <t>音樂</t>
  </si>
  <si>
    <t>MusicUPDATED</t>
  </si>
  <si>
    <t>JS4094</t>
  </si>
  <si>
    <t>PHILOSOPHY</t>
  </si>
  <si>
    <t>Philosophy</t>
  </si>
  <si>
    <t>哲學</t>
  </si>
  <si>
    <t>PhilosophyUPDATED</t>
  </si>
  <si>
    <t>JS4109</t>
  </si>
  <si>
    <t>RELIGION</t>
  </si>
  <si>
    <t>Religious Studies</t>
  </si>
  <si>
    <t>宗教研究</t>
  </si>
  <si>
    <t>Religious StudiesUPDATED</t>
  </si>
  <si>
    <t>JS4111</t>
  </si>
  <si>
    <t>THEOLOGY</t>
  </si>
  <si>
    <t>Theology</t>
  </si>
  <si>
    <t>神學</t>
  </si>
  <si>
    <t>TheologyUPDATED</t>
  </si>
  <si>
    <t>JS4123</t>
  </si>
  <si>
    <t>TRANSLATION</t>
  </si>
  <si>
    <t>Translation</t>
  </si>
  <si>
    <t>翻譯</t>
  </si>
  <si>
    <t>JS4136</t>
  </si>
  <si>
    <t>CHINESE STUDIES</t>
  </si>
  <si>
    <t>Chinese Studies</t>
  </si>
  <si>
    <t>中國研究</t>
  </si>
  <si>
    <t>Chinese StudiesUPDATED</t>
  </si>
  <si>
    <t>JS4202</t>
  </si>
  <si>
    <t>INTEGRATED BBA</t>
  </si>
  <si>
    <t>Integrated Bachelor of Business Administration Programme</t>
  </si>
  <si>
    <t>工商管理學士綜合課程</t>
  </si>
  <si>
    <t>Integrated Bachelor of Business Administration ProgrammeUPDATED</t>
  </si>
  <si>
    <t>JS4214</t>
  </si>
  <si>
    <t>GBS</t>
  </si>
  <si>
    <t>Global Business Studies</t>
  </si>
  <si>
    <t>環球商業學</t>
  </si>
  <si>
    <t>JS4226</t>
  </si>
  <si>
    <t>HOSP &amp; REAL EST</t>
  </si>
  <si>
    <t>Hospitality and Real Estate</t>
  </si>
  <si>
    <t>酒店旅遊及房地產</t>
  </si>
  <si>
    <t>Hospitality and Real EstateUPDATED</t>
  </si>
  <si>
    <t>JS4238</t>
  </si>
  <si>
    <t>IFAA</t>
  </si>
  <si>
    <t>Insurance, Financial and Actuarial Analysis</t>
  </si>
  <si>
    <t>保險、金融與精算學</t>
  </si>
  <si>
    <t>Insurance, Financial and Actuarial AnalysisUPDATED</t>
  </si>
  <si>
    <t>JS4240</t>
  </si>
  <si>
    <t>PROF ACCOUNTANCY</t>
  </si>
  <si>
    <t>Professional Accountancy</t>
  </si>
  <si>
    <t>專業會計學</t>
  </si>
  <si>
    <t>JS4252</t>
  </si>
  <si>
    <t>QFIN</t>
  </si>
  <si>
    <t>Quantitative Finance</t>
  </si>
  <si>
    <t>計量金融學</t>
  </si>
  <si>
    <t>QFIN</t>
    <phoneticPr fontId="2" type="noConversion"/>
  </si>
  <si>
    <t>Quantitative Finance</t>
    <phoneticPr fontId="2" type="noConversion"/>
  </si>
  <si>
    <t>JS4254</t>
  </si>
  <si>
    <t>GLEF</t>
  </si>
  <si>
    <t>Interdisciplinary Major Programme in Global Economics and Finance</t>
  </si>
  <si>
    <t>環球經濟與金融跨學科主修課程</t>
  </si>
  <si>
    <t>JS4264</t>
  </si>
  <si>
    <t>BBA-JD</t>
  </si>
  <si>
    <t>Bachelor of Business Administration (Integrated BBA Programme) and Juris Doctor Double Degree Programme</t>
  </si>
  <si>
    <t>工商管理學士（工商管理學士綜合課程）及法律博士雙學位課程</t>
  </si>
  <si>
    <t>JS4276</t>
  </si>
  <si>
    <t>QFRM</t>
  </si>
  <si>
    <t>Quantitative Finance and Risk Management Science</t>
  </si>
  <si>
    <t>計量金融學及風險管理科學</t>
  </si>
  <si>
    <t>JS4329</t>
  </si>
  <si>
    <t>PHY ED, EX SCI &amp; HEALTH</t>
  </si>
  <si>
    <t>Physical Education, Exercise Science and Health</t>
  </si>
  <si>
    <t>健康與體育運動科學</t>
  </si>
  <si>
    <t>Physical Education, Exercise Science and HealthUPDATED</t>
  </si>
  <si>
    <t>JS4331</t>
  </si>
  <si>
    <t>BA (CHI) BEd (CHI EDU)</t>
  </si>
  <si>
    <t>B.A. (Chinese Language Studies) and B.Ed. (Chinese Language Education)</t>
  </si>
  <si>
    <t>文學士 (中國語文研究) 及教育學士 (中國語文教育)</t>
  </si>
  <si>
    <t>B.A. (Chinese Language Studies) and B.Ed. (Chinese Language Education)UPDATED</t>
  </si>
  <si>
    <t>JS4343</t>
  </si>
  <si>
    <t>BA (ENG) BEd (ENG EDU)</t>
  </si>
  <si>
    <t>B.A. (English Studies) and B.Ed. (English Language Education)</t>
  </si>
  <si>
    <t>文學士(英國語文研究)及教育學士(英國語文教育)</t>
  </si>
  <si>
    <t>B.A. (English Studies) and B.Ed. (English Language Education)UPDATED</t>
  </si>
  <si>
    <t>JS4361</t>
  </si>
  <si>
    <t>MATHS EDUCATION</t>
  </si>
  <si>
    <t>B.Ed. in Mathematics and Mathematics Education</t>
  </si>
  <si>
    <t>教育學士(數學及數學教育)</t>
  </si>
  <si>
    <t>B.Ed. in Mathematics and Mathematics EducationUPDATED</t>
  </si>
  <si>
    <t>JS4372</t>
  </si>
  <si>
    <t>BEd (ECE)</t>
  </si>
  <si>
    <t>B.Ed. in Early Childhood Education</t>
  </si>
  <si>
    <t>教育學士(幼兒教育)</t>
  </si>
  <si>
    <t>JS4401</t>
  </si>
  <si>
    <t>ENGINEERING</t>
  </si>
  <si>
    <t>Engineering</t>
  </si>
  <si>
    <t>工程學</t>
  </si>
  <si>
    <t>JS4386</t>
  </si>
  <si>
    <t>LEARNING DESIGN AND TECH</t>
  </si>
  <si>
    <t>B.Sc. in Learning Design and TechnologyUPDATED</t>
  </si>
  <si>
    <t>理學士（學習設計與科技）</t>
  </si>
  <si>
    <t>JS4408</t>
  </si>
  <si>
    <t>MAEG</t>
  </si>
  <si>
    <t>Mechanical and Automation EngineeringUPDATED</t>
  </si>
  <si>
    <t>機械與自動化工程學</t>
  </si>
  <si>
    <t>JS4412</t>
  </si>
  <si>
    <t>COMPUTER SCI &amp; ENG</t>
  </si>
  <si>
    <t>Computer Science and EngineeringUPDATED</t>
  </si>
  <si>
    <t>計算機科學與工程</t>
  </si>
  <si>
    <t>JS4416</t>
  </si>
  <si>
    <t>CDAS</t>
  </si>
  <si>
    <t>Computational Data ScienceUPDATED</t>
  </si>
  <si>
    <t>計算數據科學</t>
  </si>
  <si>
    <t>JS4428</t>
  </si>
  <si>
    <t>BENG FINTECH</t>
  </si>
  <si>
    <t>BEng in Financial Technology</t>
  </si>
  <si>
    <t>金融科技學</t>
  </si>
  <si>
    <t>BEng in Financial TechnologyUPDATED</t>
  </si>
  <si>
    <t>JS4434</t>
  </si>
  <si>
    <t>ELEG</t>
  </si>
  <si>
    <t>BEng in Electronic Engineering</t>
  </si>
  <si>
    <t>電子工程學</t>
  </si>
  <si>
    <t>BEng in Electronic EngineeringUPDATED</t>
  </si>
  <si>
    <t>JS4446</t>
  </si>
  <si>
    <t>IERGN</t>
  </si>
  <si>
    <t>Information EngineeringUPDATED</t>
  </si>
  <si>
    <t>信息工程學</t>
  </si>
  <si>
    <t>JS4458</t>
  </si>
  <si>
    <t>SEEM</t>
  </si>
  <si>
    <t>Systems Engineering and Engineering ManagementUPDATED</t>
  </si>
  <si>
    <t>系統工程與工程管理</t>
  </si>
  <si>
    <t>JS4460</t>
  </si>
  <si>
    <t>BMEG</t>
  </si>
  <si>
    <t>BEng in Biomedical Engineering</t>
  </si>
  <si>
    <t>生物醫學工程學</t>
  </si>
  <si>
    <t>BEng in Biomedical EngineeringUPDATED</t>
  </si>
  <si>
    <t>JS4462</t>
  </si>
  <si>
    <t>EEEN</t>
  </si>
  <si>
    <t>BEng in Energy and Environmental Engineering</t>
  </si>
  <si>
    <t>能源與環境工程學</t>
  </si>
  <si>
    <t>BEng in Energy and Environmental EngineeringUPDATED</t>
  </si>
  <si>
    <t>JS4468</t>
  </si>
  <si>
    <t>AIST</t>
  </si>
  <si>
    <t>BEng in Artificial Intelligence: Systems and Technologies</t>
  </si>
  <si>
    <t>人工智能：系統與科技</t>
  </si>
  <si>
    <t>JS4501</t>
  </si>
  <si>
    <t>MBChB</t>
  </si>
  <si>
    <t>Medicine (MBChB) Programme</t>
  </si>
  <si>
    <t>內外全科醫學士課程</t>
  </si>
  <si>
    <t>JS4502</t>
  </si>
  <si>
    <t>MBChB-GPS</t>
  </si>
  <si>
    <t>Medicine (MBChB) Programme Global Physician-Leadership Stream (GPS)</t>
  </si>
  <si>
    <t>內外全科醫學士課程環球醫學領袖培訓專修組別</t>
  </si>
  <si>
    <t>JS4513</t>
  </si>
  <si>
    <t>Nursing</t>
  </si>
  <si>
    <t>護理學</t>
  </si>
  <si>
    <t>JS4525</t>
  </si>
  <si>
    <t>PHARMACY</t>
  </si>
  <si>
    <t>Pharmacy</t>
  </si>
  <si>
    <t>藥劑學</t>
  </si>
  <si>
    <t>PharmacyUPDATED</t>
  </si>
  <si>
    <t>JS4537</t>
  </si>
  <si>
    <t>PUBLIC HEALTH</t>
  </si>
  <si>
    <t>Public Health</t>
  </si>
  <si>
    <t>公共衞生</t>
  </si>
  <si>
    <t>Public HealthUPDATED</t>
  </si>
  <si>
    <t>JS4542</t>
  </si>
  <si>
    <t>CHIN MEDICINE</t>
  </si>
  <si>
    <t>Chinese Medicine</t>
  </si>
  <si>
    <t>中醫學</t>
  </si>
  <si>
    <t>Chinese MedicineUPDATED</t>
  </si>
  <si>
    <t>JS4550</t>
  </si>
  <si>
    <t>BIOMEDICAL SCIENCES</t>
  </si>
  <si>
    <t>Biomedical Sciences</t>
  </si>
  <si>
    <t>生物醫學</t>
  </si>
  <si>
    <t>Biomedical SciencesUPDATED</t>
  </si>
  <si>
    <t>JS4601</t>
  </si>
  <si>
    <t>SCIENCE</t>
  </si>
  <si>
    <t>Science</t>
  </si>
  <si>
    <t>理學</t>
  </si>
  <si>
    <t>ScienceUPDATED</t>
  </si>
  <si>
    <t>JS4633</t>
  </si>
  <si>
    <t>ESSC (AS / GEO)</t>
  </si>
  <si>
    <t>Earth System Science (Atmospheric Science / Geophysics)</t>
  </si>
  <si>
    <t>地球系統科學 (大氣科學 / 地球物理)</t>
  </si>
  <si>
    <t>JS4648</t>
  </si>
  <si>
    <t>EESC</t>
  </si>
  <si>
    <t>Earth and Environmental SciencesUPDATED</t>
  </si>
  <si>
    <t>地球與環境科學</t>
  </si>
  <si>
    <t>JS4682</t>
  </si>
  <si>
    <t>ENRICHMENT MATHEMATICS</t>
  </si>
  <si>
    <t>Enrichment Mathematics</t>
  </si>
  <si>
    <t>數學精研</t>
  </si>
  <si>
    <t>JS4690</t>
  </si>
  <si>
    <t>THEORETICAL PHYSICS</t>
  </si>
  <si>
    <t>Enrichment Stream in Theoretical Physics</t>
  </si>
  <si>
    <t>理論物理精研</t>
  </si>
  <si>
    <t>JS4719</t>
  </si>
  <si>
    <t>RISK MGT SCI</t>
  </si>
  <si>
    <t>Risk Management Science</t>
  </si>
  <si>
    <t>風險管理科學</t>
  </si>
  <si>
    <t>Risk Management ScienceUPDATED</t>
  </si>
  <si>
    <t>JS4725</t>
  </si>
  <si>
    <t>BEHM</t>
  </si>
  <si>
    <t>Biotechnology, Entrepreneurship and Healthcare ManagementNEW</t>
  </si>
  <si>
    <t>生物科技、創業與醫療管理</t>
  </si>
  <si>
    <t>JS4733</t>
  </si>
  <si>
    <t>MIEGN</t>
  </si>
  <si>
    <t>Mathematics and Information Engineering</t>
  </si>
  <si>
    <t>數學與信息工程學</t>
  </si>
  <si>
    <t>JS4801</t>
  </si>
  <si>
    <t>SOCIAL SCIENCE</t>
  </si>
  <si>
    <t>Social Science</t>
  </si>
  <si>
    <t>社會科學</t>
  </si>
  <si>
    <t>Social ScienceUPDATED</t>
  </si>
  <si>
    <t>JS4812</t>
  </si>
  <si>
    <t>ARCHITECTURE</t>
  </si>
  <si>
    <t>Architectural Studies</t>
  </si>
  <si>
    <t>建築學</t>
  </si>
  <si>
    <t>Architectural StudiesUPDATED</t>
  </si>
  <si>
    <t>JS4824</t>
  </si>
  <si>
    <t>ECONOMICS</t>
  </si>
  <si>
    <t>EconomicsUPDATED</t>
  </si>
  <si>
    <t>經濟學</t>
  </si>
  <si>
    <t>JS4836</t>
  </si>
  <si>
    <t>GEO &amp; RES MGT</t>
  </si>
  <si>
    <t>Geography and Resource Management</t>
  </si>
  <si>
    <t>地理與資源管理學</t>
  </si>
  <si>
    <t>Geography and Resource ManagementUPDATED</t>
  </si>
  <si>
    <t>JS4838</t>
  </si>
  <si>
    <t>URBAN STUDIES</t>
  </si>
  <si>
    <t>Urban Studies</t>
  </si>
  <si>
    <t>城市研究</t>
  </si>
  <si>
    <t>Urban StudiesUPDATED</t>
  </si>
  <si>
    <t>JS4848</t>
  </si>
  <si>
    <t>GOV'T &amp; PUBLIC ADMIN</t>
  </si>
  <si>
    <t>Government and Public Administration</t>
  </si>
  <si>
    <t>政治與行政學</t>
  </si>
  <si>
    <t>Government and Public AdministrationUPDATED</t>
  </si>
  <si>
    <t>JS4850</t>
  </si>
  <si>
    <t>JOURNALISM &amp; COMMUN</t>
  </si>
  <si>
    <t>Journalism and Communication</t>
  </si>
  <si>
    <t>新聞與傳播學</t>
  </si>
  <si>
    <t>JS4858</t>
  </si>
  <si>
    <t>GLOBAL COMM</t>
  </si>
  <si>
    <t>Global CommunicationUPDATED</t>
  </si>
  <si>
    <t>全球傳播</t>
  </si>
  <si>
    <t>JS4862</t>
  </si>
  <si>
    <t>PSYCHOLOGY</t>
  </si>
  <si>
    <t>Psychology</t>
  </si>
  <si>
    <t>心理學</t>
  </si>
  <si>
    <t>PsychologyUPDATED</t>
  </si>
  <si>
    <t>JS4874</t>
  </si>
  <si>
    <t>Social Work</t>
  </si>
  <si>
    <t>社會工作</t>
  </si>
  <si>
    <t>Social WorkUPDATED</t>
  </si>
  <si>
    <t>JS4886</t>
  </si>
  <si>
    <t>SOCIOLOGY</t>
  </si>
  <si>
    <t>Sociology</t>
  </si>
  <si>
    <t>社會學</t>
  </si>
  <si>
    <t>SociologyUPDATED</t>
  </si>
  <si>
    <t>JS4892</t>
  </si>
  <si>
    <t>GLOBAL STUDIES</t>
  </si>
  <si>
    <t>Global Studies</t>
  </si>
  <si>
    <t>全球研究</t>
  </si>
  <si>
    <t>Global StudiesUPDATED</t>
  </si>
  <si>
    <t>JS4893</t>
  </si>
  <si>
    <t>DSPS</t>
  </si>
  <si>
    <t>Data Science and Policy Studies</t>
  </si>
  <si>
    <t>數據科學與政策研究</t>
  </si>
  <si>
    <t>Data Science and Policy StudiesUPDATED</t>
  </si>
  <si>
    <t>JS4903</t>
  </si>
  <si>
    <t>法學士</t>
  </si>
  <si>
    <t>HKUST</t>
  </si>
  <si>
    <t>JS5101</t>
  </si>
  <si>
    <t>IRE</t>
  </si>
  <si>
    <t>International Research Enrichment</t>
  </si>
  <si>
    <t>國際科研</t>
  </si>
  <si>
    <t>JS5102</t>
  </si>
  <si>
    <t>SSCI-A</t>
  </si>
  <si>
    <t>Science (Group A)UPDATED</t>
  </si>
  <si>
    <t>理學Ａ組</t>
  </si>
  <si>
    <t>JS5103</t>
  </si>
  <si>
    <t>SSCI-B</t>
  </si>
  <si>
    <t>Science (Group B)UPDATED</t>
  </si>
  <si>
    <t>理學Ｂ組</t>
  </si>
  <si>
    <t>JS5181</t>
  </si>
  <si>
    <t>SSCI-A (AI)</t>
  </si>
  <si>
    <t>Science (Group A) with an Extended Major in Artificial IntelligenceNEW</t>
  </si>
  <si>
    <t>理學Ａ組– 延伸主修人工智能</t>
  </si>
  <si>
    <t>Science (Group A) with an Extended Major in Artificial IntelligenceUPDATED</t>
  </si>
  <si>
    <t>JS5200</t>
  </si>
  <si>
    <t>ENGG</t>
  </si>
  <si>
    <t>EngineeringUPDATED</t>
  </si>
  <si>
    <t>JS5211</t>
  </si>
  <si>
    <t>ISDN</t>
  </si>
  <si>
    <t>BSc in Integrative Systems and DesignUPDATED</t>
  </si>
  <si>
    <t>理學士（綜合系統與設計）</t>
  </si>
  <si>
    <t>BSc in Integrative Systems and Design</t>
  </si>
  <si>
    <t>JS5282</t>
  </si>
  <si>
    <t>ENGG+AI</t>
  </si>
  <si>
    <t>Engineering with an Extended Major in Artificial IntelligenceNEW</t>
  </si>
  <si>
    <t>工程學– 延伸主修人工智能</t>
  </si>
  <si>
    <t>Engineering with an Extended Major in Artificial IntelligenceUPDATED</t>
  </si>
  <si>
    <t>JS5300</t>
  </si>
  <si>
    <t>B&amp;M</t>
  </si>
  <si>
    <t>Business and Management</t>
  </si>
  <si>
    <t>工商管理</t>
  </si>
  <si>
    <t>Business and ManagementUPDATED</t>
  </si>
  <si>
    <t>JS5311</t>
  </si>
  <si>
    <t>ECON</t>
  </si>
  <si>
    <t>BBA in Economics</t>
  </si>
  <si>
    <t>工商管理學士（經濟學）</t>
  </si>
  <si>
    <t>JS5312</t>
  </si>
  <si>
    <t>FINA</t>
  </si>
  <si>
    <t>BBA in Finance</t>
  </si>
  <si>
    <t>工商管理學士（金融學）</t>
  </si>
  <si>
    <t>JS5313</t>
  </si>
  <si>
    <t>GBUS</t>
  </si>
  <si>
    <t>BBA in Global Business</t>
  </si>
  <si>
    <t>工商管理學士（環球商業管理）</t>
  </si>
  <si>
    <t>JS5314</t>
  </si>
  <si>
    <t>BBA in Information Systems</t>
  </si>
  <si>
    <t>工商管理學士（資訊系統學）</t>
  </si>
  <si>
    <t>JS5315</t>
  </si>
  <si>
    <t>MGMT</t>
  </si>
  <si>
    <t>BBA in Management</t>
  </si>
  <si>
    <t>工商管理學士（管理學）</t>
  </si>
  <si>
    <t>JS5316</t>
  </si>
  <si>
    <t>MARK</t>
  </si>
  <si>
    <t>BBA in Marketing</t>
  </si>
  <si>
    <t>工商管理學士（市場學）</t>
  </si>
  <si>
    <t>JS5317</t>
  </si>
  <si>
    <t>OM</t>
  </si>
  <si>
    <t>BBA in Operations Management</t>
  </si>
  <si>
    <t>工商管理學士（營運管理學）</t>
  </si>
  <si>
    <t>JS5318</t>
  </si>
  <si>
    <t>ACCT</t>
  </si>
  <si>
    <t>BBA in Professional Accounting</t>
  </si>
  <si>
    <t>工商管理學士（專業會計學）</t>
  </si>
  <si>
    <t>JS5331</t>
  </si>
  <si>
    <t>ECOF</t>
  </si>
  <si>
    <t>BSc in Economics and Finance</t>
  </si>
  <si>
    <t>理學士（經濟及金融學）</t>
  </si>
  <si>
    <t>JS5332</t>
  </si>
  <si>
    <t>BSc in Quantitative Finance</t>
  </si>
  <si>
    <t>理學士（量化金融學）</t>
  </si>
  <si>
    <t>JS5411</t>
  </si>
  <si>
    <t>GCS</t>
  </si>
  <si>
    <t>BSc in Global China Studies</t>
  </si>
  <si>
    <t>理學士（環球中國研究）</t>
  </si>
  <si>
    <t>JS5412</t>
  </si>
  <si>
    <t>QSA</t>
  </si>
  <si>
    <t>BSc in Quantitative Social Analysis</t>
  </si>
  <si>
    <t>理學士（定量社會數據分析）</t>
  </si>
  <si>
    <t>JS5811</t>
  </si>
  <si>
    <t>BIBU</t>
  </si>
  <si>
    <t>BSc in Biotechnology and Business</t>
  </si>
  <si>
    <t>理學士（生物科技及商學）</t>
  </si>
  <si>
    <t>JS5812</t>
  </si>
  <si>
    <t>EVMT</t>
  </si>
  <si>
    <t>BSc in Environmental Management and Technology</t>
  </si>
  <si>
    <t>理學士（環境管理及科技）</t>
  </si>
  <si>
    <t>BSc in Environmental Management and TechnologyUPDATED</t>
  </si>
  <si>
    <t>JS5813</t>
  </si>
  <si>
    <t>MAEC</t>
  </si>
  <si>
    <t>BSc in Mathematics and EconomicsUPDATED</t>
  </si>
  <si>
    <t>理學士（數學與經濟學）</t>
  </si>
  <si>
    <t>JS5814</t>
  </si>
  <si>
    <t>RMBI</t>
  </si>
  <si>
    <t>BSc in Risk Management and Business Intelligence</t>
  </si>
  <si>
    <t>理學士（風險管理及商業智能學）</t>
  </si>
  <si>
    <t>JS5822</t>
  </si>
  <si>
    <t>SGFN</t>
  </si>
  <si>
    <t>BSc in Sustainable and Green Finance</t>
  </si>
  <si>
    <t>理學士（可持續發展及綠色金融）</t>
  </si>
  <si>
    <t>JS5901</t>
  </si>
  <si>
    <t>T&amp;M-DDP</t>
  </si>
  <si>
    <t>BEng/BSc &amp; BBA Dual Degree Program in Technology &amp; Management</t>
  </si>
  <si>
    <t>科技及管理學雙學位課程</t>
  </si>
  <si>
    <t>BEng/BSc &amp; BBA Dual Degree Program in Technology &amp; ManagementUPDATED</t>
  </si>
  <si>
    <t>HKU</t>
  </si>
  <si>
    <t>JS6004</t>
  </si>
  <si>
    <t>BA(AS)</t>
  </si>
  <si>
    <t>Bachelor of Arts in Architectural Studies</t>
  </si>
  <si>
    <t>建築學文學士</t>
  </si>
  <si>
    <t>JS6016</t>
  </si>
  <si>
    <t>BSC(SURV)</t>
  </si>
  <si>
    <t>Bachelor of Science in Surveying</t>
  </si>
  <si>
    <t>理學士(測量學)</t>
  </si>
  <si>
    <t>JS6028</t>
  </si>
  <si>
    <t>BA(LS)</t>
  </si>
  <si>
    <t>Bachelor of Arts in Landscape StudiesUPDATED</t>
  </si>
  <si>
    <t>園境學文學士</t>
  </si>
  <si>
    <t>Bachelor of Arts in Landscape Studies</t>
  </si>
  <si>
    <t>JS6042</t>
  </si>
  <si>
    <t>BA(US)</t>
  </si>
  <si>
    <t>Bachelor of Arts in Urban Studies</t>
  </si>
  <si>
    <t>文學士(城市研究)</t>
  </si>
  <si>
    <t>JS6054</t>
  </si>
  <si>
    <t>JS6066</t>
  </si>
  <si>
    <t>BA&amp;BED(LangEd)-Eng</t>
  </si>
  <si>
    <t>Bachelor of Arts and Bachelor of Education in Language Education - English (double degree)</t>
  </si>
  <si>
    <t>文學士及教育學士(語文教育) - 英文教育 (雙學位課程)</t>
  </si>
  <si>
    <t>JS6078</t>
  </si>
  <si>
    <t>BA&amp;LLB</t>
  </si>
  <si>
    <t>Bachelor of Arts and Bachelor of Laws (double degree)</t>
  </si>
  <si>
    <t>文學士及法學士 (雙學位課程)</t>
  </si>
  <si>
    <t>JS6080</t>
  </si>
  <si>
    <t>BA&amp;BED(LangEd)-Chin</t>
  </si>
  <si>
    <t>Bachelor of Arts and Bachelor of Education in Language Education - Chinese (double degree)</t>
  </si>
  <si>
    <t>文學士及教育學士(語文教育) - 中文教育 (雙學位課程)</t>
  </si>
  <si>
    <t>JS6092</t>
  </si>
  <si>
    <t>BED(ECE&amp;SE)</t>
  </si>
  <si>
    <t>Bachelor of Education in Early Childhood Education and Special Education</t>
  </si>
  <si>
    <t>教育學士(幼兒教育及特殊教育)</t>
  </si>
  <si>
    <t>JS6107</t>
  </si>
  <si>
    <t>BDS</t>
  </si>
  <si>
    <t>Bachelor of Dental Surgery</t>
  </si>
  <si>
    <t>牙醫學士</t>
  </si>
  <si>
    <t>JS6119</t>
  </si>
  <si>
    <t>BED&amp;BSC</t>
  </si>
  <si>
    <t>Bachelor of Education and Bachelor of Science (double degree)UPDATED</t>
  </si>
  <si>
    <t>教育學士及理學士 (雙學位課程)</t>
  </si>
  <si>
    <t>Bachelor of Education and Bachelor of Science (double degree)</t>
  </si>
  <si>
    <t>JS6157</t>
  </si>
  <si>
    <t>BSC(SPEECH)</t>
  </si>
  <si>
    <t>Bachelor of Science in Speech and Hearing Sciences</t>
  </si>
  <si>
    <t>理學士(言語及聽覺科學)</t>
  </si>
  <si>
    <t>BSc(Speech)</t>
  </si>
  <si>
    <t>JS6195</t>
  </si>
  <si>
    <t>BED&amp;BSS</t>
  </si>
  <si>
    <t>Bachelor of Education and Bachelor of Social Sciences (double degree)</t>
  </si>
  <si>
    <t>教育學士及社會科學學士 (雙學位課程)</t>
  </si>
  <si>
    <t>JS6212</t>
  </si>
  <si>
    <t>BASc</t>
  </si>
  <si>
    <t>Bachelor of Arts and Sciences</t>
  </si>
  <si>
    <t>文理學士</t>
  </si>
  <si>
    <t>JS6224</t>
  </si>
  <si>
    <t>BASc(AppliedAI)</t>
  </si>
  <si>
    <t>Bachelor of Arts and Sciences in Applied Artificial Intelligence</t>
  </si>
  <si>
    <t>文理學士(應用人工智能)</t>
  </si>
  <si>
    <t>JS6236</t>
  </si>
  <si>
    <t>BASc(Design+)</t>
  </si>
  <si>
    <t>Bachelor of Arts and Sciences in Design+</t>
  </si>
  <si>
    <t>文理學士(設計＋)</t>
  </si>
  <si>
    <t>JS6248</t>
  </si>
  <si>
    <t>BASc(FinTech)</t>
  </si>
  <si>
    <t>Bachelor of Arts and Sciences in Financial Technology</t>
  </si>
  <si>
    <t>文理學士(金融科技)</t>
  </si>
  <si>
    <t>JS6250</t>
  </si>
  <si>
    <t>BASc(GHD)</t>
  </si>
  <si>
    <t>Bachelor of Arts and Sciences in Global Health and Development</t>
  </si>
  <si>
    <t>文理學士(環球衞生及發展)</t>
  </si>
  <si>
    <t>JS6262</t>
  </si>
  <si>
    <t>BEng(DS&amp;E)</t>
  </si>
  <si>
    <t>Bachelor of Engineering in Data Science and Engineering</t>
  </si>
  <si>
    <t>工學學士(數據科學及工程)</t>
  </si>
  <si>
    <t>JS6286</t>
    <phoneticPr fontId="2" type="noConversion"/>
  </si>
  <si>
    <t>BA(HDT)</t>
    <phoneticPr fontId="2" type="noConversion"/>
  </si>
  <si>
    <t>Bachelor of Arts in Humanities and Digital Technologies</t>
  </si>
  <si>
    <t>文學士(人文及數碼科技)</t>
    <phoneticPr fontId="2" type="noConversion"/>
  </si>
  <si>
    <t>JS6406</t>
  </si>
  <si>
    <t>JS6418</t>
  </si>
  <si>
    <t>BNURS-ALT</t>
  </si>
  <si>
    <t>Bachelor of Nursing Advanced Leadership Track</t>
  </si>
  <si>
    <t>護理學學士菁英領袖培育專修組別</t>
  </si>
  <si>
    <t>JS6456</t>
  </si>
  <si>
    <t>MBBS</t>
  </si>
  <si>
    <t>Bachelor of Medicine and Bachelor of Surgery</t>
  </si>
  <si>
    <t>內外全科醫學士</t>
  </si>
  <si>
    <t>JS6468</t>
  </si>
  <si>
    <t>BNURS</t>
  </si>
  <si>
    <t>Bachelor of Nursing</t>
  </si>
  <si>
    <t>護理學學士</t>
  </si>
  <si>
    <t>JS6470</t>
    <phoneticPr fontId="2" type="noConversion"/>
  </si>
  <si>
    <t>BSc(Bioinformatics)</t>
    <phoneticPr fontId="2" type="noConversion"/>
  </si>
  <si>
    <t>Bachelor of Science in Bioinformatics</t>
  </si>
  <si>
    <t>理學士(生物訊息學)</t>
    <phoneticPr fontId="2" type="noConversion"/>
  </si>
  <si>
    <t>JS6482</t>
  </si>
  <si>
    <t>BChinMed</t>
  </si>
  <si>
    <t>Bachelor of Chinese Medicine</t>
  </si>
  <si>
    <t>中醫全科學士</t>
  </si>
  <si>
    <t>JS6494</t>
  </si>
  <si>
    <t>Bachelor of Pharmacy</t>
  </si>
  <si>
    <t>藥劑學學士</t>
  </si>
  <si>
    <t>JS6688</t>
  </si>
  <si>
    <t>SMC</t>
  </si>
  <si>
    <t>Science Master ClassNEW</t>
  </si>
  <si>
    <t>科研專才啟導課程</t>
  </si>
  <si>
    <t>Science Master Class (double degree)</t>
  </si>
  <si>
    <t>科研專才啟導課程 (雙學位課程)</t>
  </si>
  <si>
    <t>JS6705</t>
  </si>
  <si>
    <t>BPsych</t>
    <phoneticPr fontId="2" type="noConversion"/>
  </si>
  <si>
    <t>Bachelor of Psychology</t>
  </si>
  <si>
    <t>心理學學士</t>
    <phoneticPr fontId="2" type="noConversion"/>
  </si>
  <si>
    <t>JS6717</t>
  </si>
  <si>
    <t>BSS</t>
  </si>
  <si>
    <t>Bachelor of Social Sciences</t>
  </si>
  <si>
    <t>社會科學學士</t>
  </si>
  <si>
    <t>JS6729</t>
  </si>
  <si>
    <t>BSC(AC)</t>
  </si>
  <si>
    <t>Bachelor of Science in Actuarial Science</t>
  </si>
  <si>
    <t>理學士(精算學)</t>
  </si>
  <si>
    <t>JS6731</t>
  </si>
  <si>
    <t>Bachelor of Social Work</t>
  </si>
  <si>
    <t>社會工作學學士</t>
  </si>
  <si>
    <t>JS6767</t>
  </si>
  <si>
    <t>BEcon/BEcon&amp;Fin</t>
  </si>
  <si>
    <t>Bachelor of Economics / Bachelor of Economics and Finance</t>
  </si>
  <si>
    <t>經濟學學士 / 經濟金融學學士</t>
  </si>
  <si>
    <t>JS6781</t>
  </si>
  <si>
    <t>BBA/BBA(Acc&amp;Fin)</t>
  </si>
  <si>
    <t>Bachelor of Business Administration / Bachelor of Business Administration in Accounting and Finance</t>
  </si>
  <si>
    <t>工商管理學學士 / 工商管理學學士(會計及財務)</t>
  </si>
  <si>
    <t>JS6793</t>
  </si>
  <si>
    <t>BBA(IS)</t>
  </si>
  <si>
    <t>Bachelor of Business Administration (Information Systems)</t>
  </si>
  <si>
    <t>工商管理學學士(資訊系統)</t>
  </si>
  <si>
    <t>BBA(BA)</t>
  </si>
  <si>
    <t>Bachelor of Business Administration (Business Analytics)</t>
  </si>
  <si>
    <t>工商管理學學士(商業分析)</t>
  </si>
  <si>
    <t>JS6808</t>
  </si>
  <si>
    <t>BBA(Law)&amp;LLB</t>
  </si>
  <si>
    <t>Bachelor of Business Administration (Law) and Bachelor of Laws (double degree)</t>
  </si>
  <si>
    <t>工商管理學學士(法學)及法學士 (雙學位課程)</t>
  </si>
  <si>
    <t>JS6810</t>
  </si>
  <si>
    <t>BSS(GL)&amp;LLB</t>
  </si>
  <si>
    <t>Bachelor of Social Sciences (Government and Laws) and Bachelor of Laws (double degree)</t>
  </si>
  <si>
    <t>社會科學學士(政治學與法學)及法學士 (雙學位課程)</t>
  </si>
  <si>
    <t>JS6822</t>
  </si>
  <si>
    <t>BJ</t>
  </si>
  <si>
    <t>Bachelor of Journalism</t>
  </si>
  <si>
    <t>新聞學學士</t>
  </si>
  <si>
    <t>JS6846</t>
  </si>
  <si>
    <t>BSc(MAT)</t>
  </si>
  <si>
    <t>Bachelor of Science in Marketing Analytics and Technology</t>
  </si>
  <si>
    <t>理學士(營銷分析及科技)</t>
  </si>
  <si>
    <t>JS6858</t>
  </si>
  <si>
    <t>BSc&amp;LLB</t>
  </si>
  <si>
    <t>Bachelor of Science and Bachelor of Laws (double degree)</t>
  </si>
  <si>
    <t>理學士及法學士(雙學位課程)</t>
  </si>
  <si>
    <t>JS6860</t>
  </si>
  <si>
    <t>BFin(AMPB)</t>
  </si>
  <si>
    <t>Bachelor of Finance in Asset Management and Private Banking</t>
  </si>
  <si>
    <t>金融學學士(資產管理及私人銀行)</t>
  </si>
  <si>
    <t>JS6884</t>
  </si>
  <si>
    <t>BSc(QFin)</t>
  </si>
  <si>
    <t>Bachelor of Science in Quantitative Finance</t>
  </si>
  <si>
    <t>理學士(計量金融)</t>
  </si>
  <si>
    <t>JS6896</t>
  </si>
  <si>
    <t>BBA(IBGM)</t>
  </si>
  <si>
    <t>Bachelor of Business Administration in International Business and Global Management</t>
  </si>
  <si>
    <t>工商管理學學士(國際商業及環球管理)</t>
  </si>
  <si>
    <t>JS6901</t>
  </si>
  <si>
    <t>BSC</t>
  </si>
  <si>
    <t>Bachelor of ScienceUPDATED</t>
  </si>
  <si>
    <t>JS6925</t>
  </si>
  <si>
    <t>BENG(BME)</t>
  </si>
  <si>
    <t>Bachelor of Engineering in Biomedical Engineering</t>
  </si>
  <si>
    <t>工學學士(生物醫學工程)</t>
  </si>
  <si>
    <t>JS6937</t>
  </si>
  <si>
    <t>GEBP</t>
  </si>
  <si>
    <t>Global Engineering and Business Programme</t>
  </si>
  <si>
    <t>環球工程與商業課程</t>
  </si>
  <si>
    <t>Global Engineering and Business Programme (double degree)</t>
  </si>
  <si>
    <t>環球工程與商業課程 (雙學位課程)</t>
  </si>
  <si>
    <t>JS6949</t>
  </si>
  <si>
    <t>BBiomedSc</t>
  </si>
  <si>
    <t>Bachelor of Biomedical Sciences</t>
  </si>
  <si>
    <t>生物醫學學士</t>
  </si>
  <si>
    <t>JS6951</t>
  </si>
  <si>
    <t>BENG(EngSc)</t>
  </si>
  <si>
    <t>Bachelor of Engineering in Engineering Science</t>
  </si>
  <si>
    <t>工學學士(工程科學)</t>
  </si>
  <si>
    <t>BEng(EngSc)</t>
  </si>
  <si>
    <t>JS6963</t>
  </si>
  <si>
    <t>BENG</t>
  </si>
  <si>
    <t>Bachelor of Engineering</t>
  </si>
  <si>
    <t>工學學士</t>
  </si>
  <si>
    <t>LingnanU</t>
  </si>
  <si>
    <t>JS7101</t>
  </si>
  <si>
    <t>BA (Hons) Chinese</t>
  </si>
  <si>
    <t>Bachelor of Arts (Honours) in Chinese</t>
  </si>
  <si>
    <t>中文(榮譽)文學士</t>
  </si>
  <si>
    <t>JS7123</t>
  </si>
  <si>
    <t>BA (Hons) GLA</t>
  </si>
  <si>
    <t>Bachelor of Arts (Honours) in Global Liberal Arts</t>
  </si>
  <si>
    <t>環球博雅教育(榮譽)文學士</t>
  </si>
  <si>
    <t>BLA (Hons) GDS</t>
  </si>
  <si>
    <t>Bachelor of Liberal Arts (Hons) in Global Development and SustainabilityUPDATED</t>
  </si>
  <si>
    <t>環球可持續發展(榮譽)博雅學士</t>
  </si>
  <si>
    <t>JS7133</t>
  </si>
  <si>
    <t>BA (Hons) ADA</t>
  </si>
  <si>
    <t>Bachelor of Arts (Honours) in Animation and Digital Arts</t>
  </si>
  <si>
    <t>動畫及數碼藝術(榮譽)文學士</t>
  </si>
  <si>
    <t>JS7200</t>
  </si>
  <si>
    <t>BBA (Hons)</t>
  </si>
  <si>
    <t>Bachelor of Business Administration (Honours)</t>
  </si>
  <si>
    <t>工商管理(榮譽)學士</t>
  </si>
  <si>
    <t>JS7204</t>
  </si>
  <si>
    <t>BA (Hons) Translation</t>
  </si>
  <si>
    <t>Bachelor of Arts (Honours) in Translation</t>
  </si>
  <si>
    <t>翻譯(榮譽)文學士</t>
  </si>
  <si>
    <t>BA (Hons) Trans, CS &amp; CC</t>
  </si>
  <si>
    <t>Bachelor of Arts (Honours) in Translation, Cross-cultural Studies, and Corporate CommunicationUPDATED</t>
  </si>
  <si>
    <t>翻譯、跨文化研究及企業傳訊(榮譽)文學士</t>
  </si>
  <si>
    <t>JS7216</t>
  </si>
  <si>
    <t>BBA (Hons) - RIM</t>
  </si>
  <si>
    <t>Bachelor of Business Administration (Honours) - Risk and Insurance Management</t>
  </si>
  <si>
    <t>工商管理(榮譽)學士 - 風險及保險管理</t>
  </si>
  <si>
    <t>JS7225</t>
  </si>
  <si>
    <t>BSc (Hons) Data Science</t>
  </si>
  <si>
    <t>Bachelor of Science (Honours) in Data Science</t>
  </si>
  <si>
    <t>數據科學(榮譽)理學士</t>
  </si>
  <si>
    <t>JS7300</t>
  </si>
  <si>
    <t>BSocSc (Hons)</t>
  </si>
  <si>
    <t>Bachelor of Social Sciences (Honours)</t>
  </si>
  <si>
    <t>社會科學(榮譽)學士</t>
  </si>
  <si>
    <t>JS7301</t>
  </si>
  <si>
    <t>BSocSc (Hons) Economics</t>
  </si>
  <si>
    <t>Bachelor of Social Sciences (Honours) - Economics</t>
  </si>
  <si>
    <t>社會科學(榮譽)學士 - 經濟學</t>
  </si>
  <si>
    <t>JS7302</t>
  </si>
  <si>
    <t>BSocSc (Hons) Gov't &amp; IA</t>
  </si>
  <si>
    <t>Bachelor of Social Sciences (Honours) – Government and International AffairsUPDATED</t>
  </si>
  <si>
    <t>社會科學(榮譽)學士 - 政府與國際事務學</t>
  </si>
  <si>
    <t>JS7303</t>
  </si>
  <si>
    <t>BSocSc (Hons) Psychology</t>
  </si>
  <si>
    <t>Bachelor of Social Sciences (Honours) – Psychology</t>
  </si>
  <si>
    <t>社會科學(榮譽)學士 - 心理學</t>
  </si>
  <si>
    <t>JS7304</t>
  </si>
  <si>
    <t>BSocSc (Hons) Sociology</t>
  </si>
  <si>
    <t>Bachelor of Social Sciences (Honours) Sociology</t>
  </si>
  <si>
    <t>社會科學(榮譽)學士 - 社會學</t>
  </si>
  <si>
    <t>JS7305</t>
  </si>
  <si>
    <t>BSocSc (Hons) HSSM</t>
  </si>
  <si>
    <t>Bachelor of Social Sciences (Honours) – Health and Social Service Management</t>
  </si>
  <si>
    <t>社會科學(榮譽)學士 - 健康及社會服務管理</t>
  </si>
  <si>
    <t>JS7306</t>
  </si>
  <si>
    <t>BSocSc (Hons) SPPS</t>
  </si>
  <si>
    <t>Bachelor of Social Sciences (Honours) – Social and Public Policy Studies</t>
  </si>
  <si>
    <t>社會科學(榮譽)學士 - 社會與公共政策研究</t>
  </si>
  <si>
    <t>JS7503</t>
  </si>
  <si>
    <t>BA (Hons) Contem English</t>
  </si>
  <si>
    <t>Bachelor of Arts (Honours) in Contemporary English Studies</t>
  </si>
  <si>
    <t>當代英語語言文學課程(榮譽)文學士</t>
  </si>
  <si>
    <t>Bachelor of Arts (Honours) in Contemporary English StudiesUPDATED</t>
  </si>
  <si>
    <t>JS7606</t>
  </si>
  <si>
    <t>BA (Hons) Cultural Stud</t>
  </si>
  <si>
    <t>Bachelor of Arts (Honours) in Cultural Studies</t>
  </si>
  <si>
    <t>文化研究(榮譽)文學士</t>
  </si>
  <si>
    <t>Bachelor of Arts (Honours) in Cultural StudiesUPDATED</t>
  </si>
  <si>
    <t>JS7709</t>
  </si>
  <si>
    <t>BA (Hons) History</t>
  </si>
  <si>
    <t>Bachelor of Arts (Honours) in History</t>
  </si>
  <si>
    <t>歷史(榮譽)文學士</t>
  </si>
  <si>
    <t>JS7802</t>
  </si>
  <si>
    <t>BA (Hons) Philosophy</t>
  </si>
  <si>
    <t>Bachelor of Arts (Honours) in Philosophy</t>
  </si>
  <si>
    <t>哲學(榮譽)文學士</t>
  </si>
  <si>
    <t>JS7905</t>
  </si>
  <si>
    <t>BA (Hons) Visual Studies</t>
  </si>
  <si>
    <t>Bachelor of Arts (Honours) in Visual Studies</t>
  </si>
  <si>
    <t>視覺研究(榮譽)文學士</t>
  </si>
  <si>
    <t>Bachelor of Arts (Honours) in Visual StudiesUPDATED</t>
  </si>
  <si>
    <t>EdUHK</t>
  </si>
  <si>
    <t>JS8105</t>
  </si>
  <si>
    <t>BEd(CHI)</t>
  </si>
  <si>
    <t>Bachelor of Education (Honours) (Chinese Language)</t>
  </si>
  <si>
    <t>中國語文教育榮譽學士</t>
  </si>
  <si>
    <t>JS8222</t>
  </si>
  <si>
    <t>BEd(ENG)-Pri</t>
  </si>
  <si>
    <t>Bachelor of Education (Honours) (English Language) - Primary</t>
  </si>
  <si>
    <t>英國語文教育榮譽學士 — 小學</t>
  </si>
  <si>
    <t>JS8234</t>
  </si>
  <si>
    <t>BEd(P)-GS</t>
  </si>
  <si>
    <t>Bachelor of Education (Honours) (Primary) - General Studies</t>
  </si>
  <si>
    <t>小學教育榮譽學士 - 常識</t>
  </si>
  <si>
    <t>JS8246</t>
  </si>
  <si>
    <t>BEd(P)-MA</t>
  </si>
  <si>
    <t>Bachelor of Education (Honours) (Primary) - Mathematics</t>
  </si>
  <si>
    <t>小學教育榮譽學士 - 數學</t>
  </si>
  <si>
    <t>JS8325</t>
  </si>
  <si>
    <t>BEd(PE)</t>
  </si>
  <si>
    <t>Bachelor of Education (Honours) (Physical Education)</t>
  </si>
  <si>
    <t>體育教育榮譽學士</t>
  </si>
  <si>
    <t>JS8361</t>
  </si>
  <si>
    <t>BEd(S)-ICT</t>
  </si>
  <si>
    <t>Bachelor of Education (Honours) (Secondary) - Information and Communication Technology</t>
  </si>
  <si>
    <t>中學教育榮譽學士 - 資訊及通訊科技</t>
  </si>
  <si>
    <t>JS8371</t>
  </si>
  <si>
    <t>BEd(BAFS)</t>
  </si>
  <si>
    <t>Bachelor of Education (Honours) (Business, Accounting and Financial Studies)</t>
  </si>
  <si>
    <t>企業、會計與財務概論教育榮譽學士</t>
  </si>
  <si>
    <t>JS8391</t>
  </si>
  <si>
    <t>BEd(S)-MA</t>
  </si>
  <si>
    <t>Bachelor of Education (Honours) (Secondary) in Mathematics</t>
  </si>
  <si>
    <t>中學數學教育榮譽學士</t>
  </si>
  <si>
    <t>JS8381</t>
  </si>
  <si>
    <t>BEd(HIST)</t>
  </si>
  <si>
    <t>Bachelor of Education (Honours) (History)</t>
  </si>
  <si>
    <t>歷史教育榮譽學士</t>
  </si>
  <si>
    <t>JS8404</t>
  </si>
  <si>
    <t>BEd(ECE)</t>
  </si>
  <si>
    <t>Bachelor of Education (Honours) (Early Childhood Education)</t>
  </si>
  <si>
    <t>幼兒教育榮譽學士</t>
  </si>
  <si>
    <t>JS8416</t>
  </si>
  <si>
    <t>BEd(CHI HIST)</t>
  </si>
  <si>
    <t>Bachelor of Education (Honours) (Chinese History)</t>
  </si>
  <si>
    <t>中國歷史教育榮譽學士</t>
  </si>
  <si>
    <t>JS8428</t>
  </si>
  <si>
    <t>BEd(GEOG)</t>
  </si>
  <si>
    <t>Bachelor of Education (Honours) (Geography)</t>
  </si>
  <si>
    <t>地理教育榮譽學士</t>
  </si>
  <si>
    <t>JS8430</t>
  </si>
  <si>
    <t>BEd(Science)</t>
  </si>
  <si>
    <t>Bachelor of Education (Honours) (Science)</t>
  </si>
  <si>
    <t>科學教育榮譽學士</t>
  </si>
  <si>
    <t>JS8507</t>
  </si>
  <si>
    <t>HD(ECE)</t>
  </si>
  <si>
    <t>Higher Diploma in Early Childhood Education</t>
  </si>
  <si>
    <t>幼兒教育高級文憑</t>
  </si>
  <si>
    <t>JS8600</t>
  </si>
  <si>
    <t>BA(Lang Studies)-CN</t>
  </si>
  <si>
    <t>Bachelor of Arts (Honours) in Language Studies (Chinese Major)</t>
  </si>
  <si>
    <t>語文研究榮譽文學士 (中文主修)</t>
  </si>
  <si>
    <t>JS8612</t>
  </si>
  <si>
    <t>BA(Lang Studies)-EG</t>
  </si>
  <si>
    <t>Bachelor of Arts (Honours) in Language Studies (English Major)</t>
  </si>
  <si>
    <t>語文研究榮譽文學士 (英文主修)</t>
  </si>
  <si>
    <t>JS8624</t>
  </si>
  <si>
    <t>BSocSc(GES)</t>
  </si>
  <si>
    <t>Bachelor of Social Sciences (Honours) in Global and Environmental Studies</t>
  </si>
  <si>
    <t>全球及環境研究榮譽社會科學學士</t>
  </si>
  <si>
    <t>JS8636</t>
  </si>
  <si>
    <t>BA(CAC)-MU</t>
  </si>
  <si>
    <t>Bachelor of Arts (Honours) in Creative Arts and Culture (Music)</t>
  </si>
  <si>
    <t>創意藝術與文化榮譽文學士 (音樂)</t>
  </si>
  <si>
    <t>JS8648</t>
  </si>
  <si>
    <t>BA(CAC)-VA</t>
  </si>
  <si>
    <t>Bachelor of Arts (Honours) in Creative Arts and Culture (Visual Arts)</t>
  </si>
  <si>
    <t>創意藝術與文化榮譽文學士 (視覺藝術)</t>
  </si>
  <si>
    <t>JS8651</t>
  </si>
  <si>
    <t>BSocSc(Psy)</t>
  </si>
  <si>
    <t>Bachelor of Social Sciences (Honours) in Psychology</t>
  </si>
  <si>
    <t>心理學榮譽社會科學學士</t>
  </si>
  <si>
    <t>JS8663</t>
  </si>
  <si>
    <t>BA(SE)</t>
  </si>
  <si>
    <t>Bachelor of Arts (Honours) in Special Education</t>
  </si>
  <si>
    <t>特殊教育榮譽文學士</t>
  </si>
  <si>
    <t>JS8702</t>
  </si>
  <si>
    <t>BSc(IEM)</t>
  </si>
  <si>
    <t>Bachelor of Science (Honours) in Integrated Environmental ManagementUPDATED</t>
  </si>
  <si>
    <t>綜合環境管理榮譽理學士</t>
  </si>
  <si>
    <t>JS8714</t>
  </si>
  <si>
    <t>BSc(AI&amp;EdTech)</t>
  </si>
  <si>
    <t>Bachelor of Science (Honours) in Artificial Intelligence and Educational TechnologyUPDATED</t>
  </si>
  <si>
    <t>人工智能與教育科技榮譽理學士</t>
  </si>
  <si>
    <t>JS8726</t>
  </si>
  <si>
    <t>BSc(SPSC)</t>
  </si>
  <si>
    <t>Bachelor of Science (Honours) in Sports Science and CoachingUPDATED</t>
  </si>
  <si>
    <t>運動科學及教練榮譽理學士</t>
  </si>
  <si>
    <t>JS8801</t>
  </si>
  <si>
    <t>BA(CAC) &amp; BEd(MU)</t>
  </si>
  <si>
    <t>Bachelor of Arts (Honours) in Creative Arts and Culture and Bachelor of Education (Honours) (Music) Co-terminal Double Degree Programme</t>
  </si>
  <si>
    <t>創意藝術與文化榮譽文學士及音樂教育榮譽學士 (同期結業雙學位課程)</t>
  </si>
  <si>
    <t>JS8813</t>
  </si>
  <si>
    <t>BA(CAC) &amp; BEd(VA)</t>
  </si>
  <si>
    <t>Bachelor of Arts (Honours) in Creative Arts and Culture and Bachelor of Education (Honours) (Visual Arts) Co-terminal Double Degree Programme</t>
  </si>
  <si>
    <t>創意藝術與文化榮譽文學士及視覺藝術教育榮譽學士 (同期結業雙學位課程)</t>
  </si>
  <si>
    <t>JS8825</t>
  </si>
  <si>
    <t>BA(Lang Studies)&amp;BEd(EL)</t>
  </si>
  <si>
    <t>Bachelor of Arts (Honours) in Language Studies and Bachelor of Education (Honours) (English Language) Co-terminal Double Degree Programme</t>
  </si>
  <si>
    <t>語文研究榮譽文學士及英文教育榮譽學士 (同期結業雙學位課程)</t>
  </si>
  <si>
    <t>OUHK</t>
  </si>
  <si>
    <t>JS9001</t>
  </si>
  <si>
    <t>Self-financing</t>
  </si>
  <si>
    <t>BSSc(Hons)Psychology</t>
  </si>
  <si>
    <t>Bachelor of Social Sciences with Honours in PsychologyUPDATED</t>
  </si>
  <si>
    <t>HKMU</t>
  </si>
  <si>
    <t>JS9003</t>
  </si>
  <si>
    <t>BSSc(Hons)Poltics&amp;PubAdm</t>
  </si>
  <si>
    <t>Bachelor of Social Sciences with Honours in Politics and Public AdministrationUPDATED</t>
  </si>
  <si>
    <t>政治及公共行政榮譽社會科學學士</t>
  </si>
  <si>
    <t>JS9004</t>
  </si>
  <si>
    <t>BSSc(Hons) App Soc Stud</t>
  </si>
  <si>
    <t>Bachelor of Social Sciences with Honours in Applied Social StudiesUPDATED</t>
  </si>
  <si>
    <t>應用社會研究榮譽社會科學學士</t>
  </si>
  <si>
    <t>JS9005</t>
  </si>
  <si>
    <t>BSSc(Hons) Glob &amp; China</t>
  </si>
  <si>
    <t>Bachelor of Social Sciences with Honours in Global and China StudiesUPDATED</t>
  </si>
  <si>
    <t>全球與中國研究榮譽社會科學學士</t>
  </si>
  <si>
    <t>JS9006</t>
  </si>
  <si>
    <t>BSSc(Hons)Ageing&amp;Serv</t>
  </si>
  <si>
    <t>Bachelor of Social Sciences with Honours in Ageing Society and Services StudiesUPDATED</t>
  </si>
  <si>
    <t>高齡社會與服務研究榮譽社會科學學士</t>
  </si>
  <si>
    <t>JS9007</t>
  </si>
  <si>
    <t>BSSc(Hons)Econ&amp;PubPolAna</t>
  </si>
  <si>
    <t>Bachelor of Social Sciences with Honours in Economic and Public Policy AnalysisUPDATED</t>
  </si>
  <si>
    <t>經濟及公共政策分析榮譽社會科學學士</t>
  </si>
  <si>
    <t>JS9008</t>
  </si>
  <si>
    <t>BSSc(Hons) Psy&amp;Mental H</t>
  </si>
  <si>
    <t>Bachelor of Social Sciences with Honours in Psychology and Mental HealthUPDATED</t>
  </si>
  <si>
    <t>心理學與精神健康榮譽社會科學學士</t>
  </si>
  <si>
    <t>JS9011</t>
  </si>
  <si>
    <t>BA(Hons) Chinese</t>
  </si>
  <si>
    <t>Bachelor of Arts with Honours in ChineseUPDATED</t>
  </si>
  <si>
    <t>中文榮譽文學士</t>
  </si>
  <si>
    <t>JS9011</t>
    <phoneticPr fontId="2" type="noConversion"/>
  </si>
  <si>
    <t>JS9013</t>
  </si>
  <si>
    <t>BA(Hons) LangStud &amp; Tran</t>
  </si>
  <si>
    <t>Bachelor of Arts with Honours in Language Studies and TranslationUPDATED</t>
  </si>
  <si>
    <t>語言研究與翻譯榮譽文學士</t>
  </si>
  <si>
    <t>JS9016</t>
  </si>
  <si>
    <t>BA(Hons)CreAd&amp;MediaDesig</t>
  </si>
  <si>
    <t>Bachelor of Arts with Honours in Creative Advertising and Media DesignUPDATED</t>
  </si>
  <si>
    <t>創意廣告及媒體設計榮譽文學士</t>
  </si>
  <si>
    <t>JS9019</t>
  </si>
  <si>
    <t>BA(Hons) EngLang&amp;Cult</t>
  </si>
  <si>
    <t>Bachelor of Arts with Honours in English Language and CultureUPDATED</t>
  </si>
  <si>
    <t>英語及文化榮譽文學士</t>
  </si>
  <si>
    <t>JS9220</t>
  </si>
  <si>
    <t>BBA(Hons) Pro Acct</t>
  </si>
  <si>
    <t>Bachelor of Business Administration with Honours in Professional AccountingUPDATED</t>
  </si>
  <si>
    <t>專業會計榮譽工商管理學士</t>
  </si>
  <si>
    <t>JS9222</t>
  </si>
  <si>
    <t>BBA(Hons) Acct &amp; Tax</t>
  </si>
  <si>
    <t>Bachelor of Business Administration with Honours in Accounting and TaxationUPDATED</t>
  </si>
  <si>
    <t>會計及稅務學榮譽工商管理學士</t>
  </si>
  <si>
    <t>JS9230</t>
  </si>
  <si>
    <t>BBA(Hons) Business Mgt</t>
  </si>
  <si>
    <t>Bachelor of Business Administration with Honours in Business ManagementUPDATED</t>
  </si>
  <si>
    <t>商業管理學榮譽工商管理學士</t>
  </si>
  <si>
    <t>JS9240</t>
  </si>
  <si>
    <t>BBA(Hons)GB &amp; Mktg</t>
  </si>
  <si>
    <t>Bachelor of Business Administration with Honours in Global Business and MarketingUPDATED</t>
  </si>
  <si>
    <t>環球商業及市場學榮譽工商管理學士</t>
  </si>
  <si>
    <t>JS9250</t>
  </si>
  <si>
    <t>BBA(Hons)Corp Governance</t>
  </si>
  <si>
    <t>Bachelor of Business Administration with Honours in Corporate GovernanceUPDATED</t>
  </si>
  <si>
    <t>企業管治榮譽工商管理學士</t>
  </si>
  <si>
    <t>JS9261</t>
  </si>
  <si>
    <t>BBA(Hons) DigBus</t>
  </si>
  <si>
    <t>Bachelor of Business Administration with Honours in Digital BusinessUPDATED</t>
  </si>
  <si>
    <t>數碼商業榮譽工商管理學士</t>
  </si>
  <si>
    <t>JS9272</t>
  </si>
  <si>
    <t>BBA(Hons) Fin &amp; Risk Mgt</t>
  </si>
  <si>
    <t>Bachelor of Business Administration with Honours in Finance and Risk ManagementUPDATED</t>
  </si>
  <si>
    <t>財務及風險管理榮譽工商管理學士</t>
  </si>
  <si>
    <t>JS9276</t>
  </si>
  <si>
    <t>BBA(Hons) RealEst&amp;FacMgt</t>
  </si>
  <si>
    <t>Bachelor of Business Administration with Honours in Real Estate and Facilities ManagementUPDATED</t>
  </si>
  <si>
    <t>房地產及設施管理榮譽工商管理學士</t>
  </si>
  <si>
    <t>JS9280</t>
  </si>
  <si>
    <t>BAPH &amp; BBMH</t>
  </si>
  <si>
    <t>Bachelor of Applied Psychology with Honours, Bachelor of Business Management with HonoursUPDATED</t>
  </si>
  <si>
    <t>應用心理學榮譽學士，商業管理榮譽學士</t>
  </si>
  <si>
    <t>JS9291</t>
  </si>
  <si>
    <t>BBA(Hons)Hotel &amp;SustTour</t>
  </si>
  <si>
    <t>Bachelor of Business Administration with Honours in Hotel and Sustainable Tourism ManagementUPDATED</t>
  </si>
  <si>
    <t>酒店及可持續旅遊管理榮譽工商管理學士</t>
  </si>
  <si>
    <t>JS9294</t>
  </si>
  <si>
    <t>BBA(Hons) eSports Mgt</t>
  </si>
  <si>
    <t>Bachelor of Business Administration with Honours in Sports and eSports ManagementUPDATED</t>
  </si>
  <si>
    <t>運動及電競運動管理榮譽工商管理學士</t>
  </si>
  <si>
    <t>JS9530</t>
  </si>
  <si>
    <t>BEd(Hons)&amp;BEngLang(Hons)</t>
  </si>
  <si>
    <t>Bachelor of Education with Honours in English Language Teaching and Bachelor of English Language Studies with HonoursUPDATED</t>
  </si>
  <si>
    <t>英語教學榮譽教育學士及英語研究榮譽學士</t>
  </si>
  <si>
    <t>JS9540</t>
  </si>
  <si>
    <t>BEng Lang (Hons)</t>
  </si>
  <si>
    <t>Bachelor of English Language Studies with HonoursUPDATED</t>
  </si>
  <si>
    <t>英語研究榮譽學士</t>
  </si>
  <si>
    <t>JS9550</t>
  </si>
  <si>
    <t>BLang(Hons) Applied Chin</t>
  </si>
  <si>
    <t>Bachelor of Language Studies with Honours (Applied Chinese Language Studies)UPDATED</t>
  </si>
  <si>
    <t>語言研究榮譽學士（應用中國語言）</t>
  </si>
  <si>
    <t>JS9560</t>
  </si>
  <si>
    <t>BEd(Hons)&amp;BLang(Hons)Chi</t>
  </si>
  <si>
    <t>Bachelor of Education with Honours (Chinese Language Teaching) and Bachelor of Language Studies with Honours (Applied Chinese Language Studies)UPDATED</t>
  </si>
  <si>
    <t>教育榮譽學士（中國語文教學）及語言研究榮譽學士（應用中國語言）</t>
  </si>
  <si>
    <t>JS9570</t>
  </si>
  <si>
    <t>BLang(Hons)BGBus(Hons)</t>
  </si>
  <si>
    <t>Bachelor of Language Studies with Honours (Bilingual Communication), Bachelor of Global Business with HonoursUPDATED</t>
  </si>
  <si>
    <t>語言硏究（雙語傳意）榮譽學士，國際商業榮譽學士</t>
  </si>
  <si>
    <t>JS9580</t>
  </si>
  <si>
    <t>BEd(Hons)ECE-Leader&amp;SEN</t>
  </si>
  <si>
    <t>Bachelor of Education with Honours in Early Childhood Education (Leadership and Special Educational Needs)UPDATED</t>
  </si>
  <si>
    <t>教育榮譽學士（幼兒教育：領導及特殊教育需要）</t>
  </si>
  <si>
    <t>JS9718</t>
  </si>
  <si>
    <t>BSc(Hons) Comp Sci</t>
  </si>
  <si>
    <t>Bachelor of Science with Honours in Computer ScienceUPDATED</t>
  </si>
  <si>
    <t>電腦科學榮譽理學士</t>
  </si>
  <si>
    <t>JS9719</t>
  </si>
  <si>
    <t>BSc(Hons) Cyber&amp;ComSecy</t>
  </si>
  <si>
    <t>Bachelor of Science with Honours in Cyber and Computer SecurityUPDATED</t>
  </si>
  <si>
    <t>網路及電腦安全榮譽理學士</t>
  </si>
  <si>
    <t>JS9720</t>
  </si>
  <si>
    <t>BEng(Hons)Elec &amp; CompEng</t>
  </si>
  <si>
    <t>Bachelor of Engineering with Honours in Electronic and Computer EngineeringUPDATED</t>
  </si>
  <si>
    <t>電子及電腦工程學榮譽工學士</t>
  </si>
  <si>
    <t>JS9721</t>
  </si>
  <si>
    <t>BENG(Hons)BSE&amp;SustainDev</t>
  </si>
  <si>
    <t>Bachelor of Engineering with Honours in Building Services Engineering and Sustainable DevelopmentUPDATED</t>
  </si>
  <si>
    <t>屋宇設備工程及可持續發展榮譽工學士</t>
  </si>
  <si>
    <t>JS9722</t>
  </si>
  <si>
    <t>BENG(Hons) Civil&amp;EnvrEng</t>
  </si>
  <si>
    <t>Bachelor of Engineering with Honours in Civil and Environmental EngineeringUPDATED</t>
  </si>
  <si>
    <t>土木及環境工程榮譽工學士</t>
  </si>
  <si>
    <t>JS9731</t>
  </si>
  <si>
    <t>BSc(Hons)EnvSci&amp;GreenMgt</t>
  </si>
  <si>
    <t>Bachelor of Science with Honours in Environmental Science and Green ManagementUPDATED</t>
  </si>
  <si>
    <t>環境科學與綠色管理榮譽理學士</t>
  </si>
  <si>
    <t>JS9732</t>
  </si>
  <si>
    <t>BSc(Hons) LifeSci</t>
  </si>
  <si>
    <t>Bachelor of Science with Honours in Life SciencesUPDATED</t>
  </si>
  <si>
    <t>生命科學榮譽理學士</t>
  </si>
  <si>
    <t>JS9733</t>
  </si>
  <si>
    <t>BSc(Hons)Science(STEM)</t>
  </si>
  <si>
    <t>Bachelor of Science with Honours in Science (STEM)UPDATED</t>
  </si>
  <si>
    <t>科學（ＳＴＥＭ）榮譽理學士</t>
  </si>
  <si>
    <t>SSSDP</t>
  </si>
  <si>
    <t>JSSA01</t>
  </si>
  <si>
    <t>BN (Hons)</t>
  </si>
  <si>
    <t>Offered by CIHE: Bachelor of Nursing (Honours)</t>
  </si>
  <si>
    <t>由明愛專上學院開辦：護理學榮譽學士</t>
  </si>
  <si>
    <t>JSSA02</t>
  </si>
  <si>
    <t>BSDET (Hons)</t>
  </si>
  <si>
    <t>Offered by CIHE: Bachelor of Science (Honours) in Digital Entertainment Technology</t>
  </si>
  <si>
    <t>由明愛專上學院開辦：數碼娛樂科技（榮譽）理學士</t>
  </si>
  <si>
    <t>JSSA03</t>
  </si>
  <si>
    <t>BSPT (Hons)</t>
  </si>
  <si>
    <t>Offered by CIHE: Bachelor of Science (Honours) in Physiotherapy</t>
  </si>
  <si>
    <t>由明愛專上學院開辦：物理治療學（榮譽）理學士</t>
  </si>
  <si>
    <t>JSSA04</t>
  </si>
  <si>
    <t>BSAI (Hons)</t>
  </si>
  <si>
    <t>Offered by CIHE: Bachelor of Science (Honours) in Artificial Intelligence</t>
  </si>
  <si>
    <t>由明愛專上學院開辦：人工智能（榮譽）理學士</t>
  </si>
  <si>
    <t>JSSC02</t>
  </si>
  <si>
    <t>B.Sc (Hons) in Arch</t>
  </si>
  <si>
    <t>Offered by CHC: Bachelor of Science (Honours) in Architecture</t>
  </si>
  <si>
    <t>由珠海學院開辦：建築學（榮譽）理學士</t>
  </si>
  <si>
    <t>JSSC03</t>
  </si>
  <si>
    <t>B.Sc (Hons) in CS</t>
  </si>
  <si>
    <t>Offered by CHC: Bachelor of Science (Honours) in Computer Science</t>
  </si>
  <si>
    <t>由珠海學院開辦：資訊科學（榮譽）理學士</t>
  </si>
  <si>
    <t>JSSC04</t>
  </si>
  <si>
    <t>BA (Hons) in JCC</t>
  </si>
  <si>
    <t>Offered by CHC: Bachelor of Arts (Honours) in Communication and Crossmedia</t>
  </si>
  <si>
    <t>由珠海學院開辦：傳播及跨媒體（榮譽）文學士</t>
  </si>
  <si>
    <t>JSSH01</t>
  </si>
  <si>
    <t>BBA-SCM</t>
  </si>
  <si>
    <t>Offered by HSUHK: Bachelor of Business Administration (Honours) in Supply Chain Management</t>
  </si>
  <si>
    <t>由恒大開辦：供應鏈管理工商管理（榮譽）學士</t>
  </si>
  <si>
    <t>JSSH02</t>
  </si>
  <si>
    <t>BSC-AIN</t>
  </si>
  <si>
    <t>Offered by HSUHK: Bachelor of Science (Honours) in Actuarial Studies and Insurance</t>
  </si>
  <si>
    <t>由恒大開辦：精算及保險 （榮譽）理學士</t>
  </si>
  <si>
    <t>JSSH03</t>
  </si>
  <si>
    <t>BA-AHCC</t>
  </si>
  <si>
    <t>Offered by HSUHK: Bachelor of Arts (Honours) in Applied and Human-Centred Computing</t>
  </si>
  <si>
    <t>由恒大開辦：應用及人本計算學（榮譽）文學士</t>
  </si>
  <si>
    <t>BSC-AC</t>
  </si>
  <si>
    <t>Offered by HSUHK: Bachelor of Science (Honours) in Applied Computing</t>
  </si>
  <si>
    <t>由恒大開辦：計算機應用（榮譽）理學士</t>
  </si>
  <si>
    <t>JSSH04</t>
  </si>
  <si>
    <t>BSC-DSBI</t>
  </si>
  <si>
    <t>Offered by HSUHK: Bachelor of Science (Honours) in Data Science and Business Intelligence</t>
  </si>
  <si>
    <t>由恒大開辦：數據科學及商業智能學（榮譽）理學士</t>
  </si>
  <si>
    <t>JSSH05</t>
  </si>
  <si>
    <t>BMSIM</t>
  </si>
  <si>
    <t>Offered by HSUHK: Bachelor of Management Science and Information Management (Honours)</t>
  </si>
  <si>
    <t>由恒大開辦：管理科學與資訊管理（榮譽）學士</t>
  </si>
  <si>
    <t>JSSH06</t>
  </si>
  <si>
    <t>BA-AD</t>
  </si>
  <si>
    <t>Offered by HSUHK: Bachelor of Arts (Honours) in Art and Design</t>
  </si>
  <si>
    <t>由恒大開辦：藝術設計（榮譽）文學士</t>
  </si>
  <si>
    <t>JSST01</t>
  </si>
  <si>
    <t>BHSc(N)</t>
  </si>
  <si>
    <t>Offered by TWC: Bachelor of Health Science (Honours) in Nursing</t>
  </si>
  <si>
    <t>由東華學院開辦：護理學（榮譽）健康科學學士</t>
  </si>
  <si>
    <t>JSST02</t>
  </si>
  <si>
    <t>BSc(MLSc)</t>
  </si>
  <si>
    <t>Offered by TWC: Bachelor of Science (Honours) in Medical Laboratory Science</t>
  </si>
  <si>
    <t>由東華學院開辦：醫療化驗科學（榮譽）理學士</t>
  </si>
  <si>
    <t>JSST03</t>
  </si>
  <si>
    <t>BSc(RT)</t>
  </si>
  <si>
    <t>Offered by TWC: Bachelor of Science (Honours) in Radiation Therapy</t>
  </si>
  <si>
    <t>由東華學院開辦：放射治療學（榮譽）理學士</t>
  </si>
  <si>
    <t>JSST04</t>
  </si>
  <si>
    <t>BSc(OT)</t>
  </si>
  <si>
    <t>Offered by TWC: Bachelor of Science (Honours) in Occupational Therapy</t>
  </si>
  <si>
    <t>由東華學院開辦：職業治療學（榮譽）理學士</t>
  </si>
  <si>
    <t>JSST05</t>
  </si>
  <si>
    <t>BSc(PT)</t>
  </si>
  <si>
    <t>Offered by TWC: Bachelor of Science (Honours) in Physiotherapy</t>
  </si>
  <si>
    <t>由東華學院開辦：物理治療學(榮譽)理學士</t>
  </si>
  <si>
    <t>JSST06</t>
  </si>
  <si>
    <t>BSc(AG)</t>
  </si>
  <si>
    <t>Offered by TWC: Bachelor of Science (Honours) in Applied Gerontology</t>
  </si>
  <si>
    <t>由東華學院開辦：應用老年學(榮譽)理學士</t>
  </si>
  <si>
    <t>JSSU12</t>
  </si>
  <si>
    <t>BA(Hons) CreWri&amp;FilmArts</t>
  </si>
  <si>
    <t>Offered by OUHK: Bachelor of Arts with Honours in Creative Writing and Film ArtsUPDATED</t>
  </si>
  <si>
    <t>由公開大學開辦：創意寫作與電影藝術榮譽文學士</t>
  </si>
  <si>
    <t>Offered by HKMU: Bachelor of Arts with Honours in Creative Writing and Film Arts</t>
  </si>
  <si>
    <t>由都會大學開辦：創意寫作與電影藝術榮譽文學士</t>
  </si>
  <si>
    <t>JSSU14</t>
  </si>
  <si>
    <t>BFA (Hons) Animation VE</t>
  </si>
  <si>
    <t>Offered by OUHK: Bachelor of Fine Arts with Honours in Animation and Visual EffectsUPDATED</t>
  </si>
  <si>
    <t>由公開大學開辦：動畫及視覺特效榮譽藝術學士</t>
  </si>
  <si>
    <t>Offered by HKMU: Bachelor of Fine Arts with Honours in Animation and Visual Effects</t>
  </si>
  <si>
    <t>由都會大學開辦：動畫及視覺特效榮譽藝術學士</t>
  </si>
  <si>
    <t>JSSU15</t>
  </si>
  <si>
    <t>BFA (Hons) IDDA</t>
  </si>
  <si>
    <t>Offered by OUHK: Bachelor of Fine Arts with Honours in Imaging Design and Digital ArtUPDATED</t>
  </si>
  <si>
    <t>由公開大學開辦：影像設計及數碼藝術榮譽藝術學士</t>
  </si>
  <si>
    <t>Offered by HKMU: Bachelor of Fine Arts with Honours in Imaging Design and Digital Art</t>
  </si>
  <si>
    <t>由都會大學開辦：影像設計及數碼藝術榮譽藝術學士</t>
  </si>
  <si>
    <t>JSSU40</t>
  </si>
  <si>
    <t>BNursing (Hons) General</t>
  </si>
  <si>
    <t>Offered by OUHK: Bachelor of Nursing with Honours in General Health CareUPDATED</t>
  </si>
  <si>
    <t>由公開大學開辦：護理學榮譽學士（普通科）</t>
  </si>
  <si>
    <t>Offered by HKMU: Bachelor of Nursing with Honours in General Health Care</t>
  </si>
  <si>
    <t>由都會大學開辦：護理學榮譽學士（普通科）</t>
  </si>
  <si>
    <t>JSSU50</t>
  </si>
  <si>
    <t>BNursing (Hons) Mental</t>
  </si>
  <si>
    <t>Offered by OUHK: Bachelor of Nursing with Honours in Mental Health CareUPDATED</t>
  </si>
  <si>
    <t>由公開大學開辦：護理學榮譽學士（精神科）</t>
  </si>
  <si>
    <t>Offered by HKMU: Bachelor of Nursing with Honours in Mental Health Care</t>
  </si>
  <si>
    <t>由都會大學開辦：護理學榮譽學士（精神科）</t>
  </si>
  <si>
    <t>JSSU55</t>
  </si>
  <si>
    <t>BSc(Hons) Physiotherapy</t>
  </si>
  <si>
    <t>Offered by OUHK: Bachelor of Science with Honours in PhysiotherapyUPDATED</t>
  </si>
  <si>
    <t>由公開大學開辦：物理治療學榮譽理學士</t>
  </si>
  <si>
    <t>Offered by HKMU: Bachelor of Science with Honours in Physiotherapy</t>
  </si>
  <si>
    <t>由都會大學開辦：物理治療學榮譽理學士</t>
  </si>
  <si>
    <t>JSSU65</t>
  </si>
  <si>
    <t>BEng (Hons) Test &amp; Cert</t>
  </si>
  <si>
    <t>Offered by OUHK: Bachelor of Engineering with Honours in Testing and CertificationUPDATED</t>
  </si>
  <si>
    <t>由公開大學開辦：檢測和認證榮譽工學士</t>
  </si>
  <si>
    <t>JSSU61</t>
  </si>
  <si>
    <t>BASc (Hons) Int TIC</t>
  </si>
  <si>
    <t>Offered by HKMU: Bachelor of Applied Science with Honours in Integrated Testing, Inspection and Certification</t>
  </si>
  <si>
    <t>由都會大學開辦：綜合檢測和認證榮譽應用理學士</t>
  </si>
  <si>
    <t>JSSU68</t>
  </si>
  <si>
    <t>BSc(Hons)Test Sci &amp; Cert</t>
  </si>
  <si>
    <t>Offered by OUHK: Bachelor of Science with Honours in Testing Science and CertificationUPDATED</t>
  </si>
  <si>
    <t>由公開大學開辦：檢測科學和認證榮譽理學士</t>
  </si>
  <si>
    <t>Offered by HKMU: Bachelor of Science with Honours in Testing Science and Certification</t>
  </si>
  <si>
    <t>由都會大學開辦：檢測科學和認證榮譽理學士</t>
  </si>
  <si>
    <t>JSSU69</t>
  </si>
  <si>
    <t>BSc(Hons)FoodTestSci</t>
  </si>
  <si>
    <t>Offered by OUHK: Bachelor of Science with Honours in Food Testing ScienceUPDATED</t>
  </si>
  <si>
    <t>由公開大學開辦：食品測試科學榮譽理學士</t>
  </si>
  <si>
    <t>Offered by HKMU: Bachelor of Science with Honours in Food Testing Science</t>
  </si>
  <si>
    <t>由都會大學開辦：食品測試科學榮譽理學士</t>
  </si>
  <si>
    <t>JSSU70</t>
  </si>
  <si>
    <t>BSc(Hons) Data Sci &amp; AI</t>
  </si>
  <si>
    <t>Offered by OUHK: Bachelor of Science with Honours in Data Science and Artificial IntelligenceUPDATED</t>
  </si>
  <si>
    <t>由公開大學開辦：數據科學及人工智能榮譽理學士</t>
  </si>
  <si>
    <t>Offered by HKMU: Bachelor of Science with Honours in Data Science and Artificial Intelligence</t>
  </si>
  <si>
    <t>由都會大學開辦：數據科學及人工智能榮譽理學士</t>
  </si>
  <si>
    <t>JSSU71</t>
  </si>
  <si>
    <t>BComp(Hons)Internet Tech</t>
  </si>
  <si>
    <t>Offered by OUHK: Bachelor of Computing with Honours in Internet TechnologyUPDATED</t>
  </si>
  <si>
    <t>由公開大學開辦：互聯網科技榮譽電腦學學士</t>
  </si>
  <si>
    <t>Offered by HKMU: Bachelor of Computing with Honours in Internet Technology</t>
  </si>
  <si>
    <t>由都會大學開辦：互聯網科技榮譽電腦學學士</t>
  </si>
  <si>
    <t>JSSU90</t>
  </si>
  <si>
    <t>B Intl Hospitality(Hons)</t>
  </si>
  <si>
    <t>Offered by OUHK: Bachelor of International Hospitality and Attractions Management with HonoursUPDATED</t>
  </si>
  <si>
    <t>由公開大學開辦：國際款待及景區管理榮譽學士</t>
  </si>
  <si>
    <t>Offered by HKMU: Bachelor of International Hospitality and Attractions Management with Honours</t>
  </si>
  <si>
    <t>由都會大學開辦：國際款待及景區管理榮譽學士</t>
  </si>
  <si>
    <t>JSSU95</t>
  </si>
  <si>
    <t>B(Hons)Sports &amp; R Mgnt</t>
  </si>
  <si>
    <t>Offered by OUHK: Bachelor of Sports and Recreation Management with HonoursUPDATED</t>
  </si>
  <si>
    <t>由公開大學開辦：運動及康樂管理榮譽學士</t>
  </si>
  <si>
    <t>Offered by HKMU: Bachelor of Sports and Recreation Management with Honours</t>
  </si>
  <si>
    <t>由都會大學開辦：運動及康樂管理榮譽學士</t>
  </si>
  <si>
    <t>JSSU96</t>
  </si>
  <si>
    <t>BBA (Hons) Fintech</t>
  </si>
  <si>
    <t>Offered by OUHK: Bachelor of Business Administration with Honours in Financial Technology and InnovationUPDATED</t>
  </si>
  <si>
    <t>由公開大學開辦：金融科技及創新榮譽工商管理學士</t>
  </si>
  <si>
    <t>Offered by HKMU: Bachelor of Business Administration with Honours in Financial Technology and Innovation</t>
  </si>
  <si>
    <t>由都會大學開辦：金融科技及創新榮譽工商管理學士</t>
  </si>
  <si>
    <t>JSSU97</t>
  </si>
  <si>
    <t>BBA (Hons) GM &amp; SC Mgt</t>
  </si>
  <si>
    <t>Offered by OUHK: Bachelor of Business Administration with Honours in Global Marketing and Supply Chain ManagementUPDATED</t>
  </si>
  <si>
    <t>由公開大學開辦：環球市場及供應鏈榮譽工商管理學士</t>
  </si>
  <si>
    <t>Offered by HKMU: Bachelor of Business Administration with Honours in Global Marketing and Supply Chain Management</t>
  </si>
  <si>
    <t>由都會大學開辦：環球市場及供應鏈榮譽工商管理學士</t>
  </si>
  <si>
    <t>JSSV01</t>
  </si>
  <si>
    <t>BA(FD)</t>
  </si>
  <si>
    <t>Offered by VTC-THEi: Bachelor of Arts (Honours) in Fashion DesignUPDATED</t>
  </si>
  <si>
    <t>由香港高科院開辦：時裝設計（榮譽）文學士</t>
  </si>
  <si>
    <t>Offered by VTC-THEi: Bachelor of Arts (Honours) in Fashion Design</t>
  </si>
  <si>
    <t>JSSV02</t>
  </si>
  <si>
    <t>BA(PD)</t>
  </si>
  <si>
    <t>Offered by VTC-THEi: Bachelor of Arts (Honours) in Product DesignUPDATED</t>
  </si>
  <si>
    <t>由香港高科院開辦：產品設計（榮譽）文學士</t>
  </si>
  <si>
    <t>Offered by VTC-THEi: Bachelor of Arts (Honours) in Product Design</t>
  </si>
  <si>
    <t>JSSV03</t>
  </si>
  <si>
    <t>BA(LA)</t>
  </si>
  <si>
    <t>Offered by VTC-THEi: Bachelor of Arts (Honours) in Landscape ArchitectureUPDATED</t>
  </si>
  <si>
    <t>由香港高科院開辦：園境建築（榮譽）文學士</t>
  </si>
  <si>
    <t>Offered by VTC-THEi: Bachelor of Arts (Honours) in Landscape Architecture</t>
  </si>
  <si>
    <t>JSSV04</t>
  </si>
  <si>
    <t>BA(CAM)</t>
  </si>
  <si>
    <t>Offered by VTC-THEi: Bachelor of Arts (Honours) in Culinary Arts and ManagementUPDATED</t>
  </si>
  <si>
    <t>由香港高科院開辦：廚藝及管理（榮譽）文學士</t>
  </si>
  <si>
    <t>Offered by VTC-THEi: Bachelor of Arts (Honours) in Culinary Arts and Management</t>
  </si>
  <si>
    <t>JSSV05</t>
  </si>
  <si>
    <t>BEng(CE)</t>
  </si>
  <si>
    <t>Offered by VTC-THEi: Bachelor of Engineering (Honours) in Civil EngineeringUPDATED</t>
  </si>
  <si>
    <t>由香港高科院開辦：土木工程（榮譽）工學士</t>
  </si>
  <si>
    <t>Offered by VTC-THEi: Bachelor of Engineering (Honours) in Civil Engineering</t>
  </si>
  <si>
    <t>JSSV07</t>
  </si>
  <si>
    <t>BSc(HALM)</t>
  </si>
  <si>
    <t>Offered by VTC-THEi: Bachelor of Science (Honours) in Horticulture, Arboriculture and Landscape ManagementUPDATED</t>
  </si>
  <si>
    <t>由香港高科院開辦：園藝樹藝及園境管理（榮譽）理學士</t>
  </si>
  <si>
    <t>Offered by VTC-THEi: Bachelor of Science (Honours) in Horticulture, Arboriculture and Landscape Management</t>
  </si>
  <si>
    <t>JSSV08</t>
  </si>
  <si>
    <t>BSc(SUR)</t>
  </si>
  <si>
    <t>Offered by VTC-THEi: Bachelor of Science (Honours) in SurveyingUPDATED</t>
  </si>
  <si>
    <t>由香港高科院開辦：測量學（榮譽）理學士</t>
  </si>
  <si>
    <t>Offered by VTC-THEi: Bachelor of Science (Honours) in Surveying</t>
  </si>
  <si>
    <t>JSSV09</t>
  </si>
  <si>
    <t>BSocSc(SRM)</t>
  </si>
  <si>
    <t>Offered by VTC-THEi: Bachelor of Social Sciences (Honours) in Sports and Recreation ManagementUPDATED</t>
  </si>
  <si>
    <t>由香港高科院開辦：運動及康樂管理（榮譽）社會科學學士</t>
  </si>
  <si>
    <t>Offered by VTC-THEi: Bachelor of Social Sciences (Honours) in Sports and Recreation Management</t>
  </si>
  <si>
    <t>JSSV11</t>
  </si>
  <si>
    <t>BSc(MTI)</t>
  </si>
  <si>
    <t>Offered by VTC-THEi: Bachelor of Science (Honours) in Multimedia Technology and Innovation</t>
  </si>
  <si>
    <t>由香港高科院開辦：創新及多媒體科技（榮譽）理學士</t>
  </si>
  <si>
    <t>JSSV12</t>
  </si>
  <si>
    <t>BSc(ICT)</t>
  </si>
  <si>
    <t>Offered by VTC-THEi: Bachelor of Science (Honours) in Information and Communications TechnologyUPDATED</t>
  </si>
  <si>
    <t>由香港高科院開辦：資訊及通訊科技（榮譽）理學士</t>
  </si>
  <si>
    <t>JSSW01</t>
  </si>
  <si>
    <t>BAvOM</t>
  </si>
  <si>
    <t>Offered by UOWCHK: Bachelor of Aviation (Honours) in Operations and Management</t>
  </si>
  <si>
    <t>由香港伍倫貢學院開辦：營運及管理（榮譽）航空學士</t>
    <phoneticPr fontId="2" type="noConversion"/>
  </si>
  <si>
    <t>由香港伍倫貢學院開辦：營運及管理（榮譽）航空學士</t>
  </si>
  <si>
    <t>JSSY01</t>
  </si>
  <si>
    <t>BCom (Hons) FinTech</t>
  </si>
  <si>
    <t>Offered by HKSYU: Bachelor of Commerce (Honours) in Financial Technology</t>
  </si>
  <si>
    <t>由仁大開辦： 金融科技（榮譽）商學士</t>
  </si>
  <si>
    <t>編號</t>
  </si>
  <si>
    <t>學院</t>
  </si>
  <si>
    <t>課程/學科</t>
    <phoneticPr fontId="2" type="noConversion"/>
  </si>
  <si>
    <t>計分方式</t>
  </si>
  <si>
    <t>Median</t>
  </si>
  <si>
    <t>LQ</t>
  </si>
  <si>
    <t>你的分數</t>
  </si>
  <si>
    <t>差距(Median)</t>
  </si>
  <si>
    <t>學額</t>
    <phoneticPr fontId="2" type="noConversion"/>
  </si>
  <si>
    <t>資格</t>
    <phoneticPr fontId="2" type="noConversion"/>
  </si>
  <si>
    <t>面試</t>
  </si>
  <si>
    <t>中</t>
    <phoneticPr fontId="2" type="noConversion"/>
  </si>
  <si>
    <t>英</t>
    <phoneticPr fontId="2" type="noConversion"/>
  </si>
  <si>
    <t>數</t>
    <phoneticPr fontId="2" type="noConversion"/>
  </si>
  <si>
    <t>通</t>
    <phoneticPr fontId="2" type="noConversion"/>
  </si>
  <si>
    <t>E1</t>
    <phoneticPr fontId="2" type="noConversion"/>
  </si>
  <si>
    <t>E2</t>
    <phoneticPr fontId="2" type="noConversion"/>
  </si>
  <si>
    <t>取錄人數</t>
  </si>
  <si>
    <t>Total</t>
    <phoneticPr fontId="2" type="noConversion"/>
  </si>
  <si>
    <t>Band A</t>
  </si>
  <si>
    <t>Band B</t>
  </si>
  <si>
    <t>Band C</t>
  </si>
  <si>
    <t>Band D</t>
  </si>
  <si>
    <t>Band E</t>
  </si>
  <si>
    <t>申請人數</t>
    <phoneticPr fontId="2" type="noConversion"/>
  </si>
  <si>
    <t>4C2X</t>
    <phoneticPr fontId="2" type="noConversion"/>
  </si>
  <si>
    <t>2020年</t>
  </si>
  <si>
    <t>4C2X</t>
  </si>
  <si>
    <t>/</t>
  </si>
  <si>
    <t>創意媒體學院</t>
  </si>
  <si>
    <t>能源及環境學院</t>
  </si>
  <si>
    <t>數據科學學院</t>
  </si>
  <si>
    <t>JS1109</t>
  </si>
  <si>
    <t>人文社會科學院</t>
  </si>
  <si>
    <t>理學院</t>
    <phoneticPr fontId="2" type="noConversion"/>
  </si>
  <si>
    <t>Best 5</t>
  </si>
  <si>
    <t>/</t>
    <phoneticPr fontId="2" type="noConversion"/>
  </si>
  <si>
    <t>Best 6</t>
  </si>
  <si>
    <t>JS1207</t>
    <phoneticPr fontId="2" type="noConversion"/>
  </si>
  <si>
    <t>JS1208</t>
    <phoneticPr fontId="2" type="noConversion"/>
  </si>
  <si>
    <t>JS1216</t>
    <phoneticPr fontId="2" type="noConversion"/>
  </si>
  <si>
    <t>工學院</t>
  </si>
  <si>
    <r>
      <t>*城大公佈的分數為</t>
    </r>
    <r>
      <rPr>
        <b/>
        <sz val="12"/>
        <color theme="1"/>
        <rFont val="微軟正黑體"/>
        <family val="2"/>
        <charset val="136"/>
      </rPr>
      <t>已計比重的分數</t>
    </r>
    <r>
      <rPr>
        <sz val="10"/>
        <color theme="1"/>
        <rFont val="微軟正黑體"/>
        <family val="2"/>
        <charset val="136"/>
      </rPr>
      <t>，只供參考。</t>
    </r>
    <phoneticPr fontId="2" type="noConversion"/>
  </si>
  <si>
    <t>*斜體 = 2021年新科目/新安排，粗體 = 有比重</t>
    <phoneticPr fontId="2" type="noConversion"/>
  </si>
  <si>
    <t>估算方式:</t>
    <phoneticPr fontId="2" type="noConversion"/>
  </si>
  <si>
    <t>由於城大每年均會直接公佈加權後分數 (即已計算比重)，故此處直接引用城大數字，未有作任何估算。</t>
    <phoneticPr fontId="2" type="noConversion"/>
  </si>
  <si>
    <t>參考資料:</t>
    <phoneticPr fontId="2" type="noConversion"/>
  </si>
  <si>
    <t>https://www.cityu.edu.hk/admo/hkdse/scores/jupas_scores2021.pdf</t>
    <phoneticPr fontId="2" type="noConversion"/>
  </si>
  <si>
    <t>https://www.admo.cityu.edu.hk/jupas/entreq/bd/</t>
  </si>
  <si>
    <t>https://www.admo.cityu.edu.hk/assessment/score_calculation/</t>
  </si>
  <si>
    <t>https://www.admo.cityu.edu.hk/jupas/assessment/bd</t>
    <phoneticPr fontId="2" type="noConversion"/>
  </si>
  <si>
    <t>https://www.admo.cityu.edu.hk/interview_arrangements/jupas</t>
  </si>
  <si>
    <t>輸入JUPAS編號</t>
    <phoneticPr fontId="2" type="noConversion"/>
  </si>
  <si>
    <t>院校</t>
  </si>
  <si>
    <t>課程/學科</t>
  </si>
  <si>
    <t>學額</t>
  </si>
  <si>
    <t>中文</t>
    <phoneticPr fontId="2" type="noConversion"/>
  </si>
  <si>
    <t>數學</t>
  </si>
  <si>
    <t>通識</t>
  </si>
  <si>
    <t>X1</t>
  </si>
  <si>
    <t>X2</t>
  </si>
  <si>
    <t>合乎基本入學要求?</t>
    <phoneticPr fontId="2" type="noConversion"/>
  </si>
  <si>
    <t>基本入學要求</t>
    <phoneticPr fontId="2" type="noConversion"/>
  </si>
  <si>
    <t>2021計分方式</t>
    <phoneticPr fontId="2" type="noConversion"/>
  </si>
  <si>
    <t>比重</t>
    <phoneticPr fontId="2" type="noConversion"/>
  </si>
  <si>
    <t>加分制</t>
  </si>
  <si>
    <t>中文</t>
  </si>
  <si>
    <t xml:space="preserve"> M1/2</t>
  </si>
  <si>
    <t>你的分數</t>
    <phoneticPr fontId="2" type="noConversion"/>
  </si>
  <si>
    <t>中文比重</t>
  </si>
  <si>
    <t>英文比重</t>
  </si>
  <si>
    <t>數學比重</t>
  </si>
  <si>
    <t>通識比重</t>
  </si>
  <si>
    <t xml:space="preserve"> M1/2比重</t>
  </si>
  <si>
    <t xml:space="preserve"> X1比重</t>
  </si>
  <si>
    <t xml:space="preserve"> X2比重</t>
  </si>
  <si>
    <t xml:space="preserve"> X3比重</t>
  </si>
  <si>
    <t xml:space="preserve"> X4比重</t>
  </si>
  <si>
    <t>相差</t>
    <phoneticPr fontId="2" type="noConversion"/>
  </si>
  <si>
    <t>UQ</t>
    <phoneticPr fontId="2" type="noConversion"/>
  </si>
  <si>
    <t>2021年取錄人數</t>
    <phoneticPr fontId="2" type="noConversion"/>
  </si>
  <si>
    <t>Band A競爭人數</t>
    <phoneticPr fontId="2" type="noConversion"/>
  </si>
  <si>
    <t>其他考慮因素</t>
    <phoneticPr fontId="2" type="noConversion"/>
  </si>
  <si>
    <t>重考扣分</t>
  </si>
  <si>
    <t>額外資料</t>
    <phoneticPr fontId="2" type="noConversion"/>
  </si>
  <si>
    <t>面試</t>
    <phoneticPr fontId="2" type="noConversion"/>
  </si>
  <si>
    <t>For All in One</t>
    <phoneticPr fontId="2" type="noConversion"/>
  </si>
  <si>
    <t>院校</t>
    <phoneticPr fontId="2" type="noConversion"/>
  </si>
  <si>
    <t>加分制</t>
    <phoneticPr fontId="2" type="noConversion"/>
  </si>
  <si>
    <t>2021計分詳情1</t>
    <phoneticPr fontId="2" type="noConversion"/>
  </si>
  <si>
    <t>2021計分詳情2</t>
    <phoneticPr fontId="2" type="noConversion"/>
  </si>
  <si>
    <t>2021比重1</t>
    <phoneticPr fontId="2" type="noConversion"/>
  </si>
  <si>
    <t>2021比重2</t>
  </si>
  <si>
    <t>UQ</t>
  </si>
  <si>
    <t>2022計分方式</t>
    <phoneticPr fontId="2" type="noConversion"/>
  </si>
  <si>
    <t>2022計分詳情1</t>
    <phoneticPr fontId="2" type="noConversion"/>
  </si>
  <si>
    <t>2022計分詳情2</t>
  </si>
  <si>
    <t>2022比重1</t>
    <phoneticPr fontId="2" type="noConversion"/>
  </si>
  <si>
    <t>2022比重2</t>
  </si>
  <si>
    <t>其他考慮因素1</t>
    <phoneticPr fontId="2" type="noConversion"/>
  </si>
  <si>
    <t>其他考慮因素2</t>
  </si>
  <si>
    <t>其他考慮因素3</t>
  </si>
  <si>
    <t>額外資料1</t>
    <phoneticPr fontId="2" type="noConversion"/>
  </si>
  <si>
    <t>額外資料2</t>
  </si>
  <si>
    <t>重考扣分</t>
    <phoneticPr fontId="2" type="noConversion"/>
  </si>
  <si>
    <t>面試1</t>
    <phoneticPr fontId="2" type="noConversion"/>
  </si>
  <si>
    <t>面試2</t>
    <phoneticPr fontId="2" type="noConversion"/>
  </si>
  <si>
    <t>LQ中文比重</t>
    <phoneticPr fontId="2" type="noConversion"/>
  </si>
  <si>
    <t>LQ英文比重</t>
    <phoneticPr fontId="2" type="noConversion"/>
  </si>
  <si>
    <t>LQ數學比重</t>
    <phoneticPr fontId="2" type="noConversion"/>
  </si>
  <si>
    <t>LQ通識比重</t>
    <phoneticPr fontId="2" type="noConversion"/>
  </si>
  <si>
    <t>LQ M1/2比重</t>
    <phoneticPr fontId="2" type="noConversion"/>
  </si>
  <si>
    <t>LQ X1比重</t>
    <phoneticPr fontId="2" type="noConversion"/>
  </si>
  <si>
    <t>LQ X2比重</t>
    <phoneticPr fontId="2" type="noConversion"/>
  </si>
  <si>
    <t>LQ X3比重</t>
    <phoneticPr fontId="2" type="noConversion"/>
  </si>
  <si>
    <t>LQ中文</t>
    <phoneticPr fontId="2" type="noConversion"/>
  </si>
  <si>
    <t>LQ英文</t>
    <phoneticPr fontId="2" type="noConversion"/>
  </si>
  <si>
    <t>LQ數學</t>
    <phoneticPr fontId="2" type="noConversion"/>
  </si>
  <si>
    <t>LQ通識</t>
    <phoneticPr fontId="2" type="noConversion"/>
  </si>
  <si>
    <t>LQ M1/2</t>
    <phoneticPr fontId="2" type="noConversion"/>
  </si>
  <si>
    <t>LQ X1</t>
    <phoneticPr fontId="2" type="noConversion"/>
  </si>
  <si>
    <t>LQ X2</t>
    <phoneticPr fontId="2" type="noConversion"/>
  </si>
  <si>
    <t>LQ X3</t>
    <phoneticPr fontId="2" type="noConversion"/>
  </si>
  <si>
    <t>LQ中文加權後</t>
  </si>
  <si>
    <t>LQ英文加權後</t>
  </si>
  <si>
    <t>LQ數學加權後</t>
  </si>
  <si>
    <t>LQ通識加權後</t>
  </si>
  <si>
    <t>LQ M1/2加權後</t>
  </si>
  <si>
    <t>LQ X1加權後</t>
  </si>
  <si>
    <t>LQ X2加權後</t>
  </si>
  <si>
    <t>LQ X3加權後</t>
  </si>
  <si>
    <t>LQ中文最後揀咗？</t>
  </si>
  <si>
    <t>LQ英文最後揀咗？</t>
  </si>
  <si>
    <t>LQ數學最後揀咗？</t>
  </si>
  <si>
    <t>LQ通識最後揀咗？</t>
  </si>
  <si>
    <t>LQ M1/2最後揀咗？</t>
  </si>
  <si>
    <t>LQ X1最後揀咗？</t>
  </si>
  <si>
    <t>LQ X2最後揀咗？</t>
  </si>
  <si>
    <t>LQ X3最後揀咗？</t>
  </si>
  <si>
    <t>M中文比重</t>
  </si>
  <si>
    <t>M英文比重</t>
  </si>
  <si>
    <t>M數學比重</t>
  </si>
  <si>
    <t>M通識比重</t>
  </si>
  <si>
    <t>M M1/2比重</t>
  </si>
  <si>
    <t>M X1比重</t>
  </si>
  <si>
    <t>M X2比重</t>
  </si>
  <si>
    <t>M X3比重</t>
  </si>
  <si>
    <t>M中文</t>
  </si>
  <si>
    <t>M英文</t>
  </si>
  <si>
    <t>M數學</t>
  </si>
  <si>
    <t>M通識</t>
  </si>
  <si>
    <t>M M1/2</t>
  </si>
  <si>
    <t>M X1</t>
  </si>
  <si>
    <t>M X2</t>
  </si>
  <si>
    <t>M X3</t>
  </si>
  <si>
    <t>M中文加權後</t>
  </si>
  <si>
    <t>M英文加權後</t>
  </si>
  <si>
    <t>M數學加權後</t>
  </si>
  <si>
    <t>M通識加權後</t>
  </si>
  <si>
    <t>M M1/2加權後</t>
  </si>
  <si>
    <t>M X1加權後</t>
  </si>
  <si>
    <t>M X2加權後</t>
  </si>
  <si>
    <t>M X3加權後</t>
  </si>
  <si>
    <t>M中文最後揀咗？</t>
  </si>
  <si>
    <t>M英文最後揀咗？</t>
  </si>
  <si>
    <t>M數學最後揀咗？</t>
  </si>
  <si>
    <t>M通識最後揀咗？</t>
  </si>
  <si>
    <t>M M1/2最後揀咗？</t>
  </si>
  <si>
    <t>M X1最後揀咗？</t>
  </si>
  <si>
    <t>M X2最後揀咗？</t>
  </si>
  <si>
    <t>M X3最後揀咗？</t>
  </si>
  <si>
    <t>UQ中文比重</t>
  </si>
  <si>
    <t>UQ英文比重</t>
  </si>
  <si>
    <t>UQ數學比重</t>
  </si>
  <si>
    <t>UQ通識比重</t>
  </si>
  <si>
    <t>UQ M1/2比重</t>
  </si>
  <si>
    <t>UQ X1比重</t>
  </si>
  <si>
    <t>UQ X2比重</t>
  </si>
  <si>
    <t>UQ X3比重</t>
  </si>
  <si>
    <t>UQ中文</t>
  </si>
  <si>
    <t>UQ英文</t>
  </si>
  <si>
    <t>UQ數學</t>
  </si>
  <si>
    <t>UQ通識</t>
  </si>
  <si>
    <t>UQ M1/2</t>
  </si>
  <si>
    <t>UQ X1</t>
  </si>
  <si>
    <t>UQ X2</t>
  </si>
  <si>
    <t>UQ X3</t>
  </si>
  <si>
    <t>UQ中文加權後</t>
  </si>
  <si>
    <t>UQ英文加權後</t>
  </si>
  <si>
    <t>UQ數學加權後</t>
  </si>
  <si>
    <t>UQ通識加權後</t>
  </si>
  <si>
    <t>UQ M1/2加權後</t>
  </si>
  <si>
    <t>UQ X1加權後</t>
  </si>
  <si>
    <t>UQ X2加權後</t>
  </si>
  <si>
    <t>UQ X3加權後</t>
  </si>
  <si>
    <t>UQ中文最後揀咗？</t>
  </si>
  <si>
    <t>UQ英文最後揀咗？</t>
  </si>
  <si>
    <t>UQ數學最後揀咗？</t>
  </si>
  <si>
    <t>UQ通識最後揀咗？</t>
  </si>
  <si>
    <t>UQ M1/2最後揀咗？</t>
  </si>
  <si>
    <t>UQ X1最後揀咗？</t>
  </si>
  <si>
    <t>UQ X2最後揀咗？</t>
  </si>
  <si>
    <t>UQ X3最後揀咗？</t>
  </si>
  <si>
    <t>2021加分制</t>
    <phoneticPr fontId="2" type="noConversion"/>
  </si>
  <si>
    <t>2022加分制</t>
    <phoneticPr fontId="2" type="noConversion"/>
  </si>
  <si>
    <t>LQ中文最後揀咗？</t>
    <phoneticPr fontId="2" type="noConversion"/>
  </si>
  <si>
    <t>CityU</t>
    <phoneticPr fontId="2" type="noConversion"/>
  </si>
  <si>
    <t>商學院</t>
  </si>
  <si>
    <t>無</t>
    <phoneticPr fontId="2" type="noConversion"/>
  </si>
  <si>
    <t>JUPAS Band排位</t>
    <phoneticPr fontId="2" type="noConversion"/>
  </si>
  <si>
    <t>面試表現</t>
    <phoneticPr fontId="2" type="noConversion"/>
  </si>
  <si>
    <t>Best 6</t>
    <phoneticPr fontId="2" type="noConversion"/>
  </si>
  <si>
    <t>最佳六科必須包括︰英文、數學</t>
    <phoneticPr fontId="2" type="noConversion"/>
  </si>
  <si>
    <t>法律學院</t>
  </si>
  <si>
    <t>法律學院/商學院</t>
  </si>
  <si>
    <t>法律學學士與工商管理學士(會計)</t>
  </si>
  <si>
    <t>LLB&amp;BBAAC</t>
  </si>
  <si>
    <t>理學院</t>
  </si>
  <si>
    <t>ITME</t>
  </si>
  <si>
    <t>法律學院/理學院</t>
  </si>
  <si>
    <t>賽馬會動物醫學及生命科學院</t>
  </si>
  <si>
    <t>HKU</t>
    <phoneticPr fontId="2" type="noConversion"/>
  </si>
  <si>
    <t>建築學院</t>
  </si>
  <si>
    <t>有</t>
    <phoneticPr fontId="2" type="noConversion"/>
  </si>
  <si>
    <r>
      <t>將考慮甲類及丙類科目，</t>
    </r>
    <r>
      <rPr>
        <b/>
        <sz val="10"/>
        <color theme="1"/>
        <rFont val="微軟正黑體"/>
        <family val="2"/>
        <charset val="136"/>
      </rPr>
      <t>M1/2</t>
    </r>
    <r>
      <rPr>
        <sz val="10"/>
        <color theme="1"/>
        <rFont val="微軟正黑體"/>
        <family val="2"/>
        <charset val="136"/>
      </rPr>
      <t>可被當作一科選修</t>
    </r>
    <phoneticPr fontId="2" type="noConversion"/>
  </si>
  <si>
    <t>可包含 M1/2 或丙類科目 (較高者) 於計算內</t>
    <phoneticPr fontId="2" type="noConversion"/>
  </si>
  <si>
    <t>能力傾向測試  (Aptitude Test)</t>
    <phoneticPr fontId="2" type="noConversion"/>
  </si>
  <si>
    <r>
      <t>申請人須參與</t>
    </r>
    <r>
      <rPr>
        <b/>
        <sz val="10"/>
        <color theme="1"/>
        <rFont val="微軟正黑體"/>
        <family val="2"/>
        <charset val="136"/>
      </rPr>
      <t xml:space="preserve"> 能力傾向測試(Aptitude Test)</t>
    </r>
    <r>
      <rPr>
        <sz val="10"/>
        <color theme="1"/>
        <rFont val="微軟正黑體"/>
        <family val="2"/>
        <charset val="136"/>
      </rPr>
      <t>，詳情可細閱</t>
    </r>
    <r>
      <rPr>
        <b/>
        <sz val="10"/>
        <color theme="1"/>
        <rFont val="微軟正黑體"/>
        <family val="2"/>
        <charset val="136"/>
      </rPr>
      <t>課程網站</t>
    </r>
    <r>
      <rPr>
        <sz val="10"/>
        <color theme="1"/>
        <rFont val="微軟正黑體"/>
        <family val="2"/>
        <charset val="136"/>
      </rPr>
      <t>，受邀申請人亦會於</t>
    </r>
    <r>
      <rPr>
        <b/>
        <sz val="10"/>
        <color theme="1"/>
        <rFont val="微軟正黑體"/>
        <family val="2"/>
        <charset val="136"/>
      </rPr>
      <t>電郵</t>
    </r>
    <r>
      <rPr>
        <sz val="10"/>
        <color theme="1"/>
        <rFont val="微軟正黑體"/>
        <family val="2"/>
        <charset val="136"/>
      </rPr>
      <t>收到相應指示</t>
    </r>
    <r>
      <rPr>
        <b/>
        <sz val="10"/>
        <color theme="1"/>
        <rFont val="微軟正黑體"/>
        <family val="2"/>
        <charset val="136"/>
      </rPr>
      <t>。</t>
    </r>
    <phoneticPr fontId="2" type="noConversion"/>
  </si>
  <si>
    <t xml:space="preserve">	BSC(SURV)</t>
  </si>
  <si>
    <t>Best 5</t>
    <phoneticPr fontId="2" type="noConversion"/>
  </si>
  <si>
    <r>
      <t>將考慮甲類及丙類科目，但</t>
    </r>
    <r>
      <rPr>
        <b/>
        <sz val="10"/>
        <color theme="1"/>
        <rFont val="微軟正黑體"/>
        <family val="2"/>
        <charset val="136"/>
      </rPr>
      <t>不包括M1/2</t>
    </r>
    <phoneticPr fontId="2" type="noConversion"/>
  </si>
  <si>
    <t>可包含 M1/2 或丙類科目 (較高者) 於計算內</t>
  </si>
  <si>
    <t>學生學習概覽 (SLP)</t>
    <phoneticPr fontId="2" type="noConversion"/>
  </si>
  <si>
    <t>其他科目</t>
    <phoneticPr fontId="2" type="noConversion"/>
  </si>
  <si>
    <t xml:space="preserve">	BA(LS)</t>
  </si>
  <si>
    <t>作品集 (Portfolio)</t>
    <phoneticPr fontId="2" type="noConversion"/>
  </si>
  <si>
    <t>申請人可遞交 一份 創意作品 (如 畫作、寫作 或 任何創作) 供學系作考慮。作品集 及 推薦信(如有) 應直接以紙本方式向學系遞交。</t>
    <phoneticPr fontId="2" type="noConversion"/>
  </si>
  <si>
    <t xml:space="preserve">	BA(US)</t>
  </si>
  <si>
    <t>文學院</t>
  </si>
  <si>
    <t xml:space="preserve">	BA</t>
  </si>
  <si>
    <t>最佳五科必須包括︰英文</t>
    <phoneticPr fontId="2" type="noConversion"/>
  </si>
  <si>
    <t>Lv.5/5*/5** 數量</t>
    <phoneticPr fontId="2" type="noConversion"/>
  </si>
  <si>
    <t>JS6286</t>
  </si>
  <si>
    <t>文學士(人文及數碼科技)</t>
  </si>
  <si>
    <t>BA(HDT)</t>
  </si>
  <si>
    <t>2022年新科目</t>
    <phoneticPr fontId="2" type="noConversion"/>
  </si>
  <si>
    <t>經濟及工商管理學院</t>
  </si>
  <si>
    <t xml:space="preserve">	BEcon/BEcon&amp;Fin</t>
  </si>
  <si>
    <t xml:space="preserve">	BBA/BBA(Acc&amp;Fin)</t>
  </si>
  <si>
    <t xml:space="preserve">	BFin(AMPB)</t>
  </si>
  <si>
    <t xml:space="preserve">	BBA(IS)</t>
  </si>
  <si>
    <t xml:space="preserve">	BBA(Law)&amp;LLB</t>
  </si>
  <si>
    <t xml:space="preserve">	BSc(QFin)</t>
  </si>
  <si>
    <t>牙醫學院</t>
  </si>
  <si>
    <t>教育學院</t>
  </si>
  <si>
    <t xml:space="preserve">	BA&amp;BED(LangEd)-Chin</t>
  </si>
  <si>
    <t xml:space="preserve">	BED(ECE&amp;SE)</t>
  </si>
  <si>
    <t xml:space="preserve">	BED&amp;BSC</t>
  </si>
  <si>
    <t xml:space="preserve">	BSC(SPEECH)</t>
  </si>
  <si>
    <t>工程學院</t>
  </si>
  <si>
    <t xml:space="preserve">	BENG(BME)</t>
  </si>
  <si>
    <t xml:space="preserve">	BENG(EngSc)</t>
  </si>
  <si>
    <t xml:space="preserve">	BENG</t>
  </si>
  <si>
    <t xml:space="preserve">	BA&amp;LLB</t>
  </si>
  <si>
    <t xml:space="preserve">	LLB</t>
  </si>
  <si>
    <t>醫學院</t>
  </si>
  <si>
    <t xml:space="preserve">	MBBS</t>
  </si>
  <si>
    <t xml:space="preserve">	BNURS</t>
  </si>
  <si>
    <t>JS6470</t>
  </si>
  <si>
    <t>理學士(生物訊息學)</t>
  </si>
  <si>
    <t>BSc(Bioinformatics)</t>
  </si>
  <si>
    <t xml:space="preserve">	BBiomedSc</t>
  </si>
  <si>
    <t xml:space="preserve">	BSC(AC)</t>
  </si>
  <si>
    <t xml:space="preserve">	BSC</t>
  </si>
  <si>
    <t>社會科學院</t>
  </si>
  <si>
    <t>心理學學士</t>
  </si>
  <si>
    <t>BPsych</t>
  </si>
  <si>
    <t xml:space="preserve">	BSS</t>
  </si>
  <si>
    <t xml:space="preserve">	BSS(GL)&amp;LLB</t>
  </si>
  <si>
    <t xml:space="preserve">	BJ</t>
  </si>
  <si>
    <t>文理學士學位</t>
  </si>
  <si>
    <t xml:space="preserve">	BASc</t>
  </si>
  <si>
    <t xml:space="preserve">	BASc(Design+)</t>
  </si>
  <si>
    <t xml:space="preserve">	BASc(FinTech)</t>
  </si>
  <si>
    <t xml:space="preserve">	BASc(GHD)</t>
  </si>
  <si>
    <t>中國語文</t>
    <phoneticPr fontId="2" type="noConversion"/>
  </si>
  <si>
    <t>英國語文</t>
    <phoneticPr fontId="2" type="noConversion"/>
  </si>
  <si>
    <t>數學</t>
    <phoneticPr fontId="2" type="noConversion"/>
  </si>
  <si>
    <t>通識教育</t>
    <phoneticPr fontId="2" type="noConversion"/>
  </si>
  <si>
    <t>數學延伸</t>
    <phoneticPr fontId="2" type="noConversion"/>
  </si>
  <si>
    <t>For All in ONE</t>
    <phoneticPr fontId="2" type="noConversion"/>
  </si>
  <si>
    <t>M1/2?</t>
    <phoneticPr fontId="2" type="noConversion"/>
  </si>
  <si>
    <t>Cat C</t>
    <phoneticPr fontId="2" type="noConversion"/>
  </si>
  <si>
    <t>ApL</t>
    <phoneticPr fontId="2" type="noConversion"/>
  </si>
  <si>
    <t>入學要求</t>
    <phoneticPr fontId="2" type="noConversion"/>
  </si>
  <si>
    <t>v</t>
    <phoneticPr fontId="2" type="noConversion"/>
  </si>
  <si>
    <t>E</t>
    <phoneticPr fontId="2" type="noConversion"/>
  </si>
  <si>
    <t>NO</t>
    <phoneticPr fontId="2" type="noConversion"/>
  </si>
  <si>
    <t>JS1051</t>
    <phoneticPr fontId="2" type="noConversion"/>
  </si>
  <si>
    <t>JS1201</t>
    <phoneticPr fontId="2" type="noConversion"/>
  </si>
  <si>
    <t>E3</t>
  </si>
  <si>
    <t>E4</t>
  </si>
  <si>
    <t>JS1200</t>
    <phoneticPr fontId="2" type="noConversion"/>
  </si>
  <si>
    <t>M1/2</t>
    <phoneticPr fontId="2" type="noConversion"/>
  </si>
  <si>
    <t>PolyU</t>
    <phoneticPr fontId="2" type="noConversion"/>
  </si>
  <si>
    <t>CUHK</t>
    <phoneticPr fontId="2" type="noConversion"/>
  </si>
  <si>
    <t>工商管理學士（工商管理學士綜合課程）及法律博士</t>
  </si>
  <si>
    <t>文學士及教育學士 (中國語文教育) 同期結業雙學位課程</t>
  </si>
  <si>
    <t>4C3X</t>
    <phoneticPr fontId="2" type="noConversion"/>
  </si>
  <si>
    <t>UST</t>
  </si>
  <si>
    <t>英數Best3</t>
  </si>
  <si>
    <t>JS5181</t>
    <phoneticPr fontId="2" type="noConversion"/>
  </si>
  <si>
    <t>JS5282</t>
    <phoneticPr fontId="2" type="noConversion"/>
  </si>
  <si>
    <t>英數Best4</t>
  </si>
  <si>
    <t>英數Best4</t>
    <phoneticPr fontId="2" type="noConversion"/>
  </si>
  <si>
    <t>中英Best4</t>
    <phoneticPr fontId="2" type="noConversion"/>
  </si>
  <si>
    <t>LingU</t>
  </si>
  <si>
    <t>4C1X</t>
  </si>
  <si>
    <t>護理學榮譽學士</t>
  </si>
  <si>
    <t>數碼娛樂科技榮譽理學士</t>
  </si>
  <si>
    <t>物理治療學（榮譽）理學士</t>
  </si>
  <si>
    <t>人工智能（榮譽）理學士</t>
  </si>
  <si>
    <t>建築學（榮譽）理學士</t>
  </si>
  <si>
    <t>資訊科學（榮譽）理學士</t>
  </si>
  <si>
    <t>傳播及跨媒體（榮譽）文學士</t>
  </si>
  <si>
    <t>供應鏈管理工商管理（榮譽）學士</t>
  </si>
  <si>
    <t>精算及保險 （榮譽）理學士</t>
  </si>
  <si>
    <t>應用及人本計算學（榮譽）文學士</t>
  </si>
  <si>
    <t>數據科學及商業智能學（榮譽）理學士</t>
  </si>
  <si>
    <t>管理科學與資訊管理（榮譽）學士</t>
  </si>
  <si>
    <t>藝術設計（榮譽）文學士</t>
  </si>
  <si>
    <t>護理學（榮譽）健康科學學士</t>
  </si>
  <si>
    <t>醫療化驗科學（榮譽）理學士</t>
  </si>
  <si>
    <t>放射治療學（榮譽）理學士</t>
  </si>
  <si>
    <t>職業治療學（榮譽）理學士</t>
  </si>
  <si>
    <t>物理治療學(榮譽)理學士</t>
  </si>
  <si>
    <t>創意寫作與電影藝術榮譽文學士</t>
  </si>
  <si>
    <t>動畫及視覺特效榮譽藝術學士</t>
  </si>
  <si>
    <t>影像設計及數碼藝術榮譽藝術學士</t>
  </si>
  <si>
    <t>護理學榮譽學士（普通科）</t>
  </si>
  <si>
    <t>護理學榮譽學士（精神科）</t>
  </si>
  <si>
    <t>物理治療學榮譽理學士</t>
  </si>
  <si>
    <t>檢測科學和認證榮譽理學士</t>
  </si>
  <si>
    <t>食品測試科學榮譽理學士</t>
  </si>
  <si>
    <t>數據科學及人工智能榮譽理學士</t>
  </si>
  <si>
    <t>互聯網科技榮譽電腦學學士</t>
  </si>
  <si>
    <t>國際款待及景區管理榮譽學士</t>
  </si>
  <si>
    <t>運動及康樂管理榮譽學士</t>
  </si>
  <si>
    <t>金融科技及創新榮譽工商管理學士</t>
  </si>
  <si>
    <t>環球市場及供應鏈榮譽工商管理學士</t>
  </si>
  <si>
    <t>時裝設計（榮譽）文學士</t>
  </si>
  <si>
    <t>產品設計（榮譽）文學士</t>
  </si>
  <si>
    <t>園境建築（榮譽）文學士</t>
  </si>
  <si>
    <t>廚藝及管理（榮譽）文學士</t>
  </si>
  <si>
    <t>土木工程（榮譽）工學士</t>
  </si>
  <si>
    <t>園藝樹藝及園境管理（榮譽）理學士</t>
  </si>
  <si>
    <t>測量學（榮譽）理學士</t>
  </si>
  <si>
    <t>營運及管理（榮譽）航空學士</t>
  </si>
  <si>
    <t>金融科技（榮譽）商學士</t>
  </si>
  <si>
    <t>總分</t>
  </si>
  <si>
    <t>最高分選修科</t>
    <phoneticPr fontId="2" type="noConversion"/>
  </si>
  <si>
    <t>等級</t>
  </si>
  <si>
    <t>BU</t>
    <phoneticPr fontId="2" type="noConversion"/>
  </si>
  <si>
    <t>數字模式</t>
    <phoneticPr fontId="2" type="noConversion"/>
  </si>
  <si>
    <t>成績(以星星表示)</t>
    <phoneticPr fontId="2" type="noConversion"/>
  </si>
  <si>
    <t>原始輸入</t>
    <phoneticPr fontId="2" type="noConversion"/>
  </si>
  <si>
    <t>防錯</t>
    <phoneticPr fontId="2" type="noConversion"/>
  </si>
  <si>
    <t>UST</t>
    <phoneticPr fontId="2" type="noConversion"/>
  </si>
  <si>
    <t>轉換後成績</t>
    <phoneticPr fontId="2" type="noConversion"/>
  </si>
  <si>
    <t>EdU</t>
  </si>
  <si>
    <t>Thei</t>
    <phoneticPr fontId="2" type="noConversion"/>
  </si>
  <si>
    <t>珠海</t>
    <phoneticPr fontId="2" type="noConversion"/>
  </si>
  <si>
    <t>OUHK</t>
    <phoneticPr fontId="2" type="noConversion"/>
  </si>
  <si>
    <t>無加分制</t>
    <phoneticPr fontId="2" type="noConversion"/>
  </si>
  <si>
    <t>有Retake過?</t>
    <phoneticPr fontId="2" type="noConversion"/>
  </si>
  <si>
    <t>Retake:</t>
    <phoneticPr fontId="2" type="noConversion"/>
  </si>
  <si>
    <t xml:space="preserve">Best 5 </t>
    <phoneticPr fontId="2" type="noConversion"/>
  </si>
  <si>
    <t>Best 5 (M)</t>
    <phoneticPr fontId="2" type="noConversion"/>
  </si>
  <si>
    <t>4C+1X (M)</t>
    <phoneticPr fontId="2" type="noConversion"/>
  </si>
  <si>
    <t>包括M1/2</t>
    <phoneticPr fontId="2" type="noConversion"/>
  </si>
  <si>
    <t>Best 6 (M)</t>
    <phoneticPr fontId="2" type="noConversion"/>
  </si>
  <si>
    <t>4C+2X (M)</t>
    <phoneticPr fontId="2" type="noConversion"/>
  </si>
  <si>
    <t>4C+1X</t>
    <phoneticPr fontId="2" type="noConversion"/>
  </si>
  <si>
    <t>4C+2X</t>
    <phoneticPr fontId="2" type="noConversion"/>
  </si>
  <si>
    <t>JS1210</t>
    <phoneticPr fontId="2" type="noConversion"/>
  </si>
  <si>
    <t>JS1202</t>
    <phoneticPr fontId="2" type="noConversion"/>
  </si>
  <si>
    <t>化學</t>
  </si>
  <si>
    <t>生物</t>
  </si>
  <si>
    <t>HKBU</t>
    <phoneticPr fontId="2" type="noConversion"/>
  </si>
  <si>
    <t>總分</t>
    <phoneticPr fontId="2" type="noConversion"/>
  </si>
  <si>
    <t>JS5101</t>
    <phoneticPr fontId="2" type="noConversion"/>
  </si>
  <si>
    <t>JS5211</t>
    <phoneticPr fontId="2" type="noConversion"/>
  </si>
  <si>
    <t>5%或更少</t>
  </si>
  <si>
    <t>6%-10%</t>
  </si>
  <si>
    <t>JS4601</t>
    <phoneticPr fontId="2" type="noConversion"/>
  </si>
  <si>
    <t>JS4824</t>
    <phoneticPr fontId="2" type="noConversion"/>
  </si>
  <si>
    <t>第二理科</t>
    <phoneticPr fontId="2" type="noConversion"/>
  </si>
  <si>
    <t>JS5102</t>
    <phoneticPr fontId="2" type="noConversion"/>
  </si>
  <si>
    <t>英數Best3</t>
    <phoneticPr fontId="2" type="noConversion"/>
  </si>
  <si>
    <t>JS5811</t>
    <phoneticPr fontId="2" type="noConversion"/>
  </si>
  <si>
    <t>JS5813</t>
    <phoneticPr fontId="2" type="noConversion"/>
  </si>
  <si>
    <t>JS6688</t>
    <phoneticPr fontId="2" type="noConversion"/>
  </si>
  <si>
    <t>JS6949</t>
    <phoneticPr fontId="2" type="noConversion"/>
  </si>
  <si>
    <t>JS6107</t>
    <phoneticPr fontId="2" type="noConversion"/>
  </si>
  <si>
    <t>LingU</t>
    <phoneticPr fontId="2" type="noConversion"/>
  </si>
  <si>
    <t>中國文學</t>
  </si>
  <si>
    <t>英語文學</t>
  </si>
  <si>
    <t>視覺藝術</t>
  </si>
  <si>
    <t>SSSDP</t>
    <phoneticPr fontId="2" type="noConversion"/>
  </si>
  <si>
    <t>JSSA01</t>
    <phoneticPr fontId="2" type="noConversion"/>
  </si>
  <si>
    <t>JSSA03</t>
    <phoneticPr fontId="2" type="noConversion"/>
  </si>
  <si>
    <t>藝術設計（榮譽）文學士</t>
    <phoneticPr fontId="2" type="noConversion"/>
  </si>
  <si>
    <t>4C1X</t>
    <phoneticPr fontId="2" type="noConversion"/>
  </si>
  <si>
    <t>JSST02</t>
    <phoneticPr fontId="2" type="noConversion"/>
  </si>
  <si>
    <t>JSST03</t>
    <phoneticPr fontId="2" type="noConversion"/>
  </si>
  <si>
    <t>JSST04</t>
    <phoneticPr fontId="2" type="noConversion"/>
  </si>
  <si>
    <t>物理治療學榮譽理學士</t>
    <phoneticPr fontId="2" type="noConversion"/>
  </si>
  <si>
    <t>食品測試科學榮譽理學士</t>
    <phoneticPr fontId="2" type="noConversion"/>
  </si>
  <si>
    <t>數據科學及人工智能榮譽理學士</t>
    <phoneticPr fontId="2" type="noConversion"/>
  </si>
  <si>
    <t>JSSV05</t>
    <phoneticPr fontId="2" type="noConversion"/>
  </si>
  <si>
    <t>JSSY01</t>
    <phoneticPr fontId="2" type="noConversion"/>
  </si>
  <si>
    <t>Total</t>
  </si>
  <si>
    <t>申請人數</t>
  </si>
  <si>
    <t>醫療及社會科學院</t>
  </si>
  <si>
    <t>放榜後</t>
    <phoneticPr fontId="2" type="noConversion"/>
  </si>
  <si>
    <t>放榜前+後</t>
    <phoneticPr fontId="2" type="noConversion"/>
  </si>
  <si>
    <t>工商管理學院</t>
  </si>
  <si>
    <t>放榜前</t>
    <phoneticPr fontId="2" type="noConversion"/>
  </si>
  <si>
    <t>設計學院</t>
    <phoneticPr fontId="2" type="noConversion"/>
  </si>
  <si>
    <t xml:space="preserve">	NURSING</t>
  </si>
  <si>
    <t>醫療及社會科學院</t>
    <phoneticPr fontId="2" type="noConversion"/>
  </si>
  <si>
    <t xml:space="preserve">	SOCIAL WORK</t>
  </si>
  <si>
    <t>人文學院</t>
  </si>
  <si>
    <t>酒店及旅遊業管理學院</t>
  </si>
  <si>
    <t>工商管理學院</t>
    <phoneticPr fontId="2" type="noConversion"/>
  </si>
  <si>
    <t>Mean</t>
    <phoneticPr fontId="2" type="noConversion"/>
  </si>
  <si>
    <t>*理大自2020/21年度起推出「加分制」，考獲5級或以上學科將獲額外加分。( Lv.5 -&gt; 5.5 | Lv.5* -&gt; 7 | Lv. 5** -&gt;8.5)</t>
    <phoneticPr fontId="2" type="noConversion"/>
  </si>
  <si>
    <t>*理大的計分方式比較獨特，其比重計算方式如下︰被列作「最高比重」的科目，將會乘以 10倍 比重 ； 核心科目 (4C) 作最少會乘以 7倍 ；至於其他選修科目，則會乘以 5 或 7 倍 的比重。</t>
    <phoneticPr fontId="2" type="noConversion"/>
  </si>
  <si>
    <t>*「最佳X科」的計算方式，則是先計算「加分制」，再計算上述比重，最後從已計算比重的科目中挑選最高分者。</t>
    <phoneticPr fontId="2" type="noConversion"/>
  </si>
  <si>
    <t xml:space="preserve">*假設某同學考獲 物理 Lv.3 、化學 Lv.4，而比重為︰物理 x7、化學 x5，兩者選其一時則會是選擇 物理，因為 3x7(21) 大於 4x5(20) </t>
    <phoneticPr fontId="2" type="noConversion"/>
  </si>
  <si>
    <t>*無「最高比重」的學科 (即 JS3662 及 JS3765)，將會先計算比重 (核心科目 x 7、選修 x 5)，再以其計分方式計算 (如 4C2X，則會將4科主科分數相加，再加上最高的2科選修)。</t>
    <phoneticPr fontId="2" type="noConversion"/>
  </si>
  <si>
    <t>*而選修有「最高比重」的學科 (如 JS3650)，由於理大並未有列出參考分數的選修科目，此處保守起見，將會假設參考分數的選修科均有最大比重，故估算分數或會高於真實分數，請注意。</t>
    <phoneticPr fontId="2" type="noConversion"/>
  </si>
  <si>
    <t>*以JS3650為例，其「最高比重」科目為 「英文、數學、M1/2、生物、化學、物理、組合科學」</t>
    <phoneticPr fontId="2" type="noConversion"/>
  </si>
  <si>
    <t>*部份學科 (如 JS3777) 或會列出兩科「最高比重」 (JS3777: 物理、組合科學(物理))，但此處只會為其中一科的選修作最高估算。</t>
    <phoneticPr fontId="2" type="noConversion"/>
  </si>
  <si>
    <t>*原因是現實中修讀「單一科學」(如 物理) 的同學，並不能同時修讀含有其成份的組合科學 (即 組合科學(物理、化學) 及 (物理、生物))。</t>
    <phoneticPr fontId="2" type="noConversion"/>
  </si>
  <si>
    <t>*故此其分數必然不可能有兩科選修有最高比重，故此類情況將只有估算其中一科作最高比重。</t>
    <phoneticPr fontId="2" type="noConversion"/>
  </si>
  <si>
    <t>*此外，因為此處將參考分數的比重儘量向上估算，部份學科或會出現估算後 下四分位數(LQ) 高於 中位數 (Median) 的情況。</t>
    <phoneticPr fontId="2" type="noConversion"/>
  </si>
  <si>
    <t>*經考慮後，此類學科的估算會作適量的調整，以免同學高估自己的入學機會。</t>
    <phoneticPr fontId="2" type="noConversion"/>
  </si>
  <si>
    <t xml:space="preserve">*調整過的學科有: </t>
    <phoneticPr fontId="2" type="noConversion"/>
  </si>
  <si>
    <t>*JS3375: 下四分位數只有兩科選修比重作 x10，剩餘選修 x5</t>
  </si>
  <si>
    <t>*JS3387: 中位數的其中一科選修比重作 x7，並非 x5</t>
  </si>
  <si>
    <t>*JS3466: 中位數的其中一科選修比重作 x7，並非 x5</t>
  </si>
  <si>
    <t>*JS3478: 下四分位數只有一科選修比重作 x10，其他選修 x5</t>
  </si>
  <si>
    <t>*JS3557: 中位數的其中一科選修比重作 x7，並非 x5</t>
  </si>
  <si>
    <t>*JS3636: 下四分位數的第二科選修比重作 x7，並非 x10</t>
  </si>
  <si>
    <t>*JS3674: 中位數的其中一科選修比重作 x7，並非 x5</t>
  </si>
  <si>
    <t>*為了公平比較往年數據，新學年修改了比重的學科 (如 JS3375) 在此處將繼續以往年比重估算，請注意。</t>
    <phoneticPr fontId="2" type="noConversion"/>
  </si>
  <si>
    <t>https://www51.polyu.edu.hk/eprospectus/ug/jupas/programme-requirements</t>
    <phoneticPr fontId="2" type="noConversion"/>
  </si>
  <si>
    <t>https://www51.polyu.edu.hk/eprospectus/ug/jupas/admission-selection</t>
    <phoneticPr fontId="2" type="noConversion"/>
  </si>
  <si>
    <t>https://www51.polyu.edu.hk/eprospectus/ug/jupas/interview-arrangement</t>
    <phoneticPr fontId="2" type="noConversion"/>
  </si>
  <si>
    <t>https://www.polyu.edu.hk/aradm/jupas/admission_figures.pdf</t>
    <phoneticPr fontId="2" type="noConversion"/>
  </si>
  <si>
    <t>編號</t>
    <phoneticPr fontId="2" type="noConversion"/>
  </si>
  <si>
    <t>文學院</t>
    <phoneticPr fontId="2" type="noConversion"/>
  </si>
  <si>
    <t>傳理學院</t>
  </si>
  <si>
    <t>由於浸大每年除了公佈平均分外，亦會公佈各分布位置(中位數、下四分位數)的同學的詳細分數，故此處即以其細分 加以比重 作估算。</t>
    <phoneticPr fontId="2" type="noConversion"/>
  </si>
  <si>
    <t>*而選修有比重的學科 (如 JS2420)，由於浸大並未有列出參考分數的選修科目，此處保守起見，將會假設參考分數的選修科均有最大比重，故估算分數或會高於真實分數，請注意。</t>
    <phoneticPr fontId="2" type="noConversion"/>
  </si>
  <si>
    <t>*為了公平比較往年數據，新學年修改了計分方式的學科 (如 JS2510) 在此處將繼續以往年方式估算，請注意。</t>
    <phoneticPr fontId="2" type="noConversion"/>
  </si>
  <si>
    <t>https://admissions.hkbu.edu.hk/en/hkdse.html</t>
    <phoneticPr fontId="2" type="noConversion"/>
  </si>
  <si>
    <t>https://admissions.hkbu.edu.hk/en/programmes-offer.html</t>
  </si>
  <si>
    <t>等級</t>
    <phoneticPr fontId="4" type="noConversion"/>
  </si>
  <si>
    <t>選修科</t>
    <phoneticPr fontId="2" type="noConversion"/>
  </si>
  <si>
    <t>第一選修科</t>
    <phoneticPr fontId="2" type="noConversion"/>
  </si>
  <si>
    <t>第二選修科</t>
    <phoneticPr fontId="2" type="noConversion"/>
  </si>
  <si>
    <t>第三選修科</t>
    <phoneticPr fontId="2" type="noConversion"/>
  </si>
  <si>
    <t>第四選修科</t>
  </si>
  <si>
    <t>丙類選修科</t>
  </si>
  <si>
    <t>丙類科目等級</t>
    <phoneticPr fontId="4" type="noConversion"/>
  </si>
  <si>
    <t>2020年</t>
    <phoneticPr fontId="2" type="noConversion"/>
  </si>
  <si>
    <t>差距(UQ)</t>
    <phoneticPr fontId="2" type="noConversion"/>
  </si>
  <si>
    <t>請選擇等級</t>
    <phoneticPr fontId="4" type="noConversion"/>
  </si>
  <si>
    <t>請選擇第一選修科</t>
    <phoneticPr fontId="2" type="noConversion"/>
  </si>
  <si>
    <t>請選擇第二選修科</t>
    <phoneticPr fontId="2" type="noConversion"/>
  </si>
  <si>
    <t>請選擇第三選修科</t>
    <phoneticPr fontId="2" type="noConversion"/>
  </si>
  <si>
    <t>請選擇第四選修科</t>
    <phoneticPr fontId="2" type="noConversion"/>
  </si>
  <si>
    <t>請選擇語言科目</t>
    <phoneticPr fontId="2" type="noConversion"/>
  </si>
  <si>
    <t>2019年</t>
    <phoneticPr fontId="2" type="noConversion"/>
  </si>
  <si>
    <t>差距(Median)</t>
    <phoneticPr fontId="2" type="noConversion"/>
  </si>
  <si>
    <t>5**</t>
    <phoneticPr fontId="4" type="noConversion"/>
  </si>
  <si>
    <t>物理</t>
  </si>
  <si>
    <t>法語</t>
  </si>
  <si>
    <t>A</t>
    <phoneticPr fontId="4" type="noConversion"/>
  </si>
  <si>
    <t>2018年</t>
    <phoneticPr fontId="2" type="noConversion"/>
  </si>
  <si>
    <t>差距(LQ)</t>
    <phoneticPr fontId="2" type="noConversion"/>
  </si>
  <si>
    <t>5*</t>
    <phoneticPr fontId="4" type="noConversion"/>
  </si>
  <si>
    <t>日語</t>
  </si>
  <si>
    <t>B</t>
    <phoneticPr fontId="4" type="noConversion"/>
  </si>
  <si>
    <t>德語</t>
  </si>
  <si>
    <t>C</t>
    <phoneticPr fontId="4" type="noConversion"/>
  </si>
  <si>
    <t>經濟</t>
  </si>
  <si>
    <t>印地語</t>
  </si>
  <si>
    <t>D</t>
    <phoneticPr fontId="4" type="noConversion"/>
  </si>
  <si>
    <t>地理</t>
  </si>
  <si>
    <t>西班牙語</t>
  </si>
  <si>
    <t>E</t>
    <phoneticPr fontId="4" type="noConversion"/>
  </si>
  <si>
    <t>烏爾都語</t>
  </si>
  <si>
    <t>U</t>
    <phoneticPr fontId="4" type="noConversion"/>
  </si>
  <si>
    <t>體育</t>
  </si>
  <si>
    <t>中國歷史</t>
  </si>
  <si>
    <t>綜合科學</t>
  </si>
  <si>
    <t>組合科學(物理、化學)</t>
    <phoneticPr fontId="2" type="noConversion"/>
  </si>
  <si>
    <t>組合科學(生物、化學)</t>
    <phoneticPr fontId="2" type="noConversion"/>
  </si>
  <si>
    <t>組合科學(物理、生物)</t>
    <phoneticPr fontId="2" type="noConversion"/>
  </si>
  <si>
    <t>旅遊與款待</t>
  </si>
  <si>
    <t>倫理與宗教</t>
  </si>
  <si>
    <t>科技與生活</t>
  </si>
  <si>
    <t>已選擇科目</t>
    <phoneticPr fontId="2" type="noConversion"/>
  </si>
  <si>
    <t>設計與應用科技</t>
    <phoneticPr fontId="2" type="noConversion"/>
  </si>
  <si>
    <t>Year</t>
  </si>
  <si>
    <t>EdUHK</t>
    <phoneticPr fontId="2" type="noConversion"/>
  </si>
  <si>
    <t>JS1091</t>
  </si>
  <si>
    <t>JS1093</t>
  </si>
  <si>
    <t>JS2680</t>
  </si>
  <si>
    <t>JS3765</t>
    <phoneticPr fontId="2" type="noConversion"/>
  </si>
  <si>
    <t>JS3777</t>
    <phoneticPr fontId="2" type="noConversion"/>
  </si>
  <si>
    <t xml:space="preserve">	CHI LANG &amp; LIT</t>
  </si>
  <si>
    <t xml:space="preserve">	CULTURAL STUDIES</t>
  </si>
  <si>
    <t xml:space="preserve">	CULTURAL MANAGEMENT</t>
  </si>
  <si>
    <t xml:space="preserve">	ENGLISH</t>
  </si>
  <si>
    <t xml:space="preserve">	LINGUISTICS</t>
  </si>
  <si>
    <t xml:space="preserve">	MUSIC</t>
  </si>
  <si>
    <t xml:space="preserve">	PHILOSOPHY</t>
  </si>
  <si>
    <t xml:space="preserve">	RELIGION</t>
  </si>
  <si>
    <t xml:space="preserve">	CHINESE STUDIES</t>
  </si>
  <si>
    <t xml:space="preserve">	INTEGRATED BBA</t>
  </si>
  <si>
    <t xml:space="preserve">	IFAA</t>
  </si>
  <si>
    <t xml:space="preserve">	PROF ACCOUNTANCY</t>
  </si>
  <si>
    <t xml:space="preserve">	QFIN</t>
  </si>
  <si>
    <t>商學院/社會科學院</t>
  </si>
  <si>
    <t>商學院/法學院</t>
  </si>
  <si>
    <t xml:space="preserve">	BBA-JD</t>
  </si>
  <si>
    <t>商學院/理學院</t>
  </si>
  <si>
    <t xml:space="preserve">	QFRM</t>
  </si>
  <si>
    <t xml:space="preserve">	PHY ED, EX SCI &amp; HEALTH</t>
  </si>
  <si>
    <t xml:space="preserve">	BA (CHI) BEd (CHI EDU)</t>
  </si>
  <si>
    <t xml:space="preserve">	BA (ENG) BEd (ENG EDU)</t>
  </si>
  <si>
    <t xml:space="preserve">	BEd (ECE)</t>
  </si>
  <si>
    <t xml:space="preserve">	ENGINEERING</t>
  </si>
  <si>
    <t xml:space="preserve">	BENG FINTECH</t>
  </si>
  <si>
    <t xml:space="preserve">	BMEG</t>
  </si>
  <si>
    <t xml:space="preserve">	AIST</t>
  </si>
  <si>
    <t xml:space="preserve">	PUBLIC HEALTH</t>
  </si>
  <si>
    <t xml:space="preserve">	BIOMEDICAL SCIENCES</t>
  </si>
  <si>
    <t xml:space="preserve">	SCIENCE</t>
  </si>
  <si>
    <t xml:space="preserve">	ESSC (AS / GEO)</t>
  </si>
  <si>
    <t>JS4682</t>
    <phoneticPr fontId="2" type="noConversion"/>
  </si>
  <si>
    <t xml:space="preserve">	ENRICHMENT MATHEMATICS</t>
  </si>
  <si>
    <t xml:space="preserve">	THEORETICAL PHYSICS</t>
  </si>
  <si>
    <t xml:space="preserve">	RISK MGT SCI</t>
  </si>
  <si>
    <t xml:space="preserve">	ARCHITECTURE</t>
  </si>
  <si>
    <t xml:space="preserve">	ECONOMICS</t>
  </si>
  <si>
    <t xml:space="preserve">	URBAN STUDIES</t>
  </si>
  <si>
    <t xml:space="preserve">	GOV'T &amp; PUBLIC ADMIN</t>
  </si>
  <si>
    <t xml:space="preserve">	GLOBAL COMM</t>
  </si>
  <si>
    <t xml:space="preserve">	SOCIOLOGY</t>
  </si>
  <si>
    <t xml:space="preserve">	DSPS</t>
  </si>
  <si>
    <t>法學院</t>
  </si>
  <si>
    <t>*中大自2019/20年度起推出「加分制」，考獲5級或以上學科將獲額外加分。( Lv.5 -&gt; 5.5 | Lv.5* -&gt; 7 | Lv. 5** -&gt;8.5) (JS4501及JS4502 除外)</t>
    <phoneticPr fontId="2" type="noConversion"/>
  </si>
  <si>
    <t>*放榜後 面試日期暫為 七月尾至八月頭 (30 Jul to early Aug 2021)。</t>
    <phoneticPr fontId="2" type="noConversion"/>
  </si>
  <si>
    <t>由於中大每年除了公佈平均分外，亦會公佈各分布位置(上四分位數、中位數、下四分位數)的同學的詳細分數，故此處即以其細分 加以比重 作估算。</t>
    <phoneticPr fontId="2" type="noConversion"/>
  </si>
  <si>
    <t>*所有科目先計算「加分制」，再計算上述比重，最後從已計算比重的科目中挑選最高分者。</t>
    <phoneticPr fontId="2" type="noConversion"/>
  </si>
  <si>
    <t>*無比重的學科 (如 JS4537)，將直接以其計分方式計算 (如 Best 5，將會將計算「加分制」後最高的5科相加)。</t>
    <phoneticPr fontId="2" type="noConversion"/>
  </si>
  <si>
    <t>*只有主科有比重的學科 (如 JS4862)，則會直接為主科計算比重，然後再加上剩餘科目分數。</t>
    <phoneticPr fontId="2" type="noConversion"/>
  </si>
  <si>
    <t>*而選修有比重的學科 (如 JS4401)，由於中大並未有列出參考分數的選修科目，此處保守起見，將會假設參考分數的選修科均有最大比重，故估算分數或會高於真實分數，請注意。</t>
    <phoneticPr fontId="2" type="noConversion"/>
  </si>
  <si>
    <t>*以JS4401為例，其比重為 「M1/2」x1.75 、「數學、物理、生物、化學、組合科學、ICT、DAT」x1.5 、「通識」x0.5</t>
    <phoneticPr fontId="2" type="noConversion"/>
  </si>
  <si>
    <r>
      <t>*其中位數詳細分數為︰中文 5* 、英文 3 、數學 4 、通識 4 、選修一  4 、選修二  4 、 M1/2  3 ，此處將假設其兩科選修</t>
    </r>
    <r>
      <rPr>
        <b/>
        <sz val="10"/>
        <color theme="1"/>
        <rFont val="微軟正黑體"/>
        <family val="2"/>
        <charset val="136"/>
      </rPr>
      <t>「食中曬比重」</t>
    </r>
    <r>
      <rPr>
        <sz val="10"/>
        <color theme="1"/>
        <rFont val="微軟正黑體"/>
        <family val="2"/>
        <charset val="136"/>
      </rPr>
      <t>，即為 「物理、生物…等」(x1.5)。</t>
    </r>
    <phoneticPr fontId="2" type="noConversion"/>
  </si>
  <si>
    <r>
      <t>*計算比重後，分數為︰中文 7 (</t>
    </r>
    <r>
      <rPr>
        <b/>
        <sz val="10"/>
        <color theme="1"/>
        <rFont val="微軟正黑體"/>
        <family val="2"/>
        <charset val="136"/>
      </rPr>
      <t>7</t>
    </r>
    <r>
      <rPr>
        <sz val="10"/>
        <color theme="1"/>
        <rFont val="微軟正黑體"/>
        <family val="2"/>
        <charset val="136"/>
      </rPr>
      <t>)、英文 3 (</t>
    </r>
    <r>
      <rPr>
        <b/>
        <sz val="10"/>
        <color theme="1"/>
        <rFont val="微軟正黑體"/>
        <family val="2"/>
        <charset val="136"/>
      </rPr>
      <t>3</t>
    </r>
    <r>
      <rPr>
        <sz val="10"/>
        <color theme="1"/>
        <rFont val="微軟正黑體"/>
        <family val="2"/>
        <charset val="136"/>
      </rPr>
      <t>) 、數學 4x1.5 (</t>
    </r>
    <r>
      <rPr>
        <b/>
        <sz val="10"/>
        <color theme="1"/>
        <rFont val="微軟正黑體"/>
        <family val="2"/>
        <charset val="136"/>
      </rPr>
      <t>6</t>
    </r>
    <r>
      <rPr>
        <sz val="10"/>
        <color theme="1"/>
        <rFont val="微軟正黑體"/>
        <family val="2"/>
        <charset val="136"/>
      </rPr>
      <t>) 、通識 4x0.5 (</t>
    </r>
    <r>
      <rPr>
        <b/>
        <sz val="10"/>
        <color theme="1"/>
        <rFont val="微軟正黑體"/>
        <family val="2"/>
        <charset val="136"/>
      </rPr>
      <t>2</t>
    </r>
    <r>
      <rPr>
        <sz val="10"/>
        <color theme="1"/>
        <rFont val="微軟正黑體"/>
        <family val="2"/>
        <charset val="136"/>
      </rPr>
      <t>) 、選修一  4x1.5 (</t>
    </r>
    <r>
      <rPr>
        <b/>
        <sz val="10"/>
        <color theme="1"/>
        <rFont val="微軟正黑體"/>
        <family val="2"/>
        <charset val="136"/>
      </rPr>
      <t>6</t>
    </r>
    <r>
      <rPr>
        <sz val="10"/>
        <color theme="1"/>
        <rFont val="微軟正黑體"/>
        <family val="2"/>
        <charset val="136"/>
      </rPr>
      <t>) 、選修二  4x1.5 (</t>
    </r>
    <r>
      <rPr>
        <b/>
        <sz val="10"/>
        <color theme="1"/>
        <rFont val="微軟正黑體"/>
        <family val="2"/>
        <charset val="136"/>
      </rPr>
      <t>6</t>
    </r>
    <r>
      <rPr>
        <sz val="10"/>
        <color theme="1"/>
        <rFont val="微軟正黑體"/>
        <family val="2"/>
        <charset val="136"/>
      </rPr>
      <t>) 、 M1/2  3x1.75 (</t>
    </r>
    <r>
      <rPr>
        <b/>
        <sz val="10"/>
        <color theme="1"/>
        <rFont val="微軟正黑體"/>
        <family val="2"/>
        <charset val="136"/>
      </rPr>
      <t>5.25</t>
    </r>
    <r>
      <rPr>
        <sz val="10"/>
        <color theme="1"/>
        <rFont val="微軟正黑體"/>
        <family val="2"/>
        <charset val="136"/>
      </rPr>
      <t>)</t>
    </r>
    <phoneticPr fontId="2" type="noConversion"/>
  </si>
  <si>
    <r>
      <t xml:space="preserve">*最後以其計分方式，即 Best 5 作挑選，得出︰7 + 6 + 6 + 6 + 5.25 = </t>
    </r>
    <r>
      <rPr>
        <b/>
        <sz val="10"/>
        <color theme="1"/>
        <rFont val="微軟正黑體"/>
        <family val="2"/>
        <charset val="136"/>
      </rPr>
      <t>30.25</t>
    </r>
    <phoneticPr fontId="2" type="noConversion"/>
  </si>
  <si>
    <t>*為了公平比較往年數據，新學年修改了計分方式 或 比重的學科 (如 JS4254、JS4812) 在此處將繼續以往年方式 或 比重估算，請注意。</t>
    <phoneticPr fontId="2" type="noConversion"/>
  </si>
  <si>
    <t>125*</t>
    <phoneticPr fontId="2" type="noConversion"/>
  </si>
  <si>
    <t>由於科大每年均會直接公佈加權後分數 (即已計算比重)，故此處直接引用科大數字，未有作任何估算。</t>
    <phoneticPr fontId="2" type="noConversion"/>
  </si>
  <si>
    <t>https://join.ust.hk/admissions/jupas</t>
    <phoneticPr fontId="2" type="noConversion"/>
  </si>
  <si>
    <t>https://join.ust.hk/admissions/jupas#jupas-interview</t>
    <phoneticPr fontId="2" type="noConversion"/>
  </si>
  <si>
    <t>只供參考</t>
    <phoneticPr fontId="2" type="noConversion"/>
  </si>
  <si>
    <t>若未能開啟/使用，則可嘗試Drive中的「簡化版」方式使用</t>
    <phoneticPr fontId="2" type="noConversion"/>
  </si>
  <si>
    <t>1.</t>
  </si>
  <si>
    <t>請輸入你的成績:</t>
    <phoneticPr fontId="2" type="noConversion"/>
  </si>
  <si>
    <t>2.</t>
  </si>
  <si>
    <t>分數概覽 (未加權)</t>
    <phoneticPr fontId="2" type="noConversion"/>
  </si>
  <si>
    <t>若開啟數字模式，則無法以下拉選單選擇分數</t>
    <phoneticPr fontId="2" type="noConversion"/>
  </si>
  <si>
    <t>核心科目</t>
    <phoneticPr fontId="2" type="noConversion"/>
  </si>
  <si>
    <t>快速輸入</t>
    <phoneticPr fontId="2" type="noConversion"/>
  </si>
  <si>
    <t>^不計算語言科目</t>
    <phoneticPr fontId="2" type="noConversion"/>
  </si>
  <si>
    <t>請定期檢查更新</t>
    <phoneticPr fontId="2" type="noConversion"/>
  </si>
  <si>
    <t>3.</t>
  </si>
  <si>
    <t>JUPAS排位</t>
    <phoneticPr fontId="2" type="noConversion"/>
  </si>
  <si>
    <t>此處顯示為2021年方式及數字 (分數已計比重)</t>
    <phoneticPr fontId="2" type="noConversion"/>
  </si>
  <si>
    <t>請輸入JUPAS編號 (e.g. JS4862)</t>
    <phoneticPr fontId="2" type="noConversion"/>
  </si>
  <si>
    <t>請前往院校版面查看詳細註釋</t>
    <phoneticPr fontId="2" type="noConversion"/>
  </si>
  <si>
    <t>2021年</t>
    <phoneticPr fontId="2" type="noConversion"/>
  </si>
  <si>
    <t>Band A</t>
    <phoneticPr fontId="2" type="noConversion"/>
  </si>
  <si>
    <t>例如課程要求M1/2，若同學沒有修讀，就會變紅</t>
    <phoneticPr fontId="2" type="noConversion"/>
  </si>
  <si>
    <t>選修科目</t>
    <phoneticPr fontId="2" type="noConversion"/>
  </si>
  <si>
    <t>學科</t>
    <phoneticPr fontId="2" type="noConversion"/>
  </si>
  <si>
    <t>計分方式</t>
    <phoneticPr fontId="2" type="noConversion"/>
  </si>
  <si>
    <t>Median</t>
    <phoneticPr fontId="2" type="noConversion"/>
  </si>
  <si>
    <t>LQ</t>
    <phoneticPr fontId="2" type="noConversion"/>
  </si>
  <si>
    <t>取錄人數</t>
    <phoneticPr fontId="2" type="noConversion"/>
  </si>
  <si>
    <t>競爭人數</t>
    <phoneticPr fontId="2" type="noConversion"/>
  </si>
  <si>
    <t>合乎基本入學要求?(並非入讀機率)</t>
    <phoneticPr fontId="2" type="noConversion"/>
  </si>
  <si>
    <t>A1</t>
    <phoneticPr fontId="2" type="noConversion"/>
  </si>
  <si>
    <t>A2</t>
    <phoneticPr fontId="2" type="noConversion"/>
  </si>
  <si>
    <t>JS6963</t>
    <phoneticPr fontId="2" type="noConversion"/>
  </si>
  <si>
    <r>
      <rPr>
        <b/>
        <sz val="12"/>
        <color theme="1"/>
        <rFont val="微軟正黑體"/>
        <family val="2"/>
        <charset val="136"/>
      </rPr>
      <t>詳細資料及比重</t>
    </r>
    <r>
      <rPr>
        <sz val="12"/>
        <color theme="1"/>
        <rFont val="微軟正黑體"/>
        <family val="2"/>
        <charset val="136"/>
      </rPr>
      <t>請前往院校分頁</t>
    </r>
    <phoneticPr fontId="2" type="noConversion"/>
  </si>
  <si>
    <t>請選擇第四選修科</t>
  </si>
  <si>
    <t>請選擇語言科目</t>
  </si>
  <si>
    <t>A3</t>
    <phoneticPr fontId="2" type="noConversion"/>
  </si>
  <si>
    <t>*= 合併學額</t>
    <phoneticPr fontId="2" type="noConversion"/>
  </si>
  <si>
    <t>競爭人數: 幾多人爭一個位</t>
    <phoneticPr fontId="2" type="noConversion"/>
  </si>
  <si>
    <r>
      <t>每次使用前請檢查計分器是否為</t>
    </r>
    <r>
      <rPr>
        <b/>
        <sz val="14"/>
        <color rgb="FFFF0000"/>
        <rFont val="微軟正黑體"/>
        <family val="2"/>
        <charset val="136"/>
      </rPr>
      <t>最新版本</t>
    </r>
    <r>
      <rPr>
        <b/>
        <sz val="11"/>
        <color rgb="FFFF0000"/>
        <rFont val="微軟正黑體"/>
        <family val="2"/>
        <charset val="136"/>
      </rPr>
      <t>:</t>
    </r>
    <phoneticPr fontId="2" type="noConversion"/>
  </si>
  <si>
    <t>https://drive.google.com/drive/folders/1PmyDrmQ2CumbWrqY7NRqa0Ol-M9VnkFz?usp=sharing</t>
    <phoneticPr fontId="2" type="noConversion"/>
  </si>
  <si>
    <t>歡迎各位有心人Debug, 請於Drive中Debug文件內註明Bug及其位置</t>
    <phoneticPr fontId="2" type="noConversion"/>
  </si>
  <si>
    <t>O&amp;A 及使用須知:</t>
  </si>
  <si>
    <t>https://docs.google.com/document/d/1PVRu4rjEPNh2JYSe4ZtTOek-RZbutUhDUl38J-9DnuI/edit?usp=sharing</t>
    <phoneticPr fontId="2" type="noConversion"/>
  </si>
  <si>
    <t>4.</t>
    <phoneticPr fontId="2" type="noConversion"/>
  </si>
  <si>
    <t>重考扣分 (測試中)</t>
    <phoneticPr fontId="2" type="noConversion"/>
  </si>
  <si>
    <t>Previous Update Patch</t>
    <phoneticPr fontId="2" type="noConversion"/>
  </si>
  <si>
    <t xml:space="preserve"> 使用須知 及 免責聲明</t>
  </si>
  <si>
    <t>重考?</t>
    <phoneticPr fontId="2" type="noConversion"/>
  </si>
  <si>
    <r>
      <t>此計算器提供的資料只作一般私人參考用途，並不可視為官方的詳盡及權威性的說明，亦不可取代專業諮詢。使用前請先留意</t>
    </r>
    <r>
      <rPr>
        <b/>
        <sz val="11"/>
        <color theme="1"/>
        <rFont val="微軟正黑體"/>
        <family val="2"/>
        <charset val="136"/>
      </rPr>
      <t>最新版本</t>
    </r>
    <r>
      <rPr>
        <sz val="10"/>
        <color theme="1"/>
        <rFont val="微軟正黑體"/>
        <family val="2"/>
        <charset val="136"/>
      </rPr>
      <t>，以及閱讀</t>
    </r>
    <r>
      <rPr>
        <b/>
        <sz val="11"/>
        <color theme="1"/>
        <rFont val="微軟正黑體"/>
        <family val="2"/>
        <charset val="136"/>
      </rPr>
      <t>使用須知</t>
    </r>
    <r>
      <rPr>
        <sz val="10"/>
        <color theme="1"/>
        <rFont val="微軟正黑體"/>
        <family val="2"/>
        <charset val="136"/>
      </rPr>
      <t>。
本人在編製此計算器時已力求審慎，盡可能確保計算器所提供的資料正確無誤、沒有錯漏，惟在個別情況下，這些資料仍可能與最新的情況有所不同。本人並不保證計算器內全部資料在各方面均絕對正確、毫無錯漏。任何使用此計算器人士，須自行承擔一切風險，對於因使用或依據此計算器內所提供的任何資料而引致的任何損失或損害，本人一概無須負上任何法律責任。</t>
    </r>
    <phoneticPr fontId="2" type="noConversion"/>
  </si>
  <si>
    <t>目前只得 CUHK 及 HKU 有列明重考扣分</t>
    <phoneticPr fontId="2" type="noConversion"/>
  </si>
  <si>
    <t>此功能只能計算 2021 重考的情況，暫未能考慮其他年份</t>
    <phoneticPr fontId="2" type="noConversion"/>
  </si>
  <si>
    <t>JS1</t>
    <phoneticPr fontId="2" type="noConversion"/>
  </si>
  <si>
    <t>JS2</t>
    <phoneticPr fontId="2" type="noConversion"/>
  </si>
  <si>
    <t>JS3</t>
  </si>
  <si>
    <t>JS4</t>
  </si>
  <si>
    <t>JS5</t>
  </si>
  <si>
    <t>JS6</t>
  </si>
  <si>
    <t>JS7</t>
  </si>
  <si>
    <t>JS8</t>
  </si>
  <si>
    <t>JUPAS CODE</t>
    <phoneticPr fontId="2" type="noConversion"/>
  </si>
  <si>
    <t>學科</t>
  </si>
  <si>
    <t>英文縮寫</t>
    <phoneticPr fontId="2" type="noConversion"/>
  </si>
  <si>
    <t>\</t>
    <phoneticPr fontId="2" type="noConversion"/>
  </si>
  <si>
    <t>工程學院</t>
    <phoneticPr fontId="2" type="noConversion"/>
  </si>
  <si>
    <t>JS6705</t>
    <phoneticPr fontId="2" type="noConversion"/>
  </si>
  <si>
    <r>
      <t>*港大公佈的分數為</t>
    </r>
    <r>
      <rPr>
        <b/>
        <sz val="12"/>
        <color theme="1"/>
        <rFont val="微軟正黑體"/>
        <family val="2"/>
        <charset val="136"/>
      </rPr>
      <t>已計加分制及比重的分數</t>
    </r>
    <r>
      <rPr>
        <sz val="10"/>
        <color theme="1"/>
        <rFont val="微軟正黑體"/>
        <family val="2"/>
        <charset val="136"/>
      </rPr>
      <t>，只供參考。</t>
    </r>
    <phoneticPr fontId="2" type="noConversion"/>
  </si>
  <si>
    <t>*港大自2019/20年度起推出「加分制」，考獲5級或以上學科將獲額外加分。( Lv.5 -&gt; 5.5 | Lv.5* -&gt; 7 | Lv. 5** -&gt;8.5)</t>
    <phoneticPr fontId="2" type="noConversion"/>
  </si>
  <si>
    <r>
      <t>*每年分數計算方式或有更改，以上一律以</t>
    </r>
    <r>
      <rPr>
        <b/>
        <sz val="10"/>
        <color theme="1"/>
        <rFont val="微軟正黑體"/>
        <family val="2"/>
        <charset val="136"/>
      </rPr>
      <t>2021方式</t>
    </r>
    <r>
      <rPr>
        <sz val="10"/>
        <color theme="1"/>
        <rFont val="微軟正黑體"/>
        <family val="2"/>
        <charset val="136"/>
      </rPr>
      <t>計算，以便估計分數差距。</t>
    </r>
    <phoneticPr fontId="2" type="noConversion"/>
  </si>
  <si>
    <t>*港大由2022/23年起接受 M1/2 作為基本入學要求中的選修科(即是視為甲類科目，Catergory A Subject)</t>
    <phoneticPr fontId="2" type="noConversion"/>
  </si>
  <si>
    <t>*Subjects that will be given heavier weightings range from 1.1 to 2.</t>
    <phoneticPr fontId="2" type="noConversion"/>
  </si>
  <si>
    <t>*面試須知:</t>
    <phoneticPr fontId="2" type="noConversion"/>
  </si>
  <si>
    <t>Note 1: In view of the large number of applicants, preference for interview invitation will be given to candidates who place the programme as their Band-A choice.</t>
    <phoneticPr fontId="2" type="noConversion"/>
  </si>
  <si>
    <t>Note 2: If the programme has scheduled two interview sessions, candidates are normally required to attend one interview session only.</t>
    <phoneticPr fontId="2" type="noConversion"/>
  </si>
  <si>
    <t>*斜體 = 2022年新科目/新安排，粗體 = 有比重</t>
    <phoneticPr fontId="2" type="noConversion"/>
  </si>
  <si>
    <t>由於港大今年直接公佈加權後分數 (即已計算比重)，故此處直接引用港大數字，未有作任何估算。</t>
    <phoneticPr fontId="2" type="noConversion"/>
  </si>
  <si>
    <t>https://aal.hku.hk/admissions/local/sites/default/files/2020%20Admissions%20Score.pdf</t>
    <phoneticPr fontId="2" type="noConversion"/>
  </si>
  <si>
    <t>https://admissions.hku.hk/sites/default/files/2021-07/HKU%20Programme%20Scoring%20Formula%20for%202021%20JUPAS%20Admissions.pdf</t>
    <phoneticPr fontId="2" type="noConversion"/>
  </si>
  <si>
    <t>https://aal.hku.hk/admissions/local/admissions-information?page=jupas-admissions-scheme</t>
    <phoneticPr fontId="2" type="noConversion"/>
  </si>
  <si>
    <t>https://aal.hku.hk/admissions/local/sites/default/files/2021%20Programme%20Admissions%20Information.pdf</t>
    <phoneticPr fontId="2" type="noConversion"/>
  </si>
  <si>
    <t>https://admissions.hku.hk/apply/jupas/interview</t>
    <phoneticPr fontId="2" type="noConversion"/>
  </si>
  <si>
    <t>2022計分詳情1</t>
  </si>
  <si>
    <t>2022比重1</t>
  </si>
  <si>
    <t>Retake扣分資訊</t>
    <phoneticPr fontId="2" type="noConversion"/>
  </si>
  <si>
    <t>今年重考</t>
    <phoneticPr fontId="2" type="noConversion"/>
  </si>
  <si>
    <t>現時香港只有CUHK及HKU兩間院校有列明重考扣分︰</t>
    <phoneticPr fontId="2" type="noConversion"/>
  </si>
  <si>
    <t>你的總分</t>
    <phoneticPr fontId="2" type="noConversion"/>
  </si>
  <si>
    <t>英國語文</t>
  </si>
  <si>
    <t>通識教育</t>
  </si>
  <si>
    <t>數學延伸</t>
  </si>
  <si>
    <t>扣分</t>
    <phoneticPr fontId="2" type="noConversion"/>
  </si>
  <si>
    <t>合併成績</t>
    <phoneticPr fontId="2" type="noConversion"/>
  </si>
  <si>
    <t>最近3次</t>
    <phoneticPr fontId="2" type="noConversion"/>
  </si>
  <si>
    <t>最近3次</t>
  </si>
  <si>
    <t>中國語文</t>
  </si>
  <si>
    <t>請選擇第三選修科</t>
  </si>
  <si>
    <t>Best results in 2 or more sittings of HKDSE</t>
    <phoneticPr fontId="2" type="noConversion"/>
  </si>
  <si>
    <t>Best results in year 2021 and 2022 Only</t>
    <phoneticPr fontId="2" type="noConversion"/>
  </si>
  <si>
    <t>Best results in 2 or more sittings of HKDSE</t>
  </si>
  <si>
    <t>Best results in the latest 2 sittings of HKDSE, one of which should include the year of admission (i.e. 2022)</t>
    <phoneticPr fontId="2" type="noConversion"/>
  </si>
  <si>
    <t>Best results in year 2020 and 2022 or, 2021 and 2022</t>
    <phoneticPr fontId="2" type="noConversion"/>
  </si>
  <si>
    <t>Best results in year 2020 and 2022, or, 2021 and 2022</t>
    <phoneticPr fontId="2" type="noConversion"/>
  </si>
  <si>
    <t>JS6262</t>
    <phoneticPr fontId="2" type="noConversion"/>
  </si>
  <si>
    <t>工學學士(數據科學及工程)</t>
    <phoneticPr fontId="2" type="noConversion"/>
  </si>
  <si>
    <t>Best results in the latest 3 sittings of HKDSE</t>
    <phoneticPr fontId="2" type="noConversion"/>
  </si>
  <si>
    <t>Latest results in 2 or more sittings of HKDSE</t>
    <phoneticPr fontId="2" type="noConversion"/>
  </si>
  <si>
    <t>JS6212</t>
    <phoneticPr fontId="2" type="noConversion"/>
  </si>
  <si>
    <t>參考資料</t>
    <phoneticPr fontId="2" type="noConversion"/>
  </si>
  <si>
    <t>https://www.cuhk.edu.hk/adm/jupas/arrangement-for-more-than-one-sitting-2022.pdf</t>
    <phoneticPr fontId="2" type="noConversion"/>
  </si>
  <si>
    <t>https://admissions.hku.hk/apply/jupas</t>
    <phoneticPr fontId="2" type="noConversion"/>
  </si>
  <si>
    <r>
      <t>*嶺大公佈的分數為</t>
    </r>
    <r>
      <rPr>
        <b/>
        <sz val="12"/>
        <color theme="1"/>
        <rFont val="微軟正黑體"/>
        <family val="2"/>
        <charset val="136"/>
      </rPr>
      <t>已乘比重的分數</t>
    </r>
    <r>
      <rPr>
        <sz val="10"/>
        <color theme="1"/>
        <rFont val="微軟正黑體"/>
        <family val="2"/>
        <charset val="136"/>
      </rPr>
      <t>，只供參考。</t>
    </r>
    <phoneticPr fontId="2" type="noConversion"/>
  </si>
  <si>
    <t>由於嶺大每年均會直接公佈加權後分數 (即已計算比重)，故此處直接引用嶺大數字，未有作任何估算。</t>
    <phoneticPr fontId="2" type="noConversion"/>
  </si>
  <si>
    <t>https://www.ln.edu.hk/admissions/ug/jupas/admission-score/jupas-score-calculator</t>
  </si>
  <si>
    <t>https://www.ln.edu.hk/admissions/ug/jupas/admission-score/subject-weighting</t>
  </si>
  <si>
    <t>https://www.ln.edu.hk/admissions/ug/jupas/interview-arrangement</t>
    <phoneticPr fontId="2" type="noConversion"/>
  </si>
  <si>
    <t>差距(Mean)</t>
    <phoneticPr fontId="2" type="noConversion"/>
  </si>
  <si>
    <t>人文學院</t>
    <phoneticPr fontId="2" type="noConversion"/>
  </si>
  <si>
    <t>教育及人類發展學院</t>
  </si>
  <si>
    <r>
      <rPr>
        <sz val="10"/>
        <color theme="1"/>
        <rFont val="微軟正黑體"/>
        <family val="2"/>
        <charset val="136"/>
      </rPr>
      <t>*教大公佈的分數為</t>
    </r>
    <r>
      <rPr>
        <b/>
        <sz val="12"/>
        <color theme="1"/>
        <rFont val="微軟正黑體"/>
        <family val="2"/>
        <charset val="136"/>
      </rPr>
      <t>最佳5科平均分數</t>
    </r>
    <r>
      <rPr>
        <sz val="10"/>
        <color theme="1"/>
        <rFont val="微軟正黑體"/>
        <family val="2"/>
        <charset val="136"/>
      </rPr>
      <t>，但</t>
    </r>
    <r>
      <rPr>
        <b/>
        <sz val="12"/>
        <color theme="1"/>
        <rFont val="微軟正黑體"/>
        <family val="2"/>
        <charset val="136"/>
      </rPr>
      <t>未計比重</t>
    </r>
    <r>
      <rPr>
        <sz val="10"/>
        <color theme="1"/>
        <rFont val="微軟正黑體"/>
        <family val="2"/>
        <charset val="136"/>
      </rPr>
      <t>的分數</t>
    </r>
    <r>
      <rPr>
        <b/>
        <sz val="10"/>
        <color theme="1"/>
        <rFont val="微軟正黑體"/>
        <family val="2"/>
        <charset val="136"/>
      </rPr>
      <t>，</t>
    </r>
    <r>
      <rPr>
        <sz val="10"/>
        <color theme="1"/>
        <rFont val="微軟正黑體"/>
        <family val="2"/>
        <charset val="136"/>
      </rPr>
      <t>以上分數</t>
    </r>
    <r>
      <rPr>
        <b/>
        <sz val="12"/>
        <color theme="1"/>
        <rFont val="微軟正黑體"/>
        <family val="2"/>
        <charset val="136"/>
      </rPr>
      <t>不含比重</t>
    </r>
    <r>
      <rPr>
        <b/>
        <sz val="10"/>
        <color theme="1"/>
        <rFont val="微軟正黑體"/>
        <family val="2"/>
        <charset val="136"/>
      </rPr>
      <t>，</t>
    </r>
    <r>
      <rPr>
        <sz val="10"/>
        <color theme="1"/>
        <rFont val="微軟正黑體"/>
        <family val="2"/>
        <charset val="136"/>
      </rPr>
      <t>或會與</t>
    </r>
    <r>
      <rPr>
        <b/>
        <sz val="12"/>
        <color theme="1"/>
        <rFont val="微軟正黑體"/>
        <family val="2"/>
        <charset val="136"/>
      </rPr>
      <t>真實收生分數有別</t>
    </r>
    <r>
      <rPr>
        <sz val="10"/>
        <color theme="1"/>
        <rFont val="微軟正黑體"/>
        <family val="2"/>
        <charset val="136"/>
      </rPr>
      <t>，只供參考</t>
    </r>
    <r>
      <rPr>
        <b/>
        <sz val="10"/>
        <color theme="1"/>
        <rFont val="微軟正黑體"/>
        <family val="2"/>
        <charset val="136"/>
      </rPr>
      <t>。</t>
    </r>
    <phoneticPr fontId="2" type="noConversion"/>
  </si>
  <si>
    <t>估算方式:</t>
  </si>
  <si>
    <t>由於教大每年只會直接公佈未有計算比重的平均分數，故此處無法為比重作任何估算，只能列出其科目供同學參考。</t>
    <phoneticPr fontId="2" type="noConversion"/>
  </si>
  <si>
    <t>https://www.eduhk.hk/degree/pdf/admission%20scores_2020.pdf</t>
  </si>
  <si>
    <t>https://www.eduhk.hk/degree/jupas.htm</t>
  </si>
  <si>
    <t>http://www.ouhk.edu.hk/wcsprd/Satellite?pagename=OUHK/tcSingPage&amp;c=C_CFTS&amp;cid=1600653170751&amp;lang=eng&amp;mid=0</t>
    <phoneticPr fontId="2" type="noConversion"/>
  </si>
  <si>
    <t>http://www.ouhk.edu.hk/wcsprd/Satellite?pagename=OUHK/tcSubWeb&amp;l=C_CFTS&amp;lid=1385174509933&amp;c=C_CFTS&amp;cid=1385183300596&amp;lang=eng&amp;mid=0</t>
    <phoneticPr fontId="2" type="noConversion"/>
  </si>
  <si>
    <t>明愛專上學院</t>
  </si>
  <si>
    <t>明愛專上學院</t>
    <phoneticPr fontId="2" type="noConversion"/>
  </si>
  <si>
    <t>珠海學院</t>
  </si>
  <si>
    <t>恒生大學</t>
  </si>
  <si>
    <t>東華學院</t>
  </si>
  <si>
    <t>公開大學</t>
  </si>
  <si>
    <t>THEi</t>
  </si>
  <si>
    <t>或有</t>
    <phoneticPr fontId="2" type="noConversion"/>
  </si>
  <si>
    <t>運動及康樂管理（榮譽）社會科學學士</t>
    <phoneticPr fontId="2" type="noConversion"/>
  </si>
  <si>
    <t>伍倫貢學院</t>
    <phoneticPr fontId="2" type="noConversion"/>
  </si>
  <si>
    <t>無資料</t>
    <phoneticPr fontId="2" type="noConversion"/>
  </si>
  <si>
    <t>樹仁大學</t>
    <phoneticPr fontId="2" type="noConversion"/>
  </si>
  <si>
    <r>
      <t>*SSSDP公佈的分數包括</t>
    </r>
    <r>
      <rPr>
        <b/>
        <sz val="12"/>
        <color theme="1"/>
        <rFont val="微軟正黑體"/>
        <family val="2"/>
        <charset val="136"/>
      </rPr>
      <t>已計比重的分數</t>
    </r>
    <r>
      <rPr>
        <b/>
        <sz val="10"/>
        <color theme="1"/>
        <rFont val="微軟正黑體"/>
        <family val="2"/>
        <charset val="136"/>
      </rPr>
      <t>，</t>
    </r>
    <r>
      <rPr>
        <sz val="10"/>
        <color theme="1"/>
        <rFont val="微軟正黑體"/>
        <family val="2"/>
        <charset val="136"/>
      </rPr>
      <t>以及</t>
    </r>
    <r>
      <rPr>
        <b/>
        <sz val="12"/>
        <color theme="1"/>
        <rFont val="微軟正黑體"/>
        <family val="2"/>
        <charset val="136"/>
      </rPr>
      <t>平均分數</t>
    </r>
    <r>
      <rPr>
        <sz val="10"/>
        <color theme="1"/>
        <rFont val="微軟正黑體"/>
        <family val="2"/>
        <charset val="136"/>
      </rPr>
      <t>，只供參考。</t>
    </r>
    <phoneticPr fontId="2" type="noConversion"/>
  </si>
  <si>
    <t>SSSDP 各院校公佈的參考分數各有不同，以下將詳細列出各院校的方式。</t>
    <phoneticPr fontId="2" type="noConversion"/>
  </si>
  <si>
    <t>明愛:</t>
    <phoneticPr fontId="2" type="noConversion"/>
  </si>
  <si>
    <t>公佈的為未有計算比重的平均分數，但無提及科目比重，故未有作出估算。</t>
    <phoneticPr fontId="2" type="noConversion"/>
  </si>
  <si>
    <t>珠海:</t>
    <phoneticPr fontId="2" type="noConversion"/>
  </si>
  <si>
    <t>公佈的為未有計算比重的 上四分位數 及 下四分位數 ，但無提及科目比重，故未有作出估算。</t>
    <phoneticPr fontId="2" type="noConversion"/>
  </si>
  <si>
    <t>恆大:</t>
    <phoneticPr fontId="2" type="noConversion"/>
  </si>
  <si>
    <t>公佈的未有計算比重的平均分數，故此處無法為比重作任何估算，只能列出其科目供同學參考。</t>
    <phoneticPr fontId="2" type="noConversion"/>
  </si>
  <si>
    <t>東華:</t>
    <phoneticPr fontId="2" type="noConversion"/>
  </si>
  <si>
    <t>THEi:</t>
    <phoneticPr fontId="2" type="noConversion"/>
  </si>
  <si>
    <t>伍倫貢:</t>
    <phoneticPr fontId="2" type="noConversion"/>
  </si>
  <si>
    <t>樹仁:</t>
    <phoneticPr fontId="2" type="noConversion"/>
  </si>
  <si>
    <t>課程:</t>
    <phoneticPr fontId="2" type="noConversion"/>
  </si>
  <si>
    <t>https://www.jupas.edu.hk/en/programme/sssdp/</t>
    <phoneticPr fontId="2" type="noConversion"/>
  </si>
  <si>
    <t>分數:</t>
    <phoneticPr fontId="2" type="noConversion"/>
  </si>
  <si>
    <t>https://www.cihe.edu.hk/en/programmes/index.html</t>
    <phoneticPr fontId="2" type="noConversion"/>
  </si>
  <si>
    <t>https://www.chuhai.edu.hk/study-subsidy-scheme-designated-professions-sectors-sssdp-202021</t>
    <phoneticPr fontId="2" type="noConversion"/>
  </si>
  <si>
    <t>https://registry.hsu.edu.hk/prospective-students/undergraduate/programmes-offered/</t>
    <phoneticPr fontId="2" type="noConversion"/>
  </si>
  <si>
    <t>https://www.twc.edu.hk/en/Programme_cat</t>
    <phoneticPr fontId="2" type="noConversion"/>
  </si>
  <si>
    <t>https://www.thei.edu.hk/admissions/local-students-admission-for-year-1-entry/student-subsidy-scheme-for-designated-professions-sections/sssdp-for-academic-year-2021-22</t>
    <phoneticPr fontId="2" type="noConversion"/>
  </si>
  <si>
    <t>https://www.uowchk.edu.hk/study-at-uowchk/find-programmes/programmes-by-entry-level/bachelor-degrees/</t>
    <phoneticPr fontId="2" type="noConversion"/>
  </si>
  <si>
    <t>https://ef.hksyu.edu/Programmes/BCom-in-FinTech</t>
    <phoneticPr fontId="2" type="noConversion"/>
  </si>
  <si>
    <t>X1</t>
    <phoneticPr fontId="2" type="noConversion"/>
  </si>
  <si>
    <t>X3</t>
  </si>
  <si>
    <t>最佳六科必須包括︰英文</t>
    <phoneticPr fontId="2" type="noConversion"/>
  </si>
  <si>
    <t>面試表現/SLP/OEA</t>
  </si>
  <si>
    <t>面試表現/SLP/OEA</t>
    <phoneticPr fontId="2" type="noConversion"/>
  </si>
  <si>
    <t>x1.5: 英文</t>
    <phoneticPr fontId="2" type="noConversion"/>
  </si>
  <si>
    <t>OEA</t>
    <phoneticPr fontId="2" type="noConversion"/>
  </si>
  <si>
    <t>中文、英文 及 數學 成績</t>
    <phoneticPr fontId="2" type="noConversion"/>
  </si>
  <si>
    <t>英文 及 其他選修 成績</t>
    <phoneticPr fontId="2" type="noConversion"/>
  </si>
  <si>
    <t>中文 及 英文 成績</t>
    <phoneticPr fontId="2" type="noConversion"/>
  </si>
  <si>
    <t>x2.5: 英文、數學、組合科學(物理)、綜合科學、M1/2、物理</t>
    <phoneticPr fontId="2" type="noConversion"/>
  </si>
  <si>
    <t>x1.5: 中文</t>
    <phoneticPr fontId="2" type="noConversion"/>
  </si>
  <si>
    <t>課程相關科目 成績</t>
    <phoneticPr fontId="2" type="noConversion"/>
  </si>
  <si>
    <t>最佳五科必須包括︰英文、數學 及 以下其中一科︰</t>
    <phoneticPr fontId="2" type="noConversion"/>
  </si>
  <si>
    <t>生物、化學、組合科學、ICT、綜合科學、M1/2、物理</t>
    <phoneticPr fontId="2" type="noConversion"/>
  </si>
  <si>
    <t>SPN、OEA</t>
    <phoneticPr fontId="2" type="noConversion"/>
  </si>
  <si>
    <t>最佳五科必須包括︰英文、數學</t>
    <phoneticPr fontId="2" type="noConversion"/>
  </si>
  <si>
    <t>x2: 英文、數學、組合科學(物理)、ICT、M1/2、物理</t>
    <phoneticPr fontId="2" type="noConversion"/>
  </si>
  <si>
    <t>x1.5: 生物、化學、組合科學(生物、化學)、綜合科學</t>
    <phoneticPr fontId="2" type="noConversion"/>
  </si>
  <si>
    <t>2022入學要求1</t>
    <phoneticPr fontId="2" type="noConversion"/>
  </si>
  <si>
    <t>2022入學要求2</t>
    <phoneticPr fontId="2" type="noConversion"/>
  </si>
  <si>
    <t>JS1205</t>
    <phoneticPr fontId="2" type="noConversion"/>
  </si>
  <si>
    <t>面試表現/SLP/OEA/SPN</t>
    <phoneticPr fontId="2" type="noConversion"/>
  </si>
  <si>
    <t>收生主要考慮2020至2022DSE的成績</t>
    <phoneticPr fontId="2" type="noConversion"/>
  </si>
  <si>
    <t>最佳六科必須包括︰數學</t>
  </si>
  <si>
    <t>最佳六科必須包括︰數學</t>
    <phoneticPr fontId="2" type="noConversion"/>
  </si>
  <si>
    <t>x2: 英文、數學、物理</t>
  </si>
  <si>
    <t>x2: 英文、數學、物理</t>
    <phoneticPr fontId="2" type="noConversion"/>
  </si>
  <si>
    <t>x1.5: 化學、組合科學、DAT、M1/2</t>
  </si>
  <si>
    <t>x1.5: 化學、組合科學、DAT、M1/2</t>
    <phoneticPr fontId="2" type="noConversion"/>
  </si>
  <si>
    <t>生物、化學、組合科學、綜合科學(物理)、DAT、M1/2、物理</t>
    <phoneticPr fontId="2" type="noConversion"/>
  </si>
  <si>
    <t>x2: 數學、物理</t>
    <phoneticPr fontId="2" type="noConversion"/>
  </si>
  <si>
    <t>x1.5: 英文、生物、化學、M1/2</t>
    <phoneticPr fontId="2" type="noConversion"/>
  </si>
  <si>
    <t>若同學同時修讀數學及M1/2，最佳五科只會包含其中一科。</t>
  </si>
  <si>
    <t>若同學同時修讀數學及M1/2，最佳五科只會包含其中一科。</t>
    <phoneticPr fontId="2" type="noConversion"/>
  </si>
  <si>
    <t>x2: 英文、數學、ICT、M1/2、物理</t>
  </si>
  <si>
    <t>x2: 英文、數學、ICT、M1/2、物理</t>
    <phoneticPr fontId="2" type="noConversion"/>
  </si>
  <si>
    <t>x2: 英文、數學、生物、化學、組合化學、M1/2、物理</t>
  </si>
  <si>
    <t>x2: 英文、數學、生物、化學、組合化學、M1/2、物理</t>
    <phoneticPr fontId="2" type="noConversion"/>
  </si>
  <si>
    <t>x1.5: 組合科學(物理)、化學、DAT</t>
  </si>
  <si>
    <t>x1.5: 組合科學(物理)、化學、DAT</t>
    <phoneticPr fontId="2" type="noConversion"/>
  </si>
  <si>
    <t>最佳五科必須包括︰英文、通識</t>
  </si>
  <si>
    <t>最佳五科必須包括︰英文、通識</t>
    <phoneticPr fontId="2" type="noConversion"/>
  </si>
  <si>
    <t>其他入學分數</t>
    <phoneticPr fontId="2" type="noConversion"/>
  </si>
  <si>
    <t>其他申請資料</t>
    <phoneticPr fontId="2" type="noConversion"/>
  </si>
  <si>
    <t>x2: 中文、英文</t>
  </si>
  <si>
    <t>x2: 中文、英文</t>
    <phoneticPr fontId="2" type="noConversion"/>
  </si>
  <si>
    <t>x1.5: 通識、中史、中國文學、歷史、藝術</t>
  </si>
  <si>
    <t>x1.5: 通識、中史、中國文學、歷史、藝術</t>
    <phoneticPr fontId="2" type="noConversion"/>
  </si>
  <si>
    <t>面試表現/OEA</t>
    <phoneticPr fontId="2" type="noConversion"/>
  </si>
  <si>
    <t>x2.5: 英文</t>
  </si>
  <si>
    <t>x2.5: 英文</t>
    <phoneticPr fontId="2" type="noConversion"/>
  </si>
  <si>
    <t>x1.5: 通識、英國文學</t>
  </si>
  <si>
    <t>x1.5: 通識、英國文學</t>
    <phoneticPr fontId="2" type="noConversion"/>
  </si>
  <si>
    <t>最佳五科必須包括︰英文</t>
  </si>
  <si>
    <t>x1.25: 中文、英文</t>
  </si>
  <si>
    <t>x1.25: 中文、英文</t>
    <phoneticPr fontId="2" type="noConversion"/>
  </si>
  <si>
    <t>OEA/SPN</t>
    <phoneticPr fontId="2" type="noConversion"/>
  </si>
  <si>
    <t>x1.5: 英文</t>
  </si>
  <si>
    <t>x2: 英文</t>
  </si>
  <si>
    <t>x2: 英文</t>
    <phoneticPr fontId="2" type="noConversion"/>
  </si>
  <si>
    <t>x1.5: 中文、數學</t>
  </si>
  <si>
    <t>x1.5: 中文、數學</t>
    <phoneticPr fontId="2" type="noConversion"/>
  </si>
  <si>
    <t>相關科目 成績</t>
    <phoneticPr fontId="2" type="noConversion"/>
  </si>
  <si>
    <t>x2.5: 數學、生物、化學、經濟、M1/2、物理</t>
  </si>
  <si>
    <t>x2.5: 數學、生物、化學、經濟、M1/2、物理</t>
    <phoneticPr fontId="2" type="noConversion"/>
  </si>
  <si>
    <t>x2: 英文、化學</t>
  </si>
  <si>
    <t>x2: 英文、化學</t>
    <phoneticPr fontId="2" type="noConversion"/>
  </si>
  <si>
    <t>x1.5: 數學、組合科學(化學)</t>
  </si>
  <si>
    <t>x1.5: 數學、組合科學(化學)</t>
    <phoneticPr fontId="2" type="noConversion"/>
  </si>
  <si>
    <t>最佳五科必須包括︰數學</t>
  </si>
  <si>
    <t>最佳五科必須包括︰數學</t>
    <phoneticPr fontId="2" type="noConversion"/>
  </si>
  <si>
    <t>x2.5: 數學 | x2: 英文、M1/2</t>
  </si>
  <si>
    <t>x2.5: 數學 | x2: 英文、M1/2</t>
    <phoneticPr fontId="2" type="noConversion"/>
  </si>
  <si>
    <t>x1.5: 生物、化學、組合科學、物理</t>
  </si>
  <si>
    <t>x1.5: 生物、化學、組合科學、物理</t>
    <phoneticPr fontId="2" type="noConversion"/>
  </si>
  <si>
    <t>M1/2 成績</t>
    <phoneticPr fontId="2" type="noConversion"/>
  </si>
  <si>
    <t>x2: 英文、物理</t>
  </si>
  <si>
    <t>x2: 英文、物理</t>
    <phoneticPr fontId="2" type="noConversion"/>
  </si>
  <si>
    <t>x2: 英文、物理 | x1.5: M1/2</t>
  </si>
  <si>
    <t>x2: 英文、物理 | x1.5: M1/2</t>
    <phoneticPr fontId="2" type="noConversion"/>
  </si>
  <si>
    <t>x1.25: 數學</t>
  </si>
  <si>
    <t>x1.25: 數學</t>
    <phoneticPr fontId="2" type="noConversion"/>
  </si>
  <si>
    <t>x1.5: 英文、M1/2</t>
    <phoneticPr fontId="2" type="noConversion"/>
  </si>
  <si>
    <t>最佳六科必須包括︰英文、數學 及 以下其中一科︰</t>
  </si>
  <si>
    <t>最佳六科必須包括︰英文、數學 及 以下其中一科︰</t>
    <phoneticPr fontId="2" type="noConversion"/>
  </si>
  <si>
    <t>最佳六科必須包括︰英文、數學、生物 及 化學</t>
  </si>
  <si>
    <t>最佳六科必須包括︰英文、數學、生物 及 化學</t>
    <phoneticPr fontId="2" type="noConversion"/>
  </si>
  <si>
    <t>英文水平</t>
    <phoneticPr fontId="2" type="noConversion"/>
  </si>
  <si>
    <t>面試表現/個人自述(OEA)</t>
    <phoneticPr fontId="2" type="noConversion"/>
  </si>
  <si>
    <t>x2: 英文、生物、化學、組合科學</t>
  </si>
  <si>
    <t>x2: 英文、生物、化學、組合科學</t>
    <phoneticPr fontId="2" type="noConversion"/>
  </si>
  <si>
    <t>x1.5: 數學、BAFS、DAT、ICT、綜合科學、M1/2、物理</t>
  </si>
  <si>
    <t>x1.5: 數學、BAFS、DAT、ICT、綜合科學、M1/2、物理</t>
    <phoneticPr fontId="2" type="noConversion"/>
  </si>
  <si>
    <t>個人作品集、創意潛能、電腦能力</t>
    <phoneticPr fontId="2" type="noConversion"/>
  </si>
  <si>
    <t>其他成績 及 資料</t>
    <phoneticPr fontId="2" type="noConversion"/>
  </si>
  <si>
    <t>x1.5: 數學</t>
  </si>
  <si>
    <t>x1.5: 數學</t>
    <phoneticPr fontId="2" type="noConversion"/>
  </si>
  <si>
    <t>x2: 英文、數學</t>
  </si>
  <si>
    <t>x2: 英文、數學</t>
    <phoneticPr fontId="2" type="noConversion"/>
  </si>
  <si>
    <t>生物、化學、組合科學、綜合科學、物理</t>
  </si>
  <si>
    <t>生物、化學、組合科學、綜合科學、物理</t>
    <phoneticPr fontId="2" type="noConversion"/>
  </si>
  <si>
    <t>x2.5: 數學 | x2: 英文</t>
  </si>
  <si>
    <t>x2.5: 數學 | x2: 英文</t>
    <phoneticPr fontId="2" type="noConversion"/>
  </si>
  <si>
    <t>第一選修(x2): 生物、化學、組合科學、綜合科學、物理</t>
    <phoneticPr fontId="2" type="noConversion"/>
  </si>
  <si>
    <t>2022比重3</t>
  </si>
  <si>
    <t>第二選修(x1.5): 生物、化學、組合科學、地理、M1/2、物理</t>
    <phoneticPr fontId="2" type="noConversion"/>
  </si>
  <si>
    <t>JS1221</t>
    <phoneticPr fontId="2" type="noConversion"/>
  </si>
  <si>
    <t>M</t>
    <phoneticPr fontId="2" type="noConversion"/>
  </si>
  <si>
    <t>JS1204</t>
    <phoneticPr fontId="2" type="noConversion"/>
  </si>
  <si>
    <t>資訊及通訊科技</t>
    <phoneticPr fontId="2" type="noConversion"/>
  </si>
  <si>
    <t>有冇 組合科學(物理)、綜合科學、物理 其中一科?</t>
    <phoneticPr fontId="2" type="noConversion"/>
  </si>
  <si>
    <t>有冇 生物、化學、組合科學、綜合科學、物理 其中一科?</t>
    <phoneticPr fontId="2" type="noConversion"/>
  </si>
  <si>
    <t>有冇 化學、生物、組合科學、ICT、M1/2、物理 其中一科?</t>
    <phoneticPr fontId="2" type="noConversion"/>
  </si>
  <si>
    <t>有冇 生物、化學、組合科學、綜合科學、ICT、M1/2、物理 其中一科？</t>
    <phoneticPr fontId="2" type="noConversion"/>
  </si>
  <si>
    <t>IF(OR(J2="化學",J2="生物",J2="組合科學(物理、化學)",J2="組合科學(生物、化學)",J2="組合科學(物理、生物)",J2="綜合科學",J2="資訊及通訊科技"),J2="物理")),J3,0)</t>
    <phoneticPr fontId="2" type="noConversion"/>
  </si>
  <si>
    <t>有冇 化學、組合科學、DAT、M1/2、物理 其中一科？</t>
    <phoneticPr fontId="2" type="noConversion"/>
  </si>
  <si>
    <t>有冇 化學、組合科學(物理)、DAT、物理 其中一科？</t>
    <phoneticPr fontId="2" type="noConversion"/>
  </si>
  <si>
    <t>有冇 生物、化學、組合科學、物理 其中一科？</t>
    <phoneticPr fontId="2" type="noConversion"/>
  </si>
  <si>
    <t>JS1211</t>
    <phoneticPr fontId="2" type="noConversion"/>
  </si>
  <si>
    <t>有冇 化學、組合科學(物理)、DAT、ICT、M1/2、物理 其中一科？</t>
    <phoneticPr fontId="2" type="noConversion"/>
  </si>
  <si>
    <t>JS1217</t>
    <phoneticPr fontId="2" type="noConversion"/>
  </si>
  <si>
    <t>有冇 生物、化學、組合科學、ICT、M1/2、物理 其中一科？</t>
    <phoneticPr fontId="2" type="noConversion"/>
  </si>
  <si>
    <t>E</t>
  </si>
  <si>
    <t>Lang(Processed)</t>
    <phoneticPr fontId="2" type="noConversion"/>
  </si>
  <si>
    <t>Lang(Original)</t>
    <phoneticPr fontId="2" type="noConversion"/>
  </si>
  <si>
    <t>有冇 生物、化學、組合科學、DAT、ICT、綜合科學、M1/2、物理 其中兩科？</t>
    <phoneticPr fontId="2" type="noConversion"/>
  </si>
  <si>
    <t>有冇 生物、化學、經濟、M1/2、物理 其中兩科？</t>
    <phoneticPr fontId="2" type="noConversion"/>
  </si>
  <si>
    <t>.</t>
    <phoneticPr fontId="2" type="noConversion"/>
  </si>
  <si>
    <t>數學有Lv.3?</t>
    <phoneticPr fontId="2" type="noConversion"/>
  </si>
  <si>
    <t>以下一科選修取得Lv.3︰化學、組合科學(化學)</t>
    <phoneticPr fontId="2" type="noConversion"/>
  </si>
  <si>
    <t xml:space="preserve">以下兩科選修取得Lv.3︰生物、化學、經濟、M1/2、物理 </t>
    <phoneticPr fontId="2" type="noConversion"/>
  </si>
  <si>
    <t xml:space="preserve">以下一科選修取得Lv.3︰組合科學(物理)、綜合科學、物理 </t>
    <phoneticPr fontId="2" type="noConversion"/>
  </si>
  <si>
    <t>以下一科選修取得Lv.3︰生物、化學、組合科學、ICT、M1/2、物理</t>
    <phoneticPr fontId="2" type="noConversion"/>
  </si>
  <si>
    <t>以下一科選修取得Lv.3︰生物、化學、組合科學、綜合科學、ICT、M1/2、物理</t>
    <phoneticPr fontId="2" type="noConversion"/>
  </si>
  <si>
    <t>以下一科選修取得Lv.3︰化學、組合科學、DAT、M1/2、物理</t>
    <phoneticPr fontId="2" type="noConversion"/>
  </si>
  <si>
    <t>以下一科選修取得Lv.3︰化學、組合科學(物理)、DAT、物理</t>
    <phoneticPr fontId="2" type="noConversion"/>
  </si>
  <si>
    <t>以下一科選修取得Lv.3︰生物、化學、組合科學、物理</t>
    <phoneticPr fontId="2" type="noConversion"/>
  </si>
  <si>
    <t>以下一科選修取得Lv.3︰化學、組合科學(物理)、DAT、ICT、M1/2、物理</t>
    <phoneticPr fontId="2" type="noConversion"/>
  </si>
  <si>
    <t xml:space="preserve">以下兩科選修取得Lv.3︰生物、化學、組合科學、DAT、ICT、綜合科學、M1/2、物理 </t>
    <phoneticPr fontId="2" type="noConversion"/>
  </si>
  <si>
    <t>以下一科選修取得Lv.3︰生物、化學、組合科學、綜合科學、物理</t>
    <phoneticPr fontId="2" type="noConversion"/>
  </si>
  <si>
    <t>有冇 化學、組合科學(化學) 其中一科？</t>
    <phoneticPr fontId="2" type="noConversion"/>
  </si>
  <si>
    <t>有冇 生物、BAFS、DAT、ICT、組合科學(物理、生物)、物理 其中一科?</t>
    <phoneticPr fontId="2" type="noConversion"/>
  </si>
  <si>
    <t>若數學未有Lv.3，則以下一科選修需取得Lv.3: 生物、BAFS、DAT、ICT、組合科學(物理、生物)、物理</t>
    <phoneticPr fontId="2" type="noConversion"/>
  </si>
  <si>
    <t>JS1206</t>
    <phoneticPr fontId="2" type="noConversion"/>
  </si>
  <si>
    <t>有冇 生物、BAFS、化學、DAT、ICT、M1/2、物理、組合科學、綜合科學 其中一科？</t>
    <phoneticPr fontId="2" type="noConversion"/>
  </si>
  <si>
    <t>以下一科選修取得Lv.3︰生物、BAFS、化學、DAT、ICT、M1/2、物理、組合科學、綜合科學</t>
    <phoneticPr fontId="2" type="noConversion"/>
  </si>
  <si>
    <t>以下一科選修取得Lv.3︰BAFS、化學、M1/2、物理</t>
    <phoneticPr fontId="2" type="noConversion"/>
  </si>
  <si>
    <t>JS1220</t>
    <phoneticPr fontId="2" type="noConversion"/>
  </si>
  <si>
    <t>有冇 BAFS、化學、M1/2、物理 其中一科？</t>
    <phoneticPr fontId="2" type="noConversion"/>
  </si>
  <si>
    <t>JS1801</t>
    <phoneticPr fontId="2" type="noConversion"/>
  </si>
  <si>
    <t>有冇 生物、化學 其中兩科？</t>
    <phoneticPr fontId="2" type="noConversion"/>
  </si>
  <si>
    <t>以下兩科選修取得Lv.3︰生物、化學</t>
    <phoneticPr fontId="2" type="noConversion"/>
  </si>
  <si>
    <t>以下一科選修取得Lv.3︰生物、化學、組合科學</t>
    <phoneticPr fontId="2" type="noConversion"/>
  </si>
  <si>
    <t>JS1805</t>
    <phoneticPr fontId="2" type="noConversion"/>
  </si>
  <si>
    <t>有冇 生物、化學、組合科學 其中一科？</t>
    <phoneticPr fontId="2" type="noConversion"/>
  </si>
  <si>
    <t>College of Engineering</t>
    <phoneticPr fontId="2" type="noConversion"/>
  </si>
  <si>
    <t>College of Science</t>
    <phoneticPr fontId="2" type="noConversion"/>
  </si>
  <si>
    <t>Jockey Club College of Veterinary Medicine and Life Sciences</t>
    <phoneticPr fontId="2" type="noConversion"/>
  </si>
  <si>
    <t>School of Energy and Environment</t>
    <phoneticPr fontId="2" type="noConversion"/>
  </si>
  <si>
    <t>2021年</t>
  </si>
  <si>
    <t>Year (Offer)</t>
    <phoneticPr fontId="2" type="noConversion"/>
  </si>
  <si>
    <t>Year (Accept)</t>
    <phoneticPr fontId="2" type="noConversion"/>
  </si>
  <si>
    <t>Band A (Accept)</t>
    <phoneticPr fontId="2" type="noConversion"/>
  </si>
  <si>
    <t>Band B (Accept)</t>
    <phoneticPr fontId="2" type="noConversion"/>
  </si>
  <si>
    <t>Band C (Accept)</t>
    <phoneticPr fontId="2" type="noConversion"/>
  </si>
  <si>
    <t>Band D (Accept)</t>
    <phoneticPr fontId="2" type="noConversion"/>
  </si>
  <si>
    <t>Band E (Accept)</t>
    <phoneticPr fontId="2" type="noConversion"/>
  </si>
  <si>
    <t>Total (Accept)</t>
    <phoneticPr fontId="2" type="noConversion"/>
  </si>
  <si>
    <t>Band A (Offer)</t>
    <phoneticPr fontId="2" type="noConversion"/>
  </si>
  <si>
    <t>Band B (Offer)</t>
    <phoneticPr fontId="2" type="noConversion"/>
  </si>
  <si>
    <t>Band C (Offer)</t>
    <phoneticPr fontId="2" type="noConversion"/>
  </si>
  <si>
    <t>Band D (Offer)</t>
    <phoneticPr fontId="2" type="noConversion"/>
  </si>
  <si>
    <t>Band E (Offer)</t>
    <phoneticPr fontId="2" type="noConversion"/>
  </si>
  <si>
    <t>Total (Offer)</t>
    <phoneticPr fontId="2" type="noConversion"/>
  </si>
  <si>
    <t>2018年</t>
  </si>
  <si>
    <t>2019年</t>
  </si>
  <si>
    <t>JS1113</t>
    <phoneticPr fontId="2" type="noConversion"/>
  </si>
  <si>
    <t>JS1105(已更新為JS1109)</t>
    <phoneticPr fontId="2" type="noConversion"/>
  </si>
  <si>
    <t>此課程JUPAS編號先前為JS1105</t>
    <phoneticPr fontId="2" type="noConversion"/>
  </si>
  <si>
    <t>比重︰</t>
    <phoneticPr fontId="2" type="noConversion"/>
  </si>
  <si>
    <t>2021計分方式︰</t>
    <phoneticPr fontId="2" type="noConversion"/>
  </si>
  <si>
    <t>2022計分方式︰</t>
    <phoneticPr fontId="2" type="noConversion"/>
  </si>
  <si>
    <t>最佳六科必須包括︰英文、數學</t>
  </si>
  <si>
    <t>第一選修(x2.5): 生物、化學、組合科學、綜合科學、物理</t>
  </si>
  <si>
    <t>第一選修(x2.5): 生物、化學、組合科學、綜合科學、物理</t>
    <phoneticPr fontId="2" type="noConversion"/>
  </si>
  <si>
    <t>x1.5: 通識</t>
  </si>
  <si>
    <t>x1.5: 通識</t>
    <phoneticPr fontId="2" type="noConversion"/>
  </si>
  <si>
    <t>x1.5: 生物、化學、M1/2</t>
  </si>
  <si>
    <t>x1.5: 生物、化學、M1/2</t>
    <phoneticPr fontId="2" type="noConversion"/>
  </si>
  <si>
    <r>
      <t>*</t>
    </r>
    <r>
      <rPr>
        <i/>
        <sz val="10"/>
        <color theme="1"/>
        <rFont val="微軟正黑體"/>
        <family val="2"/>
        <charset val="136"/>
      </rPr>
      <t>斜體</t>
    </r>
    <r>
      <rPr>
        <sz val="10"/>
        <color theme="1"/>
        <rFont val="微軟正黑體"/>
        <family val="2"/>
        <charset val="136"/>
      </rPr>
      <t xml:space="preserve"> = 2022年新科目/新安排，</t>
    </r>
    <r>
      <rPr>
        <b/>
        <sz val="10"/>
        <color theme="1"/>
        <rFont val="微軟正黑體"/>
        <family val="2"/>
        <charset val="136"/>
      </rPr>
      <t>粗體</t>
    </r>
    <r>
      <rPr>
        <sz val="10"/>
        <color theme="1"/>
        <rFont val="微軟正黑體"/>
        <family val="2"/>
        <charset val="136"/>
      </rPr>
      <t xml:space="preserve"> = 有比重</t>
    </r>
    <phoneticPr fontId="2" type="noConversion"/>
  </si>
  <si>
    <t>語言比重</t>
    <phoneticPr fontId="2" type="noConversion"/>
  </si>
  <si>
    <t>RawScore</t>
    <phoneticPr fontId="2" type="noConversion"/>
  </si>
  <si>
    <t>最佳六科必須包括︰英文</t>
  </si>
  <si>
    <t>最佳五科必須包括︰英文、數學 及 以下其中一科︰</t>
  </si>
  <si>
    <t>x2.5: 英文、數學、組合科學(物理)、綜合科學、M1/2、物理</t>
  </si>
  <si>
    <t>x1.5: 中文</t>
  </si>
  <si>
    <t>生物、化學、組合科學、ICT、綜合科學、M1/2、物理</t>
  </si>
  <si>
    <t>最佳五科必須包括︰英文、數學</t>
  </si>
  <si>
    <t>x2: 英文、數學、組合科學(物理)、ICT、M1/2、物理</t>
  </si>
  <si>
    <t>x1.5: 生物、化學、組合科學(生物、化學)、綜合科學</t>
  </si>
  <si>
    <t>中文最後揀咗？</t>
  </si>
  <si>
    <t>英文最後揀咗？</t>
  </si>
  <si>
    <t>數學最後揀咗？</t>
  </si>
  <si>
    <t>通識最後揀咗？</t>
  </si>
  <si>
    <t xml:space="preserve"> M1/2最後揀咗？</t>
  </si>
  <si>
    <t xml:space="preserve"> X1最後揀咗？</t>
  </si>
  <si>
    <t xml:space="preserve"> X2最後揀咗？</t>
  </si>
  <si>
    <t xml:space="preserve"> X3最後揀咗？</t>
  </si>
  <si>
    <t xml:space="preserve"> X4最後揀咗？</t>
  </si>
  <si>
    <t xml:space="preserve"> 語言最後揀咗？</t>
  </si>
  <si>
    <t xml:space="preserve"> 語言最後揀咗？</t>
    <phoneticPr fontId="2" type="noConversion"/>
  </si>
  <si>
    <t>IF($D27="v",IF($C27="4C2X",IF(AH27&gt;LARGE($AH27:$AM27,3),TRUE),IF($C27="4C1X",IF(AH27&gt;LARGE($AH27:$AM27,2),TRUE),IF($C27="Best 5",IF(AH27&gt;LARGE($AD27:$AM27,6),TRUE),IF($C27="Best 6",IF(AH27&gt;LARGE($AD27:$AM27,7),TRUE))))),FALSE)</t>
    <phoneticPr fontId="2" type="noConversion"/>
  </si>
  <si>
    <t>IF($E27="E",IF($C27="4C2X",IF(AM27&gt;LARGE($AH27:$AM27,3),TRUE),IF($C27="4C1X",IF(AM27&gt;LARGE($AH27:$AM27,2),TRUE),IF($C27="Best 5",IF(AM27&gt;LARGE($AD27:$AM27,6),TRUE),IF($C27="Best 6",IF(AM27&gt;LARGE($AD27:$AM27,7),TRUE))))),FALSE)</t>
    <phoneticPr fontId="2" type="noConversion"/>
  </si>
  <si>
    <t>特別比重計算</t>
    <phoneticPr fontId="2" type="noConversion"/>
  </si>
  <si>
    <t>第一選修係?</t>
    <phoneticPr fontId="2" type="noConversion"/>
  </si>
  <si>
    <t>第二選修係?</t>
    <phoneticPr fontId="2" type="noConversion"/>
  </si>
  <si>
    <t>x2.5</t>
    <phoneticPr fontId="2" type="noConversion"/>
  </si>
  <si>
    <t>x1.5</t>
    <phoneticPr fontId="2" type="noConversion"/>
  </si>
  <si>
    <t>最佳理科</t>
    <phoneticPr fontId="2" type="noConversion"/>
  </si>
  <si>
    <t>生物、化學、組合科學(物理)、綜合科學、DAT、M1/2、物理</t>
    <phoneticPr fontId="2" type="noConversion"/>
  </si>
  <si>
    <t>數學定M1/2高分啲？</t>
    <phoneticPr fontId="2" type="noConversion"/>
  </si>
  <si>
    <t>x2: 英文、數學、生物、化學、組合科學、DAT、ICT、綜合科學、M1/2、物理</t>
  </si>
  <si>
    <t>x2: 英文、數學、生物、化學、組合科學、DAT、ICT、綜合科學、M1/2、物理</t>
    <phoneticPr fontId="2" type="noConversion"/>
  </si>
  <si>
    <t>x2: 英文、數學、生物、化學、組合科學、M1/2、物理</t>
    <phoneticPr fontId="2" type="noConversion"/>
  </si>
  <si>
    <t>中醫藥學院</t>
  </si>
  <si>
    <t>視覺藝術院</t>
  </si>
  <si>
    <t>JS2060</t>
    <phoneticPr fontId="2" type="noConversion"/>
  </si>
  <si>
    <t>JS2920</t>
    <phoneticPr fontId="2" type="noConversion"/>
  </si>
  <si>
    <t>JS2930</t>
    <phoneticPr fontId="2" type="noConversion"/>
  </si>
  <si>
    <t>跨學院課程</t>
    <phoneticPr fontId="2" type="noConversion"/>
  </si>
  <si>
    <t>最佳五科必須包括︰中文、英文</t>
    <phoneticPr fontId="2" type="noConversion"/>
  </si>
  <si>
    <t>其中一科選修必須為甲類科目(包括M1/2)</t>
    <phoneticPr fontId="2" type="noConversion"/>
  </si>
  <si>
    <t>x1.2: 英文</t>
    <phoneticPr fontId="2" type="noConversion"/>
  </si>
  <si>
    <t>x1.5: 中文、英文、生物</t>
    <phoneticPr fontId="2" type="noConversion"/>
  </si>
  <si>
    <t>x1.2: 數學</t>
    <phoneticPr fontId="2" type="noConversion"/>
  </si>
  <si>
    <t>2022年新科目</t>
  </si>
  <si>
    <t>x1.25: 化學、中國歷史、中國文學、組合科學、數學、物理</t>
    <phoneticPr fontId="2" type="noConversion"/>
  </si>
  <si>
    <t>x1.25: 生物、中國文學、組合科學、數學、物理</t>
    <phoneticPr fontId="2" type="noConversion"/>
  </si>
  <si>
    <t>x1.5: 中文、英文、化學</t>
    <phoneticPr fontId="2" type="noConversion"/>
  </si>
  <si>
    <t>JS2310</t>
    <phoneticPr fontId="2" type="noConversion"/>
  </si>
  <si>
    <t>x1.5: 中文、英文、生物 | x1.25: 化學</t>
    <phoneticPr fontId="2" type="noConversion"/>
  </si>
  <si>
    <t>x1.5: 英文、化學 | x1.25: 生物、數學</t>
    <phoneticPr fontId="2" type="noConversion"/>
  </si>
  <si>
    <t>中國歷史、中國文學、組合科學、數學、物理)</t>
    <phoneticPr fontId="2" type="noConversion"/>
  </si>
  <si>
    <t>JS2410</t>
    <phoneticPr fontId="2" type="noConversion"/>
  </si>
  <si>
    <t>(由於2022年更改了部份科目比重，經考慮後，此處將 *不會估算* 已被刪去的比重，包括︰</t>
    <phoneticPr fontId="2" type="noConversion"/>
  </si>
  <si>
    <t>中文、中國文學、組合科學、物理)</t>
    <phoneticPr fontId="2" type="noConversion"/>
  </si>
  <si>
    <r>
      <t>(由於2022年更改了部份科目比重，經考慮後，此處將</t>
    </r>
    <r>
      <rPr>
        <b/>
        <sz val="10"/>
        <rFont val="微軟正黑體"/>
        <family val="2"/>
        <charset val="136"/>
      </rPr>
      <t xml:space="preserve"> *不會估算*</t>
    </r>
    <r>
      <rPr>
        <sz val="10"/>
        <rFont val="微軟正黑體"/>
        <family val="2"/>
        <charset val="136"/>
      </rPr>
      <t xml:space="preserve"> 已被刪去的比重，包括︰</t>
    </r>
    <phoneticPr fontId="2" type="noConversion"/>
  </si>
  <si>
    <t>面試表現/OEA/SPN</t>
    <phoneticPr fontId="2" type="noConversion"/>
  </si>
  <si>
    <t>英文科成績</t>
    <phoneticPr fontId="2" type="noConversion"/>
  </si>
  <si>
    <t>優先考慮 英文 成績優異者</t>
    <phoneticPr fontId="2" type="noConversion"/>
  </si>
  <si>
    <t>有冇 化學、生物 其中一科?</t>
    <phoneticPr fontId="2" type="noConversion"/>
  </si>
  <si>
    <t>有冇 化學?</t>
    <phoneticPr fontId="2" type="noConversion"/>
  </si>
  <si>
    <t>JS2420</t>
    <phoneticPr fontId="2" type="noConversion"/>
  </si>
  <si>
    <t>優先考慮 中文、英文 成績優異者</t>
    <phoneticPr fontId="2" type="noConversion"/>
  </si>
  <si>
    <t>Applied Learning subjects  will be considered in the admissions selection process.</t>
    <phoneticPr fontId="2" type="noConversion"/>
  </si>
  <si>
    <t>以下一科選修取得Lv.3︰生物、化學</t>
    <phoneticPr fontId="2" type="noConversion"/>
  </si>
  <si>
    <t>以下一科選修取得Lv.3︰化學</t>
    <phoneticPr fontId="2" type="noConversion"/>
  </si>
  <si>
    <t xml:space="preserve">學系將審視申請人的音樂資歷。
</t>
    <phoneticPr fontId="2" type="noConversion"/>
  </si>
  <si>
    <t>優先考慮 中文 及 英文 成績優異者</t>
    <phoneticPr fontId="2" type="noConversion"/>
  </si>
  <si>
    <t>考生應以數碼形式準備作品集，以便匯報。作品應表現申請者的創意、講故事技巧和圖像概念。</t>
    <phoneticPr fontId="2" type="noConversion"/>
  </si>
  <si>
    <t>通過初審的申請者將會被安排進行個人或小組面試，申請人只須於面試期間匯報其作品集。</t>
  </si>
  <si>
    <t>通過初審的申請者將會被安排進行個人或小組面試，申請人只須於面試期間匯報其作品集。</t>
    <phoneticPr fontId="2" type="noConversion"/>
  </si>
  <si>
    <t>較前JUPAS Band排位</t>
    <phoneticPr fontId="2" type="noConversion"/>
  </si>
  <si>
    <t>額外資料3</t>
  </si>
  <si>
    <t>詳情請細閱以下網站: https://mus.hkbu.edu.hk/</t>
    <phoneticPr fontId="2" type="noConversion"/>
  </si>
  <si>
    <t xml:space="preserve">同學須遞交作品集，或參與入學面試/考試。 </t>
    <phoneticPr fontId="2" type="noConversion"/>
  </si>
  <si>
    <t>詳情請細閱以下網站:  http://af.hkbu.edu.hk/en/prog-bfa</t>
    <phoneticPr fontId="2" type="noConversion"/>
  </si>
  <si>
    <t>受邀的同學須參與入學測試及面試。</t>
    <phoneticPr fontId="2" type="noConversion"/>
  </si>
  <si>
    <t>申請人亦須遞交作品集。</t>
    <phoneticPr fontId="2" type="noConversion"/>
  </si>
  <si>
    <t>部份同學或會受邀參與面試。</t>
    <phoneticPr fontId="2" type="noConversion"/>
  </si>
  <si>
    <t>考生應以數碼形式準備作品集，以便匯報。作品應表現申請者的創意、視像及設計能力 和 動畫/遊戲設計的潛能。</t>
    <phoneticPr fontId="2" type="noConversion"/>
  </si>
  <si>
    <t>優先考慮 理科* 成績優異者</t>
    <phoneticPr fontId="2" type="noConversion"/>
  </si>
  <si>
    <t>*理科: 化學、生物、物理、數學、ICT、組合科學、綜合科學</t>
    <phoneticPr fontId="2" type="noConversion"/>
  </si>
  <si>
    <t>申請人須遞交作品集，受邀的同學須參與入學測試及面試。</t>
    <phoneticPr fontId="2" type="noConversion"/>
  </si>
  <si>
    <t>有關作品集指引、考核詳情及時間表，請查閱以下網站: https://ava.hkbu.edu.hk/en/bachelor/admission</t>
    <phoneticPr fontId="2" type="noConversion"/>
  </si>
  <si>
    <t>申請人須遞交作品集及參與入學面試。</t>
    <phoneticPr fontId="2" type="noConversion"/>
  </si>
  <si>
    <t>2021比重3</t>
  </si>
  <si>
    <t>語言比重</t>
  </si>
  <si>
    <t>*無比重的學科 (如 JS2020, JS2025)，將直接以其計分方式計算 (如 4C2X，將會將4科主科分數相加，再加上最高的2科選修)。</t>
    <phoneticPr fontId="2" type="noConversion"/>
  </si>
  <si>
    <t>*只有主科有比重的學科 (如 JS2310)，則會直接為主科計算比重，然後再加上剩餘科目分數。</t>
    <phoneticPr fontId="2" type="noConversion"/>
  </si>
  <si>
    <t>常見問題:</t>
    <phoneticPr fontId="2" type="noConversion"/>
  </si>
  <si>
    <t>JS2020 文學士 是否計錯分？為何LQ會高過Median?</t>
    <phoneticPr fontId="2" type="noConversion"/>
  </si>
  <si>
    <t>Q:</t>
    <phoneticPr fontId="2" type="noConversion"/>
  </si>
  <si>
    <t>答:</t>
    <phoneticPr fontId="2" type="noConversion"/>
  </si>
  <si>
    <t>浸大公佈的分數的確如此，同學亦可自行驗算。事實上院校在收生時，除了DSE分數，亦有不同考慮，例如面試表現、OEA等。</t>
    <phoneticPr fontId="2" type="noConversion"/>
  </si>
  <si>
    <r>
      <t>由於院校公佈的 LQ/Median等數字，其實以綜合了所有表現的</t>
    </r>
    <r>
      <rPr>
        <b/>
        <sz val="10"/>
        <color theme="1"/>
        <rFont val="微軟正黑體"/>
        <family val="2"/>
        <charset val="136"/>
      </rPr>
      <t>整體收生分數</t>
    </r>
    <r>
      <rPr>
        <sz val="10"/>
        <color theme="1"/>
        <rFont val="微軟正黑體"/>
        <family val="2"/>
        <charset val="136"/>
      </rPr>
      <t>作排序，所以是可以出現DSE分數較低，但其他表現分數較高的情況。</t>
    </r>
    <phoneticPr fontId="2" type="noConversion"/>
  </si>
  <si>
    <t>JS2410 及 JS2420 的計分方式為甚麼這麼複雜？你是以甚麼作為估算比重的標準？</t>
    <phoneticPr fontId="2" type="noConversion"/>
  </si>
  <si>
    <t>這兩科在往年有大量不同的選修科比重，例如 中國歷史、中國文學等等。然而今年兩科皆刪去了大量科目的比重，只剩下主科及理科有比重。</t>
    <phoneticPr fontId="2" type="noConversion"/>
  </si>
  <si>
    <t>正常情況下，我均會以往年的計分方式作估算。但由於刪去比重，意味着中國文學等的選修均不再有優勢，如果仍在估算時施加比重，</t>
    <phoneticPr fontId="2" type="noConversion"/>
  </si>
  <si>
    <t>估算的本質始於是「估」，總會有誤差，所以基於風險為上的原則，必然是估高好過估低，保守好過冒險。</t>
    <phoneticPr fontId="2" type="noConversion"/>
  </si>
  <si>
    <t>或會令同學高估自己的入學機率，繼而失手。故此，忽略刪去的比重更能反映同學分數的實際水平，以及與今年同儕間的實際差距。</t>
    <phoneticPr fontId="2" type="noConversion"/>
  </si>
  <si>
    <t>BA (Hons) Chinese</t>
    <phoneticPr fontId="2" type="noConversion"/>
  </si>
  <si>
    <t>面試3</t>
  </si>
  <si>
    <t>(Combined intake for programs JS5102 and JS5103)</t>
  </si>
  <si>
    <t>(Combined intake for programs JS5311, JS5314, JS5315, JS5316 &amp; JS5317)</t>
  </si>
  <si>
    <t>Subject to review</t>
  </si>
  <si>
    <t>Subject to the approval of HKCAAVQ and the relevant professional body</t>
  </si>
  <si>
    <t>Subject to the approval by the Nursing Council of Hong Kong</t>
  </si>
  <si>
    <t>This is the intake quota for 2022/23 cohort</t>
  </si>
  <si>
    <t>*以JS2420為例，其比重為 「英文、化學」x1.5、 「生物、數學」x1.25</t>
    <phoneticPr fontId="2" type="noConversion"/>
  </si>
  <si>
    <r>
      <t>*其中位數(Median)詳細分數為︰中文 4 、英文 4 、數學 4 、通識 4 、選修一  5 、選修二  4 、選修三 4 ，此處將假設其兩科選修</t>
    </r>
    <r>
      <rPr>
        <b/>
        <sz val="10"/>
        <rFont val="微軟正黑體"/>
        <family val="2"/>
        <charset val="136"/>
      </rPr>
      <t>「食中曬比重」</t>
    </r>
    <r>
      <rPr>
        <sz val="10"/>
        <rFont val="微軟正黑體"/>
        <family val="2"/>
        <charset val="136"/>
      </rPr>
      <t>，即為 「化學」(x1.5) 及「生物」(x1.25)。</t>
    </r>
    <phoneticPr fontId="2" type="noConversion"/>
  </si>
  <si>
    <r>
      <t>*計算比重後，分數為︰中文 4 (</t>
    </r>
    <r>
      <rPr>
        <b/>
        <sz val="10"/>
        <rFont val="微軟正黑體"/>
        <family val="2"/>
        <charset val="136"/>
      </rPr>
      <t>4</t>
    </r>
    <r>
      <rPr>
        <sz val="10"/>
        <rFont val="微軟正黑體"/>
        <family val="2"/>
        <charset val="136"/>
      </rPr>
      <t>)、英文 4x1.5 (</t>
    </r>
    <r>
      <rPr>
        <b/>
        <sz val="10"/>
        <rFont val="微軟正黑體"/>
        <family val="2"/>
        <charset val="136"/>
      </rPr>
      <t>6</t>
    </r>
    <r>
      <rPr>
        <sz val="10"/>
        <rFont val="微軟正黑體"/>
        <family val="2"/>
        <charset val="136"/>
      </rPr>
      <t>) 、數學 4x1.25 (</t>
    </r>
    <r>
      <rPr>
        <b/>
        <sz val="10"/>
        <rFont val="微軟正黑體"/>
        <family val="2"/>
        <charset val="136"/>
      </rPr>
      <t>5</t>
    </r>
    <r>
      <rPr>
        <sz val="10"/>
        <rFont val="微軟正黑體"/>
        <family val="2"/>
        <charset val="136"/>
      </rPr>
      <t>) 、通識 4 (</t>
    </r>
    <r>
      <rPr>
        <b/>
        <sz val="10"/>
        <rFont val="微軟正黑體"/>
        <family val="2"/>
        <charset val="136"/>
      </rPr>
      <t>4</t>
    </r>
    <r>
      <rPr>
        <sz val="10"/>
        <rFont val="微軟正黑體"/>
        <family val="2"/>
        <charset val="136"/>
      </rPr>
      <t>) 、選修一  5x1.5 (</t>
    </r>
    <r>
      <rPr>
        <b/>
        <sz val="10"/>
        <rFont val="微軟正黑體"/>
        <family val="2"/>
        <charset val="136"/>
      </rPr>
      <t>7.5</t>
    </r>
    <r>
      <rPr>
        <sz val="10"/>
        <rFont val="微軟正黑體"/>
        <family val="2"/>
        <charset val="136"/>
      </rPr>
      <t>) 、選修二  4x1.25 (</t>
    </r>
    <r>
      <rPr>
        <b/>
        <sz val="10"/>
        <rFont val="微軟正黑體"/>
        <family val="2"/>
        <charset val="136"/>
      </rPr>
      <t>5</t>
    </r>
    <r>
      <rPr>
        <sz val="10"/>
        <rFont val="微軟正黑體"/>
        <family val="2"/>
        <charset val="136"/>
      </rPr>
      <t xml:space="preserve">) 、選修三  4 (4) </t>
    </r>
    <phoneticPr fontId="2" type="noConversion"/>
  </si>
  <si>
    <r>
      <t xml:space="preserve">*最後以其計分方式，即 Best 5 作挑選，得出︰7.5 + 6 + 5 +5 + 4 = </t>
    </r>
    <r>
      <rPr>
        <b/>
        <sz val="10"/>
        <rFont val="微軟正黑體"/>
        <family val="2"/>
        <charset val="136"/>
      </rPr>
      <t>27.5</t>
    </r>
    <phoneticPr fontId="2" type="noConversion"/>
  </si>
  <si>
    <t>物理學(榮譽)理學士 副主修人工智能及數據分析 / 創新及創業</t>
    <phoneticPr fontId="2" type="noConversion"/>
  </si>
  <si>
    <t>PHYSICS</t>
    <phoneticPr fontId="2" type="noConversion"/>
  </si>
  <si>
    <t>康復治療科學(榮譽)理學士組合課程 - 物理治療學(榮譽)理學士</t>
    <phoneticPr fontId="2" type="noConversion"/>
  </si>
  <si>
    <t>建築及環境學院</t>
  </si>
  <si>
    <t>建築及環境學院</t>
    <phoneticPr fontId="2" type="noConversion"/>
  </si>
  <si>
    <t>設計學院</t>
  </si>
  <si>
    <t>時裝及紡織學院</t>
  </si>
  <si>
    <t>時裝及紡織學院</t>
    <phoneticPr fontId="2" type="noConversion"/>
  </si>
  <si>
    <t>酒店及旅遊業管理學院</t>
    <phoneticPr fontId="2" type="noConversion"/>
  </si>
  <si>
    <t>合併前課程</t>
  </si>
  <si>
    <t>合併前課程</t>
    <phoneticPr fontId="2" type="noConversion"/>
  </si>
  <si>
    <t>舊編號</t>
  </si>
  <si>
    <t>舊編號</t>
    <phoneticPr fontId="2" type="noConversion"/>
  </si>
  <si>
    <t>x10: 英文、數學、生物、化學、組合科學</t>
    <phoneticPr fontId="2" type="noConversion"/>
  </si>
  <si>
    <t>x7: 中文、通識</t>
    <phoneticPr fontId="2" type="noConversion"/>
  </si>
  <si>
    <t>x5: 其他科目</t>
    <phoneticPr fontId="2" type="noConversion"/>
  </si>
  <si>
    <t>x10: 英文、數學</t>
    <phoneticPr fontId="2" type="noConversion"/>
  </si>
  <si>
    <t>x10: 英文、數學、M1/2、物理、組合科學(物理)</t>
    <phoneticPr fontId="2" type="noConversion"/>
  </si>
  <si>
    <t>x10: 英文</t>
    <phoneticPr fontId="2" type="noConversion"/>
  </si>
  <si>
    <t>x7: 中文、數學、通識</t>
    <phoneticPr fontId="2" type="noConversion"/>
  </si>
  <si>
    <t>x10: 英文、數學、物理、組合科學(物理)</t>
    <phoneticPr fontId="2" type="noConversion"/>
  </si>
  <si>
    <t>x10: 中文、英文、數學、M1/2、生物、化學、物理、組合科學、經濟、地理、綜合科學</t>
    <phoneticPr fontId="2" type="noConversion"/>
  </si>
  <si>
    <t>x10: 英文、數學、M1/2、物理、組合科學(物理)、地理、ICT、綜合科學</t>
    <phoneticPr fontId="2" type="noConversion"/>
  </si>
  <si>
    <t>x7: 通識</t>
    <phoneticPr fontId="2" type="noConversion"/>
  </si>
  <si>
    <t>x10: 英文、數學、M1/2、化學、物理、組合科學(物理、化學)、ICT</t>
    <phoneticPr fontId="2" type="noConversion"/>
  </si>
  <si>
    <t>x10: 數學、M1/2、生物、化學、物理、組合科學</t>
    <phoneticPr fontId="2" type="noConversion"/>
  </si>
  <si>
    <t>x7: 中文、英文、通識</t>
    <phoneticPr fontId="2" type="noConversion"/>
  </si>
  <si>
    <t>x10: 英文、數學、M1/2、生物、化學、物理、組合科學、ICT</t>
    <phoneticPr fontId="2" type="noConversion"/>
  </si>
  <si>
    <t>x10: 英文、數學、M1/2、生物、化學、物理、BAFS、組合科學、經濟、ICT</t>
    <phoneticPr fontId="2" type="noConversion"/>
  </si>
  <si>
    <t>中英Best3</t>
    <phoneticPr fontId="2" type="noConversion"/>
  </si>
  <si>
    <t>x10: 中文、英文</t>
    <phoneticPr fontId="2" type="noConversion"/>
  </si>
  <si>
    <t>x7: 數學、通識</t>
    <phoneticPr fontId="2" type="noConversion"/>
  </si>
  <si>
    <t>x10: 英文、化學、組合科學(化學)、DAT、視覺藝術</t>
    <phoneticPr fontId="2" type="noConversion"/>
  </si>
  <si>
    <t>x10: 中文、英文、數學、通識、DAT、視覺藝術</t>
    <phoneticPr fontId="2" type="noConversion"/>
  </si>
  <si>
    <t>x7: 中文、英文、數學、通識</t>
    <phoneticPr fontId="2" type="noConversion"/>
  </si>
  <si>
    <t>x10: 英文、數學、M1/2、生物、化學、組合科學(生物、化學)</t>
    <phoneticPr fontId="2" type="noConversion"/>
  </si>
  <si>
    <t>x10: 中文、英文、數學、通識、生物、組合科學(生物)</t>
    <phoneticPr fontId="2" type="noConversion"/>
  </si>
  <si>
    <t>x10: 中文、英文、生物、物理、組合科學</t>
    <phoneticPr fontId="2" type="noConversion"/>
  </si>
  <si>
    <t>x10: 英文、數學、M1/2、生物、化學、物理、組合科學</t>
    <phoneticPr fontId="2" type="noConversion"/>
  </si>
  <si>
    <t>x10: 中文、英文、生物、物理、組合科學(物理、生物)</t>
    <phoneticPr fontId="2" type="noConversion"/>
  </si>
  <si>
    <t>x10: 中文、英文、數學、生物、化學、物理、組合科學</t>
    <phoneticPr fontId="2" type="noConversion"/>
  </si>
  <si>
    <t>x10: 英文、數學、M1/2、物理、化學、生物、組合科學</t>
    <phoneticPr fontId="2" type="noConversion"/>
  </si>
  <si>
    <t>x10: 英文、數學、生物、組合科學(生物)</t>
    <phoneticPr fontId="2" type="noConversion"/>
  </si>
  <si>
    <t>x10: 英文、數學、化學、組合科學(化學)</t>
    <phoneticPr fontId="2" type="noConversion"/>
  </si>
  <si>
    <t>x10: 中文、英文、數學、M1/2、通識、生物、化學、物理、組合科學、經濟、地理、綜合科學</t>
    <phoneticPr fontId="2" type="noConversion"/>
  </si>
  <si>
    <t>x10: 英文、化學、組合科學(化學)、DAT、視藝藝術</t>
    <phoneticPr fontId="2" type="noConversion"/>
  </si>
  <si>
    <t>平均分</t>
    <phoneticPr fontId="2" type="noConversion"/>
  </si>
  <si>
    <t>個別平均分</t>
    <phoneticPr fontId="2" type="noConversion"/>
  </si>
  <si>
    <t>JS3010</t>
    <phoneticPr fontId="2" type="noConversion"/>
  </si>
  <si>
    <t>額外資料4</t>
  </si>
  <si>
    <t>此課程為PolyU今年新增的組合課程，</t>
    <phoneticPr fontId="2" type="noConversion"/>
  </si>
  <si>
    <t>詳情可查看「額外資料」。</t>
    <phoneticPr fontId="2" type="noConversion"/>
  </si>
  <si>
    <t>PolyU Old Code1</t>
    <phoneticPr fontId="2" type="noConversion"/>
  </si>
  <si>
    <t>PolyU Old Name1</t>
    <phoneticPr fontId="2" type="noConversion"/>
  </si>
  <si>
    <t>PolyU Old Mark 1</t>
    <phoneticPr fontId="2" type="noConversion"/>
  </si>
  <si>
    <t>詳解︰</t>
    <phoneticPr fontId="2" type="noConversion"/>
  </si>
  <si>
    <t>PolyU Old Weighting 1.1</t>
    <phoneticPr fontId="2" type="noConversion"/>
  </si>
  <si>
    <t>PolyU Old Weighting 1.2</t>
  </si>
  <si>
    <t>PolyU Old Weighting 1.3</t>
  </si>
  <si>
    <t>此組合課程由以下舊課程合併/整合而成︰</t>
    <phoneticPr fontId="2" type="noConversion"/>
  </si>
  <si>
    <t>個別Mean</t>
    <phoneticPr fontId="2" type="noConversion"/>
  </si>
  <si>
    <t>Debug</t>
    <phoneticPr fontId="2" type="noConversion"/>
  </si>
  <si>
    <t>X2</t>
    <phoneticPr fontId="2" type="noConversion"/>
  </si>
  <si>
    <t>X3</t>
    <phoneticPr fontId="2" type="noConversion"/>
  </si>
  <si>
    <t>詳細比重請查看下方分數比較區</t>
    <phoneticPr fontId="2" type="noConversion"/>
  </si>
  <si>
    <t>JS3478</t>
    <phoneticPr fontId="2" type="noConversion"/>
  </si>
  <si>
    <t>JS3492</t>
    <phoneticPr fontId="2" type="noConversion"/>
  </si>
  <si>
    <t>JS3557</t>
    <phoneticPr fontId="2" type="noConversion"/>
  </si>
  <si>
    <t>JS3569</t>
    <phoneticPr fontId="2" type="noConversion"/>
  </si>
  <si>
    <t>JS3636</t>
    <phoneticPr fontId="2" type="noConversion"/>
  </si>
  <si>
    <t>JS3648</t>
    <phoneticPr fontId="2" type="noConversion"/>
  </si>
  <si>
    <t>JS3868</t>
    <phoneticPr fontId="2" type="noConversion"/>
  </si>
  <si>
    <t>JS3337</t>
    <phoneticPr fontId="2" type="noConversion"/>
  </si>
  <si>
    <t>21年Mean</t>
    <phoneticPr fontId="2" type="noConversion"/>
  </si>
  <si>
    <t>Mean(無比重)</t>
    <phoneticPr fontId="2" type="noConversion"/>
  </si>
  <si>
    <t>舊計分方式</t>
    <phoneticPr fontId="2" type="noConversion"/>
  </si>
  <si>
    <t>中文有較高比重</t>
    <phoneticPr fontId="2" type="noConversion"/>
  </si>
  <si>
    <t>(此處作 x1.5)</t>
    <phoneticPr fontId="2" type="noConversion"/>
  </si>
  <si>
    <t>優先考慮修讀 英語文學 者</t>
    <phoneticPr fontId="2" type="noConversion"/>
  </si>
  <si>
    <t>優先考慮修讀 視覺藝術 者</t>
    <phoneticPr fontId="2" type="noConversion"/>
  </si>
  <si>
    <t>優先考慮修讀 音樂 者</t>
    <phoneticPr fontId="2" type="noConversion"/>
  </si>
  <si>
    <t>優先考慮 英文 考獲Lv.4或以上者</t>
    <phoneticPr fontId="2" type="noConversion"/>
  </si>
  <si>
    <t>若數學科只考獲Lv.4或以下，M1/2需考獲Lv.5</t>
    <phoneticPr fontId="2" type="noConversion"/>
  </si>
  <si>
    <t>最佳五科必須包括︰英文 及 [數學 和 M1/2] 其中最佳一科</t>
    <phoneticPr fontId="2" type="noConversion"/>
  </si>
  <si>
    <t>JS4238</t>
    <phoneticPr fontId="2" type="noConversion"/>
  </si>
  <si>
    <t>RawScore for Display</t>
    <phoneticPr fontId="2" type="noConversion"/>
  </si>
  <si>
    <t>優先考慮 數學 考獲Lv.4或以上者</t>
    <phoneticPr fontId="2" type="noConversion"/>
  </si>
  <si>
    <t>x2: 英文、通識</t>
    <phoneticPr fontId="2" type="noConversion"/>
  </si>
  <si>
    <t>最佳五科必須包括︰中文</t>
    <phoneticPr fontId="2" type="noConversion"/>
  </si>
  <si>
    <t>英文有較高比重</t>
    <phoneticPr fontId="2" type="noConversion"/>
  </si>
  <si>
    <t>最佳五科必須包括︰數學、M1/2</t>
    <phoneticPr fontId="2" type="noConversion"/>
  </si>
  <si>
    <t>中文、英文、數學、M1/2 有較高比重</t>
    <phoneticPr fontId="2" type="noConversion"/>
  </si>
  <si>
    <t>優先考慮修讀以下科目者︰</t>
    <phoneticPr fontId="2" type="noConversion"/>
  </si>
  <si>
    <t>M1/2、生物、BAFS、化學、組合科學、經濟、ICT、物理</t>
    <phoneticPr fontId="2" type="noConversion"/>
  </si>
  <si>
    <t>x1.75: 數學、M1/2</t>
    <phoneticPr fontId="2" type="noConversion"/>
  </si>
  <si>
    <t>x1.5: [M1/2、化學、物理或經濟] 其中最佳一科</t>
    <phoneticPr fontId="2" type="noConversion"/>
  </si>
  <si>
    <t>x1.5: 生物、BAFS、化學、組合科學、經濟、ICT、物理</t>
    <phoneticPr fontId="2" type="noConversion"/>
  </si>
  <si>
    <t>x1.25: 數學、M1/2</t>
    <phoneticPr fontId="2" type="noConversion"/>
  </si>
  <si>
    <t>x1.5: 數學、M1/2、物理</t>
    <phoneticPr fontId="2" type="noConversion"/>
  </si>
  <si>
    <t>x1.5: [M1/2、數學] 其中最佳一科</t>
    <phoneticPr fontId="2" type="noConversion"/>
  </si>
  <si>
    <t>x1.5: 英文、生物、化學、組合科學、物理</t>
    <phoneticPr fontId="2" type="noConversion"/>
  </si>
  <si>
    <t>x1.5: 數學、M1/2、生物、化學、組合科學、DAT、ICT、物理</t>
    <phoneticPr fontId="2" type="noConversion"/>
  </si>
  <si>
    <t>x1.2: 經濟、地理</t>
    <phoneticPr fontId="2" type="noConversion"/>
  </si>
  <si>
    <t>x0.5: 通識</t>
    <phoneticPr fontId="2" type="noConversion"/>
  </si>
  <si>
    <t>M1/2、生物、化學、組合科學、ICT、物理</t>
    <phoneticPr fontId="2" type="noConversion"/>
  </si>
  <si>
    <t>x1.5: 生物、化學、組合科學、ICT、物理</t>
    <phoneticPr fontId="2" type="noConversion"/>
  </si>
  <si>
    <t>優先考慮修讀 化學、生物 者</t>
    <phoneticPr fontId="2" type="noConversion"/>
  </si>
  <si>
    <t>優先考慮修讀 第三科選修 及/或 M1/2 者</t>
    <phoneticPr fontId="2" type="noConversion"/>
  </si>
  <si>
    <t>優先考慮修讀以下科目者:</t>
    <phoneticPr fontId="2" type="noConversion"/>
  </si>
  <si>
    <t>生物、化學、物理、組合科學、綜合科學</t>
    <phoneticPr fontId="2" type="noConversion"/>
  </si>
  <si>
    <t>生物、化學、物理、組合科學、綜合科學 有較高比重</t>
    <phoneticPr fontId="2" type="noConversion"/>
  </si>
  <si>
    <t>x2: 數學、M1/2、物理、生物、化學、組合科學、綜合科學</t>
    <phoneticPr fontId="2" type="noConversion"/>
  </si>
  <si>
    <t>x1.5: 中文或英文、經濟、地理、ICT、科技與生活</t>
    <phoneticPr fontId="2" type="noConversion"/>
  </si>
  <si>
    <t>註: 只有最多三科將會用以計算比重</t>
    <phoneticPr fontId="2" type="noConversion"/>
  </si>
  <si>
    <t>M1/2、生物、化學、組合科學、經濟、地理、ICT、綜合科學、物理、科技與生活</t>
    <phoneticPr fontId="2" type="noConversion"/>
  </si>
  <si>
    <t>(此處作x1.5)</t>
    <phoneticPr fontId="2" type="noConversion"/>
  </si>
  <si>
    <t>JS4648</t>
    <phoneticPr fontId="2" type="noConversion"/>
  </si>
  <si>
    <t xml:space="preserve">較高比重科目: </t>
    <phoneticPr fontId="2" type="noConversion"/>
  </si>
  <si>
    <t>英文、數學、M1/2、物理、生物、化學、組合科學、綜合科學、地理</t>
    <phoneticPr fontId="2" type="noConversion"/>
  </si>
  <si>
    <t>M1/2 有更高比重</t>
    <phoneticPr fontId="2" type="noConversion"/>
  </si>
  <si>
    <t>(此處作x2)</t>
    <phoneticPr fontId="2" type="noConversion"/>
  </si>
  <si>
    <t>優先考慮 M1/2 成績優異者</t>
    <phoneticPr fontId="2" type="noConversion"/>
  </si>
  <si>
    <t>x2: 數學、M1/2</t>
    <phoneticPr fontId="2" type="noConversion"/>
  </si>
  <si>
    <t>較高比重科目: 數學、M1/2、物理</t>
    <phoneticPr fontId="2" type="noConversion"/>
  </si>
  <si>
    <t>優先考慮修讀  M1/2 者</t>
    <phoneticPr fontId="2" type="noConversion"/>
  </si>
  <si>
    <t>x1.3: 英文</t>
    <phoneticPr fontId="2" type="noConversion"/>
  </si>
  <si>
    <t>x1.25: 中文、通識</t>
    <phoneticPr fontId="2" type="noConversion"/>
  </si>
  <si>
    <t>x1.3: 中文、英文</t>
    <phoneticPr fontId="2" type="noConversion"/>
  </si>
  <si>
    <t>x1.5: 英文、數學</t>
  </si>
  <si>
    <t>x1.5: 英文、數學</t>
    <phoneticPr fontId="2" type="noConversion"/>
  </si>
  <si>
    <t>x1.5: 英文、通識</t>
    <phoneticPr fontId="2" type="noConversion"/>
  </si>
  <si>
    <t>x1.25: 英文</t>
    <phoneticPr fontId="2" type="noConversion"/>
  </si>
  <si>
    <t>x1.5: 數學、生物、化學、組合科學、DAT、ICT、物理</t>
    <phoneticPr fontId="2" type="noConversion"/>
  </si>
  <si>
    <t>x1.75: M1/2</t>
    <phoneticPr fontId="2" type="noConversion"/>
  </si>
  <si>
    <t>x1.25: 生物、化學、組合科學、DAT、ICT</t>
    <phoneticPr fontId="2" type="noConversion"/>
  </si>
  <si>
    <t>x0.75: 通識</t>
    <phoneticPr fontId="2" type="noConversion"/>
  </si>
  <si>
    <t>x2: 數學、M1/2、生物、化學、組合科學、經濟、ICT、物理</t>
    <phoneticPr fontId="2" type="noConversion"/>
  </si>
  <si>
    <t>M1/2、生物、化學、組合科學、DAT、ICT、物理</t>
    <phoneticPr fontId="2" type="noConversion"/>
  </si>
  <si>
    <t>M1/2、生物、化學、組合科學、經濟、ICT、物理</t>
    <phoneticPr fontId="2" type="noConversion"/>
  </si>
  <si>
    <t>x2: 數學 | x1.75: M1/2</t>
    <phoneticPr fontId="2" type="noConversion"/>
  </si>
  <si>
    <t>x1.5: 生物、化學、組合科學、DAT、ICT、物理</t>
    <phoneticPr fontId="2" type="noConversion"/>
  </si>
  <si>
    <t>x1.5: 數學、M1/2、生物、BAFS、化學、組合科學、經濟、ICT、物理</t>
    <phoneticPr fontId="2" type="noConversion"/>
  </si>
  <si>
    <t>生物、化學、組合科學、ICT、物理</t>
    <phoneticPr fontId="2" type="noConversion"/>
  </si>
  <si>
    <t>有較高比重 (此處作 x1.5)</t>
    <phoneticPr fontId="2" type="noConversion"/>
  </si>
  <si>
    <t>[生物、化學、物理、組合科學、綜合科學] 其中最佳一科</t>
    <phoneticPr fontId="2" type="noConversion"/>
  </si>
  <si>
    <t>英文、數學、M1/2、物理、生物、化學、組合科學、地理</t>
    <phoneticPr fontId="2" type="noConversion"/>
  </si>
  <si>
    <t>理學院/商學院</t>
    <phoneticPr fontId="2" type="noConversion"/>
  </si>
  <si>
    <t>理學院/工程學院</t>
    <phoneticPr fontId="2" type="noConversion"/>
  </si>
  <si>
    <t>工程學院/理學院</t>
    <phoneticPr fontId="2" type="noConversion"/>
  </si>
  <si>
    <t>教育學院/工程學院/理學院</t>
    <phoneticPr fontId="2" type="noConversion"/>
  </si>
  <si>
    <t>x1.5: 英文、地理</t>
    <phoneticPr fontId="2" type="noConversion"/>
  </si>
  <si>
    <t>此課程鼓勵申請人向學校遞交 設計作品集。 詳情請細閱學校網站。</t>
    <phoneticPr fontId="2" type="noConversion"/>
  </si>
  <si>
    <t>http://www.arch.cuhk.edu.hk/programme/bachelor-social-science-architectural-studies/</t>
    <phoneticPr fontId="2" type="noConversion"/>
  </si>
  <si>
    <t>ApL-Bonus</t>
    <phoneticPr fontId="2" type="noConversion"/>
  </si>
  <si>
    <t>入學要求1</t>
    <phoneticPr fontId="2" type="noConversion"/>
  </si>
  <si>
    <t>要求2</t>
    <phoneticPr fontId="2" type="noConversion"/>
  </si>
  <si>
    <t>申請人應於某種樂器/聲樂考獲8級或以上。</t>
    <phoneticPr fontId="2" type="noConversion"/>
  </si>
  <si>
    <t xml:space="preserve">若同學於 數學科 只考獲Lv.4或以下，M1/2需考獲Lv.5 </t>
    <phoneticPr fontId="2" type="noConversion"/>
  </si>
  <si>
    <t>申請人應考獲以下資歷︰</t>
    <phoneticPr fontId="2" type="noConversion"/>
  </si>
  <si>
    <t>TOEFL 600分 (紙筆) / 100分 (網上) 或 IELTS 7.0 或 英文母語證明</t>
    <phoneticPr fontId="2" type="noConversion"/>
  </si>
  <si>
    <t>M1/2 需取得Lv.3或以上</t>
    <phoneticPr fontId="2" type="noConversion"/>
  </si>
  <si>
    <t>以下一科選修取得Lv.3︰M1/2、生物、化學、組合科學、物理</t>
    <phoneticPr fontId="2" type="noConversion"/>
  </si>
  <si>
    <t>以下一科選修取得Lv.3︰M1/2、生物、化學、組合科學、DAT、ICT、物理</t>
    <phoneticPr fontId="2" type="noConversion"/>
  </si>
  <si>
    <t>以下一科選修取得Lv.3︰M1/2、生物、化學、組合科學、ICT、物理</t>
    <phoneticPr fontId="2" type="noConversion"/>
  </si>
  <si>
    <t>數學科考獲 Lv.4 及 其他科目考獲優異成績的考生</t>
    <phoneticPr fontId="2" type="noConversion"/>
  </si>
  <si>
    <t>以下一科選修取得Lv.3︰M1/2、生物、化學、組合科學、綜合科學、物理</t>
    <phoneticPr fontId="2" type="noConversion"/>
  </si>
  <si>
    <t>以下一科選修取得Lv.3︰生物、化學、組合科學、經濟、地理、ICT、綜合科學、物理、科技與生活</t>
    <phoneticPr fontId="2" type="noConversion"/>
  </si>
  <si>
    <t>以下一科選修取得Lv.3︰M1/2、生物、化學、組合科學、經濟、地理、ICT、綜合科學、科技與生活</t>
    <phoneticPr fontId="2" type="noConversion"/>
  </si>
  <si>
    <t>M1/2 需取得Lv.5或以上</t>
    <phoneticPr fontId="2" type="noConversion"/>
  </si>
  <si>
    <t>數學有冇Lv5?</t>
    <phoneticPr fontId="2" type="noConversion"/>
  </si>
  <si>
    <t>M1/2有冇Lv.5?</t>
    <phoneticPr fontId="2" type="noConversion"/>
  </si>
  <si>
    <t>符唔符合資格</t>
    <phoneticPr fontId="2" type="noConversion"/>
  </si>
  <si>
    <t>M1/2、生物、化學、組合科學、物理</t>
    <phoneticPr fontId="2" type="noConversion"/>
  </si>
  <si>
    <t>有冇 理科?</t>
    <phoneticPr fontId="2" type="noConversion"/>
  </si>
  <si>
    <t>JS4408</t>
    <phoneticPr fontId="2" type="noConversion"/>
  </si>
  <si>
    <t>JS4462</t>
    <phoneticPr fontId="2" type="noConversion"/>
  </si>
  <si>
    <t>JS4434</t>
    <phoneticPr fontId="2" type="noConversion"/>
  </si>
  <si>
    <t>JS4468</t>
    <phoneticPr fontId="2" type="noConversion"/>
  </si>
  <si>
    <t>有冇 生物、化學 其中一科?</t>
    <phoneticPr fontId="2" type="noConversion"/>
  </si>
  <si>
    <t>JS4501</t>
    <phoneticPr fontId="2" type="noConversion"/>
  </si>
  <si>
    <t>JS4550</t>
    <phoneticPr fontId="2" type="noConversion"/>
  </si>
  <si>
    <t>M1/2、生物、化學、組合科學、綜合科學、物理</t>
    <phoneticPr fontId="2" type="noConversion"/>
  </si>
  <si>
    <t>M1/2、生物、化學、組合科學、地理、物理</t>
    <phoneticPr fontId="2" type="noConversion"/>
  </si>
  <si>
    <t>生物、化學、組合科學、經濟、地理、ICT、綜合科學、物理、科技與生活</t>
    <phoneticPr fontId="2" type="noConversion"/>
  </si>
  <si>
    <t>JS4690</t>
    <phoneticPr fontId="2" type="noConversion"/>
  </si>
  <si>
    <t>M1/2、生物、化學、組合科學、經濟、地理、ICT、綜合科學、科技與生活</t>
    <phoneticPr fontId="2" type="noConversion"/>
  </si>
  <si>
    <t>有冇 物理?</t>
    <phoneticPr fontId="2" type="noConversion"/>
  </si>
  <si>
    <t>以下一科選修取得Lv.4︰M1/2、生物、化學、組合科學、地理、物理</t>
    <phoneticPr fontId="2" type="noConversion"/>
  </si>
  <si>
    <t>295*</t>
    <phoneticPr fontId="2" type="noConversion"/>
  </si>
  <si>
    <t>30*</t>
    <phoneticPr fontId="2" type="noConversion"/>
  </si>
  <si>
    <t>7科不低於46分，並至少有4科5**</t>
    <phoneticPr fontId="2" type="noConversion"/>
  </si>
  <si>
    <t>JS4502</t>
    <phoneticPr fontId="2" type="noConversion"/>
  </si>
  <si>
    <t>7科46分？</t>
    <phoneticPr fontId="2" type="noConversion"/>
  </si>
  <si>
    <t>4科5**?</t>
    <phoneticPr fontId="2" type="noConversion"/>
  </si>
  <si>
    <t>Best 7</t>
    <phoneticPr fontId="2" type="noConversion"/>
  </si>
  <si>
    <t>5**</t>
    <phoneticPr fontId="2" type="noConversion"/>
  </si>
  <si>
    <t>結果？</t>
    <phoneticPr fontId="2" type="noConversion"/>
  </si>
  <si>
    <t>JS4252</t>
    <phoneticPr fontId="2" type="noConversion"/>
  </si>
  <si>
    <t>有冇 M1/2、化學、物理或經濟 其中一科？</t>
    <phoneticPr fontId="2" type="noConversion"/>
  </si>
  <si>
    <t>係邊一科？</t>
    <phoneticPr fontId="2" type="noConversion"/>
  </si>
  <si>
    <t>JS4460</t>
    <phoneticPr fontId="2" type="noConversion"/>
  </si>
  <si>
    <t>JS4276</t>
    <phoneticPr fontId="2" type="noConversion"/>
  </si>
  <si>
    <t>中文定英文高分啲？</t>
    <phoneticPr fontId="2" type="noConversion"/>
  </si>
  <si>
    <t>第一最高</t>
  </si>
  <si>
    <t>第二最高</t>
  </si>
  <si>
    <t>第三最高</t>
  </si>
  <si>
    <t>企業、會計與財務概論</t>
    <phoneticPr fontId="2" type="noConversion"/>
  </si>
  <si>
    <r>
      <t>*</t>
    </r>
    <r>
      <rPr>
        <i/>
        <sz val="10"/>
        <color theme="1"/>
        <rFont val="微軟正黑體"/>
        <family val="2"/>
        <charset val="136"/>
      </rPr>
      <t xml:space="preserve">斜體 </t>
    </r>
    <r>
      <rPr>
        <sz val="10"/>
        <color theme="1"/>
        <rFont val="微軟正黑體"/>
        <family val="2"/>
        <charset val="136"/>
      </rPr>
      <t>= 2022年新科目/新安排，</t>
    </r>
    <r>
      <rPr>
        <b/>
        <sz val="10"/>
        <color theme="1"/>
        <rFont val="微軟正黑體"/>
        <family val="2"/>
        <charset val="136"/>
      </rPr>
      <t>粗體</t>
    </r>
    <r>
      <rPr>
        <sz val="10"/>
        <color theme="1"/>
        <rFont val="微軟正黑體"/>
        <family val="2"/>
        <charset val="136"/>
      </rPr>
      <t xml:space="preserve"> = 有比重</t>
    </r>
    <phoneticPr fontId="2" type="noConversion"/>
  </si>
  <si>
    <t>https://www.cuhk.edu.hk/adm/jupas/admission-grades-2021.pdf</t>
    <phoneticPr fontId="2" type="noConversion"/>
  </si>
  <si>
    <t>https://www.cuhk.edu.hk/adm/jupas/useful-information-2022.pdf</t>
    <phoneticPr fontId="2" type="noConversion"/>
  </si>
  <si>
    <t>https://www.cuhk.edu.hk/adm/jupas/interview-arrangement-2022.pdf</t>
    <phoneticPr fontId="2" type="noConversion"/>
  </si>
  <si>
    <t>HKUST</t>
    <phoneticPr fontId="2" type="noConversion"/>
  </si>
  <si>
    <t>人文社會科學學院</t>
  </si>
  <si>
    <t>跨學科課程</t>
  </si>
  <si>
    <t>431*</t>
    <phoneticPr fontId="2" type="noConversion"/>
  </si>
  <si>
    <t>18*</t>
    <phoneticPr fontId="2" type="noConversion"/>
  </si>
  <si>
    <t>第一理科</t>
    <phoneticPr fontId="2" type="noConversion"/>
  </si>
  <si>
    <t>有冇 理科？</t>
    <phoneticPr fontId="2" type="noConversion"/>
  </si>
  <si>
    <t>JS5200</t>
    <phoneticPr fontId="2" type="noConversion"/>
  </si>
  <si>
    <t>生物、化學、組合科學、物理、ICT</t>
    <phoneticPr fontId="2" type="noConversion"/>
  </si>
  <si>
    <t>生物、化學、組合科學、物理、ICT、DAT</t>
    <phoneticPr fontId="2" type="noConversion"/>
  </si>
  <si>
    <t>以下一科選修取得Lv.3︰生物、化學、組合科學、物理、ICT</t>
    <phoneticPr fontId="2" type="noConversion"/>
  </si>
  <si>
    <t>以下一科選修取得Lv.3︰生物、化學、組合科學、物理、ICT、DAT</t>
    <phoneticPr fontId="2" type="noConversion"/>
  </si>
  <si>
    <t>申請人必須出席面試</t>
  </si>
  <si>
    <t>申請人必須出席面試</t>
    <phoneticPr fontId="2" type="noConversion"/>
  </si>
  <si>
    <t>英文科應考獲Lv.5 或以上</t>
  </si>
  <si>
    <t>英文科應考獲Lv.5 或以上</t>
    <phoneticPr fontId="2" type="noConversion"/>
  </si>
  <si>
    <t>BandA競爭人數</t>
    <phoneticPr fontId="2" type="noConversion"/>
  </si>
  <si>
    <t>數學科應考獲Lv.4 或以上</t>
  </si>
  <si>
    <t>數學科應考獲Lv.4 或以上</t>
    <phoneticPr fontId="2" type="noConversion"/>
  </si>
  <si>
    <t>生物、化學</t>
    <phoneticPr fontId="2" type="noConversion"/>
  </si>
  <si>
    <t>有冇 生物、化學？</t>
    <phoneticPr fontId="2" type="noConversion"/>
  </si>
  <si>
    <t>以下一科選修取得Lv.3︰M1/2、生物、化學、組合科學、物理、經濟</t>
    <phoneticPr fontId="2" type="noConversion"/>
  </si>
  <si>
    <t>JS5901</t>
    <phoneticPr fontId="2" type="noConversion"/>
  </si>
  <si>
    <t>M1/2、生物、化學、組合科學、物理、經濟</t>
    <phoneticPr fontId="2" type="noConversion"/>
  </si>
  <si>
    <t>https://isd.hkust.edu.hk/academics/bsc-in-integrative-systems-and-design-isd</t>
    <phoneticPr fontId="2" type="noConversion"/>
  </si>
  <si>
    <t>申請人必須以指定連結遞交 設計相關履歷，或以OEA/SLP形式遞交。</t>
    <phoneticPr fontId="2" type="noConversion"/>
  </si>
  <si>
    <t>受邀的申請人須參與入學面試/團體設計活動，詳情請細閱以下網站:</t>
    <phoneticPr fontId="2" type="noConversion"/>
  </si>
  <si>
    <t>申請人必須以指定連結遞交 設計相關履歷。</t>
    <phoneticPr fontId="2" type="noConversion"/>
  </si>
  <si>
    <t>理科 / M1/2: Lv.5*</t>
    <phoneticPr fontId="2" type="noConversion"/>
  </si>
  <si>
    <t>物理 / M1/2: Lv.4</t>
    <phoneticPr fontId="2" type="noConversion"/>
  </si>
  <si>
    <t>生物/化學: Lv.4</t>
    <phoneticPr fontId="2" type="noConversion"/>
  </si>
  <si>
    <t>物理 / M1/2: Lv.5</t>
    <phoneticPr fontId="2" type="noConversion"/>
  </si>
  <si>
    <t>數學 / M1/2: Lv.5</t>
    <phoneticPr fontId="2" type="noConversion"/>
  </si>
  <si>
    <t>理科 / ICT: Lv.4</t>
    <phoneticPr fontId="2" type="noConversion"/>
  </si>
  <si>
    <t>理科 / ICT /DAT: Lv.5</t>
    <phoneticPr fontId="2" type="noConversion"/>
  </si>
  <si>
    <t>理科 / ICT: Lv.5</t>
    <phoneticPr fontId="2" type="noConversion"/>
  </si>
  <si>
    <t>中文: Lv.4</t>
    <phoneticPr fontId="2" type="noConversion"/>
  </si>
  <si>
    <t>數學 / M1/2: Lv.4</t>
    <phoneticPr fontId="2" type="noConversion"/>
  </si>
  <si>
    <t>生物/化學: Lv.5</t>
    <phoneticPr fontId="2" type="noConversion"/>
  </si>
  <si>
    <t>英文、數學、其他選修: Lv.5</t>
    <phoneticPr fontId="2" type="noConversion"/>
  </si>
  <si>
    <t>理科、經濟: Lv.5</t>
    <phoneticPr fontId="2" type="noConversion"/>
  </si>
  <si>
    <t>理科、ICT: Lv.5*</t>
    <phoneticPr fontId="2" type="noConversion"/>
  </si>
  <si>
    <t>含比重科目的平均成績︰</t>
    <phoneticPr fontId="2" type="noConversion"/>
  </si>
  <si>
    <t>每科平均成績:</t>
    <phoneticPr fontId="2" type="noConversion"/>
  </si>
  <si>
    <t>4.3 (已計算加分制)</t>
  </si>
  <si>
    <t>4.5 (已計算加分制)</t>
  </si>
  <si>
    <t>5.7 (已計算加分制)</t>
  </si>
  <si>
    <t>7 (已計算加分制)</t>
  </si>
  <si>
    <t>4.8 (已計算加分制)</t>
  </si>
  <si>
    <t>4.4 (已計算加分制)</t>
  </si>
  <si>
    <t>6.1 (已計算加分制)</t>
  </si>
  <si>
    <t>7.1 (已計算加分制)</t>
  </si>
  <si>
    <t>由於科大公佈了已計「加分制」的2021年收生分數，</t>
  </si>
  <si>
    <t>由於科大公佈了已計「加分制」的2021年收生分數，</t>
    <phoneticPr fontId="2" type="noConversion"/>
  </si>
  <si>
    <t>此處會 *直接使用* 加分後的分數，以便公平比較往年分數。</t>
    <phoneticPr fontId="2" type="noConversion"/>
  </si>
  <si>
    <t>由於科大公佈了已計「加分制」的2022年收生分數，</t>
  </si>
  <si>
    <t>換言之，你的分數 及 往年分數 亦會一同以「加分制」計算，</t>
    <phoneticPr fontId="2" type="noConversion"/>
  </si>
  <si>
    <t>即  Lv.5 -&gt; 5.5 | Lv.5* -&gt; 7 | Lv. 5** -&gt;8.5，敬請注意。</t>
  </si>
  <si>
    <t>即  Lv.5 -&gt; 5.5 | Lv.5* -&gt; 7 | Lv. 5** -&gt;8.5，敬請注意。</t>
    <phoneticPr fontId="2" type="noConversion"/>
  </si>
  <si>
    <t>此課程的加權後的 *最高可考獲分數* 為:  42.5</t>
  </si>
  <si>
    <t>此課程的加權後的 *最高可考獲分數* 為:  63.75</t>
  </si>
  <si>
    <t>此課程的加權後的 *最高可考獲分數* 為:  72.25</t>
  </si>
  <si>
    <t>此課程的加權後的 *最高可考獲分數* 為:  68</t>
  </si>
  <si>
    <t>此課程的加權後的 *最高可考獲分數* 為:  76.5</t>
  </si>
  <si>
    <t>此課程的加權後的 *最高可考獲分數* 為:  80.75</t>
  </si>
  <si>
    <t>此課程的加權後的 *最高可考獲分數* 為:  72.25</t>
    <phoneticPr fontId="2" type="noConversion"/>
  </si>
  <si>
    <t>中英Best4</t>
  </si>
  <si>
    <t>英文 x1 + 數學 x1</t>
    <phoneticPr fontId="2" type="noConversion"/>
  </si>
  <si>
    <t>+ 最佳兩科理科 x1 (M1/2 / 生物/ 化學 /物理 / 組合科學)</t>
    <phoneticPr fontId="2" type="noConversion"/>
  </si>
  <si>
    <t>+ 最佳一科 x1</t>
    <phoneticPr fontId="2" type="noConversion"/>
  </si>
  <si>
    <t>(x2: M1/2/ 物理 | x1.5: 生物 / 化學 / 組合科學)</t>
    <phoneticPr fontId="2" type="noConversion"/>
  </si>
  <si>
    <t>最多只有兩科理科會計算比重</t>
    <phoneticPr fontId="2" type="noConversion"/>
  </si>
  <si>
    <t>(x2: 生物 / 化學 | x1.5: M1/2/ 物理 / 組合科學)</t>
    <phoneticPr fontId="2" type="noConversion"/>
  </si>
  <si>
    <t>英文x2  + 數學x2 + 最佳理科* x2 + 最佳兩科 x1</t>
    <phoneticPr fontId="2" type="noConversion"/>
  </si>
  <si>
    <t>(*理科: 生物/ 化學 /物理 / 組合科學) (ICT則只會x1)</t>
    <phoneticPr fontId="2" type="noConversion"/>
  </si>
  <si>
    <t>(若最佳兩科包括M1/2，則M1/2會 x 1.5)</t>
    <phoneticPr fontId="2" type="noConversion"/>
  </si>
  <si>
    <t>(*理科: 生物/ 化學 /物理 / 組合科學/DAT) (ICT則只會x1)</t>
    <phoneticPr fontId="2" type="noConversion"/>
  </si>
  <si>
    <t>英文x2  + 數學x2 + 最佳四科x1</t>
    <phoneticPr fontId="2" type="noConversion"/>
  </si>
  <si>
    <t>英文 x1.5 + 數學 x1 + 最佳一科理科x1 + 最佳兩科x1</t>
    <phoneticPr fontId="2" type="noConversion"/>
  </si>
  <si>
    <t>英文x2  + 數學x2</t>
    <phoneticPr fontId="2" type="noConversion"/>
  </si>
  <si>
    <t>JS5312</t>
    <phoneticPr fontId="2" type="noConversion"/>
  </si>
  <si>
    <t>+ 最佳四科x1 或</t>
    <phoneticPr fontId="2" type="noConversion"/>
  </si>
  <si>
    <t>+ [化學、經濟、物理、M1/2]中最佳一科x1.5 + 最佳三科x1</t>
    <phoneticPr fontId="2" type="noConversion"/>
  </si>
  <si>
    <t>英文x2  + 中文 x1.5 + 最佳四科x1</t>
    <phoneticPr fontId="2" type="noConversion"/>
  </si>
  <si>
    <t>英文x2  + 數學x2 + 最佳四科*x1</t>
    <phoneticPr fontId="2" type="noConversion"/>
  </si>
  <si>
    <t>(若最佳四科包括M1/2，則M1/2會 x 1.5)</t>
    <phoneticPr fontId="2" type="noConversion"/>
  </si>
  <si>
    <t>英文x2  + 數學x2 + 最佳理科* x2 + 最佳三科 x1</t>
    <phoneticPr fontId="2" type="noConversion"/>
  </si>
  <si>
    <t>(若最佳三科包括M1/2，則M1/2會 x 1.5)</t>
    <phoneticPr fontId="2" type="noConversion"/>
  </si>
  <si>
    <t>英文x2  + 數學x2 + 最佳選修* x1.5 + 最佳三科 x1</t>
    <phoneticPr fontId="2" type="noConversion"/>
  </si>
  <si>
    <t>(*選修: 生物/ 化學 )</t>
    <phoneticPr fontId="2" type="noConversion"/>
  </si>
  <si>
    <t>英文x2  + 數學x2 + 最佳理科* + 最佳三科 x1</t>
    <phoneticPr fontId="2" type="noConversion"/>
  </si>
  <si>
    <t>(*理科: M1/2 x2、生物/化學/物理/組合科學/經濟 x1.5)</t>
    <phoneticPr fontId="2" type="noConversion"/>
  </si>
  <si>
    <t>5.7 (已計算加分制)</t>
    <phoneticPr fontId="2" type="noConversion"/>
  </si>
  <si>
    <t>M1/2 / 生物/ 化學 /物理 / 組合科學</t>
    <phoneticPr fontId="2" type="noConversion"/>
  </si>
  <si>
    <t>數學廷</t>
    <phoneticPr fontId="2" type="noConversion"/>
  </si>
  <si>
    <t>英文 x1.5 + 數學 x1 + 最佳一科理科* + 最佳兩科x1</t>
    <phoneticPr fontId="2" type="noConversion"/>
  </si>
  <si>
    <t>(* x2: M1/2/ 物理 | x1.5: 生物 / 化學 / 組合科學)</t>
    <phoneticPr fontId="2" type="noConversion"/>
  </si>
  <si>
    <t>(* x2: 生物 / 化學 | x1.5: M1/2/ 物理 / 組合科學)</t>
    <phoneticPr fontId="2" type="noConversion"/>
  </si>
  <si>
    <t>生物/ 化學 /物理 / 組合科學 / ICT / DAT</t>
    <phoneticPr fontId="2" type="noConversion"/>
  </si>
  <si>
    <t>生物/ 化學 /物理 / 組合科學 / ICT</t>
    <phoneticPr fontId="2" type="noConversion"/>
  </si>
  <si>
    <t>[化學、經濟、物理、M1/2]中最佳一科</t>
    <phoneticPr fontId="2" type="noConversion"/>
  </si>
  <si>
    <t>最佳選修</t>
    <phoneticPr fontId="2" type="noConversion"/>
  </si>
  <si>
    <t>JS5331</t>
    <phoneticPr fontId="2" type="noConversion"/>
  </si>
  <si>
    <t>JS5332</t>
    <phoneticPr fontId="2" type="noConversion"/>
  </si>
  <si>
    <t>生物/ 化學</t>
    <phoneticPr fontId="2" type="noConversion"/>
  </si>
  <si>
    <t>For JS5901</t>
    <phoneticPr fontId="2" type="noConversion"/>
  </si>
  <si>
    <t>M1/2 x2、生物/化學/物理/組合科學/經濟 x1.5</t>
    <phoneticPr fontId="2" type="noConversion"/>
  </si>
  <si>
    <t>JS5822</t>
    <phoneticPr fontId="2" type="noConversion"/>
  </si>
  <si>
    <r>
      <rPr>
        <sz val="10"/>
        <color theme="1"/>
        <rFont val="微軟正黑體"/>
        <family val="2"/>
        <charset val="136"/>
      </rPr>
      <t>*科大公佈的分數為</t>
    </r>
    <r>
      <rPr>
        <b/>
        <sz val="12"/>
        <color theme="1"/>
        <rFont val="微軟正黑體"/>
        <family val="2"/>
        <charset val="136"/>
      </rPr>
      <t>已計加分制及比重的分數</t>
    </r>
    <r>
      <rPr>
        <sz val="10"/>
        <color theme="1"/>
        <rFont val="微軟正黑體"/>
        <family val="2"/>
        <charset val="136"/>
      </rPr>
      <t>，只供參考。</t>
    </r>
    <phoneticPr fontId="2" type="noConversion"/>
  </si>
  <si>
    <r>
      <t>*</t>
    </r>
    <r>
      <rPr>
        <i/>
        <sz val="10"/>
        <color theme="1"/>
        <rFont val="微軟正黑體"/>
        <family val="2"/>
        <charset val="136"/>
      </rPr>
      <t>斜體</t>
    </r>
    <r>
      <rPr>
        <sz val="10"/>
        <color theme="1"/>
        <rFont val="微軟正黑體"/>
        <family val="2"/>
        <charset val="136"/>
      </rPr>
      <t xml:space="preserve"> = 2021年新科目/新安排，</t>
    </r>
    <r>
      <rPr>
        <b/>
        <sz val="10"/>
        <color theme="1"/>
        <rFont val="微軟正黑體"/>
        <family val="2"/>
        <charset val="136"/>
      </rPr>
      <t>粗體</t>
    </r>
    <r>
      <rPr>
        <sz val="10"/>
        <color theme="1"/>
        <rFont val="微軟正黑體"/>
        <family val="2"/>
        <charset val="136"/>
      </rPr>
      <t xml:space="preserve"> = 有比重</t>
    </r>
    <phoneticPr fontId="2" type="noConversion"/>
  </si>
  <si>
    <t>*科大自2022/23年度起推出「加分制」，考獲5級或以上學科將獲額外加分。( Lv.5 -&gt; 5.5 | Lv.5* -&gt; 7 | Lv. 5** -&gt;8.5)</t>
    <phoneticPr fontId="2" type="noConversion"/>
  </si>
  <si>
    <r>
      <t xml:space="preserve">*由於科大公佈了已計「加分制」的2021年收生分數，此處會 </t>
    </r>
    <r>
      <rPr>
        <b/>
        <sz val="12"/>
        <color theme="1"/>
        <rFont val="微軟正黑體"/>
        <family val="2"/>
        <charset val="136"/>
      </rPr>
      <t>直接使用</t>
    </r>
    <r>
      <rPr>
        <sz val="10"/>
        <color theme="1"/>
        <rFont val="微軟正黑體"/>
        <family val="2"/>
        <charset val="136"/>
      </rPr>
      <t xml:space="preserve"> 加分後的分數，以便公平比較往年分數。</t>
    </r>
    <phoneticPr fontId="2" type="noConversion"/>
  </si>
  <si>
    <r>
      <t>*換言之，</t>
    </r>
    <r>
      <rPr>
        <b/>
        <sz val="10"/>
        <color theme="1"/>
        <rFont val="微軟正黑體"/>
        <family val="2"/>
        <charset val="136"/>
      </rPr>
      <t>你的分數</t>
    </r>
    <r>
      <rPr>
        <sz val="10"/>
        <color theme="1"/>
        <rFont val="微軟正黑體"/>
        <family val="2"/>
        <charset val="136"/>
      </rPr>
      <t xml:space="preserve"> 及 </t>
    </r>
    <r>
      <rPr>
        <b/>
        <sz val="10"/>
        <color theme="1"/>
        <rFont val="微軟正黑體"/>
        <family val="2"/>
        <charset val="136"/>
      </rPr>
      <t>往年分數</t>
    </r>
    <r>
      <rPr>
        <sz val="10"/>
        <color theme="1"/>
        <rFont val="微軟正黑體"/>
        <family val="2"/>
        <charset val="136"/>
      </rPr>
      <t xml:space="preserve"> 亦會</t>
    </r>
    <r>
      <rPr>
        <b/>
        <sz val="10"/>
        <color theme="1"/>
        <rFont val="微軟正黑體"/>
        <family val="2"/>
        <charset val="136"/>
      </rPr>
      <t>一同以「加分制」計算</t>
    </r>
    <r>
      <rPr>
        <sz val="10"/>
        <color theme="1"/>
        <rFont val="微軟正黑體"/>
        <family val="2"/>
        <charset val="136"/>
      </rPr>
      <t>，敬請注意。</t>
    </r>
    <phoneticPr fontId="2" type="noConversion"/>
  </si>
  <si>
    <t>https://www.jupas.edu.hk/f/page/3667/af_2021_JUPAS.pdf</t>
    <phoneticPr fontId="2" type="noConversion"/>
  </si>
  <si>
    <t>x1.5: 英文、中文</t>
  </si>
  <si>
    <t>x1.25: 數學、M1/M2</t>
  </si>
  <si>
    <t>x1.2: 通識</t>
  </si>
  <si>
    <t>x1.2: 中文</t>
  </si>
  <si>
    <t>x2: 數學、Best Sci/M1/M2</t>
  </si>
  <si>
    <t>可包含丙類科目於計算內</t>
  </si>
  <si>
    <t>x2: 英文、數學、M1/M2</t>
  </si>
  <si>
    <t>x1.2: 英文、數學、M1/M2</t>
  </si>
  <si>
    <r>
      <t>將考慮甲類及丙類科目，但</t>
    </r>
    <r>
      <rPr>
        <b/>
        <sz val="10"/>
        <color theme="1"/>
        <rFont val="微軟正黑體"/>
        <family val="2"/>
        <charset val="136"/>
      </rPr>
      <t>不包括M1/2</t>
    </r>
  </si>
  <si>
    <r>
      <rPr>
        <b/>
        <sz val="10"/>
        <color rgb="FF000000"/>
        <rFont val="微軟正黑體"/>
        <family val="2"/>
        <charset val="136"/>
      </rPr>
      <t>M1/2</t>
    </r>
    <r>
      <rPr>
        <sz val="10"/>
        <color rgb="FF000000"/>
        <rFont val="微軟正黑體"/>
        <family val="2"/>
        <charset val="136"/>
      </rPr>
      <t>可被當作一科選修</t>
    </r>
  </si>
  <si>
    <r>
      <t>將考慮丙類科目，</t>
    </r>
    <r>
      <rPr>
        <b/>
        <sz val="10"/>
        <color theme="1"/>
        <rFont val="微軟正黑體"/>
        <family val="2"/>
        <charset val="136"/>
      </rPr>
      <t>M1/2</t>
    </r>
    <r>
      <rPr>
        <sz val="10"/>
        <color theme="1"/>
        <rFont val="微軟正黑體"/>
        <family val="2"/>
        <charset val="136"/>
      </rPr>
      <t>可被當作一科選修</t>
    </r>
  </si>
  <si>
    <t>申請人須參與 能力傾向測試(Aptitude Test)</t>
    <phoneticPr fontId="2" type="noConversion"/>
  </si>
  <si>
    <t>詳情可細閱課程網站，受邀申請人亦會於電郵收到相應指示。</t>
    <phoneticPr fontId="2" type="noConversion"/>
  </si>
  <si>
    <t>申請人可遞交 一份 創意作品 (如 畫作、寫作 或 任何創作) 供學系作考慮。</t>
    <phoneticPr fontId="2" type="noConversion"/>
  </si>
  <si>
    <t>作品集 及 推薦信(如有) 應直接以紙本方式向學系遞交。</t>
  </si>
  <si>
    <t>以下一科選修取得Lv.3︰生物、化學、組合科學、物理、ICT、綜合科學</t>
    <phoneticPr fontId="2" type="noConversion"/>
  </si>
  <si>
    <t>M1/2 應考獲Lv. 3 或以上</t>
    <phoneticPr fontId="2" type="noConversion"/>
  </si>
  <si>
    <t>物理 需考獲Lv.4或以上</t>
    <phoneticPr fontId="2" type="noConversion"/>
  </si>
  <si>
    <t>M1/2 需考獲Lv.4或以上</t>
    <phoneticPr fontId="2" type="noConversion"/>
  </si>
  <si>
    <t>M1/2 需考獲Lv. 3 或以上</t>
    <phoneticPr fontId="2" type="noConversion"/>
  </si>
  <si>
    <t>以下一科選修取得Lv.3︰生物、化學、組合科學、物理、綜合科學</t>
    <phoneticPr fontId="2" type="noConversion"/>
  </si>
  <si>
    <t>Candidates are strongly advised to include their personal statement in English in the "Additional Information" of their JUPAS application.</t>
    <phoneticPr fontId="2" type="noConversion"/>
  </si>
  <si>
    <t>Candidates are encouraged to enter details about their other learning experiences or extra curricular activities.</t>
    <phoneticPr fontId="2" type="noConversion"/>
  </si>
  <si>
    <t>Supporting documents should be uploaded to the appropriate sections of OEA or SLP.</t>
    <phoneticPr fontId="2" type="noConversion"/>
  </si>
  <si>
    <t>BEng(DS&amp;E)</t>
    <phoneticPr fontId="2" type="noConversion"/>
  </si>
  <si>
    <t>以下一科選修取得Lv.3︰物理、組合科學(物理)</t>
    <phoneticPr fontId="2" type="noConversion"/>
  </si>
  <si>
    <t>如欲升讀至MBBS，申請人必須有修讀化學 或 組合科學(化學)。</t>
    <phoneticPr fontId="2" type="noConversion"/>
  </si>
  <si>
    <t>M1/2 需考獲Lv. 4 或以上</t>
    <phoneticPr fontId="2" type="noConversion"/>
  </si>
  <si>
    <t>以下兩科選修取得Lv.3︰生物、化學、組合科學、物理 | M1/2 需考獲Lv. 4 或以上</t>
    <phoneticPr fontId="2" type="noConversion"/>
  </si>
  <si>
    <t>英文科考獲 Lv.4 及 理科及數學考獲優異成績的考生，將會按個別情況考慮。</t>
    <phoneticPr fontId="2" type="noConversion"/>
  </si>
  <si>
    <t>英文科考獲 Lv.4 及 其他科目考獲優異成績的考生，將會按個別情況考慮。</t>
    <phoneticPr fontId="2" type="noConversion"/>
  </si>
  <si>
    <t>生物、化學、組合科學、物理、ICT、綜合科學</t>
    <phoneticPr fontId="2" type="noConversion"/>
  </si>
  <si>
    <t>JS6846</t>
    <phoneticPr fontId="2" type="noConversion"/>
  </si>
  <si>
    <t>生物、化學、組合科學、物理、綜合科學</t>
    <phoneticPr fontId="2" type="noConversion"/>
  </si>
  <si>
    <t>JS6119</t>
    <phoneticPr fontId="2" type="noConversion"/>
  </si>
  <si>
    <t>JS6951</t>
    <phoneticPr fontId="2" type="noConversion"/>
  </si>
  <si>
    <t>物理、組合科學(物理)</t>
    <phoneticPr fontId="2" type="noConversion"/>
  </si>
  <si>
    <t>JS6937</t>
    <phoneticPr fontId="2" type="noConversion"/>
  </si>
  <si>
    <t>化學、組合科學(化學)</t>
    <phoneticPr fontId="2" type="noConversion"/>
  </si>
  <si>
    <t>JS6482</t>
    <phoneticPr fontId="2" type="noConversion"/>
  </si>
  <si>
    <t>JS6494</t>
    <phoneticPr fontId="2" type="noConversion"/>
  </si>
  <si>
    <t>生物、化學、組合科學</t>
    <phoneticPr fontId="2" type="noConversion"/>
  </si>
  <si>
    <t>JS6901</t>
    <phoneticPr fontId="2" type="noConversion"/>
  </si>
  <si>
    <t>兩科都大過 Lv.3?</t>
    <phoneticPr fontId="2" type="noConversion"/>
  </si>
  <si>
    <t>x1.5: 英文、[數學、M1/2] 其中最佳一科</t>
    <phoneticPr fontId="2" type="noConversion"/>
  </si>
  <si>
    <t>最佳六科必須包括︰英文、[數學或M1/2]</t>
    <phoneticPr fontId="2" type="noConversion"/>
  </si>
  <si>
    <t>最佳六科必須包括︰英文、數學、M1/2</t>
    <phoneticPr fontId="2" type="noConversion"/>
  </si>
  <si>
    <t>x1.3: [生物、化學、物理、組合科學] 其中最佳一科</t>
    <phoneticPr fontId="2" type="noConversion"/>
  </si>
  <si>
    <t>*理科: 生物、化學、物理、組合科學</t>
    <phoneticPr fontId="2" type="noConversion"/>
  </si>
  <si>
    <t>*理科: 生物、化學、物理、組合科學、綜合科學</t>
    <phoneticPr fontId="2" type="noConversion"/>
  </si>
  <si>
    <t>最佳五科必須包括︰中文、通識</t>
    <phoneticPr fontId="2" type="noConversion"/>
  </si>
  <si>
    <t>最佳五科必須包括︰英文、數學、最佳理科*</t>
    <phoneticPr fontId="2" type="noConversion"/>
  </si>
  <si>
    <t>最佳六科必須包括 最佳理科*</t>
    <phoneticPr fontId="2" type="noConversion"/>
  </si>
  <si>
    <t>x2: M1/2、數學、生物、化學、物理、組合科學、綜合科學</t>
    <phoneticPr fontId="2" type="noConversion"/>
  </si>
  <si>
    <t>x1.25: 非理科選修</t>
    <phoneticPr fontId="2" type="noConversion"/>
  </si>
  <si>
    <t>可包含 M1/2 或丙類科目於計算內</t>
    <phoneticPr fontId="2" type="noConversion"/>
  </si>
  <si>
    <t>x1.5: 生物、化學、物理、組合科學、綜合科學、ICT</t>
    <phoneticPr fontId="2" type="noConversion"/>
  </si>
  <si>
    <t>最佳六科必須包括︰英文、數學、M1/2、最佳兩科理科</t>
    <phoneticPr fontId="2" type="noConversion"/>
  </si>
  <si>
    <t>x2: 英文、數學、M1/M2、生物、化學、物理</t>
    <phoneticPr fontId="2" type="noConversion"/>
  </si>
  <si>
    <t>x0.2: 第七最佳科目</t>
    <phoneticPr fontId="2" type="noConversion"/>
  </si>
  <si>
    <t>如同學有修讀七科，第七科成績 (x0.2) 會額外加上原有的Best 6分數</t>
    <phoneticPr fontId="2" type="noConversion"/>
  </si>
  <si>
    <t>可包含 M1/2 或丙類科目計算內</t>
    <phoneticPr fontId="2" type="noConversion"/>
  </si>
  <si>
    <t>如同學有修讀六科，第六科成績 (x0.5) 會額外加上原有的Best 5分數</t>
    <phoneticPr fontId="2" type="noConversion"/>
  </si>
  <si>
    <t>x0.5: 第六最佳科目</t>
    <phoneticPr fontId="2" type="noConversion"/>
  </si>
  <si>
    <t>最佳五科必須包括︰英文、數學、M1/2</t>
    <phoneticPr fontId="2" type="noConversion"/>
  </si>
  <si>
    <t>最佳五科必須包括︰英文、數學、M1/2、最佳兩科理科*</t>
    <phoneticPr fontId="2" type="noConversion"/>
  </si>
  <si>
    <t>最佳六科必須包括︰英文、[數學或M1/2]、最佳理科*</t>
    <phoneticPr fontId="2" type="noConversion"/>
  </si>
  <si>
    <t>x2: 英文、[數學 或 M1/2]、最佳理科</t>
    <phoneticPr fontId="2" type="noConversion"/>
  </si>
  <si>
    <t>x2: 數學、生物、化學、物理、組合科學、綜合科學、M1/2</t>
    <phoneticPr fontId="2" type="noConversion"/>
  </si>
  <si>
    <t>Best results in year 2021 and 2022 Only</t>
  </si>
  <si>
    <t>Best results in the latest 2 sittings of HKDSE, one of which should include the year of admission (i.e. 2022)</t>
  </si>
  <si>
    <t>Best results in year 2020 and 2022 or, 2021 and 2022</t>
  </si>
  <si>
    <t>Best results in year 2020 and 2022, or, 2021 and 2022</t>
  </si>
  <si>
    <t>Best results in the latest 3 sittings of HKDSE</t>
  </si>
  <si>
    <t>Latest results in 2 or more sittings of HKDSE</t>
  </si>
  <si>
    <t>Combine Cert:</t>
    <phoneticPr fontId="2" type="noConversion"/>
  </si>
  <si>
    <t>10%(重考科目)</t>
    <phoneticPr fontId="2" type="noConversion"/>
  </si>
  <si>
    <t>5%或更少(全Cert)</t>
    <phoneticPr fontId="2" type="noConversion"/>
  </si>
  <si>
    <t>6%-10%(全Cert)</t>
    <phoneticPr fontId="2" type="noConversion"/>
  </si>
  <si>
    <t>JS6781</t>
    <phoneticPr fontId="2" type="noConversion"/>
  </si>
  <si>
    <t>JS6808</t>
    <phoneticPr fontId="2" type="noConversion"/>
  </si>
  <si>
    <t>JS6896</t>
    <phoneticPr fontId="2" type="noConversion"/>
  </si>
  <si>
    <t>Refer to JS6107</t>
    <phoneticPr fontId="2" type="noConversion"/>
  </si>
  <si>
    <t>生物、化學、物理、組合科學</t>
    <phoneticPr fontId="2" type="noConversion"/>
  </si>
  <si>
    <t>JS6858</t>
    <phoneticPr fontId="2" type="noConversion"/>
  </si>
  <si>
    <t>Refer to JS6781 &amp; JS6107</t>
    <phoneticPr fontId="2" type="noConversion"/>
  </si>
  <si>
    <t>210*</t>
    <phoneticPr fontId="2" type="noConversion"/>
  </si>
  <si>
    <t>355*</t>
    <phoneticPr fontId="2" type="noConversion"/>
  </si>
  <si>
    <t>220*</t>
    <phoneticPr fontId="2" type="noConversion"/>
  </si>
  <si>
    <t>x1.5: 中文、英文</t>
  </si>
  <si>
    <t>x1.5: 中文、英文</t>
    <phoneticPr fontId="2" type="noConversion"/>
  </si>
  <si>
    <t>x1.2: ICT、視覺藝術</t>
  </si>
  <si>
    <t>x1.2: ICT、視覺藝術</t>
    <phoneticPr fontId="2" type="noConversion"/>
  </si>
  <si>
    <t>x1.5: 中文、中國文學、英語文學</t>
  </si>
  <si>
    <t>x1.5: 中文、中國文學、英語文學</t>
    <phoneticPr fontId="2" type="noConversion"/>
  </si>
  <si>
    <t>x2: 英文、數學、ICT</t>
  </si>
  <si>
    <t>x2: 英文、數學、ICT</t>
    <phoneticPr fontId="2" type="noConversion"/>
  </si>
  <si>
    <t>x1.25: 化學、物理、組合科學、綜合科學</t>
  </si>
  <si>
    <t>x1.25: 化學、物理、組合科學、綜合科學</t>
    <phoneticPr fontId="2" type="noConversion"/>
  </si>
  <si>
    <t>x1.5: 數學、通識</t>
  </si>
  <si>
    <t>x1.5: 數學、通識</t>
    <phoneticPr fontId="2" type="noConversion"/>
  </si>
  <si>
    <t>x1.5: 中文、英文、[中國歷史或中國文學]</t>
  </si>
  <si>
    <t>x1.5: 中文、英文、[中國歷史或中國文學]</t>
    <phoneticPr fontId="2" type="noConversion"/>
  </si>
  <si>
    <t>x1.5: 數學、通識、中國歷史、地理、歷史</t>
  </si>
  <si>
    <t>x1.5: 數學、通識、中國歷史、地理、歷史</t>
    <phoneticPr fontId="2" type="noConversion"/>
  </si>
  <si>
    <t>健康管理與社會關懷</t>
    <phoneticPr fontId="2" type="noConversion"/>
  </si>
  <si>
    <t>x1.5: 倫理與宗教、健康管理與社會關懷</t>
  </si>
  <si>
    <t>x1.5: 倫理與宗教、健康管理與社會關懷</t>
    <phoneticPr fontId="2" type="noConversion"/>
  </si>
  <si>
    <t>x1.5: 中文、英語文學</t>
  </si>
  <si>
    <t>x1.5: 中文、英語文學</t>
    <phoneticPr fontId="2" type="noConversion"/>
  </si>
  <si>
    <t>x1.2: 中國歷史、歷史</t>
    <phoneticPr fontId="2" type="noConversion"/>
  </si>
  <si>
    <t>此課程原為 JS7300 社會科學(大類收生)，現分拆各科獨立收生，</t>
    <phoneticPr fontId="2" type="noConversion"/>
  </si>
  <si>
    <t>故分數可參考上年的JS7300，但同學需留意各新課程的收生比重略有不同。</t>
    <phoneticPr fontId="2" type="noConversion"/>
  </si>
  <si>
    <t>(此為JS7300 的比重，請留意新比重)</t>
  </si>
  <si>
    <t>(此為JS7300 的比重，請留意新比重)</t>
    <phoneticPr fontId="2" type="noConversion"/>
  </si>
  <si>
    <t>中文(榮譽)文學士</t>
    <phoneticPr fontId="2" type="noConversion"/>
  </si>
  <si>
    <t>跨學院</t>
  </si>
  <si>
    <t>JS7101</t>
    <phoneticPr fontId="2" type="noConversion"/>
  </si>
  <si>
    <t>https://www.ln.edu.hk/admissions/ug/f/upload/186/2021-admissionscores.pdf</t>
    <phoneticPr fontId="2" type="noConversion"/>
  </si>
  <si>
    <t>嶺大公佈的LQ分數為24.5，然而若根據嶺大提供的原始分數，再加以比重，則會得出23.5。故推測此處應為手民之誤。</t>
    <phoneticPr fontId="2" type="noConversion"/>
  </si>
  <si>
    <t>惟 JS7606 文化研究的LQ分數則似有出錯。</t>
    <phoneticPr fontId="2" type="noConversion"/>
  </si>
  <si>
    <t>(CombinedfigureforprogrammesJS6468&amp;JS6418)</t>
  </si>
  <si>
    <t>(CombinedfigureforprogrammesJS6767&amp;JS6781)</t>
  </si>
  <si>
    <t>(CombinedfigureforprogrammesJS6963&amp;JS6937)</t>
  </si>
  <si>
    <t>(CombinedfigureforprogrammesJS4109&amp;JS4111)</t>
  </si>
  <si>
    <t>(combinedfigureforprogrammesJS4501andJS4502)</t>
  </si>
  <si>
    <t>Intakequota30-50(combinedfigureof295forprogrammesJS4501andJS4502)</t>
  </si>
  <si>
    <t>博文及社會科學學院</t>
  </si>
  <si>
    <t>歷史教育榮譽學士</t>
    <phoneticPr fontId="2" type="noConversion"/>
  </si>
  <si>
    <t>中文平均分: Lv. 5</t>
    <phoneticPr fontId="2" type="noConversion"/>
  </si>
  <si>
    <t>英文平均分: Lv. 5</t>
    <phoneticPr fontId="2" type="noConversion"/>
  </si>
  <si>
    <t>由於此課程隔年開辦，此為2020年的分數</t>
    <phoneticPr fontId="2" type="noConversion"/>
  </si>
  <si>
    <t>數學科考獲 Lv.3 及 M1/2 考獲 Lv.2</t>
    <phoneticPr fontId="2" type="noConversion"/>
  </si>
  <si>
    <t>數學科考獲 Lv.5 但未有修讀M1/2者，將會按個別情況考慮。</t>
    <phoneticPr fontId="2" type="noConversion"/>
  </si>
  <si>
    <t>以下科目有最高比重:</t>
    <phoneticPr fontId="2" type="noConversion"/>
  </si>
  <si>
    <t>數學、M1/2、生物、化學、物理、ICT、DAT、組合科學、綜合科學</t>
    <phoneticPr fontId="2" type="noConversion"/>
  </si>
  <si>
    <t>同學亦須在額外的 入學測試/面試 中考獲優異成績</t>
  </si>
  <si>
    <t>體育有最高比</t>
    <phoneticPr fontId="2" type="noConversion"/>
  </si>
  <si>
    <t>ICT、生物、化學、物理、組合科學、綜合科學</t>
    <phoneticPr fontId="2" type="noConversion"/>
  </si>
  <si>
    <t>JS8361</t>
    <phoneticPr fontId="2" type="noConversion"/>
  </si>
  <si>
    <t>英文、數學、M1/2、ICT</t>
    <phoneticPr fontId="2" type="noConversion"/>
  </si>
  <si>
    <t>以下一科選修取得Lv.3︰生物、化學、組合科學、物理、綜合科學、ICT</t>
    <phoneticPr fontId="2" type="noConversion"/>
  </si>
  <si>
    <t>BAFS有最高比重</t>
    <phoneticPr fontId="2" type="noConversion"/>
  </si>
  <si>
    <t>歷史、中國歷史</t>
    <phoneticPr fontId="2" type="noConversion"/>
  </si>
  <si>
    <t>若申請人有同時修讀以上兩科，則只會較高分的科目會獲得比重</t>
    <phoneticPr fontId="2" type="noConversion"/>
  </si>
  <si>
    <t>優先考慮修讀 中國歷史、歷史 者</t>
    <phoneticPr fontId="2" type="noConversion"/>
  </si>
  <si>
    <t>地理有最高比重</t>
    <phoneticPr fontId="2" type="noConversion"/>
  </si>
  <si>
    <t>優先考慮 中國文學 考獲 Lv.2 或以上 者</t>
    <phoneticPr fontId="2" type="noConversion"/>
  </si>
  <si>
    <t>中文有最高比重</t>
    <phoneticPr fontId="2" type="noConversion"/>
  </si>
  <si>
    <t>此課程不能以其他資歷取代DSE中國語文科要求。</t>
    <phoneticPr fontId="2" type="noConversion"/>
  </si>
  <si>
    <t>英文有最高比重</t>
    <phoneticPr fontId="2" type="noConversion"/>
  </si>
  <si>
    <t>JS8430</t>
    <phoneticPr fontId="2" type="noConversion"/>
  </si>
  <si>
    <t>優先考慮 英語文學 考獲 Lv.2 或以上 者</t>
    <phoneticPr fontId="2" type="noConversion"/>
  </si>
  <si>
    <t>同學亦須在額外的 入學測試/面試 中考獲優異成績</t>
    <phoneticPr fontId="2" type="noConversion"/>
  </si>
  <si>
    <t>DSE音樂考獲 Lv.4或以上者 則可豁免該測試</t>
    <phoneticPr fontId="2" type="noConversion"/>
  </si>
  <si>
    <t>同學亦須在額外的 入學測試 中考獲優異成績</t>
    <phoneticPr fontId="2" type="noConversion"/>
  </si>
  <si>
    <t>JS8702</t>
    <phoneticPr fontId="2" type="noConversion"/>
  </si>
  <si>
    <t>生物、化學、組合科學、物理、綜合科學、地理</t>
    <phoneticPr fontId="2" type="noConversion"/>
  </si>
  <si>
    <t>以下一科選修取得Lv.3︰生物、化學、組合科學、物理、綜合科學、地理</t>
    <phoneticPr fontId="2" type="noConversion"/>
  </si>
  <si>
    <t>JS8714</t>
    <phoneticPr fontId="2" type="noConversion"/>
  </si>
  <si>
    <t>ICT、生物、化學、物理、組合科學、綜合科學、M1/2</t>
    <phoneticPr fontId="2" type="noConversion"/>
  </si>
  <si>
    <t>以下一科選修取得Lv.3︰生物、化學、組合科學、物理、綜合科學、ICT、M1/2</t>
    <phoneticPr fontId="2" type="noConversion"/>
  </si>
  <si>
    <t>優先考慮 修讀 生物 或 體育 者</t>
    <phoneticPr fontId="2" type="noConversion"/>
  </si>
  <si>
    <t>生物 及 體育 有最高比重</t>
    <phoneticPr fontId="2" type="noConversion"/>
  </si>
  <si>
    <t>音樂有最高比重</t>
    <phoneticPr fontId="2" type="noConversion"/>
  </si>
  <si>
    <t>DSE視覺藝術考獲 Lv.4或以上者 則可豁免該測試</t>
    <phoneticPr fontId="2" type="noConversion"/>
  </si>
  <si>
    <r>
      <t>*都大公佈的分數為</t>
    </r>
    <r>
      <rPr>
        <b/>
        <sz val="12"/>
        <color theme="1"/>
        <rFont val="微軟正黑體"/>
        <family val="2"/>
        <charset val="136"/>
      </rPr>
      <t>已計比重的分數</t>
    </r>
    <r>
      <rPr>
        <sz val="10"/>
        <color theme="1"/>
        <rFont val="微軟正黑體"/>
        <family val="2"/>
        <charset val="136"/>
      </rPr>
      <t>，只供參考。</t>
    </r>
    <phoneticPr fontId="2" type="noConversion"/>
  </si>
  <si>
    <t>都大:</t>
    <phoneticPr fontId="2" type="noConversion"/>
  </si>
  <si>
    <t>公佈的為加權後分數 (即已計算比重)，故此處直接引用都大數字，未有作任何估算。</t>
    <phoneticPr fontId="2" type="noConversion"/>
  </si>
  <si>
    <t>李兆基商業管理學院</t>
  </si>
  <si>
    <t>教育及語文學院</t>
  </si>
  <si>
    <t>科技學院</t>
  </si>
  <si>
    <t>x2: (ApL) 幼兒教育 Child Care and Education</t>
    <phoneticPr fontId="2" type="noConversion"/>
  </si>
  <si>
    <t>x2: 中文、中國文學</t>
    <phoneticPr fontId="2" type="noConversion"/>
  </si>
  <si>
    <t>x2: 中文</t>
    <phoneticPr fontId="2" type="noConversion"/>
  </si>
  <si>
    <t>伍倫貢學院</t>
  </si>
  <si>
    <t>樹仁大學</t>
  </si>
  <si>
    <t>都會大學</t>
    <phoneticPr fontId="2" type="noConversion"/>
  </si>
  <si>
    <t>護理學榮譽學士</t>
    <phoneticPr fontId="2" type="noConversion"/>
  </si>
  <si>
    <t>測量學（榮譽）理學士</t>
    <phoneticPr fontId="2" type="noConversion"/>
  </si>
  <si>
    <t>園藝樹藝及園境管理（榮譽）理學士</t>
    <phoneticPr fontId="2" type="noConversion"/>
  </si>
  <si>
    <t>土木工程（榮譽）工學士</t>
    <phoneticPr fontId="2" type="noConversion"/>
  </si>
  <si>
    <t>廚藝及管理（榮譽）文學士</t>
    <phoneticPr fontId="2" type="noConversion"/>
  </si>
  <si>
    <t>園境建築（榮譽）文學士</t>
    <phoneticPr fontId="2" type="noConversion"/>
  </si>
  <si>
    <t>產品設計（榮譽）文學士</t>
    <phoneticPr fontId="2" type="noConversion"/>
  </si>
  <si>
    <t>時裝設計（榮譽）文學士</t>
    <phoneticPr fontId="2" type="noConversion"/>
  </si>
  <si>
    <t>環球市場及供應鏈榮譽工商管理學士</t>
    <phoneticPr fontId="2" type="noConversion"/>
  </si>
  <si>
    <t>數碼娛樂科技（榮譽）理學士</t>
    <phoneticPr fontId="2" type="noConversion"/>
  </si>
  <si>
    <t>物理治療學（榮譽）理學士</t>
    <phoneticPr fontId="2" type="noConversion"/>
  </si>
  <si>
    <t>人工智能（榮譽）理學士</t>
    <phoneticPr fontId="2" type="noConversion"/>
  </si>
  <si>
    <t>建築學（榮譽）理學士</t>
    <phoneticPr fontId="2" type="noConversion"/>
  </si>
  <si>
    <t>資訊科學（榮譽）理學士</t>
    <phoneticPr fontId="2" type="noConversion"/>
  </si>
  <si>
    <t>傳播及跨媒體（榮譽）文學士</t>
    <phoneticPr fontId="2" type="noConversion"/>
  </si>
  <si>
    <t>供應鏈管理工商管理（榮譽）學士</t>
    <phoneticPr fontId="2" type="noConversion"/>
  </si>
  <si>
    <t>精算及保險 （榮譽）理學士</t>
    <phoneticPr fontId="2" type="noConversion"/>
  </si>
  <si>
    <t>計算機應用（榮譽）理學士</t>
    <phoneticPr fontId="2" type="noConversion"/>
  </si>
  <si>
    <t>數據科學及商業智能學（榮譽）理學士</t>
    <phoneticPr fontId="2" type="noConversion"/>
  </si>
  <si>
    <t>管理科學與資訊管理（榮譽）學士</t>
    <phoneticPr fontId="2" type="noConversion"/>
  </si>
  <si>
    <t>護理學（榮譽）健康科學學士</t>
    <phoneticPr fontId="2" type="noConversion"/>
  </si>
  <si>
    <t>醫療化驗科學（榮譽）理學士</t>
    <phoneticPr fontId="2" type="noConversion"/>
  </si>
  <si>
    <t>放射治療學（榮譽）理學士</t>
    <phoneticPr fontId="2" type="noConversion"/>
  </si>
  <si>
    <t>職業治療學（榮譽）理學士</t>
    <phoneticPr fontId="2" type="noConversion"/>
  </si>
  <si>
    <t>物理治療學(榮譽)理學士</t>
    <phoneticPr fontId="2" type="noConversion"/>
  </si>
  <si>
    <t>應用老年學(榮譽)理學士</t>
    <phoneticPr fontId="2" type="noConversion"/>
  </si>
  <si>
    <t>創意寫作與電影藝術榮譽文學士</t>
    <phoneticPr fontId="2" type="noConversion"/>
  </si>
  <si>
    <t>動畫及視覺特效榮譽藝術學士</t>
    <phoneticPr fontId="2" type="noConversion"/>
  </si>
  <si>
    <t>影像設計及數碼藝術榮譽藝術學士</t>
    <phoneticPr fontId="2" type="noConversion"/>
  </si>
  <si>
    <t>護理學榮譽學士（普通科）</t>
    <phoneticPr fontId="2" type="noConversion"/>
  </si>
  <si>
    <t>護理學榮譽學士（精神科）</t>
    <phoneticPr fontId="2" type="noConversion"/>
  </si>
  <si>
    <t>綜合檢測和認證榮譽應用理學士</t>
    <phoneticPr fontId="2" type="noConversion"/>
  </si>
  <si>
    <t>檢測科學和認證榮譽理學士</t>
    <phoneticPr fontId="2" type="noConversion"/>
  </si>
  <si>
    <t>互聯網科技榮譽電腦學學士</t>
    <phoneticPr fontId="2" type="noConversion"/>
  </si>
  <si>
    <t>國際款待及景區管理榮譽學士</t>
    <phoneticPr fontId="2" type="noConversion"/>
  </si>
  <si>
    <t>由都會大學開辦：運動及康樂管理榮譽學士</t>
    <phoneticPr fontId="2" type="noConversion"/>
  </si>
  <si>
    <t>金融科技及創新榮譽工商管理學士</t>
    <phoneticPr fontId="2" type="noConversion"/>
  </si>
  <si>
    <t>MUHK</t>
    <phoneticPr fontId="2" type="noConversion"/>
  </si>
  <si>
    <t>All in One 超級計分器</t>
    <phoneticPr fontId="2" type="noConversion"/>
  </si>
  <si>
    <r>
      <t>*其中位數詳細分數為︰中文 4 、英文 5 、數學 5* 、通識 4 、選修一  5* 、選修二  5 、選修三 5 、 M1/2  5 ，此處將假設其三科選修</t>
    </r>
    <r>
      <rPr>
        <b/>
        <sz val="10"/>
        <rFont val="微軟正黑體"/>
        <family val="2"/>
        <charset val="136"/>
      </rPr>
      <t>「食中曬比重」</t>
    </r>
    <r>
      <rPr>
        <sz val="10"/>
        <rFont val="微軟正黑體"/>
        <family val="2"/>
        <charset val="136"/>
      </rPr>
      <t>，即為 「生物、化學、物理」。</t>
    </r>
    <phoneticPr fontId="2" type="noConversion"/>
  </si>
  <si>
    <r>
      <t>*計算比重後，分數為︰中文 4x7 (</t>
    </r>
    <r>
      <rPr>
        <b/>
        <sz val="10"/>
        <rFont val="微軟正黑體"/>
        <family val="2"/>
        <charset val="136"/>
      </rPr>
      <t>28</t>
    </r>
    <r>
      <rPr>
        <sz val="10"/>
        <rFont val="微軟正黑體"/>
        <family val="2"/>
        <charset val="136"/>
      </rPr>
      <t>)、英文 5.5x10 (</t>
    </r>
    <r>
      <rPr>
        <b/>
        <sz val="10"/>
        <rFont val="微軟正黑體"/>
        <family val="2"/>
        <charset val="136"/>
      </rPr>
      <t>55</t>
    </r>
    <r>
      <rPr>
        <sz val="10"/>
        <rFont val="微軟正黑體"/>
        <family val="2"/>
        <charset val="136"/>
      </rPr>
      <t>) 、數學 7x10 (</t>
    </r>
    <r>
      <rPr>
        <b/>
        <sz val="10"/>
        <rFont val="微軟正黑體"/>
        <family val="2"/>
        <charset val="136"/>
      </rPr>
      <t>70</t>
    </r>
    <r>
      <rPr>
        <sz val="10"/>
        <rFont val="微軟正黑體"/>
        <family val="2"/>
        <charset val="136"/>
      </rPr>
      <t>) 、通識 4x7 (</t>
    </r>
    <r>
      <rPr>
        <b/>
        <sz val="10"/>
        <rFont val="微軟正黑體"/>
        <family val="2"/>
        <charset val="136"/>
      </rPr>
      <t>28</t>
    </r>
    <r>
      <rPr>
        <sz val="10"/>
        <rFont val="微軟正黑體"/>
        <family val="2"/>
        <charset val="136"/>
      </rPr>
      <t>) 、選修一  7x10 (</t>
    </r>
    <r>
      <rPr>
        <b/>
        <sz val="10"/>
        <rFont val="微軟正黑體"/>
        <family val="2"/>
        <charset val="136"/>
      </rPr>
      <t>70</t>
    </r>
    <r>
      <rPr>
        <sz val="10"/>
        <rFont val="微軟正黑體"/>
        <family val="2"/>
        <charset val="136"/>
      </rPr>
      <t>) 、選修二  5.5x10 (</t>
    </r>
    <r>
      <rPr>
        <b/>
        <sz val="10"/>
        <rFont val="微軟正黑體"/>
        <family val="2"/>
        <charset val="136"/>
      </rPr>
      <t>55</t>
    </r>
    <r>
      <rPr>
        <sz val="10"/>
        <rFont val="微軟正黑體"/>
        <family val="2"/>
        <charset val="136"/>
      </rPr>
      <t>) 、選修三 5.5x10 (</t>
    </r>
    <r>
      <rPr>
        <b/>
        <sz val="10"/>
        <rFont val="微軟正黑體"/>
        <family val="2"/>
        <charset val="136"/>
      </rPr>
      <t>55</t>
    </r>
    <r>
      <rPr>
        <sz val="10"/>
        <rFont val="微軟正黑體"/>
        <family val="2"/>
        <charset val="136"/>
      </rPr>
      <t>) 、 M1/2  5.5x10 (</t>
    </r>
    <r>
      <rPr>
        <b/>
        <sz val="10"/>
        <rFont val="微軟正黑體"/>
        <family val="2"/>
        <charset val="136"/>
      </rPr>
      <t>55</t>
    </r>
    <r>
      <rPr>
        <sz val="10"/>
        <rFont val="微軟正黑體"/>
        <family val="2"/>
        <charset val="136"/>
      </rPr>
      <t>)</t>
    </r>
    <phoneticPr fontId="2" type="noConversion"/>
  </si>
  <si>
    <r>
      <t xml:space="preserve">*最後以其計分方式，即 Best 6 作挑選，得出︰70 + 70 + 55 + 55 + 55 + 55 = </t>
    </r>
    <r>
      <rPr>
        <b/>
        <sz val="10"/>
        <rFont val="微軟正黑體"/>
        <family val="2"/>
        <charset val="136"/>
      </rPr>
      <t>360</t>
    </r>
    <phoneticPr fontId="2" type="noConversion"/>
  </si>
  <si>
    <r>
      <t xml:space="preserve">由於理大每年除了公佈平均分外，亦會公佈各分布位置(中位數、下四分位數)的同學的詳細分數，故此處即以其細分 加以比重 作估算。 </t>
    </r>
    <r>
      <rPr>
        <b/>
        <sz val="11"/>
        <color theme="1"/>
        <rFont val="微軟正黑體"/>
        <family val="2"/>
        <charset val="136"/>
      </rPr>
      <t>(詳情請參考 All in One 超級計分器 版面)</t>
    </r>
    <phoneticPr fontId="2" type="noConversion"/>
  </si>
  <si>
    <t>請選擇等級</t>
  </si>
  <si>
    <t>一鍵前往</t>
    <phoneticPr fontId="2" type="noConversion"/>
  </si>
  <si>
    <t xml:space="preserve"> All in One 超級計分器</t>
    <phoneticPr fontId="2" type="noConversion"/>
  </si>
  <si>
    <t>取錄</t>
    <phoneticPr fontId="2" type="noConversion"/>
  </si>
  <si>
    <t>(幾多人爭一個位)</t>
    <phoneticPr fontId="2" type="noConversion"/>
  </si>
  <si>
    <r>
      <rPr>
        <sz val="10"/>
        <color theme="1"/>
        <rFont val="微軟正黑體"/>
        <family val="2"/>
        <charset val="136"/>
      </rPr>
      <t>*中大公佈的分數為</t>
    </r>
    <r>
      <rPr>
        <b/>
        <sz val="12"/>
        <color theme="1"/>
        <rFont val="微軟正黑體"/>
        <family val="2"/>
        <charset val="136"/>
      </rPr>
      <t>未乘比重的原始分數</t>
    </r>
    <r>
      <rPr>
        <sz val="10"/>
        <color theme="1"/>
        <rFont val="微軟正黑體"/>
        <family val="2"/>
        <charset val="136"/>
      </rPr>
      <t>，以上參考分數已計加分制，再計算比重。</t>
    </r>
    <r>
      <rPr>
        <b/>
        <sz val="12"/>
        <color theme="1"/>
        <rFont val="微軟正黑體"/>
        <family val="2"/>
        <charset val="136"/>
      </rPr>
      <t>含比重分數</t>
    </r>
    <r>
      <rPr>
        <sz val="10"/>
        <color theme="1"/>
        <rFont val="微軟正黑體"/>
        <family val="2"/>
        <charset val="136"/>
      </rPr>
      <t>一律以</t>
    </r>
    <r>
      <rPr>
        <b/>
        <sz val="12"/>
        <color theme="1"/>
        <rFont val="微軟正黑體"/>
        <family val="2"/>
        <charset val="136"/>
      </rPr>
      <t>最大比重</t>
    </r>
    <r>
      <rPr>
        <sz val="10"/>
        <color theme="1"/>
        <rFont val="微軟正黑體"/>
        <family val="2"/>
        <charset val="136"/>
      </rPr>
      <t>作估算，或會</t>
    </r>
    <r>
      <rPr>
        <b/>
        <sz val="12"/>
        <color theme="1"/>
        <rFont val="微軟正黑體"/>
        <family val="2"/>
        <charset val="136"/>
      </rPr>
      <t>稍高於真實分數</t>
    </r>
    <r>
      <rPr>
        <sz val="10"/>
        <color theme="1"/>
        <rFont val="微軟正黑體"/>
        <family val="2"/>
        <charset val="136"/>
      </rPr>
      <t>，只供參考。</t>
    </r>
    <phoneticPr fontId="2" type="noConversion"/>
  </si>
  <si>
    <r>
      <rPr>
        <sz val="10"/>
        <color theme="1"/>
        <rFont val="微軟正黑體"/>
        <family val="2"/>
        <charset val="136"/>
      </rPr>
      <t>*理大公佈的分數為</t>
    </r>
    <r>
      <rPr>
        <b/>
        <sz val="12"/>
        <color theme="1"/>
        <rFont val="微軟正黑體"/>
        <family val="2"/>
        <charset val="136"/>
      </rPr>
      <t>未乘比重的原始分數</t>
    </r>
    <r>
      <rPr>
        <sz val="10"/>
        <color theme="1"/>
        <rFont val="微軟正黑體"/>
        <family val="2"/>
        <charset val="136"/>
      </rPr>
      <t>，以上參考分數先加分制作基礎，再計算比重。</t>
    </r>
    <r>
      <rPr>
        <b/>
        <sz val="12"/>
        <color theme="1"/>
        <rFont val="微軟正黑體"/>
        <family val="2"/>
        <charset val="136"/>
      </rPr>
      <t>含比重分數</t>
    </r>
    <r>
      <rPr>
        <sz val="10"/>
        <color theme="1"/>
        <rFont val="微軟正黑體"/>
        <family val="2"/>
        <charset val="136"/>
      </rPr>
      <t>一律以</t>
    </r>
    <r>
      <rPr>
        <b/>
        <sz val="12"/>
        <color theme="1"/>
        <rFont val="微軟正黑體"/>
        <family val="2"/>
        <charset val="136"/>
      </rPr>
      <t>最大比重</t>
    </r>
    <r>
      <rPr>
        <sz val="10"/>
        <color theme="1"/>
        <rFont val="微軟正黑體"/>
        <family val="2"/>
        <charset val="136"/>
      </rPr>
      <t>作估算，或會</t>
    </r>
    <r>
      <rPr>
        <b/>
        <sz val="12"/>
        <color theme="1"/>
        <rFont val="微軟正黑體"/>
        <family val="2"/>
        <charset val="136"/>
      </rPr>
      <t>稍高於真實分數</t>
    </r>
    <r>
      <rPr>
        <sz val="10"/>
        <color theme="1"/>
        <rFont val="微軟正黑體"/>
        <family val="2"/>
        <charset val="136"/>
      </rPr>
      <t>，只供參考。</t>
    </r>
    <phoneticPr fontId="2" type="noConversion"/>
  </si>
  <si>
    <r>
      <t>*浸大公佈的分數為4C2X平均分，以及</t>
    </r>
    <r>
      <rPr>
        <b/>
        <sz val="12"/>
        <color theme="1"/>
        <rFont val="微軟正黑體"/>
        <family val="2"/>
        <charset val="136"/>
      </rPr>
      <t>未計比重的原始分數</t>
    </r>
    <r>
      <rPr>
        <sz val="10"/>
        <color theme="1"/>
        <rFont val="微軟正黑體"/>
        <family val="2"/>
        <charset val="136"/>
      </rPr>
      <t>，以上含比重分數一律以</t>
    </r>
    <r>
      <rPr>
        <b/>
        <sz val="12"/>
        <color theme="1"/>
        <rFont val="微軟正黑體"/>
        <family val="2"/>
        <charset val="136"/>
      </rPr>
      <t>最大比重</t>
    </r>
    <r>
      <rPr>
        <sz val="10"/>
        <color theme="1"/>
        <rFont val="微軟正黑體"/>
        <family val="2"/>
        <charset val="136"/>
      </rPr>
      <t>作估算</t>
    </r>
    <r>
      <rPr>
        <b/>
        <sz val="10"/>
        <color theme="1"/>
        <rFont val="微軟正黑體"/>
        <family val="2"/>
        <charset val="136"/>
      </rPr>
      <t>，</t>
    </r>
    <r>
      <rPr>
        <sz val="10"/>
        <color theme="1"/>
        <rFont val="微軟正黑體"/>
        <family val="2"/>
        <charset val="136"/>
      </rPr>
      <t>或會</t>
    </r>
    <r>
      <rPr>
        <b/>
        <sz val="12"/>
        <color theme="1"/>
        <rFont val="微軟正黑體"/>
        <family val="2"/>
        <charset val="136"/>
      </rPr>
      <t>稍高於真實分數</t>
    </r>
    <r>
      <rPr>
        <sz val="10"/>
        <color theme="1"/>
        <rFont val="微軟正黑體"/>
        <family val="2"/>
        <charset val="136"/>
      </rPr>
      <t>，只供參考。</t>
    </r>
    <phoneticPr fontId="2" type="noConversion"/>
  </si>
  <si>
    <t>一鍵前住</t>
  </si>
  <si>
    <t>一鍵前住</t>
    <phoneticPr fontId="2" type="noConversion"/>
  </si>
  <si>
    <t>更正 HKU 學額顯示錯位</t>
    <phoneticPr fontId="2" type="noConversion"/>
  </si>
  <si>
    <t>$K$22:$P$424</t>
    <phoneticPr fontId="2" type="noConversion"/>
  </si>
  <si>
    <t>此處經估算後，Median的分數會比UQ略高，原因如下︰</t>
    <phoneticPr fontId="2" type="noConversion"/>
  </si>
  <si>
    <t>1. 「估算」始終是估，此科未有公佈比重的實際數字，故此有比重科目(中英數M1/2)的實際加權後分數可能較高/低。</t>
    <phoneticPr fontId="2" type="noConversion"/>
  </si>
  <si>
    <t>2. 事實上院校在收生時，除了DSE分數，亦有不同考慮，例如面試表現、OEA等，教育系尤其重視面試。</t>
    <phoneticPr fontId="2" type="noConversion"/>
  </si>
  <si>
    <t>由於院校公佈的 LQ/Median等數字，其實以綜合了所有表現的整體收生分數作排序，</t>
    <phoneticPr fontId="2" type="noConversion"/>
  </si>
  <si>
    <t>所以是可以出現DSE分數較低，但其他表現分數較高的情況。</t>
    <phoneticPr fontId="2" type="noConversion"/>
  </si>
  <si>
    <t>額外資料5</t>
  </si>
  <si>
    <r>
      <t>2. 事實上院校在收生時，除了DSE分數，亦有不同考慮，例如面試表現、OEA等，</t>
    </r>
    <r>
      <rPr>
        <b/>
        <sz val="10"/>
        <color theme="1"/>
        <rFont val="微軟正黑體"/>
        <family val="2"/>
        <charset val="136"/>
      </rPr>
      <t>教育系尤其重視面試表演</t>
    </r>
    <r>
      <rPr>
        <sz val="10"/>
        <color theme="1"/>
        <rFont val="微軟正黑體"/>
        <family val="2"/>
        <charset val="136"/>
      </rPr>
      <t>。</t>
    </r>
    <phoneticPr fontId="2" type="noConversion"/>
  </si>
  <si>
    <r>
      <t xml:space="preserve">    由於院校公佈的 LQ/Median等數字，其實以綜合了所有表現的</t>
    </r>
    <r>
      <rPr>
        <b/>
        <sz val="10"/>
        <color theme="1"/>
        <rFont val="微軟正黑體"/>
        <family val="2"/>
        <charset val="136"/>
      </rPr>
      <t>整體收生分數</t>
    </r>
    <r>
      <rPr>
        <sz val="10"/>
        <color theme="1"/>
        <rFont val="微軟正黑體"/>
        <family val="2"/>
        <charset val="136"/>
      </rPr>
      <t>作排序，所以是可以出現DSE分數較低，但其他表現分數較高的情況。</t>
    </r>
    <phoneticPr fontId="2" type="noConversion"/>
  </si>
  <si>
    <t>1. 「估算」始終是估，此科未有公佈比重的實際數字，只提及中文、英文、數學及M1/2有較高的比重。故此，有比重科目的實際加權後分數可能較高/低。</t>
    <phoneticPr fontId="2" type="noConversion"/>
  </si>
  <si>
    <t xml:space="preserve">    此處則一律估算比重為 x1.5。現實中可能數學及M1/2會有更高的比重(e.g. x2)，但由於官方未有公佈太多資訊，所以此處並沒有額外推測其真實數字。</t>
    <phoneticPr fontId="2" type="noConversion"/>
  </si>
  <si>
    <t>JS4361 數學教育 是否計錯分？為何Median會高過UQ?</t>
    <phoneticPr fontId="2" type="noConversion"/>
  </si>
  <si>
    <t xml:space="preserve">更正 PolyU 計分過程 及 參考分數 錯誤  </t>
    <phoneticPr fontId="2" type="noConversion"/>
  </si>
  <si>
    <t>更正 成績選擇等級U 計算錯誤</t>
  </si>
  <si>
    <t>更正 JS4361、JS4836 分數計算錯誤</t>
    <phoneticPr fontId="2" type="noConversion"/>
  </si>
  <si>
    <t xml:space="preserve">(只需選擇今年重新報考的科目) </t>
    <phoneticPr fontId="2" type="noConversion"/>
  </si>
  <si>
    <r>
      <t>請在下載後以</t>
    </r>
    <r>
      <rPr>
        <b/>
        <sz val="12"/>
        <color theme="1"/>
        <rFont val="微軟正黑體"/>
        <family val="2"/>
        <charset val="136"/>
      </rPr>
      <t>電腦</t>
    </r>
    <r>
      <rPr>
        <b/>
        <sz val="11"/>
        <color theme="1"/>
        <rFont val="微軟正黑體"/>
        <family val="2"/>
        <charset val="136"/>
      </rPr>
      <t xml:space="preserve"> Excel 開啟及使用。 (不能用Google Sheet) </t>
    </r>
    <phoneticPr fontId="2" type="noConversion"/>
  </si>
  <si>
    <t>x2: 中文、英文、生物、物理、組合科學(物理、生物)</t>
    <phoneticPr fontId="2" type="noConversion"/>
  </si>
  <si>
    <t>x1.2: 生物、化學、物理、綜合科學、組合科學、健康管理及社會關懷</t>
    <phoneticPr fontId="2" type="noConversion"/>
  </si>
  <si>
    <t>JSST06</t>
    <phoneticPr fontId="2" type="noConversion"/>
  </si>
  <si>
    <t>JSSU61</t>
    <phoneticPr fontId="2" type="noConversion"/>
  </si>
  <si>
    <t>JSSU65</t>
    <phoneticPr fontId="2" type="noConversion"/>
  </si>
  <si>
    <t>前身</t>
    <phoneticPr fontId="2" type="noConversion"/>
  </si>
  <si>
    <t>現為</t>
    <phoneticPr fontId="2" type="noConversion"/>
  </si>
  <si>
    <t>現重新命名為 JSSU61 綜合檢測和認證榮譽應用理學士。</t>
    <phoneticPr fontId="2" type="noConversion"/>
  </si>
  <si>
    <t>此課程前身原為 JSSU65 檢測和認證榮譽工學士，</t>
    <phoneticPr fontId="2" type="noConversion"/>
  </si>
  <si>
    <t>BN (Hons)</t>
    <phoneticPr fontId="2" type="noConversion"/>
  </si>
  <si>
    <t>東華學院</t>
    <phoneticPr fontId="2" type="noConversion"/>
  </si>
  <si>
    <t>優先考慮:  英文 考獲 Lv.4 或以上 者 及</t>
    <phoneticPr fontId="2" type="noConversion"/>
  </si>
  <si>
    <t>生物、物理、組合科學(物理、生物) 考獲 Lv.3 或以上者</t>
    <phoneticPr fontId="2" type="noConversion"/>
  </si>
  <si>
    <t>優先考慮 生物 或 組合科學 (生物) 考獲Lv.2或以上者</t>
    <phoneticPr fontId="2" type="noConversion"/>
  </si>
  <si>
    <t>優先考慮 物理 或 生物 或 組合科學 (物理、生物) 考獲Lv.3或以上者</t>
    <phoneticPr fontId="2" type="noConversion"/>
  </si>
  <si>
    <t>優先考慮:  英文 考獲 Lv.4 或以上 者</t>
    <phoneticPr fontId="2" type="noConversion"/>
  </si>
  <si>
    <t xml:space="preserve">更正 HKUST 計分過程 及 參考分數 錯誤  </t>
    <phoneticPr fontId="2" type="noConversion"/>
  </si>
  <si>
    <t xml:space="preserve">更正 語言科目 入學要求錯誤 </t>
    <phoneticPr fontId="2" type="noConversion"/>
  </si>
  <si>
    <t>按此</t>
    <phoneticPr fontId="2" type="noConversion"/>
  </si>
  <si>
    <t>生物、組合科學(生物)</t>
    <phoneticPr fontId="2" type="noConversion"/>
  </si>
  <si>
    <t>優先考慮:  資訊及通訊科技 考獲Lv.3或以上者</t>
    <phoneticPr fontId="2" type="noConversion"/>
  </si>
  <si>
    <t>以下一科選修取得Lv.2︰生物、化學、組合科學、物理、綜合科學、M1/2</t>
    <phoneticPr fontId="2" type="noConversion"/>
  </si>
  <si>
    <t>以下一科選修取得Lv.3︰生物、化學、物理、組合科學、綜合科學 或 健康護理實務(Distinction (I))</t>
    <phoneticPr fontId="2" type="noConversion"/>
  </si>
  <si>
    <t>優先考慮:  英文 Lv.4 或以上，數學 和 通識 及 [物理 或 綜合科學 或 組合科學(物理) ]Lv.3或以上者</t>
    <phoneticPr fontId="2" type="noConversion"/>
  </si>
  <si>
    <t>優先考慮:  化學 或 組合科學 (化學) 考獲Lv.4或以上者</t>
    <phoneticPr fontId="2" type="noConversion"/>
  </si>
  <si>
    <t>物理、生物、組合科學(物理、生物)</t>
    <phoneticPr fontId="2" type="noConversion"/>
  </si>
  <si>
    <t>優先考慮: 物理、綜合科學、組合科學(物理)</t>
    <phoneticPr fontId="2" type="noConversion"/>
  </si>
  <si>
    <t>JSST05</t>
    <phoneticPr fontId="2" type="noConversion"/>
  </si>
  <si>
    <t>優先考慮 生物 或 組合科學 (生物) 考獲Lv.3或以上者</t>
    <phoneticPr fontId="2" type="noConversion"/>
  </si>
  <si>
    <t>生物、化學、物理、組合科學、綜合科學、M1/2</t>
    <phoneticPr fontId="2" type="noConversion"/>
  </si>
  <si>
    <t>https://admissions.hkmu.edu.hk/ug/jupas/</t>
    <phoneticPr fontId="2" type="noConversion"/>
  </si>
  <si>
    <t>https://www.jupas.edu.hk/f/page/3669/af_2021_SSSDP.pdf</t>
    <phoneticPr fontId="2" type="noConversion"/>
  </si>
  <si>
    <t>更正 成績選擇 Lv.5/5*/5** 錯誤</t>
    <phoneticPr fontId="2" type="noConversion"/>
  </si>
  <si>
    <t>改善 小數點顯示問題</t>
    <phoneticPr fontId="2" type="noConversion"/>
  </si>
  <si>
    <t>改善 All in One 版面設計</t>
    <phoneticPr fontId="2" type="noConversion"/>
  </si>
  <si>
    <t>新增 SSSDP 版面及分數計算</t>
    <phoneticPr fontId="2" type="noConversion"/>
  </si>
  <si>
    <t xml:space="preserve">更正 HKU 語言 入學要求錯誤 </t>
    <phoneticPr fontId="2" type="noConversion"/>
  </si>
  <si>
    <t>更正 Retake 版面計算</t>
    <phoneticPr fontId="2" type="noConversion"/>
  </si>
  <si>
    <t>請選擇第二選修科</t>
  </si>
  <si>
    <t>請選擇第一選修科</t>
  </si>
  <si>
    <t xml:space="preserve">更正 HKU M1/2 入學要求錯誤 </t>
    <phoneticPr fontId="2" type="noConversion"/>
  </si>
  <si>
    <t>v1.0.5 UPDATE PATCH:</t>
    <phoneticPr fontId="2" type="noConversion"/>
  </si>
  <si>
    <t xml:space="preserve">更正 HKBU 入學要求錯誤 </t>
    <phoneticPr fontId="2" type="noConversion"/>
  </si>
  <si>
    <t xml:space="preserve">更正 SSSDP 分數計算及顯示錯誤 </t>
    <phoneticPr fontId="2" type="noConversion"/>
  </si>
  <si>
    <t>&lt;- SSSDP 語言科目轉換</t>
    <phoneticPr fontId="2" type="noConversion"/>
  </si>
  <si>
    <t>放榜前</t>
  </si>
  <si>
    <t>Early/Mid-June 2022</t>
  </si>
  <si>
    <t>Mid-June 2022</t>
  </si>
  <si>
    <t>6-8 June 2022</t>
  </si>
  <si>
    <t>24-25 June 2022</t>
  </si>
  <si>
    <t>無</t>
  </si>
  <si>
    <t>27-29 June 2022</t>
  </si>
  <si>
    <t>放榜後</t>
  </si>
  <si>
    <t>late July 2022</t>
  </si>
  <si>
    <t>6-9 July 2022</t>
  </si>
  <si>
    <t>June/July 2022</t>
  </si>
  <si>
    <t>June to July 2022</t>
  </si>
  <si>
    <t>May to June 2022</t>
  </si>
  <si>
    <t>End July to early August 2022</t>
  </si>
  <si>
    <t>放榜前+後</t>
  </si>
  <si>
    <t>Late July to early August 2022</t>
  </si>
  <si>
    <t>14-16 June 2022</t>
  </si>
  <si>
    <t>放榜前/後</t>
  </si>
  <si>
    <t>17 - 28 June 2022</t>
  </si>
  <si>
    <t>30 July &amp; 1 August 2022</t>
  </si>
  <si>
    <t>23 - 28 June 2022</t>
  </si>
  <si>
    <t>31 July &amp; 1 August 2022</t>
  </si>
  <si>
    <t>13 - 24 June 2022</t>
  </si>
  <si>
    <t>Late June 2022</t>
  </si>
  <si>
    <t>Early August 2023</t>
  </si>
  <si>
    <t>Early August 2022</t>
  </si>
  <si>
    <t>22 - 24, 27 June 2022</t>
  </si>
  <si>
    <t>22 - 28 June 2022</t>
  </si>
  <si>
    <t>June/July</t>
  </si>
  <si>
    <t>June</t>
  </si>
  <si>
    <t>July or August</t>
  </si>
  <si>
    <t>July</t>
  </si>
  <si>
    <t>late July</t>
  </si>
  <si>
    <t>Late July</t>
  </si>
  <si>
    <t>Between June and July</t>
  </si>
  <si>
    <t xml:space="preserve">Mid-June to late June </t>
  </si>
  <si>
    <t xml:space="preserve"> 29 July, 1 or 2 August 2022</t>
  </si>
  <si>
    <t>JS1074</t>
    <phoneticPr fontId="2" type="noConversion"/>
  </si>
  <si>
    <t>JS1073</t>
    <phoneticPr fontId="2" type="noConversion"/>
  </si>
  <si>
    <t>Previous UPDATE PATCH:</t>
    <phoneticPr fontId="2" type="noConversion"/>
  </si>
  <si>
    <t>v1.0.6 UPDATE PATCH:</t>
    <phoneticPr fontId="2" type="noConversion"/>
  </si>
  <si>
    <t>更正 HKMU 計分比重 錯誤</t>
    <phoneticPr fontId="2" type="noConversion"/>
  </si>
  <si>
    <t>更正 主頁(A1/2/3) PolyU學額 錯誤</t>
    <phoneticPr fontId="2" type="noConversion"/>
  </si>
  <si>
    <t>26 July to early August 2022</t>
  </si>
  <si>
    <t>19-20 May</t>
  </si>
  <si>
    <t>13-17 Jun</t>
  </si>
  <si>
    <t>20-24, 27-30 Jun</t>
  </si>
  <si>
    <t>20-24 Jun</t>
  </si>
  <si>
    <t>6-10 Jun</t>
  </si>
  <si>
    <t>20 Jun – 8 Jul</t>
  </si>
  <si>
    <t>24, 27-30 Jun</t>
  </si>
  <si>
    <t>May – Jun</t>
  </si>
  <si>
    <t>Mid-Jun</t>
  </si>
  <si>
    <t>6 or 9 Jun</t>
  </si>
  <si>
    <t>16-31 May</t>
  </si>
  <si>
    <t>15-16 Jun</t>
  </si>
  <si>
    <t>16 May – 20 Jun</t>
  </si>
  <si>
    <t>25 &amp; 27 May</t>
  </si>
  <si>
    <t>27 May &amp; 2, 10, 21 Jun</t>
  </si>
  <si>
    <t>21-23 Jun</t>
  </si>
  <si>
    <t>24-27 May</t>
  </si>
  <si>
    <t>31 May &amp; 1 June</t>
  </si>
  <si>
    <t>18-19 May</t>
  </si>
  <si>
    <t>30-31 May</t>
  </si>
  <si>
    <t>End of May</t>
  </si>
  <si>
    <t>Late May – Early Jun</t>
  </si>
  <si>
    <t>27 May - 2 Jun</t>
  </si>
  <si>
    <t>27, 28 Jul 2022</t>
  </si>
  <si>
    <t>Early - Mid Jun 2022</t>
  </si>
  <si>
    <t>Early Jun 2022</t>
  </si>
  <si>
    <t>27, 31 May 2022</t>
  </si>
  <si>
    <t>27 May, 2 Jun 2022</t>
  </si>
  <si>
    <t>23‒24 May 2022</t>
  </si>
  <si>
    <t>28‒29 May, 4‒5 Jun 2022</t>
  </si>
  <si>
    <t>25‒26 May 2022</t>
  </si>
  <si>
    <t>Weeks of May 23 &amp; 30</t>
  </si>
  <si>
    <t>June 6 to 8</t>
  </si>
  <si>
    <t>Week of May 23</t>
  </si>
  <si>
    <t>May 23 to June 10</t>
  </si>
  <si>
    <t>June 14 to 17</t>
  </si>
  <si>
    <t>July 7 to 8</t>
  </si>
  <si>
    <t>1st Round(Updated): January 12-15, 2nd Round: June 22 to 23</t>
  </si>
  <si>
    <t>June 16 to 17, 23 to 24</t>
  </si>
  <si>
    <t>1st Round(Updated): January 12-15 , 2nd Round: June 22 to 23</t>
  </si>
  <si>
    <t>June 15 to 16</t>
  </si>
  <si>
    <t>June 17, 20, 23 to 24, 27 to 30</t>
  </si>
  <si>
    <t>1st round: December 20 to 28, 2nd round: June 16</t>
  </si>
  <si>
    <t>June 7 to 8</t>
  </si>
  <si>
    <t>June 21 to 22</t>
  </si>
  <si>
    <t>1st Round: January, 2nd Round: July 11</t>
  </si>
  <si>
    <t>July 4 to 5</t>
  </si>
  <si>
    <t>June 1 to 17</t>
  </si>
  <si>
    <t>June 13 to 30</t>
  </si>
  <si>
    <t>June 13 to 15</t>
  </si>
  <si>
    <t>1st Round:January, 2nd Round: July 11</t>
  </si>
  <si>
    <t>1st Round(Updated):January 12-15, 2nd Round: June 22 to 23</t>
  </si>
  <si>
    <t>July 26 to 29</t>
  </si>
  <si>
    <t>Late July to Early August</t>
  </si>
  <si>
    <t>July 28 to 29</t>
  </si>
  <si>
    <t>July 21 to 29</t>
  </si>
  <si>
    <t>July 28 to August 1</t>
  </si>
  <si>
    <t>July 27 to August 1</t>
  </si>
  <si>
    <t>July 25 to 29</t>
  </si>
  <si>
    <t>Selected applicants are ENCOURAGED to attend the interview before the release of HKDSE results. Priority will be given to applicants with outstanding performance in the interview.</t>
  </si>
  <si>
    <t>July 27 to 28</t>
  </si>
  <si>
    <t>28 - 29 July 2022</t>
  </si>
  <si>
    <t>28 - 29 July 2022</t>
    <phoneticPr fontId="2" type="noConversion"/>
  </si>
  <si>
    <t>放榜前/後</t>
    <phoneticPr fontId="2" type="noConversion"/>
  </si>
  <si>
    <t>金榜前</t>
    <phoneticPr fontId="2" type="noConversion"/>
  </si>
  <si>
    <t>或有</t>
  </si>
  <si>
    <t>估算方式</t>
    <phoneticPr fontId="2" type="noConversion"/>
  </si>
  <si>
    <t>估算1</t>
    <phoneticPr fontId="2" type="noConversion"/>
  </si>
  <si>
    <t>估算2</t>
  </si>
  <si>
    <t>估算3</t>
  </si>
  <si>
    <t>估算4</t>
  </si>
  <si>
    <t>估算5</t>
  </si>
  <si>
    <t>估算6</t>
  </si>
  <si>
    <t>由於浸大每年除了公佈平均分外，亦會公佈各分布位置(中位數、下四分位數)的同學的詳細分數。</t>
    <phoneticPr fontId="2" type="noConversion"/>
  </si>
  <si>
    <t>*而選修有比重的學科，由於浸大並未有列出參考分數的選修科目，此處保守起見，將會假設參考分數的選修科均有最大比重。</t>
    <phoneticPr fontId="2" type="noConversion"/>
  </si>
  <si>
    <t>*只有主科有比重的學科，則會直接為主科計算比重，然後再加上剩餘科目分數。</t>
    <phoneticPr fontId="2" type="noConversion"/>
  </si>
  <si>
    <t>*無比重的學科，將直接以其計分方式計算 (如 4C2X，將會將4科主科分數相加，再加上最高的2科選修)。</t>
  </si>
  <si>
    <t>*無比重的學科，將直接以其計分方式計算 (如 4C2X，將會將4科主科分數相加，再加上最高的2科選修)。</t>
    <phoneticPr fontId="2" type="noConversion"/>
  </si>
  <si>
    <t>*故此，估算分數或會高於真實分數，請注意。</t>
    <phoneticPr fontId="2" type="noConversion"/>
  </si>
  <si>
    <t>*因單純比較平均分(mean)未能反映科目比重的影響，故此處會以其原始分數 *加以比重* 作估算。</t>
  </si>
  <si>
    <t>*因單純比較平均分(mean)未能反映科目比重的影響，故此處會以其原始分數 *加以比重* 作估算。</t>
    <phoneticPr fontId="2" type="noConversion"/>
  </si>
  <si>
    <t>由於理大每年除了公佈平均分外，亦會公佈各分布位置(中位數、下四分位數)的同學的詳細分數。</t>
    <phoneticPr fontId="2" type="noConversion"/>
  </si>
  <si>
    <t>*理大的計分方式比較獨特，其比重計算方式如下︰</t>
    <phoneticPr fontId="2" type="noConversion"/>
  </si>
  <si>
    <t>*被列作「最高比重」的科目，將會乘以 10倍 比重；核心科目 (4C) 作最少會乘以 7倍 ；至於其他選修科目，則會乘以 5 或 7 倍 的比重。</t>
  </si>
  <si>
    <t>*被列作「最高比重」的科目，將會乘以 10倍 比重；核心科目 (4C) 作最少會乘以 7倍 ；至於其他選修科目，則會乘以 5 或 7 倍 的比重。</t>
    <phoneticPr fontId="2" type="noConversion"/>
  </si>
  <si>
    <t>*此處為方便估算，「最高比重」科目將會 x10，核心科目至少 x7，其他選修則會一律當作 x5。</t>
  </si>
  <si>
    <t>*此處為方便估算，「最高比重」科目將會 x10，核心科目至少 x7，其他選修則會一律當作 x5。</t>
    <phoneticPr fontId="2" type="noConversion"/>
  </si>
  <si>
    <t>*由於理大並未有列出參考分數的選修科目，此處保守起見，將會假設參考分數的選修科均有最大比重，故估算分數或會高於真實分數，請注意。</t>
    <phoneticPr fontId="2" type="noConversion"/>
  </si>
  <si>
    <t>由於中大每年除了公佈平均分外，亦會公佈各分布位置(上四分位數、中位數、下四分位數)的同學的詳細分數。</t>
    <phoneticPr fontId="2" type="noConversion"/>
  </si>
  <si>
    <t>*因單純比較Total Score 未能反映科目比重的影響，故此處會以其原始分數 *加以比重* 作估算。</t>
    <phoneticPr fontId="2" type="noConversion"/>
  </si>
  <si>
    <t>*而選修有比重的學科，由於中大並未有列出參考分數的選修科目，此處保守起見，將會假設參考分數的選修科均有最大比重。</t>
    <phoneticPr fontId="2" type="noConversion"/>
  </si>
  <si>
    <t>*無比重的學科 (如 JS4537)，將直接以其計分方式計算 (如 Best 5，將會將計算「加分制」後最高的6科相加)。</t>
  </si>
  <si>
    <t>*無比重的學科 (如 JS4537)，將直接以其計分方式計算 (如 Best 5，將會將計算「加分制」後最高的7科相加)。</t>
  </si>
  <si>
    <t>*無比重的學科 (如 JS4537)，將直接以其計分方式計算 (如 Best 5，將會將計算「加分制」後最高的8科相加)。</t>
  </si>
  <si>
    <t>*無比重的學科 (如 JS4537)，將直接以其計分方式計算 (如 Best 5，將會將計算「加分制」後最高的9科相加)。</t>
  </si>
  <si>
    <t>*無比重的學科 (如 JS4537)，將直接以其計分方式計算 (如 Best 5，將會將計算「加分制」後最高的10科相加)。</t>
  </si>
  <si>
    <t>*無比重的學科 (如 JS4537)，將直接以其計分方式計算 (如 Best 5，將會將計算「加分制」後最高的11科相加)。</t>
  </si>
  <si>
    <t>*無比重的學科 (如 JS4537)，將直接以其計分方式計算 (如 Best 5，將會將計算「加分制」後最高的12科相加)。</t>
  </si>
  <si>
    <t>*無比重的學科 (如 JS4537)，將直接以其計分方式計算 (如 Best 5，將會將計算「加分制」後最高的13科相加)。</t>
  </si>
  <si>
    <t>*無比重的學科 (如 JS4537)，將直接以其計分方式計算 (如 Best 5，將會將計算「加分制」後最高的14科相加)。</t>
  </si>
  <si>
    <t>*無比重的學科 (如 JS4537)，將直接以其計分方式計算 (如 Best 5，將會將計算「加分制」後最高的15科相加)。</t>
  </si>
  <si>
    <t>*無比重的學科 (如 JS4537)，將直接以其計分方式計算 (如 Best 5，將會將計算「加分制」後最高的16科相加)。</t>
  </si>
  <si>
    <t>*無比重的學科 (如 JS4537)，將直接以其計分方式計算 (如 Best 5，將會將計算「加分制」後最高的17科相加)。</t>
  </si>
  <si>
    <t>*無比重的學科 (如 JS4537)，將直接以其計分方式計算 (如 Best 5，將會將計算「加分制」後最高的18科相加)。</t>
  </si>
  <si>
    <t>*無比重的學科 (如 JS4537)，將直接以其計分方式計算 (如 Best 5，將會將計算「加分制」後最高的19科相加)。</t>
  </si>
  <si>
    <t>*無比重的學科 (如 JS4537)，將直接以其計分方式計算 (如 Best 5，將會將計算「加分制」後最高的20科相加)。</t>
  </si>
  <si>
    <t>*無比重的學科 (如 JS4537)，將直接以其計分方式計算 (如 Best 5，將會將計算「加分制」後最高的21科相加)。</t>
  </si>
  <si>
    <t>*無比重的學科 (如 JS4537)，將直接以其計分方式計算 (如 Best 5，將會將計算「加分制」後最高的22科相加)。</t>
  </si>
  <si>
    <t>*無比重的學科 (如 JS4537)，將直接以其計分方式計算 (如 Best 5，將會將計算「加分制」後最高的23科相加)。</t>
  </si>
  <si>
    <t>*無比重的學科 (如 JS4537)，將直接以其計分方式計算 (如 Best 5，將會將計算「加分制」後最高的24科相加)。</t>
  </si>
  <si>
    <t>*無比重的學科 (如 JS4537)，將直接以其計分方式計算 (如 Best 5，將會將計算「加分制」後最高的25科相加)。</t>
  </si>
  <si>
    <t>*無比重的學科 (如 JS4537)，將直接以其計分方式計算 (如 Best 5，將會將計算「加分制」後最高的26科相加)。</t>
  </si>
  <si>
    <t>*無比重的學科 (如 JS4537)，將直接以其計分方式計算 (如 Best 5，將會將計算「加分制」後最高的27科相加)。</t>
  </si>
  <si>
    <t>*無比重的學科 (如 JS4537)，將直接以其計分方式計算 (如 Best 5，將會將計算「加分制」後最高的28科相加)。</t>
  </si>
  <si>
    <t>*無比重的學科 (如 JS4537)，將直接以其計分方式計算 (如 Best 5，將會將計算「加分制」後最高的29科相加)。</t>
  </si>
  <si>
    <t>*無比重的學科 (如 JS4537)，將直接以其計分方式計算 (如 Best 5，將會將計算「加分制」後最高的30科相加)。</t>
  </si>
  <si>
    <t>*無比重的學科 (如 JS4537)，將直接以其計分方式計算 (如 Best 5，將會將計算「加分制」後最高的31科相加)。</t>
  </si>
  <si>
    <t>*無比重的學科 (如 JS4537)，將直接以其計分方式計算 (如 Best 5，將會將計算「加分制」後最高的32科相加)。</t>
  </si>
  <si>
    <t>*無比重的學科 (如 JS4537)，將直接以其計分方式計算 (如 Best 5，將會將計算「加分制」後最高的33科相加)。</t>
  </si>
  <si>
    <t>*無比重的學科 (如 JS4537)，將直接以其計分方式計算 (如 Best 5，將會將計算「加分制」後最高的34科相加)。</t>
  </si>
  <si>
    <t>*無比重的學科 (如 JS4537)，將直接以其計分方式計算 (如 Best 5，將會將計算「加分制」後最高的35科相加)。</t>
  </si>
  <si>
    <t>*無比重的學科 (如 JS4537)，將直接以其計分方式計算 (如 Best 5，將會將計算「加分制」後最高的36科相加)。</t>
  </si>
  <si>
    <t>*無比重的學科 (如 JS4537)，將直接以其計分方式計算 (如 Best 5，將會將計算「加分制」後最高的37科相加)。</t>
  </si>
  <si>
    <t>*無比重的學科 (如 JS4537)，將直接以其計分方式計算 (如 Best 5，將會將計算「加分制」後最高的38科相加)。</t>
  </si>
  <si>
    <t>*無比重的學科 (如 JS4537)，將直接以其計分方式計算 (如 Best 5，將會將計算「加分制」後最高的39科相加)。</t>
  </si>
  <si>
    <t>*無比重的學科 (如 JS4537)，將直接以其計分方式計算 (如 Best 5，將會將計算「加分制」後最高的40科相加)。</t>
  </si>
  <si>
    <t>*無比重的學科 (如 JS4537)，將直接以其計分方式計算 (如 Best 5，將會將計算「加分制」後最高的41科相加)。</t>
  </si>
  <si>
    <t>*無比重的學科 (如 JS4537)，將直接以其計分方式計算 (如 Best 5，將會將計算「加分制」後最高的42科相加)。</t>
  </si>
  <si>
    <t>*無比重的學科 (如 JS4537)，將直接以其計分方式計算 (如 Best 5，將會將計算「加分制」後最高的43科相加)。</t>
  </si>
  <si>
    <t>*無比重的學科 (如 JS4537)，將直接以其計分方式計算 (如 Best 5，將會將計算「加分制」後最高的44科相加)。</t>
  </si>
  <si>
    <t>*無比重的學科 (如 JS4537)，將直接以其計分方式計算 (如 Best 5，將會將計算「加分制」後最高的45科相加)。</t>
  </si>
  <si>
    <t>*無比重的學科 (如 JS4537)，將直接以其計分方式計算 (如 Best 5，將會將計算「加分制」後最高的46科相加)。</t>
  </si>
  <si>
    <t>*無比重的學科 (如 JS4537)，將直接以其計分方式計算 (如 Best 5，將會將計算「加分制」後最高的47科相加)。</t>
  </si>
  <si>
    <t>*無比重的學科 (如 JS4537)，將直接以其計分方式計算 (如 Best 5，將會將計算「加分制」後最高的48科相加)。</t>
  </si>
  <si>
    <t>*無比重的學科 (如 JS4537)，將直接以其計分方式計算 (如 Best 5，將會將計算「加分制」後最高的49科相加)。</t>
  </si>
  <si>
    <t>*無比重的學科 (如 JS4537)，將直接以其計分方式計算 (如 Best 5，將會將計算「加分制」後最高的50科相加)。</t>
  </si>
  <si>
    <t>*無比重的學科 (如 JS4537)，將直接以其計分方式計算 (如 Best 5，將會將計算「加分制」後最高的51科相加)。</t>
  </si>
  <si>
    <t>*無比重的學科 (如 JS4537)，將直接以其計分方式計算 (如 Best 5，將會將計算「加分制」後最高的52科相加)。</t>
  </si>
  <si>
    <t>*無比重的學科 (如 JS4537)，將直接以其計分方式計算 (如 Best 5，將會將計算「加分制」後最高的53科相加)。</t>
  </si>
  <si>
    <t>*無比重的學科 (如 JS4537)，將直接以其計分方式計算 (如 Best 5，將會將計算「加分制」後最高的54科相加)。</t>
  </si>
  <si>
    <t>*無比重的學科 (如 JS4537)，將直接以其計分方式計算 (如 Best 5，將會將計算「加分制」後最高的55科相加)。</t>
  </si>
  <si>
    <t>*無比重的學科 (如 JS4537)，將直接以其計分方式計算 (如 Best 5，將會將計算「加分制」後最高的56科相加)。</t>
  </si>
  <si>
    <t>*無比重的學科 (如 JS4537)，將直接以其計分方式計算 (如 Best 5，將會將計算「加分制」後最高的57科相加)。</t>
  </si>
  <si>
    <t>*無比重的學科 (如 JS4537)，將直接以其計分方式計算 (如 Best 5，將會將計算「加分制」後最高的58科相加)。</t>
  </si>
  <si>
    <t>*無比重的學科 (如 JS4537)，將直接以其計分方式計算 (如 Best 5，將會將計算「加分制」後最高的59科相加)。</t>
  </si>
  <si>
    <t>*無比重的學科 (如 JS4537)，將直接以其計分方式計算 (如 Best 5，將會將計算「加分制」後最高的60科相加)。</t>
  </si>
  <si>
    <t>*無比重的學科 (如 JS4537)，將直接以其計分方式計算 (如 Best 5，將會將計算「加分制」後最高的61科相加)。</t>
  </si>
  <si>
    <t>*無比重的學科 (如 JS4537)，將直接以其計分方式計算 (如 Best 5，將會將計算「加分制」後最高的62科相加)。</t>
  </si>
  <si>
    <t>*無比重的學科 (如 JS4537)，將直接以其計分方式計算 (如 Best 5，將會將計算「加分制」後最高的63科相加)。</t>
  </si>
  <si>
    <t>*無比重的學科 (如 JS4537)，將直接以其計分方式計算 (如 Best 5，將會將計算「加分制」後最高的64科相加)。</t>
  </si>
  <si>
    <t>*無比重的學科 (如 JS4537)，將直接以其計分方式計算 (如 Best 5，將會將計算「加分制」後最高的65科相加)。</t>
  </si>
  <si>
    <t>*無比重的學科 (如 JS4537)，將直接以其計分方式計算 (如 Best 5，將會將計算「加分制」後最高的66科相加)。</t>
  </si>
  <si>
    <t>*無比重的學科 (如 JS4537)，將直接以其計分方式計算 (如 Best 5，將會將計算「加分制」後最高的67科相加)。</t>
  </si>
  <si>
    <t>*無比重的學科 (如 JS4537)，將直接以其計分方式計算 (如 Best 5，將會將計算「加分制」後最高的68科相加)。</t>
  </si>
  <si>
    <t>*無比重的學科 (如 JS4537)，將直接以其計分方式計算 (如 Best 5，將會將計算「加分制」後最高的69科相加)。</t>
  </si>
  <si>
    <t>*無比重的學科 (如 JS4537)，將直接以其計分方式計算 (如 Best 5，將會將計算「加分制」後最高的70科相加)。</t>
  </si>
  <si>
    <t>*無比重的學科 (如 JS4537)，將直接以其計分方式計算 (如 Best 5，將會將計算「加分制」後最高的71科相加)。</t>
  </si>
  <si>
    <t>*惟 JS7606 文化研究的LQ分數則似有出錯，</t>
    <phoneticPr fontId="2" type="noConversion"/>
  </si>
  <si>
    <t>*嶺大公佈的LQ分數為24.5，然而若根據嶺大提供的原始分數，再加以比重，則會得出23.5。故推測此處應為手民之誤。</t>
    <phoneticPr fontId="2" type="noConversion"/>
  </si>
  <si>
    <t>由於教大每年只會直接公佈未有計算比重的平均分數，故此處無法為比重作任何估算。</t>
    <phoneticPr fontId="2" type="noConversion"/>
  </si>
  <si>
    <t>*同學只能參考個別課程的比重資料，(如部份選修有較高比重，你該科目的成績亦不差，則有較大機會被錄取)</t>
    <phoneticPr fontId="2" type="noConversion"/>
  </si>
  <si>
    <t>*以及 個別課程公佈的重點科目平均分。(如中文教育往年入學學生的中文科成績平均為Lv.5)</t>
  </si>
  <si>
    <t>*以及 個別課程公佈的重點科目平均分。(如中文教育往年入學學生的中文科成績平均為Lv.5)</t>
    <phoneticPr fontId="2" type="noConversion"/>
  </si>
  <si>
    <t>由於都大每年均會直接公佈加權後分數 (即已計算比重)，故此處直接引用都大數字，未有作任何估算。</t>
    <phoneticPr fontId="2" type="noConversion"/>
  </si>
  <si>
    <t>明愛:</t>
  </si>
  <si>
    <t>公佈的為未有計算比重的平均分數，但無提及科目比重，故未有作出估算。</t>
  </si>
  <si>
    <t>珠海:</t>
  </si>
  <si>
    <t>公佈的為未有計算比重的 上四分位數 及 下四分位數 ，但無提及科目比重，故未有作出估算。</t>
  </si>
  <si>
    <t>公佈的未有計算比重的平均分數，故此處無法為比重作任何估算，只能列出其科目供同學參考。</t>
  </si>
  <si>
    <t>東華:</t>
  </si>
  <si>
    <t>都大:</t>
  </si>
  <si>
    <t>公佈的為加權後分數 (即已計算比重)，故此處直接引用都大數字，未有作任何估算。</t>
  </si>
  <si>
    <t>THEi:</t>
  </si>
  <si>
    <t>伍倫貢:</t>
  </si>
  <si>
    <t>樹仁:</t>
  </si>
  <si>
    <t>SSSDP 各院校公佈的參考分數各有不同，以下將列出各院校的方式。</t>
    <phoneticPr fontId="2" type="noConversion"/>
  </si>
  <si>
    <t>恒生大學</t>
    <phoneticPr fontId="2" type="noConversion"/>
  </si>
  <si>
    <t>恒大:</t>
    <phoneticPr fontId="2" type="noConversion"/>
  </si>
  <si>
    <t>JS9001</t>
    <phoneticPr fontId="2" type="noConversion"/>
  </si>
  <si>
    <t>v1.0.7 UPDATE PATCH:</t>
    <phoneticPr fontId="2" type="noConversion"/>
  </si>
  <si>
    <t>新增 All in One 估算方式詳述</t>
    <phoneticPr fontId="2" type="noConversion"/>
  </si>
  <si>
    <t>更正 CityU 及 HKBU 版面未有顯示學額</t>
    <phoneticPr fontId="2" type="noConversion"/>
  </si>
  <si>
    <t>2022 JUPAS 計分器 Ver 1.0.8</t>
    <phoneticPr fontId="2" type="noConversion"/>
  </si>
  <si>
    <t>v1.0.8 UPDATE PATCH:</t>
    <phoneticPr fontId="2" type="noConversion"/>
  </si>
  <si>
    <t>更正 SSSDP JSSU55 計分方式錯誤</t>
    <phoneticPr fontId="2" type="noConversion"/>
  </si>
  <si>
    <t>v1.0.8 Major UPDATE PATCH:</t>
    <phoneticPr fontId="2" type="noConversion"/>
  </si>
  <si>
    <t>JS4862</t>
    <phoneticPr fontId="2" type="noConversion"/>
  </si>
  <si>
    <t>JSSU55</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</si>
</sst>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00;\-0.00;0"/>
    <numFmt numFmtId="177" formatCode="\(\+0%\);\(\-0%\);\(0%\)"/>
    <numFmt numFmtId="178" formatCode="0.00_);[Red]\(0.00\)"/>
    <numFmt numFmtId="179" formatCode="0.00_ ;[Red]\-0.00\ "/>
    <numFmt numFmtId="180" formatCode="\+0%;\-0%;0%"/>
    <numFmt numFmtId="181" formatCode="0.####"/>
    <numFmt numFmtId="182" formatCode="0.###"/>
    <numFmt numFmtId="183" formatCode="\+0.0%;\-0.0%;0.0%"/>
  </numFmts>
  <fonts count="69" x14ac:knownFonts="1">
    <font>
      <sz val="12"/>
      <color theme="1"/>
      <name val="新細明體"/>
      <family val="2"/>
      <charset val="136"/>
      <scheme val="minor"/>
    </font>
    <font>
      <sz val="10"/>
      <color theme="1"/>
      <name val="微軟正黑體"/>
      <family val="2"/>
      <charset val="136"/>
    </font>
    <font>
      <sz val="9"/>
      <name val="新細明體"/>
      <family val="2"/>
      <charset val="136"/>
      <scheme val="minor"/>
    </font>
    <font>
      <sz val="9"/>
      <color theme="1"/>
      <name val="微軟正黑體"/>
      <family val="2"/>
      <charset val="136"/>
    </font>
    <font>
      <sz val="9"/>
      <name val="新細明體"/>
      <family val="3"/>
      <charset val="136"/>
      <scheme val="minor"/>
    </font>
    <font>
      <sz val="12"/>
      <color theme="1"/>
      <name val="微軟正黑體"/>
      <family val="2"/>
      <charset val="136"/>
    </font>
    <font>
      <b/>
      <sz val="12"/>
      <color theme="1"/>
      <name val="微軟正黑體"/>
      <family val="2"/>
      <charset val="136"/>
    </font>
    <font>
      <sz val="9"/>
      <color indexed="81"/>
      <name val="Tahoma"/>
      <family val="2"/>
    </font>
    <font>
      <b/>
      <sz val="9"/>
      <color indexed="81"/>
      <name val="Tahoma"/>
      <family val="2"/>
    </font>
    <font>
      <b/>
      <sz val="9"/>
      <color indexed="81"/>
      <name val="細明體"/>
      <family val="3"/>
      <charset val="136"/>
    </font>
    <font>
      <sz val="12"/>
      <color theme="1"/>
      <name val="新細明體"/>
      <family val="2"/>
      <charset val="136"/>
      <scheme val="minor"/>
    </font>
    <font>
      <b/>
      <sz val="10"/>
      <color theme="1"/>
      <name val="微軟正黑體"/>
      <family val="2"/>
      <charset val="136"/>
    </font>
    <font>
      <sz val="10"/>
      <color theme="2" tint="-0.249977111117893"/>
      <name val="微軟正黑體"/>
      <family val="2"/>
      <charset val="136"/>
    </font>
    <font>
      <sz val="10"/>
      <name val="微軟正黑體"/>
      <family val="2"/>
      <charset val="136"/>
    </font>
    <font>
      <sz val="9"/>
      <color indexed="81"/>
      <name val="細明體"/>
      <family val="3"/>
      <charset val="136"/>
    </font>
    <font>
      <b/>
      <sz val="10"/>
      <color theme="5" tint="-0.499984740745262"/>
      <name val="微軟正黑體"/>
      <family val="2"/>
      <charset val="136"/>
    </font>
    <font>
      <sz val="12"/>
      <color theme="4" tint="-0.249977111117893"/>
      <name val="微軟正黑體"/>
      <family val="2"/>
      <charset val="136"/>
    </font>
    <font>
      <b/>
      <sz val="10"/>
      <color theme="2" tint="-0.249977111117893"/>
      <name val="微軟正黑體"/>
      <family val="2"/>
      <charset val="136"/>
    </font>
    <font>
      <b/>
      <sz val="10"/>
      <color theme="0"/>
      <name val="微軟正黑體"/>
      <family val="2"/>
      <charset val="136"/>
    </font>
    <font>
      <b/>
      <sz val="10"/>
      <name val="微軟正黑體"/>
      <family val="2"/>
      <charset val="136"/>
    </font>
    <font>
      <sz val="10"/>
      <color theme="4" tint="-0.249977111117893"/>
      <name val="微軟正黑體"/>
      <family val="2"/>
      <charset val="136"/>
    </font>
    <font>
      <sz val="10"/>
      <color theme="0"/>
      <name val="微軟正黑體"/>
      <family val="2"/>
      <charset val="136"/>
    </font>
    <font>
      <b/>
      <sz val="12"/>
      <color rgb="FFFF0000"/>
      <name val="微軟正黑體"/>
      <family val="2"/>
      <charset val="136"/>
    </font>
    <font>
      <u/>
      <sz val="12"/>
      <color theme="10"/>
      <name val="新細明體"/>
      <family val="2"/>
      <charset val="136"/>
      <scheme val="minor"/>
    </font>
    <font>
      <b/>
      <sz val="8"/>
      <color theme="1"/>
      <name val="微軟正黑體"/>
      <family val="2"/>
      <charset val="136"/>
    </font>
    <font>
      <b/>
      <sz val="11"/>
      <color theme="1"/>
      <name val="微軟正黑體"/>
      <family val="2"/>
      <charset val="136"/>
    </font>
    <font>
      <b/>
      <sz val="9"/>
      <color theme="1"/>
      <name val="微軟正黑體"/>
      <family val="2"/>
      <charset val="136"/>
    </font>
    <font>
      <u/>
      <sz val="10"/>
      <color theme="10"/>
      <name val="微軟正黑體"/>
      <family val="2"/>
      <charset val="136"/>
    </font>
    <font>
      <b/>
      <sz val="14"/>
      <color rgb="FFFF0000"/>
      <name val="微軟正黑體"/>
      <family val="2"/>
      <charset val="136"/>
    </font>
    <font>
      <b/>
      <sz val="11"/>
      <color rgb="FFFF0000"/>
      <name val="微軟正黑體"/>
      <family val="2"/>
      <charset val="136"/>
    </font>
    <font>
      <b/>
      <i/>
      <sz val="10"/>
      <color theme="1"/>
      <name val="微軟正黑體"/>
      <family val="2"/>
      <charset val="136"/>
    </font>
    <font>
      <sz val="11"/>
      <color rgb="FF9C0006"/>
      <name val="新細明體"/>
      <family val="2"/>
      <scheme val="minor"/>
    </font>
    <font>
      <sz val="10"/>
      <color rgb="FFFF0000"/>
      <name val="微軟正黑體"/>
      <family val="2"/>
      <charset val="136"/>
    </font>
    <font>
      <sz val="12"/>
      <color rgb="FFFF0000"/>
      <name val="微軟正黑體"/>
      <family val="2"/>
      <charset val="136"/>
    </font>
    <font>
      <b/>
      <i/>
      <sz val="10"/>
      <name val="微軟正黑體"/>
      <family val="2"/>
      <charset val="136"/>
    </font>
    <font>
      <sz val="10"/>
      <color theme="9" tint="-0.499984740745262"/>
      <name val="微軟正黑體"/>
      <family val="2"/>
      <charset val="136"/>
    </font>
    <font>
      <sz val="9"/>
      <color theme="9" tint="-0.499984740745262"/>
      <name val="微軟正黑體"/>
      <family val="2"/>
      <charset val="136"/>
    </font>
    <font>
      <sz val="10"/>
      <color theme="2" tint="-0.499984740745262"/>
      <name val="微軟正黑體"/>
      <family val="2"/>
      <charset val="136"/>
    </font>
    <font>
      <b/>
      <sz val="12"/>
      <color theme="0"/>
      <name val="微軟正黑體"/>
      <family val="2"/>
      <charset val="136"/>
    </font>
    <font>
      <sz val="12"/>
      <color theme="0"/>
      <name val="微軟正黑體"/>
      <family val="2"/>
      <charset val="136"/>
    </font>
    <font>
      <i/>
      <sz val="10"/>
      <name val="微軟正黑體"/>
      <family val="2"/>
      <charset val="136"/>
    </font>
    <font>
      <i/>
      <sz val="10"/>
      <color theme="1"/>
      <name val="微軟正黑體"/>
      <family val="2"/>
      <charset val="136"/>
    </font>
    <font>
      <sz val="10"/>
      <color theme="1" tint="0.34998626667073579"/>
      <name val="微軟正黑體"/>
      <family val="2"/>
      <charset val="136"/>
    </font>
    <font>
      <sz val="10"/>
      <color theme="1"/>
      <name val="新細明體"/>
      <family val="2"/>
      <charset val="136"/>
      <scheme val="minor"/>
    </font>
    <font>
      <b/>
      <sz val="14"/>
      <color theme="1"/>
      <name val="微軟正黑體"/>
      <family val="2"/>
      <charset val="136"/>
    </font>
    <font>
      <b/>
      <sz val="11"/>
      <color theme="9" tint="-0.499984740745262"/>
      <name val="微軟正黑體"/>
      <family val="2"/>
      <charset val="136"/>
    </font>
    <font>
      <sz val="10"/>
      <color theme="3" tint="0.79998168889431442"/>
      <name val="微軟正黑體"/>
      <family val="2"/>
      <charset val="136"/>
    </font>
    <font>
      <sz val="9"/>
      <color rgb="FF000000"/>
      <name val="Microsoft JhengHei UI"/>
      <family val="2"/>
      <charset val="136"/>
    </font>
    <font>
      <sz val="10"/>
      <color rgb="FF0070C0"/>
      <name val="微軟正黑體"/>
      <family val="2"/>
      <charset val="136"/>
    </font>
    <font>
      <sz val="10"/>
      <color theme="5" tint="-0.249977111117893"/>
      <name val="微軟正黑體"/>
      <family val="2"/>
      <charset val="136"/>
    </font>
    <font>
      <sz val="10"/>
      <color rgb="FF00B0F0"/>
      <name val="微軟正黑體"/>
      <family val="2"/>
      <charset val="136"/>
    </font>
    <font>
      <b/>
      <sz val="10"/>
      <color rgb="FFFF0000"/>
      <name val="微軟正黑體"/>
      <family val="2"/>
      <charset val="136"/>
    </font>
    <font>
      <i/>
      <sz val="8"/>
      <color theme="1"/>
      <name val="微軟正黑體"/>
      <family val="2"/>
      <charset val="136"/>
    </font>
    <font>
      <sz val="8"/>
      <color theme="1"/>
      <name val="微軟正黑體"/>
      <family val="2"/>
      <charset val="136"/>
    </font>
    <font>
      <i/>
      <sz val="10"/>
      <color rgb="FFFF0000"/>
      <name val="微軟正黑體"/>
      <family val="2"/>
      <charset val="136"/>
    </font>
    <font>
      <sz val="10"/>
      <color theme="5" tint="-0.499984740745262"/>
      <name val="微軟正黑體"/>
      <family val="2"/>
      <charset val="136"/>
    </font>
    <font>
      <sz val="10"/>
      <color theme="5"/>
      <name val="微軟正黑體"/>
      <family val="2"/>
      <charset val="136"/>
    </font>
    <font>
      <i/>
      <sz val="10"/>
      <color rgb="FF6B2D0B"/>
      <name val="微軟正黑體"/>
      <family val="2"/>
      <charset val="136"/>
    </font>
    <font>
      <b/>
      <sz val="20"/>
      <color rgb="FF5F2C09"/>
      <name val="微軟正黑體"/>
      <family val="2"/>
      <charset val="136"/>
    </font>
    <font>
      <u/>
      <sz val="10"/>
      <color theme="10"/>
      <name val="新細明體"/>
      <family val="2"/>
      <charset val="136"/>
      <scheme val="minor"/>
    </font>
    <font>
      <u/>
      <sz val="10"/>
      <color rgb="FF0563C1"/>
      <name val="微軟正黑體"/>
      <family val="2"/>
      <charset val="136"/>
    </font>
    <font>
      <sz val="10"/>
      <color rgb="FF0563C1"/>
      <name val="微軟正黑體"/>
      <family val="2"/>
      <charset val="136"/>
    </font>
    <font>
      <sz val="10"/>
      <color rgb="FF000000"/>
      <name val="微軟正黑體"/>
      <family val="2"/>
      <charset val="136"/>
    </font>
    <font>
      <b/>
      <sz val="10"/>
      <color rgb="FF000000"/>
      <name val="微軟正黑體"/>
      <family val="2"/>
      <charset val="136"/>
    </font>
    <font>
      <b/>
      <i/>
      <sz val="8"/>
      <color theme="1"/>
      <name val="微軟正黑體"/>
      <family val="2"/>
      <charset val="136"/>
    </font>
    <font>
      <sz val="6"/>
      <color theme="1"/>
      <name val="微軟正黑體"/>
      <family val="2"/>
      <charset val="136"/>
    </font>
    <font>
      <b/>
      <sz val="16"/>
      <color theme="1"/>
      <name val="微軟正黑體"/>
      <family val="2"/>
      <charset val="136"/>
    </font>
    <font>
      <sz val="12"/>
      <name val="微軟正黑體"/>
      <family val="2"/>
      <charset val="136"/>
    </font>
    <font>
      <i/>
      <sz val="8"/>
      <name val="微軟正黑體"/>
      <family val="2"/>
      <charset val="136"/>
    </font>
  </fonts>
  <fills count="35">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CC"/>
        <bgColor indexed="64"/>
      </patternFill>
    </fill>
    <fill>
      <patternFill patternType="solid">
        <fgColor theme="9" tint="-0.249977111117893"/>
        <bgColor indexed="64"/>
      </patternFill>
    </fill>
    <fill>
      <patternFill patternType="solid">
        <fgColor rgb="FFA04310"/>
        <bgColor indexed="64"/>
      </patternFill>
    </fill>
    <fill>
      <patternFill patternType="solid">
        <fgColor theme="4" tint="0.59999389629810485"/>
        <bgColor indexed="64"/>
      </patternFill>
    </fill>
    <fill>
      <patternFill patternType="solid">
        <fgColor rgb="FF6600CC"/>
        <bgColor indexed="64"/>
      </patternFill>
    </fill>
    <fill>
      <patternFill patternType="solid">
        <fgColor rgb="FFE24100"/>
        <bgColor indexed="64"/>
      </patternFill>
    </fill>
    <fill>
      <patternFill patternType="solid">
        <fgColor theme="9" tint="0.79998168889431442"/>
        <bgColor indexed="64"/>
      </patternFill>
    </fill>
    <fill>
      <patternFill patternType="solid">
        <fgColor rgb="FFCC0066"/>
        <bgColor indexed="64"/>
      </patternFill>
    </fill>
    <fill>
      <patternFill patternType="solid">
        <fgColor rgb="FFCC0000"/>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rgb="FFECE9D8"/>
        <bgColor indexed="64"/>
      </patternFill>
    </fill>
    <fill>
      <patternFill patternType="solid">
        <fgColor theme="8" tint="-0.499984740745262"/>
        <bgColor indexed="64"/>
      </patternFill>
    </fill>
    <fill>
      <patternFill patternType="solid">
        <fgColor theme="7" tint="-0.499984740745262"/>
        <bgColor indexed="64"/>
      </patternFill>
    </fill>
    <fill>
      <patternFill patternType="solid">
        <fgColor theme="5" tint="0.59999389629810485"/>
        <bgColor indexed="64"/>
      </patternFill>
    </fill>
    <fill>
      <patternFill patternType="solid">
        <fgColor rgb="FFFFC7CE"/>
      </patternFill>
    </fill>
    <fill>
      <patternFill patternType="solid">
        <fgColor theme="9" tint="0.59999389629810485"/>
        <bgColor indexed="64"/>
      </patternFill>
    </fill>
    <fill>
      <patternFill patternType="solid">
        <fgColor rgb="FFFFF3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CCCCFF"/>
        <bgColor indexed="64"/>
      </patternFill>
    </fill>
    <fill>
      <patternFill patternType="solid">
        <fgColor theme="2" tint="-9.9978637043366805E-2"/>
        <bgColor indexed="64"/>
      </patternFill>
    </fill>
    <fill>
      <patternFill patternType="solid">
        <fgColor rgb="FFA9D08E"/>
        <bgColor indexed="64"/>
      </patternFill>
    </fill>
    <fill>
      <patternFill patternType="solid">
        <fgColor rgb="FF9933FF"/>
        <bgColor indexed="64"/>
      </patternFill>
    </fill>
    <fill>
      <patternFill patternType="solid">
        <fgColor theme="7" tint="0.59999389629810485"/>
        <bgColor indexed="64"/>
      </patternFill>
    </fill>
    <fill>
      <patternFill patternType="solid">
        <fgColor rgb="FFFFF1D9"/>
        <bgColor indexed="64"/>
      </patternFill>
    </fill>
    <fill>
      <patternFill patternType="solid">
        <fgColor rgb="FFDFDACF"/>
        <bgColor indexed="64"/>
      </patternFill>
    </fill>
    <fill>
      <patternFill patternType="solid">
        <fgColor rgb="FFECE9E2"/>
        <bgColor indexed="64"/>
      </patternFill>
    </fill>
    <fill>
      <patternFill patternType="solid">
        <fgColor rgb="FFEFE2A3"/>
        <bgColor indexed="64"/>
      </patternFill>
    </fill>
    <fill>
      <patternFill patternType="solid">
        <fgColor theme="3" tint="0.7999816888943144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9" tint="-0.24994659260841701"/>
      </left>
      <right/>
      <top/>
      <bottom/>
      <diagonal/>
    </border>
    <border>
      <left/>
      <right style="thin">
        <color theme="0" tint="-0.249977111117893"/>
      </right>
      <top/>
      <bottom/>
      <diagonal/>
    </border>
    <border>
      <left/>
      <right/>
      <top/>
      <bottom style="dashed">
        <color rgb="FF833C0C"/>
      </bottom>
      <diagonal/>
    </border>
    <border>
      <left/>
      <right/>
      <top style="dashed">
        <color rgb="FF833C0C"/>
      </top>
      <bottom style="dashed">
        <color rgb="FF833C0C"/>
      </bottom>
      <diagonal/>
    </border>
    <border>
      <left/>
      <right/>
      <top style="dashed">
        <color rgb="FF833C0C"/>
      </top>
      <bottom/>
      <diagonal/>
    </border>
    <border>
      <left/>
      <right/>
      <top/>
      <bottom style="dashed">
        <color theme="0"/>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right/>
      <top style="dashed">
        <color theme="0"/>
      </top>
      <bottom style="dashed">
        <color theme="0"/>
      </bottom>
      <diagonal/>
    </border>
    <border>
      <left/>
      <right/>
      <top style="dashed">
        <color theme="0"/>
      </top>
      <bottom/>
      <diagonal/>
    </border>
    <border>
      <left/>
      <right/>
      <top/>
      <bottom style="dashed">
        <color theme="0" tint="-4.9989318521683403E-2"/>
      </bottom>
      <diagonal/>
    </border>
    <border>
      <left/>
      <right/>
      <top style="dashed">
        <color theme="0" tint="-4.9989318521683403E-2"/>
      </top>
      <bottom style="dashed">
        <color theme="0" tint="-4.9989318521683403E-2"/>
      </bottom>
      <diagonal/>
    </border>
    <border>
      <left/>
      <right/>
      <top style="dashed">
        <color theme="0" tint="-4.9989318521683403E-2"/>
      </top>
      <bottom/>
      <diagonal/>
    </border>
    <border>
      <left/>
      <right style="thin">
        <color theme="0" tint="-4.9989318521683403E-2"/>
      </right>
      <top/>
      <bottom/>
      <diagonal/>
    </border>
    <border>
      <left style="thin">
        <color theme="0" tint="-4.9989318521683403E-2"/>
      </left>
      <right style="thin">
        <color theme="0" tint="-4.9989318521683403E-2"/>
      </right>
      <top/>
      <bottom/>
      <diagonal/>
    </border>
    <border>
      <left style="thin">
        <color theme="0" tint="-4.9989318521683403E-2"/>
      </left>
      <right/>
      <top/>
      <bottom/>
      <diagonal/>
    </border>
  </borders>
  <cellStyleXfs count="4">
    <xf numFmtId="0" fontId="0" fillId="0" borderId="0">
      <alignment vertical="center"/>
    </xf>
    <xf numFmtId="9" fontId="10" fillId="0" borderId="0" applyFont="0" applyFill="0" applyBorder="0" applyAlignment="0" applyProtection="0">
      <alignment vertical="center"/>
    </xf>
    <xf numFmtId="0" fontId="23" fillId="0" borderId="0" applyNumberFormat="0" applyFill="0" applyBorder="0" applyAlignment="0" applyProtection="0">
      <alignment vertical="center"/>
    </xf>
    <xf numFmtId="0" fontId="31" fillId="20" borderId="0" applyNumberFormat="0" applyBorder="0" applyAlignment="0" applyProtection="0"/>
  </cellStyleXfs>
  <cellXfs count="603">
    <xf numFmtId="0" fontId="0" fillId="0" borderId="0" xfId="0">
      <alignment vertical="center"/>
    </xf>
    <xf numFmtId="0" fontId="3" fillId="0" borderId="0" xfId="0" applyFont="1" applyAlignment="1">
      <alignment horizontal="center"/>
    </xf>
    <xf numFmtId="0" fontId="1" fillId="0" borderId="0" xfId="0" applyFont="1">
      <alignment vertical="center"/>
    </xf>
    <xf numFmtId="0" fontId="11" fillId="3" borderId="0" xfId="0" applyFont="1" applyFill="1">
      <alignment vertical="center"/>
    </xf>
    <xf numFmtId="0" fontId="1" fillId="3" borderId="0" xfId="0" applyFont="1" applyFill="1">
      <alignment vertical="center"/>
    </xf>
    <xf numFmtId="0" fontId="0" fillId="3" borderId="0" xfId="0" applyFill="1">
      <alignment vertical="center"/>
    </xf>
    <xf numFmtId="0" fontId="12" fillId="3" borderId="0" xfId="0" applyFont="1" applyFill="1" applyAlignment="1">
      <alignment horizontal="center" vertical="center"/>
    </xf>
    <xf numFmtId="176" fontId="1" fillId="3" borderId="0" xfId="0" applyNumberFormat="1" applyFont="1" applyFill="1" applyAlignment="1">
      <alignment horizontal="center" vertical="center"/>
    </xf>
    <xf numFmtId="177" fontId="1" fillId="3" borderId="0" xfId="1" applyNumberFormat="1" applyFont="1" applyFill="1" applyAlignment="1">
      <alignment horizontal="center" vertical="center"/>
    </xf>
    <xf numFmtId="0" fontId="13" fillId="3" borderId="0" xfId="0" applyFont="1" applyFill="1">
      <alignment vertical="center"/>
    </xf>
    <xf numFmtId="0" fontId="1" fillId="5" borderId="0" xfId="0" applyFont="1" applyFill="1">
      <alignment vertical="center"/>
    </xf>
    <xf numFmtId="0" fontId="11" fillId="0" borderId="0" xfId="0" applyFont="1">
      <alignment vertical="center"/>
    </xf>
    <xf numFmtId="0" fontId="5" fillId="0" borderId="0" xfId="0" applyFont="1" applyAlignment="1">
      <alignment horizontal="center"/>
    </xf>
    <xf numFmtId="0" fontId="5" fillId="0" borderId="0" xfId="0" applyFont="1">
      <alignment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1" fillId="0" borderId="0" xfId="0" applyFont="1" applyAlignment="1">
      <alignment horizontal="center" vertical="center"/>
    </xf>
    <xf numFmtId="0" fontId="0" fillId="3" borderId="0" xfId="0" applyFill="1" applyAlignment="1">
      <alignment horizontal="right" vertical="center"/>
    </xf>
    <xf numFmtId="0" fontId="0" fillId="3" borderId="0" xfId="0" applyFill="1" applyAlignment="1">
      <alignment horizontal="left" vertical="center"/>
    </xf>
    <xf numFmtId="0" fontId="11" fillId="0" borderId="0" xfId="0" applyFont="1" applyAlignment="1">
      <alignment horizontal="center" vertical="center"/>
    </xf>
    <xf numFmtId="0" fontId="5" fillId="0" borderId="0" xfId="0" applyFont="1" applyAlignment="1">
      <alignment horizontal="center" vertical="center"/>
    </xf>
    <xf numFmtId="0" fontId="1" fillId="0" borderId="0" xfId="0" applyFont="1" applyAlignment="1">
      <alignment horizontal="left" vertical="center"/>
    </xf>
    <xf numFmtId="0" fontId="1" fillId="3" borderId="0" xfId="0" applyFont="1" applyFill="1" applyAlignment="1">
      <alignment horizontal="right" vertical="center"/>
    </xf>
    <xf numFmtId="0" fontId="1" fillId="3" borderId="0" xfId="0" applyFont="1" applyFill="1" applyAlignment="1">
      <alignment horizontal="left" vertical="center"/>
    </xf>
    <xf numFmtId="0" fontId="18" fillId="6" borderId="0" xfId="0" applyFont="1" applyFill="1">
      <alignment vertical="center"/>
    </xf>
    <xf numFmtId="176" fontId="1" fillId="3" borderId="0" xfId="0" applyNumberFormat="1" applyFont="1" applyFill="1" applyAlignment="1">
      <alignment horizontal="right" vertical="center"/>
    </xf>
    <xf numFmtId="177" fontId="1" fillId="3" borderId="0" xfId="1" applyNumberFormat="1" applyFont="1" applyFill="1" applyAlignment="1">
      <alignment horizontal="left" vertical="center"/>
    </xf>
    <xf numFmtId="0" fontId="13" fillId="3" borderId="0" xfId="0" applyFont="1" applyFill="1" applyAlignment="1">
      <alignment horizontal="center" vertical="center"/>
    </xf>
    <xf numFmtId="0" fontId="5" fillId="0" borderId="0" xfId="0" applyFont="1" applyAlignment="1">
      <alignment horizontal="right" vertical="center"/>
    </xf>
    <xf numFmtId="0" fontId="5" fillId="3" borderId="0" xfId="0" applyFont="1" applyFill="1">
      <alignment vertical="center"/>
    </xf>
    <xf numFmtId="0" fontId="18" fillId="7" borderId="0" xfId="0" applyFont="1" applyFill="1">
      <alignment vertical="center"/>
    </xf>
    <xf numFmtId="0" fontId="11" fillId="8" borderId="0" xfId="0" applyFont="1" applyFill="1">
      <alignment vertical="center"/>
    </xf>
    <xf numFmtId="0" fontId="11" fillId="8" borderId="0" xfId="0" applyFont="1" applyFill="1" applyAlignment="1">
      <alignment horizontal="center" vertical="center"/>
    </xf>
    <xf numFmtId="0" fontId="18" fillId="9" borderId="0" xfId="0" applyFont="1" applyFill="1">
      <alignment vertical="center"/>
    </xf>
    <xf numFmtId="0" fontId="17" fillId="3" borderId="0" xfId="0" applyFont="1" applyFill="1" applyAlignment="1">
      <alignment horizontal="center" vertical="center"/>
    </xf>
    <xf numFmtId="0" fontId="5" fillId="3" borderId="0" xfId="0" applyFont="1" applyFill="1" applyAlignment="1">
      <alignment horizontal="center" vertical="center"/>
    </xf>
    <xf numFmtId="0" fontId="18" fillId="10" borderId="0" xfId="0" applyFont="1" applyFill="1">
      <alignment vertical="center"/>
    </xf>
    <xf numFmtId="0" fontId="11" fillId="3" borderId="0" xfId="0" applyFont="1" applyFill="1" applyAlignment="1">
      <alignment horizontal="center" vertical="center"/>
    </xf>
    <xf numFmtId="0" fontId="5" fillId="0" borderId="0" xfId="0" applyFont="1" applyAlignment="1">
      <alignment horizontal="left" vertical="center"/>
    </xf>
    <xf numFmtId="0" fontId="18" fillId="13" borderId="0" xfId="0" applyFont="1" applyFill="1">
      <alignment vertical="center"/>
    </xf>
    <xf numFmtId="0" fontId="18" fillId="13" borderId="0" xfId="0" applyFont="1" applyFill="1" applyAlignment="1">
      <alignment horizontal="center" vertical="center"/>
    </xf>
    <xf numFmtId="0" fontId="21" fillId="13" borderId="0" xfId="0" applyFont="1" applyFill="1">
      <alignment vertical="center"/>
    </xf>
    <xf numFmtId="0" fontId="18" fillId="15" borderId="0" xfId="0" applyFont="1" applyFill="1">
      <alignment vertical="center"/>
    </xf>
    <xf numFmtId="0" fontId="18" fillId="15" borderId="0" xfId="0" applyFont="1" applyFill="1" applyAlignment="1">
      <alignment horizontal="center" vertical="center"/>
    </xf>
    <xf numFmtId="0" fontId="1" fillId="16" borderId="0" xfId="0" applyFont="1" applyFill="1">
      <alignment vertical="center"/>
    </xf>
    <xf numFmtId="0" fontId="19" fillId="3" borderId="0" xfId="0" applyFont="1" applyFill="1" applyAlignment="1">
      <alignment horizontal="center" vertical="center"/>
    </xf>
    <xf numFmtId="178" fontId="15" fillId="3" borderId="0" xfId="0" applyNumberFormat="1" applyFont="1" applyFill="1" applyAlignment="1">
      <alignment horizontal="center" vertical="center"/>
    </xf>
    <xf numFmtId="0" fontId="27" fillId="3" borderId="0" xfId="2" applyFont="1" applyFill="1">
      <alignment vertical="center"/>
    </xf>
    <xf numFmtId="0" fontId="27" fillId="0" borderId="0" xfId="2" applyFont="1">
      <alignment vertical="center"/>
    </xf>
    <xf numFmtId="0" fontId="27" fillId="3" borderId="0" xfId="2" applyFont="1" applyFill="1" applyBorder="1">
      <alignment vertical="center"/>
    </xf>
    <xf numFmtId="0" fontId="18" fillId="17" borderId="0" xfId="0" applyFont="1" applyFill="1">
      <alignment vertical="center"/>
    </xf>
    <xf numFmtId="0" fontId="18" fillId="18" borderId="0" xfId="0" applyFont="1" applyFill="1">
      <alignment vertical="center"/>
    </xf>
    <xf numFmtId="0" fontId="18" fillId="18" borderId="0" xfId="0" applyFont="1" applyFill="1" applyAlignment="1">
      <alignment horizontal="center" vertical="center"/>
    </xf>
    <xf numFmtId="0" fontId="32" fillId="0" borderId="0" xfId="0" applyFont="1">
      <alignment vertical="center"/>
    </xf>
    <xf numFmtId="0" fontId="33" fillId="0" borderId="0" xfId="0" applyFont="1">
      <alignment vertical="center"/>
    </xf>
    <xf numFmtId="0" fontId="33" fillId="0" borderId="0" xfId="0" applyFont="1" applyAlignment="1">
      <alignment horizontal="left" vertical="center"/>
    </xf>
    <xf numFmtId="177" fontId="32" fillId="3" borderId="0" xfId="1" applyNumberFormat="1" applyFont="1" applyFill="1" applyAlignment="1">
      <alignment horizontal="center" vertical="center"/>
    </xf>
    <xf numFmtId="176" fontId="32" fillId="3" borderId="0" xfId="0" applyNumberFormat="1" applyFont="1" applyFill="1" applyAlignment="1">
      <alignment horizontal="center" vertical="center"/>
    </xf>
    <xf numFmtId="0" fontId="13" fillId="3" borderId="3" xfId="0" applyFont="1" applyFill="1" applyBorder="1">
      <alignment vertical="center"/>
    </xf>
    <xf numFmtId="0" fontId="30" fillId="0" borderId="0" xfId="0" applyFont="1">
      <alignment vertical="center"/>
    </xf>
    <xf numFmtId="177" fontId="1" fillId="0" borderId="0" xfId="1" applyNumberFormat="1" applyFont="1" applyFill="1" applyAlignment="1">
      <alignment horizontal="left" vertical="center"/>
    </xf>
    <xf numFmtId="0" fontId="1" fillId="11" borderId="0" xfId="0" applyFont="1" applyFill="1" applyAlignment="1">
      <alignment horizontal="center" vertical="center"/>
    </xf>
    <xf numFmtId="0" fontId="30" fillId="3" borderId="0" xfId="0" applyFont="1" applyFill="1" applyAlignment="1">
      <alignment horizontal="center" vertical="center"/>
    </xf>
    <xf numFmtId="0" fontId="0" fillId="0" borderId="0" xfId="0" applyAlignment="1">
      <alignment horizontal="left" vertical="center"/>
    </xf>
    <xf numFmtId="0" fontId="13" fillId="3" borderId="0" xfId="2" applyFont="1" applyFill="1" applyAlignment="1">
      <alignment horizontal="left" vertical="center"/>
    </xf>
    <xf numFmtId="0" fontId="19" fillId="0" borderId="0" xfId="0" applyFont="1">
      <alignment vertical="center"/>
    </xf>
    <xf numFmtId="0" fontId="1" fillId="3" borderId="13" xfId="0" applyFont="1" applyFill="1" applyBorder="1" applyAlignment="1">
      <alignment horizontal="center" vertical="center"/>
    </xf>
    <xf numFmtId="0" fontId="18" fillId="0" borderId="0" xfId="0" applyFont="1">
      <alignment vertical="center"/>
    </xf>
    <xf numFmtId="0" fontId="18" fillId="7" borderId="0" xfId="0" applyFont="1" applyFill="1" applyAlignment="1">
      <alignment horizontal="center" vertical="center"/>
    </xf>
    <xf numFmtId="0" fontId="37" fillId="3" borderId="0" xfId="0" applyFont="1" applyFill="1" applyAlignment="1">
      <alignment horizontal="center" vertical="center"/>
    </xf>
    <xf numFmtId="0" fontId="11" fillId="23" borderId="0" xfId="0" applyFont="1" applyFill="1" applyAlignment="1">
      <alignment horizontal="center" vertical="center"/>
    </xf>
    <xf numFmtId="0" fontId="1" fillId="22" borderId="0" xfId="0" applyFont="1" applyFill="1" applyAlignment="1">
      <alignment horizontal="center" vertical="center"/>
    </xf>
    <xf numFmtId="0" fontId="1" fillId="23" borderId="0" xfId="0" applyFont="1" applyFill="1" applyAlignment="1">
      <alignment horizontal="center" vertical="center"/>
    </xf>
    <xf numFmtId="0" fontId="1" fillId="24" borderId="0" xfId="0" applyFont="1" applyFill="1" applyAlignment="1">
      <alignment horizontal="center" vertical="center"/>
    </xf>
    <xf numFmtId="0" fontId="11" fillId="24" borderId="0" xfId="0" applyFont="1" applyFill="1" applyAlignment="1">
      <alignment horizontal="center" vertical="center"/>
    </xf>
    <xf numFmtId="0" fontId="38" fillId="7" borderId="0" xfId="0" applyFont="1" applyFill="1">
      <alignment vertical="center"/>
    </xf>
    <xf numFmtId="0" fontId="18" fillId="9" borderId="0" xfId="0" applyFont="1" applyFill="1" applyAlignment="1">
      <alignment horizontal="center" vertical="center"/>
    </xf>
    <xf numFmtId="0" fontId="11" fillId="25" borderId="0" xfId="0" applyFont="1" applyFill="1" applyAlignment="1">
      <alignment horizontal="center" vertical="center"/>
    </xf>
    <xf numFmtId="0" fontId="1" fillId="25" borderId="0" xfId="0" applyFont="1" applyFill="1" applyAlignment="1">
      <alignment horizontal="center" vertical="center"/>
    </xf>
    <xf numFmtId="0" fontId="11" fillId="4" borderId="0" xfId="0" applyFont="1" applyFill="1" applyAlignment="1">
      <alignment horizontal="center" vertical="center"/>
    </xf>
    <xf numFmtId="0" fontId="1" fillId="4" borderId="0" xfId="0" applyFont="1" applyFill="1" applyAlignment="1">
      <alignment horizontal="center" vertical="center"/>
    </xf>
    <xf numFmtId="0" fontId="19" fillId="8" borderId="0" xfId="0" applyFont="1" applyFill="1" applyAlignment="1">
      <alignment horizontal="center" vertical="center"/>
    </xf>
    <xf numFmtId="0" fontId="30" fillId="0" borderId="0" xfId="0" applyFont="1" applyAlignment="1">
      <alignment horizontal="center" vertical="center"/>
    </xf>
    <xf numFmtId="0" fontId="34" fillId="3" borderId="0" xfId="0" applyFont="1" applyFill="1" applyAlignment="1">
      <alignment horizontal="center" vertical="center"/>
    </xf>
    <xf numFmtId="0" fontId="18" fillId="6" borderId="0" xfId="0" applyFont="1" applyFill="1" applyAlignment="1">
      <alignment horizontal="center" vertical="center"/>
    </xf>
    <xf numFmtId="0" fontId="18" fillId="10" borderId="0" xfId="0" applyFont="1" applyFill="1" applyAlignment="1">
      <alignment horizontal="center" vertical="center"/>
    </xf>
    <xf numFmtId="180" fontId="5" fillId="0" borderId="0" xfId="0" applyNumberFormat="1" applyFont="1" applyAlignment="1">
      <alignment horizontal="center" vertical="center"/>
    </xf>
    <xf numFmtId="0" fontId="33" fillId="0" borderId="0" xfId="0" applyFont="1" applyAlignment="1">
      <alignment horizontal="center" vertical="center"/>
    </xf>
    <xf numFmtId="0" fontId="18" fillId="17" borderId="0" xfId="0" applyFont="1" applyFill="1" applyAlignment="1">
      <alignment horizontal="center" vertical="center"/>
    </xf>
    <xf numFmtId="0" fontId="11" fillId="11" borderId="0" xfId="0" applyFont="1" applyFill="1" applyAlignment="1">
      <alignment horizontal="center" vertical="center"/>
    </xf>
    <xf numFmtId="0" fontId="11" fillId="26" borderId="0" xfId="0" applyFont="1" applyFill="1" applyAlignment="1">
      <alignment horizontal="center" vertical="center"/>
    </xf>
    <xf numFmtId="0" fontId="1" fillId="26" borderId="0" xfId="0" applyFont="1" applyFill="1" applyAlignment="1">
      <alignment horizontal="center" vertical="center"/>
    </xf>
    <xf numFmtId="0" fontId="21" fillId="13" borderId="0" xfId="0" applyFont="1" applyFill="1" applyAlignment="1">
      <alignment horizontal="center" vertical="center"/>
    </xf>
    <xf numFmtId="0" fontId="11" fillId="21" borderId="0" xfId="0" applyFont="1" applyFill="1" applyAlignment="1">
      <alignment horizontal="center" vertical="center"/>
    </xf>
    <xf numFmtId="0" fontId="1" fillId="21" borderId="0" xfId="0" applyFont="1" applyFill="1" applyAlignment="1">
      <alignment horizontal="center" vertical="center"/>
    </xf>
    <xf numFmtId="0" fontId="6" fillId="3" borderId="0" xfId="0" applyFont="1" applyFill="1" applyAlignment="1">
      <alignment horizontal="center" vertical="center"/>
    </xf>
    <xf numFmtId="0" fontId="5" fillId="3" borderId="0" xfId="0" applyFont="1" applyFill="1" applyAlignment="1">
      <alignment horizontal="right" vertical="center"/>
    </xf>
    <xf numFmtId="0" fontId="5" fillId="3" borderId="0" xfId="0" applyFont="1" applyFill="1" applyAlignment="1">
      <alignment horizontal="left" vertical="center"/>
    </xf>
    <xf numFmtId="0" fontId="11" fillId="8" borderId="0" xfId="0" applyFont="1" applyFill="1" applyAlignment="1">
      <alignment horizontal="left" vertical="center"/>
    </xf>
    <xf numFmtId="0" fontId="11" fillId="3" borderId="0" xfId="0" applyFont="1" applyFill="1" applyAlignment="1">
      <alignment horizontal="left" vertical="center"/>
    </xf>
    <xf numFmtId="0" fontId="40" fillId="3" borderId="0" xfId="0" applyFont="1" applyFill="1" applyAlignment="1">
      <alignment horizontal="center" vertical="center"/>
    </xf>
    <xf numFmtId="0" fontId="41" fillId="3" borderId="0" xfId="0" applyFont="1" applyFill="1" applyAlignment="1">
      <alignment horizontal="center" vertical="center"/>
    </xf>
    <xf numFmtId="0" fontId="13" fillId="3" borderId="3" xfId="0" applyFont="1" applyFill="1" applyBorder="1" applyAlignment="1">
      <alignment horizontal="center" vertical="center"/>
    </xf>
    <xf numFmtId="0" fontId="13" fillId="3" borderId="4" xfId="0" applyFont="1" applyFill="1" applyBorder="1" applyAlignment="1">
      <alignment horizontal="center" vertical="center"/>
    </xf>
    <xf numFmtId="0" fontId="3" fillId="0" borderId="0" xfId="0" applyFont="1">
      <alignment vertical="center"/>
    </xf>
    <xf numFmtId="0" fontId="3" fillId="0" borderId="0" xfId="0" applyFont="1" applyAlignment="1">
      <alignment horizontal="center" vertical="center"/>
    </xf>
    <xf numFmtId="0" fontId="13" fillId="3" borderId="0" xfId="2" applyFont="1" applyFill="1" applyAlignment="1">
      <alignment horizontal="right" vertical="center"/>
    </xf>
    <xf numFmtId="0" fontId="11" fillId="3" borderId="0" xfId="0" applyFont="1" applyFill="1" applyAlignment="1">
      <alignment horizontal="right" vertical="center"/>
    </xf>
    <xf numFmtId="0" fontId="19" fillId="3" borderId="0" xfId="2" applyFont="1" applyFill="1" applyAlignment="1">
      <alignment horizontal="right" vertical="center"/>
    </xf>
    <xf numFmtId="0" fontId="13" fillId="0" borderId="0" xfId="0" applyFont="1" applyAlignment="1">
      <alignment horizontal="center" vertical="center"/>
    </xf>
    <xf numFmtId="0" fontId="13" fillId="0" borderId="0" xfId="3" applyFont="1" applyFill="1" applyAlignment="1">
      <alignment horizontal="center" vertical="center"/>
    </xf>
    <xf numFmtId="0" fontId="19" fillId="0" borderId="0" xfId="0" applyFont="1" applyAlignment="1">
      <alignment horizontal="center" vertical="center"/>
    </xf>
    <xf numFmtId="0" fontId="13" fillId="0" borderId="0" xfId="0" applyFont="1">
      <alignment vertical="center"/>
    </xf>
    <xf numFmtId="176" fontId="13" fillId="0" borderId="0" xfId="0" applyNumberFormat="1" applyFont="1" applyAlignment="1">
      <alignment horizontal="right" vertical="center"/>
    </xf>
    <xf numFmtId="0" fontId="43" fillId="0" borderId="0" xfId="0" applyFont="1">
      <alignment vertical="center"/>
    </xf>
    <xf numFmtId="0" fontId="41" fillId="0" borderId="0" xfId="0" applyFont="1" applyAlignment="1">
      <alignment horizontal="center" vertical="center"/>
    </xf>
    <xf numFmtId="0" fontId="1" fillId="27" borderId="0" xfId="0" applyFont="1" applyFill="1" applyAlignment="1">
      <alignment horizontal="center" vertical="center"/>
    </xf>
    <xf numFmtId="0" fontId="11" fillId="27" borderId="0" xfId="0" applyFont="1" applyFill="1" applyAlignment="1">
      <alignment horizontal="left" vertical="center"/>
    </xf>
    <xf numFmtId="0" fontId="1" fillId="2" borderId="0" xfId="0" applyFont="1" applyFill="1" applyAlignment="1">
      <alignment horizontal="left" vertical="center"/>
    </xf>
    <xf numFmtId="0" fontId="11" fillId="27" borderId="0" xfId="0" applyFont="1" applyFill="1" applyAlignment="1">
      <alignment horizontal="center" vertical="center"/>
    </xf>
    <xf numFmtId="0" fontId="1" fillId="2" borderId="0" xfId="0" applyFont="1" applyFill="1" applyAlignment="1">
      <alignment horizontal="center" vertical="center"/>
    </xf>
    <xf numFmtId="0" fontId="1" fillId="14" borderId="0" xfId="0" applyFont="1" applyFill="1" applyAlignment="1">
      <alignment horizontal="left" vertical="center"/>
    </xf>
    <xf numFmtId="0" fontId="1" fillId="14" borderId="0" xfId="0" applyFont="1" applyFill="1" applyAlignment="1">
      <alignment horizontal="center" vertical="center"/>
    </xf>
    <xf numFmtId="0" fontId="18" fillId="28" borderId="0" xfId="0" applyFont="1" applyFill="1" applyAlignment="1">
      <alignment horizontal="center" vertical="center"/>
    </xf>
    <xf numFmtId="0" fontId="18" fillId="28" borderId="0" xfId="0" applyFont="1" applyFill="1" applyAlignment="1">
      <alignment horizontal="left" vertical="center"/>
    </xf>
    <xf numFmtId="0" fontId="18" fillId="6" borderId="0" xfId="0" applyFont="1" applyFill="1" applyAlignment="1">
      <alignment horizontal="left" vertical="center"/>
    </xf>
    <xf numFmtId="0" fontId="44" fillId="3" borderId="0" xfId="0" applyFont="1" applyFill="1">
      <alignment vertical="center"/>
    </xf>
    <xf numFmtId="181" fontId="1" fillId="3" borderId="0" xfId="0" applyNumberFormat="1" applyFont="1" applyFill="1" applyAlignment="1">
      <alignment horizontal="center" vertical="center"/>
    </xf>
    <xf numFmtId="0" fontId="42" fillId="3" borderId="0" xfId="0" applyFont="1" applyFill="1" applyAlignment="1">
      <alignment horizontal="center" vertical="center"/>
    </xf>
    <xf numFmtId="9" fontId="1" fillId="3" borderId="0" xfId="1" applyFont="1" applyFill="1" applyAlignment="1">
      <alignment horizontal="center" vertical="center"/>
    </xf>
    <xf numFmtId="0" fontId="1" fillId="6" borderId="0" xfId="0" applyFont="1" applyFill="1" applyAlignment="1">
      <alignment horizontal="center" vertical="center"/>
    </xf>
    <xf numFmtId="178" fontId="5" fillId="0" borderId="0" xfId="0" applyNumberFormat="1" applyFont="1" applyAlignment="1">
      <alignment horizontal="right" vertical="center"/>
    </xf>
    <xf numFmtId="178" fontId="5" fillId="0" borderId="0" xfId="0" applyNumberFormat="1" applyFont="1">
      <alignment vertical="center"/>
    </xf>
    <xf numFmtId="178" fontId="33" fillId="0" borderId="0" xfId="0" applyNumberFormat="1" applyFont="1" applyAlignment="1">
      <alignment horizontal="right" vertical="center"/>
    </xf>
    <xf numFmtId="0" fontId="5" fillId="29" borderId="0" xfId="0" applyFont="1" applyFill="1">
      <alignment vertical="center"/>
    </xf>
    <xf numFmtId="0" fontId="5" fillId="30" borderId="0" xfId="0" applyFont="1" applyFill="1">
      <alignment vertical="center"/>
    </xf>
    <xf numFmtId="0" fontId="5" fillId="30" borderId="0" xfId="0" applyFont="1" applyFill="1" applyAlignment="1">
      <alignment horizontal="center" vertical="center"/>
    </xf>
    <xf numFmtId="0" fontId="5" fillId="30" borderId="0" xfId="0" applyFont="1" applyFill="1" applyAlignment="1">
      <alignment horizontal="left" vertical="center"/>
    </xf>
    <xf numFmtId="49" fontId="6" fillId="30" borderId="0" xfId="0" applyNumberFormat="1" applyFont="1" applyFill="1" applyAlignment="1">
      <alignment horizontal="right" vertical="center"/>
    </xf>
    <xf numFmtId="0" fontId="6" fillId="30" borderId="0" xfId="0" applyFont="1" applyFill="1">
      <alignment vertical="center"/>
    </xf>
    <xf numFmtId="0" fontId="6" fillId="30" borderId="0" xfId="0" applyFont="1" applyFill="1" applyAlignment="1">
      <alignment horizontal="left" vertical="center"/>
    </xf>
    <xf numFmtId="0" fontId="11" fillId="30" borderId="0" xfId="0" applyFont="1" applyFill="1">
      <alignment vertical="center"/>
    </xf>
    <xf numFmtId="0" fontId="36" fillId="30" borderId="0" xfId="0" applyFont="1" applyFill="1">
      <alignment vertical="center"/>
    </xf>
    <xf numFmtId="0" fontId="1" fillId="30" borderId="0" xfId="0" applyFont="1" applyFill="1">
      <alignment vertical="center"/>
    </xf>
    <xf numFmtId="0" fontId="3" fillId="30" borderId="0" xfId="0" applyFont="1" applyFill="1">
      <alignment vertical="center"/>
    </xf>
    <xf numFmtId="0" fontId="42" fillId="30" borderId="0" xfId="0" applyFont="1" applyFill="1" applyAlignment="1">
      <alignment horizontal="center" vertical="center"/>
    </xf>
    <xf numFmtId="1" fontId="5" fillId="30" borderId="0" xfId="0" applyNumberFormat="1" applyFont="1" applyFill="1" applyAlignment="1">
      <alignment horizontal="center" vertical="center"/>
    </xf>
    <xf numFmtId="0" fontId="5" fillId="30" borderId="0" xfId="0" applyFont="1" applyFill="1" applyAlignment="1">
      <alignment horizontal="left" vertical="top"/>
    </xf>
    <xf numFmtId="0" fontId="39" fillId="30" borderId="0" xfId="0" applyFont="1" applyFill="1">
      <alignment vertical="center"/>
    </xf>
    <xf numFmtId="0" fontId="22" fillId="30" borderId="0" xfId="0" applyFont="1" applyFill="1">
      <alignment vertical="center"/>
    </xf>
    <xf numFmtId="0" fontId="26" fillId="30" borderId="0" xfId="0" applyFont="1" applyFill="1" applyAlignment="1">
      <alignment horizontal="left" vertical="center"/>
    </xf>
    <xf numFmtId="0" fontId="35" fillId="30" borderId="0" xfId="0" applyFont="1" applyFill="1" applyAlignment="1">
      <alignment horizontal="left" vertical="center"/>
    </xf>
    <xf numFmtId="0" fontId="26" fillId="30" borderId="0" xfId="0" applyFont="1" applyFill="1">
      <alignment vertical="center"/>
    </xf>
    <xf numFmtId="0" fontId="11" fillId="30" borderId="0" xfId="0" applyFont="1" applyFill="1" applyAlignment="1">
      <alignment horizontal="center" vertical="center"/>
    </xf>
    <xf numFmtId="0" fontId="36" fillId="30" borderId="0" xfId="0" applyFont="1" applyFill="1" applyAlignment="1">
      <alignment horizontal="left" vertical="center"/>
    </xf>
    <xf numFmtId="0" fontId="11" fillId="30" borderId="0" xfId="0" applyFont="1" applyFill="1" applyAlignment="1">
      <alignment horizontal="left" vertical="center"/>
    </xf>
    <xf numFmtId="0" fontId="6" fillId="30" borderId="0" xfId="0" applyFont="1" applyFill="1" applyAlignment="1">
      <alignment horizontal="right" vertical="center"/>
    </xf>
    <xf numFmtId="0" fontId="1" fillId="30" borderId="0" xfId="0" applyFont="1" applyFill="1" applyAlignment="1">
      <alignment horizontal="left" vertical="center"/>
    </xf>
    <xf numFmtId="0" fontId="1" fillId="30" borderId="12" xfId="0" applyFont="1" applyFill="1" applyBorder="1" applyAlignment="1">
      <alignment horizontal="left" vertical="center"/>
    </xf>
    <xf numFmtId="0" fontId="1" fillId="30" borderId="0" xfId="0" applyFont="1" applyFill="1" applyAlignment="1">
      <alignment horizontal="center" vertical="center"/>
    </xf>
    <xf numFmtId="178" fontId="15" fillId="30" borderId="0" xfId="0" applyNumberFormat="1" applyFont="1" applyFill="1" applyAlignment="1">
      <alignment horizontal="center" vertical="center"/>
    </xf>
    <xf numFmtId="178" fontId="1" fillId="30" borderId="0" xfId="0" applyNumberFormat="1" applyFont="1" applyFill="1" applyAlignment="1">
      <alignment horizontal="center" vertical="center"/>
    </xf>
    <xf numFmtId="179" fontId="11" fillId="30" borderId="0" xfId="0" applyNumberFormat="1" applyFont="1" applyFill="1" applyAlignment="1">
      <alignment horizontal="center" vertical="center"/>
    </xf>
    <xf numFmtId="0" fontId="20" fillId="30" borderId="0" xfId="0" applyFont="1" applyFill="1" applyAlignment="1">
      <alignment horizontal="left" vertical="center"/>
    </xf>
    <xf numFmtId="0" fontId="42" fillId="30" borderId="0" xfId="0" applyFont="1" applyFill="1">
      <alignment vertical="center"/>
    </xf>
    <xf numFmtId="0" fontId="16" fillId="30" borderId="0" xfId="0" applyFont="1" applyFill="1" applyAlignment="1">
      <alignment horizontal="left" vertical="center"/>
    </xf>
    <xf numFmtId="0" fontId="29" fillId="30" borderId="0" xfId="0" applyFont="1" applyFill="1">
      <alignment vertical="center"/>
    </xf>
    <xf numFmtId="0" fontId="22" fillId="30" borderId="0" xfId="0" applyFont="1" applyFill="1" applyAlignment="1">
      <alignment horizontal="left" vertical="center"/>
    </xf>
    <xf numFmtId="0" fontId="27" fillId="30" borderId="0" xfId="2" applyFont="1" applyFill="1" applyAlignment="1">
      <alignment horizontal="left" vertical="center"/>
    </xf>
    <xf numFmtId="0" fontId="5" fillId="30" borderId="0" xfId="0" applyFont="1" applyFill="1" applyAlignment="1">
      <alignment horizontal="center" vertical="top"/>
    </xf>
    <xf numFmtId="0" fontId="37" fillId="30" borderId="0" xfId="0" applyFont="1" applyFill="1">
      <alignment vertical="center"/>
    </xf>
    <xf numFmtId="0" fontId="6" fillId="31" borderId="0" xfId="0" applyFont="1" applyFill="1">
      <alignment vertical="center"/>
    </xf>
    <xf numFmtId="0" fontId="26" fillId="32" borderId="0" xfId="0" applyFont="1" applyFill="1">
      <alignment vertical="center"/>
    </xf>
    <xf numFmtId="0" fontId="3" fillId="32" borderId="0" xfId="0" applyFont="1" applyFill="1">
      <alignment vertical="center"/>
    </xf>
    <xf numFmtId="0" fontId="5" fillId="32" borderId="0" xfId="0" applyFont="1" applyFill="1">
      <alignment vertical="center"/>
    </xf>
    <xf numFmtId="0" fontId="11" fillId="32" borderId="0" xfId="0" applyFont="1" applyFill="1">
      <alignment vertical="center"/>
    </xf>
    <xf numFmtId="0" fontId="5" fillId="32" borderId="0" xfId="0" applyFont="1" applyFill="1" applyAlignment="1">
      <alignment horizontal="center" vertical="center"/>
    </xf>
    <xf numFmtId="0" fontId="6" fillId="33" borderId="0" xfId="0" applyFont="1" applyFill="1">
      <alignment vertical="center"/>
    </xf>
    <xf numFmtId="0" fontId="1" fillId="30" borderId="0" xfId="0" applyFont="1" applyFill="1" applyAlignment="1">
      <alignment vertical="top" wrapText="1"/>
    </xf>
    <xf numFmtId="182" fontId="45" fillId="3" borderId="0" xfId="0" applyNumberFormat="1" applyFont="1" applyFill="1" applyAlignment="1">
      <alignment horizontal="center" vertical="center"/>
    </xf>
    <xf numFmtId="182" fontId="1" fillId="3" borderId="0" xfId="0" applyNumberFormat="1" applyFont="1" applyFill="1" applyAlignment="1">
      <alignment horizontal="center" vertical="center"/>
    </xf>
    <xf numFmtId="182" fontId="18" fillId="6" borderId="0" xfId="0" applyNumberFormat="1" applyFont="1" applyFill="1" applyAlignment="1">
      <alignment horizontal="center" vertical="center"/>
    </xf>
    <xf numFmtId="0" fontId="1" fillId="0" borderId="0" xfId="0" applyFont="1" applyAlignment="1">
      <alignment vertical="center" wrapText="1"/>
    </xf>
    <xf numFmtId="0" fontId="1" fillId="14" borderId="0" xfId="0" applyFont="1" applyFill="1">
      <alignment vertical="center"/>
    </xf>
    <xf numFmtId="0" fontId="1" fillId="14" borderId="2" xfId="0" applyFont="1" applyFill="1" applyBorder="1">
      <alignment vertical="center"/>
    </xf>
    <xf numFmtId="0" fontId="1" fillId="0" borderId="2" xfId="0" applyFont="1" applyBorder="1">
      <alignment vertical="center"/>
    </xf>
    <xf numFmtId="0" fontId="1" fillId="3" borderId="0" xfId="0" applyFont="1" applyFill="1" applyAlignment="1">
      <alignment horizontal="center" vertical="center"/>
    </xf>
    <xf numFmtId="0" fontId="1" fillId="0" borderId="0" xfId="0" applyFont="1" applyAlignment="1">
      <alignment horizontal="center" vertical="center"/>
    </xf>
    <xf numFmtId="0" fontId="11" fillId="3" borderId="0" xfId="0" applyFont="1" applyFill="1" applyAlignment="1">
      <alignment horizontal="center" vertical="center"/>
    </xf>
    <xf numFmtId="0" fontId="1" fillId="3" borderId="0" xfId="0" applyFont="1" applyFill="1" applyAlignment="1">
      <alignment horizontal="center" vertical="center"/>
    </xf>
    <xf numFmtId="0" fontId="1" fillId="0" borderId="0" xfId="0" applyFont="1" applyAlignment="1">
      <alignment horizontal="center" vertical="center"/>
    </xf>
    <xf numFmtId="0" fontId="48" fillId="0" borderId="0" xfId="0" applyFont="1">
      <alignment vertical="center"/>
    </xf>
    <xf numFmtId="0" fontId="11" fillId="19" borderId="2" xfId="0" applyFont="1" applyFill="1" applyBorder="1" applyAlignment="1">
      <alignment horizontal="left" vertical="center"/>
    </xf>
    <xf numFmtId="0" fontId="1" fillId="0" borderId="0" xfId="0" applyFont="1" applyAlignment="1">
      <alignment horizontal="right" vertical="center"/>
    </xf>
    <xf numFmtId="0" fontId="1" fillId="0" borderId="2" xfId="0" applyFont="1" applyBorder="1" applyAlignment="1">
      <alignment horizontal="right" vertical="center"/>
    </xf>
    <xf numFmtId="0" fontId="1" fillId="0" borderId="2" xfId="0" applyFont="1" applyBorder="1" applyAlignment="1">
      <alignment vertical="center"/>
    </xf>
    <xf numFmtId="0" fontId="1" fillId="14" borderId="2" xfId="0" applyFont="1" applyFill="1" applyBorder="1" applyAlignment="1">
      <alignment vertical="center"/>
    </xf>
    <xf numFmtId="0" fontId="1" fillId="14" borderId="0" xfId="0" applyFont="1" applyFill="1" applyAlignment="1">
      <alignment vertical="center"/>
    </xf>
    <xf numFmtId="0" fontId="1" fillId="0" borderId="0" xfId="0" applyFont="1" applyAlignment="1">
      <alignment vertical="center"/>
    </xf>
    <xf numFmtId="0" fontId="1" fillId="0" borderId="2" xfId="0" applyFont="1" applyFill="1" applyBorder="1" applyAlignment="1">
      <alignment vertical="center"/>
    </xf>
    <xf numFmtId="0" fontId="49" fillId="0" borderId="0" xfId="0" applyFont="1" applyAlignment="1">
      <alignment horizontal="center" vertical="center"/>
    </xf>
    <xf numFmtId="0" fontId="11" fillId="14" borderId="0" xfId="0" applyFont="1" applyFill="1" applyAlignment="1">
      <alignment horizontal="left" vertical="center"/>
    </xf>
    <xf numFmtId="0" fontId="11" fillId="14" borderId="2" xfId="0" applyFont="1" applyFill="1" applyBorder="1">
      <alignment vertical="center"/>
    </xf>
    <xf numFmtId="0" fontId="11" fillId="14" borderId="0" xfId="0" applyFont="1" applyFill="1">
      <alignment vertical="center"/>
    </xf>
    <xf numFmtId="0" fontId="11" fillId="22" borderId="0" xfId="0" applyFont="1" applyFill="1" applyAlignment="1">
      <alignment horizontal="left" vertical="center"/>
    </xf>
    <xf numFmtId="0" fontId="1" fillId="22" borderId="0" xfId="0" applyFont="1" applyFill="1" applyAlignment="1">
      <alignment horizontal="left" vertical="center"/>
    </xf>
    <xf numFmtId="0" fontId="41" fillId="0" borderId="0" xfId="0" applyFont="1">
      <alignment vertical="center"/>
    </xf>
    <xf numFmtId="0" fontId="1" fillId="0" borderId="0" xfId="0" applyFont="1" applyAlignment="1">
      <alignment horizontal="center" vertical="center"/>
    </xf>
    <xf numFmtId="0" fontId="1" fillId="14" borderId="2" xfId="0" applyFont="1" applyFill="1" applyBorder="1" applyAlignment="1">
      <alignment horizontal="right" vertical="center"/>
    </xf>
    <xf numFmtId="0" fontId="1" fillId="14" borderId="0" xfId="0" applyFont="1" applyFill="1" applyAlignment="1">
      <alignment horizontal="right" vertical="center"/>
    </xf>
    <xf numFmtId="0" fontId="1" fillId="19" borderId="2" xfId="0" applyFont="1" applyFill="1" applyBorder="1">
      <alignment vertical="center"/>
    </xf>
    <xf numFmtId="0" fontId="11" fillId="19" borderId="2" xfId="0" applyFont="1" applyFill="1" applyBorder="1">
      <alignment vertical="center"/>
    </xf>
    <xf numFmtId="0" fontId="1" fillId="0" borderId="2" xfId="0" applyFont="1" applyBorder="1" applyAlignment="1">
      <alignment horizontal="left" vertical="center"/>
    </xf>
    <xf numFmtId="0" fontId="11" fillId="0" borderId="2" xfId="0" applyFont="1" applyBorder="1">
      <alignment vertical="center"/>
    </xf>
    <xf numFmtId="0" fontId="1" fillId="0" borderId="2" xfId="0" applyFont="1" applyBorder="1" applyAlignment="1">
      <alignment horizontal="center" vertical="center"/>
    </xf>
    <xf numFmtId="0" fontId="11" fillId="0" borderId="2" xfId="0" applyFont="1" applyBorder="1" applyAlignment="1">
      <alignment horizontal="left" vertical="center"/>
    </xf>
    <xf numFmtId="0" fontId="1" fillId="3" borderId="2" xfId="0" applyFont="1" applyFill="1" applyBorder="1" applyAlignment="1">
      <alignment horizontal="center" vertical="center"/>
    </xf>
    <xf numFmtId="0" fontId="1" fillId="0" borderId="2" xfId="0" applyFont="1" applyBorder="1" applyAlignment="1">
      <alignment horizontal="center"/>
    </xf>
    <xf numFmtId="0" fontId="1" fillId="0" borderId="8" xfId="0" applyFont="1" applyBorder="1">
      <alignment vertical="center"/>
    </xf>
    <xf numFmtId="0" fontId="1" fillId="0" borderId="11" xfId="0" applyFont="1" applyBorder="1" applyAlignment="1">
      <alignment horizontal="left" vertical="center"/>
    </xf>
    <xf numFmtId="0" fontId="50" fillId="0" borderId="2" xfId="0" applyFont="1" applyBorder="1">
      <alignment vertical="center"/>
    </xf>
    <xf numFmtId="0" fontId="50" fillId="0" borderId="2" xfId="0" applyFont="1" applyBorder="1" applyAlignment="1">
      <alignment horizontal="center" vertical="center"/>
    </xf>
    <xf numFmtId="0" fontId="13" fillId="0" borderId="2" xfId="0" applyFont="1" applyBorder="1">
      <alignment vertical="center"/>
    </xf>
    <xf numFmtId="0" fontId="41" fillId="0" borderId="2" xfId="0" applyFont="1" applyBorder="1">
      <alignment vertical="center"/>
    </xf>
    <xf numFmtId="0" fontId="1" fillId="0" borderId="2" xfId="0" applyFont="1" applyFill="1" applyBorder="1">
      <alignment vertical="center"/>
    </xf>
    <xf numFmtId="0" fontId="1" fillId="0" borderId="2" xfId="0" applyFont="1" applyFill="1" applyBorder="1" applyAlignment="1">
      <alignment horizontal="center"/>
    </xf>
    <xf numFmtId="0" fontId="51" fillId="0" borderId="2" xfId="0" applyFont="1" applyBorder="1">
      <alignment vertical="center"/>
    </xf>
    <xf numFmtId="0" fontId="32" fillId="0" borderId="2" xfId="0" applyFont="1" applyBorder="1">
      <alignment vertical="center"/>
    </xf>
    <xf numFmtId="0" fontId="32" fillId="0" borderId="2" xfId="0" applyFont="1" applyBorder="1" applyAlignment="1">
      <alignment horizontal="left" vertical="center"/>
    </xf>
    <xf numFmtId="0" fontId="1" fillId="0" borderId="9" xfId="0" applyFont="1" applyBorder="1">
      <alignment vertical="center"/>
    </xf>
    <xf numFmtId="0" fontId="1" fillId="0" borderId="9" xfId="0" applyFont="1" applyBorder="1" applyAlignment="1">
      <alignment horizontal="left" vertical="center"/>
    </xf>
    <xf numFmtId="0" fontId="51" fillId="0" borderId="6" xfId="0" applyFont="1" applyBorder="1">
      <alignment vertical="center"/>
    </xf>
    <xf numFmtId="0" fontId="32" fillId="0" borderId="6" xfId="0" applyFont="1" applyBorder="1">
      <alignment vertical="center"/>
    </xf>
    <xf numFmtId="0" fontId="32" fillId="0" borderId="6" xfId="0" applyFont="1" applyBorder="1" applyAlignment="1">
      <alignment horizontal="left" vertical="center"/>
    </xf>
    <xf numFmtId="0" fontId="51" fillId="0" borderId="0" xfId="0" applyFont="1">
      <alignment vertical="center"/>
    </xf>
    <xf numFmtId="0" fontId="1" fillId="0" borderId="6" xfId="0" applyFont="1" applyBorder="1">
      <alignment vertical="center"/>
    </xf>
    <xf numFmtId="0" fontId="1" fillId="0" borderId="0" xfId="0" applyFont="1" applyBorder="1">
      <alignment vertical="center"/>
    </xf>
    <xf numFmtId="0" fontId="32" fillId="0" borderId="8" xfId="0" applyFont="1" applyBorder="1" applyAlignment="1">
      <alignment horizontal="left" vertical="center"/>
    </xf>
    <xf numFmtId="0" fontId="1" fillId="0" borderId="10" xfId="0" applyFont="1" applyBorder="1">
      <alignment vertical="center"/>
    </xf>
    <xf numFmtId="0" fontId="1" fillId="0" borderId="7" xfId="0" applyFont="1" applyBorder="1">
      <alignment vertical="center"/>
    </xf>
    <xf numFmtId="0" fontId="32" fillId="0" borderId="2" xfId="0" applyFont="1" applyBorder="1" applyAlignment="1">
      <alignment horizontal="center"/>
    </xf>
    <xf numFmtId="0" fontId="52" fillId="14" borderId="2" xfId="0" applyFont="1" applyFill="1" applyBorder="1" applyAlignment="1">
      <alignment vertical="center"/>
    </xf>
    <xf numFmtId="0" fontId="52" fillId="14" borderId="2" xfId="0" applyFont="1" applyFill="1" applyBorder="1">
      <alignment vertical="center"/>
    </xf>
    <xf numFmtId="0" fontId="1" fillId="14" borderId="2" xfId="0" applyFont="1" applyFill="1" applyBorder="1" applyAlignment="1">
      <alignment horizontal="center" vertical="center"/>
    </xf>
    <xf numFmtId="0" fontId="55" fillId="0" borderId="0" xfId="0" applyFont="1">
      <alignment vertical="center"/>
    </xf>
    <xf numFmtId="0" fontId="34" fillId="0" borderId="0" xfId="0" applyFont="1">
      <alignment vertical="center"/>
    </xf>
    <xf numFmtId="0" fontId="1" fillId="0" borderId="2" xfId="0" applyFont="1" applyFill="1" applyBorder="1" applyAlignment="1">
      <alignment horizontal="right" vertical="center"/>
    </xf>
    <xf numFmtId="0" fontId="1" fillId="0" borderId="2" xfId="0" applyFont="1" applyFill="1" applyBorder="1" applyAlignment="1">
      <alignment horizontal="right"/>
    </xf>
    <xf numFmtId="0" fontId="56" fillId="0" borderId="0" xfId="0" applyFont="1" applyAlignment="1">
      <alignment horizontal="center" vertical="center"/>
    </xf>
    <xf numFmtId="0" fontId="34" fillId="0" borderId="0" xfId="0" applyFont="1" applyAlignment="1">
      <alignment horizontal="center" vertical="center"/>
    </xf>
    <xf numFmtId="0" fontId="19" fillId="0" borderId="2" xfId="0" applyFont="1" applyBorder="1">
      <alignment vertical="center"/>
    </xf>
    <xf numFmtId="0" fontId="1" fillId="0" borderId="0" xfId="0" applyFont="1">
      <alignment vertical="center"/>
    </xf>
    <xf numFmtId="0" fontId="1" fillId="3" borderId="0" xfId="0" applyFont="1" applyFill="1">
      <alignment vertical="center"/>
    </xf>
    <xf numFmtId="0" fontId="13" fillId="3" borderId="0" xfId="0" applyFont="1" applyFill="1">
      <alignment vertical="center"/>
    </xf>
    <xf numFmtId="0" fontId="11" fillId="0" borderId="0" xfId="0" applyFont="1">
      <alignment vertical="center"/>
    </xf>
    <xf numFmtId="0" fontId="5" fillId="0" borderId="0" xfId="0" applyFont="1">
      <alignment vertical="center"/>
    </xf>
    <xf numFmtId="0" fontId="1" fillId="3" borderId="0" xfId="0" applyFont="1" applyFill="1" applyAlignment="1">
      <alignment horizontal="center" vertical="center"/>
    </xf>
    <xf numFmtId="0" fontId="1" fillId="0" borderId="0" xfId="0" applyFont="1" applyAlignment="1">
      <alignment horizontal="center" vertical="center"/>
    </xf>
    <xf numFmtId="0" fontId="5" fillId="0" borderId="0" xfId="0" applyFont="1" applyAlignment="1">
      <alignment horizontal="center" vertical="center"/>
    </xf>
    <xf numFmtId="0" fontId="1" fillId="0" borderId="0" xfId="0" applyFont="1" applyAlignment="1">
      <alignment horizontal="left" vertical="center"/>
    </xf>
    <xf numFmtId="0" fontId="1" fillId="3" borderId="0" xfId="0" applyFont="1" applyFill="1" applyAlignment="1">
      <alignment horizontal="left" vertical="center"/>
    </xf>
    <xf numFmtId="0" fontId="13" fillId="3" borderId="0" xfId="0" applyFont="1" applyFill="1" applyAlignment="1">
      <alignment horizontal="center" vertical="center"/>
    </xf>
    <xf numFmtId="0" fontId="5" fillId="3" borderId="0" xfId="0" applyFont="1" applyFill="1">
      <alignment vertical="center"/>
    </xf>
    <xf numFmtId="0" fontId="18" fillId="7" borderId="0" xfId="0" applyFont="1" applyFill="1">
      <alignment vertical="center"/>
    </xf>
    <xf numFmtId="0" fontId="5" fillId="3" borderId="0" xfId="0" applyFont="1" applyFill="1" applyAlignment="1">
      <alignment horizontal="center" vertical="center"/>
    </xf>
    <xf numFmtId="0" fontId="11" fillId="3" borderId="0" xfId="0" applyFont="1" applyFill="1" applyAlignment="1">
      <alignment horizontal="center" vertical="center"/>
    </xf>
    <xf numFmtId="0" fontId="32" fillId="0" borderId="0" xfId="0" applyFont="1">
      <alignment vertical="center"/>
    </xf>
    <xf numFmtId="0" fontId="1" fillId="11" borderId="0" xfId="0" applyFont="1" applyFill="1" applyAlignment="1">
      <alignment horizontal="center" vertical="center"/>
    </xf>
    <xf numFmtId="0" fontId="0" fillId="0" borderId="0" xfId="0" applyAlignment="1">
      <alignment horizontal="left" vertical="center"/>
    </xf>
    <xf numFmtId="0" fontId="19" fillId="0" borderId="0" xfId="0" applyFont="1">
      <alignment vertical="center"/>
    </xf>
    <xf numFmtId="0" fontId="18" fillId="7" borderId="0" xfId="0" applyFont="1" applyFill="1" applyAlignment="1">
      <alignment horizontal="center" vertical="center"/>
    </xf>
    <xf numFmtId="0" fontId="37" fillId="3" borderId="0" xfId="0" applyFont="1" applyFill="1" applyAlignment="1">
      <alignment horizontal="center" vertical="center"/>
    </xf>
    <xf numFmtId="0" fontId="1" fillId="22" borderId="0" xfId="0" applyFont="1" applyFill="1" applyAlignment="1">
      <alignment horizontal="center" vertical="center"/>
    </xf>
    <xf numFmtId="0" fontId="1" fillId="23" borderId="0" xfId="0" applyFont="1" applyFill="1" applyAlignment="1">
      <alignment horizontal="center" vertical="center"/>
    </xf>
    <xf numFmtId="0" fontId="1" fillId="25" borderId="0" xfId="0" applyFont="1" applyFill="1" applyAlignment="1">
      <alignment horizontal="center" vertical="center"/>
    </xf>
    <xf numFmtId="0" fontId="1" fillId="4" borderId="0" xfId="0" applyFont="1" applyFill="1" applyAlignment="1">
      <alignment horizontal="center" vertical="center"/>
    </xf>
    <xf numFmtId="0" fontId="1" fillId="26" borderId="0" xfId="0" applyFont="1" applyFill="1" applyAlignment="1">
      <alignment horizontal="center" vertical="center"/>
    </xf>
    <xf numFmtId="0" fontId="1" fillId="21" borderId="0" xfId="0" applyFont="1" applyFill="1" applyAlignment="1">
      <alignment horizontal="center" vertical="center"/>
    </xf>
    <xf numFmtId="0" fontId="41" fillId="3" borderId="0" xfId="0" applyFont="1" applyFill="1" applyAlignment="1">
      <alignment horizontal="center" vertical="center"/>
    </xf>
    <xf numFmtId="0" fontId="13" fillId="0" borderId="0" xfId="0" applyFont="1">
      <alignment vertical="center"/>
    </xf>
    <xf numFmtId="0" fontId="1" fillId="0" borderId="2" xfId="0" applyFont="1" applyBorder="1">
      <alignment vertical="center"/>
    </xf>
    <xf numFmtId="0" fontId="11" fillId="22" borderId="0" xfId="0" applyFont="1" applyFill="1" applyAlignment="1">
      <alignment horizontal="left" vertical="center"/>
    </xf>
    <xf numFmtId="0" fontId="41" fillId="0" borderId="0" xfId="0" applyFont="1">
      <alignment vertical="center"/>
    </xf>
    <xf numFmtId="0" fontId="5" fillId="0" borderId="0" xfId="0" applyFont="1" applyBorder="1">
      <alignment vertical="center"/>
    </xf>
    <xf numFmtId="0" fontId="1" fillId="3" borderId="0" xfId="0" applyFont="1" applyFill="1" applyBorder="1" applyAlignment="1">
      <alignment horizontal="center" vertical="center"/>
    </xf>
    <xf numFmtId="0" fontId="1" fillId="3" borderId="0" xfId="0" applyFont="1" applyFill="1" applyBorder="1">
      <alignment vertical="center"/>
    </xf>
    <xf numFmtId="0" fontId="11" fillId="3" borderId="0" xfId="0" applyFont="1" applyFill="1" applyBorder="1" applyAlignment="1">
      <alignment horizontal="center" vertical="center"/>
    </xf>
    <xf numFmtId="176" fontId="1" fillId="3" borderId="0" xfId="0" applyNumberFormat="1" applyFont="1" applyFill="1" applyBorder="1" applyAlignment="1">
      <alignment horizontal="right" vertical="center"/>
    </xf>
    <xf numFmtId="177" fontId="1" fillId="3" borderId="0" xfId="1" applyNumberFormat="1" applyFont="1" applyFill="1" applyBorder="1" applyAlignment="1">
      <alignment horizontal="left" vertical="center"/>
    </xf>
    <xf numFmtId="0" fontId="37" fillId="3" borderId="0" xfId="0" applyFont="1" applyFill="1" applyBorder="1" applyAlignment="1">
      <alignment horizontal="center" vertical="center"/>
    </xf>
    <xf numFmtId="0" fontId="1" fillId="3" borderId="14" xfId="0" applyFont="1" applyFill="1" applyBorder="1">
      <alignment vertical="center"/>
    </xf>
    <xf numFmtId="0" fontId="11" fillId="3" borderId="14" xfId="0" applyFont="1" applyFill="1" applyBorder="1" applyAlignment="1">
      <alignment horizontal="center" vertical="center"/>
    </xf>
    <xf numFmtId="176" fontId="1" fillId="3" borderId="14" xfId="0" applyNumberFormat="1" applyFont="1" applyFill="1" applyBorder="1" applyAlignment="1">
      <alignment horizontal="right" vertical="center"/>
    </xf>
    <xf numFmtId="177" fontId="1" fillId="3" borderId="14" xfId="1" applyNumberFormat="1" applyFont="1" applyFill="1" applyBorder="1" applyAlignment="1">
      <alignment horizontal="left" vertical="center"/>
    </xf>
    <xf numFmtId="0" fontId="1" fillId="3" borderId="14" xfId="0" applyFont="1" applyFill="1" applyBorder="1" applyAlignment="1">
      <alignment horizontal="center" vertical="center"/>
    </xf>
    <xf numFmtId="0" fontId="37" fillId="3" borderId="14" xfId="0" applyFont="1" applyFill="1" applyBorder="1" applyAlignment="1">
      <alignment horizontal="center" vertical="center"/>
    </xf>
    <xf numFmtId="0" fontId="5" fillId="0" borderId="14" xfId="0" applyFont="1" applyBorder="1">
      <alignment vertical="center"/>
    </xf>
    <xf numFmtId="0" fontId="1" fillId="3" borderId="15" xfId="0" applyFont="1" applyFill="1" applyBorder="1">
      <alignment vertical="center"/>
    </xf>
    <xf numFmtId="0" fontId="11" fillId="3" borderId="15" xfId="0" applyFont="1" applyFill="1" applyBorder="1" applyAlignment="1">
      <alignment horizontal="center" vertical="center"/>
    </xf>
    <xf numFmtId="176" fontId="1" fillId="3" borderId="15" xfId="0" applyNumberFormat="1" applyFont="1" applyFill="1" applyBorder="1" applyAlignment="1">
      <alignment horizontal="right" vertical="center"/>
    </xf>
    <xf numFmtId="177" fontId="1" fillId="3" borderId="15" xfId="1" applyNumberFormat="1" applyFont="1" applyFill="1" applyBorder="1" applyAlignment="1">
      <alignment horizontal="left" vertical="center"/>
    </xf>
    <xf numFmtId="0" fontId="13" fillId="3" borderId="15" xfId="0" applyFont="1" applyFill="1" applyBorder="1" applyAlignment="1">
      <alignment horizontal="center" vertical="center"/>
    </xf>
    <xf numFmtId="0" fontId="1" fillId="3" borderId="15" xfId="0" applyFont="1" applyFill="1" applyBorder="1" applyAlignment="1">
      <alignment horizontal="center" vertical="center"/>
    </xf>
    <xf numFmtId="0" fontId="5" fillId="0" borderId="15" xfId="0" applyFont="1" applyBorder="1">
      <alignment vertical="center"/>
    </xf>
    <xf numFmtId="0" fontId="41" fillId="3" borderId="14" xfId="0" applyFont="1" applyFill="1" applyBorder="1" applyAlignment="1">
      <alignment horizontal="center" vertical="center"/>
    </xf>
    <xf numFmtId="0" fontId="30" fillId="3" borderId="14" xfId="0" applyFont="1" applyFill="1" applyBorder="1" applyAlignment="1">
      <alignment horizontal="center" vertical="center"/>
    </xf>
    <xf numFmtId="0" fontId="41" fillId="3" borderId="15" xfId="0" applyFont="1" applyFill="1" applyBorder="1" applyAlignment="1">
      <alignment horizontal="center" vertical="center"/>
    </xf>
    <xf numFmtId="0" fontId="54" fillId="0" borderId="0" xfId="0" applyFont="1">
      <alignment vertical="center"/>
    </xf>
    <xf numFmtId="0" fontId="40" fillId="0" borderId="0" xfId="0" applyFont="1">
      <alignment vertical="center"/>
    </xf>
    <xf numFmtId="0" fontId="11" fillId="3" borderId="0" xfId="0" applyFont="1" applyFill="1" applyAlignment="1">
      <alignment horizontal="center" vertical="center"/>
    </xf>
    <xf numFmtId="0" fontId="11" fillId="3" borderId="14" xfId="0" applyFont="1" applyFill="1" applyBorder="1" applyAlignment="1">
      <alignment horizontal="center" vertical="center"/>
    </xf>
    <xf numFmtId="0" fontId="18" fillId="7" borderId="0" xfId="0" applyFont="1" applyFill="1" applyAlignment="1">
      <alignment horizontal="center" vertical="center"/>
    </xf>
    <xf numFmtId="0" fontId="1" fillId="0" borderId="0" xfId="0" applyFont="1" applyAlignment="1">
      <alignment horizontal="center" vertical="center"/>
    </xf>
    <xf numFmtId="0" fontId="1" fillId="3" borderId="0" xfId="0" applyFont="1" applyFill="1" applyAlignment="1">
      <alignment horizontal="center" vertical="center"/>
    </xf>
    <xf numFmtId="0" fontId="18" fillId="7" borderId="0" xfId="0" applyFont="1" applyFill="1" applyAlignment="1">
      <alignment horizontal="center" vertical="center"/>
    </xf>
    <xf numFmtId="0" fontId="1" fillId="0" borderId="11" xfId="0" applyFont="1" applyBorder="1">
      <alignment vertical="center"/>
    </xf>
    <xf numFmtId="0" fontId="1" fillId="0" borderId="0" xfId="0" applyFont="1" applyBorder="1" applyAlignment="1">
      <alignment horizontal="left" vertical="center"/>
    </xf>
    <xf numFmtId="0" fontId="32" fillId="0" borderId="8" xfId="0" applyFont="1" applyBorder="1">
      <alignment vertical="center"/>
    </xf>
    <xf numFmtId="0" fontId="11" fillId="3" borderId="16" xfId="0" applyFont="1" applyFill="1" applyBorder="1" applyAlignment="1">
      <alignment horizontal="center" vertical="center"/>
    </xf>
    <xf numFmtId="0" fontId="1" fillId="3" borderId="16" xfId="0" applyFont="1" applyFill="1" applyBorder="1" applyAlignment="1">
      <alignment horizontal="center" vertical="center"/>
    </xf>
    <xf numFmtId="0" fontId="5" fillId="3" borderId="16" xfId="0" applyFont="1" applyFill="1" applyBorder="1">
      <alignment vertical="center"/>
    </xf>
    <xf numFmtId="0" fontId="37" fillId="3" borderId="16" xfId="0" applyFont="1" applyFill="1" applyBorder="1" applyAlignment="1">
      <alignment horizontal="center" vertical="center"/>
    </xf>
    <xf numFmtId="0" fontId="57" fillId="3" borderId="0" xfId="0" applyFont="1" applyFill="1" applyAlignment="1">
      <alignment horizontal="center" vertical="center"/>
    </xf>
    <xf numFmtId="0" fontId="57" fillId="3" borderId="14" xfId="0" applyFont="1" applyFill="1" applyBorder="1" applyAlignment="1">
      <alignment horizontal="center" vertical="center"/>
    </xf>
    <xf numFmtId="0" fontId="57" fillId="3" borderId="15" xfId="0" applyFont="1" applyFill="1" applyBorder="1" applyAlignment="1">
      <alignment horizontal="center" vertical="center"/>
    </xf>
    <xf numFmtId="0" fontId="57" fillId="3" borderId="0" xfId="0" applyFont="1" applyFill="1" applyBorder="1" applyAlignment="1">
      <alignment horizontal="center" vertical="center"/>
    </xf>
    <xf numFmtId="0" fontId="17" fillId="3" borderId="14" xfId="0" applyFont="1" applyFill="1" applyBorder="1" applyAlignment="1">
      <alignment horizontal="center" vertical="center"/>
    </xf>
    <xf numFmtId="0" fontId="17" fillId="3" borderId="15" xfId="0" applyFont="1" applyFill="1" applyBorder="1" applyAlignment="1">
      <alignment horizontal="center" vertical="center"/>
    </xf>
    <xf numFmtId="0" fontId="17" fillId="3" borderId="0" xfId="0" applyFont="1" applyFill="1" applyBorder="1" applyAlignment="1">
      <alignment horizontal="center" vertical="center"/>
    </xf>
    <xf numFmtId="0" fontId="30" fillId="3" borderId="15" xfId="0" applyFont="1" applyFill="1" applyBorder="1" applyAlignment="1">
      <alignment horizontal="center" vertical="center"/>
    </xf>
    <xf numFmtId="0" fontId="30" fillId="3" borderId="0" xfId="0" applyFont="1" applyFill="1" applyBorder="1" applyAlignment="1">
      <alignment horizontal="center" vertical="center"/>
    </xf>
    <xf numFmtId="0" fontId="15" fillId="3" borderId="0" xfId="0" applyFont="1" applyFill="1" applyAlignment="1">
      <alignment horizontal="center" vertical="center"/>
    </xf>
    <xf numFmtId="0" fontId="15" fillId="3" borderId="14" xfId="0" applyFont="1" applyFill="1" applyBorder="1" applyAlignment="1">
      <alignment horizontal="center" vertical="center"/>
    </xf>
    <xf numFmtId="0" fontId="15" fillId="3" borderId="15" xfId="0" applyFont="1" applyFill="1" applyBorder="1" applyAlignment="1">
      <alignment horizontal="center" vertical="center"/>
    </xf>
    <xf numFmtId="0" fontId="15" fillId="3" borderId="0" xfId="0" applyFont="1" applyFill="1" applyBorder="1" applyAlignment="1">
      <alignment horizontal="center" vertical="center"/>
    </xf>
    <xf numFmtId="176" fontId="1" fillId="3" borderId="15" xfId="0" applyNumberFormat="1" applyFont="1" applyFill="1" applyBorder="1" applyAlignment="1">
      <alignment horizontal="center" vertical="center"/>
    </xf>
    <xf numFmtId="0" fontId="25" fillId="30" borderId="0" xfId="0" applyFont="1" applyFill="1" applyAlignment="1">
      <alignment horizontal="left" vertical="top"/>
    </xf>
    <xf numFmtId="0" fontId="58" fillId="30" borderId="0" xfId="0" applyFont="1" applyFill="1">
      <alignment vertical="center"/>
    </xf>
    <xf numFmtId="0" fontId="58" fillId="30" borderId="0" xfId="0" applyFont="1" applyFill="1" applyAlignment="1">
      <alignment horizontal="left" vertical="center"/>
    </xf>
    <xf numFmtId="0" fontId="24" fillId="0" borderId="0" xfId="0" applyFont="1" applyFill="1">
      <alignment vertical="center"/>
    </xf>
    <xf numFmtId="0" fontId="5" fillId="0" borderId="0" xfId="0" applyFont="1" applyFill="1" applyAlignment="1">
      <alignment horizontal="left" vertical="top"/>
    </xf>
    <xf numFmtId="0" fontId="32" fillId="3" borderId="0" xfId="0" applyFont="1" applyFill="1">
      <alignment vertical="center"/>
    </xf>
    <xf numFmtId="0" fontId="59" fillId="0" borderId="0" xfId="2" applyFont="1">
      <alignment vertical="center"/>
    </xf>
    <xf numFmtId="0" fontId="0" fillId="0" borderId="0" xfId="0">
      <alignment vertical="center"/>
    </xf>
    <xf numFmtId="0" fontId="1" fillId="0" borderId="0" xfId="0" applyFont="1">
      <alignment vertical="center"/>
    </xf>
    <xf numFmtId="0" fontId="11" fillId="3" borderId="0" xfId="0" applyFont="1" applyFill="1">
      <alignment vertical="center"/>
    </xf>
    <xf numFmtId="0" fontId="1" fillId="3" borderId="0" xfId="0" applyFont="1" applyFill="1">
      <alignment vertical="center"/>
    </xf>
    <xf numFmtId="0" fontId="12" fillId="3" borderId="0" xfId="0" applyFont="1" applyFill="1" applyAlignment="1">
      <alignment horizontal="center" vertical="center"/>
    </xf>
    <xf numFmtId="176" fontId="1" fillId="3" borderId="0" xfId="0" applyNumberFormat="1" applyFont="1" applyFill="1" applyAlignment="1">
      <alignment horizontal="center" vertical="center"/>
    </xf>
    <xf numFmtId="177" fontId="1" fillId="3" borderId="0" xfId="1" applyNumberFormat="1" applyFont="1" applyFill="1" applyAlignment="1">
      <alignment horizontal="center" vertical="center"/>
    </xf>
    <xf numFmtId="0" fontId="1" fillId="5" borderId="0" xfId="0" applyFont="1" applyFill="1">
      <alignment vertical="center"/>
    </xf>
    <xf numFmtId="0" fontId="11" fillId="0" borderId="0" xfId="0" applyFont="1">
      <alignment vertical="center"/>
    </xf>
    <xf numFmtId="0" fontId="5" fillId="0" borderId="0" xfId="0" applyFont="1">
      <alignment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1" fillId="0" borderId="0" xfId="0" applyFont="1" applyAlignment="1">
      <alignment horizontal="center" vertical="center"/>
    </xf>
    <xf numFmtId="0" fontId="11" fillId="0" borderId="0" xfId="0" applyFont="1" applyAlignment="1">
      <alignment horizontal="center" vertical="center"/>
    </xf>
    <xf numFmtId="0" fontId="5" fillId="0" borderId="0" xfId="0" applyFont="1" applyAlignment="1">
      <alignment horizontal="center" vertical="center"/>
    </xf>
    <xf numFmtId="0" fontId="1" fillId="0" borderId="0" xfId="0" applyFont="1" applyAlignment="1">
      <alignment horizontal="left" vertical="center"/>
    </xf>
    <xf numFmtId="0" fontId="1" fillId="3" borderId="0" xfId="0" applyFont="1" applyFill="1" applyAlignment="1">
      <alignment horizontal="right" vertical="center"/>
    </xf>
    <xf numFmtId="0" fontId="1" fillId="3" borderId="0" xfId="0" applyFont="1" applyFill="1" applyAlignment="1">
      <alignment horizontal="left" vertical="center"/>
    </xf>
    <xf numFmtId="176" fontId="1" fillId="3" borderId="0" xfId="0" applyNumberFormat="1" applyFont="1" applyFill="1" applyAlignment="1">
      <alignment horizontal="right" vertical="center"/>
    </xf>
    <xf numFmtId="177" fontId="1" fillId="3" borderId="0" xfId="1" applyNumberFormat="1" applyFont="1" applyFill="1" applyAlignment="1">
      <alignment horizontal="left" vertical="center"/>
    </xf>
    <xf numFmtId="0" fontId="13" fillId="3" borderId="0" xfId="0" applyFont="1" applyFill="1" applyAlignment="1">
      <alignment horizontal="center" vertical="center"/>
    </xf>
    <xf numFmtId="0" fontId="5" fillId="0" borderId="0" xfId="0" applyFont="1" applyAlignment="1">
      <alignment horizontal="right" vertical="center"/>
    </xf>
    <xf numFmtId="0" fontId="11" fillId="3" borderId="0" xfId="0" applyFont="1" applyFill="1" applyAlignment="1">
      <alignment horizontal="center" vertical="center"/>
    </xf>
    <xf numFmtId="0" fontId="5" fillId="0" borderId="0" xfId="0" applyFont="1" applyAlignment="1">
      <alignment horizontal="left" vertical="center"/>
    </xf>
    <xf numFmtId="0" fontId="19" fillId="3" borderId="0" xfId="0" applyFont="1" applyFill="1" applyAlignment="1">
      <alignment horizontal="center" vertical="center"/>
    </xf>
    <xf numFmtId="178" fontId="15" fillId="3" borderId="0" xfId="0" applyNumberFormat="1" applyFont="1" applyFill="1" applyAlignment="1">
      <alignment horizontal="center" vertical="center"/>
    </xf>
    <xf numFmtId="0" fontId="27" fillId="3" borderId="0" xfId="2" applyFont="1" applyFill="1">
      <alignment vertical="center"/>
    </xf>
    <xf numFmtId="0" fontId="27" fillId="0" borderId="0" xfId="2" applyFont="1">
      <alignment vertical="center"/>
    </xf>
    <xf numFmtId="0" fontId="32" fillId="0" borderId="0" xfId="0" applyFont="1">
      <alignment vertical="center"/>
    </xf>
    <xf numFmtId="0" fontId="13" fillId="3" borderId="3" xfId="0" applyFont="1" applyFill="1" applyBorder="1">
      <alignment vertical="center"/>
    </xf>
    <xf numFmtId="0" fontId="30" fillId="0" borderId="0" xfId="0" applyFont="1">
      <alignment vertical="center"/>
    </xf>
    <xf numFmtId="0" fontId="30" fillId="3" borderId="0" xfId="0" applyFont="1" applyFill="1" applyAlignment="1">
      <alignment horizontal="center" vertical="center"/>
    </xf>
    <xf numFmtId="0" fontId="37" fillId="3" borderId="0" xfId="0" applyFont="1" applyFill="1" applyAlignment="1">
      <alignment horizontal="center" vertical="center"/>
    </xf>
    <xf numFmtId="0" fontId="30" fillId="0" borderId="0" xfId="0" applyFont="1" applyAlignment="1">
      <alignment horizontal="center" vertical="center"/>
    </xf>
    <xf numFmtId="0" fontId="33" fillId="0" borderId="0" xfId="0" applyFont="1" applyAlignment="1">
      <alignment horizontal="center" vertical="center"/>
    </xf>
    <xf numFmtId="0" fontId="11" fillId="3" borderId="0" xfId="0" applyFont="1" applyFill="1" applyAlignment="1">
      <alignment horizontal="left" vertical="center"/>
    </xf>
    <xf numFmtId="0" fontId="13" fillId="3" borderId="3" xfId="0" applyFont="1" applyFill="1" applyBorder="1" applyAlignment="1">
      <alignment horizontal="center" vertical="center"/>
    </xf>
    <xf numFmtId="0" fontId="13" fillId="0" borderId="0" xfId="0" applyFont="1" applyAlignment="1">
      <alignment horizontal="center" vertical="center"/>
    </xf>
    <xf numFmtId="0" fontId="13" fillId="0" borderId="0" xfId="0" applyFont="1">
      <alignment vertical="center"/>
    </xf>
    <xf numFmtId="0" fontId="41" fillId="0" borderId="0" xfId="0" applyFont="1" applyAlignment="1">
      <alignment horizontal="center" vertical="center"/>
    </xf>
    <xf numFmtId="0" fontId="1" fillId="14" borderId="0" xfId="0" applyFont="1" applyFill="1" applyAlignment="1">
      <alignment horizontal="left" vertical="center"/>
    </xf>
    <xf numFmtId="0" fontId="1" fillId="14" borderId="0" xfId="0" applyFont="1" applyFill="1" applyAlignment="1">
      <alignment horizontal="center" vertical="center"/>
    </xf>
    <xf numFmtId="0" fontId="42" fillId="3" borderId="0" xfId="0" applyFont="1" applyFill="1" applyAlignment="1">
      <alignment horizontal="center" vertical="center"/>
    </xf>
    <xf numFmtId="178" fontId="5" fillId="0" borderId="0" xfId="0" applyNumberFormat="1" applyFont="1" applyAlignment="1">
      <alignment horizontal="right" vertical="center"/>
    </xf>
    <xf numFmtId="0" fontId="5" fillId="30" borderId="0" xfId="0" applyFont="1" applyFill="1" applyAlignment="1">
      <alignment horizontal="left" vertical="top"/>
    </xf>
    <xf numFmtId="0" fontId="1" fillId="0" borderId="0" xfId="0" applyFont="1" applyAlignment="1">
      <alignment vertical="center" wrapText="1"/>
    </xf>
    <xf numFmtId="0" fontId="1" fillId="14" borderId="0" xfId="0" applyFont="1" applyFill="1">
      <alignment vertical="center"/>
    </xf>
    <xf numFmtId="0" fontId="1" fillId="14" borderId="2" xfId="0" applyFont="1" applyFill="1" applyBorder="1">
      <alignment vertical="center"/>
    </xf>
    <xf numFmtId="0" fontId="1" fillId="0" borderId="2" xfId="0" applyFont="1" applyBorder="1">
      <alignment vertical="center"/>
    </xf>
    <xf numFmtId="0" fontId="1" fillId="0" borderId="0" xfId="0" applyFont="1" applyAlignment="1">
      <alignment horizontal="right" vertical="center"/>
    </xf>
    <xf numFmtId="0" fontId="1" fillId="14" borderId="0" xfId="0" applyFont="1" applyFill="1" applyAlignment="1">
      <alignment vertical="center"/>
    </xf>
    <xf numFmtId="0" fontId="11" fillId="14" borderId="0" xfId="0" applyFont="1" applyFill="1" applyAlignment="1">
      <alignment horizontal="left" vertical="center"/>
    </xf>
    <xf numFmtId="0" fontId="1" fillId="0" borderId="0" xfId="0" applyFont="1" applyFill="1" applyAlignment="1">
      <alignment horizontal="center" vertical="center"/>
    </xf>
    <xf numFmtId="0" fontId="41" fillId="0" borderId="0" xfId="0" applyFont="1">
      <alignment vertical="center"/>
    </xf>
    <xf numFmtId="0" fontId="1" fillId="14" borderId="2" xfId="0" applyFont="1" applyFill="1" applyBorder="1" applyAlignment="1">
      <alignment horizontal="right" vertical="center"/>
    </xf>
    <xf numFmtId="0" fontId="1" fillId="0" borderId="2" xfId="0" applyFont="1" applyBorder="1" applyAlignment="1">
      <alignment horizontal="left" vertical="center"/>
    </xf>
    <xf numFmtId="0" fontId="11" fillId="0" borderId="2" xfId="0" applyFont="1" applyBorder="1">
      <alignment vertical="center"/>
    </xf>
    <xf numFmtId="0" fontId="1" fillId="0" borderId="2" xfId="0" applyFont="1" applyBorder="1" applyAlignment="1">
      <alignment horizontal="center" vertical="center"/>
    </xf>
    <xf numFmtId="0" fontId="13" fillId="0" borderId="2" xfId="0" applyFont="1" applyBorder="1">
      <alignment vertical="center"/>
    </xf>
    <xf numFmtId="0" fontId="41" fillId="0" borderId="2" xfId="0" applyFont="1" applyBorder="1">
      <alignment vertical="center"/>
    </xf>
    <xf numFmtId="0" fontId="1" fillId="0" borderId="2" xfId="0" applyFont="1" applyFill="1" applyBorder="1">
      <alignment vertical="center"/>
    </xf>
    <xf numFmtId="0" fontId="51" fillId="0" borderId="2" xfId="0" applyFont="1" applyBorder="1">
      <alignment vertical="center"/>
    </xf>
    <xf numFmtId="0" fontId="32" fillId="0" borderId="2" xfId="0" applyFont="1" applyBorder="1">
      <alignment vertical="center"/>
    </xf>
    <xf numFmtId="0" fontId="32" fillId="0" borderId="6" xfId="0" applyFont="1" applyBorder="1">
      <alignment vertical="center"/>
    </xf>
    <xf numFmtId="0" fontId="32" fillId="0" borderId="6" xfId="0" applyFont="1" applyBorder="1" applyAlignment="1">
      <alignment horizontal="left" vertical="center"/>
    </xf>
    <xf numFmtId="0" fontId="1" fillId="0" borderId="6" xfId="0" applyFont="1" applyBorder="1">
      <alignment vertical="center"/>
    </xf>
    <xf numFmtId="0" fontId="1" fillId="0" borderId="0" xfId="0" applyFont="1" applyBorder="1">
      <alignment vertical="center"/>
    </xf>
    <xf numFmtId="0" fontId="1" fillId="14" borderId="2" xfId="0" applyFont="1" applyFill="1" applyBorder="1" applyAlignment="1">
      <alignment horizontal="left" vertical="center"/>
    </xf>
    <xf numFmtId="0" fontId="32" fillId="0" borderId="8" xfId="0" applyFont="1" applyBorder="1" applyAlignment="1">
      <alignment horizontal="left" vertical="center"/>
    </xf>
    <xf numFmtId="0" fontId="1" fillId="0" borderId="10" xfId="0" applyFont="1" applyBorder="1">
      <alignment vertical="center"/>
    </xf>
    <xf numFmtId="0" fontId="1" fillId="0" borderId="7" xfId="0" applyFont="1" applyBorder="1">
      <alignment vertical="center"/>
    </xf>
    <xf numFmtId="0" fontId="11" fillId="0" borderId="0" xfId="0" applyFont="1" applyAlignment="1">
      <alignment horizontal="left" vertical="center"/>
    </xf>
    <xf numFmtId="0" fontId="19" fillId="0" borderId="2" xfId="0" applyFont="1" applyBorder="1">
      <alignment vertical="center"/>
    </xf>
    <xf numFmtId="178" fontId="15" fillId="3" borderId="0" xfId="0" applyNumberFormat="1" applyFont="1" applyFill="1" applyBorder="1" applyAlignment="1">
      <alignment horizontal="center" vertical="center"/>
    </xf>
    <xf numFmtId="0" fontId="53" fillId="14" borderId="2" xfId="0" applyFont="1" applyFill="1" applyBorder="1">
      <alignment vertical="center"/>
    </xf>
    <xf numFmtId="0" fontId="32" fillId="0" borderId="0" xfId="0" applyFont="1" applyBorder="1">
      <alignment vertical="center"/>
    </xf>
    <xf numFmtId="0" fontId="1" fillId="0" borderId="17" xfId="0" applyFont="1" applyBorder="1" applyAlignment="1">
      <alignment horizontal="center" vertical="center"/>
    </xf>
    <xf numFmtId="178" fontId="15" fillId="3" borderId="17" xfId="0" applyNumberFormat="1" applyFont="1" applyFill="1" applyBorder="1" applyAlignment="1">
      <alignment horizontal="center" vertical="center"/>
    </xf>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60" fillId="0" borderId="0" xfId="2" applyFont="1">
      <alignment vertical="center"/>
    </xf>
    <xf numFmtId="178" fontId="5" fillId="0" borderId="0" xfId="0" applyNumberFormat="1" applyFont="1" applyAlignment="1">
      <alignment horizontal="left" vertical="center"/>
    </xf>
    <xf numFmtId="0" fontId="1" fillId="0" borderId="0" xfId="0" quotePrefix="1" applyFont="1" applyAlignment="1">
      <alignment vertical="center" wrapText="1"/>
    </xf>
    <xf numFmtId="0" fontId="1" fillId="0" borderId="0" xfId="0" quotePrefix="1" applyFont="1">
      <alignment vertical="center"/>
    </xf>
    <xf numFmtId="0" fontId="1" fillId="0" borderId="0" xfId="0" applyFont="1" applyFill="1">
      <alignment vertical="center"/>
    </xf>
    <xf numFmtId="0" fontId="53" fillId="14" borderId="0" xfId="0" applyFont="1" applyFill="1" applyAlignment="1">
      <alignment horizontal="left" vertical="center"/>
    </xf>
    <xf numFmtId="0" fontId="1" fillId="0" borderId="0" xfId="0" applyFont="1" applyFill="1" applyAlignment="1">
      <alignment horizontal="left" vertical="center"/>
    </xf>
    <xf numFmtId="0" fontId="11" fillId="14" borderId="0" xfId="0" applyFont="1" applyFill="1" applyAlignment="1">
      <alignment vertical="center"/>
    </xf>
    <xf numFmtId="0" fontId="53" fillId="14" borderId="2" xfId="0" applyFont="1" applyFill="1" applyBorder="1" applyAlignment="1">
      <alignment horizontal="right" vertical="center"/>
    </xf>
    <xf numFmtId="0" fontId="61" fillId="3" borderId="0" xfId="0" applyFont="1" applyFill="1">
      <alignment vertical="center"/>
    </xf>
    <xf numFmtId="0" fontId="60" fillId="3" borderId="0" xfId="2" applyFont="1" applyFill="1">
      <alignment vertical="center"/>
    </xf>
    <xf numFmtId="0" fontId="1" fillId="0" borderId="21" xfId="0" applyFont="1" applyBorder="1" applyAlignment="1">
      <alignment horizontal="center" vertical="center"/>
    </xf>
    <xf numFmtId="0" fontId="1" fillId="0" borderId="22" xfId="0" applyFont="1" applyBorder="1" applyAlignment="1">
      <alignment horizontal="center" vertical="center"/>
    </xf>
    <xf numFmtId="176" fontId="1" fillId="3" borderId="17" xfId="0" applyNumberFormat="1" applyFont="1" applyFill="1" applyBorder="1" applyAlignment="1">
      <alignment horizontal="right" vertical="center"/>
    </xf>
    <xf numFmtId="177" fontId="1" fillId="3" borderId="17" xfId="1" applyNumberFormat="1" applyFont="1" applyFill="1" applyBorder="1" applyAlignment="1">
      <alignment horizontal="left" vertical="center"/>
    </xf>
    <xf numFmtId="176" fontId="1" fillId="3" borderId="21" xfId="0" applyNumberFormat="1" applyFont="1" applyFill="1" applyBorder="1" applyAlignment="1">
      <alignment horizontal="right" vertical="center"/>
    </xf>
    <xf numFmtId="177" fontId="1" fillId="3" borderId="21" xfId="1" applyNumberFormat="1" applyFont="1" applyFill="1" applyBorder="1" applyAlignment="1">
      <alignment horizontal="left" vertical="center"/>
    </xf>
    <xf numFmtId="176" fontId="1" fillId="3" borderId="21" xfId="0" applyNumberFormat="1" applyFont="1" applyFill="1" applyBorder="1" applyAlignment="1">
      <alignment horizontal="center" vertical="center"/>
    </xf>
    <xf numFmtId="177" fontId="1" fillId="3" borderId="21" xfId="1" applyNumberFormat="1" applyFont="1" applyFill="1" applyBorder="1" applyAlignment="1">
      <alignment horizontal="center" vertical="center"/>
    </xf>
    <xf numFmtId="176" fontId="1" fillId="3" borderId="22" xfId="0" applyNumberFormat="1" applyFont="1" applyFill="1" applyBorder="1" applyAlignment="1">
      <alignment horizontal="right" vertical="center"/>
    </xf>
    <xf numFmtId="177" fontId="1" fillId="3" borderId="22" xfId="1" applyNumberFormat="1" applyFont="1" applyFill="1" applyBorder="1" applyAlignment="1">
      <alignment horizontal="left" vertical="center"/>
    </xf>
    <xf numFmtId="0" fontId="62" fillId="0" borderId="0" xfId="0" applyFont="1">
      <alignment vertical="center"/>
    </xf>
    <xf numFmtId="0" fontId="41" fillId="0" borderId="0" xfId="0" applyFont="1" applyAlignment="1">
      <alignment horizontal="left" vertical="center"/>
    </xf>
    <xf numFmtId="0" fontId="30" fillId="0" borderId="7" xfId="0" applyFont="1" applyBorder="1">
      <alignment vertical="center"/>
    </xf>
    <xf numFmtId="0" fontId="64" fillId="14" borderId="0" xfId="0" applyFont="1" applyFill="1" applyAlignment="1">
      <alignment horizontal="left" vertical="center"/>
    </xf>
    <xf numFmtId="0" fontId="1" fillId="0" borderId="0" xfId="0" applyNumberFormat="1" applyFont="1" applyAlignment="1">
      <alignment horizontal="right" vertical="center"/>
    </xf>
    <xf numFmtId="0" fontId="61" fillId="0" borderId="0" xfId="0" applyFont="1">
      <alignment vertical="center"/>
    </xf>
    <xf numFmtId="0" fontId="65" fillId="0" borderId="0" xfId="0" applyFont="1">
      <alignment vertical="center"/>
    </xf>
    <xf numFmtId="0" fontId="41" fillId="0" borderId="2" xfId="0" applyFont="1" applyBorder="1" applyAlignment="1">
      <alignment horizontal="left" vertical="center"/>
    </xf>
    <xf numFmtId="0" fontId="1" fillId="0" borderId="23" xfId="0" applyFont="1" applyBorder="1" applyAlignment="1">
      <alignment horizontal="center" vertic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176" fontId="1" fillId="3" borderId="18" xfId="0" applyNumberFormat="1" applyFont="1" applyFill="1" applyBorder="1" applyAlignment="1">
      <alignment horizontal="right" vertical="center"/>
    </xf>
    <xf numFmtId="177" fontId="1" fillId="3" borderId="18" xfId="1" applyNumberFormat="1" applyFont="1" applyFill="1" applyBorder="1" applyAlignment="1">
      <alignment horizontal="left" vertical="center"/>
    </xf>
    <xf numFmtId="176" fontId="1" fillId="3" borderId="19" xfId="0" applyNumberFormat="1" applyFont="1" applyFill="1" applyBorder="1" applyAlignment="1">
      <alignment horizontal="right" vertical="center"/>
    </xf>
    <xf numFmtId="177" fontId="1" fillId="3" borderId="19" xfId="1" applyNumberFormat="1" applyFont="1" applyFill="1" applyBorder="1" applyAlignment="1">
      <alignment horizontal="left" vertical="center"/>
    </xf>
    <xf numFmtId="176" fontId="1" fillId="3" borderId="19" xfId="0" applyNumberFormat="1" applyFont="1" applyFill="1" applyBorder="1" applyAlignment="1">
      <alignment horizontal="center" vertical="center"/>
    </xf>
    <xf numFmtId="177" fontId="1" fillId="3" borderId="19" xfId="1" applyNumberFormat="1" applyFont="1" applyFill="1" applyBorder="1" applyAlignment="1">
      <alignment horizontal="center" vertical="center"/>
    </xf>
    <xf numFmtId="176" fontId="1" fillId="3" borderId="20" xfId="0" applyNumberFormat="1" applyFont="1" applyFill="1" applyBorder="1" applyAlignment="1">
      <alignment horizontal="right" vertical="center"/>
    </xf>
    <xf numFmtId="177" fontId="1" fillId="3" borderId="20" xfId="1" applyNumberFormat="1" applyFont="1" applyFill="1" applyBorder="1" applyAlignment="1">
      <alignment horizontal="left" vertical="center"/>
    </xf>
    <xf numFmtId="0" fontId="1" fillId="3" borderId="23" xfId="0" applyFont="1" applyFill="1" applyBorder="1" applyAlignment="1">
      <alignment horizontal="center" vertical="center"/>
    </xf>
    <xf numFmtId="0" fontId="1" fillId="3" borderId="24" xfId="0" applyFont="1" applyFill="1" applyBorder="1" applyAlignment="1">
      <alignment horizontal="center" vertical="center"/>
    </xf>
    <xf numFmtId="0" fontId="1" fillId="3" borderId="25" xfId="0" applyFont="1" applyFill="1" applyBorder="1" applyAlignment="1">
      <alignment horizontal="center" vertical="center"/>
    </xf>
    <xf numFmtId="176" fontId="1" fillId="3" borderId="23" xfId="0" applyNumberFormat="1" applyFont="1" applyFill="1" applyBorder="1" applyAlignment="1">
      <alignment horizontal="right" vertical="center"/>
    </xf>
    <xf numFmtId="177" fontId="1" fillId="3" borderId="23" xfId="1" applyNumberFormat="1" applyFont="1" applyFill="1" applyBorder="1" applyAlignment="1">
      <alignment horizontal="left" vertical="center"/>
    </xf>
    <xf numFmtId="176" fontId="1" fillId="3" borderId="24" xfId="0" applyNumberFormat="1" applyFont="1" applyFill="1" applyBorder="1" applyAlignment="1">
      <alignment horizontal="right" vertical="center"/>
    </xf>
    <xf numFmtId="177" fontId="1" fillId="3" borderId="24" xfId="1" applyNumberFormat="1" applyFont="1" applyFill="1" applyBorder="1" applyAlignment="1">
      <alignment horizontal="left" vertical="center"/>
    </xf>
    <xf numFmtId="176" fontId="1" fillId="3" borderId="24" xfId="0" applyNumberFormat="1" applyFont="1" applyFill="1" applyBorder="1" applyAlignment="1">
      <alignment horizontal="center" vertical="center"/>
    </xf>
    <xf numFmtId="176" fontId="1" fillId="3" borderId="25" xfId="0" applyNumberFormat="1" applyFont="1" applyFill="1" applyBorder="1" applyAlignment="1">
      <alignment horizontal="center" vertical="center"/>
    </xf>
    <xf numFmtId="0" fontId="13" fillId="3" borderId="0" xfId="0" applyFont="1" applyFill="1" applyAlignment="1">
      <alignment horizontal="right" vertical="center"/>
    </xf>
    <xf numFmtId="0" fontId="13" fillId="3" borderId="0" xfId="0" applyFont="1" applyFill="1" applyAlignment="1">
      <alignment horizontal="left" vertical="center"/>
    </xf>
    <xf numFmtId="0" fontId="67" fillId="3" borderId="0" xfId="0" applyFont="1" applyFill="1">
      <alignment vertical="center"/>
    </xf>
    <xf numFmtId="0" fontId="67" fillId="0" borderId="0" xfId="0" applyFont="1">
      <alignment vertical="center"/>
    </xf>
    <xf numFmtId="0" fontId="6" fillId="30" borderId="0" xfId="0" applyFont="1" applyFill="1" applyAlignment="1">
      <alignment horizontal="center" vertical="center"/>
    </xf>
    <xf numFmtId="0" fontId="1" fillId="34" borderId="0" xfId="0" applyFont="1" applyFill="1" applyProtection="1">
      <alignment vertical="center"/>
      <protection hidden="1"/>
    </xf>
    <xf numFmtId="0" fontId="1" fillId="34" borderId="0" xfId="0" applyFont="1" applyFill="1" applyAlignment="1" applyProtection="1">
      <alignment horizontal="center" vertical="center"/>
      <protection hidden="1"/>
    </xf>
    <xf numFmtId="0" fontId="11" fillId="34" borderId="0" xfId="0" applyFont="1" applyFill="1" applyProtection="1">
      <alignment vertical="center"/>
      <protection hidden="1"/>
    </xf>
    <xf numFmtId="0" fontId="1" fillId="3" borderId="0" xfId="0" applyFont="1" applyFill="1" applyAlignment="1" applyProtection="1">
      <alignment horizontal="center" vertical="center"/>
      <protection hidden="1"/>
    </xf>
    <xf numFmtId="0" fontId="1" fillId="0" borderId="0" xfId="0" applyFont="1" applyFill="1" applyProtection="1">
      <alignment vertical="center"/>
      <protection hidden="1"/>
    </xf>
    <xf numFmtId="0" fontId="1" fillId="34" borderId="0" xfId="0" applyFont="1" applyFill="1" applyAlignment="1" applyProtection="1">
      <alignment horizontal="left" vertical="center"/>
      <protection hidden="1"/>
    </xf>
    <xf numFmtId="0" fontId="1" fillId="3" borderId="0" xfId="0" applyFont="1" applyFill="1" applyProtection="1">
      <alignment vertical="center"/>
      <protection hidden="1"/>
    </xf>
    <xf numFmtId="0" fontId="1" fillId="0" borderId="0" xfId="0" applyFont="1" applyProtection="1">
      <alignment vertical="center"/>
      <protection hidden="1"/>
    </xf>
    <xf numFmtId="0" fontId="11" fillId="34" borderId="0" xfId="0" applyFont="1" applyFill="1" applyAlignment="1" applyProtection="1">
      <alignment horizontal="left" vertical="center"/>
      <protection hidden="1"/>
    </xf>
    <xf numFmtId="0" fontId="1" fillId="34" borderId="0" xfId="0" applyNumberFormat="1" applyFont="1" applyFill="1" applyProtection="1">
      <alignment vertical="center"/>
      <protection hidden="1"/>
    </xf>
    <xf numFmtId="0" fontId="1" fillId="0" borderId="0" xfId="0" applyFont="1" applyFill="1" applyAlignment="1" applyProtection="1">
      <alignment horizontal="center" vertical="center"/>
      <protection hidden="1"/>
    </xf>
    <xf numFmtId="0" fontId="1" fillId="0" borderId="0" xfId="0" applyNumberFormat="1" applyFont="1" applyFill="1" applyAlignment="1" applyProtection="1">
      <alignment horizontal="center" vertical="center"/>
      <protection hidden="1"/>
    </xf>
    <xf numFmtId="0" fontId="53" fillId="34" borderId="0" xfId="0" applyFont="1" applyFill="1" applyAlignment="1" applyProtection="1">
      <alignment horizontal="right" vertical="center"/>
      <protection hidden="1"/>
    </xf>
    <xf numFmtId="0" fontId="53" fillId="34" borderId="0" xfId="0" applyFont="1" applyFill="1" applyAlignment="1" applyProtection="1">
      <alignment horizontal="center" vertical="center"/>
      <protection hidden="1"/>
    </xf>
    <xf numFmtId="183" fontId="1" fillId="34" borderId="0" xfId="1" applyNumberFormat="1" applyFont="1" applyFill="1" applyAlignment="1" applyProtection="1">
      <alignment horizontal="center" vertical="center"/>
      <protection hidden="1"/>
    </xf>
    <xf numFmtId="0" fontId="46" fillId="34" borderId="0" xfId="0" applyFont="1" applyFill="1" applyAlignment="1" applyProtection="1">
      <alignment horizontal="center" vertical="center"/>
      <protection hidden="1"/>
    </xf>
    <xf numFmtId="0" fontId="66" fillId="34" borderId="0" xfId="0" applyFont="1" applyFill="1" applyProtection="1">
      <alignment vertical="center"/>
      <protection hidden="1"/>
    </xf>
    <xf numFmtId="0" fontId="1" fillId="3" borderId="0" xfId="0" applyFont="1" applyFill="1" applyProtection="1">
      <alignment vertical="center"/>
      <protection locked="0"/>
    </xf>
    <xf numFmtId="0" fontId="5" fillId="30" borderId="0" xfId="0" applyFont="1" applyFill="1" applyProtection="1">
      <alignment vertical="center"/>
      <protection locked="0"/>
    </xf>
    <xf numFmtId="0" fontId="5" fillId="0" borderId="0" xfId="0" applyFont="1" applyFill="1" applyAlignment="1" applyProtection="1">
      <alignment horizontal="left" vertical="top"/>
      <protection locked="0"/>
    </xf>
    <xf numFmtId="0" fontId="5" fillId="30" borderId="1" xfId="0" applyFont="1" applyFill="1" applyBorder="1" applyProtection="1">
      <alignment vertical="center"/>
      <protection locked="0"/>
    </xf>
    <xf numFmtId="0" fontId="18" fillId="12" borderId="0" xfId="0" applyFont="1" applyFill="1" applyAlignment="1" applyProtection="1">
      <alignment horizontal="center" vertical="center"/>
    </xf>
    <xf numFmtId="0" fontId="18" fillId="12" borderId="0" xfId="0" applyFont="1" applyFill="1" applyProtection="1">
      <alignment vertical="center"/>
    </xf>
    <xf numFmtId="0" fontId="18" fillId="12" borderId="0" xfId="0" applyFont="1" applyFill="1" applyAlignment="1" applyProtection="1">
      <alignment horizontal="left" vertical="center"/>
    </xf>
    <xf numFmtId="0" fontId="1" fillId="3" borderId="0" xfId="0" applyFont="1" applyFill="1" applyAlignment="1" applyProtection="1">
      <alignment horizontal="center" vertical="center"/>
    </xf>
    <xf numFmtId="0" fontId="1" fillId="3" borderId="0" xfId="0" applyFont="1" applyFill="1" applyProtection="1">
      <alignment vertical="center"/>
    </xf>
    <xf numFmtId="0" fontId="1" fillId="3" borderId="0" xfId="0" applyFont="1" applyFill="1" applyAlignment="1" applyProtection="1">
      <alignment horizontal="left" vertical="center"/>
    </xf>
    <xf numFmtId="0" fontId="1" fillId="0" borderId="0" xfId="0" applyFont="1" applyAlignment="1" applyProtection="1">
      <alignment horizontal="center" vertical="center"/>
    </xf>
    <xf numFmtId="0" fontId="12" fillId="3" borderId="0" xfId="0" applyFont="1" applyFill="1" applyAlignment="1" applyProtection="1">
      <alignment horizontal="center" vertical="center"/>
    </xf>
    <xf numFmtId="178" fontId="15" fillId="3" borderId="0" xfId="0" applyNumberFormat="1" applyFont="1" applyFill="1" applyAlignment="1" applyProtection="1">
      <alignment horizontal="center" vertical="center"/>
    </xf>
    <xf numFmtId="176" fontId="1" fillId="3" borderId="23" xfId="0" applyNumberFormat="1" applyFont="1" applyFill="1" applyBorder="1" applyAlignment="1" applyProtection="1">
      <alignment horizontal="right" vertical="center"/>
    </xf>
    <xf numFmtId="177" fontId="1" fillId="3" borderId="23" xfId="1" applyNumberFormat="1" applyFont="1" applyFill="1" applyBorder="1" applyAlignment="1" applyProtection="1">
      <alignment horizontal="left" vertical="center"/>
    </xf>
    <xf numFmtId="0" fontId="11" fillId="3" borderId="0" xfId="0" applyFont="1" applyFill="1" applyAlignment="1" applyProtection="1">
      <alignment horizontal="center" vertical="center"/>
    </xf>
    <xf numFmtId="0" fontId="13" fillId="3" borderId="3" xfId="0" applyFont="1" applyFill="1" applyBorder="1" applyAlignment="1" applyProtection="1">
      <alignment horizontal="center" vertical="center"/>
    </xf>
    <xf numFmtId="0" fontId="1" fillId="0" borderId="18" xfId="0" applyFont="1" applyBorder="1" applyAlignment="1" applyProtection="1">
      <alignment horizontal="center" vertical="center"/>
    </xf>
    <xf numFmtId="0" fontId="37" fillId="3" borderId="0" xfId="0" applyFont="1" applyFill="1" applyAlignment="1" applyProtection="1">
      <alignment horizontal="center" vertical="center"/>
    </xf>
    <xf numFmtId="0" fontId="1" fillId="0" borderId="0" xfId="0" applyFont="1" applyProtection="1">
      <alignment vertical="center"/>
    </xf>
    <xf numFmtId="176" fontId="1" fillId="3" borderId="24" xfId="0" applyNumberFormat="1" applyFont="1" applyFill="1" applyBorder="1" applyAlignment="1" applyProtection="1">
      <alignment horizontal="right" vertical="center"/>
    </xf>
    <xf numFmtId="177" fontId="1" fillId="3" borderId="24" xfId="1" applyNumberFormat="1" applyFont="1" applyFill="1" applyBorder="1" applyAlignment="1" applyProtection="1">
      <alignment horizontal="left" vertical="center"/>
    </xf>
    <xf numFmtId="0" fontId="1" fillId="0" borderId="19" xfId="0" applyFont="1" applyBorder="1" applyAlignment="1" applyProtection="1">
      <alignment horizontal="center" vertical="center"/>
    </xf>
    <xf numFmtId="0" fontId="41" fillId="0" borderId="0" xfId="0" applyFont="1" applyAlignment="1" applyProtection="1">
      <alignment horizontal="center" vertical="center"/>
    </xf>
    <xf numFmtId="0" fontId="11" fillId="0" borderId="0" xfId="0" applyFont="1" applyAlignment="1" applyProtection="1">
      <alignment horizontal="center" vertical="center"/>
    </xf>
    <xf numFmtId="0" fontId="30" fillId="0" borderId="0" xfId="0" applyFont="1" applyAlignment="1" applyProtection="1">
      <alignment horizontal="center" vertical="center"/>
    </xf>
    <xf numFmtId="176" fontId="1" fillId="3" borderId="24" xfId="0" applyNumberFormat="1" applyFont="1" applyFill="1" applyBorder="1" applyAlignment="1" applyProtection="1">
      <alignment horizontal="center" vertical="center"/>
    </xf>
    <xf numFmtId="176" fontId="1" fillId="3" borderId="25" xfId="0" applyNumberFormat="1" applyFont="1" applyFill="1" applyBorder="1" applyAlignment="1" applyProtection="1">
      <alignment horizontal="right" vertical="center"/>
    </xf>
    <xf numFmtId="177" fontId="1" fillId="3" borderId="25" xfId="1" applyNumberFormat="1" applyFont="1" applyFill="1" applyBorder="1" applyAlignment="1" applyProtection="1">
      <alignment horizontal="left" vertical="center"/>
    </xf>
    <xf numFmtId="0" fontId="1" fillId="0" borderId="20" xfId="0" applyFont="1" applyBorder="1" applyAlignment="1" applyProtection="1">
      <alignment horizontal="center" vertical="center"/>
    </xf>
    <xf numFmtId="0" fontId="1" fillId="3" borderId="0" xfId="0" applyFont="1" applyFill="1" applyAlignment="1" applyProtection="1">
      <alignment horizontal="right" vertical="center"/>
    </xf>
    <xf numFmtId="0" fontId="11" fillId="3" borderId="0" xfId="0" applyFont="1" applyFill="1" applyAlignment="1" applyProtection="1">
      <alignment horizontal="left" vertical="center"/>
    </xf>
    <xf numFmtId="0" fontId="27" fillId="3" borderId="0" xfId="2" applyFont="1" applyFill="1" applyAlignment="1" applyProtection="1">
      <alignment horizontal="left" vertical="center"/>
    </xf>
    <xf numFmtId="0" fontId="11" fillId="3" borderId="0" xfId="0" applyFont="1" applyFill="1" applyAlignment="1">
      <alignment horizontal="center" vertical="center"/>
    </xf>
    <xf numFmtId="0" fontId="1" fillId="3" borderId="0" xfId="0" applyFont="1" applyFill="1" applyAlignment="1">
      <alignment horizontal="center" vertical="center"/>
    </xf>
    <xf numFmtId="0" fontId="11" fillId="3" borderId="0" xfId="0" applyFont="1" applyFill="1" applyAlignment="1">
      <alignment horizontal="center" vertical="center"/>
    </xf>
    <xf numFmtId="0" fontId="1" fillId="3" borderId="0" xfId="0" applyFont="1" applyFill="1" applyAlignment="1">
      <alignment horizontal="center" vertical="center"/>
    </xf>
    <xf numFmtId="0" fontId="18" fillId="18" borderId="0" xfId="0" applyFont="1" applyFill="1" applyAlignment="1">
      <alignment horizontal="center" vertical="center"/>
    </xf>
    <xf numFmtId="0" fontId="19" fillId="3" borderId="0" xfId="0" applyFont="1" applyFill="1" applyAlignment="1">
      <alignment horizontal="center" vertical="center"/>
    </xf>
    <xf numFmtId="0" fontId="5" fillId="30" borderId="0" xfId="0" applyFont="1" applyFill="1" applyAlignment="1" applyProtection="1">
      <alignment horizontal="center" vertical="top"/>
      <protection locked="0"/>
    </xf>
    <xf numFmtId="0" fontId="5" fillId="30" borderId="0" xfId="0" applyFont="1" applyFill="1" applyAlignment="1" applyProtection="1">
      <alignment horizontal="center" vertical="center"/>
      <protection locked="0"/>
    </xf>
    <xf numFmtId="0" fontId="0" fillId="30" borderId="0" xfId="0" applyFill="1">
      <alignment vertical="center"/>
    </xf>
    <xf numFmtId="0" fontId="11" fillId="3" borderId="0" xfId="0" applyFont="1" applyFill="1" applyAlignment="1">
      <alignment horizontal="center" vertical="center"/>
    </xf>
    <xf numFmtId="0" fontId="1" fillId="3" borderId="0" xfId="0" applyFont="1" applyFill="1" applyAlignment="1">
      <alignment horizontal="center" vertical="center"/>
    </xf>
    <xf numFmtId="0" fontId="13" fillId="3" borderId="0" xfId="0" applyFont="1" applyFill="1" applyAlignment="1">
      <alignment horizontal="center" vertical="center"/>
    </xf>
    <xf numFmtId="0" fontId="1" fillId="3" borderId="26" xfId="0" applyFont="1" applyFill="1" applyBorder="1" applyAlignment="1" applyProtection="1">
      <alignment horizontal="center" vertical="center"/>
      <protection hidden="1"/>
    </xf>
    <xf numFmtId="0" fontId="1" fillId="3" borderId="27" xfId="0" applyFont="1" applyFill="1" applyBorder="1" applyAlignment="1" applyProtection="1">
      <alignment horizontal="center" vertical="center"/>
      <protection hidden="1"/>
    </xf>
    <xf numFmtId="0" fontId="1" fillId="3" borderId="28" xfId="0" applyFont="1" applyFill="1" applyBorder="1" applyAlignment="1" applyProtection="1">
      <alignment horizontal="center" vertical="center"/>
      <protection hidden="1"/>
    </xf>
    <xf numFmtId="0" fontId="45" fillId="3" borderId="0" xfId="0" applyNumberFormat="1" applyFont="1" applyFill="1" applyAlignment="1">
      <alignment horizontal="center" vertical="center"/>
    </xf>
    <xf numFmtId="0" fontId="13" fillId="0" borderId="6" xfId="0" applyFont="1" applyBorder="1">
      <alignment vertical="center"/>
    </xf>
    <xf numFmtId="0" fontId="13" fillId="0" borderId="0" xfId="0" applyFont="1" applyBorder="1">
      <alignment vertical="center"/>
    </xf>
    <xf numFmtId="0" fontId="13" fillId="14" borderId="0" xfId="0" applyFont="1" applyFill="1" applyAlignment="1">
      <alignment horizontal="left" vertical="center"/>
    </xf>
    <xf numFmtId="0" fontId="13" fillId="14" borderId="2" xfId="0" applyFont="1" applyFill="1" applyBorder="1" applyAlignment="1">
      <alignment vertical="center"/>
    </xf>
    <xf numFmtId="0" fontId="13" fillId="14" borderId="0" xfId="0" applyFont="1" applyFill="1" applyAlignment="1">
      <alignment vertical="center"/>
    </xf>
    <xf numFmtId="0" fontId="13" fillId="0" borderId="0" xfId="0" applyFont="1" applyAlignment="1">
      <alignment vertical="center" wrapText="1"/>
    </xf>
    <xf numFmtId="0" fontId="32" fillId="14" borderId="0" xfId="0" applyFont="1" applyFill="1" applyAlignment="1">
      <alignment horizontal="left" vertical="center"/>
    </xf>
    <xf numFmtId="0" fontId="32" fillId="14" borderId="2" xfId="0" applyFont="1" applyFill="1" applyBorder="1" applyAlignment="1">
      <alignment vertical="center"/>
    </xf>
    <xf numFmtId="0" fontId="32" fillId="14" borderId="0" xfId="0" applyFont="1" applyFill="1" applyAlignment="1">
      <alignment vertical="center"/>
    </xf>
    <xf numFmtId="0" fontId="13" fillId="14" borderId="2" xfId="0" applyFont="1" applyFill="1" applyBorder="1">
      <alignment vertical="center"/>
    </xf>
    <xf numFmtId="0" fontId="13" fillId="14" borderId="0" xfId="0" applyFont="1" applyFill="1">
      <alignment vertical="center"/>
    </xf>
    <xf numFmtId="0" fontId="13" fillId="14" borderId="2" xfId="0" applyFont="1" applyFill="1" applyBorder="1" applyAlignment="1">
      <alignment horizontal="left" vertical="center"/>
    </xf>
    <xf numFmtId="0" fontId="13" fillId="14" borderId="0" xfId="0" applyFont="1" applyFill="1" applyAlignment="1">
      <alignment horizontal="center" vertical="center"/>
    </xf>
    <xf numFmtId="0" fontId="68" fillId="14" borderId="2" xfId="0" applyFont="1" applyFill="1" applyBorder="1" applyAlignment="1">
      <alignment vertical="center"/>
    </xf>
    <xf numFmtId="0" fontId="19" fillId="14" borderId="2" xfId="0" applyFont="1" applyFill="1" applyBorder="1" applyAlignment="1">
      <alignment vertical="center"/>
    </xf>
    <xf numFmtId="0" fontId="13" fillId="0" borderId="2" xfId="0" applyFont="1" applyFill="1" applyBorder="1" applyAlignment="1">
      <alignment vertical="center"/>
    </xf>
    <xf numFmtId="0" fontId="1" fillId="3" borderId="0" xfId="0" applyNumberFormat="1" applyFont="1" applyFill="1" applyAlignment="1">
      <alignment horizontal="center" vertical="center"/>
    </xf>
    <xf numFmtId="9" fontId="1" fillId="0" borderId="2" xfId="0" applyNumberFormat="1" applyFont="1" applyBorder="1">
      <alignment vertical="center"/>
    </xf>
    <xf numFmtId="0" fontId="0" fillId="30" borderId="0" xfId="0" applyFill="1" applyProtection="1">
      <alignment vertical="center"/>
      <protection locked="0"/>
    </xf>
    <xf numFmtId="0" fontId="11" fillId="3" borderId="0" xfId="0" applyFont="1" applyFill="1" applyAlignment="1" applyProtection="1">
      <alignment horizontal="center" vertical="center"/>
    </xf>
    <xf numFmtId="17" fontId="1" fillId="0" borderId="0" xfId="0" applyNumberFormat="1" applyFont="1">
      <alignment vertical="center"/>
    </xf>
    <xf numFmtId="15" fontId="1" fillId="0" borderId="0" xfId="0" applyNumberFormat="1" applyFont="1">
      <alignment vertical="center"/>
    </xf>
    <xf numFmtId="0" fontId="11" fillId="34" borderId="0" xfId="0" applyFont="1" applyFill="1" applyAlignment="1" applyProtection="1">
      <alignment horizontal="center" vertical="center"/>
      <protection hidden="1"/>
    </xf>
    <xf numFmtId="0" fontId="11" fillId="3" borderId="0" xfId="0" applyFont="1" applyFill="1" applyAlignment="1">
      <alignment horizontal="center" vertical="center"/>
    </xf>
    <xf numFmtId="16" fontId="1" fillId="0" borderId="0" xfId="0" applyNumberFormat="1" applyFont="1">
      <alignment vertical="center"/>
    </xf>
    <xf numFmtId="0" fontId="13" fillId="3" borderId="0" xfId="0" applyFont="1" applyFill="1" applyAlignment="1" applyProtection="1">
      <alignment horizontal="center" vertical="center"/>
    </xf>
    <xf numFmtId="0" fontId="40" fillId="3" borderId="0" xfId="0" applyFont="1" applyFill="1" applyAlignment="1" applyProtection="1">
      <alignment horizontal="center" vertical="center"/>
    </xf>
    <xf numFmtId="0" fontId="11" fillId="34" borderId="0" xfId="0" applyNumberFormat="1" applyFont="1" applyFill="1" applyProtection="1">
      <alignment vertical="center"/>
      <protection hidden="1"/>
    </xf>
    <xf numFmtId="0" fontId="27" fillId="30" borderId="0" xfId="2" applyFont="1" applyFill="1" applyBorder="1" applyAlignment="1">
      <alignment horizontal="left" vertical="center"/>
    </xf>
    <xf numFmtId="0" fontId="27" fillId="30" borderId="0" xfId="2" applyFont="1" applyFill="1" applyAlignment="1">
      <alignment horizontal="left" vertical="center"/>
    </xf>
    <xf numFmtId="0" fontId="1" fillId="30" borderId="0" xfId="0" applyFont="1" applyFill="1" applyAlignment="1">
      <alignment horizontal="left" vertical="top" wrapText="1"/>
    </xf>
    <xf numFmtId="0" fontId="18" fillId="12" borderId="0" xfId="0" applyFont="1" applyFill="1" applyAlignment="1" applyProtection="1">
      <alignment horizontal="center" vertical="center"/>
      <protection locked="0"/>
    </xf>
    <xf numFmtId="0" fontId="11" fillId="3" borderId="0" xfId="0" applyFont="1" applyFill="1" applyAlignment="1" applyProtection="1">
      <alignment horizontal="center" vertical="center"/>
      <protection locked="0"/>
    </xf>
    <xf numFmtId="0" fontId="11" fillId="3" borderId="0" xfId="0" applyFont="1" applyFill="1" applyAlignment="1" applyProtection="1">
      <alignment horizontal="center" vertical="center"/>
    </xf>
    <xf numFmtId="0" fontId="13" fillId="3" borderId="0" xfId="0" applyFont="1" applyFill="1" applyAlignment="1" applyProtection="1">
      <alignment horizontal="center" vertical="center"/>
    </xf>
    <xf numFmtId="0" fontId="18" fillId="15" borderId="0" xfId="0" applyFont="1" applyFill="1" applyAlignment="1" applyProtection="1">
      <alignment horizontal="center" vertical="center"/>
      <protection locked="0"/>
    </xf>
    <xf numFmtId="0" fontId="11" fillId="3" borderId="0" xfId="0" applyFont="1" applyFill="1" applyAlignment="1">
      <alignment horizontal="center" vertical="center"/>
    </xf>
    <xf numFmtId="0" fontId="1" fillId="3" borderId="16" xfId="0" applyFont="1" applyFill="1" applyBorder="1" applyAlignment="1">
      <alignment horizontal="center" vertical="center"/>
    </xf>
    <xf numFmtId="0" fontId="1" fillId="3" borderId="14" xfId="0" applyFont="1" applyFill="1" applyBorder="1" applyAlignment="1">
      <alignment horizontal="center" vertical="center"/>
    </xf>
    <xf numFmtId="0" fontId="11" fillId="3" borderId="14" xfId="0" applyFont="1" applyFill="1" applyBorder="1" applyAlignment="1" applyProtection="1">
      <alignment horizontal="center" vertical="center"/>
      <protection locked="0"/>
    </xf>
    <xf numFmtId="0" fontId="11" fillId="3" borderId="14" xfId="0" applyFont="1" applyFill="1" applyBorder="1" applyAlignment="1">
      <alignment horizontal="center" vertical="center"/>
    </xf>
    <xf numFmtId="0" fontId="1" fillId="3" borderId="0" xfId="0" applyFont="1" applyFill="1" applyBorder="1" applyAlignment="1">
      <alignment horizontal="center" vertical="center"/>
    </xf>
    <xf numFmtId="0" fontId="1" fillId="3" borderId="0" xfId="0" applyFont="1" applyFill="1" applyAlignment="1">
      <alignment horizontal="center" vertical="center"/>
    </xf>
    <xf numFmtId="0" fontId="13" fillId="3" borderId="5" xfId="0" applyFont="1" applyFill="1" applyBorder="1" applyAlignment="1">
      <alignment horizontal="center" vertical="center"/>
    </xf>
    <xf numFmtId="0" fontId="13" fillId="3" borderId="0" xfId="0" applyFont="1" applyFill="1" applyBorder="1" applyAlignment="1">
      <alignment horizontal="center" vertical="center"/>
    </xf>
    <xf numFmtId="0" fontId="13" fillId="3" borderId="14" xfId="0" applyFont="1" applyFill="1" applyBorder="1" applyAlignment="1">
      <alignment horizontal="center" vertical="center"/>
    </xf>
    <xf numFmtId="0" fontId="13" fillId="3" borderId="16" xfId="0" applyFont="1" applyFill="1" applyBorder="1" applyAlignment="1">
      <alignment horizontal="center" vertical="center"/>
    </xf>
    <xf numFmtId="0" fontId="11" fillId="3" borderId="0" xfId="0" applyFont="1" applyFill="1" applyBorder="1" applyAlignment="1">
      <alignment horizontal="center" vertical="center"/>
    </xf>
    <xf numFmtId="0" fontId="18" fillId="7" borderId="0" xfId="0" applyFont="1" applyFill="1" applyAlignment="1" applyProtection="1">
      <alignment horizontal="center" vertical="center"/>
      <protection locked="0"/>
    </xf>
    <xf numFmtId="0" fontId="18" fillId="9" borderId="0" xfId="0" applyFont="1" applyFill="1" applyAlignment="1" applyProtection="1">
      <alignment horizontal="center" vertical="center"/>
      <protection locked="0"/>
    </xf>
    <xf numFmtId="0" fontId="11" fillId="8" borderId="0" xfId="0" applyFont="1" applyFill="1" applyAlignment="1" applyProtection="1">
      <alignment horizontal="center" vertical="center"/>
      <protection locked="0"/>
    </xf>
    <xf numFmtId="0" fontId="18" fillId="6" borderId="0" xfId="0" applyFont="1" applyFill="1" applyAlignment="1" applyProtection="1">
      <alignment horizontal="center" vertical="center"/>
      <protection locked="0"/>
    </xf>
    <xf numFmtId="0" fontId="18" fillId="13" borderId="0" xfId="0" applyFont="1" applyFill="1" applyAlignment="1" applyProtection="1">
      <alignment horizontal="center" vertical="center"/>
      <protection locked="0"/>
    </xf>
    <xf numFmtId="0" fontId="18" fillId="10" borderId="0" xfId="0" applyFont="1" applyFill="1" applyAlignment="1">
      <alignment horizontal="center" vertical="center"/>
    </xf>
    <xf numFmtId="0" fontId="13" fillId="3" borderId="0" xfId="0" applyFont="1" applyFill="1" applyAlignment="1">
      <alignment horizontal="center" vertical="center"/>
    </xf>
    <xf numFmtId="0" fontId="18" fillId="17" borderId="0" xfId="0" applyFont="1" applyFill="1" applyAlignment="1" applyProtection="1">
      <alignment horizontal="center" vertical="center"/>
      <protection locked="0"/>
    </xf>
    <xf numFmtId="0" fontId="18" fillId="18" borderId="0" xfId="0" applyFont="1" applyFill="1" applyAlignment="1" applyProtection="1">
      <alignment horizontal="center" vertical="center"/>
      <protection locked="0"/>
    </xf>
    <xf numFmtId="0" fontId="19" fillId="3" borderId="0" xfId="0" applyFont="1" applyFill="1" applyAlignment="1">
      <alignment horizontal="center" vertical="center"/>
    </xf>
    <xf numFmtId="0" fontId="18" fillId="28" borderId="0" xfId="0" applyFont="1" applyFill="1" applyAlignment="1">
      <alignment horizontal="center" vertical="center"/>
    </xf>
  </cellXfs>
  <cellStyles count="4">
    <cellStyle name="Bad" xfId="3" builtinId="27"/>
    <cellStyle name="Hyperlink" xfId="2" builtinId="8"/>
    <cellStyle name="Normal" xfId="0" builtinId="0"/>
    <cellStyle name="Percent" xfId="1" builtinId="5"/>
  </cellStyles>
  <dxfs count="418">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patternType="solid">
          <fgColor auto="1"/>
          <bgColor rgb="FFECE9D8"/>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patternType="none">
          <bgColor auto="1"/>
        </patternFill>
      </fill>
    </dxf>
    <dxf>
      <font>
        <color rgb="FF9C0006"/>
      </font>
      <fill>
        <patternFill patternType="none">
          <bgColor auto="1"/>
        </patternFill>
      </fill>
    </dxf>
    <dxf>
      <font>
        <color rgb="FF006100"/>
      </font>
      <fill>
        <patternFill>
          <bgColor rgb="FFC6EFCE"/>
        </patternFill>
      </fill>
    </dxf>
    <dxf>
      <font>
        <color rgb="FF006100"/>
      </font>
      <fill>
        <patternFill>
          <bgColor rgb="FFC6EFCE"/>
        </patternFill>
      </fill>
    </dxf>
    <dxf>
      <fill>
        <patternFill>
          <bgColor rgb="FFFFEBFF"/>
        </patternFill>
      </fill>
    </dxf>
    <dxf>
      <font>
        <color rgb="FF006100"/>
      </font>
      <fill>
        <patternFill>
          <bgColor rgb="FFC6EFCE"/>
        </patternFill>
      </fill>
    </dxf>
    <dxf>
      <font>
        <color rgb="FF006100"/>
      </font>
      <fill>
        <patternFill>
          <bgColor rgb="FFC6EFCE"/>
        </patternFill>
      </fill>
    </dxf>
    <dxf>
      <fill>
        <patternFill>
          <bgColor rgb="FFFFEBFF"/>
        </patternFill>
      </fill>
    </dxf>
    <dxf>
      <fill>
        <patternFill>
          <bgColor rgb="FFDDEBF7"/>
        </patternFill>
      </fill>
    </dxf>
    <dxf>
      <fill>
        <patternFill>
          <bgColor rgb="FFFFE5E5"/>
        </patternFill>
      </fill>
    </dxf>
    <dxf>
      <fill>
        <patternFill>
          <bgColor theme="9" tint="0.79998168889431442"/>
        </patternFill>
      </fill>
    </dxf>
    <dxf>
      <fill>
        <patternFill>
          <bgColor rgb="FFFAE1FF"/>
        </patternFill>
      </fill>
    </dxf>
    <dxf>
      <fill>
        <patternFill>
          <bgColor theme="4" tint="0.79998168889431442"/>
        </patternFill>
      </fill>
    </dxf>
    <dxf>
      <fill>
        <patternFill>
          <bgColor theme="5" tint="0.79998168889431442"/>
        </patternFill>
      </fill>
    </dxf>
    <dxf>
      <fill>
        <patternFill>
          <bgColor theme="7" tint="0.79998168889431442"/>
        </patternFill>
      </fill>
    </dxf>
    <dxf>
      <font>
        <color rgb="FF006100"/>
      </font>
      <fill>
        <patternFill>
          <bgColor rgb="FFC6EFCE"/>
        </patternFill>
      </fill>
    </dxf>
    <dxf>
      <font>
        <color rgb="FF006100"/>
      </font>
      <fill>
        <patternFill>
          <bgColor rgb="FFC6EFCE"/>
        </patternFill>
      </fill>
    </dxf>
    <dxf>
      <font>
        <color rgb="FF006100"/>
      </font>
      <fill>
        <patternFill patternType="none">
          <bgColor auto="1"/>
        </patternFill>
      </fill>
    </dxf>
    <dxf>
      <font>
        <color rgb="FF006100"/>
      </font>
      <fill>
        <patternFill patternType="none">
          <bgColor auto="1"/>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EBFF"/>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rgb="FFC00000"/>
      </font>
    </dxf>
    <dxf>
      <font>
        <b/>
        <i val="0"/>
        <color rgb="FF9C0006"/>
      </font>
    </dxf>
    <dxf>
      <font>
        <b/>
        <i val="0"/>
        <color rgb="FF9C0006"/>
      </font>
    </dxf>
    <dxf>
      <font>
        <b/>
        <i val="0"/>
        <color rgb="FF9C0006"/>
      </font>
    </dxf>
    <dxf>
      <font>
        <b/>
        <i val="0"/>
        <color rgb="FFFF0000"/>
      </font>
    </dxf>
    <dxf>
      <fill>
        <patternFill>
          <bgColor rgb="FFDDEBF7"/>
        </patternFill>
      </fill>
    </dxf>
    <dxf>
      <fill>
        <patternFill>
          <bgColor rgb="FFFFFFC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color auto="1"/>
      </font>
    </dxf>
    <dxf>
      <font>
        <b/>
        <i val="0"/>
        <color auto="1"/>
      </font>
    </dxf>
    <dxf>
      <fill>
        <patternFill>
          <bgColor theme="0"/>
        </patternFill>
      </fill>
    </dxf>
    <dxf>
      <fill>
        <patternFill>
          <bgColor theme="7" tint="0.79998168889431442"/>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0"/>
        </patternFill>
      </fill>
    </dxf>
    <dxf>
      <fill>
        <patternFill patternType="solid">
          <fgColor auto="1"/>
          <bgColor rgb="FFECE9D8"/>
        </patternFill>
      </fill>
    </dxf>
    <dxf>
      <fill>
        <patternFill>
          <bgColor rgb="FFE2EFD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b/>
        <i val="0"/>
        <color theme="1"/>
      </font>
    </dxf>
    <dxf>
      <font>
        <b/>
        <i val="0"/>
        <color theme="1"/>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rgb="FFE2EFDA"/>
        </patternFill>
      </fill>
    </dxf>
    <dxf>
      <fill>
        <patternFill>
          <bgColor theme="0"/>
        </patternFill>
      </fill>
    </dxf>
    <dxf>
      <fill>
        <patternFill patternType="solid">
          <fgColor auto="1"/>
          <bgColor rgb="FFECE9D8"/>
        </patternFill>
      </fill>
    </dxf>
    <dxf>
      <fill>
        <patternFill>
          <bgColor rgb="FFE2EFDA"/>
        </patternFill>
      </fill>
    </dxf>
    <dxf>
      <fill>
        <patternFill>
          <bgColor rgb="FFE2EFDA"/>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b/>
        <i val="0"/>
        <strike val="0"/>
        <color auto="1"/>
      </font>
      <numFmt numFmtId="0" formatCode="Genera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0"/>
        </patternFill>
      </fill>
    </dxf>
    <dxf>
      <fill>
        <patternFill patternType="solid">
          <fgColor auto="1"/>
          <bgColor rgb="FFECE9D8"/>
        </patternFill>
      </fill>
    </dxf>
    <dxf>
      <fill>
        <patternFill>
          <bgColor rgb="FFD9D9D9"/>
        </patternFill>
      </fill>
    </dxf>
    <dxf>
      <font>
        <b/>
        <i val="0"/>
        <color theme="1"/>
      </font>
    </dxf>
    <dxf>
      <font>
        <b/>
        <i val="0"/>
        <color theme="1"/>
      </font>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0"/>
        </patternFill>
      </fill>
    </dxf>
    <dxf>
      <fill>
        <patternFill patternType="solid">
          <fgColor auto="1"/>
          <bgColor rgb="FFECE9D8"/>
        </patternFill>
      </fill>
    </dxf>
    <dxf>
      <fill>
        <patternFill>
          <bgColor rgb="FFDDEBF7"/>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strike val="0"/>
        <color auto="1"/>
      </font>
      <numFmt numFmtId="0" formatCode="Genera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b/>
        <i val="0"/>
        <color theme="1"/>
      </font>
    </dxf>
    <dxf>
      <font>
        <b/>
        <i val="0"/>
        <color theme="1"/>
      </font>
    </dxf>
    <dxf>
      <font>
        <b/>
        <i val="0"/>
        <strike val="0"/>
        <color auto="1"/>
      </font>
      <numFmt numFmtId="0" formatCode="Genera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0"/>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FFFFC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b/>
        <i val="0"/>
        <color theme="1"/>
      </font>
    </dxf>
    <dxf>
      <font>
        <b/>
        <i val="0"/>
        <color theme="1"/>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0"/>
        </patternFill>
      </fill>
    </dxf>
    <dxf>
      <fill>
        <patternFill>
          <bgColor rgb="FFFFFFC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b/>
        <i val="0"/>
        <color theme="1"/>
      </font>
    </dxf>
    <dxf>
      <font>
        <b/>
        <i val="0"/>
        <color theme="1"/>
      </font>
    </dxf>
    <dxf>
      <font>
        <b/>
        <i val="0"/>
        <strike val="0"/>
        <color auto="1"/>
      </font>
      <numFmt numFmtId="0" formatCode="Genera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F7EDED"/>
        </patternFill>
      </fill>
    </dxf>
    <dxf>
      <fill>
        <patternFill>
          <bgColor rgb="FFF7EDED"/>
        </patternFill>
      </fill>
    </dxf>
    <dxf>
      <font>
        <b/>
        <i val="0"/>
        <color theme="1"/>
      </font>
    </dxf>
    <dxf>
      <fill>
        <patternFill>
          <bgColor rgb="FFF7EDED"/>
        </patternFill>
      </fill>
    </dxf>
    <dxf>
      <font>
        <b/>
        <i val="0"/>
        <color theme="1" tint="4.9989318521683403E-2"/>
      </font>
    </dxf>
    <dxf>
      <fill>
        <patternFill>
          <bgColor rgb="FFF7EDED"/>
        </patternFill>
      </fill>
    </dxf>
    <dxf>
      <fill>
        <patternFill>
          <bgColor rgb="FFF7EDED"/>
        </patternFill>
      </fill>
    </dxf>
    <dxf>
      <fill>
        <patternFill>
          <bgColor rgb="FFF7EDED"/>
        </patternFill>
      </fill>
    </dxf>
    <dxf>
      <fill>
        <patternFill>
          <bgColor rgb="FFF7EDED"/>
        </patternFill>
      </fill>
    </dxf>
    <dxf>
      <fill>
        <patternFill>
          <bgColor rgb="FFF7EDED"/>
        </patternFill>
      </fill>
    </dxf>
    <dxf>
      <fill>
        <patternFill>
          <bgColor theme="0"/>
        </patternFill>
      </fill>
    </dxf>
    <dxf>
      <fill>
        <patternFill>
          <bgColor rgb="FFF7EDED"/>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fgColor auto="1"/>
          <bgColor rgb="FFECE9D8"/>
        </patternFill>
      </fill>
    </dxf>
    <dxf>
      <font>
        <b/>
        <i val="0"/>
        <color theme="1"/>
      </font>
    </dxf>
    <dxf>
      <font>
        <b/>
        <i val="0"/>
        <color theme="1"/>
      </font>
    </dxf>
    <dxf>
      <font>
        <b/>
        <i val="0"/>
        <color theme="1"/>
      </font>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b/>
        <i val="0"/>
        <color theme="1"/>
      </font>
    </dxf>
    <dxf>
      <font>
        <b/>
        <i val="0"/>
        <color theme="1"/>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FFEBFF"/>
        </patternFill>
      </fill>
    </dxf>
    <dxf>
      <fill>
        <patternFill>
          <bgColor rgb="FFFFEBFF"/>
        </patternFill>
      </fill>
    </dxf>
    <dxf>
      <fill>
        <patternFill>
          <bgColor theme="0"/>
        </patternFill>
      </fill>
    </dxf>
    <dxf>
      <fill>
        <patternFill>
          <bgColor theme="0"/>
        </patternFill>
      </fill>
    </dxf>
    <dxf>
      <fill>
        <patternFill>
          <bgColor rgb="FFFFEBFF"/>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b/>
        <i val="0"/>
        <color theme="1"/>
      </font>
    </dxf>
    <dxf>
      <font>
        <b/>
        <i val="0"/>
        <color theme="1"/>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9" tint="-0.24994659260841701"/>
      </font>
      <fill>
        <patternFill>
          <bgColor theme="9" tint="-0.24994659260841701"/>
        </patternFill>
      </fill>
    </dxf>
    <dxf>
      <font>
        <color rgb="FFEEBB3A"/>
      </font>
      <fill>
        <patternFill>
          <bgColor rgb="FFEEBB3A"/>
        </patternFill>
      </fill>
    </dxf>
    <dxf>
      <font>
        <color rgb="FFC00000"/>
      </font>
      <fill>
        <patternFill>
          <bgColor rgb="FFC000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3" tint="0.79998168889431442"/>
      </font>
      <fill>
        <patternFill>
          <bgColor theme="3" tint="0.79998168889431442"/>
        </patternFill>
      </fill>
    </dxf>
    <dxf>
      <font>
        <color theme="3" tint="0.79998168889431442"/>
      </font>
      <fill>
        <patternFill patternType="solid">
          <bgColor theme="3" tint="0.79998168889431442"/>
        </patternFill>
      </fill>
    </dxf>
    <dxf>
      <font>
        <color rgb="FF006100"/>
      </font>
      <fill>
        <patternFill>
          <bgColor rgb="FFC6EFCE"/>
        </patternFill>
      </fill>
    </dxf>
    <dxf>
      <font>
        <color rgb="FF9C0006"/>
      </font>
      <fill>
        <patternFill>
          <bgColor rgb="FFFFC7CE"/>
        </patternFill>
      </fill>
    </dxf>
    <dxf>
      <font>
        <color theme="3" tint="0.79998168889431442"/>
      </font>
      <fill>
        <patternFill patternType="solid">
          <bgColor theme="3" tint="0.79998168889431442"/>
        </patternFill>
      </fill>
    </dxf>
    <dxf>
      <font>
        <color rgb="FF006100"/>
      </font>
      <fill>
        <patternFill>
          <bgColor rgb="FFC6EFCE"/>
        </patternFill>
      </fill>
    </dxf>
    <dxf>
      <font>
        <color rgb="FF9C0006"/>
      </font>
      <fill>
        <patternFill>
          <bgColor rgb="FFFFC7CE"/>
        </patternFill>
      </fill>
    </dxf>
    <dxf>
      <font>
        <color theme="3" tint="0.79998168889431442"/>
      </font>
      <fill>
        <patternFill patternType="solid">
          <bgColor theme="3" tint="0.79998168889431442"/>
        </patternFill>
      </fill>
    </dxf>
    <dxf>
      <font>
        <color rgb="FF006100"/>
      </font>
      <fill>
        <patternFill>
          <bgColor rgb="FFC6EFCE"/>
        </patternFill>
      </fill>
    </dxf>
    <dxf>
      <font>
        <color rgb="FF9C0006"/>
      </font>
      <fill>
        <patternFill>
          <bgColor rgb="FFFFC7CE"/>
        </patternFill>
      </fill>
    </dxf>
    <dxf>
      <font>
        <color theme="3" tint="0.79998168889431442"/>
      </font>
      <fill>
        <patternFill patternType="solid">
          <bgColor theme="3" tint="0.79998168889431442"/>
        </patternFill>
      </fill>
    </dxf>
    <dxf>
      <font>
        <color rgb="FF006100"/>
      </font>
      <fill>
        <patternFill>
          <bgColor rgb="FFC6EFCE"/>
        </patternFill>
      </fill>
    </dxf>
    <dxf>
      <font>
        <color rgb="FF9C0006"/>
      </font>
      <fill>
        <patternFill>
          <bgColor rgb="FFFFC7CE"/>
        </patternFill>
      </fill>
    </dxf>
    <dxf>
      <font>
        <color theme="3" tint="0.79998168889431442"/>
      </font>
      <fill>
        <patternFill patternType="solid">
          <bgColor theme="3" tint="0.79998168889431442"/>
        </patternFill>
      </fill>
    </dxf>
    <dxf>
      <font>
        <color theme="3" tint="0.79998168889431442"/>
      </font>
      <fill>
        <patternFill patternType="solid">
          <bgColor theme="3" tint="0.79998168889431442"/>
        </patternFill>
      </fill>
    </dxf>
    <dxf>
      <font>
        <color theme="3" tint="0.79998168889431442"/>
      </font>
      <fill>
        <patternFill patternType="solid">
          <bgColor theme="3" tint="0.79998168889431442"/>
        </patternFill>
      </fill>
    </dxf>
    <dxf>
      <font>
        <color rgb="FF006100"/>
      </font>
      <fill>
        <patternFill>
          <bgColor rgb="FFC6EFCE"/>
        </patternFill>
      </fill>
    </dxf>
    <dxf>
      <font>
        <color rgb="FF9C0006"/>
      </font>
      <fill>
        <patternFill>
          <bgColor rgb="FFFFC7CE"/>
        </patternFill>
      </fill>
    </dxf>
    <dxf>
      <font>
        <color theme="3" tint="0.79998168889431442"/>
      </font>
      <fill>
        <patternFill>
          <bgColor theme="3" tint="0.79998168889431442"/>
        </patternFill>
      </fill>
    </dxf>
    <dxf>
      <font>
        <color theme="3" tint="0.79998168889431442"/>
      </font>
      <fill>
        <patternFill>
          <bgColor theme="3" tint="0.79998168889431442"/>
        </patternFill>
      </fill>
    </dxf>
    <dxf>
      <font>
        <color theme="3" tint="0.79998168889431442"/>
      </font>
      <fill>
        <patternFill>
          <bgColor theme="3" tint="0.79998168889431442"/>
        </patternFill>
      </fill>
    </dxf>
    <dxf>
      <font>
        <color rgb="FF006100"/>
      </font>
      <fill>
        <patternFill>
          <bgColor rgb="FFC6EFCE"/>
        </patternFill>
      </fill>
    </dxf>
    <dxf>
      <font>
        <color theme="3" tint="0.79998168889431442"/>
      </font>
      <fill>
        <patternFill>
          <bgColor theme="3"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E5D065"/>
        </patternFill>
      </fill>
    </dxf>
    <dxf>
      <font>
        <color rgb="FFDFDACF"/>
      </font>
    </dxf>
    <dxf>
      <font>
        <color rgb="FFECE9E2"/>
      </font>
    </dxf>
    <dxf>
      <font>
        <color rgb="FFFFF1D9"/>
      </font>
      <fill>
        <patternFill>
          <bgColor rgb="FFFFF1D9"/>
        </patternFill>
      </fill>
    </dxf>
    <dxf>
      <numFmt numFmtId="184" formatCode="0.0%"/>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CE9E2"/>
        </patternFill>
      </fill>
    </dxf>
    <dxf>
      <fill>
        <patternFill>
          <bgColor rgb="FFEFE2A3"/>
        </patternFill>
      </fill>
    </dxf>
    <dxf>
      <font>
        <color rgb="FFDFDACF"/>
      </font>
    </dxf>
    <dxf>
      <font>
        <color rgb="FFDFDACF"/>
      </font>
    </dxf>
    <dxf>
      <font>
        <color rgb="FFDFDACF"/>
      </font>
    </dxf>
    <dxf>
      <font>
        <color rgb="FFDFDACF"/>
      </font>
    </dxf>
    <dxf>
      <font>
        <color rgb="FFECE9E2"/>
      </font>
    </dxf>
    <dxf>
      <font>
        <color rgb="FFECE9E2"/>
      </font>
    </dxf>
    <dxf>
      <font>
        <color rgb="FFECE9E2"/>
      </font>
    </dxf>
    <dxf>
      <font>
        <color rgb="FFECE9E2"/>
      </font>
    </dxf>
    <dxf>
      <font>
        <color rgb="FFECE9E2"/>
      </font>
    </dxf>
    <dxf>
      <font>
        <color rgb="FFECE9E2"/>
      </font>
    </dxf>
    <dxf>
      <fill>
        <patternFill>
          <bgColor theme="0"/>
        </patternFill>
      </fill>
    </dxf>
    <dxf>
      <fill>
        <patternFill>
          <bgColor rgb="FFECE9E2"/>
        </patternFill>
      </fill>
    </dxf>
    <dxf>
      <fill>
        <patternFill>
          <bgColor theme="6" tint="0.39994506668294322"/>
        </patternFill>
      </fill>
    </dxf>
    <dxf>
      <fill>
        <patternFill>
          <bgColor theme="6" tint="0.59996337778862885"/>
        </patternFill>
      </fill>
    </dxf>
    <dxf>
      <fill>
        <patternFill>
          <bgColor rgb="FFE5D065"/>
        </patternFill>
      </fill>
    </dxf>
    <dxf>
      <fill>
        <patternFill>
          <bgColor rgb="FFDFDACF"/>
        </patternFill>
      </fill>
    </dxf>
    <dxf>
      <font>
        <color rgb="FF006100"/>
      </font>
      <fill>
        <patternFill>
          <bgColor rgb="FF79DD79"/>
        </patternFill>
      </fill>
    </dxf>
    <dxf>
      <font>
        <color rgb="FF9C0006"/>
      </font>
      <fill>
        <patternFill>
          <bgColor rgb="FFFFC7CE"/>
        </patternFill>
      </fill>
    </dxf>
    <dxf>
      <font>
        <color rgb="FFEEBB3A"/>
      </font>
      <fill>
        <patternFill>
          <bgColor rgb="FFEEBB3A"/>
        </patternFill>
      </fill>
    </dxf>
    <dxf>
      <font>
        <color rgb="FF00B050"/>
      </font>
      <fill>
        <patternFill>
          <bgColor rgb="FF00B050"/>
        </patternFill>
      </fill>
    </dxf>
    <dxf>
      <font>
        <color rgb="FFFF0000"/>
      </font>
      <fill>
        <patternFill>
          <bgColor rgb="FFFF0000"/>
        </patternFill>
      </fill>
    </dxf>
  </dxfs>
  <tableStyles count="0" defaultTableStyle="TableStyleMedium2" defaultPivotStyle="PivotStyleLight16"/>
  <colors>
    <mruColors>
      <color rgb="FFA88000"/>
      <color rgb="FF0563C1"/>
      <color rgb="FFFFF1D9"/>
      <color rgb="FFA04310"/>
      <color rgb="FFFF0000"/>
      <color rgb="FFCC0000"/>
      <color rgb="FFFF6600"/>
      <color rgb="FF6600CC"/>
      <color rgb="FFCC0066"/>
      <color rgb="FFCAE0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openxmlformats.org/officeDocument/2006/relationships/customXml" Target="../customXml/item2.xml"/></Relationships>
</file>

<file path=xl/ctrlProps/ctrlProp1.xml><?xml version="1.0" encoding="utf-8"?>
<formControlPr xmlns="http://schemas.microsoft.com/office/spreadsheetml/2009/9/main" objectType="CheckBox" fmlaLink="計分版!$D$14" lockText="1" noThreeD="1"/>
</file>

<file path=xl/ctrlProps/ctrlProp2.xml><?xml version="1.0" encoding="utf-8"?>
<formControlPr xmlns="http://schemas.microsoft.com/office/spreadsheetml/2009/9/main" objectType="CheckBox" fmlaLink="計分版!$D$15" lockText="1" noThreeD="1"/>
</file>

<file path=xl/ctrlProps/ctrlProp3.xml><?xml version="1.0" encoding="utf-8"?>
<formControlPr xmlns="http://schemas.microsoft.com/office/spreadsheetml/2009/9/main" objectType="CheckBox" checked="Checked" fmlaLink="'A123'!$A$1" lockText="1" noThreeD="1"/>
</file>

<file path=xl/ctrlProps/ctrlProp4.xml><?xml version="1.0" encoding="utf-8"?>
<formControlPr xmlns="http://schemas.microsoft.com/office/spreadsheetml/2009/9/main" objectType="CheckBox" fmlaLink="計分版!I15" lockText="1" noThreeD="1"/>
</file>

<file path=xl/ctrlProps/ctrlProp5.xml><?xml version="1.0" encoding="utf-8"?>
<formControlPr xmlns="http://schemas.microsoft.com/office/spreadsheetml/2009/9/main" objectType="CheckBox" fmlaLink="計分版!J15" lockText="1" noThreeD="1"/>
</file>

<file path=xl/ctrlProps/ctrlProp6.xml><?xml version="1.0" encoding="utf-8"?>
<formControlPr xmlns="http://schemas.microsoft.com/office/spreadsheetml/2009/9/main" objectType="CheckBox" fmlaLink="計分版!K15" lockText="1" noThreeD="1"/>
</file>

<file path=xl/ctrlProps/ctrlProp7.xml><?xml version="1.0" encoding="utf-8"?>
<formControlPr xmlns="http://schemas.microsoft.com/office/spreadsheetml/2009/9/main" objectType="CheckBox" fmlaLink="計分版!L15" lockText="1" noThreeD="1"/>
</file>

<file path=xl/ctrlProps/ctrlProp8.xml><?xml version="1.0" encoding="utf-8"?>
<formControlPr xmlns="http://schemas.microsoft.com/office/spreadsheetml/2009/9/main" objectType="CheckBox" fmlaLink="計分版!M15" lockText="1" noThreeD="1"/>
</file>

<file path=xl/ctrlProps/ctrlProp9.xml><?xml version="1.0" encoding="utf-8"?>
<formControlPr xmlns="http://schemas.microsoft.com/office/spreadsheetml/2009/9/main" objectType="CheckBox" fmlaLink="計分版!N15" lockText="1" noThreeD="1"/>
</file>

<file path=xl/ctrlProps/ctrlProp10.xml><?xml version="1.0" encoding="utf-8"?>
<formControlPr xmlns="http://schemas.microsoft.com/office/spreadsheetml/2009/9/main" objectType="CheckBox" fmlaLink="計分版!O15" lockText="1" noThreeD="1"/>
</file>

<file path=xl/ctrlProps/ctrlProp11.xml><?xml version="1.0" encoding="utf-8"?>
<formControlPr xmlns="http://schemas.microsoft.com/office/spreadsheetml/2009/9/main" objectType="CheckBox" fmlaLink="計分版!P15" lockText="1" noThreeD="1"/>
</file>

<file path=xl/ctrlProps/ctrlProp12.xml><?xml version="1.0" encoding="utf-8"?>
<formControlPr xmlns="http://schemas.microsoft.com/office/spreadsheetml/2009/9/main" objectType="CheckBox" fmlaLink="計分版!Q15" lockText="1" noThreeD="1"/>
</file>

<file path=xl/ctrlProps/ctrlProp13.xml><?xml version="1.0" encoding="utf-8"?>
<formControlPr xmlns="http://schemas.microsoft.com/office/spreadsheetml/2009/9/main" objectType="CheckBox" fmlaLink="計分版!R15" lockText="1" noThreeD="1"/>
</file>

<file path=xl/ctrlProps/ctrlProp14.xml><?xml version="1.0" encoding="utf-8"?>
<formControlPr xmlns="http://schemas.microsoft.com/office/spreadsheetml/2009/9/main" objectType="CheckBox" fmlaLink="計分版!I15" lockText="1" noThreeD="1"/>
</file>

<file path=xl/ctrlProps/ctrlProp15.xml><?xml version="1.0" encoding="utf-8"?>
<formControlPr xmlns="http://schemas.microsoft.com/office/spreadsheetml/2009/9/main" objectType="CheckBox" fmlaLink="計分版!J15" lockText="1" noThreeD="1"/>
</file>

<file path=xl/ctrlProps/ctrlProp16.xml><?xml version="1.0" encoding="utf-8"?>
<formControlPr xmlns="http://schemas.microsoft.com/office/spreadsheetml/2009/9/main" objectType="CheckBox" fmlaLink="計分版!K15" lockText="1" noThreeD="1"/>
</file>

<file path=xl/ctrlProps/ctrlProp17.xml><?xml version="1.0" encoding="utf-8"?>
<formControlPr xmlns="http://schemas.microsoft.com/office/spreadsheetml/2009/9/main" objectType="CheckBox" fmlaLink="計分版!L15" lockText="1" noThreeD="1"/>
</file>

<file path=xl/ctrlProps/ctrlProp18.xml><?xml version="1.0" encoding="utf-8"?>
<formControlPr xmlns="http://schemas.microsoft.com/office/spreadsheetml/2009/9/main" objectType="CheckBox" fmlaLink="計分版!M15" lockText="1" noThreeD="1"/>
</file>

<file path=xl/ctrlProps/ctrlProp19.xml><?xml version="1.0" encoding="utf-8"?>
<formControlPr xmlns="http://schemas.microsoft.com/office/spreadsheetml/2009/9/main" objectType="CheckBox" fmlaLink="計分版!N15" lockText="1" noThreeD="1"/>
</file>

<file path=xl/ctrlProps/ctrlProp20.xml><?xml version="1.0" encoding="utf-8"?>
<formControlPr xmlns="http://schemas.microsoft.com/office/spreadsheetml/2009/9/main" objectType="CheckBox" fmlaLink="計分版!O15" lockText="1" noThreeD="1"/>
</file>

<file path=xl/ctrlProps/ctrlProp21.xml><?xml version="1.0" encoding="utf-8"?>
<formControlPr xmlns="http://schemas.microsoft.com/office/spreadsheetml/2009/9/main" objectType="CheckBox" fmlaLink="計分版!P15" lockText="1" noThreeD="1"/>
</file>

<file path=xl/ctrlProps/ctrlProp22.xml><?xml version="1.0" encoding="utf-8"?>
<formControlPr xmlns="http://schemas.microsoft.com/office/spreadsheetml/2009/9/main" objectType="CheckBox" fmlaLink="計分版!Q15" lockText="1" noThreeD="1"/>
</file>

<file path=xl/ctrlProps/ctrlProp23.xml><?xml version="1.0" encoding="utf-8"?>
<formControlPr xmlns="http://schemas.microsoft.com/office/spreadsheetml/2009/9/main" objectType="CheckBox" fmlaLink="計分版!R15" lockText="1" noThreeD="1"/>
</file>

<file path=xl/drawings/_rels/drawing1.xml.rels><?xml version="1.0" encoding="UTF-8" standalone="yes"?>
<Relationships xmlns="http://schemas.openxmlformats.org/package/2006/relationships"><Relationship Id="rId3" Type="http://schemas.openxmlformats.org/officeDocument/2006/relationships/hyperlink" Target="https://docs.google.com/document/d/1PVRu4rjEPNh2JYSe4ZtTOek-RZbutUhDUl38J-9DnuI/edit?usp=sharing" TargetMode="External"/><Relationship Id="rId2" Type="http://schemas.openxmlformats.org/officeDocument/2006/relationships/hyperlink" Target="https://drive.google.com/drive/folders/1PmyDrmQ2CumbWrqY7NRqa0Ol-M9VnkFz?usp=sharing" TargetMode="External"/><Relationship Id="rId1" Type="http://schemas.openxmlformats.org/officeDocument/2006/relationships/hyperlink" Target="#&#20027;&#38913;!C8"/></Relationships>
</file>

<file path=xl/drawings/_rels/drawing2.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3.xml.rels><?xml version="1.0" encoding="UTF-8" standalone="yes"?>
<Relationships xmlns="http://schemas.openxmlformats.org/package/2006/relationships"><Relationship Id="rId1" Type="http://schemas.openxmlformats.org/officeDocument/2006/relationships/hyperlink" Target="#&#20027;&#38913;!F15"/></Relationships>
</file>

<file path=xl/drawings/_rels/drawing4.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5.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6.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7.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8.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9.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10.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11.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12.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13.xml.rels><?xml version="1.0" encoding="UTF-8" standalone="yes"?>
<Relationships xmlns="http://schemas.openxmlformats.org/package/2006/relationships"><Relationship Id="rId1" Type="http://schemas.openxmlformats.org/officeDocument/2006/relationships/hyperlink" Target="#'All in One'!B8"/></Relationships>
</file>

<file path=xl/drawings/drawing1.xml><?xml version="1.0" encoding="utf-8"?>
<xdr:wsDr xmlns:xdr="http://schemas.openxmlformats.org/drawingml/2006/spreadsheetDrawing" xmlns:a="http://schemas.openxmlformats.org/drawingml/2006/main">
  <xdr:twoCellAnchor>
    <xdr:from>
      <xdr:col>2</xdr:col>
      <xdr:colOff>331694</xdr:colOff>
      <xdr:row>19</xdr:row>
      <xdr:rowOff>53787</xdr:rowOff>
    </xdr:from>
    <xdr:to>
      <xdr:col>7</xdr:col>
      <xdr:colOff>573741</xdr:colOff>
      <xdr:row>26</xdr:row>
      <xdr:rowOff>112994</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550894" y="3971363"/>
          <a:ext cx="3290047" cy="1502525"/>
        </a:xfrm>
        <a:prstGeom prst="roundRect">
          <a:avLst/>
        </a:prstGeom>
        <a:solidFill>
          <a:schemeClr val="accent4">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i="0">
              <a:solidFill>
                <a:schemeClr val="lt1"/>
              </a:solidFill>
              <a:effectLst/>
              <a:latin typeface="微軟正黑體" panose="020B0604030504040204" pitchFamily="34" charset="-120"/>
              <a:ea typeface="微軟正黑體" panose="020B0604030504040204" pitchFamily="34" charset="-120"/>
              <a:cs typeface="+mn-cs"/>
            </a:rPr>
            <a:t>開始使用</a:t>
          </a:r>
          <a:endParaRPr lang="zh-TW" altLang="en-US" sz="4800" b="1">
            <a:latin typeface="微軟正黑體" panose="020B0604030504040204" pitchFamily="34" charset="-120"/>
            <a:ea typeface="微軟正黑體" panose="020B0604030504040204" pitchFamily="34" charset="-120"/>
          </a:endParaRPr>
        </a:p>
      </xdr:txBody>
    </xdr:sp>
    <xdr:clientData/>
  </xdr:twoCellAnchor>
  <xdr:twoCellAnchor>
    <xdr:from>
      <xdr:col>9</xdr:col>
      <xdr:colOff>179294</xdr:colOff>
      <xdr:row>19</xdr:row>
      <xdr:rowOff>71717</xdr:rowOff>
    </xdr:from>
    <xdr:to>
      <xdr:col>14</xdr:col>
      <xdr:colOff>493060</xdr:colOff>
      <xdr:row>26</xdr:row>
      <xdr:rowOff>130924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5665694" y="3989293"/>
          <a:ext cx="3361766" cy="1502525"/>
        </a:xfrm>
        <a:prstGeom prst="roundRect">
          <a:avLst/>
        </a:prstGeom>
        <a:solidFill>
          <a:schemeClr val="accent4">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檢查更新</a:t>
          </a:r>
        </a:p>
      </xdr:txBody>
    </xdr:sp>
    <xdr:clientData/>
  </xdr:twoCellAnchor>
  <xdr:twoCellAnchor>
    <xdr:from>
      <xdr:col>3</xdr:col>
      <xdr:colOff>322731</xdr:colOff>
      <xdr:row>0</xdr:row>
      <xdr:rowOff>71716</xdr:rowOff>
    </xdr:from>
    <xdr:to>
      <xdr:col>20</xdr:col>
      <xdr:colOff>358589</xdr:colOff>
      <xdr:row>7</xdr:row>
      <xdr:rowOff>143434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151531" y="71716"/>
          <a:ext cx="10399058" cy="151503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6000" b="1">
              <a:latin typeface="微軟正黑體" panose="020B0604030504040204" pitchFamily="34" charset="-120"/>
              <a:ea typeface="微軟正黑體" panose="020B0604030504040204" pitchFamily="34" charset="-120"/>
            </a:rPr>
            <a:t>請下載至電腦後以</a:t>
          </a:r>
          <a:r>
            <a:rPr lang="en-US" altLang="zh-TW" sz="6000" b="1">
              <a:latin typeface="微軟正黑體" panose="020B0604030504040204" pitchFamily="34" charset="-120"/>
              <a:ea typeface="微軟正黑體" panose="020B0604030504040204" pitchFamily="34" charset="-120"/>
            </a:rPr>
            <a:t>Excel</a:t>
          </a:r>
          <a:r>
            <a:rPr lang="zh-TW" altLang="en-US" sz="6000" b="1" baseline="0">
              <a:latin typeface="微軟正黑體" panose="020B0604030504040204" pitchFamily="34" charset="-120"/>
              <a:ea typeface="微軟正黑體" panose="020B0604030504040204" pitchFamily="34" charset="-120"/>
            </a:rPr>
            <a:t>開啟</a:t>
          </a:r>
          <a:endParaRPr lang="zh-TW" altLang="en-US" sz="6000" b="1">
            <a:latin typeface="微軟正黑體" panose="020B0604030504040204" pitchFamily="34" charset="-120"/>
            <a:ea typeface="微軟正黑體" panose="020B0604030504040204" pitchFamily="34" charset="-120"/>
          </a:endParaRPr>
        </a:p>
      </xdr:txBody>
    </xdr:sp>
    <xdr:clientData/>
  </xdr:twoCellAnchor>
  <xdr:twoCellAnchor>
    <xdr:from>
      <xdr:col>3</xdr:col>
      <xdr:colOff>448237</xdr:colOff>
      <xdr:row>6</xdr:row>
      <xdr:rowOff>8964</xdr:rowOff>
    </xdr:from>
    <xdr:to>
      <xdr:col>20</xdr:col>
      <xdr:colOff>304799</xdr:colOff>
      <xdr:row>10</xdr:row>
      <xdr:rowOff>143435</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2277037" y="1246093"/>
          <a:ext cx="10219762" cy="95922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手機用唔到、</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a:t>
          </a:r>
          <a:r>
            <a:rPr lang="zh-TW" altLang="en-US" sz="3200" b="1" baseline="0">
              <a:latin typeface="微軟正黑體" panose="020B0604030504040204" pitchFamily="34" charset="-120"/>
              <a:ea typeface="微軟正黑體" panose="020B0604030504040204" pitchFamily="34" charset="-120"/>
            </a:rPr>
            <a:t>用唔到，請使用簡化版</a:t>
          </a:r>
          <a:r>
            <a:rPr lang="en-US" altLang="zh-TW" sz="3200" b="1" baseline="0">
              <a:latin typeface="微軟正黑體" panose="020B0604030504040204" pitchFamily="34" charset="-120"/>
              <a:ea typeface="微軟正黑體" panose="020B0604030504040204" pitchFamily="34" charset="-120"/>
            </a:rPr>
            <a:t>*</a:t>
          </a:r>
          <a:endParaRPr lang="zh-TW" altLang="en-US" sz="3200" b="1">
            <a:latin typeface="微軟正黑體" panose="020B0604030504040204" pitchFamily="34" charset="-120"/>
            <a:ea typeface="微軟正黑體" panose="020B0604030504040204" pitchFamily="34" charset="-120"/>
          </a:endParaRPr>
        </a:p>
      </xdr:txBody>
    </xdr:sp>
    <xdr:clientData/>
  </xdr:twoCellAnchor>
  <xdr:twoCellAnchor>
    <xdr:from>
      <xdr:col>5</xdr:col>
      <xdr:colOff>224122</xdr:colOff>
      <xdr:row>10</xdr:row>
      <xdr:rowOff>143434</xdr:rowOff>
    </xdr:from>
    <xdr:to>
      <xdr:col>19</xdr:col>
      <xdr:colOff>125507</xdr:colOff>
      <xdr:row>18</xdr:row>
      <xdr:rowOff>17929</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3272122" y="2205316"/>
          <a:ext cx="8435785" cy="1524001"/>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altLang="zh-TW" sz="1600" b="1">
              <a:latin typeface="微軟正黑體" panose="020B0604030504040204" pitchFamily="34" charset="-120"/>
              <a:ea typeface="微軟正黑體" panose="020B0604030504040204" pitchFamily="34" charset="-120"/>
            </a:rPr>
            <a:t>*</a:t>
          </a:r>
          <a:r>
            <a:rPr lang="zh-TW" altLang="en-US" sz="1600" b="1">
              <a:latin typeface="微軟正黑體" panose="020B0604030504040204" pitchFamily="34" charset="-120"/>
              <a:ea typeface="微軟正黑體" panose="020B0604030504040204" pitchFamily="34" charset="-120"/>
            </a:rPr>
            <a:t>簡化版係閹割版嘅</a:t>
          </a:r>
          <a:r>
            <a:rPr lang="en-US" altLang="zh-TW" sz="1600" b="1">
              <a:latin typeface="微軟正黑體" panose="020B0604030504040204" pitchFamily="34" charset="-120"/>
              <a:ea typeface="微軟正黑體" panose="020B0604030504040204" pitchFamily="34" charset="-120"/>
            </a:rPr>
            <a:t>Google Sheet</a:t>
          </a:r>
          <a:r>
            <a:rPr lang="zh-TW" altLang="en-US" sz="1600" b="1">
              <a:latin typeface="微軟正黑體" panose="020B0604030504040204" pitchFamily="34" charset="-120"/>
              <a:ea typeface="微軟正黑體" panose="020B0604030504040204" pitchFamily="34" charset="-120"/>
            </a:rPr>
            <a:t>嚟，詳請請去</a:t>
          </a:r>
          <a:r>
            <a:rPr lang="en-US" altLang="zh-TW" sz="1600" b="1">
              <a:latin typeface="微軟正黑體" panose="020B0604030504040204" pitchFamily="34" charset="-120"/>
              <a:ea typeface="微軟正黑體" panose="020B0604030504040204" pitchFamily="34" charset="-120"/>
            </a:rPr>
            <a:t>Drive</a:t>
          </a:r>
          <a:r>
            <a:rPr lang="zh-TW" altLang="en-US" sz="1600" b="1">
              <a:latin typeface="微軟正黑體" panose="020B0604030504040204" pitchFamily="34" charset="-120"/>
              <a:ea typeface="微軟正黑體" panose="020B0604030504040204" pitchFamily="34" charset="-120"/>
            </a:rPr>
            <a:t>到睇。</a:t>
          </a:r>
          <a:endParaRPr lang="en-US" altLang="zh-TW" sz="1600" b="1">
            <a:latin typeface="微軟正黑體" panose="020B0604030504040204" pitchFamily="34" charset="-120"/>
            <a:ea typeface="微軟正黑體" panose="020B0604030504040204" pitchFamily="34" charset="-120"/>
          </a:endParaRPr>
        </a:p>
        <a:p>
          <a:pPr algn="ctr"/>
          <a:endParaRPr lang="en-US" altLang="zh-TW" sz="1600" b="1">
            <a:latin typeface="微軟正黑體" panose="020B0604030504040204" pitchFamily="34" charset="-120"/>
            <a:ea typeface="微軟正黑體" panose="020B0604030504040204" pitchFamily="34" charset="-120"/>
          </a:endParaRPr>
        </a:p>
        <a:p>
          <a:pPr algn="ctr"/>
          <a:r>
            <a:rPr lang="zh-TW" altLang="en-US" sz="1600" b="1">
              <a:latin typeface="微軟正黑體" panose="020B0604030504040204" pitchFamily="34" charset="-120"/>
              <a:ea typeface="微軟正黑體" panose="020B0604030504040204" pitchFamily="34" charset="-120"/>
            </a:rPr>
            <a:t>如有問題請</a:t>
          </a:r>
          <a:r>
            <a:rPr lang="en-US" altLang="zh-TW" sz="1600" b="1">
              <a:latin typeface="微軟正黑體" panose="020B0604030504040204" pitchFamily="34" charset="-120"/>
              <a:ea typeface="微軟正黑體" panose="020B0604030504040204" pitchFamily="34" charset="-120"/>
            </a:rPr>
            <a:t>Inbox</a:t>
          </a:r>
          <a:r>
            <a:rPr lang="en-US" altLang="zh-TW" sz="1600" b="1" baseline="0">
              <a:latin typeface="微軟正黑體" panose="020B0604030504040204" pitchFamily="34" charset="-120"/>
              <a:ea typeface="微軟正黑體" panose="020B0604030504040204" pitchFamily="34" charset="-120"/>
            </a:rPr>
            <a:t> @thejackjai</a:t>
          </a:r>
          <a:r>
            <a:rPr lang="zh-TW" altLang="en-US" sz="1600" b="1" baseline="0">
              <a:latin typeface="微軟正黑體" panose="020B0604030504040204" pitchFamily="34" charset="-120"/>
              <a:ea typeface="微軟正黑體" panose="020B0604030504040204" pitchFamily="34" charset="-120"/>
            </a:rPr>
            <a:t>，或用</a:t>
          </a:r>
          <a:r>
            <a:rPr lang="en-US" altLang="zh-TW" sz="1600" b="1" baseline="0">
              <a:latin typeface="微軟正黑體" panose="020B0604030504040204" pitchFamily="34" charset="-120"/>
              <a:ea typeface="微軟正黑體" panose="020B0604030504040204" pitchFamily="34" charset="-120"/>
            </a:rPr>
            <a:t>Google Drive</a:t>
          </a:r>
          <a:r>
            <a:rPr lang="zh-TW" altLang="en-US" sz="1600" b="1" baseline="0">
              <a:latin typeface="微軟正黑體" panose="020B0604030504040204" pitchFamily="34" charset="-120"/>
              <a:ea typeface="微軟正黑體" panose="020B0604030504040204" pitchFamily="34" charset="-120"/>
            </a:rPr>
            <a:t>中的</a:t>
          </a:r>
          <a:r>
            <a:rPr lang="en-US" altLang="zh-TW" sz="1600" b="1" baseline="0">
              <a:latin typeface="微軟正黑體" panose="020B0604030504040204" pitchFamily="34" charset="-120"/>
              <a:ea typeface="微軟正黑體" panose="020B0604030504040204" pitchFamily="34" charset="-120"/>
            </a:rPr>
            <a:t>Google Form</a:t>
          </a:r>
          <a:r>
            <a:rPr lang="zh-TW" altLang="en-US" sz="1600" b="1" baseline="0">
              <a:latin typeface="微軟正黑體" panose="020B0604030504040204" pitchFamily="34" charset="-120"/>
              <a:ea typeface="微軟正黑體" panose="020B0604030504040204" pitchFamily="34" charset="-120"/>
            </a:rPr>
            <a:t>回報</a:t>
          </a:r>
          <a:endParaRPr lang="en-US" altLang="zh-TW" sz="1600" b="1" baseline="0">
            <a:latin typeface="微軟正黑體" panose="020B0604030504040204" pitchFamily="34" charset="-120"/>
            <a:ea typeface="微軟正黑體" panose="020B0604030504040204" pitchFamily="34" charset="-120"/>
          </a:endParaRPr>
        </a:p>
        <a:p>
          <a:pPr algn="ctr"/>
          <a:r>
            <a:rPr lang="zh-TW" altLang="en-US" sz="1600" b="1" baseline="0">
              <a:latin typeface="微軟正黑體" panose="020B0604030504040204" pitchFamily="34" charset="-120"/>
              <a:ea typeface="微軟正黑體" panose="020B0604030504040204" pitchFamily="34" charset="-120"/>
            </a:rPr>
            <a:t>按下「開始使用」前請先 「檢查更新」 及 細閱 」使用須知」</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xdr:from>
      <xdr:col>15</xdr:col>
      <xdr:colOff>573741</xdr:colOff>
      <xdr:row>19</xdr:row>
      <xdr:rowOff>71717</xdr:rowOff>
    </xdr:from>
    <xdr:to>
      <xdr:col>21</xdr:col>
      <xdr:colOff>277907</xdr:colOff>
      <xdr:row>26</xdr:row>
      <xdr:rowOff>130924</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00000000-0008-0000-0000-000009000000}"/>
            </a:ext>
          </a:extLst>
        </xdr:cNvPr>
        <xdr:cNvSpPr/>
      </xdr:nvSpPr>
      <xdr:spPr>
        <a:xfrm>
          <a:off x="9717741" y="3989293"/>
          <a:ext cx="3361766" cy="1502525"/>
        </a:xfrm>
        <a:prstGeom prst="roundRect">
          <a:avLst/>
        </a:prstGeom>
        <a:solidFill>
          <a:schemeClr val="accent4">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使用須知</a:t>
          </a: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297180</xdr:colOff>
          <xdr:row>3</xdr:row>
          <xdr:rowOff>175260</xdr:rowOff>
        </xdr:from>
        <xdr:to>
          <xdr:col>8</xdr:col>
          <xdr:colOff>403860</xdr:colOff>
          <xdr:row>5</xdr:row>
          <xdr:rowOff>7620</xdr:rowOff>
        </xdr:to>
        <xdr:sp macro="" textlink="">
          <xdr:nvSpPr>
            <xdr:cNvPr id="1046" name=" 22" hidden="1">
              <a:extLst>
                <a:ext uri="{63B3BB69-23CF-44E3-9099-C40C66FF867C}">
                  <a14:compatExt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7432" rIns="0" bIns="27432" anchor="ctr" upright="1"/>
            <a:lstStyle/>
            <a:p>
              <a:pPr algn="l" rtl="0">
                <a:defRPr sz="1000"/>
              </a:pPr>
              <a:r>
                <a:rPr lang="zh-TW" altLang="en-US" sz="900" b="0" i="0" u="none" strike="noStrike" baseline="0">
                  <a:solidFill>
                    <a:srgbClr val="000000"/>
                  </a:solidFill>
                  <a:latin typeface="Microsoft JhengHei UI"/>
                  <a:ea typeface="Microsoft JhengHei UI"/>
                </a:rPr>
                <a:t>包括M1/2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175260</xdr:rowOff>
        </xdr:from>
        <xdr:to>
          <xdr:col>3</xdr:col>
          <xdr:colOff>213360</xdr:colOff>
          <xdr:row>5</xdr:row>
          <xdr:rowOff>22860</xdr:rowOff>
        </xdr:to>
        <xdr:sp macro="" textlink="">
          <xdr:nvSpPr>
            <xdr:cNvPr id="1054" name=" 30" hidden="1">
              <a:extLst>
                <a:ext uri="{63B3BB69-23CF-44E3-9099-C40C66FF867C}">
                  <a14:compatExt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7432" rIns="0" bIns="27432" anchor="ctr" upright="1"/>
            <a:lstStyle/>
            <a:p>
              <a:pPr algn="l" rtl="0">
                <a:defRPr sz="1000"/>
              </a:pPr>
              <a:r>
                <a:rPr lang="zh-TW" altLang="en-US" sz="900" b="0" i="0" u="none" strike="noStrike" baseline="0">
                  <a:solidFill>
                    <a:srgbClr val="000000"/>
                  </a:solidFill>
                  <a:latin typeface="Microsoft JhengHei UI"/>
                  <a:ea typeface="Microsoft JhengHei UI"/>
                </a:rPr>
                <a:t>以數字輸入成績</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144780</xdr:colOff>
          <xdr:row>10</xdr:row>
          <xdr:rowOff>175260</xdr:rowOff>
        </xdr:from>
        <xdr:to>
          <xdr:col>13</xdr:col>
          <xdr:colOff>228600</xdr:colOff>
          <xdr:row>12</xdr:row>
          <xdr:rowOff>30480</xdr:rowOff>
        </xdr:to>
        <xdr:sp macro="" textlink="">
          <xdr:nvSpPr>
            <xdr:cNvPr id="1056" name="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7432" rIns="0" bIns="27432" anchor="ctr" upright="1"/>
            <a:lstStyle/>
            <a:p>
              <a:pPr algn="l" rtl="0">
                <a:defRPr sz="1000"/>
              </a:pPr>
              <a:r>
                <a:rPr lang="zh-TW" altLang="en-US" sz="900" b="0" i="0" u="none" strike="noStrike" baseline="0">
                  <a:solidFill>
                    <a:srgbClr val="000000"/>
                  </a:solidFill>
                  <a:latin typeface="Microsoft JhengHei UI"/>
                  <a:ea typeface="Microsoft JhengHei UI"/>
                </a:rPr>
                <a:t>以百分比顯示差距</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27</xdr:row>
          <xdr:rowOff>182880</xdr:rowOff>
        </xdr:from>
        <xdr:to>
          <xdr:col>3</xdr:col>
          <xdr:colOff>312420</xdr:colOff>
          <xdr:row>29</xdr:row>
          <xdr:rowOff>22860</xdr:rowOff>
        </xdr:to>
        <xdr:sp macro="" textlink="">
          <xdr:nvSpPr>
            <xdr:cNvPr id="1071" name="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28</xdr:row>
          <xdr:rowOff>182880</xdr:rowOff>
        </xdr:from>
        <xdr:to>
          <xdr:col>3</xdr:col>
          <xdr:colOff>312420</xdr:colOff>
          <xdr:row>30</xdr:row>
          <xdr:rowOff>38100</xdr:rowOff>
        </xdr:to>
        <xdr:sp macro="" textlink="">
          <xdr:nvSpPr>
            <xdr:cNvPr id="1072" name="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29</xdr:row>
          <xdr:rowOff>182880</xdr:rowOff>
        </xdr:from>
        <xdr:to>
          <xdr:col>3</xdr:col>
          <xdr:colOff>312420</xdr:colOff>
          <xdr:row>31</xdr:row>
          <xdr:rowOff>38100</xdr:rowOff>
        </xdr:to>
        <xdr:sp macro="" textlink="">
          <xdr:nvSpPr>
            <xdr:cNvPr id="1073" name=" 49" hidden="1">
              <a:extLst>
                <a:ext uri="{63B3BB69-23CF-44E3-9099-C40C66FF867C}">
                  <a14:compatExt spid="_x0000_s1073"/>
                </a:ext>
                <a:ext uri="{FF2B5EF4-FFF2-40B4-BE49-F238E27FC236}">
                  <a16:creationId xmlns:a16="http://schemas.microsoft.com/office/drawing/2014/main" id="{00000000-0008-0000-0100-00003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30</xdr:row>
          <xdr:rowOff>160020</xdr:rowOff>
        </xdr:from>
        <xdr:to>
          <xdr:col>3</xdr:col>
          <xdr:colOff>312420</xdr:colOff>
          <xdr:row>32</xdr:row>
          <xdr:rowOff>22860</xdr:rowOff>
        </xdr:to>
        <xdr:sp macro="" textlink="">
          <xdr:nvSpPr>
            <xdr:cNvPr id="1074" name="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121920</xdr:colOff>
          <xdr:row>31</xdr:row>
          <xdr:rowOff>175260</xdr:rowOff>
        </xdr:from>
        <xdr:to>
          <xdr:col>3</xdr:col>
          <xdr:colOff>327660</xdr:colOff>
          <xdr:row>33</xdr:row>
          <xdr:rowOff>38100</xdr:rowOff>
        </xdr:to>
        <xdr:sp macro="" textlink="">
          <xdr:nvSpPr>
            <xdr:cNvPr id="1075" name="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34</xdr:row>
          <xdr:rowOff>182880</xdr:rowOff>
        </xdr:from>
        <xdr:to>
          <xdr:col>3</xdr:col>
          <xdr:colOff>327660</xdr:colOff>
          <xdr:row>36</xdr:row>
          <xdr:rowOff>22860</xdr:rowOff>
        </xdr:to>
        <xdr:sp macro="" textlink="">
          <xdr:nvSpPr>
            <xdr:cNvPr id="1076" name="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35</xdr:row>
          <xdr:rowOff>182880</xdr:rowOff>
        </xdr:from>
        <xdr:to>
          <xdr:col>3</xdr:col>
          <xdr:colOff>327660</xdr:colOff>
          <xdr:row>37</xdr:row>
          <xdr:rowOff>38100</xdr:rowOff>
        </xdr:to>
        <xdr:sp macro="" textlink="">
          <xdr:nvSpPr>
            <xdr:cNvPr id="1077" name="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36</xdr:row>
          <xdr:rowOff>182880</xdr:rowOff>
        </xdr:from>
        <xdr:to>
          <xdr:col>3</xdr:col>
          <xdr:colOff>327660</xdr:colOff>
          <xdr:row>38</xdr:row>
          <xdr:rowOff>38100</xdr:rowOff>
        </xdr:to>
        <xdr:sp macro="" textlink="">
          <xdr:nvSpPr>
            <xdr:cNvPr id="1078" name="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37</xdr:row>
          <xdr:rowOff>175260</xdr:rowOff>
        </xdr:from>
        <xdr:to>
          <xdr:col>3</xdr:col>
          <xdr:colOff>327660</xdr:colOff>
          <xdr:row>39</xdr:row>
          <xdr:rowOff>38100</xdr:rowOff>
        </xdr:to>
        <xdr:sp macro="" textlink="">
          <xdr:nvSpPr>
            <xdr:cNvPr id="1079" name=" 55" hidden="1">
              <a:extLst>
                <a:ext uri="{63B3BB69-23CF-44E3-9099-C40C66FF867C}">
                  <a14:compatExt spid="_x0000_s1079"/>
                </a:ext>
                <a:ext uri="{FF2B5EF4-FFF2-40B4-BE49-F238E27FC236}">
                  <a16:creationId xmlns:a16="http://schemas.microsoft.com/office/drawing/2014/main" id="{00000000-0008-0000-0100-00003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38</xdr:row>
          <xdr:rowOff>182880</xdr:rowOff>
        </xdr:from>
        <xdr:to>
          <xdr:col>3</xdr:col>
          <xdr:colOff>327660</xdr:colOff>
          <xdr:row>40</xdr:row>
          <xdr:rowOff>38100</xdr:rowOff>
        </xdr:to>
        <xdr:sp macro="" textlink="">
          <xdr:nvSpPr>
            <xdr:cNvPr id="1080" name=" 56" hidden="1">
              <a:extLst>
                <a:ext uri="{63B3BB69-23CF-44E3-9099-C40C66FF867C}">
                  <a14:compatExt spid="_x0000_s1080"/>
                </a:ext>
                <a:ext uri="{FF2B5EF4-FFF2-40B4-BE49-F238E27FC236}">
                  <a16:creationId xmlns:a16="http://schemas.microsoft.com/office/drawing/2014/main" id="{00000000-0008-0000-0100-00003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17</xdr:col>
      <xdr:colOff>342900</xdr:colOff>
      <xdr:row>4</xdr:row>
      <xdr:rowOff>0</xdr:rowOff>
    </xdr:from>
    <xdr:to>
      <xdr:col>19</xdr:col>
      <xdr:colOff>403860</xdr:colOff>
      <xdr:row>7</xdr:row>
      <xdr:rowOff>119269</xdr:rowOff>
    </xdr:to>
    <xdr:sp macro="" textlink="">
      <xdr:nvSpPr>
        <xdr:cNvPr id="15" name="Rectangle: Rounded Corners 14">
          <a:hlinkClick xmlns:r="http://schemas.openxmlformats.org/officeDocument/2006/relationships" r:id="rId1"/>
          <a:extLst>
            <a:ext uri="{FF2B5EF4-FFF2-40B4-BE49-F238E27FC236}">
              <a16:creationId xmlns:a16="http://schemas.microsoft.com/office/drawing/2014/main" id="{00000000-0008-0000-0100-00000F000000}"/>
            </a:ext>
          </a:extLst>
        </xdr:cNvPr>
        <xdr:cNvSpPr/>
      </xdr:nvSpPr>
      <xdr:spPr>
        <a:xfrm>
          <a:off x="10136257" y="841513"/>
          <a:ext cx="1293412" cy="715617"/>
        </a:xfrm>
        <a:prstGeom prst="roundRect">
          <a:avLst/>
        </a:prstGeom>
        <a:solidFill>
          <a:schemeClr val="accent4">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6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6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editAs="absolute">
    <xdr:from>
      <xdr:col>0</xdr:col>
      <xdr:colOff>266700</xdr:colOff>
      <xdr:row>14</xdr:row>
      <xdr:rowOff>38100</xdr:rowOff>
    </xdr:from>
    <xdr:to>
      <xdr:col>0</xdr:col>
      <xdr:colOff>533400</xdr:colOff>
      <xdr:row>14</xdr:row>
      <xdr:rowOff>190500</xdr:rowOff>
    </xdr:to>
    <xdr:sp macro="" textlink="">
      <xdr:nvSpPr>
        <xdr:cNvPr id="17" name="Arrow: Right 16">
          <a:extLst>
            <a:ext uri="{FF2B5EF4-FFF2-40B4-BE49-F238E27FC236}">
              <a16:creationId xmlns:a16="http://schemas.microsoft.com/office/drawing/2014/main" id="{00000000-0008-0000-0100-000011000000}"/>
            </a:ext>
          </a:extLst>
        </xdr:cNvPr>
        <xdr:cNvSpPr/>
      </xdr:nvSpPr>
      <xdr:spPr>
        <a:xfrm>
          <a:off x="266700" y="284226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4</xdr:col>
      <xdr:colOff>110490</xdr:colOff>
      <xdr:row>12</xdr:row>
      <xdr:rowOff>72390</xdr:rowOff>
    </xdr:from>
    <xdr:to>
      <xdr:col>4</xdr:col>
      <xdr:colOff>262890</xdr:colOff>
      <xdr:row>13</xdr:row>
      <xdr:rowOff>156210</xdr:rowOff>
    </xdr:to>
    <xdr:sp macro="" textlink="">
      <xdr:nvSpPr>
        <xdr:cNvPr id="18" name="Arrow: Right 17">
          <a:extLst>
            <a:ext uri="{FF2B5EF4-FFF2-40B4-BE49-F238E27FC236}">
              <a16:creationId xmlns:a16="http://schemas.microsoft.com/office/drawing/2014/main" id="{00000000-0008-0000-0100-000012000000}"/>
            </a:ext>
          </a:extLst>
        </xdr:cNvPr>
        <xdr:cNvSpPr/>
      </xdr:nvSpPr>
      <xdr:spPr>
        <a:xfrm rot="2984391">
          <a:off x="3192780" y="255270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3</xdr:col>
      <xdr:colOff>415291</xdr:colOff>
      <xdr:row>27</xdr:row>
      <xdr:rowOff>118110</xdr:rowOff>
    </xdr:from>
    <xdr:to>
      <xdr:col>4</xdr:col>
      <xdr:colOff>224791</xdr:colOff>
      <xdr:row>28</xdr:row>
      <xdr:rowOff>64770</xdr:rowOff>
    </xdr:to>
    <xdr:sp macro="" textlink="">
      <xdr:nvSpPr>
        <xdr:cNvPr id="19" name="Arrow: Right 18">
          <a:extLst>
            <a:ext uri="{FF2B5EF4-FFF2-40B4-BE49-F238E27FC236}">
              <a16:creationId xmlns:a16="http://schemas.microsoft.com/office/drawing/2014/main" id="{00000000-0008-0000-0100-000013000000}"/>
            </a:ext>
          </a:extLst>
        </xdr:cNvPr>
        <xdr:cNvSpPr/>
      </xdr:nvSpPr>
      <xdr:spPr>
        <a:xfrm rot="8800621">
          <a:off x="3097531" y="552831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0</xdr:col>
      <xdr:colOff>68580</xdr:colOff>
      <xdr:row>1</xdr:row>
      <xdr:rowOff>15240</xdr:rowOff>
    </xdr:from>
    <xdr:to>
      <xdr:col>0</xdr:col>
      <xdr:colOff>571500</xdr:colOff>
      <xdr:row>1</xdr:row>
      <xdr:rowOff>236220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200-000002000000}"/>
            </a:ext>
          </a:extLst>
        </xdr:cNvPr>
        <xdr:cNvSpPr/>
      </xdr:nvSpPr>
      <xdr:spPr>
        <a:xfrm>
          <a:off x="68580" y="190500"/>
          <a:ext cx="502920" cy="220980"/>
        </a:xfrm>
        <a:prstGeom prst="roundRect">
          <a:avLst/>
        </a:prstGeom>
        <a:solidFill>
          <a:schemeClr val="accent1">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1" i="0">
              <a:solidFill>
                <a:schemeClr val="tx1"/>
              </a:solidFill>
              <a:effectLst/>
              <a:latin typeface="微軟正黑體" panose="020B0604030504040204" pitchFamily="34" charset="-120"/>
              <a:ea typeface="微軟正黑體" panose="020B0604030504040204" pitchFamily="34" charset="-120"/>
              <a:cs typeface="+mn-cs"/>
            </a:rPr>
            <a:t>←</a:t>
          </a:r>
          <a:r>
            <a:rPr lang="zh-TW" altLang="en-US" sz="1000" b="1">
              <a:solidFill>
                <a:schemeClr val="tx1"/>
              </a:solidFill>
              <a:latin typeface="微軟正黑體" panose="020B0604030504040204" pitchFamily="34" charset="-120"/>
              <a:ea typeface="微軟正黑體" panose="020B0604030504040204" pitchFamily="34" charset="-120"/>
            </a:rPr>
            <a:t>主頁</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80210</xdr:colOff>
      <xdr:row>0</xdr:row>
      <xdr:rowOff>28106</xdr:rowOff>
    </xdr:from>
    <xdr:to>
      <xdr:col>0</xdr:col>
      <xdr:colOff>575510</xdr:colOff>
      <xdr:row>0</xdr:row>
      <xdr:rowOff>196915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80210" y="28106"/>
          <a:ext cx="495300" cy="168809"/>
        </a:xfrm>
        <a:prstGeom prst="roundRect">
          <a:avLst/>
        </a:prstGeom>
        <a:solidFill>
          <a:srgbClr val="9E004F"/>
        </a:solidFill>
        <a:ln>
          <a:solidFill>
            <a:srgbClr val="920049"/>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twoCellAnchor>
    <xdr:from>
      <xdr:col>20</xdr:col>
      <xdr:colOff>38100</xdr:colOff>
      <xdr:row>55</xdr:row>
      <xdr:rowOff>205740</xdr:rowOff>
    </xdr:from>
    <xdr:to>
      <xdr:col>22</xdr:col>
      <xdr:colOff>381000</xdr:colOff>
      <xdr:row>58</xdr:row>
      <xdr:rowOff>167640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300-000003000000}"/>
            </a:ext>
          </a:extLst>
        </xdr:cNvPr>
        <xdr:cNvSpPr/>
      </xdr:nvSpPr>
      <xdr:spPr>
        <a:xfrm>
          <a:off x="9890760" y="12778740"/>
          <a:ext cx="1211580" cy="647700"/>
        </a:xfrm>
        <a:prstGeom prst="roundRect">
          <a:avLst/>
        </a:prstGeom>
        <a:solidFill>
          <a:srgbClr val="CC006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34506</xdr:colOff>
      <xdr:row>0</xdr:row>
      <xdr:rowOff>24728</xdr:rowOff>
    </xdr:from>
    <xdr:to>
      <xdr:col>0</xdr:col>
      <xdr:colOff>477329</xdr:colOff>
      <xdr:row>0</xdr:row>
      <xdr:rowOff>193537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34506" y="24728"/>
          <a:ext cx="442823" cy="168809"/>
        </a:xfrm>
        <a:prstGeom prst="roundRect">
          <a:avLst/>
        </a:prstGeom>
        <a:solidFill>
          <a:schemeClr val="accent1">
            <a:lumMod val="50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twoCellAnchor>
    <xdr:from>
      <xdr:col>20</xdr:col>
      <xdr:colOff>22860</xdr:colOff>
      <xdr:row>22</xdr:row>
      <xdr:rowOff>198120</xdr:rowOff>
    </xdr:from>
    <xdr:to>
      <xdr:col>23</xdr:col>
      <xdr:colOff>38100</xdr:colOff>
      <xdr:row>25</xdr:row>
      <xdr:rowOff>160020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400-000003000000}"/>
            </a:ext>
          </a:extLst>
        </xdr:cNvPr>
        <xdr:cNvSpPr/>
      </xdr:nvSpPr>
      <xdr:spPr>
        <a:xfrm>
          <a:off x="9707880" y="5227320"/>
          <a:ext cx="1318260" cy="64770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17</xdr:col>
      <xdr:colOff>662940</xdr:colOff>
      <xdr:row>46</xdr:row>
      <xdr:rowOff>213360</xdr:rowOff>
    </xdr:from>
    <xdr:to>
      <xdr:col>24</xdr:col>
      <xdr:colOff>243840</xdr:colOff>
      <xdr:row>49</xdr:row>
      <xdr:rowOff>175260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9966960" y="10728960"/>
          <a:ext cx="1165860" cy="647700"/>
        </a:xfrm>
        <a:prstGeom prst="roundRect">
          <a:avLst/>
        </a:prstGeom>
        <a:solidFill>
          <a:srgbClr val="A0431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21</xdr:col>
      <xdr:colOff>45720</xdr:colOff>
      <xdr:row>69</xdr:row>
      <xdr:rowOff>213360</xdr:rowOff>
    </xdr:from>
    <xdr:to>
      <xdr:col>24</xdr:col>
      <xdr:colOff>22860</xdr:colOff>
      <xdr:row>72</xdr:row>
      <xdr:rowOff>175260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9494520" y="15986760"/>
          <a:ext cx="1280160" cy="647700"/>
        </a:xfrm>
        <a:prstGeom prst="roundRect">
          <a:avLst/>
        </a:prstGeom>
        <a:solidFill>
          <a:srgbClr val="6600CC"/>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20</xdr:col>
      <xdr:colOff>60960</xdr:colOff>
      <xdr:row>27</xdr:row>
      <xdr:rowOff>182880</xdr:rowOff>
    </xdr:from>
    <xdr:to>
      <xdr:col>22</xdr:col>
      <xdr:colOff>419100</xdr:colOff>
      <xdr:row>30</xdr:row>
      <xdr:rowOff>144780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9113520" y="6355080"/>
          <a:ext cx="1226820" cy="647700"/>
        </a:xfrm>
        <a:prstGeom prst="roundRect">
          <a:avLst/>
        </a:prstGeom>
        <a:solidFill>
          <a:schemeClr val="accent1">
            <a:lumMod val="40000"/>
            <a:lumOff val="6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tx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tx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tx1"/>
            </a:solidFill>
            <a:latin typeface="微軟正黑體" panose="020B0604030504040204" pitchFamily="34" charset="-120"/>
            <a:ea typeface="微軟正黑體" panose="020B0604030504040204" pitchFamily="34" charset="-12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21</xdr:col>
      <xdr:colOff>53340</xdr:colOff>
      <xdr:row>49</xdr:row>
      <xdr:rowOff>167640</xdr:rowOff>
    </xdr:from>
    <xdr:to>
      <xdr:col>23</xdr:col>
      <xdr:colOff>411480</xdr:colOff>
      <xdr:row>52</xdr:row>
      <xdr:rowOff>129540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10363200" y="11369040"/>
          <a:ext cx="1226820" cy="647700"/>
        </a:xfrm>
        <a:prstGeom prst="roundRect">
          <a:avLst/>
        </a:prstGeom>
        <a:solidFill>
          <a:schemeClr val="accent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19</xdr:col>
      <xdr:colOff>30480</xdr:colOff>
      <xdr:row>19</xdr:row>
      <xdr:rowOff>198120</xdr:rowOff>
    </xdr:from>
    <xdr:to>
      <xdr:col>21</xdr:col>
      <xdr:colOff>388620</xdr:colOff>
      <xdr:row>22</xdr:row>
      <xdr:rowOff>160020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8801100" y="4541520"/>
          <a:ext cx="1226820" cy="647700"/>
        </a:xfrm>
        <a:prstGeom prst="roundRect">
          <a:avLst/>
        </a:prstGeom>
        <a:solidFill>
          <a:srgbClr val="C0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18</xdr:col>
      <xdr:colOff>60960</xdr:colOff>
      <xdr:row>25</xdr:row>
      <xdr:rowOff>182880</xdr:rowOff>
    </xdr:from>
    <xdr:to>
      <xdr:col>20</xdr:col>
      <xdr:colOff>419100</xdr:colOff>
      <xdr:row>28</xdr:row>
      <xdr:rowOff>144780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8290560" y="5897880"/>
          <a:ext cx="1226820" cy="647700"/>
        </a:xfrm>
        <a:prstGeom prst="roundRect">
          <a:avLst/>
        </a:prstGeom>
        <a:solidFill>
          <a:srgbClr val="FF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19</xdr:col>
      <xdr:colOff>22860</xdr:colOff>
      <xdr:row>37</xdr:row>
      <xdr:rowOff>213360</xdr:rowOff>
    </xdr:from>
    <xdr:to>
      <xdr:col>22</xdr:col>
      <xdr:colOff>38100</xdr:colOff>
      <xdr:row>40</xdr:row>
      <xdr:rowOff>175260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8602980" y="8671560"/>
          <a:ext cx="1318260" cy="64770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21</xdr:col>
      <xdr:colOff>76200</xdr:colOff>
      <xdr:row>45</xdr:row>
      <xdr:rowOff>198120</xdr:rowOff>
    </xdr:from>
    <xdr:to>
      <xdr:col>23</xdr:col>
      <xdr:colOff>358140</xdr:colOff>
      <xdr:row>48</xdr:row>
      <xdr:rowOff>160020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a:off x="9372600" y="10485120"/>
          <a:ext cx="1150620" cy="647700"/>
        </a:xfrm>
        <a:prstGeom prst="roundRect">
          <a:avLst/>
        </a:prstGeom>
        <a:solidFill>
          <a:schemeClr val="accent4">
            <a:lumMod val="5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7620</xdr:colOff>
          <xdr:row>2</xdr:row>
          <xdr:rowOff>137160</xdr:rowOff>
        </xdr:from>
        <xdr:to>
          <xdr:col>3</xdr:col>
          <xdr:colOff>198120</xdr:colOff>
          <xdr:row>4</xdr:row>
          <xdr:rowOff>38100</xdr:rowOff>
        </xdr:to>
        <xdr:sp macro="" textlink="">
          <xdr:nvSpPr>
            <xdr:cNvPr id="108548" name=" 4" hidden="1">
              <a:extLst>
                <a:ext uri="{63B3BB69-23CF-44E3-9099-C40C66FF867C}">
                  <a14:compatExt spid="_x0000_s108548"/>
                </a:ext>
                <a:ext uri="{FF2B5EF4-FFF2-40B4-BE49-F238E27FC236}">
                  <a16:creationId xmlns:a16="http://schemas.microsoft.com/office/drawing/2014/main" id="{00000000-0008-0000-0D00-000004A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3</xdr:row>
          <xdr:rowOff>121920</xdr:rowOff>
        </xdr:from>
        <xdr:to>
          <xdr:col>3</xdr:col>
          <xdr:colOff>198120</xdr:colOff>
          <xdr:row>5</xdr:row>
          <xdr:rowOff>38100</xdr:rowOff>
        </xdr:to>
        <xdr:sp macro="" textlink="">
          <xdr:nvSpPr>
            <xdr:cNvPr id="108549" name=" 5" hidden="1">
              <a:extLst>
                <a:ext uri="{63B3BB69-23CF-44E3-9099-C40C66FF867C}">
                  <a14:compatExt spid="_x0000_s108549"/>
                </a:ext>
                <a:ext uri="{FF2B5EF4-FFF2-40B4-BE49-F238E27FC236}">
                  <a16:creationId xmlns:a16="http://schemas.microsoft.com/office/drawing/2014/main" id="{00000000-0008-0000-0D00-000005A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4</xdr:row>
          <xdr:rowOff>121920</xdr:rowOff>
        </xdr:from>
        <xdr:to>
          <xdr:col>3</xdr:col>
          <xdr:colOff>198120</xdr:colOff>
          <xdr:row>6</xdr:row>
          <xdr:rowOff>38100</xdr:rowOff>
        </xdr:to>
        <xdr:sp macro="" textlink="">
          <xdr:nvSpPr>
            <xdr:cNvPr id="108550" name=" 6" hidden="1">
              <a:extLst>
                <a:ext uri="{63B3BB69-23CF-44E3-9099-C40C66FF867C}">
                  <a14:compatExt spid="_x0000_s108550"/>
                </a:ext>
                <a:ext uri="{FF2B5EF4-FFF2-40B4-BE49-F238E27FC236}">
                  <a16:creationId xmlns:a16="http://schemas.microsoft.com/office/drawing/2014/main" id="{00000000-0008-0000-0D00-000006A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5</xdr:row>
          <xdr:rowOff>114300</xdr:rowOff>
        </xdr:from>
        <xdr:to>
          <xdr:col>3</xdr:col>
          <xdr:colOff>198120</xdr:colOff>
          <xdr:row>7</xdr:row>
          <xdr:rowOff>30480</xdr:rowOff>
        </xdr:to>
        <xdr:sp macro="" textlink="">
          <xdr:nvSpPr>
            <xdr:cNvPr id="108551" name=" 7" hidden="1">
              <a:extLst>
                <a:ext uri="{63B3BB69-23CF-44E3-9099-C40C66FF867C}">
                  <a14:compatExt spid="_x0000_s108551"/>
                </a:ext>
                <a:ext uri="{FF2B5EF4-FFF2-40B4-BE49-F238E27FC236}">
                  <a16:creationId xmlns:a16="http://schemas.microsoft.com/office/drawing/2014/main" id="{00000000-0008-0000-0D00-000007A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xdr:colOff>
          <xdr:row>6</xdr:row>
          <xdr:rowOff>114300</xdr:rowOff>
        </xdr:from>
        <xdr:to>
          <xdr:col>3</xdr:col>
          <xdr:colOff>228600</xdr:colOff>
          <xdr:row>8</xdr:row>
          <xdr:rowOff>38100</xdr:rowOff>
        </xdr:to>
        <xdr:sp macro="" textlink="">
          <xdr:nvSpPr>
            <xdr:cNvPr id="108552" name=" 8" hidden="1">
              <a:extLst>
                <a:ext uri="{63B3BB69-23CF-44E3-9099-C40C66FF867C}">
                  <a14:compatExt spid="_x0000_s108552"/>
                </a:ext>
                <a:ext uri="{FF2B5EF4-FFF2-40B4-BE49-F238E27FC236}">
                  <a16:creationId xmlns:a16="http://schemas.microsoft.com/office/drawing/2014/main" id="{00000000-0008-0000-0D00-000008A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xdr:colOff>
          <xdr:row>2</xdr:row>
          <xdr:rowOff>137160</xdr:rowOff>
        </xdr:from>
        <xdr:to>
          <xdr:col>7</xdr:col>
          <xdr:colOff>220980</xdr:colOff>
          <xdr:row>4</xdr:row>
          <xdr:rowOff>38100</xdr:rowOff>
        </xdr:to>
        <xdr:sp macro="" textlink="">
          <xdr:nvSpPr>
            <xdr:cNvPr id="108555" name=" 11" hidden="1">
              <a:extLst>
                <a:ext uri="{63B3BB69-23CF-44E3-9099-C40C66FF867C}">
                  <a14:compatExt spid="_x0000_s108555"/>
                </a:ext>
                <a:ext uri="{FF2B5EF4-FFF2-40B4-BE49-F238E27FC236}">
                  <a16:creationId xmlns:a16="http://schemas.microsoft.com/office/drawing/2014/main" id="{00000000-0008-0000-0D00-00000BA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xdr:colOff>
          <xdr:row>3</xdr:row>
          <xdr:rowOff>121920</xdr:rowOff>
        </xdr:from>
        <xdr:to>
          <xdr:col>7</xdr:col>
          <xdr:colOff>220980</xdr:colOff>
          <xdr:row>5</xdr:row>
          <xdr:rowOff>38100</xdr:rowOff>
        </xdr:to>
        <xdr:sp macro="" textlink="">
          <xdr:nvSpPr>
            <xdr:cNvPr id="108556" name=" 12" hidden="1">
              <a:extLst>
                <a:ext uri="{63B3BB69-23CF-44E3-9099-C40C66FF867C}">
                  <a14:compatExt spid="_x0000_s108556"/>
                </a:ext>
                <a:ext uri="{FF2B5EF4-FFF2-40B4-BE49-F238E27FC236}">
                  <a16:creationId xmlns:a16="http://schemas.microsoft.com/office/drawing/2014/main" id="{00000000-0008-0000-0D00-00000CA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xdr:colOff>
          <xdr:row>4</xdr:row>
          <xdr:rowOff>114300</xdr:rowOff>
        </xdr:from>
        <xdr:to>
          <xdr:col>7</xdr:col>
          <xdr:colOff>220980</xdr:colOff>
          <xdr:row>6</xdr:row>
          <xdr:rowOff>30480</xdr:rowOff>
        </xdr:to>
        <xdr:sp macro="" textlink="">
          <xdr:nvSpPr>
            <xdr:cNvPr id="108557" name=" 13" hidden="1">
              <a:extLst>
                <a:ext uri="{63B3BB69-23CF-44E3-9099-C40C66FF867C}">
                  <a14:compatExt spid="_x0000_s108557"/>
                </a:ext>
                <a:ext uri="{FF2B5EF4-FFF2-40B4-BE49-F238E27FC236}">
                  <a16:creationId xmlns:a16="http://schemas.microsoft.com/office/drawing/2014/main" id="{00000000-0008-0000-0D00-00000DA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xdr:colOff>
          <xdr:row>5</xdr:row>
          <xdr:rowOff>114300</xdr:rowOff>
        </xdr:from>
        <xdr:to>
          <xdr:col>7</xdr:col>
          <xdr:colOff>220980</xdr:colOff>
          <xdr:row>7</xdr:row>
          <xdr:rowOff>38100</xdr:rowOff>
        </xdr:to>
        <xdr:sp macro="" textlink="">
          <xdr:nvSpPr>
            <xdr:cNvPr id="108558" name=" 14" hidden="1">
              <a:extLst>
                <a:ext uri="{63B3BB69-23CF-44E3-9099-C40C66FF867C}">
                  <a14:compatExt spid="_x0000_s108558"/>
                </a:ext>
                <a:ext uri="{FF2B5EF4-FFF2-40B4-BE49-F238E27FC236}">
                  <a16:creationId xmlns:a16="http://schemas.microsoft.com/office/drawing/2014/main" id="{00000000-0008-0000-0D00-00000EA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xdr:colOff>
          <xdr:row>6</xdr:row>
          <xdr:rowOff>121920</xdr:rowOff>
        </xdr:from>
        <xdr:to>
          <xdr:col>7</xdr:col>
          <xdr:colOff>220980</xdr:colOff>
          <xdr:row>8</xdr:row>
          <xdr:rowOff>38100</xdr:rowOff>
        </xdr:to>
        <xdr:sp macro="" textlink="">
          <xdr:nvSpPr>
            <xdr:cNvPr id="108559" name=" 15" hidden="1">
              <a:extLst>
                <a:ext uri="{63B3BB69-23CF-44E3-9099-C40C66FF867C}">
                  <a14:compatExt spid="_x0000_s108559"/>
                </a:ext>
                <a:ext uri="{FF2B5EF4-FFF2-40B4-BE49-F238E27FC236}">
                  <a16:creationId xmlns:a16="http://schemas.microsoft.com/office/drawing/2014/main" id="{00000000-0008-0000-0D00-00000FA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cuhk-my.sharepoint.com/personal/1155109636_link_cuhk_edu_hk/Documents/Project/Self%20Projects/Ongoing/More%20than%20Exam/JUPAS%20Cal/2022/Excel/Project/TheSchoolHK/JUPAS%20Cal/2021/12-3/Shek/2021_she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頁"/>
      <sheetName val="A123"/>
      <sheetName val="入學要求"/>
      <sheetName val="計分版"/>
      <sheetName val="CityU"/>
      <sheetName val="HKBU"/>
      <sheetName val="PolyU"/>
      <sheetName val="UST"/>
      <sheetName val="HKU"/>
      <sheetName val="LingU"/>
      <sheetName val="EdUHK"/>
      <sheetName val="OUHK"/>
      <sheetName val="SSSDP"/>
      <sheetName val="Sheet1"/>
      <sheetName val="選單"/>
    </sheetNames>
    <sheetDataSet>
      <sheetData sheetId="0" refreshError="1"/>
      <sheetData sheetId="1" refreshError="1"/>
      <sheetData sheetId="2">
        <row r="49">
          <cell r="S49">
            <v>1</v>
          </cell>
        </row>
      </sheetData>
      <sheetData sheetId="3">
        <row r="65">
          <cell r="D65">
            <v>30.5000000022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A2" t="str">
            <v>請選擇等級</v>
          </cell>
          <cell r="B2" t="str">
            <v>請選擇第一選修科</v>
          </cell>
          <cell r="C2" t="str">
            <v>請選擇第二選修科</v>
          </cell>
          <cell r="E2" t="str">
            <v>請選擇第四選修科</v>
          </cell>
          <cell r="F2" t="str">
            <v>請選擇語言科目</v>
          </cell>
          <cell r="G2" t="str">
            <v>請選擇等級</v>
          </cell>
        </row>
        <row r="3">
          <cell r="A3" t="str">
            <v>5**</v>
          </cell>
          <cell r="B3" t="str">
            <v>物理</v>
          </cell>
          <cell r="C3" t="str">
            <v>物理</v>
          </cell>
          <cell r="E3" t="str">
            <v>音樂</v>
          </cell>
          <cell r="F3" t="str">
            <v>法語</v>
          </cell>
          <cell r="G3" t="str">
            <v>A</v>
          </cell>
        </row>
        <row r="4">
          <cell r="A4" t="str">
            <v>5*</v>
          </cell>
          <cell r="B4" t="str">
            <v>化學</v>
          </cell>
          <cell r="C4" t="str">
            <v>化學</v>
          </cell>
          <cell r="E4" t="str">
            <v>體育</v>
          </cell>
          <cell r="F4" t="str">
            <v>日語</v>
          </cell>
          <cell r="G4" t="str">
            <v>B</v>
          </cell>
        </row>
        <row r="5">
          <cell r="A5">
            <v>5</v>
          </cell>
          <cell r="B5" t="str">
            <v>生物</v>
          </cell>
          <cell r="C5" t="str">
            <v>生物</v>
          </cell>
          <cell r="E5" t="str">
            <v>視覺藝術</v>
          </cell>
          <cell r="F5" t="str">
            <v>德語</v>
          </cell>
          <cell r="G5" t="str">
            <v>C</v>
          </cell>
        </row>
        <row r="6">
          <cell r="A6">
            <v>4</v>
          </cell>
          <cell r="B6" t="str">
            <v>經濟</v>
          </cell>
          <cell r="C6" t="str">
            <v>經濟</v>
          </cell>
          <cell r="E6" t="str">
            <v>倫理與宗教</v>
          </cell>
          <cell r="F6" t="str">
            <v>印地語</v>
          </cell>
          <cell r="G6" t="str">
            <v>D</v>
          </cell>
        </row>
        <row r="7">
          <cell r="A7">
            <v>3</v>
          </cell>
          <cell r="B7" t="str">
            <v>地理</v>
          </cell>
          <cell r="C7" t="str">
            <v>地理</v>
          </cell>
          <cell r="F7" t="str">
            <v>西班牙語</v>
          </cell>
          <cell r="G7" t="str">
            <v>E</v>
          </cell>
        </row>
        <row r="8">
          <cell r="A8">
            <v>2</v>
          </cell>
          <cell r="B8" t="str">
            <v>音樂</v>
          </cell>
          <cell r="C8" t="str">
            <v>音樂</v>
          </cell>
          <cell r="F8" t="str">
            <v>烏爾都語</v>
          </cell>
          <cell r="G8" t="str">
            <v>U</v>
          </cell>
        </row>
        <row r="9">
          <cell r="A9">
            <v>1</v>
          </cell>
          <cell r="B9" t="str">
            <v>體育</v>
          </cell>
          <cell r="C9" t="str">
            <v>體育</v>
          </cell>
        </row>
        <row r="10">
          <cell r="A10" t="str">
            <v>U</v>
          </cell>
          <cell r="B10" t="str">
            <v>歷史</v>
          </cell>
          <cell r="C10" t="str">
            <v>歷史</v>
          </cell>
        </row>
        <row r="11">
          <cell r="B11" t="str">
            <v>中國歷史</v>
          </cell>
          <cell r="C11" t="str">
            <v>中國歷史</v>
          </cell>
        </row>
        <row r="12">
          <cell r="B12" t="str">
            <v>視覺藝術</v>
          </cell>
          <cell r="C12" t="str">
            <v>視覺藝術</v>
          </cell>
        </row>
        <row r="13">
          <cell r="B13" t="str">
            <v>綜合科學</v>
          </cell>
          <cell r="C13" t="str">
            <v>綜合科學</v>
          </cell>
        </row>
        <row r="14">
          <cell r="B14" t="str">
            <v>組合科學 (物理、化學)</v>
          </cell>
          <cell r="C14" t="str">
            <v>組合科學 (物理、化學)</v>
          </cell>
        </row>
        <row r="15">
          <cell r="B15" t="str">
            <v>組合科學 (生物、化學)</v>
          </cell>
          <cell r="C15" t="str">
            <v>組合科學 (生物、化學)</v>
          </cell>
        </row>
        <row r="16">
          <cell r="B16" t="str">
            <v>組合科學 (物理、生物)</v>
          </cell>
          <cell r="C16" t="str">
            <v>組合科學 (物理、生物)</v>
          </cell>
        </row>
        <row r="17">
          <cell r="B17" t="str">
            <v>中國文學</v>
          </cell>
          <cell r="C17" t="str">
            <v>中國文學</v>
          </cell>
        </row>
        <row r="18">
          <cell r="B18" t="str">
            <v>英語文學</v>
          </cell>
          <cell r="C18" t="str">
            <v>英語文學</v>
          </cell>
        </row>
        <row r="19">
          <cell r="B19" t="str">
            <v>旅遊與款待</v>
          </cell>
          <cell r="C19" t="str">
            <v>旅遊與款待</v>
          </cell>
        </row>
        <row r="20">
          <cell r="B20" t="str">
            <v>倫理與宗教</v>
          </cell>
          <cell r="C20" t="str">
            <v>倫理與宗教</v>
          </cell>
        </row>
        <row r="21">
          <cell r="B21" t="str">
            <v>科技與生活</v>
          </cell>
          <cell r="C21" t="str">
            <v>科技與生活</v>
          </cell>
        </row>
        <row r="22">
          <cell r="B22" t="str">
            <v>資訊及通訊科技</v>
          </cell>
          <cell r="C22" t="str">
            <v>資訊及通訊科技</v>
          </cell>
        </row>
        <row r="23">
          <cell r="B23" t="str">
            <v>設計與應用科技</v>
          </cell>
          <cell r="C23" t="str">
            <v>設計與應用科技</v>
          </cell>
        </row>
        <row r="24">
          <cell r="B24" t="str">
            <v>健康管理與社會關懷</v>
          </cell>
          <cell r="C24" t="str">
            <v>健康管理與社會關懷</v>
          </cell>
        </row>
        <row r="25">
          <cell r="B25" t="str">
            <v>企業、會計與財務概論</v>
          </cell>
          <cell r="C25" t="str">
            <v>企業、會計與財務概論</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3.xml"/><Relationship Id="rId13" Type="http://schemas.openxmlformats.org/officeDocument/2006/relationships/ctrlProp" Target="../ctrlProps/ctrlProp8.xml"/><Relationship Id="rId18" Type="http://schemas.openxmlformats.org/officeDocument/2006/relationships/ctrlProp" Target="../ctrlProps/ctrlProp13.xml"/><Relationship Id="rId3" Type="http://schemas.openxmlformats.org/officeDocument/2006/relationships/printerSettings" Target="../printerSettings/printerSettings1.bin"/><Relationship Id="rId7" Type="http://schemas.openxmlformats.org/officeDocument/2006/relationships/ctrlProp" Target="../ctrlProps/ctrlProp2.xml"/><Relationship Id="rId12" Type="http://schemas.openxmlformats.org/officeDocument/2006/relationships/ctrlProp" Target="../ctrlProps/ctrlProp7.xml"/><Relationship Id="rId17" Type="http://schemas.openxmlformats.org/officeDocument/2006/relationships/ctrlProp" Target="../ctrlProps/ctrlProp12.xml"/><Relationship Id="rId2" Type="http://schemas.openxmlformats.org/officeDocument/2006/relationships/hyperlink" Target="https://drive.google.com/drive/folders/1PmyDrmQ2CumbWrqY7NRqa0Ol-M9VnkFz?usp=sharing" TargetMode="External"/><Relationship Id="rId16" Type="http://schemas.openxmlformats.org/officeDocument/2006/relationships/ctrlProp" Target="../ctrlProps/ctrlProp11.xml"/><Relationship Id="rId1" Type="http://schemas.openxmlformats.org/officeDocument/2006/relationships/hyperlink" Target="https://docs.google.com/document/d/1PVRu4rjEPNh2JYSe4ZtTOek-RZbutUhDUl38J-9DnuI/edit?usp=sharing" TargetMode="External"/><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vmlDrawing" Target="../drawings/vmlDrawing1.vml"/><Relationship Id="rId15" Type="http://schemas.openxmlformats.org/officeDocument/2006/relationships/ctrlProp" Target="../ctrlProps/ctrlProp10.xml"/><Relationship Id="rId10" Type="http://schemas.openxmlformats.org/officeDocument/2006/relationships/ctrlProp" Target="../ctrlProps/ctrlProp5.xml"/><Relationship Id="rId19" Type="http://schemas.openxmlformats.org/officeDocument/2006/relationships/comments" Target="../comments1.xml"/><Relationship Id="rId4" Type="http://schemas.openxmlformats.org/officeDocument/2006/relationships/drawing" Target="../drawings/drawing2.xml"/><Relationship Id="rId9" Type="http://schemas.openxmlformats.org/officeDocument/2006/relationships/ctrlProp" Target="../ctrlProps/ctrlProp4.xml"/><Relationship Id="rId14" Type="http://schemas.openxmlformats.org/officeDocument/2006/relationships/ctrlProp" Target="../ctrlProps/ctrlProp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hyperlink" Target="https://www.admo.cityu.edu.hk/assessment/score_calculation/" TargetMode="External"/><Relationship Id="rId7" Type="http://schemas.openxmlformats.org/officeDocument/2006/relationships/drawing" Target="../drawings/drawing4.xml"/><Relationship Id="rId2" Type="http://schemas.openxmlformats.org/officeDocument/2006/relationships/hyperlink" Target="https://www.admo.cityu.edu.hk/jupas/entreq/bd/" TargetMode="External"/><Relationship Id="rId1" Type="http://schemas.openxmlformats.org/officeDocument/2006/relationships/hyperlink" Target="https://www.cityu.edu.hk/admo/hkdse/scores/jupas_scores2021.pdf" TargetMode="External"/><Relationship Id="rId6" Type="http://schemas.openxmlformats.org/officeDocument/2006/relationships/printerSettings" Target="../printerSettings/printerSettings3.bin"/><Relationship Id="rId5" Type="http://schemas.openxmlformats.org/officeDocument/2006/relationships/hyperlink" Target="https://www.admo.cityu.edu.hk/interview_arrangements/jupas" TargetMode="External"/><Relationship Id="rId4" Type="http://schemas.openxmlformats.org/officeDocument/2006/relationships/hyperlink" Target="https://www.admo.cityu.edu.hk/jupas/assessment/bd" TargetMode="External"/><Relationship Id="rId9"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admissions.hkbu.edu.hk/en/programmes-offer.html" TargetMode="External"/><Relationship Id="rId1" Type="http://schemas.openxmlformats.org/officeDocument/2006/relationships/hyperlink" Target="https://admissions.hkbu.edu.hk/en/hkdse.html"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polyu.edu.hk/aradm/jupas/admission_figures.pdf" TargetMode="External"/><Relationship Id="rId2" Type="http://schemas.openxmlformats.org/officeDocument/2006/relationships/hyperlink" Target="https://www51.polyu.edu.hk/eprospectus/ug/jupas/programme-requirements" TargetMode="External"/><Relationship Id="rId1" Type="http://schemas.openxmlformats.org/officeDocument/2006/relationships/hyperlink" Target="https://www51.polyu.edu.hk/eprospectus/ug/jupas/admission-selection" TargetMode="External"/><Relationship Id="rId6" Type="http://schemas.openxmlformats.org/officeDocument/2006/relationships/drawing" Target="../drawings/drawing6.xml"/><Relationship Id="rId5" Type="http://schemas.openxmlformats.org/officeDocument/2006/relationships/printerSettings" Target="../printerSettings/printerSettings5.bin"/><Relationship Id="rId4" Type="http://schemas.openxmlformats.org/officeDocument/2006/relationships/hyperlink" Target="https://www51.polyu.edu.hk/eprospectus/ug/jupas/interview-arrangement" TargetMode="External"/></Relationships>
</file>

<file path=xl/worksheets/_rels/sheet7.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cuhk.edu.hk/adm/jupas/useful-information-2022.pdf" TargetMode="External"/><Relationship Id="rId7" Type="http://schemas.openxmlformats.org/officeDocument/2006/relationships/vmlDrawing" Target="../drawings/vmlDrawing4.vml"/><Relationship Id="rId2" Type="http://schemas.openxmlformats.org/officeDocument/2006/relationships/hyperlink" Target="https://www.cuhk.edu.hk/adm/jupas/arrangement-for-more-than-one-sitting-2022.pdf" TargetMode="External"/><Relationship Id="rId1" Type="http://schemas.openxmlformats.org/officeDocument/2006/relationships/hyperlink" Target="https://www.cuhk.edu.hk/adm/jupas/interview-arrangement-2022.pdf" TargetMode="External"/><Relationship Id="rId6" Type="http://schemas.openxmlformats.org/officeDocument/2006/relationships/drawing" Target="../drawings/drawing7.xml"/><Relationship Id="rId5" Type="http://schemas.openxmlformats.org/officeDocument/2006/relationships/printerSettings" Target="../printerSettings/printerSettings6.bin"/><Relationship Id="rId4" Type="http://schemas.openxmlformats.org/officeDocument/2006/relationships/hyperlink" Target="https://www.cuhk.edu.hk/adm/jupas/admission-grades-2021.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join.ust.hk/admissions/jupas" TargetMode="External"/><Relationship Id="rId2" Type="http://schemas.openxmlformats.org/officeDocument/2006/relationships/hyperlink" Target="https://www.jupas.edu.hk/f/page/3667/af_2021_JUPAS.pdf" TargetMode="External"/><Relationship Id="rId1" Type="http://schemas.openxmlformats.org/officeDocument/2006/relationships/hyperlink" Target="https://join.ust.hk/admissions/jupas"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hyperlink" Target="https://aal.hku.hk/admissions/local/admissions-information?page=jupas-admissions-scheme" TargetMode="External"/><Relationship Id="rId7" Type="http://schemas.openxmlformats.org/officeDocument/2006/relationships/drawing" Target="../drawings/drawing9.xml"/><Relationship Id="rId2" Type="http://schemas.openxmlformats.org/officeDocument/2006/relationships/hyperlink" Target="https://aal.hku.hk/admissions/local/sites/default/files/2021%20Programme%20Admissions%20Information.pdf" TargetMode="External"/><Relationship Id="rId1" Type="http://schemas.openxmlformats.org/officeDocument/2006/relationships/hyperlink" Target="https://admissions.hku.hk/apply/jupas/interview" TargetMode="External"/><Relationship Id="rId6" Type="http://schemas.openxmlformats.org/officeDocument/2006/relationships/printerSettings" Target="../printerSettings/printerSettings7.bin"/><Relationship Id="rId5" Type="http://schemas.openxmlformats.org/officeDocument/2006/relationships/hyperlink" Target="https://admissions.hku.hk/sites/default/files/2021-07/HKU%20Programme%20Scoring%20Formula%20for%202021%20JUPAS%20Admissions.pdf" TargetMode="External"/><Relationship Id="rId4" Type="http://schemas.openxmlformats.org/officeDocument/2006/relationships/hyperlink" Target="https://aal.hku.hk/admissions/local/sites/default/files/2020%20Admissions%20Score.pdf" TargetMode="External"/></Relationships>
</file>

<file path=xl/worksheets/_rels/sheet10.xml.rels><?xml version="1.0" encoding="UTF-8" standalone="yes"?>
<Relationships xmlns="http://schemas.openxmlformats.org/package/2006/relationships"><Relationship Id="rId8" Type="http://schemas.openxmlformats.org/officeDocument/2006/relationships/comments" Target="../comments6.xml"/><Relationship Id="rId3" Type="http://schemas.openxmlformats.org/officeDocument/2006/relationships/hyperlink" Target="https://www.ln.edu.hk/admissions/ug/f/upload/186/2021-admissionscores.pdf" TargetMode="External"/><Relationship Id="rId7" Type="http://schemas.openxmlformats.org/officeDocument/2006/relationships/vmlDrawing" Target="../drawings/vmlDrawing6.vml"/><Relationship Id="rId2" Type="http://schemas.openxmlformats.org/officeDocument/2006/relationships/hyperlink" Target="https://www.ln.edu.hk/admissions/ug/jupas/admission-score/subject-weighting" TargetMode="External"/><Relationship Id="rId1" Type="http://schemas.openxmlformats.org/officeDocument/2006/relationships/hyperlink" Target="https://www.ln.edu.hk/admissions/ug/jupas/admission-score/jupas-score-calculator" TargetMode="External"/><Relationship Id="rId6" Type="http://schemas.openxmlformats.org/officeDocument/2006/relationships/drawing" Target="../drawings/drawing10.xml"/><Relationship Id="rId5" Type="http://schemas.openxmlformats.org/officeDocument/2006/relationships/printerSettings" Target="../printerSettings/printerSettings8.bin"/><Relationship Id="rId4" Type="http://schemas.openxmlformats.org/officeDocument/2006/relationships/hyperlink" Target="https://www.ln.edu.hk/admissions/ug/jupas/interview-arrangement"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s://www.eduhk.hk/degree/jupas.htm"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www.ouhk.edu.hk/wcsprd/Satellite?pagename=OUHK/tcSingPage&amp;c=C_CFTS&amp;cid=1600653170751&amp;lang=eng&amp;mid=0" TargetMode="External"/><Relationship Id="rId1" Type="http://schemas.openxmlformats.org/officeDocument/2006/relationships/hyperlink" Target="http://www.ouhk.edu.hk/wcsprd/Satellite?pagename=OUHK/tcSubWeb&amp;l=C_CFTS&amp;lid=1385174509933&amp;c=C_CFTS&amp;cid=1385183300596&amp;lang=eng&amp;mid=0"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8" Type="http://schemas.openxmlformats.org/officeDocument/2006/relationships/hyperlink" Target="https://ef.hksyu.edu/Programmes/BCom-in-FinTech" TargetMode="External"/><Relationship Id="rId13" Type="http://schemas.openxmlformats.org/officeDocument/2006/relationships/vmlDrawing" Target="../drawings/vmlDrawing9.vml"/><Relationship Id="rId3" Type="http://schemas.openxmlformats.org/officeDocument/2006/relationships/hyperlink" Target="https://www.chuhai.edu.hk/study-subsidy-scheme-designated-professions-sectors-sssdp-202021" TargetMode="External"/><Relationship Id="rId7" Type="http://schemas.openxmlformats.org/officeDocument/2006/relationships/hyperlink" Target="https://www.uowchk.edu.hk/study-at-uowchk/find-programmes/programmes-by-entry-level/bachelor-degrees/" TargetMode="External"/><Relationship Id="rId12" Type="http://schemas.openxmlformats.org/officeDocument/2006/relationships/drawing" Target="../drawings/drawing13.xml"/><Relationship Id="rId2" Type="http://schemas.openxmlformats.org/officeDocument/2006/relationships/hyperlink" Target="https://www.twc.edu.hk/en/Programme_cat" TargetMode="External"/><Relationship Id="rId1" Type="http://schemas.openxmlformats.org/officeDocument/2006/relationships/hyperlink" Target="https://www.cihe.edu.hk/en/programmes/index.html" TargetMode="External"/><Relationship Id="rId6" Type="http://schemas.openxmlformats.org/officeDocument/2006/relationships/hyperlink" Target="https://www.thei.edu.hk/admissions/local-students-admission-for-year-1-entry/student-subsidy-scheme-for-designated-professions-sections/sssdp-for-academic-year-2021-22" TargetMode="External"/><Relationship Id="rId11" Type="http://schemas.openxmlformats.org/officeDocument/2006/relationships/printerSettings" Target="../printerSettings/printerSettings10.bin"/><Relationship Id="rId5" Type="http://schemas.openxmlformats.org/officeDocument/2006/relationships/hyperlink" Target="https://admissions.hkmu.edu.hk/ug/jupas/" TargetMode="External"/><Relationship Id="rId10" Type="http://schemas.openxmlformats.org/officeDocument/2006/relationships/hyperlink" Target="https://www.jupas.edu.hk/f/page/3669/af_2021_SSSDP.pdf" TargetMode="External"/><Relationship Id="rId4" Type="http://schemas.openxmlformats.org/officeDocument/2006/relationships/hyperlink" Target="https://registry.hsu.edu.hk/prospective-students/undergraduate/programmes-offered/" TargetMode="External"/><Relationship Id="rId9" Type="http://schemas.openxmlformats.org/officeDocument/2006/relationships/hyperlink" Target="https://www.jupas.edu.hk/en/programme/sssdp/" TargetMode="External"/><Relationship Id="rId14"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drawing" Target="../drawings/drawing14.x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hyperlink" Target="https://admissions.hku.hk/apply/jupas" TargetMode="External"/><Relationship Id="rId1" Type="http://schemas.openxmlformats.org/officeDocument/2006/relationships/hyperlink" Target="https://www.cuhk.edu.hk/adm/jupas/arrangement-for-more-than-one-sitting-2022.pdf" TargetMode="External"/><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omments" Target="../comments10.xml"/><Relationship Id="rId10" Type="http://schemas.openxmlformats.org/officeDocument/2006/relationships/ctrlProp" Target="../ctrlProps/ctrlProp19.xml"/><Relationship Id="rId4" Type="http://schemas.openxmlformats.org/officeDocument/2006/relationships/vmlDrawing" Target="../drawings/vmlDrawing10.v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isd.hkust.edu.hk/academics/bsc-in-integrative-systems-and-design-isd" TargetMode="External"/><Relationship Id="rId1" Type="http://schemas.openxmlformats.org/officeDocument/2006/relationships/hyperlink" Target="http://www.arch.cuhk.edu.hk/programme/bachelor-social-science-architectural-studies/"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4DD4B-DFD1-4D3B-B420-63B3A9F78AB4}">
  <sheetPr>
    <tabColor theme="1" tint="0.249977111117893"/>
  </sheetPr>
  <dimension ref="A1:X28"/>
  <sheetViews>
    <sheetView tabSelected="1" zoomScale="85" zoomScaleNormal="85" workbookViewId="0">
      <selection activeCell="L22" sqref="L22"/>
    </sheetView>
  </sheetViews>
  <sheetFormatPr defaultColWidth="0" defaultRowHeight="16.2" zeroHeight="1" x14ac:dyDescent="0.3"/>
  <cols>
    <col min="1" max="24" width="8.88671875" style="536" customWidth="1"/>
    <col min="25" max="16384" width="8.88671875" style="536"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spans="12:12" x14ac:dyDescent="0.3"/>
    <row r="18" spans="12:12" x14ac:dyDescent="0.3"/>
    <row r="19" spans="12:12" x14ac:dyDescent="0.3"/>
    <row r="20" spans="12:12" x14ac:dyDescent="0.3"/>
    <row r="21" spans="12:12" x14ac:dyDescent="0.3"/>
    <row r="22" spans="12:12" x14ac:dyDescent="0.3">
      <c r="L22" s="562"/>
    </row>
    <row r="23" spans="12:12" x14ac:dyDescent="0.3"/>
    <row r="24" spans="12:12" x14ac:dyDescent="0.3"/>
    <row r="25" spans="12:12" x14ac:dyDescent="0.3"/>
    <row r="26" spans="12:12" x14ac:dyDescent="0.3"/>
    <row r="27" spans="12:12" x14ac:dyDescent="0.3"/>
    <row r="28" spans="12:12" x14ac:dyDescent="0.3"/>
  </sheetData>
  <sheetProtection sheet="1" objects="1" scenarios="1" selectLockedCells="1"/>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工作表1">
    <tabColor theme="7" tint="0.59999389629810485"/>
  </sheetPr>
  <dimension ref="A1:U43"/>
  <sheetViews>
    <sheetView showGridLines="0" zoomScaleNormal="100" workbookViewId="0">
      <selection activeCell="C8" sqref="C8"/>
    </sheetView>
  </sheetViews>
  <sheetFormatPr defaultColWidth="0" defaultRowHeight="15.6" zeroHeight="1" x14ac:dyDescent="0.3"/>
  <cols>
    <col min="1" max="1" width="9" style="135" customWidth="1"/>
    <col min="2" max="2" width="17" style="135" customWidth="1"/>
    <col min="3" max="3" width="13.109375" style="135" customWidth="1"/>
    <col min="4" max="4" width="6.6640625" style="135" customWidth="1"/>
    <col min="5" max="5" width="4.6640625" style="135" customWidth="1"/>
    <col min="6" max="6" width="8.88671875" style="135" customWidth="1"/>
    <col min="7" max="7" width="7.6640625" style="136" customWidth="1"/>
    <col min="8" max="8" width="9.33203125" style="136" customWidth="1"/>
    <col min="9" max="9" width="7.6640625" style="135" customWidth="1"/>
    <col min="10" max="10" width="8.21875" style="135" customWidth="1"/>
    <col min="11" max="11" width="8" style="135" customWidth="1"/>
    <col min="12" max="12" width="8.6640625" style="135" customWidth="1"/>
    <col min="13" max="13" width="7.6640625" style="135" customWidth="1"/>
    <col min="14" max="14" width="5.6640625" style="135" customWidth="1"/>
    <col min="15" max="15" width="8.77734375" style="135" customWidth="1"/>
    <col min="16" max="16" width="8.109375" style="135" customWidth="1"/>
    <col min="17" max="17" width="3.6640625" style="135" customWidth="1"/>
    <col min="18" max="21" width="9" style="135" customWidth="1"/>
    <col min="22" max="16384" width="9" style="135" hidden="1"/>
  </cols>
  <sheetData>
    <row r="1" spans="1:19" x14ac:dyDescent="0.3"/>
    <row r="2" spans="1:19" ht="19.5" customHeight="1" x14ac:dyDescent="0.3">
      <c r="B2" s="337" t="s">
        <v>3829</v>
      </c>
      <c r="H2" s="338" t="s">
        <v>2524</v>
      </c>
      <c r="K2" s="336" t="s">
        <v>3557</v>
      </c>
    </row>
    <row r="3" spans="1:19" x14ac:dyDescent="0.3">
      <c r="G3" s="137"/>
      <c r="K3" s="336" t="s">
        <v>2525</v>
      </c>
    </row>
    <row r="4" spans="1:19" x14ac:dyDescent="0.3"/>
    <row r="5" spans="1:19" x14ac:dyDescent="0.3">
      <c r="A5" s="138" t="s">
        <v>2526</v>
      </c>
      <c r="B5" s="139" t="s">
        <v>2527</v>
      </c>
      <c r="E5" s="138" t="s">
        <v>2528</v>
      </c>
      <c r="F5" s="140" t="s">
        <v>2529</v>
      </c>
      <c r="K5" s="141" t="s">
        <v>3832</v>
      </c>
      <c r="O5" s="141"/>
      <c r="P5" s="141"/>
    </row>
    <row r="6" spans="1:19" x14ac:dyDescent="0.3">
      <c r="B6" s="142" t="s">
        <v>2530</v>
      </c>
      <c r="D6" s="143"/>
      <c r="K6" s="144" t="s">
        <v>3831</v>
      </c>
      <c r="N6" s="144"/>
      <c r="O6" s="144"/>
      <c r="P6" s="144"/>
    </row>
    <row r="7" spans="1:19" x14ac:dyDescent="0.3">
      <c r="A7" s="145"/>
      <c r="B7" s="177" t="s">
        <v>2531</v>
      </c>
      <c r="C7" s="134"/>
      <c r="D7" s="339" t="s">
        <v>2532</v>
      </c>
      <c r="F7" s="139" t="s">
        <v>2171</v>
      </c>
      <c r="G7" s="146">
        <f>IF(計分版!D14=FALSE,計分版!D3,計分版!D8)</f>
        <v>3.3999999999999998E-9</v>
      </c>
      <c r="H7" s="139" t="s">
        <v>2324</v>
      </c>
      <c r="I7" s="146">
        <f>IF(計分版!D14=FALSE,計分版!D5,計分版!D12)</f>
        <v>1.9000000000000001E-9</v>
      </c>
      <c r="K7" s="144"/>
      <c r="O7" s="144"/>
      <c r="P7" s="144"/>
    </row>
    <row r="8" spans="1:19" x14ac:dyDescent="0.3">
      <c r="B8" s="135" t="s">
        <v>2227</v>
      </c>
      <c r="C8" s="534" t="s">
        <v>3530</v>
      </c>
      <c r="D8" s="497"/>
      <c r="F8" s="171" t="s">
        <v>2153</v>
      </c>
      <c r="G8" s="146">
        <f>IF(計分版!D14=FALSE,計分版!D4,計分版!D9)</f>
        <v>3.7E-9</v>
      </c>
      <c r="H8" s="171" t="s">
        <v>2325</v>
      </c>
      <c r="I8" s="146">
        <f>IF(計分版!D14=FALSE,計分版!D6,計分版!D13)</f>
        <v>2.7000000000000002E-9</v>
      </c>
      <c r="K8" s="144"/>
      <c r="O8" s="141"/>
      <c r="P8" s="141"/>
    </row>
    <row r="9" spans="1:19" x14ac:dyDescent="0.3">
      <c r="B9" s="135" t="s">
        <v>2228</v>
      </c>
      <c r="C9" s="534" t="s">
        <v>3530</v>
      </c>
      <c r="D9" s="497"/>
      <c r="F9" s="135" t="s">
        <v>2533</v>
      </c>
      <c r="J9" s="148"/>
      <c r="K9" s="149" t="s">
        <v>2534</v>
      </c>
      <c r="O9" s="144"/>
      <c r="P9" s="144"/>
      <c r="S9" s="477" t="s">
        <v>3531</v>
      </c>
    </row>
    <row r="10" spans="1:19" x14ac:dyDescent="0.3">
      <c r="B10" s="135" t="s">
        <v>2229</v>
      </c>
      <c r="C10" s="534" t="s">
        <v>3530</v>
      </c>
      <c r="D10" s="497"/>
      <c r="O10" s="144"/>
      <c r="P10" s="144"/>
      <c r="S10" s="477" t="s">
        <v>3532</v>
      </c>
    </row>
    <row r="11" spans="1:19" x14ac:dyDescent="0.3">
      <c r="B11" s="135" t="s">
        <v>2230</v>
      </c>
      <c r="C11" s="534" t="s">
        <v>3530</v>
      </c>
      <c r="D11" s="497"/>
      <c r="E11" s="138" t="s">
        <v>2535</v>
      </c>
      <c r="F11" s="140" t="s">
        <v>2536</v>
      </c>
      <c r="I11" s="150" t="s">
        <v>2537</v>
      </c>
    </row>
    <row r="12" spans="1:19" x14ac:dyDescent="0.3">
      <c r="B12" s="135" t="s">
        <v>2245</v>
      </c>
      <c r="C12" s="534" t="s">
        <v>3530</v>
      </c>
      <c r="D12" s="497"/>
      <c r="F12" s="151" t="s">
        <v>2538</v>
      </c>
      <c r="I12" s="152" t="s">
        <v>2539</v>
      </c>
    </row>
    <row r="13" spans="1:19" ht="14.4" customHeight="1" x14ac:dyDescent="0.3">
      <c r="C13" s="147"/>
      <c r="D13" s="387"/>
      <c r="O13" s="153" t="s">
        <v>2540</v>
      </c>
      <c r="P13" s="153" t="s">
        <v>2541</v>
      </c>
      <c r="Q13" s="154" t="s">
        <v>2542</v>
      </c>
    </row>
    <row r="14" spans="1:19" x14ac:dyDescent="0.3">
      <c r="B14" s="139" t="s">
        <v>2543</v>
      </c>
      <c r="C14" s="147"/>
      <c r="D14" s="340"/>
      <c r="G14" s="155" t="s">
        <v>2029</v>
      </c>
      <c r="H14" s="155" t="s">
        <v>2544</v>
      </c>
      <c r="I14" s="155" t="s">
        <v>2545</v>
      </c>
      <c r="J14" s="153" t="s">
        <v>2021</v>
      </c>
      <c r="K14" s="153" t="s">
        <v>2546</v>
      </c>
      <c r="L14" s="153" t="s">
        <v>2547</v>
      </c>
      <c r="M14" s="141" t="s">
        <v>2010</v>
      </c>
      <c r="N14" s="153" t="s">
        <v>1950</v>
      </c>
      <c r="O14" s="153" t="s">
        <v>2548</v>
      </c>
      <c r="P14" s="153" t="s">
        <v>2549</v>
      </c>
      <c r="Q14" s="141" t="s">
        <v>2550</v>
      </c>
    </row>
    <row r="15" spans="1:19" x14ac:dyDescent="0.3">
      <c r="B15" s="496" t="s">
        <v>3597</v>
      </c>
      <c r="C15" s="534" t="s">
        <v>3530</v>
      </c>
      <c r="D15" s="497"/>
      <c r="E15" s="156" t="s">
        <v>2551</v>
      </c>
      <c r="F15" s="498" t="s">
        <v>3833</v>
      </c>
      <c r="G15" s="157" t="str">
        <f>'A123'!B16</f>
        <v>CUHK</v>
      </c>
      <c r="H15" s="157" t="str">
        <f>'A123'!D16</f>
        <v>PSYCHOLOGY</v>
      </c>
      <c r="I15" s="158" t="str">
        <f>'A123'!E16</f>
        <v>Best 5</v>
      </c>
      <c r="J15" s="159">
        <f>'A123'!F16</f>
        <v>37.500000000245002</v>
      </c>
      <c r="K15" s="159">
        <f>'A123'!G16</f>
        <v>35.250000000215003</v>
      </c>
      <c r="L15" s="159">
        <f>'A123'!H16</f>
        <v>33.000000000284999</v>
      </c>
      <c r="M15" s="160">
        <f>'A123'!I16</f>
        <v>3.9500000000000006E-9</v>
      </c>
      <c r="N15" s="159">
        <f>'A123'!J16</f>
        <v>56</v>
      </c>
      <c r="O15" s="159">
        <f>'A123'!K16</f>
        <v>62</v>
      </c>
      <c r="P15" s="161">
        <f>'A123'!L16</f>
        <v>7.32258064516129</v>
      </c>
      <c r="Q15" s="135">
        <f>'A123'!M16</f>
        <v>0</v>
      </c>
    </row>
    <row r="16" spans="1:19" x14ac:dyDescent="0.3">
      <c r="A16" s="136" t="s">
        <v>3576</v>
      </c>
      <c r="B16" s="496" t="s">
        <v>3596</v>
      </c>
      <c r="C16" s="534" t="s">
        <v>3530</v>
      </c>
      <c r="D16" s="497"/>
      <c r="E16" s="139"/>
      <c r="F16" s="143"/>
      <c r="G16" s="157" t="str">
        <f>'A123'!C16</f>
        <v>心理學</v>
      </c>
      <c r="H16" s="159"/>
      <c r="I16" s="143"/>
      <c r="J16" s="162">
        <f>IF('A123'!A1=FALSE,'A123'!B5,'A123'!F5)</f>
        <v>-9493670885.1379738</v>
      </c>
      <c r="K16" s="162">
        <f>IF('A123'!A1=FALSE,'A123'!C5,'A123'!G5)</f>
        <v>-8924050631.9658222</v>
      </c>
      <c r="L16" s="162">
        <f>IF('A123'!A1=FALSE,'A123'!D5,'A123'!H5)</f>
        <v>-8354430378.8189859</v>
      </c>
      <c r="M16" s="159"/>
      <c r="N16" s="159"/>
      <c r="O16" s="159"/>
      <c r="P16" s="159"/>
    </row>
    <row r="17" spans="1:20" x14ac:dyDescent="0.3">
      <c r="B17" s="496" t="s">
        <v>2616</v>
      </c>
      <c r="C17" s="534" t="s">
        <v>3530</v>
      </c>
      <c r="D17" s="497"/>
      <c r="E17" s="156" t="s">
        <v>2552</v>
      </c>
      <c r="F17" s="498" t="s">
        <v>3834</v>
      </c>
      <c r="G17" s="157" t="str">
        <f>'A123'!B17</f>
        <v>SSSDP</v>
      </c>
      <c r="H17" s="157" t="str">
        <f>'A123'!D17</f>
        <v>BSc(Hons) Physiotherapy</v>
      </c>
      <c r="I17" s="158" t="str">
        <f>'A123'!E17</f>
        <v>Best 5</v>
      </c>
      <c r="J17" s="159" t="str">
        <f>'A123'!F17</f>
        <v>/</v>
      </c>
      <c r="K17" s="159">
        <f>'A123'!G17</f>
        <v>34</v>
      </c>
      <c r="L17" s="159">
        <f>'A123'!H17</f>
        <v>31</v>
      </c>
      <c r="M17" s="160">
        <f>'A123'!I17</f>
        <v>3.9500000000000006E-9</v>
      </c>
      <c r="N17" s="159">
        <f>'A123'!J17</f>
        <v>50</v>
      </c>
      <c r="O17" s="159">
        <f>'A123'!K17</f>
        <v>55</v>
      </c>
      <c r="P17" s="161">
        <f>'A123'!L17</f>
        <v>5.333333333333333</v>
      </c>
      <c r="Q17" s="135">
        <f>'A123'!M17</f>
        <v>0</v>
      </c>
      <c r="R17" s="135" t="s">
        <v>2554</v>
      </c>
    </row>
    <row r="18" spans="1:20" x14ac:dyDescent="0.3">
      <c r="B18" s="496" t="s">
        <v>2425</v>
      </c>
      <c r="C18" s="535" t="s">
        <v>3530</v>
      </c>
      <c r="D18" s="497"/>
      <c r="E18" s="139"/>
      <c r="F18" s="163"/>
      <c r="G18" s="157" t="str">
        <f>'A123'!C17</f>
        <v>物理治療學榮譽理學士</v>
      </c>
      <c r="H18" s="159"/>
      <c r="I18" s="143"/>
      <c r="J18" s="162" t="str">
        <f>IF('A123'!A1=FALSE,'A123'!B7,'A123'!F7)</f>
        <v/>
      </c>
      <c r="K18" s="162">
        <f>IF('A123'!A1=FALSE,'A123'!C7,'A123'!G7)</f>
        <v>-8607594935.7088604</v>
      </c>
      <c r="L18" s="162">
        <f>IF('A123'!A1=FALSE,'A123'!D7,'A123'!H7)</f>
        <v>-7848101264.8227835</v>
      </c>
      <c r="M18" s="159"/>
      <c r="N18" s="159"/>
      <c r="O18" s="159"/>
      <c r="P18" s="159"/>
    </row>
    <row r="19" spans="1:20" x14ac:dyDescent="0.3">
      <c r="B19" s="496" t="s">
        <v>2556</v>
      </c>
      <c r="C19" s="535" t="s">
        <v>3530</v>
      </c>
      <c r="D19" s="497"/>
      <c r="E19" s="156" t="s">
        <v>2557</v>
      </c>
      <c r="F19" s="498"/>
      <c r="G19" s="157" t="str">
        <f>'A123'!B18</f>
        <v/>
      </c>
      <c r="H19" s="157" t="str">
        <f>'A123'!D18</f>
        <v/>
      </c>
      <c r="I19" s="158" t="str">
        <f>'A123'!E18</f>
        <v/>
      </c>
      <c r="J19" s="159" t="str">
        <f>'A123'!F18</f>
        <v/>
      </c>
      <c r="K19" s="159" t="str">
        <f>'A123'!G18</f>
        <v/>
      </c>
      <c r="L19" s="159" t="str">
        <f>'A123'!H18</f>
        <v/>
      </c>
      <c r="M19" s="160" t="str">
        <f>'A123'!I18</f>
        <v/>
      </c>
      <c r="N19" s="159" t="str">
        <f>'A123'!J18</f>
        <v/>
      </c>
      <c r="O19" s="159" t="str">
        <f>'A123'!K18</f>
        <v/>
      </c>
      <c r="P19" s="161" t="str">
        <f>'A123'!L18</f>
        <v/>
      </c>
      <c r="Q19" s="135" t="str">
        <f>'A123'!M18</f>
        <v/>
      </c>
    </row>
    <row r="20" spans="1:20" x14ac:dyDescent="0.3">
      <c r="A20" s="164"/>
      <c r="D20" s="147"/>
      <c r="F20" s="163"/>
      <c r="G20" s="157" t="str">
        <f>'A123'!C18</f>
        <v/>
      </c>
      <c r="H20" s="159"/>
      <c r="I20" s="143"/>
      <c r="J20" s="162" t="str">
        <f>IF('A123'!A1=FALSE,'A123'!B9,'A123'!F9)</f>
        <v/>
      </c>
      <c r="K20" s="162" t="str">
        <f>IF('A123'!A1=FALSE,'A123'!C9,'A123'!G9)</f>
        <v/>
      </c>
      <c r="L20" s="162" t="str">
        <f>IF('A123'!A1=FALSE,'A123'!D9,'A123'!H9)</f>
        <v/>
      </c>
      <c r="M20" s="157"/>
      <c r="N20" s="154" t="s">
        <v>2558</v>
      </c>
      <c r="P20" s="154" t="s">
        <v>2559</v>
      </c>
    </row>
    <row r="21" spans="1:20" x14ac:dyDescent="0.3">
      <c r="F21" s="165"/>
    </row>
    <row r="22" spans="1:20" ht="18" x14ac:dyDescent="0.3">
      <c r="B22" s="166" t="s">
        <v>2560</v>
      </c>
      <c r="E22" s="572" t="s">
        <v>2561</v>
      </c>
      <c r="F22" s="572"/>
      <c r="G22" s="572"/>
      <c r="H22" s="572"/>
      <c r="I22" s="572"/>
      <c r="J22" s="572"/>
      <c r="K22" s="572"/>
      <c r="L22" s="572"/>
      <c r="M22" s="572"/>
      <c r="N22" s="572"/>
    </row>
    <row r="23" spans="1:20" x14ac:dyDescent="0.3">
      <c r="B23" s="143" t="s">
        <v>2562</v>
      </c>
    </row>
    <row r="24" spans="1:20" x14ac:dyDescent="0.3">
      <c r="B24" s="167" t="s">
        <v>2563</v>
      </c>
      <c r="C24" s="573" t="s">
        <v>2564</v>
      </c>
      <c r="D24" s="573"/>
      <c r="E24" s="573"/>
      <c r="F24" s="573"/>
      <c r="G24" s="573"/>
      <c r="H24" s="573"/>
      <c r="I24" s="573"/>
      <c r="J24" s="573"/>
      <c r="K24" s="573"/>
      <c r="L24" s="573"/>
      <c r="M24" s="573"/>
      <c r="N24" s="573"/>
      <c r="O24" s="573"/>
      <c r="P24" s="168"/>
    </row>
    <row r="25" spans="1:20" x14ac:dyDescent="0.3">
      <c r="C25" s="143"/>
      <c r="D25" s="143"/>
      <c r="E25" s="143"/>
      <c r="F25" s="143"/>
      <c r="G25" s="159"/>
      <c r="H25" s="159"/>
      <c r="I25" s="143"/>
      <c r="J25" s="143"/>
      <c r="K25" s="143"/>
      <c r="L25" s="143"/>
      <c r="M25" s="143"/>
      <c r="N25" s="143"/>
      <c r="O25" s="143"/>
    </row>
    <row r="26" spans="1:20" x14ac:dyDescent="0.3">
      <c r="A26" s="138" t="s">
        <v>2565</v>
      </c>
      <c r="B26" s="139" t="s">
        <v>2566</v>
      </c>
      <c r="F26" s="172" t="s">
        <v>2567</v>
      </c>
      <c r="G26" s="172"/>
      <c r="H26" s="173"/>
      <c r="I26" s="173"/>
      <c r="J26" s="174"/>
      <c r="K26" s="173"/>
      <c r="L26" s="173"/>
      <c r="M26" s="173"/>
      <c r="O26" s="141" t="s">
        <v>2568</v>
      </c>
      <c r="P26" s="141"/>
      <c r="Q26" s="141"/>
    </row>
    <row r="27" spans="1:20" x14ac:dyDescent="0.3">
      <c r="B27" s="164" t="s">
        <v>3556</v>
      </c>
      <c r="D27" s="164" t="s">
        <v>2540</v>
      </c>
      <c r="F27" s="175" t="s">
        <v>3830</v>
      </c>
      <c r="G27" s="172"/>
      <c r="H27" s="173"/>
      <c r="I27" s="172"/>
      <c r="J27" s="175" t="s">
        <v>3642</v>
      </c>
      <c r="K27" s="173"/>
      <c r="L27" s="173"/>
      <c r="M27" s="173"/>
    </row>
    <row r="28" spans="1:20" ht="16.5" customHeight="1" x14ac:dyDescent="0.3">
      <c r="A28" s="145"/>
      <c r="B28" s="139" t="s">
        <v>2531</v>
      </c>
      <c r="D28" s="145" t="s">
        <v>2569</v>
      </c>
      <c r="F28" s="144" t="s">
        <v>3831</v>
      </c>
      <c r="G28" s="173"/>
      <c r="H28" s="173"/>
      <c r="I28" s="173"/>
      <c r="J28" s="144" t="s">
        <v>3590</v>
      </c>
      <c r="K28" s="173"/>
      <c r="L28" s="173"/>
      <c r="M28" s="173"/>
      <c r="O28" s="574" t="s">
        <v>2570</v>
      </c>
      <c r="P28" s="574"/>
      <c r="Q28" s="574"/>
      <c r="R28" s="574"/>
      <c r="S28" s="574"/>
      <c r="T28" s="574"/>
    </row>
    <row r="29" spans="1:20" x14ac:dyDescent="0.3">
      <c r="B29" s="135" t="s">
        <v>2227</v>
      </c>
      <c r="C29" s="169" t="str">
        <f>IF(計分版!$D$15=FALSE,IF(C8="請選擇等級","",C8),計分版!V7)</f>
        <v/>
      </c>
      <c r="F29" s="144"/>
      <c r="G29" s="176"/>
      <c r="H29" s="176"/>
      <c r="I29" s="173"/>
      <c r="J29" s="144" t="s">
        <v>3594</v>
      </c>
      <c r="K29" s="173"/>
      <c r="L29" s="173"/>
      <c r="M29" s="173"/>
      <c r="O29" s="574"/>
      <c r="P29" s="574"/>
      <c r="Q29" s="574"/>
      <c r="R29" s="574"/>
      <c r="S29" s="574"/>
      <c r="T29" s="574"/>
    </row>
    <row r="30" spans="1:20" x14ac:dyDescent="0.3">
      <c r="B30" s="135" t="s">
        <v>2228</v>
      </c>
      <c r="C30" s="169" t="str">
        <f>IF(計分版!$D$15=FALSE,IF(C9="請選擇等級","",C9),計分版!W7)</f>
        <v/>
      </c>
      <c r="F30" s="175" t="s">
        <v>3826</v>
      </c>
      <c r="G30" s="173"/>
      <c r="H30" s="173"/>
      <c r="I30" s="173"/>
      <c r="J30" s="144" t="s">
        <v>3595</v>
      </c>
      <c r="K30" s="173"/>
      <c r="L30" s="173"/>
      <c r="M30" s="173"/>
      <c r="O30" s="574"/>
      <c r="P30" s="574"/>
      <c r="Q30" s="574"/>
      <c r="R30" s="574"/>
      <c r="S30" s="574"/>
      <c r="T30" s="574"/>
    </row>
    <row r="31" spans="1:20" x14ac:dyDescent="0.3">
      <c r="B31" s="135" t="s">
        <v>2229</v>
      </c>
      <c r="C31" s="169" t="str">
        <f>IF(計分版!$D$15=FALSE,IF(C10="請選擇等級","",C10),計分版!X7)</f>
        <v/>
      </c>
      <c r="F31" s="144" t="s">
        <v>3827</v>
      </c>
      <c r="G31" s="173"/>
      <c r="H31" s="173"/>
      <c r="I31" s="172"/>
      <c r="J31" s="144" t="s">
        <v>3591</v>
      </c>
      <c r="K31" s="173"/>
      <c r="L31" s="173"/>
      <c r="M31" s="173"/>
      <c r="O31" s="574"/>
      <c r="P31" s="574"/>
      <c r="Q31" s="574"/>
      <c r="R31" s="574"/>
      <c r="S31" s="574"/>
      <c r="T31" s="574"/>
    </row>
    <row r="32" spans="1:20" x14ac:dyDescent="0.3">
      <c r="B32" s="135" t="s">
        <v>2230</v>
      </c>
      <c r="C32" s="169" t="str">
        <f>IF(計分版!$D$15=FALSE,IF(C11="請選擇等級","",C11),計分版!Y7)</f>
        <v/>
      </c>
      <c r="F32" s="144" t="s">
        <v>3828</v>
      </c>
      <c r="G32" s="173"/>
      <c r="H32" s="173"/>
      <c r="I32" s="173"/>
      <c r="J32" s="173" t="s">
        <v>3592</v>
      </c>
      <c r="K32" s="173"/>
      <c r="L32" s="173"/>
      <c r="M32" s="173"/>
      <c r="O32" s="574"/>
      <c r="P32" s="574"/>
      <c r="Q32" s="574"/>
      <c r="R32" s="574"/>
      <c r="S32" s="574"/>
      <c r="T32" s="574"/>
    </row>
    <row r="33" spans="2:20" x14ac:dyDescent="0.3">
      <c r="B33" s="135" t="s">
        <v>2245</v>
      </c>
      <c r="C33" s="169" t="str">
        <f>IF(計分版!$D$15=FALSE,IF(C12="請選擇等級","",C12),計分版!Z7)</f>
        <v/>
      </c>
      <c r="F33" s="175" t="s">
        <v>3643</v>
      </c>
      <c r="G33" s="173"/>
      <c r="H33" s="173"/>
      <c r="I33" s="173"/>
      <c r="J33" s="144" t="s">
        <v>3593</v>
      </c>
      <c r="K33" s="173"/>
      <c r="L33" s="173"/>
      <c r="M33" s="173"/>
      <c r="O33" s="574"/>
      <c r="P33" s="574"/>
      <c r="Q33" s="574"/>
      <c r="R33" s="574"/>
      <c r="S33" s="574"/>
      <c r="T33" s="574"/>
    </row>
    <row r="34" spans="2:20" ht="15" customHeight="1" x14ac:dyDescent="0.3">
      <c r="C34" s="147"/>
      <c r="F34" s="144" t="s">
        <v>3644</v>
      </c>
      <c r="G34" s="173"/>
      <c r="H34" s="173"/>
      <c r="I34" s="172"/>
      <c r="J34" s="144" t="s">
        <v>3575</v>
      </c>
      <c r="K34" s="173"/>
      <c r="L34" s="173"/>
      <c r="M34" s="173"/>
      <c r="O34" s="574"/>
      <c r="P34" s="574"/>
      <c r="Q34" s="574"/>
      <c r="R34" s="574"/>
      <c r="S34" s="574"/>
      <c r="T34" s="574"/>
    </row>
    <row r="35" spans="2:20" x14ac:dyDescent="0.3">
      <c r="B35" s="139" t="s">
        <v>2543</v>
      </c>
      <c r="C35" s="147"/>
      <c r="F35" s="144" t="s">
        <v>3645</v>
      </c>
      <c r="G35" s="173"/>
      <c r="H35" s="173"/>
      <c r="I35" s="173"/>
      <c r="J35" s="144" t="s">
        <v>3574</v>
      </c>
      <c r="K35" s="173"/>
      <c r="L35" s="173"/>
      <c r="M35" s="173"/>
      <c r="O35" s="574"/>
      <c r="P35" s="574"/>
      <c r="Q35" s="574"/>
      <c r="R35" s="574"/>
      <c r="S35" s="574"/>
      <c r="T35" s="574"/>
    </row>
    <row r="36" spans="2:20" x14ac:dyDescent="0.3">
      <c r="B36" s="135" t="str">
        <f>IF(B15="請選擇第一選修科","",B15)</f>
        <v/>
      </c>
      <c r="C36" s="169" t="str">
        <f>IF(計分版!$D$15=FALSE,IF(C15="請選擇等級","",C15),計分版!AA7)</f>
        <v/>
      </c>
      <c r="F36" s="175" t="s">
        <v>3599</v>
      </c>
      <c r="G36" s="173"/>
      <c r="H36" s="173"/>
      <c r="I36" s="173"/>
      <c r="J36" s="144" t="s">
        <v>3553</v>
      </c>
      <c r="K36" s="173"/>
      <c r="L36" s="173"/>
      <c r="M36" s="173"/>
      <c r="O36" s="574"/>
      <c r="P36" s="574"/>
      <c r="Q36" s="574"/>
      <c r="R36" s="574"/>
      <c r="S36" s="574"/>
      <c r="T36" s="574"/>
    </row>
    <row r="37" spans="2:20" x14ac:dyDescent="0.3">
      <c r="B37" s="135" t="str">
        <f>IF(B16="請選擇第二選修科","",B16)</f>
        <v/>
      </c>
      <c r="C37" s="169" t="str">
        <f>IF(計分版!$D$15=FALSE,IF(C16="請選擇等級","",C16),計分版!AB7)</f>
        <v/>
      </c>
      <c r="F37" s="144" t="s">
        <v>3598</v>
      </c>
      <c r="G37" s="176"/>
      <c r="H37" s="173"/>
      <c r="I37" s="172"/>
      <c r="J37" s="144" t="s">
        <v>3540</v>
      </c>
      <c r="K37" s="173"/>
      <c r="L37" s="173"/>
      <c r="M37" s="173"/>
      <c r="O37" s="574"/>
      <c r="P37" s="574"/>
      <c r="Q37" s="574"/>
      <c r="R37" s="574"/>
      <c r="S37" s="574"/>
      <c r="T37" s="574"/>
    </row>
    <row r="38" spans="2:20" x14ac:dyDescent="0.3">
      <c r="B38" s="135" t="str">
        <f>IF(B17="請選擇第三選修科","",B17)</f>
        <v/>
      </c>
      <c r="C38" s="169" t="str">
        <f>IF(計分版!$D$15=FALSE,IF(C17="請選擇等級","",C17),計分版!AC7)</f>
        <v/>
      </c>
      <c r="F38" s="144" t="s">
        <v>3601</v>
      </c>
      <c r="G38" s="173"/>
      <c r="H38" s="173"/>
      <c r="I38" s="173"/>
      <c r="J38" s="144" t="s">
        <v>3555</v>
      </c>
      <c r="K38" s="173"/>
      <c r="L38" s="173"/>
      <c r="M38" s="173"/>
      <c r="O38" s="574"/>
      <c r="P38" s="574"/>
      <c r="Q38" s="574"/>
      <c r="R38" s="574"/>
      <c r="S38" s="574"/>
      <c r="T38" s="574"/>
    </row>
    <row r="39" spans="2:20" x14ac:dyDescent="0.3">
      <c r="B39" s="135" t="str">
        <f>IF(B18="請選擇第四選修科","",B18)</f>
        <v/>
      </c>
      <c r="C39" s="169" t="str">
        <f>IF(計分版!$D$15=FALSE,IF(C18="請選擇等級","",C18),計分版!AD7)</f>
        <v/>
      </c>
      <c r="F39" s="144" t="s">
        <v>3600</v>
      </c>
      <c r="G39" s="173"/>
      <c r="H39" s="173"/>
      <c r="I39" s="172"/>
      <c r="J39" s="144" t="s">
        <v>3554</v>
      </c>
      <c r="K39" s="173"/>
      <c r="L39" s="173"/>
      <c r="M39" s="173"/>
      <c r="O39" s="574"/>
      <c r="P39" s="574"/>
      <c r="Q39" s="574"/>
      <c r="R39" s="574"/>
      <c r="S39" s="574"/>
      <c r="T39" s="574"/>
    </row>
    <row r="40" spans="2:20" x14ac:dyDescent="0.3">
      <c r="B40" s="135" t="str">
        <f>IF(B19="請選擇語言科目","",B19)</f>
        <v/>
      </c>
      <c r="C40" s="169" t="str">
        <f>IF(計分版!$D$15=FALSE,IF(C19="請選擇等級","",C19),計分版!AE7)</f>
        <v/>
      </c>
      <c r="F40" s="173"/>
      <c r="G40" s="173"/>
      <c r="H40" s="173"/>
      <c r="I40" s="173"/>
      <c r="J40" s="173"/>
      <c r="K40" s="173"/>
      <c r="L40" s="173"/>
      <c r="M40" s="173"/>
      <c r="O40" s="574"/>
      <c r="P40" s="574"/>
      <c r="Q40" s="574"/>
      <c r="R40" s="574"/>
      <c r="S40" s="574"/>
      <c r="T40" s="574"/>
    </row>
    <row r="41" spans="2:20" x14ac:dyDescent="0.3">
      <c r="B41" s="170" t="s">
        <v>2571</v>
      </c>
      <c r="G41" s="144"/>
      <c r="H41" s="144"/>
      <c r="I41" s="144"/>
      <c r="J41" s="144"/>
      <c r="K41" s="144"/>
      <c r="L41" s="144"/>
      <c r="M41" s="144"/>
      <c r="O41" s="178"/>
      <c r="P41" s="178"/>
      <c r="Q41" s="178"/>
      <c r="R41" s="178"/>
      <c r="S41" s="178"/>
      <c r="T41" s="178"/>
    </row>
    <row r="42" spans="2:20" x14ac:dyDescent="0.3">
      <c r="B42" s="170" t="s">
        <v>2572</v>
      </c>
    </row>
    <row r="43" spans="2:20" x14ac:dyDescent="0.3"/>
  </sheetData>
  <sheetProtection selectLockedCells="1"/>
  <mergeCells count="3">
    <mergeCell ref="E22:N22"/>
    <mergeCell ref="C24:O24"/>
    <mergeCell ref="O28:T40"/>
  </mergeCells>
  <phoneticPr fontId="2" type="noConversion"/>
  <conditionalFormatting sqref="Q15 Q17 Q19">
    <cfRule type="cellIs" dxfId="417" priority="18632" operator="equal">
      <formula>0</formula>
    </cfRule>
    <cfRule type="cellIs" dxfId="416" priority="18633" operator="equal">
      <formula>1</formula>
    </cfRule>
  </conditionalFormatting>
  <conditionalFormatting sqref="Q17 Q19 Q15">
    <cfRule type="cellIs" dxfId="415" priority="18631" operator="equal">
      <formula>2</formula>
    </cfRule>
  </conditionalFormatting>
  <conditionalFormatting sqref="J16:L16 J18:L18 J20:L20">
    <cfRule type="containsBlanks" priority="18624" stopIfTrue="1">
      <formula>LEN(TRIM(J16))=0</formula>
    </cfRule>
    <cfRule type="cellIs" dxfId="414" priority="18625" operator="lessThan">
      <formula>0</formula>
    </cfRule>
    <cfRule type="cellIs" dxfId="413" priority="18626" operator="greaterThanOrEqual">
      <formula>0</formula>
    </cfRule>
  </conditionalFormatting>
  <conditionalFormatting sqref="B9:C9 B11:C11 B16:C16 B18:C18 F8:I8 B30:C30 B32:C32 B37:C37 B39:C39">
    <cfRule type="expression" dxfId="412" priority="18619">
      <formula>TRUE</formula>
    </cfRule>
  </conditionalFormatting>
  <conditionalFormatting sqref="B7:D7 B14:D14 B28:C28 B35:C35">
    <cfRule type="expression" dxfId="411" priority="18618">
      <formula>TRUE</formula>
    </cfRule>
  </conditionalFormatting>
  <conditionalFormatting sqref="D8 D10 D12 D15 D17 D19">
    <cfRule type="expression" dxfId="410" priority="18925">
      <formula>TRUE</formula>
    </cfRule>
  </conditionalFormatting>
  <conditionalFormatting sqref="D9 D11 D16 D18">
    <cfRule type="expression" dxfId="409" priority="18914">
      <formula>TRUE</formula>
    </cfRule>
  </conditionalFormatting>
  <conditionalFormatting sqref="B8:C8 B10:C10 B12:C12 B15:C15 B17:C17 B19:C19 B29:C29 B31:C31 B33:C33 B36:C36 B38:C38 B40:C40 F7:I7 O26:T27 O28 F40:M40 G39:M39 F34:I34 G35:I38 K34:M38 F26:M33 J27:J34 K5:Q8 F27:F39">
    <cfRule type="expression" dxfId="408" priority="18613">
      <formula>TRUE</formula>
    </cfRule>
  </conditionalFormatting>
  <conditionalFormatting sqref="F15 F17 F19">
    <cfRule type="expression" dxfId="407" priority="18610">
      <formula>TRUE</formula>
    </cfRule>
  </conditionalFormatting>
  <conditionalFormatting sqref="C29">
    <cfRule type="expression" dxfId="406" priority="18590">
      <formula>$C$29=0</formula>
    </cfRule>
  </conditionalFormatting>
  <conditionalFormatting sqref="C40">
    <cfRule type="expression" dxfId="405" priority="18589">
      <formula>$C$40=0</formula>
    </cfRule>
  </conditionalFormatting>
  <conditionalFormatting sqref="C38">
    <cfRule type="expression" dxfId="404" priority="18588">
      <formula>$C$38=0</formula>
    </cfRule>
  </conditionalFormatting>
  <conditionalFormatting sqref="C36">
    <cfRule type="expression" dxfId="403" priority="18587">
      <formula>$C$36=0</formula>
    </cfRule>
  </conditionalFormatting>
  <conditionalFormatting sqref="C33">
    <cfRule type="expression" dxfId="402" priority="18586">
      <formula>$C$33=0</formula>
    </cfRule>
  </conditionalFormatting>
  <conditionalFormatting sqref="C31">
    <cfRule type="expression" dxfId="401" priority="18585">
      <formula>$C$31=0</formula>
    </cfRule>
  </conditionalFormatting>
  <conditionalFormatting sqref="C30">
    <cfRule type="expression" dxfId="400" priority="18584">
      <formula>$C$30=0</formula>
    </cfRule>
  </conditionalFormatting>
  <conditionalFormatting sqref="C32">
    <cfRule type="expression" dxfId="399" priority="18583">
      <formula>$C$32=0</formula>
    </cfRule>
  </conditionalFormatting>
  <conditionalFormatting sqref="C37">
    <cfRule type="expression" dxfId="398" priority="18582">
      <formula>$C$37=0</formula>
    </cfRule>
  </conditionalFormatting>
  <conditionalFormatting sqref="C39">
    <cfRule type="expression" dxfId="397" priority="18581">
      <formula>$C$39=0</formula>
    </cfRule>
  </conditionalFormatting>
  <conditionalFormatting sqref="G15:P15 G17:P17 G19:P19">
    <cfRule type="expression" dxfId="396" priority="21">
      <formula>TRUE</formula>
    </cfRule>
  </conditionalFormatting>
  <conditionalFormatting sqref="F31:F39">
    <cfRule type="expression" dxfId="395" priority="20">
      <formula>TRUE</formula>
    </cfRule>
  </conditionalFormatting>
  <conditionalFormatting sqref="J28:J33">
    <cfRule type="expression" dxfId="394" priority="15">
      <formula>TRUE</formula>
    </cfRule>
  </conditionalFormatting>
  <conditionalFormatting sqref="J28:J33">
    <cfRule type="expression" dxfId="393" priority="18">
      <formula>TRUE</formula>
    </cfRule>
  </conditionalFormatting>
  <conditionalFormatting sqref="J35:J39">
    <cfRule type="expression" dxfId="392" priority="17">
      <formula>TRUE</formula>
    </cfRule>
  </conditionalFormatting>
  <conditionalFormatting sqref="J35:J39">
    <cfRule type="expression" dxfId="391" priority="16">
      <formula>TRUE</formula>
    </cfRule>
  </conditionalFormatting>
  <conditionalFormatting sqref="K8">
    <cfRule type="expression" dxfId="390" priority="14">
      <formula>TRUE</formula>
    </cfRule>
  </conditionalFormatting>
  <conditionalFormatting sqref="J34">
    <cfRule type="expression" dxfId="389" priority="13">
      <formula>TRUE</formula>
    </cfRule>
  </conditionalFormatting>
  <conditionalFormatting sqref="J34">
    <cfRule type="expression" dxfId="388" priority="11">
      <formula>TRUE</formula>
    </cfRule>
  </conditionalFormatting>
  <conditionalFormatting sqref="J34">
    <cfRule type="expression" dxfId="387" priority="12">
      <formula>TRUE</formula>
    </cfRule>
  </conditionalFormatting>
  <conditionalFormatting sqref="J33">
    <cfRule type="expression" dxfId="386" priority="9">
      <formula>TRUE</formula>
    </cfRule>
  </conditionalFormatting>
  <conditionalFormatting sqref="J33">
    <cfRule type="expression" dxfId="385" priority="10">
      <formula>TRUE</formula>
    </cfRule>
  </conditionalFormatting>
  <conditionalFormatting sqref="J27:J33">
    <cfRule type="expression" dxfId="384" priority="8">
      <formula>TRUE</formula>
    </cfRule>
  </conditionalFormatting>
  <conditionalFormatting sqref="J35">
    <cfRule type="expression" dxfId="383" priority="7">
      <formula>TRUE</formula>
    </cfRule>
  </conditionalFormatting>
  <conditionalFormatting sqref="J35">
    <cfRule type="expression" dxfId="382" priority="5">
      <formula>TRUE</formula>
    </cfRule>
  </conditionalFormatting>
  <conditionalFormatting sqref="J35">
    <cfRule type="expression" dxfId="381" priority="6">
      <formula>TRUE</formula>
    </cfRule>
  </conditionalFormatting>
  <conditionalFormatting sqref="J34">
    <cfRule type="expression" dxfId="380" priority="3">
      <formula>TRUE</formula>
    </cfRule>
  </conditionalFormatting>
  <conditionalFormatting sqref="J34">
    <cfRule type="expression" dxfId="379" priority="4">
      <formula>TRUE</formula>
    </cfRule>
  </conditionalFormatting>
  <conditionalFormatting sqref="J27">
    <cfRule type="expression" dxfId="378" priority="2">
      <formula>TRUE</formula>
    </cfRule>
  </conditionalFormatting>
  <conditionalFormatting sqref="F28:F29">
    <cfRule type="expression" dxfId="377" priority="1">
      <formula>TRUE</formula>
    </cfRule>
  </conditionalFormatting>
  <dataValidations xWindow="600" yWindow="521" count="6">
    <dataValidation type="list" allowBlank="1" showInputMessage="1" showErrorMessage="1" errorTitle="ERROR" error="請選擇所修讀的選修科目" sqref="B16" xr:uid="{00000000-0002-0000-0300-000000000000}">
      <formula1>第二選修科</formula1>
    </dataValidation>
    <dataValidation type="list" allowBlank="1" showInputMessage="1" showErrorMessage="1" sqref="B18" xr:uid="{00000000-0002-0000-0300-000001000000}">
      <formula1>第四選修科</formula1>
    </dataValidation>
    <dataValidation type="list" allowBlank="1" showInputMessage="1" showErrorMessage="1" sqref="B19" xr:uid="{00000000-0002-0000-0300-000002000000}">
      <formula1>丙類選修科</formula1>
    </dataValidation>
    <dataValidation type="list" allowBlank="1" showInputMessage="1" showErrorMessage="1" sqref="C8:C12 C15:C18" xr:uid="{00000000-0002-0000-0300-000003000000}">
      <formula1>等級</formula1>
    </dataValidation>
    <dataValidation type="list" allowBlank="1" showInputMessage="1" showErrorMessage="1" sqref="C19" xr:uid="{00000000-0002-0000-0300-000004000000}">
      <formula1>丙類科目等級</formula1>
    </dataValidation>
    <dataValidation allowBlank="1" showInputMessage="1" showErrorMessage="1" errorTitle="ERROR" error="請選擇所修讀的選修科目" sqref="B36:B40" xr:uid="{00000000-0002-0000-0300-000005000000}"/>
  </dataValidations>
  <hyperlinks>
    <hyperlink ref="C24" r:id="rId1" xr:uid="{00000000-0004-0000-0300-000001000000}"/>
    <hyperlink ref="E22" r:id="rId2" xr:uid="{00000000-0004-0000-0300-000000000000}"/>
  </hyperlinks>
  <pageMargins left="0.7" right="0.7" top="0.75" bottom="0.75" header="0.3" footer="0.3"/>
  <pageSetup paperSize="9" orientation="portrait" horizontalDpi="1200" verticalDpi="1200" r:id="rId3"/>
  <ignoredErrors>
    <ignoredError sqref="E5 A5 E11 A26" numberStoredAsText="1"/>
  </ignoredErrors>
  <drawing r:id="rId4"/>
  <legacyDrawing r:id="rId5"/>
  <mc:AlternateContent xmlns:mc="http://schemas.openxmlformats.org/markup-compatibility/2006">
    <mc:Choice Requires="x14">
      <controls>
        <mc:AlternateContent xmlns:mc="http://schemas.openxmlformats.org/markup-compatibility/2006">
          <mc:Choice Requires="x14">
            <control shapeId="1046" r:id="rId6" name=" 22">
              <controlPr defaultSize="0" autoFill="0" autoLine="0" autoPict="0">
                <anchor moveWithCells="1">
                  <from>
                    <xdr:col>7</xdr:col>
                    <xdr:colOff>297180</xdr:colOff>
                    <xdr:row>3</xdr:row>
                    <xdr:rowOff>175260</xdr:rowOff>
                  </from>
                  <to>
                    <xdr:col>8</xdr:col>
                    <xdr:colOff>403860</xdr:colOff>
                    <xdr:row>5</xdr:row>
                    <xdr:rowOff>7620</xdr:rowOff>
                  </to>
                </anchor>
              </controlPr>
            </control>
          </mc:Choice>
        </mc:AlternateContent>
        <mc:AlternateContent xmlns:mc="http://schemas.openxmlformats.org/markup-compatibility/2006">
          <mc:Choice Requires="x14">
            <control shapeId="1054" r:id="rId7" name=" 30">
              <controlPr defaultSize="0" autoFill="0" autoLine="0" autoPict="0">
                <anchor moveWithCells="1">
                  <from>
                    <xdr:col>2</xdr:col>
                    <xdr:colOff>0</xdr:colOff>
                    <xdr:row>3</xdr:row>
                    <xdr:rowOff>175260</xdr:rowOff>
                  </from>
                  <to>
                    <xdr:col>3</xdr:col>
                    <xdr:colOff>213360</xdr:colOff>
                    <xdr:row>5</xdr:row>
                    <xdr:rowOff>22860</xdr:rowOff>
                  </to>
                </anchor>
              </controlPr>
            </control>
          </mc:Choice>
        </mc:AlternateContent>
        <mc:AlternateContent xmlns:mc="http://schemas.openxmlformats.org/markup-compatibility/2006">
          <mc:Choice Requires="x14">
            <control shapeId="1056" r:id="rId8" name=" 32">
              <controlPr defaultSize="0" autoFill="0" autoLine="0" autoPict="0">
                <anchor moveWithCells="1">
                  <from>
                    <xdr:col>11</xdr:col>
                    <xdr:colOff>144780</xdr:colOff>
                    <xdr:row>10</xdr:row>
                    <xdr:rowOff>175260</xdr:rowOff>
                  </from>
                  <to>
                    <xdr:col>13</xdr:col>
                    <xdr:colOff>228600</xdr:colOff>
                    <xdr:row>12</xdr:row>
                    <xdr:rowOff>30480</xdr:rowOff>
                  </to>
                </anchor>
              </controlPr>
            </control>
          </mc:Choice>
        </mc:AlternateContent>
        <mc:AlternateContent xmlns:mc="http://schemas.openxmlformats.org/markup-compatibility/2006">
          <mc:Choice Requires="x14">
            <control shapeId="1071" r:id="rId9" name=" 47">
              <controlPr defaultSize="0" autoFill="0" autoLine="0" autoPict="0">
                <anchor moveWithCells="1">
                  <from>
                    <xdr:col>3</xdr:col>
                    <xdr:colOff>114300</xdr:colOff>
                    <xdr:row>27</xdr:row>
                    <xdr:rowOff>182880</xdr:rowOff>
                  </from>
                  <to>
                    <xdr:col>3</xdr:col>
                    <xdr:colOff>312420</xdr:colOff>
                    <xdr:row>29</xdr:row>
                    <xdr:rowOff>22860</xdr:rowOff>
                  </to>
                </anchor>
              </controlPr>
            </control>
          </mc:Choice>
        </mc:AlternateContent>
        <mc:AlternateContent xmlns:mc="http://schemas.openxmlformats.org/markup-compatibility/2006">
          <mc:Choice Requires="x14">
            <control shapeId="1072" r:id="rId10" name=" 48">
              <controlPr defaultSize="0" autoFill="0" autoLine="0" autoPict="0">
                <anchor moveWithCells="1">
                  <from>
                    <xdr:col>3</xdr:col>
                    <xdr:colOff>114300</xdr:colOff>
                    <xdr:row>28</xdr:row>
                    <xdr:rowOff>182880</xdr:rowOff>
                  </from>
                  <to>
                    <xdr:col>3</xdr:col>
                    <xdr:colOff>312420</xdr:colOff>
                    <xdr:row>30</xdr:row>
                    <xdr:rowOff>38100</xdr:rowOff>
                  </to>
                </anchor>
              </controlPr>
            </control>
          </mc:Choice>
        </mc:AlternateContent>
        <mc:AlternateContent xmlns:mc="http://schemas.openxmlformats.org/markup-compatibility/2006">
          <mc:Choice Requires="x14">
            <control shapeId="1073" r:id="rId11" name=" 49">
              <controlPr defaultSize="0" autoFill="0" autoLine="0" autoPict="0">
                <anchor moveWithCells="1">
                  <from>
                    <xdr:col>3</xdr:col>
                    <xdr:colOff>114300</xdr:colOff>
                    <xdr:row>29</xdr:row>
                    <xdr:rowOff>182880</xdr:rowOff>
                  </from>
                  <to>
                    <xdr:col>3</xdr:col>
                    <xdr:colOff>312420</xdr:colOff>
                    <xdr:row>31</xdr:row>
                    <xdr:rowOff>38100</xdr:rowOff>
                  </to>
                </anchor>
              </controlPr>
            </control>
          </mc:Choice>
        </mc:AlternateContent>
        <mc:AlternateContent xmlns:mc="http://schemas.openxmlformats.org/markup-compatibility/2006">
          <mc:Choice Requires="x14">
            <control shapeId="1074" r:id="rId12" name=" 50">
              <controlPr defaultSize="0" autoFill="0" autoLine="0" autoPict="0">
                <anchor moveWithCells="1">
                  <from>
                    <xdr:col>3</xdr:col>
                    <xdr:colOff>114300</xdr:colOff>
                    <xdr:row>30</xdr:row>
                    <xdr:rowOff>160020</xdr:rowOff>
                  </from>
                  <to>
                    <xdr:col>3</xdr:col>
                    <xdr:colOff>312420</xdr:colOff>
                    <xdr:row>32</xdr:row>
                    <xdr:rowOff>22860</xdr:rowOff>
                  </to>
                </anchor>
              </controlPr>
            </control>
          </mc:Choice>
        </mc:AlternateContent>
        <mc:AlternateContent xmlns:mc="http://schemas.openxmlformats.org/markup-compatibility/2006">
          <mc:Choice Requires="x14">
            <control shapeId="1075" r:id="rId13" name=" 51">
              <controlPr defaultSize="0" autoFill="0" autoLine="0" autoPict="0">
                <anchor moveWithCells="1">
                  <from>
                    <xdr:col>3</xdr:col>
                    <xdr:colOff>121920</xdr:colOff>
                    <xdr:row>31</xdr:row>
                    <xdr:rowOff>175260</xdr:rowOff>
                  </from>
                  <to>
                    <xdr:col>3</xdr:col>
                    <xdr:colOff>327660</xdr:colOff>
                    <xdr:row>33</xdr:row>
                    <xdr:rowOff>38100</xdr:rowOff>
                  </to>
                </anchor>
              </controlPr>
            </control>
          </mc:Choice>
        </mc:AlternateContent>
        <mc:AlternateContent xmlns:mc="http://schemas.openxmlformats.org/markup-compatibility/2006">
          <mc:Choice Requires="x14">
            <control shapeId="1076" r:id="rId14" name=" 52">
              <controlPr defaultSize="0" autoFill="0" autoLine="0" autoPict="0">
                <anchor moveWithCells="1">
                  <from>
                    <xdr:col>3</xdr:col>
                    <xdr:colOff>114300</xdr:colOff>
                    <xdr:row>34</xdr:row>
                    <xdr:rowOff>182880</xdr:rowOff>
                  </from>
                  <to>
                    <xdr:col>3</xdr:col>
                    <xdr:colOff>327660</xdr:colOff>
                    <xdr:row>36</xdr:row>
                    <xdr:rowOff>22860</xdr:rowOff>
                  </to>
                </anchor>
              </controlPr>
            </control>
          </mc:Choice>
        </mc:AlternateContent>
        <mc:AlternateContent xmlns:mc="http://schemas.openxmlformats.org/markup-compatibility/2006">
          <mc:Choice Requires="x14">
            <control shapeId="1077" r:id="rId15" name=" 53">
              <controlPr defaultSize="0" autoFill="0" autoLine="0" autoPict="0">
                <anchor moveWithCells="1">
                  <from>
                    <xdr:col>3</xdr:col>
                    <xdr:colOff>114300</xdr:colOff>
                    <xdr:row>35</xdr:row>
                    <xdr:rowOff>182880</xdr:rowOff>
                  </from>
                  <to>
                    <xdr:col>3</xdr:col>
                    <xdr:colOff>327660</xdr:colOff>
                    <xdr:row>37</xdr:row>
                    <xdr:rowOff>38100</xdr:rowOff>
                  </to>
                </anchor>
              </controlPr>
            </control>
          </mc:Choice>
        </mc:AlternateContent>
        <mc:AlternateContent xmlns:mc="http://schemas.openxmlformats.org/markup-compatibility/2006">
          <mc:Choice Requires="x14">
            <control shapeId="1078" r:id="rId16" name=" 54">
              <controlPr defaultSize="0" autoFill="0" autoLine="0" autoPict="0">
                <anchor moveWithCells="1">
                  <from>
                    <xdr:col>3</xdr:col>
                    <xdr:colOff>114300</xdr:colOff>
                    <xdr:row>36</xdr:row>
                    <xdr:rowOff>182880</xdr:rowOff>
                  </from>
                  <to>
                    <xdr:col>3</xdr:col>
                    <xdr:colOff>327660</xdr:colOff>
                    <xdr:row>38</xdr:row>
                    <xdr:rowOff>38100</xdr:rowOff>
                  </to>
                </anchor>
              </controlPr>
            </control>
          </mc:Choice>
        </mc:AlternateContent>
        <mc:AlternateContent xmlns:mc="http://schemas.openxmlformats.org/markup-compatibility/2006">
          <mc:Choice Requires="x14">
            <control shapeId="1079" r:id="rId17" name=" 55">
              <controlPr defaultSize="0" autoFill="0" autoLine="0" autoPict="0">
                <anchor moveWithCells="1">
                  <from>
                    <xdr:col>3</xdr:col>
                    <xdr:colOff>114300</xdr:colOff>
                    <xdr:row>37</xdr:row>
                    <xdr:rowOff>175260</xdr:rowOff>
                  </from>
                  <to>
                    <xdr:col>3</xdr:col>
                    <xdr:colOff>327660</xdr:colOff>
                    <xdr:row>39</xdr:row>
                    <xdr:rowOff>38100</xdr:rowOff>
                  </to>
                </anchor>
              </controlPr>
            </control>
          </mc:Choice>
        </mc:AlternateContent>
        <mc:AlternateContent xmlns:mc="http://schemas.openxmlformats.org/markup-compatibility/2006">
          <mc:Choice Requires="x14">
            <control shapeId="1080" r:id="rId18" name=" 56">
              <controlPr defaultSize="0" autoFill="0" autoLine="0" autoPict="0">
                <anchor moveWithCells="1">
                  <from>
                    <xdr:col>3</xdr:col>
                    <xdr:colOff>114300</xdr:colOff>
                    <xdr:row>38</xdr:row>
                    <xdr:rowOff>182880</xdr:rowOff>
                  </from>
                  <to>
                    <xdr:col>3</xdr:col>
                    <xdr:colOff>327660</xdr:colOff>
                    <xdr:row>40</xdr:row>
                    <xdr:rowOff>38100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8622" id="{14C6DFB2-997D-4E2B-A554-28B260EC6BE6}">
            <xm:f>'A123'!$A$1=TRUE</xm:f>
            <x14:dxf>
              <numFmt numFmtId="184" formatCode="0.0%"/>
            </x14:dxf>
          </x14:cfRule>
          <xm:sqref>J16:L16 J18:L18 J20:L20</xm:sqref>
        </x14:conditionalFormatting>
        <x14:conditionalFormatting xmlns:xm="http://schemas.microsoft.com/office/excel/2006/main">
          <x14:cfRule type="expression" priority="18616" id="{6CAD0F26-2001-4988-9531-0167F18DAF91}">
            <xm:f>計分版!$D$15=FALSE</xm:f>
            <x14:dxf>
              <font>
                <color rgb="FFFFF1D9"/>
              </font>
              <fill>
                <patternFill>
                  <bgColor rgb="FFFFF1D9"/>
                </patternFill>
              </fill>
            </x14:dxf>
          </x14:cfRule>
          <xm:sqref>D7:D12 D14:D19</xm:sqref>
        </x14:conditionalFormatting>
        <x14:conditionalFormatting xmlns:xm="http://schemas.microsoft.com/office/excel/2006/main">
          <x14:cfRule type="expression" priority="18915" id="{2FE182C6-4275-4538-821D-2D367B293D90}">
            <xm:f>計分版!$D$15=TRUE</xm:f>
            <x14:dxf>
              <font>
                <color rgb="FFECE9E2"/>
              </font>
            </x14:dxf>
          </x14:cfRule>
          <xm:sqref>C8 C10 C12 C15 C17 C19</xm:sqref>
        </x14:conditionalFormatting>
        <x14:conditionalFormatting xmlns:xm="http://schemas.microsoft.com/office/excel/2006/main">
          <x14:cfRule type="expression" priority="18921" id="{88FDDA21-0782-4A20-9559-C7B15BDF7C53}">
            <xm:f>計分版!$D$15=TRUE</xm:f>
            <x14:dxf>
              <font>
                <color rgb="FFDFDACF"/>
              </font>
            </x14:dxf>
          </x14:cfRule>
          <xm:sqref>C9 C11 C16 C18</xm:sqref>
        </x14:conditionalFormatting>
        <x14:conditionalFormatting xmlns:xm="http://schemas.microsoft.com/office/excel/2006/main">
          <x14:cfRule type="expression" priority="18617" id="{65E73305-FB6A-45B1-B4E0-1092425F6418}">
            <xm:f>計分版!$D$15=TRUE</xm:f>
            <x14:dxf>
              <fill>
                <patternFill>
                  <bgColor rgb="FFE5D065"/>
                </patternFill>
              </fill>
            </x14:dxf>
          </x14:cfRule>
          <xm:sqref>D7 D14</xm:sqref>
        </x14:conditionalFormatting>
      </x14:conditionalFormattings>
    </ext>
    <ext xmlns:x14="http://schemas.microsoft.com/office/spreadsheetml/2009/9/main" uri="{CCE6A557-97BC-4b89-ADB6-D9C93CAAB3DF}">
      <x14:dataValidations xmlns:xm="http://schemas.microsoft.com/office/excel/2006/main" xWindow="600" yWindow="521" count="2">
        <x14:dataValidation type="list" allowBlank="1" showInputMessage="1" showErrorMessage="1" errorTitle="ERROR" error="請選擇所修讀的選修科目" xr:uid="{00000000-0002-0000-0300-000006000000}">
          <x14:formula1>
            <xm:f>選單!$E$2:$E$25</xm:f>
          </x14:formula1>
          <xm:sqref>B17</xm:sqref>
        </x14:dataValidation>
        <x14:dataValidation type="list" allowBlank="1" showInputMessage="1" showErrorMessage="1" errorTitle="ERROR" error="請選擇所修讀的選修科目" xr:uid="{00000000-0002-0000-0300-000007000000}">
          <x14:formula1>
            <xm:f>選單!$C$2:$C$25</xm:f>
          </x14:formula1>
          <xm:sqref>B15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3387-2E56-4C47-97C1-79ABA018D5E2}">
  <sheetPr codeName="Sheet1">
    <tabColor theme="7" tint="-0.499984740745262"/>
  </sheetPr>
  <dimension ref="A1:XFC102"/>
  <sheetViews>
    <sheetView zoomScaleNormal="100" workbookViewId="0">
      <pane ySplit="10" topLeftCell="A11" activePane="bottomLeft" state="frozen"/>
      <selection pane="bottomLeft" activeCell="B6" sqref="B6"/>
    </sheetView>
  </sheetViews>
  <sheetFormatPr defaultColWidth="0" defaultRowHeight="13.8" x14ac:dyDescent="0.3"/>
  <cols>
    <col min="1" max="3" width="8.88671875" style="478" customWidth="1"/>
    <col min="4" max="4" width="10" style="478" customWidth="1"/>
    <col min="5" max="10" width="8.88671875" style="478" customWidth="1"/>
    <col min="11" max="11" width="8.33203125" style="478" customWidth="1"/>
    <col min="12" max="12" width="8.44140625" style="478" customWidth="1"/>
    <col min="13" max="26" width="8.88671875" style="478" customWidth="1"/>
    <col min="27" max="16383" width="8.88671875" style="478" hidden="1"/>
    <col min="16384" max="16384" width="8.109375" style="478" hidden="1"/>
  </cols>
  <sheetData>
    <row r="1" spans="2:16" x14ac:dyDescent="0.3">
      <c r="E1" s="479"/>
      <c r="F1" s="479"/>
      <c r="G1" s="479"/>
      <c r="H1" s="479"/>
      <c r="I1" s="479"/>
      <c r="J1" s="479"/>
      <c r="K1" s="479"/>
      <c r="L1" s="479"/>
      <c r="M1" s="479"/>
      <c r="N1" s="479"/>
    </row>
    <row r="2" spans="2:16" ht="21.6" x14ac:dyDescent="0.3">
      <c r="B2" s="494" t="s">
        <v>3525</v>
      </c>
    </row>
    <row r="4" spans="2:16" x14ac:dyDescent="0.3">
      <c r="B4" s="480" t="s">
        <v>1994</v>
      </c>
      <c r="C4" s="480"/>
      <c r="D4" s="480" t="s">
        <v>1995</v>
      </c>
      <c r="E4" s="480" t="s">
        <v>1996</v>
      </c>
      <c r="K4" s="480" t="s">
        <v>1997</v>
      </c>
      <c r="M4" s="480"/>
      <c r="N4" s="480" t="s">
        <v>2022</v>
      </c>
      <c r="P4" s="480"/>
    </row>
    <row r="5" spans="2:16" x14ac:dyDescent="0.3">
      <c r="B5" s="495" t="s">
        <v>3825</v>
      </c>
      <c r="D5" s="484" t="str">
        <f>'Reference Score Calculation'!B4</f>
        <v>HKMU</v>
      </c>
      <c r="E5" s="484" t="str">
        <f>'Reference Score Calculation'!D4</f>
        <v>心理學榮譽社會科學學士</v>
      </c>
      <c r="F5" s="484"/>
      <c r="G5" s="484"/>
      <c r="H5" s="484"/>
      <c r="I5" s="484"/>
      <c r="K5" s="482">
        <f>'Reference Score Calculation'!X4</f>
        <v>85</v>
      </c>
      <c r="N5" s="482">
        <f>'Reference Score Calculation'!Y4</f>
        <v>200</v>
      </c>
    </row>
    <row r="7" spans="2:16" x14ac:dyDescent="0.3">
      <c r="D7" s="479" t="s">
        <v>1998</v>
      </c>
      <c r="E7" s="479" t="s">
        <v>770</v>
      </c>
      <c r="F7" s="479" t="s">
        <v>1999</v>
      </c>
      <c r="G7" s="479" t="s">
        <v>2000</v>
      </c>
      <c r="H7" s="479" t="s">
        <v>2001</v>
      </c>
      <c r="I7" s="479" t="s">
        <v>2002</v>
      </c>
      <c r="K7" s="480" t="s">
        <v>2003</v>
      </c>
      <c r="N7" s="480" t="s">
        <v>2023</v>
      </c>
    </row>
    <row r="8" spans="2:16" x14ac:dyDescent="0.3">
      <c r="B8" s="480" t="s">
        <v>2004</v>
      </c>
      <c r="D8" s="540">
        <f>入學要求!D18</f>
        <v>3</v>
      </c>
      <c r="E8" s="541">
        <f>入學要求!E18</f>
        <v>3</v>
      </c>
      <c r="F8" s="541">
        <f>入學要求!F18</f>
        <v>2</v>
      </c>
      <c r="G8" s="541">
        <f>入學要求!G18</f>
        <v>2</v>
      </c>
      <c r="H8" s="541">
        <f>入學要求!H18</f>
        <v>2</v>
      </c>
      <c r="I8" s="542">
        <f>入學要求!I18</f>
        <v>0</v>
      </c>
      <c r="K8" s="481">
        <f>入學要求!R18</f>
        <v>0</v>
      </c>
      <c r="N8" s="482">
        <f>'Reference Score Calculation'!Z4</f>
        <v>6.03</v>
      </c>
    </row>
    <row r="9" spans="2:16" x14ac:dyDescent="0.3">
      <c r="D9" s="483" t="str">
        <f>'Reference Score Calculation'!AB4</f>
        <v/>
      </c>
      <c r="E9" s="479"/>
      <c r="F9" s="479"/>
      <c r="G9" s="479"/>
      <c r="H9" s="479"/>
      <c r="I9" s="479"/>
      <c r="J9" s="479"/>
      <c r="N9" s="478" t="s">
        <v>3534</v>
      </c>
    </row>
    <row r="10" spans="2:16" x14ac:dyDescent="0.3">
      <c r="D10" s="483" t="str">
        <f>'Reference Score Calculation'!AC4</f>
        <v/>
      </c>
      <c r="E10" s="479"/>
      <c r="F10" s="479"/>
      <c r="G10" s="479"/>
      <c r="H10" s="479"/>
      <c r="I10" s="479"/>
      <c r="J10" s="479"/>
    </row>
    <row r="12" spans="2:16" x14ac:dyDescent="0.3">
      <c r="B12" s="480" t="s">
        <v>2861</v>
      </c>
      <c r="D12" s="484" t="str">
        <f>'Reference Score Calculation'!E4</f>
        <v>4C1X</v>
      </c>
      <c r="F12" s="484" t="str">
        <f>'Reference Score Calculation'!I4</f>
        <v/>
      </c>
      <c r="G12" s="484"/>
      <c r="H12" s="484"/>
      <c r="I12" s="484"/>
      <c r="J12" s="484"/>
      <c r="K12" s="484"/>
      <c r="L12" s="484"/>
    </row>
    <row r="13" spans="2:16" x14ac:dyDescent="0.3">
      <c r="F13" s="484" t="str">
        <f>'Reference Score Calculation'!J4</f>
        <v/>
      </c>
      <c r="G13" s="484"/>
      <c r="H13" s="484"/>
      <c r="I13" s="484"/>
      <c r="J13" s="484"/>
      <c r="K13" s="484"/>
      <c r="L13" s="484"/>
    </row>
    <row r="15" spans="2:16" x14ac:dyDescent="0.3">
      <c r="B15" s="480" t="s">
        <v>2860</v>
      </c>
      <c r="D15" s="480" t="s">
        <v>2007</v>
      </c>
      <c r="F15" s="484" t="str">
        <f>'Reference Score Calculation'!K4</f>
        <v/>
      </c>
      <c r="G15" s="484"/>
      <c r="H15" s="484"/>
      <c r="I15" s="484"/>
      <c r="J15" s="484"/>
      <c r="K15" s="484"/>
      <c r="L15" s="484"/>
    </row>
    <row r="16" spans="2:16" x14ac:dyDescent="0.3">
      <c r="D16" s="485" t="str">
        <f>'Reference Score Calculation'!U4</f>
        <v/>
      </c>
      <c r="F16" s="484" t="str">
        <f>'Reference Score Calculation'!L4</f>
        <v/>
      </c>
      <c r="G16" s="484"/>
      <c r="H16" s="484"/>
      <c r="I16" s="484"/>
      <c r="J16" s="484"/>
      <c r="K16" s="484"/>
      <c r="L16" s="484"/>
    </row>
    <row r="17" spans="2:14" x14ac:dyDescent="0.3">
      <c r="F17" s="484" t="str">
        <f>'Reference Score Calculation'!M4</f>
        <v/>
      </c>
      <c r="G17" s="484"/>
      <c r="H17" s="484"/>
      <c r="I17" s="484"/>
      <c r="J17" s="484"/>
      <c r="K17" s="484"/>
      <c r="L17" s="484"/>
    </row>
    <row r="19" spans="2:14" x14ac:dyDescent="0.3">
      <c r="B19" s="480" t="s">
        <v>2862</v>
      </c>
      <c r="D19" s="485" t="str">
        <f>'Reference Score Calculation'!AD4</f>
        <v>4C1X</v>
      </c>
      <c r="F19" s="484" t="str">
        <f>'Reference Score Calculation'!AE4</f>
        <v/>
      </c>
      <c r="G19" s="484"/>
      <c r="H19" s="484"/>
      <c r="I19" s="484"/>
      <c r="J19" s="484"/>
      <c r="K19" s="484"/>
      <c r="L19" s="484"/>
    </row>
    <row r="20" spans="2:14" x14ac:dyDescent="0.3">
      <c r="F20" s="484" t="str">
        <f>'Reference Score Calculation'!AF4</f>
        <v/>
      </c>
      <c r="G20" s="484"/>
      <c r="H20" s="484"/>
      <c r="I20" s="484"/>
      <c r="J20" s="484"/>
      <c r="K20" s="484"/>
      <c r="L20" s="484"/>
    </row>
    <row r="22" spans="2:14" x14ac:dyDescent="0.3">
      <c r="B22" s="480" t="s">
        <v>2860</v>
      </c>
      <c r="D22" s="480" t="s">
        <v>2007</v>
      </c>
      <c r="F22" s="484" t="str">
        <f>'Reference Score Calculation'!AG4</f>
        <v/>
      </c>
      <c r="G22" s="484"/>
      <c r="H22" s="484"/>
      <c r="I22" s="484"/>
      <c r="J22" s="484"/>
      <c r="K22" s="484"/>
      <c r="L22" s="484"/>
    </row>
    <row r="23" spans="2:14" x14ac:dyDescent="0.3">
      <c r="D23" s="485" t="str">
        <f>'Reference Score Calculation'!AA4</f>
        <v/>
      </c>
      <c r="F23" s="484" t="str">
        <f>'Reference Score Calculation'!AH4</f>
        <v/>
      </c>
      <c r="G23" s="484"/>
      <c r="H23" s="484"/>
      <c r="I23" s="484"/>
      <c r="J23" s="484"/>
      <c r="K23" s="484"/>
      <c r="L23" s="484"/>
    </row>
    <row r="24" spans="2:14" x14ac:dyDescent="0.3">
      <c r="F24" s="484" t="str">
        <f>'Reference Score Calculation'!AI4</f>
        <v/>
      </c>
      <c r="G24" s="484"/>
      <c r="H24" s="484"/>
      <c r="I24" s="484"/>
      <c r="J24" s="484"/>
      <c r="K24" s="484"/>
      <c r="L24" s="484"/>
    </row>
    <row r="26" spans="2:14" x14ac:dyDescent="0.3">
      <c r="B26" s="480" t="s">
        <v>2024</v>
      </c>
      <c r="D26" s="484" t="str">
        <f>'Reference Score Calculation'!AJ4</f>
        <v/>
      </c>
      <c r="E26" s="484"/>
      <c r="F26" s="484"/>
      <c r="H26" s="566" t="s">
        <v>2025</v>
      </c>
      <c r="I26" s="482" t="str">
        <f>'Reference Score Calculation'!AR4</f>
        <v>無</v>
      </c>
      <c r="J26" s="484"/>
      <c r="K26" s="566" t="s">
        <v>2027</v>
      </c>
      <c r="L26" s="484" t="str">
        <f>'Reference Score Calculation'!AS4</f>
        <v>無</v>
      </c>
      <c r="M26" s="484"/>
      <c r="N26" s="484"/>
    </row>
    <row r="27" spans="2:14" x14ac:dyDescent="0.3">
      <c r="D27" s="484" t="str">
        <f>'Reference Score Calculation'!AK4</f>
        <v/>
      </c>
      <c r="E27" s="484"/>
      <c r="F27" s="484"/>
      <c r="L27" s="484" t="str">
        <f>'Reference Score Calculation'!AT4</f>
        <v/>
      </c>
      <c r="M27" s="484"/>
      <c r="N27" s="484"/>
    </row>
    <row r="28" spans="2:14" x14ac:dyDescent="0.3">
      <c r="D28" s="484" t="str">
        <f>'Reference Score Calculation'!AL4</f>
        <v/>
      </c>
      <c r="E28" s="484"/>
      <c r="F28" s="484"/>
      <c r="L28" s="484"/>
      <c r="M28" s="484"/>
      <c r="N28" s="484"/>
    </row>
    <row r="30" spans="2:14" x14ac:dyDescent="0.3">
      <c r="B30" s="480" t="s">
        <v>2026</v>
      </c>
      <c r="D30" s="484" t="str">
        <f>'Reference Score Calculation'!AM4</f>
        <v/>
      </c>
      <c r="E30" s="484"/>
      <c r="F30" s="484"/>
      <c r="G30" s="484"/>
      <c r="H30" s="484"/>
      <c r="I30" s="484"/>
      <c r="J30" s="484"/>
      <c r="K30" s="484"/>
      <c r="L30" s="484"/>
      <c r="M30" s="484"/>
      <c r="N30" s="484"/>
    </row>
    <row r="31" spans="2:14" x14ac:dyDescent="0.3">
      <c r="D31" s="484" t="str">
        <f>'Reference Score Calculation'!AN4</f>
        <v/>
      </c>
      <c r="E31" s="484"/>
      <c r="F31" s="484"/>
      <c r="G31" s="484"/>
      <c r="H31" s="484"/>
      <c r="I31" s="484"/>
      <c r="J31" s="484"/>
      <c r="K31" s="484"/>
      <c r="L31" s="484"/>
      <c r="M31" s="484"/>
      <c r="N31" s="484"/>
    </row>
    <row r="32" spans="2:14" x14ac:dyDescent="0.3">
      <c r="D32" s="484" t="str">
        <f>'Reference Score Calculation'!AO4</f>
        <v/>
      </c>
      <c r="E32" s="484"/>
      <c r="F32" s="484"/>
      <c r="G32" s="484"/>
      <c r="H32" s="484"/>
      <c r="I32" s="484"/>
      <c r="J32" s="484"/>
      <c r="K32" s="484"/>
      <c r="L32" s="484"/>
      <c r="M32" s="484"/>
      <c r="N32" s="484"/>
    </row>
    <row r="33" spans="1:14" x14ac:dyDescent="0.3">
      <c r="D33" s="484" t="str">
        <f>'Reference Score Calculation'!AP4</f>
        <v/>
      </c>
      <c r="E33" s="484"/>
      <c r="F33" s="484"/>
      <c r="G33" s="484"/>
      <c r="H33" s="484"/>
      <c r="I33" s="484"/>
      <c r="J33" s="484"/>
      <c r="K33" s="484"/>
      <c r="L33" s="484"/>
      <c r="M33" s="484"/>
      <c r="N33" s="484"/>
    </row>
    <row r="34" spans="1:14" x14ac:dyDescent="0.3">
      <c r="D34" s="484" t="str">
        <f>'Reference Score Calculation'!AQ4</f>
        <v/>
      </c>
      <c r="E34" s="484"/>
      <c r="F34" s="484"/>
      <c r="G34" s="484"/>
      <c r="H34" s="484"/>
      <c r="I34" s="484"/>
      <c r="J34" s="484"/>
      <c r="K34" s="484"/>
      <c r="L34" s="484"/>
      <c r="M34" s="484"/>
      <c r="N34" s="484"/>
    </row>
    <row r="36" spans="1:14" x14ac:dyDescent="0.3">
      <c r="B36" s="480" t="s">
        <v>3713</v>
      </c>
      <c r="D36" s="484" t="str">
        <f>'Reference Score Calculation'!AV4</f>
        <v>由於都大每年均會直接公佈加權後分數 (即已計算比重)，故此處直接引用都大數字，未有作任何估算。</v>
      </c>
      <c r="E36" s="484"/>
      <c r="F36" s="484"/>
      <c r="G36" s="484"/>
      <c r="H36" s="484"/>
      <c r="I36" s="484"/>
      <c r="J36" s="484"/>
      <c r="K36" s="484"/>
      <c r="L36" s="484"/>
      <c r="M36" s="484"/>
      <c r="N36" s="484"/>
    </row>
    <row r="37" spans="1:14" x14ac:dyDescent="0.3">
      <c r="D37" s="484"/>
      <c r="E37" s="484"/>
      <c r="F37" s="484"/>
      <c r="G37" s="484"/>
      <c r="H37" s="484"/>
      <c r="I37" s="484"/>
      <c r="J37" s="484"/>
      <c r="K37" s="484"/>
      <c r="L37" s="484"/>
      <c r="M37" s="484"/>
      <c r="N37" s="484"/>
    </row>
    <row r="38" spans="1:14" x14ac:dyDescent="0.3">
      <c r="D38" s="484" t="str">
        <f>'Reference Score Calculation'!AW4</f>
        <v/>
      </c>
      <c r="E38" s="484"/>
      <c r="F38" s="484"/>
      <c r="G38" s="484"/>
      <c r="H38" s="484"/>
      <c r="I38" s="484"/>
      <c r="J38" s="484"/>
      <c r="K38" s="484"/>
      <c r="L38" s="484"/>
      <c r="M38" s="484"/>
      <c r="N38" s="484"/>
    </row>
    <row r="39" spans="1:14" x14ac:dyDescent="0.3">
      <c r="D39" s="484" t="str">
        <f>'Reference Score Calculation'!AX4</f>
        <v/>
      </c>
      <c r="E39" s="484"/>
      <c r="F39" s="484"/>
      <c r="G39" s="484"/>
      <c r="H39" s="484"/>
      <c r="I39" s="484"/>
      <c r="J39" s="484"/>
      <c r="K39" s="484"/>
      <c r="L39" s="484"/>
      <c r="M39" s="484"/>
      <c r="N39" s="484"/>
    </row>
    <row r="40" spans="1:14" x14ac:dyDescent="0.3">
      <c r="D40" s="484" t="str">
        <f>'Reference Score Calculation'!AY4</f>
        <v/>
      </c>
      <c r="E40" s="484"/>
      <c r="F40" s="484"/>
      <c r="G40" s="484"/>
      <c r="H40" s="484"/>
      <c r="I40" s="484"/>
      <c r="J40" s="484"/>
      <c r="K40" s="484"/>
      <c r="L40" s="484"/>
      <c r="M40" s="484"/>
      <c r="N40" s="484"/>
    </row>
    <row r="41" spans="1:14" x14ac:dyDescent="0.3">
      <c r="D41" s="484" t="str">
        <f>'Reference Score Calculation'!AZ4</f>
        <v/>
      </c>
      <c r="E41" s="484"/>
      <c r="F41" s="484"/>
      <c r="G41" s="484"/>
      <c r="H41" s="484"/>
      <c r="I41" s="484"/>
      <c r="J41" s="484"/>
      <c r="K41" s="484"/>
      <c r="L41" s="484"/>
      <c r="M41" s="484"/>
      <c r="N41" s="484"/>
    </row>
    <row r="42" spans="1:14" x14ac:dyDescent="0.3">
      <c r="D42" s="484" t="str">
        <f>'Reference Score Calculation'!BA4</f>
        <v/>
      </c>
      <c r="E42" s="484"/>
      <c r="F42" s="484"/>
      <c r="G42" s="484"/>
      <c r="H42" s="484"/>
      <c r="I42" s="484"/>
      <c r="J42" s="484"/>
      <c r="K42" s="484"/>
      <c r="L42" s="484"/>
      <c r="M42" s="484"/>
      <c r="N42" s="484"/>
    </row>
    <row r="43" spans="1:14" x14ac:dyDescent="0.3">
      <c r="D43" s="479"/>
      <c r="E43" s="479"/>
      <c r="F43" s="479"/>
      <c r="G43" s="479"/>
      <c r="H43" s="479"/>
      <c r="I43" s="479"/>
      <c r="J43" s="479"/>
      <c r="K43" s="479"/>
    </row>
    <row r="44" spans="1:14" x14ac:dyDescent="0.3">
      <c r="B44" s="480" t="str">
        <f>'Reference Score Calculation'!N4</f>
        <v/>
      </c>
      <c r="C44" s="486" t="str">
        <f>'Reference Score Calculation'!O4</f>
        <v/>
      </c>
      <c r="E44" s="479"/>
      <c r="F44" s="479"/>
      <c r="G44" s="479"/>
      <c r="H44" s="479"/>
      <c r="I44" s="479"/>
      <c r="J44" s="479"/>
      <c r="K44" s="479"/>
    </row>
    <row r="45" spans="1:14" x14ac:dyDescent="0.3">
      <c r="C45" s="479"/>
      <c r="E45" s="479" t="s">
        <v>2008</v>
      </c>
      <c r="F45" s="479" t="s">
        <v>770</v>
      </c>
      <c r="G45" s="479" t="s">
        <v>1999</v>
      </c>
      <c r="H45" s="479" t="s">
        <v>2000</v>
      </c>
      <c r="I45" s="479" t="s">
        <v>2009</v>
      </c>
      <c r="J45" s="479" t="str">
        <f>IF(計分版!N$1="請選擇第一選修科","無",計分版!N$1)</f>
        <v>無</v>
      </c>
      <c r="K45" s="479" t="str">
        <f>IF(計分版!O$1="請選擇第二選修科","無",計分版!O$1)</f>
        <v>無</v>
      </c>
      <c r="L45" s="479" t="str">
        <f>IF(計分版!P$1="請選擇第三選修科","無",計分版!P$1)</f>
        <v>無</v>
      </c>
      <c r="M45" s="479" t="str">
        <f>IF(計分版!Q$1="請選擇第四選修科","無",計分版!Q$1)</f>
        <v>無</v>
      </c>
      <c r="N45" s="479" t="str">
        <f>IF(計分版!R$1="請選擇語言科目","無",計分版!R$1)</f>
        <v>無</v>
      </c>
    </row>
    <row r="46" spans="1:14" x14ac:dyDescent="0.3">
      <c r="A46" s="487"/>
      <c r="B46" s="571" t="s">
        <v>2010</v>
      </c>
      <c r="C46" s="488">
        <f>計分版!H22</f>
        <v>0</v>
      </c>
      <c r="E46" s="489" t="str">
        <f>IFERROR(計分版!I29,"")</f>
        <v/>
      </c>
      <c r="F46" s="489" t="str">
        <f>IFERROR(計分版!J29,"")</f>
        <v/>
      </c>
      <c r="G46" s="489" t="str">
        <f>IFERROR(計分版!K29,"")</f>
        <v/>
      </c>
      <c r="H46" s="489" t="str">
        <f>IFERROR(計分版!L29,"")</f>
        <v/>
      </c>
      <c r="I46" s="489" t="str">
        <f>IFERROR(計分版!M29,"")</f>
        <v/>
      </c>
      <c r="J46" s="489" t="str">
        <f>IFERROR(計分版!N29,"")</f>
        <v/>
      </c>
      <c r="K46" s="489" t="str">
        <f>IFERROR(計分版!O29,"")</f>
        <v/>
      </c>
      <c r="L46" s="489" t="str">
        <f>IFERROR(計分版!P29,"")</f>
        <v/>
      </c>
      <c r="M46" s="489" t="str">
        <f>IFERROR(計分版!Q29,"")</f>
        <v/>
      </c>
      <c r="N46" s="489" t="str">
        <f>IFERROR(計分版!R29,"")</f>
        <v/>
      </c>
    </row>
    <row r="47" spans="1:14" x14ac:dyDescent="0.3">
      <c r="B47" s="480"/>
      <c r="C47" s="479"/>
      <c r="D47" s="490" t="s">
        <v>2006</v>
      </c>
      <c r="E47" s="491">
        <f>計分版!I22</f>
        <v>1</v>
      </c>
      <c r="F47" s="491">
        <f>計分版!J22</f>
        <v>1</v>
      </c>
      <c r="G47" s="491">
        <f>計分版!K22</f>
        <v>1</v>
      </c>
      <c r="H47" s="491">
        <f>計分版!L22</f>
        <v>1</v>
      </c>
      <c r="I47" s="491">
        <f>計分版!M22</f>
        <v>1</v>
      </c>
      <c r="J47" s="491">
        <f>計分版!N22</f>
        <v>1</v>
      </c>
      <c r="K47" s="491">
        <f>計分版!O22</f>
        <v>1</v>
      </c>
      <c r="L47" s="491">
        <f>計分版!P22</f>
        <v>1</v>
      </c>
      <c r="M47" s="491">
        <f>計分版!Q22</f>
        <v>1</v>
      </c>
      <c r="N47" s="491">
        <f>計分版!R22</f>
        <v>1</v>
      </c>
    </row>
    <row r="48" spans="1:14" x14ac:dyDescent="0.3">
      <c r="B48" s="480"/>
      <c r="E48" s="488">
        <f>IF(計分版!T22&lt;1,0,計分版!T22)</f>
        <v>0</v>
      </c>
      <c r="F48" s="488">
        <f>IF(計分版!U22&lt;1,0,計分版!U22)</f>
        <v>0</v>
      </c>
      <c r="G48" s="488">
        <f>IF(計分版!V22&lt;1,0,計分版!V22)</f>
        <v>0</v>
      </c>
      <c r="H48" s="488">
        <f>IF(計分版!W22&lt;1,0,計分版!W22)</f>
        <v>0</v>
      </c>
      <c r="I48" s="488">
        <f>IF(計分版!X22&lt;1,0,計分版!X22)</f>
        <v>0</v>
      </c>
      <c r="J48" s="488">
        <f>IF(計分版!Y22&lt;1,0,計分版!Y22)</f>
        <v>0</v>
      </c>
      <c r="K48" s="488">
        <f>IF(計分版!Z22&lt;1,0,計分版!Z22)</f>
        <v>0</v>
      </c>
      <c r="L48" s="488">
        <f>IF(計分版!AA22&lt;1,0,計分版!AA22)</f>
        <v>0</v>
      </c>
      <c r="M48" s="488">
        <f>IF(計分版!AB22&lt;1,0,計分版!AB22)</f>
        <v>0</v>
      </c>
      <c r="N48" s="488">
        <f>IF(計分版!AC22&lt;1,0,計分版!AC22)</f>
        <v>0</v>
      </c>
    </row>
    <row r="49" spans="2:22" x14ac:dyDescent="0.3">
      <c r="B49" s="480"/>
      <c r="C49" s="479"/>
      <c r="E49" s="479"/>
      <c r="F49" s="479"/>
      <c r="G49" s="479"/>
      <c r="H49" s="479"/>
      <c r="I49" s="479"/>
      <c r="J49" s="479"/>
      <c r="K49" s="479"/>
      <c r="L49" s="479"/>
      <c r="M49" s="479"/>
      <c r="N49" s="479"/>
    </row>
    <row r="50" spans="2:22" x14ac:dyDescent="0.3">
      <c r="B50" s="480"/>
      <c r="G50" s="479"/>
      <c r="H50" s="479"/>
      <c r="I50" s="479"/>
      <c r="J50" s="479"/>
      <c r="K50" s="479"/>
      <c r="L50" s="479"/>
      <c r="M50" s="479"/>
      <c r="N50" s="479"/>
    </row>
    <row r="51" spans="2:22" x14ac:dyDescent="0.3">
      <c r="B51" s="480"/>
      <c r="E51" s="479" t="s">
        <v>2008</v>
      </c>
      <c r="F51" s="479" t="s">
        <v>770</v>
      </c>
      <c r="G51" s="479" t="s">
        <v>1999</v>
      </c>
      <c r="H51" s="479" t="s">
        <v>2000</v>
      </c>
      <c r="I51" s="479" t="s">
        <v>2009</v>
      </c>
      <c r="J51" s="479" t="s">
        <v>2680</v>
      </c>
      <c r="K51" s="479" t="s">
        <v>3046</v>
      </c>
      <c r="L51" s="479" t="s">
        <v>3047</v>
      </c>
      <c r="M51" s="479"/>
    </row>
    <row r="52" spans="2:22" x14ac:dyDescent="0.3">
      <c r="B52" s="480" t="s">
        <v>1947</v>
      </c>
      <c r="C52" s="488">
        <f>'Reference Score Calculation'!H4</f>
        <v>14</v>
      </c>
      <c r="E52" s="488" t="str">
        <f>'Reference Score Calculation'!BJ4</f>
        <v/>
      </c>
      <c r="F52" s="488" t="str">
        <f>'Reference Score Calculation'!BK4</f>
        <v/>
      </c>
      <c r="G52" s="488" t="str">
        <f>'Reference Score Calculation'!BL4</f>
        <v/>
      </c>
      <c r="H52" s="488" t="str">
        <f>'Reference Score Calculation'!BM4</f>
        <v/>
      </c>
      <c r="I52" s="488" t="str">
        <f>'Reference Score Calculation'!BN4</f>
        <v/>
      </c>
      <c r="J52" s="488" t="str">
        <f>'Reference Score Calculation'!BO4</f>
        <v/>
      </c>
      <c r="K52" s="488" t="str">
        <f>'Reference Score Calculation'!BP4</f>
        <v/>
      </c>
      <c r="L52" s="488" t="str">
        <f>'Reference Score Calculation'!BQ4</f>
        <v/>
      </c>
      <c r="M52" s="479"/>
      <c r="N52" s="480" t="s">
        <v>2861</v>
      </c>
      <c r="P52" s="484" t="str">
        <f>'Reference Score Calculation'!P4</f>
        <v/>
      </c>
      <c r="Q52" s="484"/>
    </row>
    <row r="53" spans="2:22" x14ac:dyDescent="0.3">
      <c r="B53" s="480"/>
      <c r="C53" s="479"/>
      <c r="D53" s="490" t="s">
        <v>2006</v>
      </c>
      <c r="E53" s="491" t="str">
        <f>'Reference Score Calculation'!BB4</f>
        <v/>
      </c>
      <c r="F53" s="491" t="str">
        <f>'Reference Score Calculation'!BC4</f>
        <v/>
      </c>
      <c r="G53" s="491" t="str">
        <f>'Reference Score Calculation'!BD4</f>
        <v/>
      </c>
      <c r="H53" s="491" t="str">
        <f>'Reference Score Calculation'!BE4</f>
        <v/>
      </c>
      <c r="I53" s="491" t="str">
        <f>'Reference Score Calculation'!BF4</f>
        <v/>
      </c>
      <c r="J53" s="491" t="str">
        <f>'Reference Score Calculation'!BG4</f>
        <v/>
      </c>
      <c r="K53" s="491" t="str">
        <f>'Reference Score Calculation'!BH4</f>
        <v/>
      </c>
      <c r="L53" s="491" t="str">
        <f>'Reference Score Calculation'!BI4</f>
        <v/>
      </c>
      <c r="M53" s="479"/>
    </row>
    <row r="54" spans="2:22" x14ac:dyDescent="0.3">
      <c r="B54" s="480" t="s">
        <v>2020</v>
      </c>
      <c r="C54" s="492">
        <f>IFERROR(($C$46-C52)/C52,0)</f>
        <v>-1</v>
      </c>
      <c r="E54" s="488" t="str">
        <f>'Reference Score Calculation'!BR4</f>
        <v/>
      </c>
      <c r="F54" s="488" t="str">
        <f>'Reference Score Calculation'!BS4</f>
        <v/>
      </c>
      <c r="G54" s="488" t="str">
        <f>'Reference Score Calculation'!BT4</f>
        <v/>
      </c>
      <c r="H54" s="488" t="str">
        <f>'Reference Score Calculation'!BU4</f>
        <v/>
      </c>
      <c r="I54" s="488" t="str">
        <f>'Reference Score Calculation'!BV4</f>
        <v/>
      </c>
      <c r="J54" s="488" t="str">
        <f>'Reference Score Calculation'!BW4</f>
        <v/>
      </c>
      <c r="K54" s="488" t="str">
        <f>'Reference Score Calculation'!BX4</f>
        <v/>
      </c>
      <c r="L54" s="488" t="str">
        <f>'Reference Score Calculation'!BY4</f>
        <v/>
      </c>
      <c r="M54" s="479"/>
      <c r="N54" s="480" t="s">
        <v>2860</v>
      </c>
      <c r="P54" s="484" t="str">
        <f>'Reference Score Calculation'!Q4</f>
        <v/>
      </c>
      <c r="Q54" s="484"/>
      <c r="R54" s="484"/>
      <c r="S54" s="484"/>
      <c r="T54" s="484"/>
      <c r="U54" s="484"/>
      <c r="V54" s="484"/>
    </row>
    <row r="55" spans="2:22" x14ac:dyDescent="0.3">
      <c r="B55" s="480"/>
      <c r="C55" s="479"/>
      <c r="E55" s="493" t="str">
        <f>'Reference Score Calculation'!BZ4</f>
        <v/>
      </c>
      <c r="F55" s="493" t="str">
        <f>'Reference Score Calculation'!CA4</f>
        <v/>
      </c>
      <c r="G55" s="493" t="str">
        <f>'Reference Score Calculation'!CB4</f>
        <v/>
      </c>
      <c r="H55" s="493" t="str">
        <f>'Reference Score Calculation'!CC4</f>
        <v/>
      </c>
      <c r="I55" s="493" t="str">
        <f>'Reference Score Calculation'!CD4</f>
        <v/>
      </c>
      <c r="J55" s="493" t="str">
        <f>'Reference Score Calculation'!CE4</f>
        <v/>
      </c>
      <c r="K55" s="493" t="str">
        <f>'Reference Score Calculation'!CF4</f>
        <v/>
      </c>
      <c r="L55" s="493" t="str">
        <f>'Reference Score Calculation'!CG4</f>
        <v/>
      </c>
      <c r="M55" s="479"/>
      <c r="P55" s="484" t="str">
        <f>'Reference Score Calculation'!R4</f>
        <v/>
      </c>
      <c r="Q55" s="484"/>
      <c r="R55" s="484"/>
      <c r="S55" s="484"/>
      <c r="T55" s="484"/>
      <c r="U55" s="484"/>
      <c r="V55" s="484"/>
    </row>
    <row r="56" spans="2:22" x14ac:dyDescent="0.3">
      <c r="B56" s="480"/>
      <c r="C56" s="479"/>
      <c r="E56" s="493"/>
      <c r="F56" s="493"/>
      <c r="G56" s="493"/>
      <c r="H56" s="493"/>
      <c r="I56" s="493"/>
      <c r="J56" s="493"/>
      <c r="K56" s="493"/>
      <c r="L56" s="493"/>
      <c r="M56" s="479"/>
      <c r="P56" s="484" t="str">
        <f>'Reference Score Calculation'!S4</f>
        <v/>
      </c>
      <c r="Q56" s="484"/>
      <c r="R56" s="484"/>
      <c r="S56" s="484"/>
      <c r="T56" s="484"/>
      <c r="U56" s="484"/>
      <c r="V56" s="484"/>
    </row>
    <row r="57" spans="2:22" x14ac:dyDescent="0.3">
      <c r="B57" s="480"/>
      <c r="C57" s="479"/>
      <c r="E57" s="479" t="s">
        <v>2008</v>
      </c>
      <c r="F57" s="479" t="s">
        <v>770</v>
      </c>
      <c r="G57" s="479" t="s">
        <v>1999</v>
      </c>
      <c r="H57" s="479" t="s">
        <v>2000</v>
      </c>
      <c r="I57" s="479" t="s">
        <v>2009</v>
      </c>
      <c r="J57" s="479" t="s">
        <v>2680</v>
      </c>
      <c r="K57" s="479" t="s">
        <v>3046</v>
      </c>
      <c r="L57" s="479" t="s">
        <v>3047</v>
      </c>
      <c r="M57" s="479"/>
      <c r="N57" s="479"/>
    </row>
    <row r="58" spans="2:22" x14ac:dyDescent="0.3">
      <c r="B58" s="480" t="s">
        <v>1946</v>
      </c>
      <c r="C58" s="488">
        <f>'Reference Score Calculation'!G4</f>
        <v>15</v>
      </c>
      <c r="E58" s="488" t="str">
        <f>'Reference Score Calculation'!CP4</f>
        <v/>
      </c>
      <c r="F58" s="488" t="str">
        <f>'Reference Score Calculation'!CQ4</f>
        <v/>
      </c>
      <c r="G58" s="488" t="str">
        <f>'Reference Score Calculation'!CR4</f>
        <v/>
      </c>
      <c r="H58" s="488" t="str">
        <f>'Reference Score Calculation'!CS4</f>
        <v/>
      </c>
      <c r="I58" s="488" t="str">
        <f>'Reference Score Calculation'!CT4</f>
        <v/>
      </c>
      <c r="J58" s="488" t="str">
        <f>'Reference Score Calculation'!CU4</f>
        <v/>
      </c>
      <c r="K58" s="488" t="str">
        <f>'Reference Score Calculation'!CV4</f>
        <v/>
      </c>
      <c r="L58" s="488" t="str">
        <f>'Reference Score Calculation'!CW4</f>
        <v/>
      </c>
      <c r="M58" s="479"/>
      <c r="N58" s="480" t="s">
        <v>3039</v>
      </c>
      <c r="P58" s="484"/>
      <c r="Q58" s="484"/>
      <c r="R58" s="484"/>
      <c r="S58" s="484"/>
      <c r="T58" s="484"/>
      <c r="U58" s="484"/>
      <c r="V58" s="484"/>
    </row>
    <row r="59" spans="2:22" x14ac:dyDescent="0.3">
      <c r="B59" s="480"/>
      <c r="D59" s="490" t="s">
        <v>2006</v>
      </c>
      <c r="E59" s="491" t="str">
        <f>'Reference Score Calculation'!CH4</f>
        <v/>
      </c>
      <c r="F59" s="491" t="str">
        <f>'Reference Score Calculation'!CI4</f>
        <v/>
      </c>
      <c r="G59" s="491" t="str">
        <f>'Reference Score Calculation'!CJ4</f>
        <v/>
      </c>
      <c r="H59" s="491" t="str">
        <f>'Reference Score Calculation'!CK4</f>
        <v/>
      </c>
      <c r="I59" s="491" t="str">
        <f>'Reference Score Calculation'!CL4</f>
        <v/>
      </c>
      <c r="J59" s="491" t="str">
        <f>'Reference Score Calculation'!CM4</f>
        <v/>
      </c>
      <c r="K59" s="491" t="str">
        <f>'Reference Score Calculation'!CN4</f>
        <v/>
      </c>
      <c r="L59" s="491" t="str">
        <f>'Reference Score Calculation'!CO4</f>
        <v/>
      </c>
      <c r="P59" s="484"/>
      <c r="Q59" s="484"/>
      <c r="R59" s="484"/>
      <c r="S59" s="484"/>
      <c r="T59" s="484"/>
      <c r="U59" s="484"/>
      <c r="V59" s="484"/>
    </row>
    <row r="60" spans="2:22" x14ac:dyDescent="0.3">
      <c r="B60" s="480" t="s">
        <v>2020</v>
      </c>
      <c r="C60" s="492">
        <f>IFERROR(($C$46-C58)/C58,0)</f>
        <v>-1</v>
      </c>
      <c r="E60" s="488" t="str">
        <f>'Reference Score Calculation'!CX4</f>
        <v/>
      </c>
      <c r="F60" s="488" t="str">
        <f>'Reference Score Calculation'!CY4</f>
        <v/>
      </c>
      <c r="G60" s="488" t="str">
        <f>'Reference Score Calculation'!CZ4</f>
        <v/>
      </c>
      <c r="H60" s="488" t="str">
        <f>'Reference Score Calculation'!DA4</f>
        <v/>
      </c>
      <c r="I60" s="488" t="str">
        <f>'Reference Score Calculation'!DB4</f>
        <v/>
      </c>
      <c r="J60" s="488" t="str">
        <f>'Reference Score Calculation'!DC4</f>
        <v/>
      </c>
      <c r="K60" s="488" t="str">
        <f>'Reference Score Calculation'!DD4</f>
        <v/>
      </c>
      <c r="L60" s="488" t="str">
        <f>'Reference Score Calculation'!DE4</f>
        <v/>
      </c>
    </row>
    <row r="61" spans="2:22" x14ac:dyDescent="0.3">
      <c r="C61" s="479"/>
      <c r="E61" s="493" t="str">
        <f>'Reference Score Calculation'!DF4</f>
        <v/>
      </c>
      <c r="F61" s="493" t="str">
        <f>'Reference Score Calculation'!DG4</f>
        <v/>
      </c>
      <c r="G61" s="493" t="str">
        <f>'Reference Score Calculation'!DH4</f>
        <v/>
      </c>
      <c r="H61" s="493" t="str">
        <f>'Reference Score Calculation'!DI4</f>
        <v/>
      </c>
      <c r="I61" s="493" t="str">
        <f>'Reference Score Calculation'!DJ4</f>
        <v/>
      </c>
      <c r="J61" s="493" t="str">
        <f>'Reference Score Calculation'!DK4</f>
        <v/>
      </c>
      <c r="K61" s="493" t="str">
        <f>'Reference Score Calculation'!DL4</f>
        <v/>
      </c>
      <c r="L61" s="493" t="str">
        <f>'Reference Score Calculation'!DM4</f>
        <v/>
      </c>
      <c r="N61" s="479"/>
    </row>
    <row r="62" spans="2:22" x14ac:dyDescent="0.3">
      <c r="B62" s="480" t="str">
        <f>'Reference Score Calculation'!N7</f>
        <v/>
      </c>
      <c r="C62" s="480" t="str">
        <f>'Reference Score Calculation'!O7</f>
        <v/>
      </c>
      <c r="D62" s="479"/>
      <c r="E62" s="479"/>
      <c r="F62" s="479"/>
      <c r="G62" s="479"/>
      <c r="H62" s="479"/>
      <c r="I62" s="479"/>
      <c r="J62" s="479"/>
      <c r="K62" s="479"/>
    </row>
    <row r="63" spans="2:22" x14ac:dyDescent="0.3">
      <c r="B63" s="480"/>
      <c r="C63" s="480"/>
      <c r="D63" s="479"/>
      <c r="E63" s="479" t="s">
        <v>2008</v>
      </c>
      <c r="F63" s="479" t="s">
        <v>770</v>
      </c>
      <c r="G63" s="479" t="s">
        <v>1999</v>
      </c>
      <c r="H63" s="479" t="s">
        <v>2000</v>
      </c>
      <c r="I63" s="479" t="s">
        <v>2009</v>
      </c>
      <c r="J63" s="479" t="str">
        <f>IF(計分版!N$1="請選擇第一選修科","無",計分版!N$1)</f>
        <v>無</v>
      </c>
      <c r="K63" s="479" t="str">
        <f>IF(計分版!O$1="請選擇第二選修科","無",計分版!O$1)</f>
        <v>無</v>
      </c>
      <c r="L63" s="479" t="str">
        <f>IF(計分版!P$1="請選擇第三選修科","無",計分版!P$1)</f>
        <v>無</v>
      </c>
      <c r="M63" s="479" t="str">
        <f>IF(計分版!Q$1="請選擇第四選修科","無",計分版!Q$1)</f>
        <v>無</v>
      </c>
      <c r="N63" s="479" t="str">
        <f>IF(計分版!R$1="請選擇語言科目","無",計分版!R$1)</f>
        <v>無</v>
      </c>
    </row>
    <row r="64" spans="2:22" x14ac:dyDescent="0.3">
      <c r="B64" s="487" t="str">
        <f>IF(D5="PolyU","你的分數","UQ")</f>
        <v>UQ</v>
      </c>
      <c r="C64" s="481" t="str">
        <f>IF(D5="PolyU",計分版!H24,'Reference Score Calculation'!F4)</f>
        <v/>
      </c>
      <c r="D64" s="479"/>
      <c r="E64" s="488" t="str">
        <f>IF($D$5="PolyU",計分版!I29,'Reference Score Calculation'!DV4)</f>
        <v/>
      </c>
      <c r="F64" s="488" t="str">
        <f>IF($D$5="PolyU",計分版!J29,'Reference Score Calculation'!DW4)</f>
        <v/>
      </c>
      <c r="G64" s="488" t="str">
        <f>IF($D$5="PolyU",計分版!K29,'Reference Score Calculation'!DX4)</f>
        <v/>
      </c>
      <c r="H64" s="488" t="str">
        <f>IF($D$5="PolyU",計分版!L29,'Reference Score Calculation'!DY4)</f>
        <v/>
      </c>
      <c r="I64" s="488" t="str">
        <f>IF($D$5="PolyU",計分版!M29,'Reference Score Calculation'!DZ4)</f>
        <v/>
      </c>
      <c r="J64" s="488" t="str">
        <f>IF($D$5="PolyU",計分版!N29,'Reference Score Calculation'!EA4)</f>
        <v/>
      </c>
      <c r="K64" s="488" t="str">
        <f>IF($D$5="PolyU",計分版!O29,'Reference Score Calculation'!EB4)</f>
        <v/>
      </c>
      <c r="L64" s="488" t="str">
        <f>IF($D$5="PolyU",計分版!P29,'Reference Score Calculation'!EC4)</f>
        <v/>
      </c>
      <c r="M64" s="488" t="str">
        <f>IF($D$5="PolyU",計分版!Q29,'Reference Score Calculation'!ED4)</f>
        <v/>
      </c>
      <c r="N64" s="488" t="str">
        <f>IF($D$5="PolyU",計分版!R29,'Reference Score Calculation'!EE4)</f>
        <v/>
      </c>
    </row>
    <row r="65" spans="2:22" x14ac:dyDescent="0.3">
      <c r="D65" s="490" t="s">
        <v>2006</v>
      </c>
      <c r="E65" s="491" t="str">
        <f>IF($D$5="PolyU",計分版!I24,'Reference Score Calculation'!DN4)</f>
        <v/>
      </c>
      <c r="F65" s="491" t="str">
        <f>IF($D$5="PolyU",計分版!J24,'Reference Score Calculation'!DO4)</f>
        <v/>
      </c>
      <c r="G65" s="491" t="str">
        <f>IF($D$5="PolyU",計分版!K24,'Reference Score Calculation'!DP4)</f>
        <v/>
      </c>
      <c r="H65" s="491" t="str">
        <f>IF($D$5="PolyU",計分版!L24,'Reference Score Calculation'!DQ4)</f>
        <v/>
      </c>
      <c r="I65" s="491" t="str">
        <f>IF($D$5="PolyU",計分版!M24,'Reference Score Calculation'!DR4)</f>
        <v/>
      </c>
      <c r="J65" s="491" t="str">
        <f>IF($D$5="PolyU",計分版!N24,'Reference Score Calculation'!DS4)</f>
        <v/>
      </c>
      <c r="K65" s="491" t="str">
        <f>IF($D$5="PolyU",計分版!O24,'Reference Score Calculation'!DT4)</f>
        <v/>
      </c>
      <c r="L65" s="491" t="str">
        <f>IF($D$5="PolyU",計分版!P24,'Reference Score Calculation'!DU4)</f>
        <v/>
      </c>
      <c r="M65" s="491" t="str">
        <f>IF($D$5="PolyU",計分版!Q24,'Reference Score Calculation'!DV4)</f>
        <v/>
      </c>
      <c r="N65" s="491" t="str">
        <f>IF($D$5="PolyU",計分版!R24,'Reference Score Calculation'!DW4)</f>
        <v/>
      </c>
    </row>
    <row r="66" spans="2:22" x14ac:dyDescent="0.3">
      <c r="B66" s="478" t="str">
        <f>IF($D$5="PolyU","","相差")</f>
        <v>相差</v>
      </c>
      <c r="C66" s="492">
        <f>IFERROR(IF(D$5="PolyU","",($C$46-C64)/C64),0)</f>
        <v>0</v>
      </c>
      <c r="D66" s="479"/>
      <c r="E66" s="488" t="str">
        <f>IF($D$5="PolyU",IF(計分版!T24&lt;0.1,0,計分版!T24),'Reference Score Calculation'!ED4)</f>
        <v/>
      </c>
      <c r="F66" s="488" t="str">
        <f>IF($D$5="PolyU",IF(計分版!U24&lt;0.1,0,計分版!U24),'Reference Score Calculation'!EE4)</f>
        <v/>
      </c>
      <c r="G66" s="488" t="str">
        <f>IF($D$5="PolyU",IF(計分版!V24&lt;0.1,0,計分版!V24),'Reference Score Calculation'!EF4)</f>
        <v/>
      </c>
      <c r="H66" s="488" t="str">
        <f>IF($D$5="PolyU",IF(計分版!W24&lt;0.1,0,計分版!W24),'Reference Score Calculation'!EG4)</f>
        <v/>
      </c>
      <c r="I66" s="488" t="str">
        <f>IF($D$5="PolyU",IF(計分版!X24&lt;0.1,0,計分版!X24),'Reference Score Calculation'!EH4)</f>
        <v/>
      </c>
      <c r="J66" s="488" t="str">
        <f>IF($D$5="PolyU",IF(計分版!Y24&lt;0.1,0,計分版!Y24),'Reference Score Calculation'!EI4)</f>
        <v/>
      </c>
      <c r="K66" s="488" t="str">
        <f>IF($D$5="PolyU",IF(計分版!Z24&lt;0.1,0,計分版!Z24),'Reference Score Calculation'!EJ4)</f>
        <v/>
      </c>
      <c r="L66" s="488" t="str">
        <f>IF($D$5="PolyU",IF(計分版!AA24&lt;0.1,0,計分版!AA24),'Reference Score Calculation'!EK4)</f>
        <v/>
      </c>
      <c r="M66" s="488" t="str">
        <f>IF($D$5="PolyU",IF(計分版!AB24&lt;0.1,0,計分版!AB24),'Reference Score Calculation'!EL4)</f>
        <v/>
      </c>
      <c r="N66" s="488" t="str">
        <f>IF($D$5="PolyU",IF(計分版!AC24&lt;0.1,0,計分版!AC24),'Reference Score Calculation'!EM4)</f>
        <v/>
      </c>
    </row>
    <row r="67" spans="2:22" x14ac:dyDescent="0.3">
      <c r="D67" s="479"/>
      <c r="E67" s="493" t="str">
        <f>IF($D$5="PolyU",計分版!AD24,'Reference Score Calculation'!EL4)</f>
        <v/>
      </c>
      <c r="F67" s="493" t="str">
        <f>IF($D$5="PolyU",計分版!AE24,'Reference Score Calculation'!EM4)</f>
        <v/>
      </c>
      <c r="G67" s="493" t="str">
        <f>IF($D$5="PolyU",計分版!AF24,'Reference Score Calculation'!EN4)</f>
        <v/>
      </c>
      <c r="H67" s="493" t="str">
        <f>IF($D$5="PolyU",計分版!AG24,'Reference Score Calculation'!EO4)</f>
        <v/>
      </c>
      <c r="I67" s="493" t="str">
        <f>IF($D$5="PolyU",計分版!AH24,'Reference Score Calculation'!EP4)</f>
        <v/>
      </c>
      <c r="J67" s="493" t="str">
        <f>IF($D$5="PolyU",計分版!AI24,'Reference Score Calculation'!EQ4)</f>
        <v/>
      </c>
      <c r="K67" s="493" t="str">
        <f>IF($D$5="PolyU",計分版!AJ24,'Reference Score Calculation'!ER4)</f>
        <v/>
      </c>
      <c r="L67" s="493" t="str">
        <f>IF($D$5="PolyU",計分版!AK24,'Reference Score Calculation'!ES4)</f>
        <v/>
      </c>
      <c r="M67" s="493">
        <f>IF($D$5="PolyU",計分版!AL24,'Reference Score Calculation'!ET4)</f>
        <v>0</v>
      </c>
      <c r="N67" s="493">
        <f>IF($D$5="PolyU",計分版!AM24,'Reference Score Calculation'!EU4)</f>
        <v>0</v>
      </c>
    </row>
    <row r="68" spans="2:22" x14ac:dyDescent="0.3">
      <c r="D68" s="479"/>
      <c r="E68" s="493" t="str">
        <f>'Reference Score Calculation'!EL4</f>
        <v/>
      </c>
      <c r="F68" s="493" t="str">
        <f>'Reference Score Calculation'!EM4</f>
        <v/>
      </c>
      <c r="G68" s="493" t="str">
        <f>'Reference Score Calculation'!EN4</f>
        <v/>
      </c>
      <c r="H68" s="493" t="str">
        <f>'Reference Score Calculation'!EO4</f>
        <v/>
      </c>
      <c r="I68" s="493" t="str">
        <f>'Reference Score Calculation'!EP4</f>
        <v/>
      </c>
      <c r="J68" s="493" t="str">
        <f>'Reference Score Calculation'!EQ4</f>
        <v/>
      </c>
      <c r="K68" s="493" t="str">
        <f>'Reference Score Calculation'!ER4</f>
        <v/>
      </c>
      <c r="L68" s="493" t="str">
        <f>'Reference Score Calculation'!ES4</f>
        <v/>
      </c>
    </row>
    <row r="69" spans="2:22" x14ac:dyDescent="0.3">
      <c r="E69" s="479" t="s">
        <v>2008</v>
      </c>
      <c r="F69" s="479" t="s">
        <v>770</v>
      </c>
      <c r="G69" s="479" t="s">
        <v>1999</v>
      </c>
      <c r="H69" s="479" t="s">
        <v>2000</v>
      </c>
      <c r="I69" s="479" t="s">
        <v>2009</v>
      </c>
      <c r="J69" s="479" t="s">
        <v>2680</v>
      </c>
      <c r="K69" s="479" t="s">
        <v>3046</v>
      </c>
      <c r="L69" s="479" t="s">
        <v>3047</v>
      </c>
      <c r="N69" s="479"/>
    </row>
    <row r="70" spans="2:22" x14ac:dyDescent="0.3">
      <c r="B70" s="478" t="s">
        <v>1947</v>
      </c>
      <c r="C70" s="488" t="str">
        <f>'Reference Score Calculation'!H7</f>
        <v/>
      </c>
      <c r="E70" s="488" t="str">
        <f>'Reference Score Calculation'!BJ7</f>
        <v/>
      </c>
      <c r="F70" s="488" t="str">
        <f>'Reference Score Calculation'!BK7</f>
        <v/>
      </c>
      <c r="G70" s="488" t="str">
        <f>'Reference Score Calculation'!BL7</f>
        <v/>
      </c>
      <c r="H70" s="488" t="str">
        <f>'Reference Score Calculation'!BM7</f>
        <v/>
      </c>
      <c r="I70" s="488" t="str">
        <f>'Reference Score Calculation'!BN7</f>
        <v/>
      </c>
      <c r="J70" s="488" t="str">
        <f>'Reference Score Calculation'!BO7</f>
        <v/>
      </c>
      <c r="K70" s="488" t="str">
        <f>'Reference Score Calculation'!BP7</f>
        <v/>
      </c>
      <c r="L70" s="488" t="str">
        <f>'Reference Score Calculation'!BQ7</f>
        <v/>
      </c>
      <c r="M70" s="479"/>
      <c r="N70" s="480" t="s">
        <v>2861</v>
      </c>
      <c r="P70" s="484" t="str">
        <f>'Reference Score Calculation'!P7</f>
        <v/>
      </c>
      <c r="Q70" s="484"/>
    </row>
    <row r="71" spans="2:22" x14ac:dyDescent="0.3">
      <c r="C71" s="479"/>
      <c r="D71" s="490" t="s">
        <v>2006</v>
      </c>
      <c r="E71" s="491" t="str">
        <f>'Reference Score Calculation'!BB7</f>
        <v/>
      </c>
      <c r="F71" s="491" t="str">
        <f>'Reference Score Calculation'!BC7</f>
        <v/>
      </c>
      <c r="G71" s="491" t="str">
        <f>'Reference Score Calculation'!BD7</f>
        <v/>
      </c>
      <c r="H71" s="491" t="str">
        <f>'Reference Score Calculation'!BE7</f>
        <v/>
      </c>
      <c r="I71" s="491" t="str">
        <f>'Reference Score Calculation'!BF7</f>
        <v/>
      </c>
      <c r="J71" s="491" t="str">
        <f>'Reference Score Calculation'!BG7</f>
        <v/>
      </c>
      <c r="K71" s="491" t="str">
        <f>'Reference Score Calculation'!BH7</f>
        <v/>
      </c>
      <c r="L71" s="491" t="str">
        <f>'Reference Score Calculation'!BI7</f>
        <v/>
      </c>
      <c r="M71" s="479"/>
    </row>
    <row r="72" spans="2:22" x14ac:dyDescent="0.3">
      <c r="B72" s="478" t="s">
        <v>2020</v>
      </c>
      <c r="C72" s="492">
        <f>IFERROR(($C$64-C70)/C70,0)</f>
        <v>0</v>
      </c>
      <c r="E72" s="488" t="str">
        <f>'Reference Score Calculation'!BR7</f>
        <v/>
      </c>
      <c r="F72" s="488" t="str">
        <f>'Reference Score Calculation'!BS7</f>
        <v/>
      </c>
      <c r="G72" s="488" t="str">
        <f>'Reference Score Calculation'!BT7</f>
        <v/>
      </c>
      <c r="H72" s="488" t="str">
        <f>'Reference Score Calculation'!BU7</f>
        <v/>
      </c>
      <c r="I72" s="488" t="str">
        <f>'Reference Score Calculation'!BV7</f>
        <v/>
      </c>
      <c r="J72" s="488" t="str">
        <f>'Reference Score Calculation'!BW7</f>
        <v/>
      </c>
      <c r="K72" s="488" t="str">
        <f>'Reference Score Calculation'!BX7</f>
        <v/>
      </c>
      <c r="L72" s="488" t="str">
        <f>'Reference Score Calculation'!BY7</f>
        <v/>
      </c>
      <c r="M72" s="479"/>
      <c r="N72" s="480" t="s">
        <v>2860</v>
      </c>
      <c r="P72" s="484" t="str">
        <f>'Reference Score Calculation'!Q7</f>
        <v/>
      </c>
      <c r="Q72" s="484"/>
      <c r="R72" s="484"/>
      <c r="S72" s="484"/>
      <c r="T72" s="484"/>
      <c r="U72" s="484"/>
      <c r="V72" s="484"/>
    </row>
    <row r="73" spans="2:22" x14ac:dyDescent="0.3">
      <c r="C73" s="479"/>
      <c r="E73" s="493" t="str">
        <f>'Reference Score Calculation'!BZ7</f>
        <v/>
      </c>
      <c r="F73" s="493" t="str">
        <f>'Reference Score Calculation'!CA7</f>
        <v/>
      </c>
      <c r="G73" s="493" t="str">
        <f>'Reference Score Calculation'!CB7</f>
        <v/>
      </c>
      <c r="H73" s="493" t="str">
        <f>'Reference Score Calculation'!CC7</f>
        <v/>
      </c>
      <c r="I73" s="493" t="str">
        <f>'Reference Score Calculation'!CD7</f>
        <v/>
      </c>
      <c r="J73" s="493" t="str">
        <f>'Reference Score Calculation'!CE7</f>
        <v/>
      </c>
      <c r="K73" s="493" t="str">
        <f>'Reference Score Calculation'!CF7</f>
        <v/>
      </c>
      <c r="L73" s="493" t="str">
        <f>'Reference Score Calculation'!CG7</f>
        <v/>
      </c>
      <c r="M73" s="479"/>
      <c r="P73" s="484" t="str">
        <f>'Reference Score Calculation'!R7</f>
        <v/>
      </c>
      <c r="Q73" s="484"/>
      <c r="R73" s="484"/>
      <c r="S73" s="484"/>
      <c r="T73" s="484"/>
      <c r="U73" s="484"/>
      <c r="V73" s="484"/>
    </row>
    <row r="74" spans="2:22" x14ac:dyDescent="0.3">
      <c r="C74" s="479"/>
      <c r="E74" s="493"/>
      <c r="F74" s="493"/>
      <c r="G74" s="493"/>
      <c r="H74" s="493"/>
      <c r="I74" s="493"/>
      <c r="J74" s="493"/>
      <c r="K74" s="493"/>
      <c r="L74" s="493"/>
      <c r="M74" s="479"/>
      <c r="P74" s="484" t="str">
        <f>'Reference Score Calculation'!S7</f>
        <v/>
      </c>
      <c r="Q74" s="484"/>
      <c r="R74" s="484"/>
      <c r="S74" s="484"/>
      <c r="T74" s="484"/>
      <c r="U74" s="484"/>
      <c r="V74" s="484"/>
    </row>
    <row r="75" spans="2:22" x14ac:dyDescent="0.3">
      <c r="E75" s="479" t="s">
        <v>2008</v>
      </c>
      <c r="F75" s="479" t="s">
        <v>770</v>
      </c>
      <c r="G75" s="479" t="s">
        <v>1999</v>
      </c>
      <c r="H75" s="479" t="s">
        <v>2000</v>
      </c>
      <c r="I75" s="479" t="s">
        <v>2009</v>
      </c>
      <c r="J75" s="479" t="s">
        <v>2680</v>
      </c>
      <c r="K75" s="479" t="s">
        <v>3046</v>
      </c>
      <c r="L75" s="479" t="s">
        <v>3047</v>
      </c>
      <c r="M75" s="479"/>
      <c r="N75" s="479"/>
    </row>
    <row r="76" spans="2:22" x14ac:dyDescent="0.3">
      <c r="B76" s="478" t="s">
        <v>2546</v>
      </c>
      <c r="C76" s="488" t="str">
        <f>'Reference Score Calculation'!G7</f>
        <v/>
      </c>
      <c r="E76" s="488" t="str">
        <f>'Reference Score Calculation'!CP7</f>
        <v/>
      </c>
      <c r="F76" s="488" t="str">
        <f>'Reference Score Calculation'!CQ7</f>
        <v/>
      </c>
      <c r="G76" s="488" t="str">
        <f>'Reference Score Calculation'!CR7</f>
        <v/>
      </c>
      <c r="H76" s="488" t="str">
        <f>'Reference Score Calculation'!CS7</f>
        <v/>
      </c>
      <c r="I76" s="488" t="str">
        <f>'Reference Score Calculation'!CT7</f>
        <v/>
      </c>
      <c r="J76" s="488" t="str">
        <f>'Reference Score Calculation'!CU7</f>
        <v/>
      </c>
      <c r="K76" s="488" t="str">
        <f>'Reference Score Calculation'!CV7</f>
        <v/>
      </c>
      <c r="L76" s="488" t="str">
        <f>'Reference Score Calculation'!CW7</f>
        <v/>
      </c>
      <c r="M76" s="479"/>
      <c r="N76" s="480" t="s">
        <v>3039</v>
      </c>
      <c r="P76" s="484"/>
      <c r="Q76" s="484"/>
      <c r="R76" s="484"/>
      <c r="S76" s="484"/>
      <c r="T76" s="484"/>
      <c r="U76" s="484"/>
      <c r="V76" s="484"/>
    </row>
    <row r="77" spans="2:22" x14ac:dyDescent="0.3">
      <c r="C77" s="479"/>
      <c r="D77" s="490" t="s">
        <v>2006</v>
      </c>
      <c r="E77" s="491" t="str">
        <f>'Reference Score Calculation'!CH7</f>
        <v/>
      </c>
      <c r="F77" s="491" t="str">
        <f>'Reference Score Calculation'!CI7</f>
        <v/>
      </c>
      <c r="G77" s="491" t="str">
        <f>'Reference Score Calculation'!CJ7</f>
        <v/>
      </c>
      <c r="H77" s="491" t="str">
        <f>'Reference Score Calculation'!CK7</f>
        <v/>
      </c>
      <c r="I77" s="491" t="str">
        <f>'Reference Score Calculation'!CL7</f>
        <v/>
      </c>
      <c r="J77" s="491" t="str">
        <f>'Reference Score Calculation'!CM7</f>
        <v/>
      </c>
      <c r="K77" s="491" t="str">
        <f>'Reference Score Calculation'!CN7</f>
        <v/>
      </c>
      <c r="L77" s="491" t="str">
        <f>'Reference Score Calculation'!CO7</f>
        <v/>
      </c>
      <c r="P77" s="484"/>
      <c r="Q77" s="484"/>
      <c r="R77" s="484"/>
      <c r="S77" s="484"/>
      <c r="T77" s="484"/>
      <c r="U77" s="484"/>
      <c r="V77" s="484"/>
    </row>
    <row r="78" spans="2:22" x14ac:dyDescent="0.3">
      <c r="B78" s="478" t="s">
        <v>2020</v>
      </c>
      <c r="C78" s="492">
        <f>IFERROR(($C$64-C76)/C76,0)</f>
        <v>0</v>
      </c>
      <c r="E78" s="488" t="str">
        <f>'Reference Score Calculation'!CX7</f>
        <v/>
      </c>
      <c r="F78" s="488" t="str">
        <f>'Reference Score Calculation'!CY7</f>
        <v/>
      </c>
      <c r="G78" s="488" t="str">
        <f>'Reference Score Calculation'!CZ7</f>
        <v/>
      </c>
      <c r="H78" s="488" t="str">
        <f>'Reference Score Calculation'!DA7</f>
        <v/>
      </c>
      <c r="I78" s="488" t="str">
        <f>'Reference Score Calculation'!DB7</f>
        <v/>
      </c>
      <c r="J78" s="488" t="str">
        <f>'Reference Score Calculation'!DC7</f>
        <v/>
      </c>
      <c r="K78" s="488" t="str">
        <f>'Reference Score Calculation'!DD7</f>
        <v/>
      </c>
      <c r="L78" s="488" t="str">
        <f>'Reference Score Calculation'!DE7</f>
        <v/>
      </c>
    </row>
    <row r="79" spans="2:22" x14ac:dyDescent="0.3">
      <c r="E79" s="493" t="str">
        <f>'Reference Score Calculation'!DF7</f>
        <v/>
      </c>
      <c r="F79" s="493" t="str">
        <f>'Reference Score Calculation'!DG7</f>
        <v/>
      </c>
      <c r="G79" s="493" t="str">
        <f>'Reference Score Calculation'!DH7</f>
        <v/>
      </c>
      <c r="H79" s="493" t="str">
        <f>'Reference Score Calculation'!DI7</f>
        <v/>
      </c>
      <c r="I79" s="493" t="str">
        <f>'Reference Score Calculation'!DJ7</f>
        <v/>
      </c>
      <c r="J79" s="493" t="str">
        <f>'Reference Score Calculation'!DK7</f>
        <v/>
      </c>
      <c r="K79" s="493" t="str">
        <f>'Reference Score Calculation'!DL7</f>
        <v/>
      </c>
      <c r="L79" s="493" t="str">
        <f>'Reference Score Calculation'!DM7</f>
        <v/>
      </c>
      <c r="N79" s="479"/>
    </row>
    <row r="80" spans="2:22" x14ac:dyDescent="0.3">
      <c r="B80" s="480" t="str">
        <f>'Reference Score Calculation'!N9</f>
        <v/>
      </c>
      <c r="C80" s="480" t="str">
        <f>'Reference Score Calculation'!O9</f>
        <v/>
      </c>
    </row>
    <row r="81" spans="2:22" x14ac:dyDescent="0.3">
      <c r="B81" s="480"/>
      <c r="C81" s="480"/>
      <c r="D81" s="479"/>
      <c r="E81" s="479" t="s">
        <v>2008</v>
      </c>
      <c r="F81" s="479" t="s">
        <v>770</v>
      </c>
      <c r="G81" s="479" t="s">
        <v>1999</v>
      </c>
      <c r="H81" s="479" t="s">
        <v>2000</v>
      </c>
      <c r="I81" s="479" t="s">
        <v>2009</v>
      </c>
      <c r="J81" s="479" t="str">
        <f>IF(計分版!N$1="請選擇第一選修科","無",計分版!N$1)</f>
        <v>無</v>
      </c>
      <c r="K81" s="479" t="str">
        <f>IF(計分版!O$1="請選擇第二選修科","無",計分版!O$1)</f>
        <v>無</v>
      </c>
      <c r="L81" s="479" t="str">
        <f>IF(計分版!P$1="請選擇第三選修科","無",計分版!P$1)</f>
        <v>無</v>
      </c>
      <c r="M81" s="479" t="str">
        <f>IF(計分版!Q$1="請選擇第四選修科","無",計分版!Q$1)</f>
        <v>無</v>
      </c>
      <c r="N81" s="479" t="str">
        <f>IF(計分版!R$1="請選擇語言科目","無",計分版!R$1)</f>
        <v>無</v>
      </c>
    </row>
    <row r="82" spans="2:22" x14ac:dyDescent="0.3">
      <c r="B82" s="487" t="str">
        <f>IF(D5="PolyU","你的分數","")</f>
        <v/>
      </c>
      <c r="C82" s="481" t="str">
        <f>IF(D5="PolyU",計分版!H26,"")</f>
        <v/>
      </c>
      <c r="D82" s="479"/>
      <c r="E82" s="488" t="str">
        <f>IF($D$5="PolyU",計分版!I29,"")</f>
        <v/>
      </c>
      <c r="F82" s="488" t="str">
        <f>IF($D$5="PolyU",計分版!J29,"")</f>
        <v/>
      </c>
      <c r="G82" s="488" t="str">
        <f>IF($D$5="PolyU",計分版!K29,"")</f>
        <v/>
      </c>
      <c r="H82" s="488" t="str">
        <f>IF($D$5="PolyU",計分版!L29,"")</f>
        <v/>
      </c>
      <c r="I82" s="488" t="str">
        <f>IF($D$5="PolyU",計分版!M29,"")</f>
        <v/>
      </c>
      <c r="J82" s="488" t="str">
        <f>IF($D$5="PolyU",計分版!N29,"")</f>
        <v/>
      </c>
      <c r="K82" s="488" t="str">
        <f>IF($D$5="PolyU",計分版!O29,"")</f>
        <v/>
      </c>
      <c r="L82" s="488" t="str">
        <f>IF($D$5="PolyU",計分版!P29,"")</f>
        <v/>
      </c>
      <c r="M82" s="488" t="str">
        <f>IF($D$5="PolyU",計分版!Q29,"")</f>
        <v/>
      </c>
      <c r="N82" s="488" t="str">
        <f>IF($D$5="PolyU",計分版!R29,"")</f>
        <v/>
      </c>
    </row>
    <row r="83" spans="2:22" x14ac:dyDescent="0.3">
      <c r="D83" s="490" t="s">
        <v>2006</v>
      </c>
      <c r="E83" s="491" t="str">
        <f>IF($D$5="PolyU",計分版!I26,"")</f>
        <v/>
      </c>
      <c r="F83" s="491" t="str">
        <f>IF($D$5="PolyU",計分版!J26,"")</f>
        <v/>
      </c>
      <c r="G83" s="491" t="str">
        <f>IF($D$5="PolyU",計分版!K26,"")</f>
        <v/>
      </c>
      <c r="H83" s="491" t="str">
        <f>IF($D$5="PolyU",計分版!L26,"")</f>
        <v/>
      </c>
      <c r="I83" s="491" t="str">
        <f>IF($D$5="PolyU",計分版!M26,"")</f>
        <v/>
      </c>
      <c r="J83" s="491" t="str">
        <f>IF($D$5="PolyU",計分版!N26,"")</f>
        <v/>
      </c>
      <c r="K83" s="491" t="str">
        <f>IF($D$5="PolyU",計分版!O26,"")</f>
        <v/>
      </c>
      <c r="L83" s="491" t="str">
        <f>IF($D$5="PolyU",計分版!P26,"")</f>
        <v/>
      </c>
      <c r="M83" s="491" t="str">
        <f>IF($D$5="PolyU",計分版!Q26,"")</f>
        <v/>
      </c>
      <c r="N83" s="491" t="str">
        <f>IF($D$5="PolyU",計分版!R26,"")</f>
        <v/>
      </c>
    </row>
    <row r="84" spans="2:22" x14ac:dyDescent="0.3">
      <c r="E84" s="488" t="str">
        <f>IF($D$5="PolyU",IF(計分版!T26&lt;0.1,0,計分版!T26),"")</f>
        <v/>
      </c>
      <c r="F84" s="488" t="str">
        <f>IF($D$5="PolyU",IF(計分版!U26&lt;0.1,0,計分版!U26),"")</f>
        <v/>
      </c>
      <c r="G84" s="488" t="str">
        <f>IF($D$5="PolyU",IF(計分版!V26&lt;0.1,0,計分版!V26),"")</f>
        <v/>
      </c>
      <c r="H84" s="488" t="str">
        <f>IF($D$5="PolyU",IF(計分版!W26&lt;0.1,0,計分版!W26),"")</f>
        <v/>
      </c>
      <c r="I84" s="488" t="str">
        <f>IF($D$5="PolyU",IF(計分版!X26&lt;0.1,0,計分版!X26),"")</f>
        <v/>
      </c>
      <c r="J84" s="488" t="str">
        <f>IF($D$5="PolyU",IF(計分版!Y26&lt;0.1,0,計分版!Y26),"")</f>
        <v/>
      </c>
      <c r="K84" s="488" t="str">
        <f>IF($D$5="PolyU",IF(計分版!Z26&lt;0.1,0,計分版!Z26),"")</f>
        <v/>
      </c>
      <c r="L84" s="488" t="str">
        <f>IF($D$5="PolyU",IF(計分版!AA26&lt;0.1,0,計分版!AA26),"")</f>
        <v/>
      </c>
      <c r="M84" s="488" t="str">
        <f>IF($D$5="PolyU",IF(計分版!AB26&lt;0.1,0,計分版!AB26),"")</f>
        <v/>
      </c>
      <c r="N84" s="488" t="str">
        <f>IF($D$5="PolyU",IF(計分版!AC26&lt;0.1,0,計分版!AC26),"")</f>
        <v/>
      </c>
    </row>
    <row r="85" spans="2:22" x14ac:dyDescent="0.3">
      <c r="E85" s="493" t="str">
        <f>IF($D$5="PolyU",計分版!AD26,"")</f>
        <v/>
      </c>
      <c r="F85" s="493" t="str">
        <f>IF($D$5="PolyU",計分版!AE26,"")</f>
        <v/>
      </c>
      <c r="G85" s="493" t="str">
        <f>IF($D$5="PolyU",計分版!AF26,"")</f>
        <v/>
      </c>
      <c r="H85" s="493" t="str">
        <f>IF($D$5="PolyU",計分版!AG26,"")</f>
        <v/>
      </c>
      <c r="I85" s="493" t="str">
        <f>IF($D$5="PolyU",計分版!AH26,"")</f>
        <v/>
      </c>
      <c r="J85" s="493" t="str">
        <f>IF($D$5="PolyU",計分版!AI26,"")</f>
        <v/>
      </c>
      <c r="K85" s="493" t="str">
        <f>IF($D$5="PolyU",計分版!AJ26,"")</f>
        <v/>
      </c>
      <c r="L85" s="493" t="str">
        <f>IF($D$5="PolyU",計分版!AK26,"")</f>
        <v/>
      </c>
      <c r="M85" s="493" t="str">
        <f>IF($D$5="PolyU",計分版!AL26,"")</f>
        <v/>
      </c>
      <c r="N85" s="493" t="str">
        <f>IF($D$5="PolyU",計分版!AM26,"")</f>
        <v/>
      </c>
    </row>
    <row r="86" spans="2:22" x14ac:dyDescent="0.3">
      <c r="N86" s="479"/>
    </row>
    <row r="87" spans="2:22" x14ac:dyDescent="0.3">
      <c r="E87" s="478" t="s">
        <v>2008</v>
      </c>
      <c r="F87" s="478" t="s">
        <v>770</v>
      </c>
      <c r="G87" s="478" t="s">
        <v>1999</v>
      </c>
      <c r="H87" s="478" t="s">
        <v>2000</v>
      </c>
      <c r="I87" s="478" t="s">
        <v>2009</v>
      </c>
      <c r="J87" s="478" t="s">
        <v>2001</v>
      </c>
      <c r="K87" s="478" t="s">
        <v>2002</v>
      </c>
      <c r="L87" s="478" t="s">
        <v>2681</v>
      </c>
      <c r="N87" s="479"/>
    </row>
    <row r="88" spans="2:22" x14ac:dyDescent="0.3">
      <c r="B88" s="478" t="s">
        <v>2547</v>
      </c>
      <c r="C88" s="488" t="str">
        <f>'Reference Score Calculation'!H9</f>
        <v/>
      </c>
      <c r="E88" s="488" t="str">
        <f>'Reference Score Calculation'!BJ9</f>
        <v/>
      </c>
      <c r="F88" s="488" t="str">
        <f>'Reference Score Calculation'!BK9</f>
        <v/>
      </c>
      <c r="G88" s="488" t="str">
        <f>'Reference Score Calculation'!BL9</f>
        <v/>
      </c>
      <c r="H88" s="488" t="str">
        <f>'Reference Score Calculation'!BM9</f>
        <v/>
      </c>
      <c r="I88" s="488" t="str">
        <f>'Reference Score Calculation'!BN9</f>
        <v/>
      </c>
      <c r="J88" s="488" t="str">
        <f>'Reference Score Calculation'!BO9</f>
        <v/>
      </c>
      <c r="K88" s="488" t="str">
        <f>'Reference Score Calculation'!BP9</f>
        <v/>
      </c>
      <c r="L88" s="488" t="str">
        <f>'Reference Score Calculation'!BQ9</f>
        <v/>
      </c>
      <c r="N88" s="480" t="s">
        <v>2861</v>
      </c>
      <c r="P88" s="484" t="str">
        <f>'Reference Score Calculation'!P9</f>
        <v/>
      </c>
      <c r="Q88" s="484"/>
    </row>
    <row r="89" spans="2:22" x14ac:dyDescent="0.3">
      <c r="D89" s="490" t="s">
        <v>2006</v>
      </c>
      <c r="E89" s="491" t="str">
        <f>'Reference Score Calculation'!BB9</f>
        <v/>
      </c>
      <c r="F89" s="491" t="str">
        <f>'Reference Score Calculation'!BC9</f>
        <v/>
      </c>
      <c r="G89" s="491" t="str">
        <f>'Reference Score Calculation'!BD9</f>
        <v/>
      </c>
      <c r="H89" s="491" t="str">
        <f>'Reference Score Calculation'!BE9</f>
        <v/>
      </c>
      <c r="I89" s="491" t="str">
        <f>'Reference Score Calculation'!BF9</f>
        <v/>
      </c>
      <c r="J89" s="491" t="str">
        <f>'Reference Score Calculation'!BG9</f>
        <v/>
      </c>
      <c r="K89" s="491" t="str">
        <f>'Reference Score Calculation'!BH9</f>
        <v/>
      </c>
      <c r="L89" s="491" t="str">
        <f>'Reference Score Calculation'!BI9</f>
        <v/>
      </c>
    </row>
    <row r="90" spans="2:22" x14ac:dyDescent="0.3">
      <c r="B90" s="478" t="s">
        <v>2020</v>
      </c>
      <c r="C90" s="492">
        <f>IFERROR(($C$82-C88)/C88,0)</f>
        <v>0</v>
      </c>
      <c r="E90" s="488" t="str">
        <f>'Reference Score Calculation'!BR9</f>
        <v/>
      </c>
      <c r="F90" s="488" t="str">
        <f>'Reference Score Calculation'!BS9</f>
        <v/>
      </c>
      <c r="G90" s="488" t="str">
        <f>'Reference Score Calculation'!BT9</f>
        <v/>
      </c>
      <c r="H90" s="488" t="str">
        <f>'Reference Score Calculation'!BU9</f>
        <v/>
      </c>
      <c r="I90" s="488" t="str">
        <f>'Reference Score Calculation'!BV9</f>
        <v/>
      </c>
      <c r="J90" s="488" t="str">
        <f>'Reference Score Calculation'!BW9</f>
        <v/>
      </c>
      <c r="K90" s="488" t="str">
        <f>'Reference Score Calculation'!BX9</f>
        <v/>
      </c>
      <c r="L90" s="488" t="str">
        <f>'Reference Score Calculation'!BY9</f>
        <v/>
      </c>
      <c r="N90" s="480" t="s">
        <v>2860</v>
      </c>
      <c r="P90" s="484" t="str">
        <f>'Reference Score Calculation'!Q9</f>
        <v/>
      </c>
      <c r="Q90" s="484"/>
      <c r="R90" s="484"/>
      <c r="S90" s="484"/>
      <c r="T90" s="484"/>
      <c r="U90" s="484"/>
      <c r="V90" s="484"/>
    </row>
    <row r="91" spans="2:22" x14ac:dyDescent="0.3">
      <c r="C91" s="479"/>
      <c r="D91" s="493" t="b">
        <f>'Reference Score Calculation'!DF24</f>
        <v>1</v>
      </c>
      <c r="E91" s="493" t="str">
        <f>'Reference Score Calculation'!BZ9</f>
        <v/>
      </c>
      <c r="F91" s="493" t="str">
        <f>'Reference Score Calculation'!CA9</f>
        <v/>
      </c>
      <c r="G91" s="493" t="str">
        <f>'Reference Score Calculation'!CB9</f>
        <v/>
      </c>
      <c r="H91" s="493" t="str">
        <f>'Reference Score Calculation'!CC9</f>
        <v/>
      </c>
      <c r="I91" s="493" t="str">
        <f>'Reference Score Calculation'!CD9</f>
        <v/>
      </c>
      <c r="J91" s="493" t="str">
        <f>'Reference Score Calculation'!CE9</f>
        <v/>
      </c>
      <c r="K91" s="493" t="str">
        <f>'Reference Score Calculation'!CF9</f>
        <v/>
      </c>
      <c r="L91" s="493" t="str">
        <f>'Reference Score Calculation'!CG9</f>
        <v/>
      </c>
      <c r="P91" s="484" t="str">
        <f>'Reference Score Calculation'!R9</f>
        <v/>
      </c>
      <c r="Q91" s="484"/>
      <c r="R91" s="484"/>
      <c r="S91" s="484"/>
      <c r="T91" s="484"/>
      <c r="U91" s="484"/>
      <c r="V91" s="484"/>
    </row>
    <row r="92" spans="2:22" x14ac:dyDescent="0.3">
      <c r="C92" s="479"/>
      <c r="D92" s="493"/>
      <c r="E92" s="493"/>
      <c r="F92" s="493"/>
      <c r="G92" s="493"/>
      <c r="H92" s="493"/>
      <c r="I92" s="493"/>
      <c r="J92" s="493"/>
      <c r="K92" s="493"/>
      <c r="L92" s="493"/>
      <c r="P92" s="484" t="str">
        <f>'Reference Score Calculation'!S9</f>
        <v/>
      </c>
      <c r="Q92" s="484"/>
      <c r="R92" s="484"/>
      <c r="S92" s="484"/>
      <c r="T92" s="484"/>
      <c r="U92" s="484"/>
      <c r="V92" s="484"/>
    </row>
    <row r="93" spans="2:22" x14ac:dyDescent="0.3">
      <c r="C93" s="479"/>
      <c r="D93" s="479"/>
      <c r="E93" s="479" t="s">
        <v>2008</v>
      </c>
      <c r="F93" s="479" t="s">
        <v>770</v>
      </c>
      <c r="G93" s="479" t="s">
        <v>1999</v>
      </c>
      <c r="H93" s="479" t="s">
        <v>2000</v>
      </c>
      <c r="I93" s="479" t="s">
        <v>2009</v>
      </c>
      <c r="J93" s="479" t="s">
        <v>2001</v>
      </c>
      <c r="K93" s="479" t="s">
        <v>2002</v>
      </c>
      <c r="L93" s="478" t="s">
        <v>2681</v>
      </c>
      <c r="N93" s="479"/>
    </row>
    <row r="94" spans="2:22" x14ac:dyDescent="0.3">
      <c r="B94" s="478" t="s">
        <v>2546</v>
      </c>
      <c r="C94" s="488" t="str">
        <f>'Reference Score Calculation'!G9</f>
        <v/>
      </c>
      <c r="D94" s="479"/>
      <c r="E94" s="488" t="str">
        <f>'Reference Score Calculation'!CP9</f>
        <v/>
      </c>
      <c r="F94" s="488" t="str">
        <f>'Reference Score Calculation'!CQ9</f>
        <v/>
      </c>
      <c r="G94" s="488" t="str">
        <f>'Reference Score Calculation'!CR9</f>
        <v/>
      </c>
      <c r="H94" s="488" t="str">
        <f>'Reference Score Calculation'!CS9</f>
        <v/>
      </c>
      <c r="I94" s="488" t="str">
        <f>'Reference Score Calculation'!CT9</f>
        <v/>
      </c>
      <c r="J94" s="488" t="str">
        <f>'Reference Score Calculation'!CU9</f>
        <v/>
      </c>
      <c r="K94" s="488" t="str">
        <f>'Reference Score Calculation'!CV9</f>
        <v/>
      </c>
      <c r="L94" s="488" t="str">
        <f>'Reference Score Calculation'!CW9</f>
        <v/>
      </c>
      <c r="N94" s="480" t="s">
        <v>3039</v>
      </c>
      <c r="P94" s="484"/>
      <c r="Q94" s="484"/>
      <c r="R94" s="484"/>
      <c r="S94" s="484"/>
      <c r="T94" s="484"/>
      <c r="U94" s="484"/>
      <c r="V94" s="484"/>
    </row>
    <row r="95" spans="2:22" x14ac:dyDescent="0.3">
      <c r="D95" s="490" t="s">
        <v>2006</v>
      </c>
      <c r="E95" s="491" t="str">
        <f>'Reference Score Calculation'!CH9</f>
        <v/>
      </c>
      <c r="F95" s="491" t="str">
        <f>'Reference Score Calculation'!CI9</f>
        <v/>
      </c>
      <c r="G95" s="491" t="str">
        <f>'Reference Score Calculation'!CJ9</f>
        <v/>
      </c>
      <c r="H95" s="491" t="str">
        <f>'Reference Score Calculation'!CK9</f>
        <v/>
      </c>
      <c r="I95" s="491" t="str">
        <f>'Reference Score Calculation'!CL9</f>
        <v/>
      </c>
      <c r="J95" s="491" t="str">
        <f>'Reference Score Calculation'!CM9</f>
        <v/>
      </c>
      <c r="K95" s="491" t="str">
        <f>'Reference Score Calculation'!CN9</f>
        <v/>
      </c>
      <c r="L95" s="491" t="str">
        <f>'Reference Score Calculation'!CO9</f>
        <v/>
      </c>
      <c r="P95" s="484"/>
      <c r="Q95" s="484"/>
      <c r="R95" s="484"/>
      <c r="S95" s="484"/>
      <c r="T95" s="484"/>
      <c r="U95" s="484"/>
      <c r="V95" s="484"/>
    </row>
    <row r="96" spans="2:22" x14ac:dyDescent="0.3">
      <c r="B96" s="478" t="s">
        <v>2020</v>
      </c>
      <c r="C96" s="492">
        <f>IFERROR(($C$82-C94)/C94,0)</f>
        <v>0</v>
      </c>
      <c r="D96" s="479"/>
      <c r="E96" s="488" t="str">
        <f>'Reference Score Calculation'!CX9</f>
        <v/>
      </c>
      <c r="F96" s="488" t="str">
        <f>'Reference Score Calculation'!CY9</f>
        <v/>
      </c>
      <c r="G96" s="488" t="str">
        <f>'Reference Score Calculation'!CZ9</f>
        <v/>
      </c>
      <c r="H96" s="488" t="str">
        <f>'Reference Score Calculation'!DA9</f>
        <v/>
      </c>
      <c r="I96" s="488" t="str">
        <f>'Reference Score Calculation'!DB9</f>
        <v/>
      </c>
      <c r="J96" s="488" t="str">
        <f>'Reference Score Calculation'!DC9</f>
        <v/>
      </c>
      <c r="K96" s="488" t="str">
        <f>'Reference Score Calculation'!DD9</f>
        <v/>
      </c>
      <c r="L96" s="488" t="str">
        <f>'Reference Score Calculation'!DE9</f>
        <v/>
      </c>
    </row>
    <row r="97" spans="3:14" x14ac:dyDescent="0.3">
      <c r="C97" s="479"/>
      <c r="D97" s="493" t="str">
        <f>'Reference Score Calculation'!EL24</f>
        <v>/</v>
      </c>
      <c r="E97" s="493" t="str">
        <f>'Reference Score Calculation'!DF9</f>
        <v/>
      </c>
      <c r="F97" s="493" t="str">
        <f>'Reference Score Calculation'!DG9</f>
        <v/>
      </c>
      <c r="G97" s="493" t="str">
        <f>'Reference Score Calculation'!DH9</f>
        <v/>
      </c>
      <c r="H97" s="493" t="str">
        <f>'Reference Score Calculation'!DI9</f>
        <v/>
      </c>
      <c r="I97" s="493" t="str">
        <f>'Reference Score Calculation'!DJ9</f>
        <v/>
      </c>
      <c r="J97" s="493" t="str">
        <f>'Reference Score Calculation'!DK9</f>
        <v/>
      </c>
      <c r="K97" s="493" t="str">
        <f>'Reference Score Calculation'!DL9</f>
        <v/>
      </c>
      <c r="L97" s="493" t="str">
        <f>'Reference Score Calculation'!DM9</f>
        <v/>
      </c>
    </row>
    <row r="98" spans="3:14" x14ac:dyDescent="0.3">
      <c r="N98" s="479"/>
    </row>
    <row r="99" spans="3:14" x14ac:dyDescent="0.3">
      <c r="C99" s="479"/>
      <c r="D99" s="479"/>
      <c r="E99" s="479"/>
      <c r="F99" s="479"/>
      <c r="G99" s="479"/>
      <c r="H99" s="479"/>
      <c r="I99" s="479"/>
      <c r="J99" s="479"/>
      <c r="K99" s="479"/>
      <c r="N99" s="479"/>
    </row>
    <row r="100" spans="3:14" x14ac:dyDescent="0.3">
      <c r="C100" s="479"/>
      <c r="D100" s="479"/>
      <c r="E100" s="479"/>
      <c r="F100" s="479"/>
      <c r="G100" s="479"/>
      <c r="H100" s="479"/>
      <c r="I100" s="479"/>
      <c r="J100" s="479"/>
      <c r="K100" s="479"/>
      <c r="N100" s="479"/>
    </row>
    <row r="101" spans="3:14" x14ac:dyDescent="0.3">
      <c r="C101" s="479"/>
      <c r="D101" s="479"/>
      <c r="E101" s="479"/>
      <c r="F101" s="479"/>
      <c r="G101" s="479"/>
      <c r="H101" s="479"/>
      <c r="I101" s="479"/>
      <c r="J101" s="479"/>
      <c r="K101" s="479"/>
    </row>
    <row r="102" spans="3:14" x14ac:dyDescent="0.3">
      <c r="C102" s="479"/>
      <c r="D102" s="493"/>
      <c r="E102" s="493"/>
      <c r="F102" s="493"/>
      <c r="G102" s="493"/>
      <c r="H102" s="493"/>
      <c r="I102" s="493"/>
      <c r="J102" s="493"/>
      <c r="K102" s="493"/>
    </row>
  </sheetData>
  <sheetProtection selectLockedCells="1"/>
  <phoneticPr fontId="2" type="noConversion"/>
  <conditionalFormatting sqref="E54:L54 E60:L60 E66:L66">
    <cfRule type="expression" dxfId="371" priority="57">
      <formula>E55</formula>
    </cfRule>
  </conditionalFormatting>
  <conditionalFormatting sqref="E66:N66">
    <cfRule type="expression" dxfId="370" priority="56">
      <formula>E67</formula>
    </cfRule>
  </conditionalFormatting>
  <conditionalFormatting sqref="E72:L72">
    <cfRule type="expression" dxfId="369" priority="34">
      <formula>E73</formula>
    </cfRule>
  </conditionalFormatting>
  <conditionalFormatting sqref="E90:L90">
    <cfRule type="expression" dxfId="368" priority="32">
      <formula>E91</formula>
    </cfRule>
  </conditionalFormatting>
  <conditionalFormatting sqref="E96:L96">
    <cfRule type="expression" dxfId="367" priority="33">
      <formula>E97</formula>
    </cfRule>
  </conditionalFormatting>
  <conditionalFormatting sqref="D101:K101">
    <cfRule type="expression" dxfId="366" priority="30">
      <formula>D102</formula>
    </cfRule>
  </conditionalFormatting>
  <conditionalFormatting sqref="E78:L78">
    <cfRule type="expression" dxfId="365" priority="28">
      <formula>E79</formula>
    </cfRule>
  </conditionalFormatting>
  <conditionalFormatting sqref="M51:W67 B69:W71 B73:W77 B72 D72:W72 B79:W89 B78 D78:W78 B91:W95 B90 D90:W90 B97:W98 B96 D96:W96">
    <cfRule type="expression" dxfId="364" priority="25">
      <formula>$D$5&lt;&gt;"PolyU"</formula>
    </cfRule>
  </conditionalFormatting>
  <conditionalFormatting sqref="E84:N84">
    <cfRule type="expression" dxfId="363" priority="24">
      <formula>E85</formula>
    </cfRule>
  </conditionalFormatting>
  <conditionalFormatting sqref="B63:L67">
    <cfRule type="expression" dxfId="362" priority="19">
      <formula>IF($D$5="PolyU",FALSE,IF(OR($D$5="CUHK",$D$5="HKU"),FALSE,TRUE))</formula>
    </cfRule>
  </conditionalFormatting>
  <conditionalFormatting sqref="B81:V89 B91:V95 B90 D90:V90 B97:V97 B96 D96:V96">
    <cfRule type="expression" dxfId="361" priority="22">
      <formula>$C$82=""</formula>
    </cfRule>
  </conditionalFormatting>
  <conditionalFormatting sqref="B62:V71 B73:V77 B72 D72:V72 B79:V79 B78 D78:V78">
    <cfRule type="expression" dxfId="360" priority="17">
      <formula>$C$64=""</formula>
    </cfRule>
  </conditionalFormatting>
  <conditionalFormatting sqref="C54 C60 C66">
    <cfRule type="cellIs" dxfId="359" priority="21" operator="lessThan">
      <formula>0</formula>
    </cfRule>
    <cfRule type="cellIs" dxfId="358" priority="23" operator="greaterThan">
      <formula>0</formula>
    </cfRule>
  </conditionalFormatting>
  <conditionalFormatting sqref="B57:N61">
    <cfRule type="expression" dxfId="357" priority="16">
      <formula>$C$58=""</formula>
    </cfRule>
  </conditionalFormatting>
  <conditionalFormatting sqref="B50:N56">
    <cfRule type="expression" dxfId="356" priority="15">
      <formula>$C$52=""</formula>
    </cfRule>
  </conditionalFormatting>
  <conditionalFormatting sqref="I7:I8">
    <cfRule type="expression" dxfId="355" priority="14">
      <formula>OR($D$5="SSSDP",$D$5="LingU",$D$5="EdUHK",$D$5="HKMU")</formula>
    </cfRule>
  </conditionalFormatting>
  <conditionalFormatting sqref="C72">
    <cfRule type="cellIs" dxfId="354" priority="12" operator="lessThan">
      <formula>0</formula>
    </cfRule>
    <cfRule type="cellIs" dxfId="353" priority="13" operator="greaterThan">
      <formula>0</formula>
    </cfRule>
  </conditionalFormatting>
  <conditionalFormatting sqref="C72">
    <cfRule type="expression" dxfId="352" priority="11">
      <formula>$C$70=""</formula>
    </cfRule>
  </conditionalFormatting>
  <conditionalFormatting sqref="C78">
    <cfRule type="cellIs" dxfId="351" priority="9" operator="lessThan">
      <formula>0</formula>
    </cfRule>
    <cfRule type="cellIs" dxfId="350" priority="10" operator="greaterThan">
      <formula>0</formula>
    </cfRule>
  </conditionalFormatting>
  <conditionalFormatting sqref="C78">
    <cfRule type="expression" dxfId="349" priority="8">
      <formula>$C$76=""</formula>
    </cfRule>
  </conditionalFormatting>
  <conditionalFormatting sqref="C90">
    <cfRule type="cellIs" dxfId="348" priority="6" operator="lessThan">
      <formula>0</formula>
    </cfRule>
    <cfRule type="cellIs" dxfId="347" priority="7" operator="greaterThan">
      <formula>0</formula>
    </cfRule>
  </conditionalFormatting>
  <conditionalFormatting sqref="C90">
    <cfRule type="expression" dxfId="346" priority="5">
      <formula>$C$88=""</formula>
    </cfRule>
  </conditionalFormatting>
  <conditionalFormatting sqref="C96">
    <cfRule type="cellIs" dxfId="345" priority="3" operator="lessThan">
      <formula>0</formula>
    </cfRule>
    <cfRule type="cellIs" dxfId="344" priority="4" operator="greaterThan">
      <formula>0</formula>
    </cfRule>
  </conditionalFormatting>
  <conditionalFormatting sqref="C96">
    <cfRule type="expression" dxfId="343" priority="2">
      <formula>$C$94=""</formula>
    </cfRule>
  </conditionalFormatting>
  <conditionalFormatting sqref="C66">
    <cfRule type="expression" dxfId="342" priority="1">
      <formula>$D$5="PolyU"</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76" id="{86653BAB-20F3-449A-B9F8-D656B9FFF80D}">
            <xm:f>入學要求!$K$18=0</xm:f>
            <x14:dxf>
              <font>
                <color rgb="FF9C0006"/>
              </font>
              <fill>
                <patternFill>
                  <bgColor rgb="FFFFC7CE"/>
                </patternFill>
              </fill>
            </x14:dxf>
          </x14:cfRule>
          <x14:cfRule type="expression" priority="77" id="{070C1F05-6657-4B85-B24D-62CAA389D1E1}">
            <xm:f>入學要求!$K$18=2</xm:f>
            <x14:dxf>
              <font>
                <color rgb="FF9C5700"/>
              </font>
              <fill>
                <patternFill>
                  <bgColor rgb="FFFFEB9C"/>
                </patternFill>
              </fill>
            </x14:dxf>
          </x14:cfRule>
          <x14:cfRule type="expression" priority="78" id="{C68A847E-030E-483F-ABF6-6BFDAA020694}">
            <xm:f>入學要求!$K$18=1</xm:f>
            <x14:dxf>
              <font>
                <color rgb="FF006100"/>
              </font>
              <fill>
                <patternFill>
                  <bgColor rgb="FFC6EFCE"/>
                </patternFill>
              </fill>
            </x14:dxf>
          </x14:cfRule>
          <xm:sqref>D8</xm:sqref>
        </x14:conditionalFormatting>
        <x14:conditionalFormatting xmlns:xm="http://schemas.microsoft.com/office/excel/2006/main">
          <x14:cfRule type="expression" priority="73" id="{1CB9E39F-6654-4BB8-AB6A-E563B06AC0EF}">
            <xm:f>入學要求!$L$18=0</xm:f>
            <x14:dxf>
              <font>
                <color rgb="FF9C0006"/>
              </font>
              <fill>
                <patternFill>
                  <bgColor rgb="FFFFC7CE"/>
                </patternFill>
              </fill>
            </x14:dxf>
          </x14:cfRule>
          <x14:cfRule type="expression" priority="74" id="{A1CE3C34-A4C0-44A6-B734-8E9B59F0C6FB}">
            <xm:f>入學要求!$L$18=2</xm:f>
            <x14:dxf>
              <font>
                <color rgb="FF9C5700"/>
              </font>
              <fill>
                <patternFill>
                  <bgColor rgb="FFFFEB9C"/>
                </patternFill>
              </fill>
            </x14:dxf>
          </x14:cfRule>
          <x14:cfRule type="expression" priority="75" id="{88F54AB1-D35A-4C58-A97D-5CAF90AFF272}">
            <xm:f>入學要求!$L$18=1</xm:f>
            <x14:dxf>
              <font>
                <color rgb="FF006100"/>
              </font>
              <fill>
                <patternFill>
                  <bgColor rgb="FFC6EFCE"/>
                </patternFill>
              </fill>
            </x14:dxf>
          </x14:cfRule>
          <xm:sqref>E8</xm:sqref>
        </x14:conditionalFormatting>
        <x14:conditionalFormatting xmlns:xm="http://schemas.microsoft.com/office/excel/2006/main">
          <x14:cfRule type="expression" priority="70" id="{F3AFCBFC-D0DA-4E46-82E6-AD703BB34D57}">
            <xm:f>入學要求!$M$18=0</xm:f>
            <x14:dxf>
              <font>
                <color rgb="FF9C0006"/>
              </font>
              <fill>
                <patternFill>
                  <bgColor rgb="FFFFC7CE"/>
                </patternFill>
              </fill>
            </x14:dxf>
          </x14:cfRule>
          <x14:cfRule type="expression" priority="71" id="{240152D7-58E9-4F4B-B49B-1C1F9206AB84}">
            <xm:f>入學要求!$M$18=2</xm:f>
            <x14:dxf>
              <font>
                <color rgb="FF9C5700"/>
              </font>
              <fill>
                <patternFill>
                  <bgColor rgb="FFFFEB9C"/>
                </patternFill>
              </fill>
            </x14:dxf>
          </x14:cfRule>
          <x14:cfRule type="expression" priority="72" id="{4ED92262-35CE-4F47-B326-364A37E08BA4}">
            <xm:f>入學要求!$M$18=1</xm:f>
            <x14:dxf>
              <font>
                <color rgb="FF006100"/>
              </font>
              <fill>
                <patternFill>
                  <bgColor rgb="FFC6EFCE"/>
                </patternFill>
              </fill>
            </x14:dxf>
          </x14:cfRule>
          <xm:sqref>F8</xm:sqref>
        </x14:conditionalFormatting>
        <x14:conditionalFormatting xmlns:xm="http://schemas.microsoft.com/office/excel/2006/main">
          <x14:cfRule type="expression" priority="67" id="{A1F438EA-84FC-47DB-B3A6-77D1380E62CD}">
            <xm:f>入學要求!$N$18=0</xm:f>
            <x14:dxf>
              <font>
                <color rgb="FF9C0006"/>
              </font>
              <fill>
                <patternFill>
                  <bgColor rgb="FFFFC7CE"/>
                </patternFill>
              </fill>
            </x14:dxf>
          </x14:cfRule>
          <x14:cfRule type="expression" priority="68" id="{45342687-B2C4-4A68-8F2A-550F2DB52519}">
            <xm:f>入學要求!$N$18=2</xm:f>
            <x14:dxf>
              <font>
                <color rgb="FF9C5700"/>
              </font>
              <fill>
                <patternFill>
                  <bgColor rgb="FFFFEB9C"/>
                </patternFill>
              </fill>
            </x14:dxf>
          </x14:cfRule>
          <x14:cfRule type="expression" priority="69" id="{12FE55E0-CA82-4E53-B2BD-7D27197FF798}">
            <xm:f>入學要求!$N$18=1</xm:f>
            <x14:dxf>
              <font>
                <color rgb="FF006100"/>
              </font>
              <fill>
                <patternFill>
                  <bgColor rgb="FFC6EFCE"/>
                </patternFill>
              </fill>
            </x14:dxf>
          </x14:cfRule>
          <xm:sqref>G8</xm:sqref>
        </x14:conditionalFormatting>
        <x14:conditionalFormatting xmlns:xm="http://schemas.microsoft.com/office/excel/2006/main">
          <x14:cfRule type="expression" priority="64" id="{2918149A-2E63-4760-A01D-ADAEC33D2B5C}">
            <xm:f>入學要求!$O$18=0</xm:f>
            <x14:dxf>
              <font>
                <color rgb="FF9C0006"/>
              </font>
              <fill>
                <patternFill>
                  <bgColor rgb="FFFFC7CE"/>
                </patternFill>
              </fill>
            </x14:dxf>
          </x14:cfRule>
          <x14:cfRule type="expression" priority="65" id="{0581C344-1641-4289-A227-E592B329DFDA}">
            <xm:f>入學要求!$O$18=2</xm:f>
            <x14:dxf>
              <font>
                <color rgb="FF9C5700"/>
              </font>
              <fill>
                <patternFill>
                  <bgColor rgb="FFFFEB9C"/>
                </patternFill>
              </fill>
            </x14:dxf>
          </x14:cfRule>
          <x14:cfRule type="expression" priority="66" id="{CD76A91B-7F74-4841-AD69-57B72EF5F707}">
            <xm:f>入學要求!$O$18=1</xm:f>
            <x14:dxf>
              <font>
                <color rgb="FF006100"/>
              </font>
              <fill>
                <patternFill>
                  <bgColor rgb="FFC6EFCE"/>
                </patternFill>
              </fill>
            </x14:dxf>
          </x14:cfRule>
          <xm:sqref>H8</xm:sqref>
        </x14:conditionalFormatting>
        <x14:conditionalFormatting xmlns:xm="http://schemas.microsoft.com/office/excel/2006/main">
          <x14:cfRule type="expression" priority="61" id="{8CCACE6A-5044-416D-99C0-509B6A15ACD2}">
            <xm:f>入學要求!$P$18=0</xm:f>
            <x14:dxf>
              <font>
                <color rgb="FF9C0006"/>
              </font>
              <fill>
                <patternFill>
                  <bgColor rgb="FFFFC7CE"/>
                </patternFill>
              </fill>
            </x14:dxf>
          </x14:cfRule>
          <x14:cfRule type="expression" priority="62" id="{73D082A2-16E8-4E6C-9607-BC2C3AB33AA2}">
            <xm:f>入學要求!$P$18=2</xm:f>
            <x14:dxf>
              <font>
                <color rgb="FF9C5700"/>
              </font>
              <fill>
                <patternFill>
                  <bgColor rgb="FFFFEB9C"/>
                </patternFill>
              </fill>
            </x14:dxf>
          </x14:cfRule>
          <x14:cfRule type="expression" priority="63" id="{1CA3F4FC-B678-4408-8000-6EC5443D1785}">
            <xm:f>入學要求!$P$18=1</xm:f>
            <x14:dxf>
              <font>
                <color rgb="FF006100"/>
              </font>
              <fill>
                <patternFill>
                  <bgColor rgb="FFC6EFCE"/>
                </patternFill>
              </fill>
            </x14:dxf>
          </x14:cfRule>
          <xm:sqref>I8</xm:sqref>
        </x14:conditionalFormatting>
        <x14:conditionalFormatting xmlns:xm="http://schemas.microsoft.com/office/excel/2006/main">
          <x14:cfRule type="expression" priority="58" id="{628D3F64-5439-4CB4-81B2-592832FF1112}">
            <xm:f>入學要求!$R$18=0</xm:f>
            <x14:dxf>
              <font>
                <color rgb="FFC00000"/>
              </font>
              <fill>
                <patternFill>
                  <bgColor rgb="FFC00000"/>
                </patternFill>
              </fill>
            </x14:dxf>
          </x14:cfRule>
          <x14:cfRule type="expression" priority="59" id="{EFCD62EC-F6FE-417F-B07A-B4D209699822}">
            <xm:f>入學要求!$R$18=2</xm:f>
            <x14:dxf>
              <font>
                <color rgb="FFEEBB3A"/>
              </font>
              <fill>
                <patternFill>
                  <bgColor rgb="FFEEBB3A"/>
                </patternFill>
              </fill>
            </x14:dxf>
          </x14:cfRule>
          <x14:cfRule type="expression" priority="60" id="{CB97B0C5-6249-438C-B029-1464260FB391}">
            <xm:f>入學要求!$R$18=1</xm:f>
            <x14:dxf>
              <font>
                <color theme="9" tint="-0.24994659260841701"/>
              </font>
              <fill>
                <patternFill>
                  <bgColor theme="9" tint="-0.24994659260841701"/>
                </patternFill>
              </fill>
            </x14:dxf>
          </x14:cfRule>
          <xm:sqref>K8</xm:sqref>
        </x14:conditionalFormatting>
        <x14:conditionalFormatting xmlns:xm="http://schemas.microsoft.com/office/excel/2006/main">
          <x14:cfRule type="expression" priority="35" id="{E4258825-68B8-452A-AC41-2287D9E2BAE9}">
            <xm:f>計分版!AD22</xm:f>
            <x14:dxf>
              <font>
                <color rgb="FF006100"/>
              </font>
              <fill>
                <patternFill>
                  <bgColor rgb="FFC6EFCE"/>
                </patternFill>
              </fill>
            </x14:dxf>
          </x14:cfRule>
          <xm:sqref>E48:N48</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工作表5">
    <tabColor rgb="FFCC0066"/>
  </sheetPr>
  <dimension ref="A1:AX77"/>
  <sheetViews>
    <sheetView zoomScaleNormal="100" workbookViewId="0">
      <pane ySplit="1" topLeftCell="A2" activePane="bottomLeft" state="frozen"/>
      <selection pane="bottomLeft" activeCell="M6" sqref="M6"/>
    </sheetView>
  </sheetViews>
  <sheetFormatPr defaultColWidth="0" defaultRowHeight="0" customHeight="1" zeroHeight="1" x14ac:dyDescent="0.3"/>
  <cols>
    <col min="1" max="1" width="10.109375" style="502" customWidth="1"/>
    <col min="2" max="2" width="9.109375" style="503" customWidth="1"/>
    <col min="3" max="3" width="25.77734375" style="504" customWidth="1"/>
    <col min="4" max="4" width="10.6640625" style="503" customWidth="1"/>
    <col min="5" max="5" width="7.77734375" style="502" customWidth="1"/>
    <col min="6" max="7" width="7.77734375" style="503" customWidth="1"/>
    <col min="8" max="8" width="7.77734375" style="502" customWidth="1"/>
    <col min="9" max="10" width="7.6640625" style="503" customWidth="1"/>
    <col min="11" max="11" width="4.88671875" style="510" customWidth="1"/>
    <col min="12" max="12" width="4.6640625" style="502" customWidth="1"/>
    <col min="13" max="13" width="9.77734375" style="503" customWidth="1"/>
    <col min="14" max="19" width="2.21875" style="503" customWidth="1"/>
    <col min="20" max="20" width="8.88671875" style="503" customWidth="1"/>
    <col min="21" max="33" width="6.33203125" style="503" customWidth="1"/>
    <col min="34" max="34" width="3.109375" style="503" customWidth="1"/>
    <col min="35" max="35" width="8.109375" style="503" customWidth="1"/>
    <col min="36" max="50" width="8.88671875" style="503" hidden="1" customWidth="1"/>
    <col min="51" max="16384" width="8.88671875" style="503" hidden="1"/>
  </cols>
  <sheetData>
    <row r="1" spans="1:50" s="500" customFormat="1" ht="18" customHeight="1" x14ac:dyDescent="0.3">
      <c r="A1" s="499" t="s">
        <v>1942</v>
      </c>
      <c r="B1" s="500" t="s">
        <v>1943</v>
      </c>
      <c r="C1" s="501" t="s">
        <v>1944</v>
      </c>
      <c r="E1" s="499" t="s">
        <v>1945</v>
      </c>
      <c r="F1" s="499" t="s">
        <v>1946</v>
      </c>
      <c r="G1" s="499" t="s">
        <v>1947</v>
      </c>
      <c r="H1" s="499" t="s">
        <v>1948</v>
      </c>
      <c r="I1" s="575" t="s">
        <v>1949</v>
      </c>
      <c r="J1" s="575"/>
      <c r="K1" s="499" t="s">
        <v>1950</v>
      </c>
      <c r="L1" s="499" t="s">
        <v>1951</v>
      </c>
      <c r="M1" s="499" t="s">
        <v>1952</v>
      </c>
      <c r="N1" s="499" t="s">
        <v>1953</v>
      </c>
      <c r="O1" s="499" t="s">
        <v>1954</v>
      </c>
      <c r="P1" s="499" t="s">
        <v>1955</v>
      </c>
      <c r="Q1" s="499" t="s">
        <v>1956</v>
      </c>
      <c r="R1" s="499" t="s">
        <v>1957</v>
      </c>
      <c r="S1" s="499" t="s">
        <v>1958</v>
      </c>
      <c r="T1" s="499" t="s">
        <v>1959</v>
      </c>
      <c r="U1" s="499" t="s">
        <v>1960</v>
      </c>
      <c r="V1" s="501" t="s">
        <v>1961</v>
      </c>
      <c r="W1" s="501" t="s">
        <v>1962</v>
      </c>
      <c r="X1" s="501" t="s">
        <v>1963</v>
      </c>
      <c r="Y1" s="501" t="s">
        <v>1964</v>
      </c>
      <c r="Z1" s="501" t="s">
        <v>1965</v>
      </c>
      <c r="AA1" s="499" t="s">
        <v>1966</v>
      </c>
      <c r="AB1" s="499" t="s">
        <v>1960</v>
      </c>
      <c r="AC1" s="501" t="s">
        <v>1961</v>
      </c>
      <c r="AD1" s="501" t="s">
        <v>1962</v>
      </c>
      <c r="AE1" s="501" t="s">
        <v>1963</v>
      </c>
      <c r="AF1" s="501" t="s">
        <v>1964</v>
      </c>
      <c r="AG1" s="501" t="s">
        <v>1965</v>
      </c>
      <c r="AH1" s="499"/>
      <c r="AI1" s="499"/>
    </row>
    <row r="2" spans="1:50" s="514" customFormat="1" ht="18" customHeight="1" x14ac:dyDescent="0.3">
      <c r="A2" s="502" t="str">
        <f>'Reference Score Calculation'!A13</f>
        <v>JS1000</v>
      </c>
      <c r="B2" s="503" t="str">
        <f>'Reference Score Calculation'!C13</f>
        <v>商學院</v>
      </c>
      <c r="C2" s="504" t="str">
        <f>'Reference Score Calculation'!D13</f>
        <v>理學士(計算金融及金融科技)</v>
      </c>
      <c r="D2" s="503" t="str">
        <f>'Reference Score Calculation'!T13</f>
        <v>BScCFFT</v>
      </c>
      <c r="E2" s="505" t="str">
        <f>'Reference Score Calculation'!E13</f>
        <v>4C2X</v>
      </c>
      <c r="F2" s="506">
        <f>'Reference Score Calculation'!G13</f>
        <v>27</v>
      </c>
      <c r="G2" s="506">
        <f>'Reference Score Calculation'!H13</f>
        <v>27</v>
      </c>
      <c r="H2" s="507">
        <f>計分版!H34</f>
        <v>2.8499999999999999E-9</v>
      </c>
      <c r="I2" s="508">
        <f>IF(I$1="差距(Median)",H2-F2,IF(I$1="差距(LQ)",H2-G2))</f>
        <v>-26.999999997149999</v>
      </c>
      <c r="J2" s="509">
        <f>IF(I$1="差距(Median)",(H2-F2)/H2,IF(I$1="差距(LQ)",(H2-G2)/H2))</f>
        <v>-9473684209.5263157</v>
      </c>
      <c r="K2" s="563">
        <f>入學要求!C22</f>
        <v>10</v>
      </c>
      <c r="L2" s="511">
        <f>入學要求!R22</f>
        <v>0</v>
      </c>
      <c r="M2" s="380" t="s">
        <v>3603</v>
      </c>
      <c r="N2" s="512">
        <f>入學要求!D22</f>
        <v>3</v>
      </c>
      <c r="O2" s="512">
        <f>入學要求!E22</f>
        <v>3</v>
      </c>
      <c r="P2" s="512">
        <f>入學要求!F22</f>
        <v>4</v>
      </c>
      <c r="Q2" s="512">
        <f>入學要求!G22</f>
        <v>2</v>
      </c>
      <c r="R2" s="512">
        <f>入學要求!H22</f>
        <v>3</v>
      </c>
      <c r="S2" s="512">
        <f>入學要求!I22</f>
        <v>3</v>
      </c>
      <c r="T2" s="576" t="s">
        <v>2840</v>
      </c>
      <c r="U2" s="510" cm="1">
        <f t="array" ref="U2">IFERROR(INDEX('Offer Statistics'!$I$2:$I$206,MATCH(1,(CityU!$A2='Offer Statistics'!$B$2:$B$206)*(CityU!$T$2='Offer Statistics'!$C$2:$C$206),0)),"/")</f>
        <v>12</v>
      </c>
      <c r="V2" s="513" cm="1">
        <f t="array" ref="V2">IFERROR(INDEX('Offer Statistics'!D$2:D$206,MATCH(1,(CityU!$A2='Offer Statistics'!$B$2:$B$206)*(CityU!$T$2='Offer Statistics'!$C$2:$C$206),0)),"/")</f>
        <v>10</v>
      </c>
      <c r="W2" s="513" cm="1">
        <f t="array" ref="W2">IFERROR(INDEX('Offer Statistics'!E$2:E$206,MATCH(1,(CityU!$A2='Offer Statistics'!$B$2:$B$206)*(CityU!$T$2='Offer Statistics'!$C$2:$C$206),0)),"/")</f>
        <v>1</v>
      </c>
      <c r="X2" s="513" cm="1">
        <f t="array" ref="X2">IFERROR(INDEX('Offer Statistics'!F$2:F$206,MATCH(1,(CityU!$A2='Offer Statistics'!$B$2:$B$206)*(CityU!$T$2='Offer Statistics'!$C$2:$C$206),0)),"/")</f>
        <v>0</v>
      </c>
      <c r="Y2" s="513" cm="1">
        <f t="array" ref="Y2">IFERROR(INDEX('Offer Statistics'!G$2:G$206,MATCH(1,(CityU!$A2='Offer Statistics'!$B$2:$B$206)*(CityU!$T$2='Offer Statistics'!$C$2:$C$206),0)),"/")</f>
        <v>1</v>
      </c>
      <c r="Z2" s="513" cm="1">
        <f t="array" ref="Z2">IFERROR(INDEX('Offer Statistics'!H$2:H$206,MATCH(1,(CityU!$A2='Offer Statistics'!$B$2:$B$206)*(CityU!$T$2='Offer Statistics'!$C$2:$C$206),0)),"/")</f>
        <v>0</v>
      </c>
      <c r="AA2" s="577" t="str">
        <f>T2</f>
        <v>2021年</v>
      </c>
      <c r="AB2" s="510" cm="1">
        <f t="array" ref="AB2">IFERROR(INDEX('Offer Statistics'!$Q$2:$Q$206,MATCH(1,(CityU!$A2='Offer Statistics'!$B$2:$B$206)*(CityU!$T$2='Offer Statistics'!$K$2:$K$206),0)),"/")</f>
        <v>1220</v>
      </c>
      <c r="AC2" s="513" cm="1">
        <f t="array" ref="AC2">IFERROR(INDEX('Offer Statistics'!L$2:L$206,MATCH(1,(CityU!$A2='Offer Statistics'!$B$2:$B$206)*(CityU!$T$2='Offer Statistics'!$K$2:$K$206),0)),"/")</f>
        <v>115</v>
      </c>
      <c r="AD2" s="513" cm="1">
        <f t="array" ref="AD2">IFERROR(INDEX('Offer Statistics'!M$2:M$206,MATCH(1,(CityU!$A2='Offer Statistics'!$B$2:$B$206)*(CityU!$T$2='Offer Statistics'!$K$2:$K$206),0)),"/")</f>
        <v>178</v>
      </c>
      <c r="AE2" s="513" cm="1">
        <f t="array" ref="AE2">IFERROR(INDEX('Offer Statistics'!N$2:N$206,MATCH(1,(CityU!$A2='Offer Statistics'!$B$2:$B$206)*(CityU!$T$2='Offer Statistics'!$K$2:$K$206),0)),"/")</f>
        <v>279</v>
      </c>
      <c r="AF2" s="513" cm="1">
        <f t="array" ref="AF2">IFERROR(INDEX('Offer Statistics'!O$2:O$206,MATCH(1,(CityU!$A2='Offer Statistics'!$B$2:$B$206)*(CityU!$T$2='Offer Statistics'!$K$2:$K$206),0)),"/")</f>
        <v>351</v>
      </c>
      <c r="AG2" s="513" cm="1">
        <f t="array" ref="AG2">IFERROR(INDEX('Offer Statistics'!P$2:P$206,MATCH(1,(CityU!$A2='Offer Statistics'!$B$2:$B$206)*(CityU!$T$2='Offer Statistics'!$K$2:$K$206),0)),"/")</f>
        <v>297</v>
      </c>
      <c r="AH2" s="502"/>
      <c r="AI2" s="502" t="str">
        <f>A2</f>
        <v>JS1000</v>
      </c>
      <c r="AJ2" s="503"/>
      <c r="AK2" s="503"/>
      <c r="AL2" s="503"/>
      <c r="AM2" s="503"/>
      <c r="AN2" s="503"/>
      <c r="AO2" s="503"/>
      <c r="AP2" s="503"/>
      <c r="AQ2" s="503"/>
      <c r="AR2" s="503"/>
      <c r="AS2" s="503"/>
      <c r="AT2" s="503"/>
      <c r="AU2" s="503"/>
      <c r="AV2" s="503"/>
      <c r="AW2" s="503"/>
      <c r="AX2" s="503"/>
    </row>
    <row r="3" spans="1:50" s="514" customFormat="1" ht="18" customHeight="1" x14ac:dyDescent="0.3">
      <c r="A3" s="502" t="str">
        <f>'Reference Score Calculation'!A14</f>
        <v>JS1001</v>
      </c>
      <c r="B3" s="503" t="str">
        <f>'Reference Score Calculation'!C14</f>
        <v>商學院</v>
      </c>
      <c r="C3" s="504" t="str">
        <f>'Reference Score Calculation'!D14</f>
        <v>工商管理學士(環球商業)</v>
      </c>
      <c r="D3" s="503" t="str">
        <f>'Reference Score Calculation'!T14</f>
        <v>BBAGBU</v>
      </c>
      <c r="E3" s="505" t="str">
        <f>'Reference Score Calculation'!E14</f>
        <v>4C2X</v>
      </c>
      <c r="F3" s="506">
        <f>'Reference Score Calculation'!G14</f>
        <v>27</v>
      </c>
      <c r="G3" s="506">
        <f>'Reference Score Calculation'!H14</f>
        <v>25</v>
      </c>
      <c r="H3" s="507">
        <f>計分版!H35</f>
        <v>2.8499999999999999E-9</v>
      </c>
      <c r="I3" s="515">
        <f t="shared" ref="I3:I35" si="0">IF(I$1="差距(Median)",H3-F3,IF(I$1="差距(LQ)",H3-G3))</f>
        <v>-26.999999997149999</v>
      </c>
      <c r="J3" s="516">
        <f t="shared" ref="J3:J35" si="1">IF(I$1="差距(Median)",(H3-F3)/H3,IF(I$1="差距(LQ)",(H3-G3)/H3))</f>
        <v>-9473684209.5263157</v>
      </c>
      <c r="K3" s="563">
        <f>入學要求!C23</f>
        <v>15</v>
      </c>
      <c r="L3" s="511">
        <f>入學要求!R23</f>
        <v>0</v>
      </c>
      <c r="M3" s="380" t="s">
        <v>3603</v>
      </c>
      <c r="N3" s="517">
        <f>入學要求!D23</f>
        <v>3</v>
      </c>
      <c r="O3" s="517">
        <f>入學要求!E23</f>
        <v>3</v>
      </c>
      <c r="P3" s="517">
        <f>入學要求!F23</f>
        <v>3</v>
      </c>
      <c r="Q3" s="517">
        <f>入學要求!G23</f>
        <v>2</v>
      </c>
      <c r="R3" s="517">
        <f>入學要求!H23</f>
        <v>3</v>
      </c>
      <c r="S3" s="517">
        <f>入學要求!I23</f>
        <v>3</v>
      </c>
      <c r="T3" s="576"/>
      <c r="U3" s="510" cm="1">
        <f t="array" ref="U3">IFERROR(INDEX('Offer Statistics'!$I$2:$I$206,MATCH(1,(CityU!$A3='Offer Statistics'!$B$2:$B$206)*(CityU!$T$2='Offer Statistics'!$C$2:$C$206),0)),"/")</f>
        <v>12</v>
      </c>
      <c r="V3" s="513" cm="1">
        <f t="array" ref="V3">IFERROR(INDEX('Offer Statistics'!D$2:D$206,MATCH(1,(CityU!$A3='Offer Statistics'!$B$2:$B$206)*(CityU!$T$2='Offer Statistics'!$C$2:$C$206),0)),"/")</f>
        <v>7</v>
      </c>
      <c r="W3" s="513" cm="1">
        <f t="array" ref="W3">IFERROR(INDEX('Offer Statistics'!E$2:E$206,MATCH(1,(CityU!$A3='Offer Statistics'!$B$2:$B$206)*(CityU!$T$2='Offer Statistics'!$C$2:$C$206),0)),"/")</f>
        <v>2</v>
      </c>
      <c r="X3" s="513" cm="1">
        <f t="array" ref="X3">IFERROR(INDEX('Offer Statistics'!F$2:F$206,MATCH(1,(CityU!$A3='Offer Statistics'!$B$2:$B$206)*(CityU!$T$2='Offer Statistics'!$C$2:$C$206),0)),"/")</f>
        <v>2</v>
      </c>
      <c r="Y3" s="513" cm="1">
        <f t="array" ref="Y3">IFERROR(INDEX('Offer Statistics'!G$2:G$206,MATCH(1,(CityU!$A3='Offer Statistics'!$B$2:$B$206)*(CityU!$T$2='Offer Statistics'!$C$2:$C$206),0)),"/")</f>
        <v>1</v>
      </c>
      <c r="Z3" s="513" cm="1">
        <f t="array" ref="Z3">IFERROR(INDEX('Offer Statistics'!H$2:H$206,MATCH(1,(CityU!$A3='Offer Statistics'!$B$2:$B$206)*(CityU!$T$2='Offer Statistics'!$C$2:$C$206),0)),"/")</f>
        <v>0</v>
      </c>
      <c r="AA3" s="577"/>
      <c r="AB3" s="510" cm="1">
        <f t="array" ref="AB3">IFERROR(INDEX('Offer Statistics'!$Q$2:$Q$206,MATCH(1,(CityU!$A3='Offer Statistics'!$B$2:$B$206)*(CityU!$T$2='Offer Statistics'!$K$2:$K$206),0)),"/")</f>
        <v>1726</v>
      </c>
      <c r="AC3" s="513" cm="1">
        <f t="array" ref="AC3">IFERROR(INDEX('Offer Statistics'!L$2:L$206,MATCH(1,(CityU!$A3='Offer Statistics'!$B$2:$B$206)*(CityU!$T$2='Offer Statistics'!$K$2:$K$206),0)),"/")</f>
        <v>154</v>
      </c>
      <c r="AD3" s="513" cm="1">
        <f t="array" ref="AD3">IFERROR(INDEX('Offer Statistics'!M$2:M$206,MATCH(1,(CityU!$A3='Offer Statistics'!$B$2:$B$206)*(CityU!$T$2='Offer Statistics'!$K$2:$K$206),0)),"/")</f>
        <v>232</v>
      </c>
      <c r="AE3" s="513" cm="1">
        <f t="array" ref="AE3">IFERROR(INDEX('Offer Statistics'!N$2:N$206,MATCH(1,(CityU!$A3='Offer Statistics'!$B$2:$B$206)*(CityU!$T$2='Offer Statistics'!$K$2:$K$206),0)),"/")</f>
        <v>409</v>
      </c>
      <c r="AF3" s="513" cm="1">
        <f t="array" ref="AF3">IFERROR(INDEX('Offer Statistics'!O$2:O$206,MATCH(1,(CityU!$A3='Offer Statistics'!$B$2:$B$206)*(CityU!$T$2='Offer Statistics'!$K$2:$K$206),0)),"/")</f>
        <v>498</v>
      </c>
      <c r="AG3" s="513" cm="1">
        <f t="array" ref="AG3">IFERROR(INDEX('Offer Statistics'!P$2:P$206,MATCH(1,(CityU!$A3='Offer Statistics'!$B$2:$B$206)*(CityU!$T$2='Offer Statistics'!$K$2:$K$206),0)),"/")</f>
        <v>433</v>
      </c>
      <c r="AH3" s="502"/>
      <c r="AI3" s="502" t="str">
        <f t="shared" ref="AI3:AI55" si="2">A3</f>
        <v>JS1001</v>
      </c>
      <c r="AJ3" s="503"/>
      <c r="AK3" s="503"/>
      <c r="AL3" s="503"/>
      <c r="AM3" s="503"/>
      <c r="AN3" s="503"/>
      <c r="AO3" s="503"/>
      <c r="AP3" s="503"/>
      <c r="AQ3" s="503"/>
      <c r="AR3" s="503"/>
      <c r="AS3" s="503"/>
      <c r="AT3" s="503"/>
      <c r="AU3" s="503"/>
      <c r="AV3" s="503"/>
      <c r="AW3" s="503"/>
      <c r="AX3" s="503"/>
    </row>
    <row r="4" spans="1:50" s="514" customFormat="1" ht="18" customHeight="1" x14ac:dyDescent="0.3">
      <c r="A4" s="502" t="str">
        <f>'Reference Score Calculation'!A15</f>
        <v>JS1002</v>
      </c>
      <c r="B4" s="503" t="str">
        <f>'Reference Score Calculation'!C15</f>
        <v>商學院</v>
      </c>
      <c r="C4" s="504" t="str">
        <f>'Reference Score Calculation'!D15</f>
        <v>工商管理學士(會計)</v>
      </c>
      <c r="D4" s="503" t="str">
        <f>'Reference Score Calculation'!T15</f>
        <v>BBAAC</v>
      </c>
      <c r="E4" s="505" t="str">
        <f>'Reference Score Calculation'!E15</f>
        <v>Best 6</v>
      </c>
      <c r="F4" s="506">
        <f>'Reference Score Calculation'!G15</f>
        <v>24</v>
      </c>
      <c r="G4" s="506">
        <f>'Reference Score Calculation'!H15</f>
        <v>23</v>
      </c>
      <c r="H4" s="507">
        <f>計分版!H36</f>
        <v>3.8500000000000006E-9</v>
      </c>
      <c r="I4" s="515">
        <f t="shared" si="0"/>
        <v>-23.999999996149999</v>
      </c>
      <c r="J4" s="516">
        <f t="shared" si="1"/>
        <v>-6233766232.7662325</v>
      </c>
      <c r="K4" s="563">
        <f>入學要求!C24</f>
        <v>150</v>
      </c>
      <c r="L4" s="511">
        <f>入學要求!R24</f>
        <v>0</v>
      </c>
      <c r="M4" s="380" t="s">
        <v>3603</v>
      </c>
      <c r="N4" s="517">
        <f>入學要求!D24</f>
        <v>3</v>
      </c>
      <c r="O4" s="517">
        <f>入學要求!E24</f>
        <v>3</v>
      </c>
      <c r="P4" s="517">
        <f>入學要求!F24</f>
        <v>3</v>
      </c>
      <c r="Q4" s="517">
        <f>入學要求!G24</f>
        <v>2</v>
      </c>
      <c r="R4" s="517">
        <f>入學要求!H24</f>
        <v>3</v>
      </c>
      <c r="S4" s="517">
        <f>入學要求!I24</f>
        <v>3</v>
      </c>
      <c r="T4" s="576"/>
      <c r="U4" s="510" cm="1">
        <f t="array" ref="U4">IFERROR(INDEX('Offer Statistics'!$I$2:$I$206,MATCH(1,(CityU!$A4='Offer Statistics'!$B$2:$B$206)*(CityU!$T$2='Offer Statistics'!$C$2:$C$206),0)),"/")</f>
        <v>159</v>
      </c>
      <c r="V4" s="513" cm="1">
        <f t="array" ref="V4">IFERROR(INDEX('Offer Statistics'!D$2:D$206,MATCH(1,(CityU!$A4='Offer Statistics'!$B$2:$B$206)*(CityU!$T$2='Offer Statistics'!$C$2:$C$206),0)),"/")</f>
        <v>152</v>
      </c>
      <c r="W4" s="513" cm="1">
        <f t="array" ref="W4">IFERROR(INDEX('Offer Statistics'!E$2:E$206,MATCH(1,(CityU!$A4='Offer Statistics'!$B$2:$B$206)*(CityU!$T$2='Offer Statistics'!$C$2:$C$206),0)),"/")</f>
        <v>5</v>
      </c>
      <c r="X4" s="513" cm="1">
        <f t="array" ref="X4">IFERROR(INDEX('Offer Statistics'!F$2:F$206,MATCH(1,(CityU!$A4='Offer Statistics'!$B$2:$B$206)*(CityU!$T$2='Offer Statistics'!$C$2:$C$206),0)),"/")</f>
        <v>1</v>
      </c>
      <c r="Y4" s="513" cm="1">
        <f t="array" ref="Y4">IFERROR(INDEX('Offer Statistics'!G$2:G$206,MATCH(1,(CityU!$A4='Offer Statistics'!$B$2:$B$206)*(CityU!$T$2='Offer Statistics'!$C$2:$C$206),0)),"/")</f>
        <v>1</v>
      </c>
      <c r="Z4" s="513" cm="1">
        <f t="array" ref="Z4">IFERROR(INDEX('Offer Statistics'!H$2:H$206,MATCH(1,(CityU!$A4='Offer Statistics'!$B$2:$B$206)*(CityU!$T$2='Offer Statistics'!$C$2:$C$206),0)),"/")</f>
        <v>0</v>
      </c>
      <c r="AA4" s="577"/>
      <c r="AB4" s="510" cm="1">
        <f t="array" ref="AB4">IFERROR(INDEX('Offer Statistics'!$Q$2:$Q$206,MATCH(1,(CityU!$A4='Offer Statistics'!$B$2:$B$206)*(CityU!$T$2='Offer Statistics'!$K$2:$K$206),0)),"/")</f>
        <v>3889</v>
      </c>
      <c r="AC4" s="513" cm="1">
        <f t="array" ref="AC4">IFERROR(INDEX('Offer Statistics'!L$2:L$206,MATCH(1,(CityU!$A4='Offer Statistics'!$B$2:$B$206)*(CityU!$T$2='Offer Statistics'!$K$2:$K$206),0)),"/")</f>
        <v>925</v>
      </c>
      <c r="AD4" s="513" cm="1">
        <f t="array" ref="AD4">IFERROR(INDEX('Offer Statistics'!M$2:M$206,MATCH(1,(CityU!$A4='Offer Statistics'!$B$2:$B$206)*(CityU!$T$2='Offer Statistics'!$K$2:$K$206),0)),"/")</f>
        <v>718</v>
      </c>
      <c r="AE4" s="513" cm="1">
        <f t="array" ref="AE4">IFERROR(INDEX('Offer Statistics'!N$2:N$206,MATCH(1,(CityU!$A4='Offer Statistics'!$B$2:$B$206)*(CityU!$T$2='Offer Statistics'!$K$2:$K$206),0)),"/")</f>
        <v>818</v>
      </c>
      <c r="AF4" s="513" cm="1">
        <f t="array" ref="AF4">IFERROR(INDEX('Offer Statistics'!O$2:O$206,MATCH(1,(CityU!$A4='Offer Statistics'!$B$2:$B$206)*(CityU!$T$2='Offer Statistics'!$K$2:$K$206),0)),"/")</f>
        <v>835</v>
      </c>
      <c r="AG4" s="513" cm="1">
        <f t="array" ref="AG4">IFERROR(INDEX('Offer Statistics'!P$2:P$206,MATCH(1,(CityU!$A4='Offer Statistics'!$B$2:$B$206)*(CityU!$T$2='Offer Statistics'!$K$2:$K$206),0)),"/")</f>
        <v>593</v>
      </c>
      <c r="AH4" s="502"/>
      <c r="AI4" s="502" t="str">
        <f t="shared" si="2"/>
        <v>JS1002</v>
      </c>
      <c r="AJ4" s="503"/>
      <c r="AK4" s="503"/>
      <c r="AL4" s="503"/>
      <c r="AM4" s="503"/>
      <c r="AN4" s="503"/>
      <c r="AO4" s="503"/>
      <c r="AP4" s="503"/>
      <c r="AQ4" s="503"/>
      <c r="AR4" s="503"/>
      <c r="AS4" s="503"/>
      <c r="AT4" s="503"/>
      <c r="AU4" s="503"/>
      <c r="AV4" s="503"/>
      <c r="AW4" s="503"/>
      <c r="AX4" s="503"/>
    </row>
    <row r="5" spans="1:50" s="514" customFormat="1" ht="18" customHeight="1" x14ac:dyDescent="0.3">
      <c r="A5" s="502" t="str">
        <f>'Reference Score Calculation'!A16</f>
        <v>JS1005</v>
      </c>
      <c r="B5" s="503" t="str">
        <f>'Reference Score Calculation'!C16</f>
        <v>商學院</v>
      </c>
      <c r="C5" s="504" t="str">
        <f>'Reference Score Calculation'!D16</f>
        <v>工商管理學士(管理學)</v>
      </c>
      <c r="D5" s="503" t="str">
        <f>'Reference Score Calculation'!T16</f>
        <v>BBAMGMT</v>
      </c>
      <c r="E5" s="518" t="str">
        <f>'Reference Score Calculation'!E16</f>
        <v>Best 6</v>
      </c>
      <c r="F5" s="506">
        <f>'Reference Score Calculation'!G16</f>
        <v>24</v>
      </c>
      <c r="G5" s="506">
        <f>'Reference Score Calculation'!H16</f>
        <v>24</v>
      </c>
      <c r="H5" s="507">
        <f>計分版!H37</f>
        <v>4.1499999999999999E-9</v>
      </c>
      <c r="I5" s="515">
        <f t="shared" si="0"/>
        <v>-23.999999995850001</v>
      </c>
      <c r="J5" s="516">
        <f t="shared" si="1"/>
        <v>-5783132529.1204824</v>
      </c>
      <c r="K5" s="563">
        <f>入學要求!C25</f>
        <v>60</v>
      </c>
      <c r="L5" s="511">
        <f>入學要求!R25</f>
        <v>0</v>
      </c>
      <c r="M5" s="380" t="s">
        <v>3603</v>
      </c>
      <c r="N5" s="517">
        <f>入學要求!D25</f>
        <v>3</v>
      </c>
      <c r="O5" s="517">
        <f>入學要求!E25</f>
        <v>3</v>
      </c>
      <c r="P5" s="517">
        <f>入學要求!F25</f>
        <v>3</v>
      </c>
      <c r="Q5" s="517">
        <f>入學要求!G25</f>
        <v>2</v>
      </c>
      <c r="R5" s="517">
        <f>入學要求!H25</f>
        <v>3</v>
      </c>
      <c r="S5" s="517">
        <f>入學要求!I25</f>
        <v>3</v>
      </c>
      <c r="T5" s="576"/>
      <c r="U5" s="510" cm="1">
        <f t="array" ref="U5">IFERROR(INDEX('Offer Statistics'!$I$2:$I$206,MATCH(1,(CityU!$A5='Offer Statistics'!$B$2:$B$206)*(CityU!$T$2='Offer Statistics'!$C$2:$C$206),0)),"/")</f>
        <v>61</v>
      </c>
      <c r="V5" s="513" cm="1">
        <f t="array" ref="V5">IFERROR(INDEX('Offer Statistics'!D$2:D$206,MATCH(1,(CityU!$A5='Offer Statistics'!$B$2:$B$206)*(CityU!$T$2='Offer Statistics'!$C$2:$C$206),0)),"/")</f>
        <v>56</v>
      </c>
      <c r="W5" s="513" cm="1">
        <f t="array" ref="W5">IFERROR(INDEX('Offer Statistics'!E$2:E$206,MATCH(1,(CityU!$A5='Offer Statistics'!$B$2:$B$206)*(CityU!$T$2='Offer Statistics'!$C$2:$C$206),0)),"/")</f>
        <v>5</v>
      </c>
      <c r="X5" s="513" cm="1">
        <f t="array" ref="X5">IFERROR(INDEX('Offer Statistics'!F$2:F$206,MATCH(1,(CityU!$A5='Offer Statistics'!$B$2:$B$206)*(CityU!$T$2='Offer Statistics'!$C$2:$C$206),0)),"/")</f>
        <v>0</v>
      </c>
      <c r="Y5" s="513" cm="1">
        <f t="array" ref="Y5">IFERROR(INDEX('Offer Statistics'!G$2:G$206,MATCH(1,(CityU!$A5='Offer Statistics'!$B$2:$B$206)*(CityU!$T$2='Offer Statistics'!$C$2:$C$206),0)),"/")</f>
        <v>0</v>
      </c>
      <c r="Z5" s="513" cm="1">
        <f t="array" ref="Z5">IFERROR(INDEX('Offer Statistics'!H$2:H$206,MATCH(1,(CityU!$A5='Offer Statistics'!$B$2:$B$206)*(CityU!$T$2='Offer Statistics'!$C$2:$C$206),0)),"/")</f>
        <v>0</v>
      </c>
      <c r="AA5" s="577"/>
      <c r="AB5" s="510" cm="1">
        <f t="array" ref="AB5">IFERROR(INDEX('Offer Statistics'!$Q$2:$Q$206,MATCH(1,(CityU!$A5='Offer Statistics'!$B$2:$B$206)*(CityU!$T$2='Offer Statistics'!$K$2:$K$206),0)),"/")</f>
        <v>5297</v>
      </c>
      <c r="AC5" s="513" cm="1">
        <f t="array" ref="AC5">IFERROR(INDEX('Offer Statistics'!L$2:L$206,MATCH(1,(CityU!$A5='Offer Statistics'!$B$2:$B$206)*(CityU!$T$2='Offer Statistics'!$K$2:$K$206),0)),"/")</f>
        <v>651</v>
      </c>
      <c r="AD5" s="513" cm="1">
        <f t="array" ref="AD5">IFERROR(INDEX('Offer Statistics'!M$2:M$206,MATCH(1,(CityU!$A5='Offer Statistics'!$B$2:$B$206)*(CityU!$T$2='Offer Statistics'!$K$2:$K$206),0)),"/")</f>
        <v>971</v>
      </c>
      <c r="AE5" s="513" cm="1">
        <f t="array" ref="AE5">IFERROR(INDEX('Offer Statistics'!N$2:N$206,MATCH(1,(CityU!$A5='Offer Statistics'!$B$2:$B$206)*(CityU!$T$2='Offer Statistics'!$K$2:$K$206),0)),"/")</f>
        <v>1325</v>
      </c>
      <c r="AF5" s="513" cm="1">
        <f t="array" ref="AF5">IFERROR(INDEX('Offer Statistics'!O$2:O$206,MATCH(1,(CityU!$A5='Offer Statistics'!$B$2:$B$206)*(CityU!$T$2='Offer Statistics'!$K$2:$K$206),0)),"/")</f>
        <v>1457</v>
      </c>
      <c r="AG5" s="513" cm="1">
        <f t="array" ref="AG5">IFERROR(INDEX('Offer Statistics'!P$2:P$206,MATCH(1,(CityU!$A5='Offer Statistics'!$B$2:$B$206)*(CityU!$T$2='Offer Statistics'!$K$2:$K$206),0)),"/")</f>
        <v>893</v>
      </c>
      <c r="AH5" s="502"/>
      <c r="AI5" s="502" t="str">
        <f t="shared" si="2"/>
        <v>JS1005</v>
      </c>
      <c r="AJ5" s="503"/>
      <c r="AK5" s="503"/>
      <c r="AL5" s="503"/>
      <c r="AM5" s="503"/>
      <c r="AN5" s="503"/>
      <c r="AO5" s="503"/>
      <c r="AP5" s="503"/>
      <c r="AQ5" s="503"/>
      <c r="AR5" s="503"/>
      <c r="AS5" s="503"/>
      <c r="AT5" s="503"/>
      <c r="AU5" s="503"/>
      <c r="AV5" s="503"/>
      <c r="AW5" s="503"/>
      <c r="AX5" s="503"/>
    </row>
    <row r="6" spans="1:50" s="514" customFormat="1" ht="18" customHeight="1" x14ac:dyDescent="0.3">
      <c r="A6" s="502" t="str">
        <f>'Reference Score Calculation'!A17</f>
        <v>JS1007</v>
      </c>
      <c r="B6" s="503" t="str">
        <f>'Reference Score Calculation'!C17</f>
        <v>商學院</v>
      </c>
      <c r="C6" s="504" t="str">
        <f>'Reference Score Calculation'!D17</f>
        <v>工商管理學士(市場營銷)</v>
      </c>
      <c r="D6" s="503" t="str">
        <f>'Reference Score Calculation'!T17</f>
        <v>BBAMKT</v>
      </c>
      <c r="E6" s="519" t="str">
        <f>'Reference Score Calculation'!E17</f>
        <v>4C2X</v>
      </c>
      <c r="F6" s="506">
        <f>'Reference Score Calculation'!G17</f>
        <v>26</v>
      </c>
      <c r="G6" s="506">
        <f>'Reference Score Calculation'!H17</f>
        <v>25.5</v>
      </c>
      <c r="H6" s="507">
        <f>計分版!H38</f>
        <v>2.9499999999999999E-9</v>
      </c>
      <c r="I6" s="515">
        <f t="shared" si="0"/>
        <v>-25.999999997050001</v>
      </c>
      <c r="J6" s="516">
        <f t="shared" si="1"/>
        <v>-8813559321.0338993</v>
      </c>
      <c r="K6" s="563">
        <f>入學要求!C26</f>
        <v>85</v>
      </c>
      <c r="L6" s="511">
        <f>入學要求!R26</f>
        <v>0</v>
      </c>
      <c r="M6" s="380" t="s">
        <v>3603</v>
      </c>
      <c r="N6" s="517">
        <f>入學要求!D26</f>
        <v>3</v>
      </c>
      <c r="O6" s="517">
        <f>入學要求!E26</f>
        <v>3</v>
      </c>
      <c r="P6" s="517">
        <f>入學要求!F26</f>
        <v>3</v>
      </c>
      <c r="Q6" s="517">
        <f>入學要求!G26</f>
        <v>2</v>
      </c>
      <c r="R6" s="517">
        <f>入學要求!H26</f>
        <v>3</v>
      </c>
      <c r="S6" s="517">
        <f>入學要求!I26</f>
        <v>3</v>
      </c>
      <c r="T6" s="576"/>
      <c r="U6" s="510" cm="1">
        <f t="array" ref="U6">IFERROR(INDEX('Offer Statistics'!$I$2:$I$206,MATCH(1,(CityU!$A6='Offer Statistics'!$B$2:$B$206)*(CityU!$T$2='Offer Statistics'!$C$2:$C$206),0)),"/")</f>
        <v>79</v>
      </c>
      <c r="V6" s="513" cm="1">
        <f t="array" ref="V6">IFERROR(INDEX('Offer Statistics'!D$2:D$206,MATCH(1,(CityU!$A6='Offer Statistics'!$B$2:$B$206)*(CityU!$T$2='Offer Statistics'!$C$2:$C$206),0)),"/")</f>
        <v>75</v>
      </c>
      <c r="W6" s="513" cm="1">
        <f t="array" ref="W6">IFERROR(INDEX('Offer Statistics'!E$2:E$206,MATCH(1,(CityU!$A6='Offer Statistics'!$B$2:$B$206)*(CityU!$T$2='Offer Statistics'!$C$2:$C$206),0)),"/")</f>
        <v>2</v>
      </c>
      <c r="X6" s="513" cm="1">
        <f t="array" ref="X6">IFERROR(INDEX('Offer Statistics'!F$2:F$206,MATCH(1,(CityU!$A6='Offer Statistics'!$B$2:$B$206)*(CityU!$T$2='Offer Statistics'!$C$2:$C$206),0)),"/")</f>
        <v>0</v>
      </c>
      <c r="Y6" s="513" cm="1">
        <f t="array" ref="Y6">IFERROR(INDEX('Offer Statistics'!G$2:G$206,MATCH(1,(CityU!$A6='Offer Statistics'!$B$2:$B$206)*(CityU!$T$2='Offer Statistics'!$C$2:$C$206),0)),"/")</f>
        <v>2</v>
      </c>
      <c r="Z6" s="513" cm="1">
        <f t="array" ref="Z6">IFERROR(INDEX('Offer Statistics'!H$2:H$206,MATCH(1,(CityU!$A6='Offer Statistics'!$B$2:$B$206)*(CityU!$T$2='Offer Statistics'!$C$2:$C$206),0)),"/")</f>
        <v>0</v>
      </c>
      <c r="AA6" s="577"/>
      <c r="AB6" s="510" cm="1">
        <f t="array" ref="AB6">IFERROR(INDEX('Offer Statistics'!$Q$2:$Q$206,MATCH(1,(CityU!$A6='Offer Statistics'!$B$2:$B$206)*(CityU!$T$2='Offer Statistics'!$K$2:$K$206),0)),"/")</f>
        <v>4464</v>
      </c>
      <c r="AC6" s="513" cm="1">
        <f t="array" ref="AC6">IFERROR(INDEX('Offer Statistics'!L$2:L$206,MATCH(1,(CityU!$A6='Offer Statistics'!$B$2:$B$206)*(CityU!$T$2='Offer Statistics'!$K$2:$K$206),0)),"/")</f>
        <v>601</v>
      </c>
      <c r="AD6" s="513" cm="1">
        <f t="array" ref="AD6">IFERROR(INDEX('Offer Statistics'!M$2:M$206,MATCH(1,(CityU!$A6='Offer Statistics'!$B$2:$B$206)*(CityU!$T$2='Offer Statistics'!$K$2:$K$206),0)),"/")</f>
        <v>725</v>
      </c>
      <c r="AE6" s="513" cm="1">
        <f t="array" ref="AE6">IFERROR(INDEX('Offer Statistics'!N$2:N$206,MATCH(1,(CityU!$A6='Offer Statistics'!$B$2:$B$206)*(CityU!$T$2='Offer Statistics'!$K$2:$K$206),0)),"/")</f>
        <v>1107</v>
      </c>
      <c r="AF6" s="513" cm="1">
        <f t="array" ref="AF6">IFERROR(INDEX('Offer Statistics'!O$2:O$206,MATCH(1,(CityU!$A6='Offer Statistics'!$B$2:$B$206)*(CityU!$T$2='Offer Statistics'!$K$2:$K$206),0)),"/")</f>
        <v>1201</v>
      </c>
      <c r="AG6" s="513" cm="1">
        <f t="array" ref="AG6">IFERROR(INDEX('Offer Statistics'!P$2:P$206,MATCH(1,(CityU!$A6='Offer Statistics'!$B$2:$B$206)*(CityU!$T$2='Offer Statistics'!$K$2:$K$206),0)),"/")</f>
        <v>830</v>
      </c>
      <c r="AH6" s="502"/>
      <c r="AI6" s="502" t="str">
        <f t="shared" si="2"/>
        <v>JS1007</v>
      </c>
      <c r="AJ6" s="503"/>
      <c r="AK6" s="503"/>
      <c r="AL6" s="503"/>
      <c r="AM6" s="503"/>
      <c r="AN6" s="503"/>
      <c r="AO6" s="503"/>
      <c r="AP6" s="503"/>
      <c r="AQ6" s="503"/>
      <c r="AR6" s="503"/>
      <c r="AS6" s="503"/>
      <c r="AT6" s="503"/>
      <c r="AU6" s="503"/>
      <c r="AV6" s="503"/>
      <c r="AW6" s="503"/>
      <c r="AX6" s="503"/>
    </row>
    <row r="7" spans="1:50" s="514" customFormat="1" ht="18" customHeight="1" x14ac:dyDescent="0.3">
      <c r="A7" s="502" t="str">
        <f>'Reference Score Calculation'!A18</f>
        <v>JS1012</v>
      </c>
      <c r="B7" s="503" t="str">
        <f>'Reference Score Calculation'!C18</f>
        <v>商學院</v>
      </c>
      <c r="C7" s="504" t="str">
        <f>'Reference Score Calculation'!D18</f>
        <v>經濟及金融系 [選項: 工商管理學士(商業經濟)、工商管理學士(金融)]</v>
      </c>
      <c r="D7" s="503" t="str">
        <f>'Reference Score Calculation'!T18</f>
        <v>EF</v>
      </c>
      <c r="E7" s="505" t="str">
        <f>'Reference Score Calculation'!E18</f>
        <v>4C2X</v>
      </c>
      <c r="F7" s="506">
        <f>'Reference Score Calculation'!G18</f>
        <v>25</v>
      </c>
      <c r="G7" s="506">
        <f>'Reference Score Calculation'!H18</f>
        <v>24</v>
      </c>
      <c r="H7" s="507">
        <f>計分版!H39</f>
        <v>2.8499999999999999E-9</v>
      </c>
      <c r="I7" s="515">
        <f t="shared" si="0"/>
        <v>-24.999999997149999</v>
      </c>
      <c r="J7" s="516">
        <f t="shared" si="1"/>
        <v>-8771929823.5614033</v>
      </c>
      <c r="K7" s="563">
        <f>入學要求!C27</f>
        <v>20</v>
      </c>
      <c r="L7" s="511">
        <f>入學要求!R27</f>
        <v>0</v>
      </c>
      <c r="M7" s="578" t="s">
        <v>2150</v>
      </c>
      <c r="N7" s="517">
        <f>入學要求!D27</f>
        <v>3</v>
      </c>
      <c r="O7" s="517">
        <f>入學要求!E27</f>
        <v>3</v>
      </c>
      <c r="P7" s="517">
        <f>入學要求!F27</f>
        <v>3</v>
      </c>
      <c r="Q7" s="517">
        <f>入學要求!G27</f>
        <v>2</v>
      </c>
      <c r="R7" s="517">
        <f>入學要求!H27</f>
        <v>3</v>
      </c>
      <c r="S7" s="517">
        <f>入學要求!I27</f>
        <v>3</v>
      </c>
      <c r="T7" s="576"/>
      <c r="U7" s="510" cm="1">
        <f t="array" ref="U7">IFERROR(INDEX('Offer Statistics'!$I$2:$I$206,MATCH(1,(CityU!$A7='Offer Statistics'!$B$2:$B$206)*(CityU!$T$2='Offer Statistics'!$C$2:$C$206),0)),"/")</f>
        <v>16</v>
      </c>
      <c r="V7" s="513" cm="1">
        <f t="array" ref="V7">IFERROR(INDEX('Offer Statistics'!D$2:D$206,MATCH(1,(CityU!$A7='Offer Statistics'!$B$2:$B$206)*(CityU!$T$2='Offer Statistics'!$C$2:$C$206),0)),"/")</f>
        <v>15</v>
      </c>
      <c r="W7" s="513" cm="1">
        <f t="array" ref="W7">IFERROR(INDEX('Offer Statistics'!E$2:E$206,MATCH(1,(CityU!$A7='Offer Statistics'!$B$2:$B$206)*(CityU!$T$2='Offer Statistics'!$C$2:$C$206),0)),"/")</f>
        <v>1</v>
      </c>
      <c r="X7" s="513" cm="1">
        <f t="array" ref="X7">IFERROR(INDEX('Offer Statistics'!F$2:F$206,MATCH(1,(CityU!$A7='Offer Statistics'!$B$2:$B$206)*(CityU!$T$2='Offer Statistics'!$C$2:$C$206),0)),"/")</f>
        <v>0</v>
      </c>
      <c r="Y7" s="513" cm="1">
        <f t="array" ref="Y7">IFERROR(INDEX('Offer Statistics'!G$2:G$206,MATCH(1,(CityU!$A7='Offer Statistics'!$B$2:$B$206)*(CityU!$T$2='Offer Statistics'!$C$2:$C$206),0)),"/")</f>
        <v>0</v>
      </c>
      <c r="Z7" s="513" cm="1">
        <f t="array" ref="Z7">IFERROR(INDEX('Offer Statistics'!H$2:H$206,MATCH(1,(CityU!$A7='Offer Statistics'!$B$2:$B$206)*(CityU!$T$2='Offer Statistics'!$C$2:$C$206),0)),"/")</f>
        <v>0</v>
      </c>
      <c r="AA7" s="577"/>
      <c r="AB7" s="510" cm="1">
        <f t="array" ref="AB7">IFERROR(INDEX('Offer Statistics'!$Q$2:$Q$206,MATCH(1,(CityU!$A7='Offer Statistics'!$B$2:$B$206)*(CityU!$T$2='Offer Statistics'!$K$2:$K$206),0)),"/")</f>
        <v>2942</v>
      </c>
      <c r="AC7" s="513" cm="1">
        <f t="array" ref="AC7">IFERROR(INDEX('Offer Statistics'!L$2:L$206,MATCH(1,(CityU!$A7='Offer Statistics'!$B$2:$B$206)*(CityU!$T$2='Offer Statistics'!$K$2:$K$206),0)),"/")</f>
        <v>318</v>
      </c>
      <c r="AD7" s="513" cm="1">
        <f t="array" ref="AD7">IFERROR(INDEX('Offer Statistics'!M$2:M$206,MATCH(1,(CityU!$A7='Offer Statistics'!$B$2:$B$206)*(CityU!$T$2='Offer Statistics'!$K$2:$K$206),0)),"/")</f>
        <v>516</v>
      </c>
      <c r="AE7" s="513" cm="1">
        <f t="array" ref="AE7">IFERROR(INDEX('Offer Statistics'!N$2:N$206,MATCH(1,(CityU!$A7='Offer Statistics'!$B$2:$B$206)*(CityU!$T$2='Offer Statistics'!$K$2:$K$206),0)),"/")</f>
        <v>685</v>
      </c>
      <c r="AF7" s="513" cm="1">
        <f t="array" ref="AF7">IFERROR(INDEX('Offer Statistics'!O$2:O$206,MATCH(1,(CityU!$A7='Offer Statistics'!$B$2:$B$206)*(CityU!$T$2='Offer Statistics'!$K$2:$K$206),0)),"/")</f>
        <v>876</v>
      </c>
      <c r="AG7" s="513" cm="1">
        <f t="array" ref="AG7">IFERROR(INDEX('Offer Statistics'!P$2:P$206,MATCH(1,(CityU!$A7='Offer Statistics'!$B$2:$B$206)*(CityU!$T$2='Offer Statistics'!$K$2:$K$206),0)),"/")</f>
        <v>547</v>
      </c>
      <c r="AH7" s="502"/>
      <c r="AI7" s="502" t="str">
        <f t="shared" si="2"/>
        <v>JS1012</v>
      </c>
      <c r="AJ7" s="503"/>
      <c r="AK7" s="503"/>
      <c r="AL7" s="503"/>
      <c r="AM7" s="503"/>
      <c r="AN7" s="503"/>
      <c r="AO7" s="503"/>
      <c r="AP7" s="503"/>
      <c r="AQ7" s="503"/>
      <c r="AR7" s="503"/>
      <c r="AS7" s="503"/>
      <c r="AT7" s="503"/>
      <c r="AU7" s="503"/>
      <c r="AV7" s="503"/>
      <c r="AW7" s="503"/>
      <c r="AX7" s="503"/>
    </row>
    <row r="8" spans="1:50" s="514" customFormat="1" ht="18" customHeight="1" x14ac:dyDescent="0.3">
      <c r="A8" s="502" t="str">
        <f>'Reference Score Calculation'!A19</f>
        <v>JS1013</v>
      </c>
      <c r="B8" s="503" t="str">
        <f>'Reference Score Calculation'!C19</f>
        <v>商學院</v>
      </c>
      <c r="C8" s="504" t="str">
        <f>'Reference Score Calculation'!D19</f>
        <v>工商管理學士(商業經濟)</v>
      </c>
      <c r="D8" s="503" t="str">
        <f>'Reference Score Calculation'!T19</f>
        <v>BBABE</v>
      </c>
      <c r="E8" s="505" t="str">
        <f>'Reference Score Calculation'!E19</f>
        <v>4C2X</v>
      </c>
      <c r="F8" s="506">
        <f>'Reference Score Calculation'!G19</f>
        <v>23</v>
      </c>
      <c r="G8" s="506">
        <f>'Reference Score Calculation'!H19</f>
        <v>23</v>
      </c>
      <c r="H8" s="507">
        <f>計分版!H40</f>
        <v>2.8499999999999999E-9</v>
      </c>
      <c r="I8" s="515">
        <f t="shared" si="0"/>
        <v>-22.999999997149999</v>
      </c>
      <c r="J8" s="516">
        <f t="shared" si="1"/>
        <v>-8070175437.5964909</v>
      </c>
      <c r="K8" s="563">
        <f>入學要求!C28</f>
        <v>36</v>
      </c>
      <c r="L8" s="511">
        <f>入學要求!R28</f>
        <v>0</v>
      </c>
      <c r="M8" s="578"/>
      <c r="N8" s="517">
        <f>入學要求!D28</f>
        <v>3</v>
      </c>
      <c r="O8" s="517">
        <f>入學要求!E28</f>
        <v>3</v>
      </c>
      <c r="P8" s="517">
        <f>入學要求!F28</f>
        <v>3</v>
      </c>
      <c r="Q8" s="517">
        <f>入學要求!G28</f>
        <v>2</v>
      </c>
      <c r="R8" s="517">
        <f>入學要求!H28</f>
        <v>3</v>
      </c>
      <c r="S8" s="517">
        <f>入學要求!I28</f>
        <v>3</v>
      </c>
      <c r="T8" s="576"/>
      <c r="U8" s="510" cm="1">
        <f t="array" ref="U8">IFERROR(INDEX('Offer Statistics'!$I$2:$I$206,MATCH(1,(CityU!$A8='Offer Statistics'!$B$2:$B$206)*(CityU!$T$2='Offer Statistics'!$C$2:$C$206),0)),"/")</f>
        <v>45</v>
      </c>
      <c r="V8" s="513" cm="1">
        <f t="array" ref="V8">IFERROR(INDEX('Offer Statistics'!D$2:D$206,MATCH(1,(CityU!$A8='Offer Statistics'!$B$2:$B$206)*(CityU!$T$2='Offer Statistics'!$C$2:$C$206),0)),"/")</f>
        <v>44</v>
      </c>
      <c r="W8" s="513" cm="1">
        <f t="array" ref="W8">IFERROR(INDEX('Offer Statistics'!E$2:E$206,MATCH(1,(CityU!$A8='Offer Statistics'!$B$2:$B$206)*(CityU!$T$2='Offer Statistics'!$C$2:$C$206),0)),"/")</f>
        <v>1</v>
      </c>
      <c r="X8" s="513" cm="1">
        <f t="array" ref="X8">IFERROR(INDEX('Offer Statistics'!F$2:F$206,MATCH(1,(CityU!$A8='Offer Statistics'!$B$2:$B$206)*(CityU!$T$2='Offer Statistics'!$C$2:$C$206),0)),"/")</f>
        <v>0</v>
      </c>
      <c r="Y8" s="513" cm="1">
        <f t="array" ref="Y8">IFERROR(INDEX('Offer Statistics'!G$2:G$206,MATCH(1,(CityU!$A8='Offer Statistics'!$B$2:$B$206)*(CityU!$T$2='Offer Statistics'!$C$2:$C$206),0)),"/")</f>
        <v>0</v>
      </c>
      <c r="Z8" s="513" cm="1">
        <f t="array" ref="Z8">IFERROR(INDEX('Offer Statistics'!H$2:H$206,MATCH(1,(CityU!$A8='Offer Statistics'!$B$2:$B$206)*(CityU!$T$2='Offer Statistics'!$C$2:$C$206),0)),"/")</f>
        <v>0</v>
      </c>
      <c r="AA8" s="577"/>
      <c r="AB8" s="510" cm="1">
        <f t="array" ref="AB8">IFERROR(INDEX('Offer Statistics'!$Q$2:$Q$206,MATCH(1,(CityU!$A8='Offer Statistics'!$B$2:$B$206)*(CityU!$T$2='Offer Statistics'!$K$2:$K$206),0)),"/")</f>
        <v>3555</v>
      </c>
      <c r="AC8" s="513" cm="1">
        <f t="array" ref="AC8">IFERROR(INDEX('Offer Statistics'!L$2:L$206,MATCH(1,(CityU!$A8='Offer Statistics'!$B$2:$B$206)*(CityU!$T$2='Offer Statistics'!$K$2:$K$206),0)),"/")</f>
        <v>415</v>
      </c>
      <c r="AD8" s="513" cm="1">
        <f t="array" ref="AD8">IFERROR(INDEX('Offer Statistics'!M$2:M$206,MATCH(1,(CityU!$A8='Offer Statistics'!$B$2:$B$206)*(CityU!$T$2='Offer Statistics'!$K$2:$K$206),0)),"/")</f>
        <v>664</v>
      </c>
      <c r="AE8" s="513" cm="1">
        <f t="array" ref="AE8">IFERROR(INDEX('Offer Statistics'!N$2:N$206,MATCH(1,(CityU!$A8='Offer Statistics'!$B$2:$B$206)*(CityU!$T$2='Offer Statistics'!$K$2:$K$206),0)),"/")</f>
        <v>887</v>
      </c>
      <c r="AF8" s="513" cm="1">
        <f t="array" ref="AF8">IFERROR(INDEX('Offer Statistics'!O$2:O$206,MATCH(1,(CityU!$A8='Offer Statistics'!$B$2:$B$206)*(CityU!$T$2='Offer Statistics'!$K$2:$K$206),0)),"/")</f>
        <v>1030</v>
      </c>
      <c r="AG8" s="513" cm="1">
        <f t="array" ref="AG8">IFERROR(INDEX('Offer Statistics'!P$2:P$206,MATCH(1,(CityU!$A8='Offer Statistics'!$B$2:$B$206)*(CityU!$T$2='Offer Statistics'!$K$2:$K$206),0)),"/")</f>
        <v>559</v>
      </c>
      <c r="AH8" s="502"/>
      <c r="AI8" s="502" t="str">
        <f t="shared" si="2"/>
        <v>JS1013</v>
      </c>
      <c r="AJ8" s="503"/>
      <c r="AK8" s="503"/>
      <c r="AL8" s="503"/>
      <c r="AM8" s="503"/>
      <c r="AN8" s="503"/>
      <c r="AO8" s="503"/>
      <c r="AP8" s="503"/>
      <c r="AQ8" s="503"/>
      <c r="AR8" s="503"/>
      <c r="AS8" s="503"/>
      <c r="AT8" s="503"/>
      <c r="AU8" s="503"/>
      <c r="AV8" s="503"/>
      <c r="AW8" s="503"/>
      <c r="AX8" s="503"/>
    </row>
    <row r="9" spans="1:50" s="514" customFormat="1" ht="18" customHeight="1" x14ac:dyDescent="0.3">
      <c r="A9" s="502" t="str">
        <f>'Reference Score Calculation'!A20</f>
        <v>JS1014</v>
      </c>
      <c r="B9" s="503" t="str">
        <f>'Reference Score Calculation'!C20</f>
        <v>商學院</v>
      </c>
      <c r="C9" s="504" t="str">
        <f>'Reference Score Calculation'!D20</f>
        <v>工商管理學士(金融)</v>
      </c>
      <c r="D9" s="503" t="str">
        <f>'Reference Score Calculation'!T20</f>
        <v>BBAFIN</v>
      </c>
      <c r="E9" s="505" t="str">
        <f>'Reference Score Calculation'!E20</f>
        <v>4C2X</v>
      </c>
      <c r="F9" s="506">
        <f>'Reference Score Calculation'!G20</f>
        <v>23</v>
      </c>
      <c r="G9" s="506">
        <f>'Reference Score Calculation'!H20</f>
        <v>23</v>
      </c>
      <c r="H9" s="507">
        <f>計分版!H41</f>
        <v>2.8499999999999999E-9</v>
      </c>
      <c r="I9" s="515">
        <f t="shared" si="0"/>
        <v>-22.999999997149999</v>
      </c>
      <c r="J9" s="516">
        <f t="shared" si="1"/>
        <v>-8070175437.5964909</v>
      </c>
      <c r="K9" s="563">
        <f>入學要求!C29</f>
        <v>109</v>
      </c>
      <c r="L9" s="511">
        <f>入學要求!R29</f>
        <v>0</v>
      </c>
      <c r="M9" s="578"/>
      <c r="N9" s="517">
        <f>入學要求!D29</f>
        <v>3</v>
      </c>
      <c r="O9" s="517">
        <f>入學要求!E29</f>
        <v>3</v>
      </c>
      <c r="P9" s="517">
        <f>入學要求!F29</f>
        <v>3</v>
      </c>
      <c r="Q9" s="517">
        <f>入學要求!G29</f>
        <v>2</v>
      </c>
      <c r="R9" s="517">
        <f>入學要求!H29</f>
        <v>3</v>
      </c>
      <c r="S9" s="517">
        <f>入學要求!I29</f>
        <v>3</v>
      </c>
      <c r="T9" s="576"/>
      <c r="U9" s="510" cm="1">
        <f t="array" ref="U9">IFERROR(INDEX('Offer Statistics'!$I$2:$I$206,MATCH(1,(CityU!$A9='Offer Statistics'!$B$2:$B$206)*(CityU!$T$2='Offer Statistics'!$C$2:$C$206),0)),"/")</f>
        <v>112</v>
      </c>
      <c r="V9" s="513" cm="1">
        <f t="array" ref="V9">IFERROR(INDEX('Offer Statistics'!D$2:D$206,MATCH(1,(CityU!$A9='Offer Statistics'!$B$2:$B$206)*(CityU!$T$2='Offer Statistics'!$C$2:$C$206),0)),"/")</f>
        <v>107</v>
      </c>
      <c r="W9" s="513" cm="1">
        <f t="array" ref="W9">IFERROR(INDEX('Offer Statistics'!E$2:E$206,MATCH(1,(CityU!$A9='Offer Statistics'!$B$2:$B$206)*(CityU!$T$2='Offer Statistics'!$C$2:$C$206),0)),"/")</f>
        <v>5</v>
      </c>
      <c r="X9" s="513" cm="1">
        <f t="array" ref="X9">IFERROR(INDEX('Offer Statistics'!F$2:F$206,MATCH(1,(CityU!$A9='Offer Statistics'!$B$2:$B$206)*(CityU!$T$2='Offer Statistics'!$C$2:$C$206),0)),"/")</f>
        <v>0</v>
      </c>
      <c r="Y9" s="513" cm="1">
        <f t="array" ref="Y9">IFERROR(INDEX('Offer Statistics'!G$2:G$206,MATCH(1,(CityU!$A9='Offer Statistics'!$B$2:$B$206)*(CityU!$T$2='Offer Statistics'!$C$2:$C$206),0)),"/")</f>
        <v>0</v>
      </c>
      <c r="Z9" s="513" cm="1">
        <f t="array" ref="Z9">IFERROR(INDEX('Offer Statistics'!H$2:H$206,MATCH(1,(CityU!$A9='Offer Statistics'!$B$2:$B$206)*(CityU!$T$2='Offer Statistics'!$C$2:$C$206),0)),"/")</f>
        <v>0</v>
      </c>
      <c r="AA9" s="577"/>
      <c r="AB9" s="510" cm="1">
        <f t="array" ref="AB9">IFERROR(INDEX('Offer Statistics'!$Q$2:$Q$206,MATCH(1,(CityU!$A9='Offer Statistics'!$B$2:$B$206)*(CityU!$T$2='Offer Statistics'!$K$2:$K$206),0)),"/")</f>
        <v>4915</v>
      </c>
      <c r="AC9" s="513" cm="1">
        <f t="array" ref="AC9">IFERROR(INDEX('Offer Statistics'!L$2:L$206,MATCH(1,(CityU!$A9='Offer Statistics'!$B$2:$B$206)*(CityU!$T$2='Offer Statistics'!$K$2:$K$206),0)),"/")</f>
        <v>1429</v>
      </c>
      <c r="AD9" s="513" cm="1">
        <f t="array" ref="AD9">IFERROR(INDEX('Offer Statistics'!M$2:M$206,MATCH(1,(CityU!$A9='Offer Statistics'!$B$2:$B$206)*(CityU!$T$2='Offer Statistics'!$K$2:$K$206),0)),"/")</f>
        <v>1035</v>
      </c>
      <c r="AE9" s="513" cm="1">
        <f t="array" ref="AE9">IFERROR(INDEX('Offer Statistics'!N$2:N$206,MATCH(1,(CityU!$A9='Offer Statistics'!$B$2:$B$206)*(CityU!$T$2='Offer Statistics'!$K$2:$K$206),0)),"/")</f>
        <v>960</v>
      </c>
      <c r="AF9" s="513" cm="1">
        <f t="array" ref="AF9">IFERROR(INDEX('Offer Statistics'!O$2:O$206,MATCH(1,(CityU!$A9='Offer Statistics'!$B$2:$B$206)*(CityU!$T$2='Offer Statistics'!$K$2:$K$206),0)),"/")</f>
        <v>872</v>
      </c>
      <c r="AG9" s="513" cm="1">
        <f t="array" ref="AG9">IFERROR(INDEX('Offer Statistics'!P$2:P$206,MATCH(1,(CityU!$A9='Offer Statistics'!$B$2:$B$206)*(CityU!$T$2='Offer Statistics'!$K$2:$K$206),0)),"/")</f>
        <v>619</v>
      </c>
      <c r="AH9" s="502"/>
      <c r="AI9" s="502" t="str">
        <f t="shared" si="2"/>
        <v>JS1014</v>
      </c>
      <c r="AJ9" s="503"/>
      <c r="AK9" s="503"/>
      <c r="AL9" s="503"/>
      <c r="AM9" s="503"/>
      <c r="AN9" s="503"/>
      <c r="AO9" s="503"/>
      <c r="AP9" s="503"/>
      <c r="AQ9" s="503"/>
      <c r="AR9" s="503"/>
      <c r="AS9" s="503"/>
      <c r="AT9" s="503"/>
      <c r="AU9" s="503"/>
      <c r="AV9" s="503"/>
      <c r="AW9" s="503"/>
      <c r="AX9" s="503"/>
    </row>
    <row r="10" spans="1:50" s="514" customFormat="1" ht="18" customHeight="1" x14ac:dyDescent="0.3">
      <c r="A10" s="502" t="str">
        <f>'Reference Score Calculation'!A21</f>
        <v>JS1017</v>
      </c>
      <c r="B10" s="503" t="str">
        <f>'Reference Score Calculation'!C21</f>
        <v>商學院</v>
      </c>
      <c r="C10" s="504" t="str">
        <f>'Reference Score Calculation'!D21</f>
        <v>資訊系統學系 [選項: 工商管理學士(環球商業系統管理)、工商管理學士(資訊管理)]</v>
      </c>
      <c r="D10" s="503" t="str">
        <f>'Reference Score Calculation'!T21</f>
        <v>IS</v>
      </c>
      <c r="E10" s="505" t="str">
        <f>'Reference Score Calculation'!E21</f>
        <v>4C2X</v>
      </c>
      <c r="F10" s="506">
        <f>'Reference Score Calculation'!G21</f>
        <v>24</v>
      </c>
      <c r="G10" s="506">
        <f>'Reference Score Calculation'!H21</f>
        <v>23</v>
      </c>
      <c r="H10" s="507">
        <f>計分版!H42</f>
        <v>2.8499999999999999E-9</v>
      </c>
      <c r="I10" s="515">
        <f t="shared" si="0"/>
        <v>-23.999999997149999</v>
      </c>
      <c r="J10" s="516">
        <f t="shared" si="1"/>
        <v>-8421052630.5789471</v>
      </c>
      <c r="K10" s="563">
        <f>入學要求!C30</f>
        <v>65</v>
      </c>
      <c r="L10" s="511">
        <f>入學要求!R30</f>
        <v>0</v>
      </c>
      <c r="M10" s="578" t="s">
        <v>2369</v>
      </c>
      <c r="N10" s="517">
        <f>入學要求!D30</f>
        <v>3</v>
      </c>
      <c r="O10" s="517">
        <f>入學要求!E30</f>
        <v>3</v>
      </c>
      <c r="P10" s="517">
        <f>入學要求!F30</f>
        <v>3</v>
      </c>
      <c r="Q10" s="517">
        <f>入學要求!G30</f>
        <v>2</v>
      </c>
      <c r="R10" s="517">
        <f>入學要求!H30</f>
        <v>3</v>
      </c>
      <c r="S10" s="517">
        <f>入學要求!I30</f>
        <v>3</v>
      </c>
      <c r="T10" s="576"/>
      <c r="U10" s="510" cm="1">
        <f t="array" ref="U10">IFERROR(INDEX('Offer Statistics'!$I$2:$I$206,MATCH(1,(CityU!$A10='Offer Statistics'!$B$2:$B$206)*(CityU!$T$2='Offer Statistics'!$C$2:$C$206),0)),"/")</f>
        <v>63</v>
      </c>
      <c r="V10" s="513" cm="1">
        <f t="array" ref="V10">IFERROR(INDEX('Offer Statistics'!D$2:D$206,MATCH(1,(CityU!$A10='Offer Statistics'!$B$2:$B$206)*(CityU!$T$2='Offer Statistics'!$C$2:$C$206),0)),"/")</f>
        <v>58</v>
      </c>
      <c r="W10" s="513" cm="1">
        <f t="array" ref="W10">IFERROR(INDEX('Offer Statistics'!E$2:E$206,MATCH(1,(CityU!$A10='Offer Statistics'!$B$2:$B$206)*(CityU!$T$2='Offer Statistics'!$C$2:$C$206),0)),"/")</f>
        <v>5</v>
      </c>
      <c r="X10" s="513" cm="1">
        <f t="array" ref="X10">IFERROR(INDEX('Offer Statistics'!F$2:F$206,MATCH(1,(CityU!$A10='Offer Statistics'!$B$2:$B$206)*(CityU!$T$2='Offer Statistics'!$C$2:$C$206),0)),"/")</f>
        <v>0</v>
      </c>
      <c r="Y10" s="513" cm="1">
        <f t="array" ref="Y10">IFERROR(INDEX('Offer Statistics'!G$2:G$206,MATCH(1,(CityU!$A10='Offer Statistics'!$B$2:$B$206)*(CityU!$T$2='Offer Statistics'!$C$2:$C$206),0)),"/")</f>
        <v>0</v>
      </c>
      <c r="Z10" s="513" cm="1">
        <f t="array" ref="Z10">IFERROR(INDEX('Offer Statistics'!H$2:H$206,MATCH(1,(CityU!$A10='Offer Statistics'!$B$2:$B$206)*(CityU!$T$2='Offer Statistics'!$C$2:$C$206),0)),"/")</f>
        <v>0</v>
      </c>
      <c r="AA10" s="577"/>
      <c r="AB10" s="510" cm="1">
        <f t="array" ref="AB10">IFERROR(INDEX('Offer Statistics'!$Q$2:$Q$206,MATCH(1,(CityU!$A10='Offer Statistics'!$B$2:$B$206)*(CityU!$T$2='Offer Statistics'!$K$2:$K$206),0)),"/")</f>
        <v>1739</v>
      </c>
      <c r="AC10" s="513" cm="1">
        <f t="array" ref="AC10">IFERROR(INDEX('Offer Statistics'!L$2:L$206,MATCH(1,(CityU!$A10='Offer Statistics'!$B$2:$B$206)*(CityU!$T$2='Offer Statistics'!$K$2:$K$206),0)),"/")</f>
        <v>306</v>
      </c>
      <c r="AD10" s="513" cm="1">
        <f t="array" ref="AD10">IFERROR(INDEX('Offer Statistics'!M$2:M$206,MATCH(1,(CityU!$A10='Offer Statistics'!$B$2:$B$206)*(CityU!$T$2='Offer Statistics'!$K$2:$K$206),0)),"/")</f>
        <v>283</v>
      </c>
      <c r="AE10" s="513" cm="1">
        <f t="array" ref="AE10">IFERROR(INDEX('Offer Statistics'!N$2:N$206,MATCH(1,(CityU!$A10='Offer Statistics'!$B$2:$B$206)*(CityU!$T$2='Offer Statistics'!$K$2:$K$206),0)),"/")</f>
        <v>375</v>
      </c>
      <c r="AF10" s="513" cm="1">
        <f t="array" ref="AF10">IFERROR(INDEX('Offer Statistics'!O$2:O$206,MATCH(1,(CityU!$A10='Offer Statistics'!$B$2:$B$206)*(CityU!$T$2='Offer Statistics'!$K$2:$K$206),0)),"/")</f>
        <v>450</v>
      </c>
      <c r="AG10" s="513" cm="1">
        <f t="array" ref="AG10">IFERROR(INDEX('Offer Statistics'!P$2:P$206,MATCH(1,(CityU!$A10='Offer Statistics'!$B$2:$B$206)*(CityU!$T$2='Offer Statistics'!$K$2:$K$206),0)),"/")</f>
        <v>325</v>
      </c>
      <c r="AH10" s="502"/>
      <c r="AI10" s="502" t="str">
        <f t="shared" si="2"/>
        <v>JS1017</v>
      </c>
      <c r="AJ10" s="503"/>
      <c r="AK10" s="503"/>
      <c r="AL10" s="503"/>
      <c r="AM10" s="503"/>
      <c r="AN10" s="503"/>
      <c r="AO10" s="503"/>
      <c r="AP10" s="503"/>
      <c r="AQ10" s="503"/>
      <c r="AR10" s="503"/>
      <c r="AS10" s="503"/>
      <c r="AT10" s="503"/>
      <c r="AU10" s="503"/>
      <c r="AV10" s="503"/>
      <c r="AW10" s="503"/>
      <c r="AX10" s="503"/>
    </row>
    <row r="11" spans="1:50" s="514" customFormat="1" ht="18" customHeight="1" x14ac:dyDescent="0.3">
      <c r="A11" s="502" t="str">
        <f>'Reference Score Calculation'!A22</f>
        <v>JS1018</v>
      </c>
      <c r="B11" s="503" t="str">
        <f>'Reference Score Calculation'!C22</f>
        <v>商學院</v>
      </c>
      <c r="C11" s="504" t="str">
        <f>'Reference Score Calculation'!D22</f>
        <v>工商管理學士(環球商業系統管理)</v>
      </c>
      <c r="D11" s="503" t="str">
        <f>'Reference Score Calculation'!T22</f>
        <v>BBAGBSM</v>
      </c>
      <c r="E11" s="505" t="str">
        <f>'Reference Score Calculation'!E22</f>
        <v>4C2X</v>
      </c>
      <c r="F11" s="506">
        <f>'Reference Score Calculation'!G22</f>
        <v>25</v>
      </c>
      <c r="G11" s="506">
        <f>'Reference Score Calculation'!H22</f>
        <v>24</v>
      </c>
      <c r="H11" s="507">
        <f>計分版!H43</f>
        <v>2.8499999999999999E-9</v>
      </c>
      <c r="I11" s="515">
        <f t="shared" si="0"/>
        <v>-24.999999997149999</v>
      </c>
      <c r="J11" s="516">
        <f t="shared" si="1"/>
        <v>-8771929823.5614033</v>
      </c>
      <c r="K11" s="563">
        <f>入學要求!C31</f>
        <v>10</v>
      </c>
      <c r="L11" s="511">
        <f>入學要求!R31</f>
        <v>0</v>
      </c>
      <c r="M11" s="578"/>
      <c r="N11" s="517">
        <f>入學要求!D31</f>
        <v>3</v>
      </c>
      <c r="O11" s="517">
        <f>入學要求!E31</f>
        <v>3</v>
      </c>
      <c r="P11" s="517">
        <f>入學要求!F31</f>
        <v>3</v>
      </c>
      <c r="Q11" s="517">
        <f>入學要求!G31</f>
        <v>2</v>
      </c>
      <c r="R11" s="517">
        <f>入學要求!H31</f>
        <v>3</v>
      </c>
      <c r="S11" s="517">
        <f>入學要求!I31</f>
        <v>3</v>
      </c>
      <c r="T11" s="576"/>
      <c r="U11" s="510" cm="1">
        <f t="array" ref="U11">IFERROR(INDEX('Offer Statistics'!$I$2:$I$206,MATCH(1,(CityU!$A11='Offer Statistics'!$B$2:$B$206)*(CityU!$T$2='Offer Statistics'!$C$2:$C$206),0)),"/")</f>
        <v>6</v>
      </c>
      <c r="V11" s="513" cm="1">
        <f t="array" ref="V11">IFERROR(INDEX('Offer Statistics'!D$2:D$206,MATCH(1,(CityU!$A11='Offer Statistics'!$B$2:$B$206)*(CityU!$T$2='Offer Statistics'!$C$2:$C$206),0)),"/")</f>
        <v>6</v>
      </c>
      <c r="W11" s="513" cm="1">
        <f t="array" ref="W11">IFERROR(INDEX('Offer Statistics'!E$2:E$206,MATCH(1,(CityU!$A11='Offer Statistics'!$B$2:$B$206)*(CityU!$T$2='Offer Statistics'!$C$2:$C$206),0)),"/")</f>
        <v>0</v>
      </c>
      <c r="X11" s="513" cm="1">
        <f t="array" ref="X11">IFERROR(INDEX('Offer Statistics'!F$2:F$206,MATCH(1,(CityU!$A11='Offer Statistics'!$B$2:$B$206)*(CityU!$T$2='Offer Statistics'!$C$2:$C$206),0)),"/")</f>
        <v>0</v>
      </c>
      <c r="Y11" s="513" cm="1">
        <f t="array" ref="Y11">IFERROR(INDEX('Offer Statistics'!G$2:G$206,MATCH(1,(CityU!$A11='Offer Statistics'!$B$2:$B$206)*(CityU!$T$2='Offer Statistics'!$C$2:$C$206),0)),"/")</f>
        <v>0</v>
      </c>
      <c r="Z11" s="513" cm="1">
        <f t="array" ref="Z11">IFERROR(INDEX('Offer Statistics'!H$2:H$206,MATCH(1,(CityU!$A11='Offer Statistics'!$B$2:$B$206)*(CityU!$T$2='Offer Statistics'!$C$2:$C$206),0)),"/")</f>
        <v>0</v>
      </c>
      <c r="AA11" s="577"/>
      <c r="AB11" s="510" cm="1">
        <f t="array" ref="AB11">IFERROR(INDEX('Offer Statistics'!$Q$2:$Q$206,MATCH(1,(CityU!$A11='Offer Statistics'!$B$2:$B$206)*(CityU!$T$2='Offer Statistics'!$K$2:$K$206),0)),"/")</f>
        <v>1032</v>
      </c>
      <c r="AC11" s="513" cm="1">
        <f t="array" ref="AC11">IFERROR(INDEX('Offer Statistics'!L$2:L$206,MATCH(1,(CityU!$A11='Offer Statistics'!$B$2:$B$206)*(CityU!$T$2='Offer Statistics'!$K$2:$K$206),0)),"/")</f>
        <v>64</v>
      </c>
      <c r="AD11" s="513" cm="1">
        <f t="array" ref="AD11">IFERROR(INDEX('Offer Statistics'!M$2:M$206,MATCH(1,(CityU!$A11='Offer Statistics'!$B$2:$B$206)*(CityU!$T$2='Offer Statistics'!$K$2:$K$206),0)),"/")</f>
        <v>124</v>
      </c>
      <c r="AE11" s="513" cm="1">
        <f t="array" ref="AE11">IFERROR(INDEX('Offer Statistics'!N$2:N$206,MATCH(1,(CityU!$A11='Offer Statistics'!$B$2:$B$206)*(CityU!$T$2='Offer Statistics'!$K$2:$K$206),0)),"/")</f>
        <v>229</v>
      </c>
      <c r="AF11" s="513" cm="1">
        <f t="array" ref="AF11">IFERROR(INDEX('Offer Statistics'!O$2:O$206,MATCH(1,(CityU!$A11='Offer Statistics'!$B$2:$B$206)*(CityU!$T$2='Offer Statistics'!$K$2:$K$206),0)),"/")</f>
        <v>328</v>
      </c>
      <c r="AG11" s="513" cm="1">
        <f t="array" ref="AG11">IFERROR(INDEX('Offer Statistics'!P$2:P$206,MATCH(1,(CityU!$A11='Offer Statistics'!$B$2:$B$206)*(CityU!$T$2='Offer Statistics'!$K$2:$K$206),0)),"/")</f>
        <v>287</v>
      </c>
      <c r="AH11" s="502"/>
      <c r="AI11" s="502" t="str">
        <f t="shared" si="2"/>
        <v>JS1018</v>
      </c>
      <c r="AJ11" s="503"/>
      <c r="AK11" s="503"/>
      <c r="AL11" s="503"/>
      <c r="AM11" s="503"/>
      <c r="AN11" s="503"/>
      <c r="AO11" s="503"/>
      <c r="AP11" s="503"/>
      <c r="AQ11" s="503"/>
      <c r="AR11" s="503"/>
      <c r="AS11" s="503"/>
      <c r="AT11" s="503"/>
      <c r="AU11" s="503"/>
      <c r="AV11" s="503"/>
      <c r="AW11" s="503"/>
      <c r="AX11" s="503"/>
    </row>
    <row r="12" spans="1:50" s="514" customFormat="1" ht="18" customHeight="1" x14ac:dyDescent="0.3">
      <c r="A12" s="502" t="str">
        <f>'Reference Score Calculation'!A23</f>
        <v>JS1019</v>
      </c>
      <c r="B12" s="503" t="str">
        <f>'Reference Score Calculation'!C23</f>
        <v>商學院</v>
      </c>
      <c r="C12" s="504" t="str">
        <f>'Reference Score Calculation'!D23</f>
        <v>工商管理學士(資訊管理)</v>
      </c>
      <c r="D12" s="503" t="str">
        <f>'Reference Score Calculation'!T23</f>
        <v>BBAIFMG</v>
      </c>
      <c r="E12" s="505" t="str">
        <f>'Reference Score Calculation'!E23</f>
        <v>4C2X</v>
      </c>
      <c r="F12" s="506">
        <f>'Reference Score Calculation'!G23</f>
        <v>24</v>
      </c>
      <c r="G12" s="506">
        <f>'Reference Score Calculation'!H23</f>
        <v>23</v>
      </c>
      <c r="H12" s="507">
        <f>計分版!H44</f>
        <v>2.8499999999999999E-9</v>
      </c>
      <c r="I12" s="515">
        <f t="shared" si="0"/>
        <v>-23.999999997149999</v>
      </c>
      <c r="J12" s="516">
        <f t="shared" si="1"/>
        <v>-8421052630.5789471</v>
      </c>
      <c r="K12" s="563">
        <f>入學要求!C32</f>
        <v>10</v>
      </c>
      <c r="L12" s="511">
        <f>入學要求!R32</f>
        <v>0</v>
      </c>
      <c r="M12" s="578"/>
      <c r="N12" s="517">
        <f>入學要求!D32</f>
        <v>3</v>
      </c>
      <c r="O12" s="517">
        <f>入學要求!E32</f>
        <v>3</v>
      </c>
      <c r="P12" s="517">
        <f>入學要求!F32</f>
        <v>3</v>
      </c>
      <c r="Q12" s="517">
        <f>入學要求!G32</f>
        <v>2</v>
      </c>
      <c r="R12" s="517">
        <f>入學要求!H32</f>
        <v>3</v>
      </c>
      <c r="S12" s="517">
        <f>入學要求!I32</f>
        <v>3</v>
      </c>
      <c r="T12" s="576"/>
      <c r="U12" s="510" cm="1">
        <f t="array" ref="U12">IFERROR(INDEX('Offer Statistics'!$I$2:$I$206,MATCH(1,(CityU!$A12='Offer Statistics'!$B$2:$B$206)*(CityU!$T$2='Offer Statistics'!$C$2:$C$206),0)),"/")</f>
        <v>6</v>
      </c>
      <c r="V12" s="513" cm="1">
        <f t="array" ref="V12">IFERROR(INDEX('Offer Statistics'!D$2:D$206,MATCH(1,(CityU!$A12='Offer Statistics'!$B$2:$B$206)*(CityU!$T$2='Offer Statistics'!$C$2:$C$206),0)),"/")</f>
        <v>5</v>
      </c>
      <c r="W12" s="513" cm="1">
        <f t="array" ref="W12">IFERROR(INDEX('Offer Statistics'!E$2:E$206,MATCH(1,(CityU!$A12='Offer Statistics'!$B$2:$B$206)*(CityU!$T$2='Offer Statistics'!$C$2:$C$206),0)),"/")</f>
        <v>1</v>
      </c>
      <c r="X12" s="513" cm="1">
        <f t="array" ref="X12">IFERROR(INDEX('Offer Statistics'!F$2:F$206,MATCH(1,(CityU!$A12='Offer Statistics'!$B$2:$B$206)*(CityU!$T$2='Offer Statistics'!$C$2:$C$206),0)),"/")</f>
        <v>0</v>
      </c>
      <c r="Y12" s="513" cm="1">
        <f t="array" ref="Y12">IFERROR(INDEX('Offer Statistics'!G$2:G$206,MATCH(1,(CityU!$A12='Offer Statistics'!$B$2:$B$206)*(CityU!$T$2='Offer Statistics'!$C$2:$C$206),0)),"/")</f>
        <v>0</v>
      </c>
      <c r="Z12" s="513" cm="1">
        <f t="array" ref="Z12">IFERROR(INDEX('Offer Statistics'!H$2:H$206,MATCH(1,(CityU!$A12='Offer Statistics'!$B$2:$B$206)*(CityU!$T$2='Offer Statistics'!$C$2:$C$206),0)),"/")</f>
        <v>0</v>
      </c>
      <c r="AA12" s="577"/>
      <c r="AB12" s="510" cm="1">
        <f t="array" ref="AB12">IFERROR(INDEX('Offer Statistics'!$Q$2:$Q$206,MATCH(1,(CityU!$A12='Offer Statistics'!$B$2:$B$206)*(CityU!$T$2='Offer Statistics'!$K$2:$K$206),0)),"/")</f>
        <v>2275</v>
      </c>
      <c r="AC12" s="513" cm="1">
        <f t="array" ref="AC12">IFERROR(INDEX('Offer Statistics'!L$2:L$206,MATCH(1,(CityU!$A12='Offer Statistics'!$B$2:$B$206)*(CityU!$T$2='Offer Statistics'!$K$2:$K$206),0)),"/")</f>
        <v>269</v>
      </c>
      <c r="AD12" s="513" cm="1">
        <f t="array" ref="AD12">IFERROR(INDEX('Offer Statistics'!M$2:M$206,MATCH(1,(CityU!$A12='Offer Statistics'!$B$2:$B$206)*(CityU!$T$2='Offer Statistics'!$K$2:$K$206),0)),"/")</f>
        <v>384</v>
      </c>
      <c r="AE12" s="513" cm="1">
        <f t="array" ref="AE12">IFERROR(INDEX('Offer Statistics'!N$2:N$206,MATCH(1,(CityU!$A12='Offer Statistics'!$B$2:$B$206)*(CityU!$T$2='Offer Statistics'!$K$2:$K$206),0)),"/")</f>
        <v>561</v>
      </c>
      <c r="AF12" s="513" cm="1">
        <f t="array" ref="AF12">IFERROR(INDEX('Offer Statistics'!O$2:O$206,MATCH(1,(CityU!$A12='Offer Statistics'!$B$2:$B$206)*(CityU!$T$2='Offer Statistics'!$K$2:$K$206),0)),"/")</f>
        <v>625</v>
      </c>
      <c r="AG12" s="513" cm="1">
        <f t="array" ref="AG12">IFERROR(INDEX('Offer Statistics'!P$2:P$206,MATCH(1,(CityU!$A12='Offer Statistics'!$B$2:$B$206)*(CityU!$T$2='Offer Statistics'!$K$2:$K$206),0)),"/")</f>
        <v>436</v>
      </c>
      <c r="AH12" s="502"/>
      <c r="AI12" s="502" t="str">
        <f t="shared" si="2"/>
        <v>JS1019</v>
      </c>
      <c r="AJ12" s="503"/>
      <c r="AK12" s="503"/>
      <c r="AL12" s="503"/>
      <c r="AM12" s="503"/>
      <c r="AN12" s="503"/>
      <c r="AO12" s="503"/>
      <c r="AP12" s="503"/>
      <c r="AQ12" s="503"/>
      <c r="AR12" s="503"/>
      <c r="AS12" s="503"/>
      <c r="AT12" s="503"/>
      <c r="AU12" s="503"/>
      <c r="AV12" s="503"/>
      <c r="AW12" s="503"/>
      <c r="AX12" s="503"/>
    </row>
    <row r="13" spans="1:50" s="514" customFormat="1" ht="18" customHeight="1" x14ac:dyDescent="0.3">
      <c r="A13" s="502" t="str">
        <f>'Reference Score Calculation'!A24</f>
        <v>JS1025</v>
      </c>
      <c r="B13" s="503" t="str">
        <f>'Reference Score Calculation'!C24</f>
        <v>商學院</v>
      </c>
      <c r="C13" s="504" t="str">
        <f>'Reference Score Calculation'!D24</f>
        <v>管理科學系 [選項: 工商管理學士(商業分析)、工商管理學士(商業營運管理)]</v>
      </c>
      <c r="D13" s="503" t="str">
        <f>'Reference Score Calculation'!T24</f>
        <v>MS</v>
      </c>
      <c r="E13" s="505" t="str">
        <f>'Reference Score Calculation'!E24</f>
        <v>4C2X</v>
      </c>
      <c r="F13" s="506">
        <f>'Reference Score Calculation'!G24</f>
        <v>24</v>
      </c>
      <c r="G13" s="506">
        <f>'Reference Score Calculation'!H24</f>
        <v>23</v>
      </c>
      <c r="H13" s="507">
        <f>計分版!H45</f>
        <v>2.8499999999999999E-9</v>
      </c>
      <c r="I13" s="515">
        <f t="shared" si="0"/>
        <v>-23.999999997149999</v>
      </c>
      <c r="J13" s="516">
        <f t="shared" si="1"/>
        <v>-8421052630.5789471</v>
      </c>
      <c r="K13" s="563">
        <f>入學要求!C33</f>
        <v>24</v>
      </c>
      <c r="L13" s="511">
        <f>入學要求!R33</f>
        <v>0</v>
      </c>
      <c r="M13" s="578" t="s">
        <v>2366</v>
      </c>
      <c r="N13" s="517">
        <f>入學要求!D33</f>
        <v>3</v>
      </c>
      <c r="O13" s="517">
        <f>入學要求!E33</f>
        <v>3</v>
      </c>
      <c r="P13" s="517">
        <f>入學要求!F33</f>
        <v>3</v>
      </c>
      <c r="Q13" s="517">
        <f>入學要求!G33</f>
        <v>2</v>
      </c>
      <c r="R13" s="517">
        <f>入學要求!H33</f>
        <v>3</v>
      </c>
      <c r="S13" s="517">
        <f>入學要求!I33</f>
        <v>3</v>
      </c>
      <c r="T13" s="576"/>
      <c r="U13" s="510" cm="1">
        <f t="array" ref="U13">IFERROR(INDEX('Offer Statistics'!$I$2:$I$206,MATCH(1,(CityU!$A13='Offer Statistics'!$B$2:$B$206)*(CityU!$T$2='Offer Statistics'!$C$2:$C$206),0)),"/")</f>
        <v>21</v>
      </c>
      <c r="V13" s="513" cm="1">
        <f t="array" ref="V13">IFERROR(INDEX('Offer Statistics'!D$2:D$206,MATCH(1,(CityU!$A13='Offer Statistics'!$B$2:$B$206)*(CityU!$T$2='Offer Statistics'!$C$2:$C$206),0)),"/")</f>
        <v>19</v>
      </c>
      <c r="W13" s="513" cm="1">
        <f t="array" ref="W13">IFERROR(INDEX('Offer Statistics'!E$2:E$206,MATCH(1,(CityU!$A13='Offer Statistics'!$B$2:$B$206)*(CityU!$T$2='Offer Statistics'!$C$2:$C$206),0)),"/")</f>
        <v>1</v>
      </c>
      <c r="X13" s="513" cm="1">
        <f t="array" ref="X13">IFERROR(INDEX('Offer Statistics'!F$2:F$206,MATCH(1,(CityU!$A13='Offer Statistics'!$B$2:$B$206)*(CityU!$T$2='Offer Statistics'!$C$2:$C$206),0)),"/")</f>
        <v>0</v>
      </c>
      <c r="Y13" s="513" cm="1">
        <f t="array" ref="Y13">IFERROR(INDEX('Offer Statistics'!G$2:G$206,MATCH(1,(CityU!$A13='Offer Statistics'!$B$2:$B$206)*(CityU!$T$2='Offer Statistics'!$C$2:$C$206),0)),"/")</f>
        <v>1</v>
      </c>
      <c r="Z13" s="513" cm="1">
        <f t="array" ref="Z13">IFERROR(INDEX('Offer Statistics'!H$2:H$206,MATCH(1,(CityU!$A13='Offer Statistics'!$B$2:$B$206)*(CityU!$T$2='Offer Statistics'!$C$2:$C$206),0)),"/")</f>
        <v>0</v>
      </c>
      <c r="AA13" s="577"/>
      <c r="AB13" s="510" cm="1">
        <f t="array" ref="AB13">IFERROR(INDEX('Offer Statistics'!$Q$2:$Q$206,MATCH(1,(CityU!$A13='Offer Statistics'!$B$2:$B$206)*(CityU!$T$2='Offer Statistics'!$K$2:$K$206),0)),"/")</f>
        <v>1541</v>
      </c>
      <c r="AC13" s="513" cm="1">
        <f t="array" ref="AC13">IFERROR(INDEX('Offer Statistics'!L$2:L$206,MATCH(1,(CityU!$A13='Offer Statistics'!$B$2:$B$206)*(CityU!$T$2='Offer Statistics'!$K$2:$K$206),0)),"/")</f>
        <v>95</v>
      </c>
      <c r="AD13" s="513" cm="1">
        <f t="array" ref="AD13">IFERROR(INDEX('Offer Statistics'!M$2:M$206,MATCH(1,(CityU!$A13='Offer Statistics'!$B$2:$B$206)*(CityU!$T$2='Offer Statistics'!$K$2:$K$206),0)),"/")</f>
        <v>221</v>
      </c>
      <c r="AE13" s="513" cm="1">
        <f t="array" ref="AE13">IFERROR(INDEX('Offer Statistics'!N$2:N$206,MATCH(1,(CityU!$A13='Offer Statistics'!$B$2:$B$206)*(CityU!$T$2='Offer Statistics'!$K$2:$K$206),0)),"/")</f>
        <v>380</v>
      </c>
      <c r="AF13" s="513" cm="1">
        <f t="array" ref="AF13">IFERROR(INDEX('Offer Statistics'!O$2:O$206,MATCH(1,(CityU!$A13='Offer Statistics'!$B$2:$B$206)*(CityU!$T$2='Offer Statistics'!$K$2:$K$206),0)),"/")</f>
        <v>501</v>
      </c>
      <c r="AG13" s="513" cm="1">
        <f t="array" ref="AG13">IFERROR(INDEX('Offer Statistics'!P$2:P$206,MATCH(1,(CityU!$A13='Offer Statistics'!$B$2:$B$206)*(CityU!$T$2='Offer Statistics'!$K$2:$K$206),0)),"/")</f>
        <v>344</v>
      </c>
      <c r="AH13" s="502"/>
      <c r="AI13" s="502" t="str">
        <f t="shared" si="2"/>
        <v>JS1025</v>
      </c>
      <c r="AJ13" s="503"/>
      <c r="AK13" s="503"/>
      <c r="AL13" s="503"/>
      <c r="AM13" s="503"/>
      <c r="AN13" s="503"/>
      <c r="AO13" s="503"/>
      <c r="AP13" s="503"/>
      <c r="AQ13" s="503"/>
      <c r="AR13" s="503"/>
      <c r="AS13" s="503"/>
      <c r="AT13" s="503"/>
      <c r="AU13" s="503"/>
      <c r="AV13" s="503"/>
      <c r="AW13" s="503"/>
      <c r="AX13" s="503"/>
    </row>
    <row r="14" spans="1:50" s="514" customFormat="1" ht="18" customHeight="1" x14ac:dyDescent="0.3">
      <c r="A14" s="502" t="str">
        <f>'Reference Score Calculation'!A25</f>
        <v>JS1026</v>
      </c>
      <c r="B14" s="503" t="str">
        <f>'Reference Score Calculation'!C25</f>
        <v>商學院</v>
      </c>
      <c r="C14" s="504" t="str">
        <f>'Reference Score Calculation'!D25</f>
        <v>工商管理學士(商業分析)</v>
      </c>
      <c r="D14" s="503" t="str">
        <f>'Reference Score Calculation'!T25</f>
        <v>BBABANL</v>
      </c>
      <c r="E14" s="505" t="str">
        <f>'Reference Score Calculation'!E25</f>
        <v>4C2X</v>
      </c>
      <c r="F14" s="506">
        <f>'Reference Score Calculation'!G25</f>
        <v>23</v>
      </c>
      <c r="G14" s="506">
        <f>'Reference Score Calculation'!H25</f>
        <v>23</v>
      </c>
      <c r="H14" s="507">
        <f>計分版!H46</f>
        <v>2.8499999999999999E-9</v>
      </c>
      <c r="I14" s="515">
        <f t="shared" si="0"/>
        <v>-22.999999997149999</v>
      </c>
      <c r="J14" s="516">
        <f t="shared" si="1"/>
        <v>-8070175437.5964909</v>
      </c>
      <c r="K14" s="563">
        <f>入學要求!C34</f>
        <v>24</v>
      </c>
      <c r="L14" s="511">
        <f>入學要求!R34</f>
        <v>0</v>
      </c>
      <c r="M14" s="578"/>
      <c r="N14" s="517">
        <f>入學要求!D34</f>
        <v>3</v>
      </c>
      <c r="O14" s="517">
        <f>入學要求!E34</f>
        <v>3</v>
      </c>
      <c r="P14" s="517">
        <f>入學要求!F34</f>
        <v>3</v>
      </c>
      <c r="Q14" s="517">
        <f>入學要求!G34</f>
        <v>2</v>
      </c>
      <c r="R14" s="517">
        <f>入學要求!H34</f>
        <v>3</v>
      </c>
      <c r="S14" s="517">
        <f>入學要求!I34</f>
        <v>3</v>
      </c>
      <c r="T14" s="576"/>
      <c r="U14" s="510" cm="1">
        <f t="array" ref="U14">IFERROR(INDEX('Offer Statistics'!$I$2:$I$206,MATCH(1,(CityU!$A14='Offer Statistics'!$B$2:$B$206)*(CityU!$T$2='Offer Statistics'!$C$2:$C$206),0)),"/")</f>
        <v>25</v>
      </c>
      <c r="V14" s="513" cm="1">
        <f t="array" ref="V14">IFERROR(INDEX('Offer Statistics'!D$2:D$206,MATCH(1,(CityU!$A14='Offer Statistics'!$B$2:$B$206)*(CityU!$T$2='Offer Statistics'!$C$2:$C$206),0)),"/")</f>
        <v>22</v>
      </c>
      <c r="W14" s="513" cm="1">
        <f t="array" ref="W14">IFERROR(INDEX('Offer Statistics'!E$2:E$206,MATCH(1,(CityU!$A14='Offer Statistics'!$B$2:$B$206)*(CityU!$T$2='Offer Statistics'!$C$2:$C$206),0)),"/")</f>
        <v>2</v>
      </c>
      <c r="X14" s="513" cm="1">
        <f t="array" ref="X14">IFERROR(INDEX('Offer Statistics'!F$2:F$206,MATCH(1,(CityU!$A14='Offer Statistics'!$B$2:$B$206)*(CityU!$T$2='Offer Statistics'!$C$2:$C$206),0)),"/")</f>
        <v>1</v>
      </c>
      <c r="Y14" s="513" cm="1">
        <f t="array" ref="Y14">IFERROR(INDEX('Offer Statistics'!G$2:G$206,MATCH(1,(CityU!$A14='Offer Statistics'!$B$2:$B$206)*(CityU!$T$2='Offer Statistics'!$C$2:$C$206),0)),"/")</f>
        <v>0</v>
      </c>
      <c r="Z14" s="513" cm="1">
        <f t="array" ref="Z14">IFERROR(INDEX('Offer Statistics'!H$2:H$206,MATCH(1,(CityU!$A14='Offer Statistics'!$B$2:$B$206)*(CityU!$T$2='Offer Statistics'!$C$2:$C$206),0)),"/")</f>
        <v>0</v>
      </c>
      <c r="AA14" s="577"/>
      <c r="AB14" s="510" cm="1">
        <f t="array" ref="AB14">IFERROR(INDEX('Offer Statistics'!$Q$2:$Q$206,MATCH(1,(CityU!$A14='Offer Statistics'!$B$2:$B$206)*(CityU!$T$2='Offer Statistics'!$K$2:$K$206),0)),"/")</f>
        <v>2094</v>
      </c>
      <c r="AC14" s="513" cm="1">
        <f t="array" ref="AC14">IFERROR(INDEX('Offer Statistics'!L$2:L$206,MATCH(1,(CityU!$A14='Offer Statistics'!$B$2:$B$206)*(CityU!$T$2='Offer Statistics'!$K$2:$K$206),0)),"/")</f>
        <v>148</v>
      </c>
      <c r="AD14" s="513" cm="1">
        <f t="array" ref="AD14">IFERROR(INDEX('Offer Statistics'!M$2:M$206,MATCH(1,(CityU!$A14='Offer Statistics'!$B$2:$B$206)*(CityU!$T$2='Offer Statistics'!$K$2:$K$206),0)),"/")</f>
        <v>308</v>
      </c>
      <c r="AE14" s="513" cm="1">
        <f t="array" ref="AE14">IFERROR(INDEX('Offer Statistics'!N$2:N$206,MATCH(1,(CityU!$A14='Offer Statistics'!$B$2:$B$206)*(CityU!$T$2='Offer Statistics'!$K$2:$K$206),0)),"/")</f>
        <v>529</v>
      </c>
      <c r="AF14" s="513" cm="1">
        <f t="array" ref="AF14">IFERROR(INDEX('Offer Statistics'!O$2:O$206,MATCH(1,(CityU!$A14='Offer Statistics'!$B$2:$B$206)*(CityU!$T$2='Offer Statistics'!$K$2:$K$206),0)),"/")</f>
        <v>673</v>
      </c>
      <c r="AG14" s="513" cm="1">
        <f t="array" ref="AG14">IFERROR(INDEX('Offer Statistics'!P$2:P$206,MATCH(1,(CityU!$A14='Offer Statistics'!$B$2:$B$206)*(CityU!$T$2='Offer Statistics'!$K$2:$K$206),0)),"/")</f>
        <v>436</v>
      </c>
      <c r="AH14" s="502"/>
      <c r="AI14" s="502" t="str">
        <f t="shared" si="2"/>
        <v>JS1026</v>
      </c>
      <c r="AJ14" s="503"/>
      <c r="AK14" s="503"/>
      <c r="AL14" s="503"/>
      <c r="AM14" s="503"/>
      <c r="AN14" s="503"/>
      <c r="AO14" s="503"/>
      <c r="AP14" s="503"/>
      <c r="AQ14" s="503"/>
      <c r="AR14" s="503"/>
      <c r="AS14" s="503"/>
      <c r="AT14" s="503"/>
      <c r="AU14" s="503"/>
      <c r="AV14" s="503"/>
      <c r="AW14" s="503"/>
      <c r="AX14" s="503"/>
    </row>
    <row r="15" spans="1:50" s="514" customFormat="1" ht="18" customHeight="1" x14ac:dyDescent="0.3">
      <c r="A15" s="502" t="str">
        <f>'Reference Score Calculation'!A26</f>
        <v>JS1027</v>
      </c>
      <c r="B15" s="503" t="str">
        <f>'Reference Score Calculation'!C26</f>
        <v>商學院</v>
      </c>
      <c r="C15" s="504" t="str">
        <f>'Reference Score Calculation'!D26</f>
        <v>工商管理學士(商業營運管理)</v>
      </c>
      <c r="D15" s="503" t="str">
        <f>'Reference Score Calculation'!T26</f>
        <v>BBABOM</v>
      </c>
      <c r="E15" s="505" t="str">
        <f>'Reference Score Calculation'!E26</f>
        <v>4C2X</v>
      </c>
      <c r="F15" s="506">
        <f>'Reference Score Calculation'!G26</f>
        <v>23</v>
      </c>
      <c r="G15" s="506">
        <f>'Reference Score Calculation'!H26</f>
        <v>23</v>
      </c>
      <c r="H15" s="507">
        <f>計分版!H47</f>
        <v>2.8499999999999999E-9</v>
      </c>
      <c r="I15" s="515">
        <f t="shared" si="0"/>
        <v>-22.999999997149999</v>
      </c>
      <c r="J15" s="516">
        <f t="shared" si="1"/>
        <v>-8070175437.5964909</v>
      </c>
      <c r="K15" s="563">
        <f>入學要求!C35</f>
        <v>24</v>
      </c>
      <c r="L15" s="511">
        <f>入學要求!R35</f>
        <v>0</v>
      </c>
      <c r="M15" s="578"/>
      <c r="N15" s="517">
        <f>入學要求!D35</f>
        <v>3</v>
      </c>
      <c r="O15" s="517">
        <f>入學要求!E35</f>
        <v>3</v>
      </c>
      <c r="P15" s="517">
        <f>入學要求!F35</f>
        <v>3</v>
      </c>
      <c r="Q15" s="517">
        <f>入學要求!G35</f>
        <v>2</v>
      </c>
      <c r="R15" s="517">
        <f>入學要求!H35</f>
        <v>3</v>
      </c>
      <c r="S15" s="517">
        <f>入學要求!I35</f>
        <v>3</v>
      </c>
      <c r="T15" s="576"/>
      <c r="U15" s="510" cm="1">
        <f t="array" ref="U15">IFERROR(INDEX('Offer Statistics'!$I$2:$I$206,MATCH(1,(CityU!$A15='Offer Statistics'!$B$2:$B$206)*(CityU!$T$2='Offer Statistics'!$C$2:$C$206),0)),"/")</f>
        <v>33</v>
      </c>
      <c r="V15" s="513" cm="1">
        <f t="array" ref="V15">IFERROR(INDEX('Offer Statistics'!D$2:D$206,MATCH(1,(CityU!$A15='Offer Statistics'!$B$2:$B$206)*(CityU!$T$2='Offer Statistics'!$C$2:$C$206),0)),"/")</f>
        <v>22</v>
      </c>
      <c r="W15" s="513" cm="1">
        <f t="array" ref="W15">IFERROR(INDEX('Offer Statistics'!E$2:E$206,MATCH(1,(CityU!$A15='Offer Statistics'!$B$2:$B$206)*(CityU!$T$2='Offer Statistics'!$C$2:$C$206),0)),"/")</f>
        <v>11</v>
      </c>
      <c r="X15" s="513" cm="1">
        <f t="array" ref="X15">IFERROR(INDEX('Offer Statistics'!F$2:F$206,MATCH(1,(CityU!$A15='Offer Statistics'!$B$2:$B$206)*(CityU!$T$2='Offer Statistics'!$C$2:$C$206),0)),"/")</f>
        <v>0</v>
      </c>
      <c r="Y15" s="513" cm="1">
        <f t="array" ref="Y15">IFERROR(INDEX('Offer Statistics'!G$2:G$206,MATCH(1,(CityU!$A15='Offer Statistics'!$B$2:$B$206)*(CityU!$T$2='Offer Statistics'!$C$2:$C$206),0)),"/")</f>
        <v>0</v>
      </c>
      <c r="Z15" s="513" cm="1">
        <f t="array" ref="Z15">IFERROR(INDEX('Offer Statistics'!H$2:H$206,MATCH(1,(CityU!$A15='Offer Statistics'!$B$2:$B$206)*(CityU!$T$2='Offer Statistics'!$C$2:$C$206),0)),"/")</f>
        <v>0</v>
      </c>
      <c r="AA15" s="577"/>
      <c r="AB15" s="510" cm="1">
        <f t="array" ref="AB15">IFERROR(INDEX('Offer Statistics'!$Q$2:$Q$206,MATCH(1,(CityU!$A15='Offer Statistics'!$B$2:$B$206)*(CityU!$T$2='Offer Statistics'!$K$2:$K$206),0)),"/")</f>
        <v>3460</v>
      </c>
      <c r="AC15" s="513" cm="1">
        <f t="array" ref="AC15">IFERROR(INDEX('Offer Statistics'!L$2:L$206,MATCH(1,(CityU!$A15='Offer Statistics'!$B$2:$B$206)*(CityU!$T$2='Offer Statistics'!$K$2:$K$206),0)),"/")</f>
        <v>411</v>
      </c>
      <c r="AD15" s="513" cm="1">
        <f t="array" ref="AD15">IFERROR(INDEX('Offer Statistics'!M$2:M$206,MATCH(1,(CityU!$A15='Offer Statistics'!$B$2:$B$206)*(CityU!$T$2='Offer Statistics'!$K$2:$K$206),0)),"/")</f>
        <v>641</v>
      </c>
      <c r="AE15" s="513" cm="1">
        <f t="array" ref="AE15">IFERROR(INDEX('Offer Statistics'!N$2:N$206,MATCH(1,(CityU!$A15='Offer Statistics'!$B$2:$B$206)*(CityU!$T$2='Offer Statistics'!$K$2:$K$206),0)),"/")</f>
        <v>812</v>
      </c>
      <c r="AF15" s="513" cm="1">
        <f t="array" ref="AF15">IFERROR(INDEX('Offer Statistics'!O$2:O$206,MATCH(1,(CityU!$A15='Offer Statistics'!$B$2:$B$206)*(CityU!$T$2='Offer Statistics'!$K$2:$K$206),0)),"/")</f>
        <v>961</v>
      </c>
      <c r="AG15" s="513" cm="1">
        <f t="array" ref="AG15">IFERROR(INDEX('Offer Statistics'!P$2:P$206,MATCH(1,(CityU!$A15='Offer Statistics'!$B$2:$B$206)*(CityU!$T$2='Offer Statistics'!$K$2:$K$206),0)),"/")</f>
        <v>635</v>
      </c>
      <c r="AH15" s="502"/>
      <c r="AI15" s="502" t="str">
        <f t="shared" si="2"/>
        <v>JS1027</v>
      </c>
      <c r="AJ15" s="503"/>
      <c r="AK15" s="503"/>
      <c r="AL15" s="503"/>
      <c r="AM15" s="503"/>
      <c r="AN15" s="503"/>
      <c r="AO15" s="503"/>
      <c r="AP15" s="503"/>
      <c r="AQ15" s="503"/>
      <c r="AR15" s="503"/>
      <c r="AS15" s="503"/>
      <c r="AT15" s="503"/>
      <c r="AU15" s="503"/>
      <c r="AV15" s="503"/>
      <c r="AW15" s="503"/>
      <c r="AX15" s="503"/>
    </row>
    <row r="16" spans="1:50" s="514" customFormat="1" ht="18" customHeight="1" x14ac:dyDescent="0.3">
      <c r="A16" s="502" t="str">
        <f>'Reference Score Calculation'!A27</f>
        <v>JS1041</v>
      </c>
      <c r="B16" s="503" t="str">
        <f>'Reference Score Calculation'!C27</f>
        <v>創意媒體學院</v>
      </c>
      <c r="C16" s="504" t="str">
        <f>'Reference Score Calculation'!D27</f>
        <v>創意媒體學院 [選項: 文學士(創意媒體)、理學士(創意媒體)、文理學士(新媒體)]</v>
      </c>
      <c r="D16" s="503" t="str">
        <f>'Reference Score Calculation'!T27</f>
        <v>SCM</v>
      </c>
      <c r="E16" s="519" t="str">
        <f>'Reference Score Calculation'!E27</f>
        <v>4C2X</v>
      </c>
      <c r="F16" s="506">
        <f>'Reference Score Calculation'!G27</f>
        <v>28</v>
      </c>
      <c r="G16" s="506">
        <f>'Reference Score Calculation'!H27</f>
        <v>27</v>
      </c>
      <c r="H16" s="507">
        <f>計分版!H48</f>
        <v>3.05E-9</v>
      </c>
      <c r="I16" s="515">
        <f t="shared" si="0"/>
        <v>-27.999999996949999</v>
      </c>
      <c r="J16" s="516">
        <f t="shared" si="1"/>
        <v>-9180327867.852459</v>
      </c>
      <c r="K16" s="563">
        <f>入學要求!C36</f>
        <v>24</v>
      </c>
      <c r="L16" s="511">
        <f>入學要求!R36</f>
        <v>0</v>
      </c>
      <c r="M16" s="578" t="s">
        <v>2150</v>
      </c>
      <c r="N16" s="517">
        <f>入學要求!D36</f>
        <v>3</v>
      </c>
      <c r="O16" s="517">
        <f>入學要求!E36</f>
        <v>3</v>
      </c>
      <c r="P16" s="517">
        <f>入學要求!F36</f>
        <v>2</v>
      </c>
      <c r="Q16" s="517">
        <f>入學要求!G36</f>
        <v>2</v>
      </c>
      <c r="R16" s="517">
        <f>入學要求!H36</f>
        <v>3</v>
      </c>
      <c r="S16" s="517">
        <f>入學要求!I36</f>
        <v>3</v>
      </c>
      <c r="T16" s="576"/>
      <c r="U16" s="510" cm="1">
        <f t="array" ref="U16">IFERROR(INDEX('Offer Statistics'!$I$2:$I$206,MATCH(1,(CityU!$A16='Offer Statistics'!$B$2:$B$206)*(CityU!$T$2='Offer Statistics'!$C$2:$C$206),0)),"/")</f>
        <v>35</v>
      </c>
      <c r="V16" s="513" cm="1">
        <f t="array" ref="V16">IFERROR(INDEX('Offer Statistics'!D$2:D$206,MATCH(1,(CityU!$A16='Offer Statistics'!$B$2:$B$206)*(CityU!$T$2='Offer Statistics'!$C$2:$C$206),0)),"/")</f>
        <v>35</v>
      </c>
      <c r="W16" s="513" cm="1">
        <f t="array" ref="W16">IFERROR(INDEX('Offer Statistics'!E$2:E$206,MATCH(1,(CityU!$A16='Offer Statistics'!$B$2:$B$206)*(CityU!$T$2='Offer Statistics'!$C$2:$C$206),0)),"/")</f>
        <v>0</v>
      </c>
      <c r="X16" s="513" cm="1">
        <f t="array" ref="X16">IFERROR(INDEX('Offer Statistics'!F$2:F$206,MATCH(1,(CityU!$A16='Offer Statistics'!$B$2:$B$206)*(CityU!$T$2='Offer Statistics'!$C$2:$C$206),0)),"/")</f>
        <v>0</v>
      </c>
      <c r="Y16" s="513" cm="1">
        <f t="array" ref="Y16">IFERROR(INDEX('Offer Statistics'!G$2:G$206,MATCH(1,(CityU!$A16='Offer Statistics'!$B$2:$B$206)*(CityU!$T$2='Offer Statistics'!$C$2:$C$206),0)),"/")</f>
        <v>0</v>
      </c>
      <c r="Z16" s="513" cm="1">
        <f t="array" ref="Z16">IFERROR(INDEX('Offer Statistics'!H$2:H$206,MATCH(1,(CityU!$A16='Offer Statistics'!$B$2:$B$206)*(CityU!$T$2='Offer Statistics'!$C$2:$C$206),0)),"/")</f>
        <v>0</v>
      </c>
      <c r="AA16" s="577"/>
      <c r="AB16" s="510" cm="1">
        <f t="array" ref="AB16">IFERROR(INDEX('Offer Statistics'!$Q$2:$Q$206,MATCH(1,(CityU!$A16='Offer Statistics'!$B$2:$B$206)*(CityU!$T$2='Offer Statistics'!$K$2:$K$206),0)),"/")</f>
        <v>2489</v>
      </c>
      <c r="AC16" s="513" cm="1">
        <f t="array" ref="AC16">IFERROR(INDEX('Offer Statistics'!L$2:L$206,MATCH(1,(CityU!$A16='Offer Statistics'!$B$2:$B$206)*(CityU!$T$2='Offer Statistics'!$K$2:$K$206),0)),"/")</f>
        <v>382</v>
      </c>
      <c r="AD16" s="513" cm="1">
        <f t="array" ref="AD16">IFERROR(INDEX('Offer Statistics'!M$2:M$206,MATCH(1,(CityU!$A16='Offer Statistics'!$B$2:$B$206)*(CityU!$T$2='Offer Statistics'!$K$2:$K$206),0)),"/")</f>
        <v>410</v>
      </c>
      <c r="AE16" s="513" cm="1">
        <f t="array" ref="AE16">IFERROR(INDEX('Offer Statistics'!N$2:N$206,MATCH(1,(CityU!$A16='Offer Statistics'!$B$2:$B$206)*(CityU!$T$2='Offer Statistics'!$K$2:$K$206),0)),"/")</f>
        <v>539</v>
      </c>
      <c r="AF16" s="513" cm="1">
        <f t="array" ref="AF16">IFERROR(INDEX('Offer Statistics'!O$2:O$206,MATCH(1,(CityU!$A16='Offer Statistics'!$B$2:$B$206)*(CityU!$T$2='Offer Statistics'!$K$2:$K$206),0)),"/")</f>
        <v>669</v>
      </c>
      <c r="AG16" s="513" cm="1">
        <f t="array" ref="AG16">IFERROR(INDEX('Offer Statistics'!P$2:P$206,MATCH(1,(CityU!$A16='Offer Statistics'!$B$2:$B$206)*(CityU!$T$2='Offer Statistics'!$K$2:$K$206),0)),"/")</f>
        <v>489</v>
      </c>
      <c r="AH16" s="502"/>
      <c r="AI16" s="502" t="str">
        <f t="shared" si="2"/>
        <v>JS1041</v>
      </c>
      <c r="AJ16" s="503"/>
      <c r="AK16" s="503"/>
      <c r="AL16" s="503"/>
      <c r="AM16" s="503"/>
      <c r="AN16" s="503"/>
      <c r="AO16" s="503"/>
      <c r="AP16" s="503"/>
      <c r="AQ16" s="503"/>
      <c r="AR16" s="503"/>
      <c r="AS16" s="503"/>
      <c r="AT16" s="503"/>
      <c r="AU16" s="503"/>
      <c r="AV16" s="503"/>
      <c r="AW16" s="503"/>
      <c r="AX16" s="503"/>
    </row>
    <row r="17" spans="1:50" s="514" customFormat="1" ht="18" customHeight="1" x14ac:dyDescent="0.3">
      <c r="A17" s="502" t="str">
        <f>'Reference Score Calculation'!A28</f>
        <v>JS1042</v>
      </c>
      <c r="B17" s="503" t="str">
        <f>'Reference Score Calculation'!C28</f>
        <v>創意媒體學院</v>
      </c>
      <c r="C17" s="504" t="str">
        <f>'Reference Score Calculation'!D28</f>
        <v>文學士(創意媒體)</v>
      </c>
      <c r="D17" s="503" t="str">
        <f>'Reference Score Calculation'!T28</f>
        <v>BACM</v>
      </c>
      <c r="E17" s="519" t="str">
        <f>'Reference Score Calculation'!E28</f>
        <v>4C2X</v>
      </c>
      <c r="F17" s="506">
        <f>'Reference Score Calculation'!G28</f>
        <v>29</v>
      </c>
      <c r="G17" s="506">
        <f>'Reference Score Calculation'!H28</f>
        <v>28</v>
      </c>
      <c r="H17" s="507">
        <f>計分版!H49</f>
        <v>3.05E-9</v>
      </c>
      <c r="I17" s="515">
        <f t="shared" si="0"/>
        <v>-28.999999996949999</v>
      </c>
      <c r="J17" s="516">
        <f t="shared" si="1"/>
        <v>-9508196720.3114758</v>
      </c>
      <c r="K17" s="563">
        <f>入學要求!C37</f>
        <v>20</v>
      </c>
      <c r="L17" s="511">
        <f>入學要求!R37</f>
        <v>0</v>
      </c>
      <c r="M17" s="578"/>
      <c r="N17" s="517">
        <f>入學要求!D37</f>
        <v>3</v>
      </c>
      <c r="O17" s="517">
        <f>入學要求!E37</f>
        <v>3</v>
      </c>
      <c r="P17" s="517">
        <f>入學要求!F37</f>
        <v>2</v>
      </c>
      <c r="Q17" s="517">
        <f>入學要求!G37</f>
        <v>2</v>
      </c>
      <c r="R17" s="517">
        <f>入學要求!H37</f>
        <v>3</v>
      </c>
      <c r="S17" s="517">
        <f>入學要求!I37</f>
        <v>3</v>
      </c>
      <c r="T17" s="576"/>
      <c r="U17" s="510" cm="1">
        <f t="array" ref="U17">IFERROR(INDEX('Offer Statistics'!$I$2:$I$206,MATCH(1,(CityU!$A17='Offer Statistics'!$B$2:$B$206)*(CityU!$T$2='Offer Statistics'!$C$2:$C$206),0)),"/")</f>
        <v>26</v>
      </c>
      <c r="V17" s="513" cm="1">
        <f t="array" ref="V17">IFERROR(INDEX('Offer Statistics'!D$2:D$206,MATCH(1,(CityU!$A17='Offer Statistics'!$B$2:$B$206)*(CityU!$T$2='Offer Statistics'!$C$2:$C$206),0)),"/")</f>
        <v>26</v>
      </c>
      <c r="W17" s="513" cm="1">
        <f t="array" ref="W17">IFERROR(INDEX('Offer Statistics'!E$2:E$206,MATCH(1,(CityU!$A17='Offer Statistics'!$B$2:$B$206)*(CityU!$T$2='Offer Statistics'!$C$2:$C$206),0)),"/")</f>
        <v>0</v>
      </c>
      <c r="X17" s="513" cm="1">
        <f t="array" ref="X17">IFERROR(INDEX('Offer Statistics'!F$2:F$206,MATCH(1,(CityU!$A17='Offer Statistics'!$B$2:$B$206)*(CityU!$T$2='Offer Statistics'!$C$2:$C$206),0)),"/")</f>
        <v>0</v>
      </c>
      <c r="Y17" s="513" cm="1">
        <f t="array" ref="Y17">IFERROR(INDEX('Offer Statistics'!G$2:G$206,MATCH(1,(CityU!$A17='Offer Statistics'!$B$2:$B$206)*(CityU!$T$2='Offer Statistics'!$C$2:$C$206),0)),"/")</f>
        <v>0</v>
      </c>
      <c r="Z17" s="513" cm="1">
        <f t="array" ref="Z17">IFERROR(INDEX('Offer Statistics'!H$2:H$206,MATCH(1,(CityU!$A17='Offer Statistics'!$B$2:$B$206)*(CityU!$T$2='Offer Statistics'!$C$2:$C$206),0)),"/")</f>
        <v>0</v>
      </c>
      <c r="AA17" s="577"/>
      <c r="AB17" s="510" cm="1">
        <f t="array" ref="AB17">IFERROR(INDEX('Offer Statistics'!$Q$2:$Q$206,MATCH(1,(CityU!$A17='Offer Statistics'!$B$2:$B$206)*(CityU!$T$2='Offer Statistics'!$K$2:$K$206),0)),"/")</f>
        <v>2234</v>
      </c>
      <c r="AC17" s="513" cm="1">
        <f t="array" ref="AC17">IFERROR(INDEX('Offer Statistics'!L$2:L$206,MATCH(1,(CityU!$A17='Offer Statistics'!$B$2:$B$206)*(CityU!$T$2='Offer Statistics'!$K$2:$K$206),0)),"/")</f>
        <v>277</v>
      </c>
      <c r="AD17" s="513" cm="1">
        <f t="array" ref="AD17">IFERROR(INDEX('Offer Statistics'!M$2:M$206,MATCH(1,(CityU!$A17='Offer Statistics'!$B$2:$B$206)*(CityU!$T$2='Offer Statistics'!$K$2:$K$206),0)),"/")</f>
        <v>343</v>
      </c>
      <c r="AE17" s="513" cm="1">
        <f t="array" ref="AE17">IFERROR(INDEX('Offer Statistics'!N$2:N$206,MATCH(1,(CityU!$A17='Offer Statistics'!$B$2:$B$206)*(CityU!$T$2='Offer Statistics'!$K$2:$K$206),0)),"/")</f>
        <v>539</v>
      </c>
      <c r="AF17" s="513" cm="1">
        <f t="array" ref="AF17">IFERROR(INDEX('Offer Statistics'!O$2:O$206,MATCH(1,(CityU!$A17='Offer Statistics'!$B$2:$B$206)*(CityU!$T$2='Offer Statistics'!$K$2:$K$206),0)),"/")</f>
        <v>612</v>
      </c>
      <c r="AG17" s="513" cm="1">
        <f t="array" ref="AG17">IFERROR(INDEX('Offer Statistics'!P$2:P$206,MATCH(1,(CityU!$A17='Offer Statistics'!$B$2:$B$206)*(CityU!$T$2='Offer Statistics'!$K$2:$K$206),0)),"/")</f>
        <v>463</v>
      </c>
      <c r="AH17" s="502"/>
      <c r="AI17" s="502" t="str">
        <f t="shared" si="2"/>
        <v>JS1042</v>
      </c>
      <c r="AJ17" s="503"/>
      <c r="AK17" s="503"/>
      <c r="AL17" s="503"/>
      <c r="AM17" s="503"/>
      <c r="AN17" s="503"/>
      <c r="AO17" s="503"/>
      <c r="AP17" s="503"/>
      <c r="AQ17" s="503"/>
      <c r="AR17" s="503"/>
      <c r="AS17" s="503"/>
      <c r="AT17" s="503"/>
      <c r="AU17" s="503"/>
      <c r="AV17" s="503"/>
      <c r="AW17" s="503"/>
      <c r="AX17" s="503"/>
    </row>
    <row r="18" spans="1:50" s="514" customFormat="1" ht="18" customHeight="1" x14ac:dyDescent="0.3">
      <c r="A18" s="502" t="str">
        <f>'Reference Score Calculation'!A29</f>
        <v>JS1043</v>
      </c>
      <c r="B18" s="503" t="str">
        <f>'Reference Score Calculation'!C29</f>
        <v>創意媒體學院</v>
      </c>
      <c r="C18" s="504" t="str">
        <f>'Reference Score Calculation'!D29</f>
        <v>理學士(創意媒體)</v>
      </c>
      <c r="D18" s="503" t="str">
        <f>'Reference Score Calculation'!T29</f>
        <v>BScCM</v>
      </c>
      <c r="E18" s="519" t="str">
        <f>'Reference Score Calculation'!E29</f>
        <v>4C2X</v>
      </c>
      <c r="F18" s="506">
        <f>'Reference Score Calculation'!G29</f>
        <v>28.5</v>
      </c>
      <c r="G18" s="506">
        <f>'Reference Score Calculation'!H29</f>
        <v>28</v>
      </c>
      <c r="H18" s="507">
        <f>計分版!H50</f>
        <v>3.2000000000000005E-9</v>
      </c>
      <c r="I18" s="515">
        <f t="shared" si="0"/>
        <v>-28.4999999968</v>
      </c>
      <c r="J18" s="516">
        <f t="shared" si="1"/>
        <v>-8906249998.9999981</v>
      </c>
      <c r="K18" s="563">
        <f>入學要求!C38</f>
        <v>27</v>
      </c>
      <c r="L18" s="511">
        <f>入學要求!R38</f>
        <v>0</v>
      </c>
      <c r="M18" s="578"/>
      <c r="N18" s="517">
        <f>入學要求!D38</f>
        <v>3</v>
      </c>
      <c r="O18" s="517">
        <f>入學要求!E38</f>
        <v>3</v>
      </c>
      <c r="P18" s="517">
        <f>入學要求!F38</f>
        <v>2</v>
      </c>
      <c r="Q18" s="517">
        <f>入學要求!G38</f>
        <v>2</v>
      </c>
      <c r="R18" s="517">
        <f>入學要求!H38</f>
        <v>3</v>
      </c>
      <c r="S18" s="517">
        <f>入學要求!I38</f>
        <v>3</v>
      </c>
      <c r="T18" s="576"/>
      <c r="U18" s="510" cm="1">
        <f t="array" ref="U18">IFERROR(INDEX('Offer Statistics'!$I$2:$I$206,MATCH(1,(CityU!$A18='Offer Statistics'!$B$2:$B$206)*(CityU!$T$2='Offer Statistics'!$C$2:$C$206),0)),"/")</f>
        <v>28</v>
      </c>
      <c r="V18" s="513" cm="1">
        <f t="array" ref="V18">IFERROR(INDEX('Offer Statistics'!D$2:D$206,MATCH(1,(CityU!$A18='Offer Statistics'!$B$2:$B$206)*(CityU!$T$2='Offer Statistics'!$C$2:$C$206),0)),"/")</f>
        <v>28</v>
      </c>
      <c r="W18" s="513" cm="1">
        <f t="array" ref="W18">IFERROR(INDEX('Offer Statistics'!E$2:E$206,MATCH(1,(CityU!$A18='Offer Statistics'!$B$2:$B$206)*(CityU!$T$2='Offer Statistics'!$C$2:$C$206),0)),"/")</f>
        <v>0</v>
      </c>
      <c r="X18" s="513" cm="1">
        <f t="array" ref="X18">IFERROR(INDEX('Offer Statistics'!F$2:F$206,MATCH(1,(CityU!$A18='Offer Statistics'!$B$2:$B$206)*(CityU!$T$2='Offer Statistics'!$C$2:$C$206),0)),"/")</f>
        <v>0</v>
      </c>
      <c r="Y18" s="513" cm="1">
        <f t="array" ref="Y18">IFERROR(INDEX('Offer Statistics'!G$2:G$206,MATCH(1,(CityU!$A18='Offer Statistics'!$B$2:$B$206)*(CityU!$T$2='Offer Statistics'!$C$2:$C$206),0)),"/")</f>
        <v>0</v>
      </c>
      <c r="Z18" s="513" cm="1">
        <f t="array" ref="Z18">IFERROR(INDEX('Offer Statistics'!H$2:H$206,MATCH(1,(CityU!$A18='Offer Statistics'!$B$2:$B$206)*(CityU!$T$2='Offer Statistics'!$C$2:$C$206),0)),"/")</f>
        <v>0</v>
      </c>
      <c r="AA18" s="577"/>
      <c r="AB18" s="510" cm="1">
        <f t="array" ref="AB18">IFERROR(INDEX('Offer Statistics'!$Q$2:$Q$206,MATCH(1,(CityU!$A18='Offer Statistics'!$B$2:$B$206)*(CityU!$T$2='Offer Statistics'!$K$2:$K$206),0)),"/")</f>
        <v>1861</v>
      </c>
      <c r="AC18" s="513" cm="1">
        <f t="array" ref="AC18">IFERROR(INDEX('Offer Statistics'!L$2:L$206,MATCH(1,(CityU!$A18='Offer Statistics'!$B$2:$B$206)*(CityU!$T$2='Offer Statistics'!$K$2:$K$206),0)),"/")</f>
        <v>291</v>
      </c>
      <c r="AD18" s="513" cm="1">
        <f t="array" ref="AD18">IFERROR(INDEX('Offer Statistics'!M$2:M$206,MATCH(1,(CityU!$A18='Offer Statistics'!$B$2:$B$206)*(CityU!$T$2='Offer Statistics'!$K$2:$K$206),0)),"/")</f>
        <v>281</v>
      </c>
      <c r="AE18" s="513" cm="1">
        <f t="array" ref="AE18">IFERROR(INDEX('Offer Statistics'!N$2:N$206,MATCH(1,(CityU!$A18='Offer Statistics'!$B$2:$B$206)*(CityU!$T$2='Offer Statistics'!$K$2:$K$206),0)),"/")</f>
        <v>383</v>
      </c>
      <c r="AF18" s="513" cm="1">
        <f t="array" ref="AF18">IFERROR(INDEX('Offer Statistics'!O$2:O$206,MATCH(1,(CityU!$A18='Offer Statistics'!$B$2:$B$206)*(CityU!$T$2='Offer Statistics'!$K$2:$K$206),0)),"/")</f>
        <v>512</v>
      </c>
      <c r="AG18" s="513" cm="1">
        <f t="array" ref="AG18">IFERROR(INDEX('Offer Statistics'!P$2:P$206,MATCH(1,(CityU!$A18='Offer Statistics'!$B$2:$B$206)*(CityU!$T$2='Offer Statistics'!$K$2:$K$206),0)),"/")</f>
        <v>394</v>
      </c>
      <c r="AH18" s="502"/>
      <c r="AI18" s="502" t="str">
        <f t="shared" si="2"/>
        <v>JS1043</v>
      </c>
      <c r="AJ18" s="503"/>
      <c r="AK18" s="503"/>
      <c r="AL18" s="503"/>
      <c r="AM18" s="503"/>
      <c r="AN18" s="503"/>
      <c r="AO18" s="503"/>
      <c r="AP18" s="503"/>
      <c r="AQ18" s="503"/>
      <c r="AR18" s="503"/>
      <c r="AS18" s="503"/>
      <c r="AT18" s="503"/>
      <c r="AU18" s="503"/>
      <c r="AV18" s="503"/>
      <c r="AW18" s="503"/>
      <c r="AX18" s="503"/>
    </row>
    <row r="19" spans="1:50" s="514" customFormat="1" ht="18" customHeight="1" x14ac:dyDescent="0.3">
      <c r="A19" s="502" t="str">
        <f>'Reference Score Calculation'!A30</f>
        <v>JS1044</v>
      </c>
      <c r="B19" s="503" t="str">
        <f>'Reference Score Calculation'!C30</f>
        <v>創意媒體學院</v>
      </c>
      <c r="C19" s="504" t="str">
        <f>'Reference Score Calculation'!D30</f>
        <v>文理學士(新媒體)</v>
      </c>
      <c r="D19" s="503" t="str">
        <f>'Reference Score Calculation'!T30</f>
        <v>BAS</v>
      </c>
      <c r="E19" s="518" t="str">
        <f>'Reference Score Calculation'!E30</f>
        <v>Best 5</v>
      </c>
      <c r="F19" s="506">
        <f>'Reference Score Calculation'!G30</f>
        <v>19</v>
      </c>
      <c r="G19" s="506">
        <f>'Reference Score Calculation'!H30</f>
        <v>19</v>
      </c>
      <c r="H19" s="507">
        <f>計分版!H51</f>
        <v>3.5500000000000004E-9</v>
      </c>
      <c r="I19" s="515">
        <f t="shared" si="0"/>
        <v>-18.999999996450001</v>
      </c>
      <c r="J19" s="516">
        <f t="shared" si="1"/>
        <v>-5352112675.0563374</v>
      </c>
      <c r="K19" s="563">
        <f>入學要求!C39</f>
        <v>19</v>
      </c>
      <c r="L19" s="511">
        <f>入學要求!R39</f>
        <v>0</v>
      </c>
      <c r="M19" s="578"/>
      <c r="N19" s="517">
        <f>入學要求!D39</f>
        <v>3</v>
      </c>
      <c r="O19" s="517">
        <f>入學要求!E39</f>
        <v>3</v>
      </c>
      <c r="P19" s="517">
        <f>入學要求!F39</f>
        <v>2</v>
      </c>
      <c r="Q19" s="517">
        <f>入學要求!G39</f>
        <v>2</v>
      </c>
      <c r="R19" s="517">
        <f>入學要求!H39</f>
        <v>3</v>
      </c>
      <c r="S19" s="517">
        <f>入學要求!I39</f>
        <v>3</v>
      </c>
      <c r="T19" s="576"/>
      <c r="U19" s="510" cm="1">
        <f t="array" ref="U19">IFERROR(INDEX('Offer Statistics'!$I$2:$I$206,MATCH(1,(CityU!$A19='Offer Statistics'!$B$2:$B$206)*(CityU!$T$2='Offer Statistics'!$C$2:$C$206),0)),"/")</f>
        <v>9</v>
      </c>
      <c r="V19" s="513" cm="1">
        <f t="array" ref="V19">IFERROR(INDEX('Offer Statistics'!D$2:D$206,MATCH(1,(CityU!$A19='Offer Statistics'!$B$2:$B$206)*(CityU!$T$2='Offer Statistics'!$C$2:$C$206),0)),"/")</f>
        <v>6</v>
      </c>
      <c r="W19" s="513" cm="1">
        <f t="array" ref="W19">IFERROR(INDEX('Offer Statistics'!E$2:E$206,MATCH(1,(CityU!$A19='Offer Statistics'!$B$2:$B$206)*(CityU!$T$2='Offer Statistics'!$C$2:$C$206),0)),"/")</f>
        <v>3</v>
      </c>
      <c r="X19" s="513" cm="1">
        <f t="array" ref="X19">IFERROR(INDEX('Offer Statistics'!F$2:F$206,MATCH(1,(CityU!$A19='Offer Statistics'!$B$2:$B$206)*(CityU!$T$2='Offer Statistics'!$C$2:$C$206),0)),"/")</f>
        <v>0</v>
      </c>
      <c r="Y19" s="513" cm="1">
        <f t="array" ref="Y19">IFERROR(INDEX('Offer Statistics'!G$2:G$206,MATCH(1,(CityU!$A19='Offer Statistics'!$B$2:$B$206)*(CityU!$T$2='Offer Statistics'!$C$2:$C$206),0)),"/")</f>
        <v>0</v>
      </c>
      <c r="Z19" s="513" cm="1">
        <f t="array" ref="Z19">IFERROR(INDEX('Offer Statistics'!H$2:H$206,MATCH(1,(CityU!$A19='Offer Statistics'!$B$2:$B$206)*(CityU!$T$2='Offer Statistics'!$C$2:$C$206),0)),"/")</f>
        <v>0</v>
      </c>
      <c r="AA19" s="577"/>
      <c r="AB19" s="510" cm="1">
        <f t="array" ref="AB19">IFERROR(INDEX('Offer Statistics'!$Q$2:$Q$206,MATCH(1,(CityU!$A19='Offer Statistics'!$B$2:$B$206)*(CityU!$T$2='Offer Statistics'!$K$2:$K$206),0)),"/")</f>
        <v>1232</v>
      </c>
      <c r="AC19" s="513" cm="1">
        <f t="array" ref="AC19">IFERROR(INDEX('Offer Statistics'!L$2:L$206,MATCH(1,(CityU!$A19='Offer Statistics'!$B$2:$B$206)*(CityU!$T$2='Offer Statistics'!$K$2:$K$206),0)),"/")</f>
        <v>94</v>
      </c>
      <c r="AD19" s="513" cm="1">
        <f t="array" ref="AD19">IFERROR(INDEX('Offer Statistics'!M$2:M$206,MATCH(1,(CityU!$A19='Offer Statistics'!$B$2:$B$206)*(CityU!$T$2='Offer Statistics'!$K$2:$K$206),0)),"/")</f>
        <v>161</v>
      </c>
      <c r="AE19" s="513" cm="1">
        <f t="array" ref="AE19">IFERROR(INDEX('Offer Statistics'!N$2:N$206,MATCH(1,(CityU!$A19='Offer Statistics'!$B$2:$B$206)*(CityU!$T$2='Offer Statistics'!$K$2:$K$206),0)),"/")</f>
        <v>292</v>
      </c>
      <c r="AF19" s="513" cm="1">
        <f t="array" ref="AF19">IFERROR(INDEX('Offer Statistics'!O$2:O$206,MATCH(1,(CityU!$A19='Offer Statistics'!$B$2:$B$206)*(CityU!$T$2='Offer Statistics'!$K$2:$K$206),0)),"/")</f>
        <v>401</v>
      </c>
      <c r="AG19" s="513" cm="1">
        <f t="array" ref="AG19">IFERROR(INDEX('Offer Statistics'!P$2:P$206,MATCH(1,(CityU!$A19='Offer Statistics'!$B$2:$B$206)*(CityU!$T$2='Offer Statistics'!$K$2:$K$206),0)),"/")</f>
        <v>284</v>
      </c>
      <c r="AH19" s="502"/>
      <c r="AI19" s="502" t="str">
        <f t="shared" si="2"/>
        <v>JS1044</v>
      </c>
      <c r="AJ19" s="503"/>
      <c r="AK19" s="503"/>
      <c r="AL19" s="503"/>
      <c r="AM19" s="503"/>
      <c r="AN19" s="503"/>
      <c r="AO19" s="503"/>
      <c r="AP19" s="503"/>
      <c r="AQ19" s="503"/>
      <c r="AR19" s="503"/>
      <c r="AS19" s="503"/>
      <c r="AT19" s="503"/>
      <c r="AU19" s="503"/>
      <c r="AV19" s="503"/>
      <c r="AW19" s="503"/>
      <c r="AX19" s="503"/>
    </row>
    <row r="20" spans="1:50" s="514" customFormat="1" ht="18" customHeight="1" x14ac:dyDescent="0.3">
      <c r="A20" s="502" t="str">
        <f>'Reference Score Calculation'!A31</f>
        <v>JS1051</v>
      </c>
      <c r="B20" s="503" t="str">
        <f>'Reference Score Calculation'!C31</f>
        <v>能源及環境學院</v>
      </c>
      <c r="C20" s="504" t="str">
        <f>'Reference Score Calculation'!D31</f>
        <v>能源及環境學院 [選項: 工學士(能源科學及工程學)、工學士(環境科學及工程學)]</v>
      </c>
      <c r="D20" s="503" t="str">
        <f>'Reference Score Calculation'!T31</f>
        <v>SEE</v>
      </c>
      <c r="E20" s="520" t="str">
        <f>'Reference Score Calculation'!E31</f>
        <v>Best 5</v>
      </c>
      <c r="F20" s="506">
        <f>'Reference Score Calculation'!G31</f>
        <v>34</v>
      </c>
      <c r="G20" s="506">
        <f>'Reference Score Calculation'!H31</f>
        <v>32</v>
      </c>
      <c r="H20" s="507">
        <f>計分版!H52</f>
        <v>3.0000000000000004E-9</v>
      </c>
      <c r="I20" s="515">
        <f t="shared" si="0"/>
        <v>-33.999999997000003</v>
      </c>
      <c r="J20" s="516">
        <f t="shared" si="1"/>
        <v>-11333333332.333332</v>
      </c>
      <c r="K20" s="563">
        <f>入學要求!C40</f>
        <v>60</v>
      </c>
      <c r="L20" s="511">
        <f>入學要求!R40</f>
        <v>0</v>
      </c>
      <c r="M20" s="569" t="s">
        <v>2369</v>
      </c>
      <c r="N20" s="517">
        <f>入學要求!D40</f>
        <v>3</v>
      </c>
      <c r="O20" s="517">
        <f>入學要求!E40</f>
        <v>3</v>
      </c>
      <c r="P20" s="517">
        <f>入學要求!F40</f>
        <v>2</v>
      </c>
      <c r="Q20" s="517">
        <f>入學要求!G40</f>
        <v>2</v>
      </c>
      <c r="R20" s="517">
        <f>入學要求!H40</f>
        <v>3</v>
      </c>
      <c r="S20" s="517">
        <f>入學要求!I40</f>
        <v>3</v>
      </c>
      <c r="T20" s="576"/>
      <c r="U20" s="510" cm="1">
        <f t="array" ref="U20">IFERROR(INDEX('Offer Statistics'!$I$2:$I$206,MATCH(1,(CityU!$A20='Offer Statistics'!$B$2:$B$206)*(CityU!$T$2='Offer Statistics'!$C$2:$C$206),0)),"/")</f>
        <v>56</v>
      </c>
      <c r="V20" s="513" cm="1">
        <f t="array" ref="V20">IFERROR(INDEX('Offer Statistics'!D$2:D$206,MATCH(1,(CityU!$A20='Offer Statistics'!$B$2:$B$206)*(CityU!$T$2='Offer Statistics'!$C$2:$C$206),0)),"/")</f>
        <v>46</v>
      </c>
      <c r="W20" s="513" cm="1">
        <f t="array" ref="W20">IFERROR(INDEX('Offer Statistics'!E$2:E$206,MATCH(1,(CityU!$A20='Offer Statistics'!$B$2:$B$206)*(CityU!$T$2='Offer Statistics'!$C$2:$C$206),0)),"/")</f>
        <v>7</v>
      </c>
      <c r="X20" s="513" cm="1">
        <f t="array" ref="X20">IFERROR(INDEX('Offer Statistics'!F$2:F$206,MATCH(1,(CityU!$A20='Offer Statistics'!$B$2:$B$206)*(CityU!$T$2='Offer Statistics'!$C$2:$C$206),0)),"/")</f>
        <v>2</v>
      </c>
      <c r="Y20" s="513" cm="1">
        <f t="array" ref="Y20">IFERROR(INDEX('Offer Statistics'!G$2:G$206,MATCH(1,(CityU!$A20='Offer Statistics'!$B$2:$B$206)*(CityU!$T$2='Offer Statistics'!$C$2:$C$206),0)),"/")</f>
        <v>0</v>
      </c>
      <c r="Z20" s="513" cm="1">
        <f t="array" ref="Z20">IFERROR(INDEX('Offer Statistics'!H$2:H$206,MATCH(1,(CityU!$A20='Offer Statistics'!$B$2:$B$206)*(CityU!$T$2='Offer Statistics'!$C$2:$C$206),0)),"/")</f>
        <v>1</v>
      </c>
      <c r="AA20" s="577"/>
      <c r="AB20" s="510" cm="1">
        <f t="array" ref="AB20">IFERROR(INDEX('Offer Statistics'!$Q$2:$Q$206,MATCH(1,(CityU!$A20='Offer Statistics'!$B$2:$B$206)*(CityU!$T$2='Offer Statistics'!$K$2:$K$206),0)),"/")</f>
        <v>1350</v>
      </c>
      <c r="AC20" s="513" cm="1">
        <f t="array" ref="AC20">IFERROR(INDEX('Offer Statistics'!L$2:L$206,MATCH(1,(CityU!$A20='Offer Statistics'!$B$2:$B$206)*(CityU!$T$2='Offer Statistics'!$K$2:$K$206),0)),"/")</f>
        <v>197</v>
      </c>
      <c r="AD20" s="513" cm="1">
        <f t="array" ref="AD20">IFERROR(INDEX('Offer Statistics'!M$2:M$206,MATCH(1,(CityU!$A20='Offer Statistics'!$B$2:$B$206)*(CityU!$T$2='Offer Statistics'!$K$2:$K$206),0)),"/")</f>
        <v>200</v>
      </c>
      <c r="AE20" s="513" cm="1">
        <f t="array" ref="AE20">IFERROR(INDEX('Offer Statistics'!N$2:N$206,MATCH(1,(CityU!$A20='Offer Statistics'!$B$2:$B$206)*(CityU!$T$2='Offer Statistics'!$K$2:$K$206),0)),"/")</f>
        <v>316</v>
      </c>
      <c r="AF20" s="513" cm="1">
        <f t="array" ref="AF20">IFERROR(INDEX('Offer Statistics'!O$2:O$206,MATCH(1,(CityU!$A20='Offer Statistics'!$B$2:$B$206)*(CityU!$T$2='Offer Statistics'!$K$2:$K$206),0)),"/")</f>
        <v>370</v>
      </c>
      <c r="AG20" s="513" cm="1">
        <f t="array" ref="AG20">IFERROR(INDEX('Offer Statistics'!P$2:P$206,MATCH(1,(CityU!$A20='Offer Statistics'!$B$2:$B$206)*(CityU!$T$2='Offer Statistics'!$K$2:$K$206),0)),"/")</f>
        <v>267</v>
      </c>
      <c r="AH20" s="502"/>
      <c r="AI20" s="502" t="str">
        <f t="shared" si="2"/>
        <v>JS1051</v>
      </c>
      <c r="AJ20" s="503"/>
      <c r="AK20" s="503"/>
      <c r="AL20" s="503"/>
      <c r="AM20" s="503"/>
      <c r="AN20" s="503"/>
      <c r="AO20" s="503"/>
      <c r="AP20" s="503"/>
      <c r="AQ20" s="503"/>
      <c r="AR20" s="503"/>
      <c r="AS20" s="503"/>
      <c r="AT20" s="503"/>
      <c r="AU20" s="503"/>
      <c r="AV20" s="503"/>
      <c r="AW20" s="503"/>
      <c r="AX20" s="503"/>
    </row>
    <row r="21" spans="1:50" s="514" customFormat="1" ht="18" customHeight="1" x14ac:dyDescent="0.3">
      <c r="A21" s="502" t="str">
        <f>'Reference Score Calculation'!A32</f>
        <v>JS1061</v>
      </c>
      <c r="B21" s="503" t="str">
        <f>'Reference Score Calculation'!C32</f>
        <v>法律學院</v>
      </c>
      <c r="C21" s="504" t="str">
        <f>'Reference Score Calculation'!D32</f>
        <v>法律學學士</v>
      </c>
      <c r="D21" s="503" t="str">
        <f>'Reference Score Calculation'!T32</f>
        <v>LLB</v>
      </c>
      <c r="E21" s="505" t="str">
        <f>'Reference Score Calculation'!E32</f>
        <v>Best 6</v>
      </c>
      <c r="F21" s="506">
        <f>'Reference Score Calculation'!G32</f>
        <v>26</v>
      </c>
      <c r="G21" s="506">
        <f>'Reference Score Calculation'!H32</f>
        <v>25</v>
      </c>
      <c r="H21" s="507">
        <f>計分版!H53</f>
        <v>4.1499999999999999E-9</v>
      </c>
      <c r="I21" s="515">
        <f t="shared" si="0"/>
        <v>-25.999999995850001</v>
      </c>
      <c r="J21" s="516">
        <f t="shared" si="1"/>
        <v>-6265060239.9638557</v>
      </c>
      <c r="K21" s="563">
        <f>入學要求!C41</f>
        <v>39</v>
      </c>
      <c r="L21" s="511">
        <f>入學要求!R41</f>
        <v>0</v>
      </c>
      <c r="M21" s="569" t="s">
        <v>2653</v>
      </c>
      <c r="N21" s="517">
        <f>入學要求!D41</f>
        <v>3</v>
      </c>
      <c r="O21" s="517">
        <f>入學要求!E41</f>
        <v>5</v>
      </c>
      <c r="P21" s="517">
        <f>入學要求!F41</f>
        <v>2</v>
      </c>
      <c r="Q21" s="517">
        <f>入學要求!G41</f>
        <v>2</v>
      </c>
      <c r="R21" s="517">
        <f>入學要求!H41</f>
        <v>3</v>
      </c>
      <c r="S21" s="517">
        <f>入學要求!I41</f>
        <v>3</v>
      </c>
      <c r="T21" s="576"/>
      <c r="U21" s="510" cm="1">
        <f t="array" ref="U21">IFERROR(INDEX('Offer Statistics'!$I$2:$I$206,MATCH(1,(CityU!$A21='Offer Statistics'!$B$2:$B$206)*(CityU!$T$2='Offer Statistics'!$C$2:$C$206),0)),"/")</f>
        <v>35</v>
      </c>
      <c r="V21" s="513" cm="1">
        <f t="array" ref="V21">IFERROR(INDEX('Offer Statistics'!D$2:D$206,MATCH(1,(CityU!$A21='Offer Statistics'!$B$2:$B$206)*(CityU!$T$2='Offer Statistics'!$C$2:$C$206),0)),"/")</f>
        <v>31</v>
      </c>
      <c r="W21" s="513" cm="1">
        <f t="array" ref="W21">IFERROR(INDEX('Offer Statistics'!E$2:E$206,MATCH(1,(CityU!$A21='Offer Statistics'!$B$2:$B$206)*(CityU!$T$2='Offer Statistics'!$C$2:$C$206),0)),"/")</f>
        <v>1</v>
      </c>
      <c r="X21" s="513" cm="1">
        <f t="array" ref="X21">IFERROR(INDEX('Offer Statistics'!F$2:F$206,MATCH(1,(CityU!$A21='Offer Statistics'!$B$2:$B$206)*(CityU!$T$2='Offer Statistics'!$C$2:$C$206),0)),"/")</f>
        <v>1</v>
      </c>
      <c r="Y21" s="513" cm="1">
        <f t="array" ref="Y21">IFERROR(INDEX('Offer Statistics'!G$2:G$206,MATCH(1,(CityU!$A21='Offer Statistics'!$B$2:$B$206)*(CityU!$T$2='Offer Statistics'!$C$2:$C$206),0)),"/")</f>
        <v>2</v>
      </c>
      <c r="Z21" s="513" cm="1">
        <f t="array" ref="Z21">IFERROR(INDEX('Offer Statistics'!H$2:H$206,MATCH(1,(CityU!$A21='Offer Statistics'!$B$2:$B$206)*(CityU!$T$2='Offer Statistics'!$C$2:$C$206),0)),"/")</f>
        <v>0</v>
      </c>
      <c r="AA21" s="577"/>
      <c r="AB21" s="510" cm="1">
        <f t="array" ref="AB21">IFERROR(INDEX('Offer Statistics'!$Q$2:$Q$206,MATCH(1,(CityU!$A21='Offer Statistics'!$B$2:$B$206)*(CityU!$T$2='Offer Statistics'!$K$2:$K$206),0)),"/")</f>
        <v>812</v>
      </c>
      <c r="AC21" s="513" cm="1">
        <f t="array" ref="AC21">IFERROR(INDEX('Offer Statistics'!L$2:L$206,MATCH(1,(CityU!$A21='Offer Statistics'!$B$2:$B$206)*(CityU!$T$2='Offer Statistics'!$K$2:$K$206),0)),"/")</f>
        <v>113</v>
      </c>
      <c r="AD21" s="513" cm="1">
        <f t="array" ref="AD21">IFERROR(INDEX('Offer Statistics'!M$2:M$206,MATCH(1,(CityU!$A21='Offer Statistics'!$B$2:$B$206)*(CityU!$T$2='Offer Statistics'!$K$2:$K$206),0)),"/")</f>
        <v>130</v>
      </c>
      <c r="AE21" s="513" cm="1">
        <f t="array" ref="AE21">IFERROR(INDEX('Offer Statistics'!N$2:N$206,MATCH(1,(CityU!$A21='Offer Statistics'!$B$2:$B$206)*(CityU!$T$2='Offer Statistics'!$K$2:$K$206),0)),"/")</f>
        <v>165</v>
      </c>
      <c r="AF21" s="513" cm="1">
        <f t="array" ref="AF21">IFERROR(INDEX('Offer Statistics'!O$2:O$206,MATCH(1,(CityU!$A21='Offer Statistics'!$B$2:$B$206)*(CityU!$T$2='Offer Statistics'!$K$2:$K$206),0)),"/")</f>
        <v>197</v>
      </c>
      <c r="AG21" s="513" cm="1">
        <f t="array" ref="AG21">IFERROR(INDEX('Offer Statistics'!P$2:P$206,MATCH(1,(CityU!$A21='Offer Statistics'!$B$2:$B$206)*(CityU!$T$2='Offer Statistics'!$K$2:$K$206),0)),"/")</f>
        <v>207</v>
      </c>
      <c r="AH21" s="502"/>
      <c r="AI21" s="502" t="str">
        <f t="shared" si="2"/>
        <v>JS1061</v>
      </c>
      <c r="AJ21" s="503"/>
      <c r="AK21" s="503"/>
      <c r="AL21" s="503"/>
      <c r="AM21" s="503"/>
      <c r="AN21" s="503"/>
      <c r="AO21" s="503"/>
      <c r="AP21" s="503"/>
      <c r="AQ21" s="503"/>
      <c r="AR21" s="503"/>
      <c r="AS21" s="503"/>
      <c r="AT21" s="503"/>
      <c r="AU21" s="503"/>
      <c r="AV21" s="503"/>
      <c r="AW21" s="503"/>
      <c r="AX21" s="503"/>
    </row>
    <row r="22" spans="1:50" s="514" customFormat="1" ht="18" customHeight="1" x14ac:dyDescent="0.3">
      <c r="A22" s="502" t="str">
        <f>'Reference Score Calculation'!A33</f>
        <v>JS1062</v>
      </c>
      <c r="B22" s="503" t="str">
        <f>'Reference Score Calculation'!C33</f>
        <v>法律學院/商學院</v>
      </c>
      <c r="C22" s="504" t="str">
        <f>'Reference Score Calculation'!D33</f>
        <v>法律學學士與工商管理學士(會計)</v>
      </c>
      <c r="D22" s="503" t="str">
        <f>'Reference Score Calculation'!T33</f>
        <v>LLB&amp;BBAAC</v>
      </c>
      <c r="E22" s="518" t="str">
        <f>'Reference Score Calculation'!AD33</f>
        <v>Best 6</v>
      </c>
      <c r="F22" s="506" t="str">
        <f>'Reference Score Calculation'!G33</f>
        <v>/</v>
      </c>
      <c r="G22" s="506" t="str">
        <f>'Reference Score Calculation'!H33</f>
        <v>/</v>
      </c>
      <c r="H22" s="507">
        <f>計分版!H54</f>
        <v>4.25E-9</v>
      </c>
      <c r="I22" s="521" t="s">
        <v>1978</v>
      </c>
      <c r="J22" s="521" t="s">
        <v>1978</v>
      </c>
      <c r="K22" s="563">
        <f>入學要求!C42</f>
        <v>8</v>
      </c>
      <c r="L22" s="511">
        <f>入學要求!R42</f>
        <v>0</v>
      </c>
      <c r="M22" s="569" t="s">
        <v>2653</v>
      </c>
      <c r="N22" s="517">
        <f>入學要求!D42</f>
        <v>3</v>
      </c>
      <c r="O22" s="517">
        <f>入學要求!E42</f>
        <v>5</v>
      </c>
      <c r="P22" s="517">
        <f>入學要求!F42</f>
        <v>3</v>
      </c>
      <c r="Q22" s="517">
        <f>入學要求!G42</f>
        <v>2</v>
      </c>
      <c r="R22" s="517">
        <f>入學要求!H42</f>
        <v>3</v>
      </c>
      <c r="S22" s="517">
        <f>入學要求!I42</f>
        <v>3</v>
      </c>
      <c r="T22" s="576"/>
      <c r="U22" s="510" t="str" cm="1">
        <f t="array" ref="U22">IFERROR(INDEX('Offer Statistics'!$I$2:$I$206,MATCH(1,(CityU!$A22='Offer Statistics'!$B$2:$B$206)*(CityU!$T$2='Offer Statistics'!$C$2:$C$206),0)),"/")</f>
        <v>/</v>
      </c>
      <c r="V22" s="513" t="str" cm="1">
        <f t="array" ref="V22">IFERROR(INDEX('Offer Statistics'!D$2:D$206,MATCH(1,(CityU!$A22='Offer Statistics'!$B$2:$B$206)*(CityU!$T$2='Offer Statistics'!$C$2:$C$206),0)),"/")</f>
        <v>/</v>
      </c>
      <c r="W22" s="513" t="str" cm="1">
        <f t="array" ref="W22">IFERROR(INDEX('Offer Statistics'!E$2:E$206,MATCH(1,(CityU!$A22='Offer Statistics'!$B$2:$B$206)*(CityU!$T$2='Offer Statistics'!$C$2:$C$206),0)),"/")</f>
        <v>/</v>
      </c>
      <c r="X22" s="513" t="str" cm="1">
        <f t="array" ref="X22">IFERROR(INDEX('Offer Statistics'!F$2:F$206,MATCH(1,(CityU!$A22='Offer Statistics'!$B$2:$B$206)*(CityU!$T$2='Offer Statistics'!$C$2:$C$206),0)),"/")</f>
        <v>/</v>
      </c>
      <c r="Y22" s="513" t="str" cm="1">
        <f t="array" ref="Y22">IFERROR(INDEX('Offer Statistics'!G$2:G$206,MATCH(1,(CityU!$A22='Offer Statistics'!$B$2:$B$206)*(CityU!$T$2='Offer Statistics'!$C$2:$C$206),0)),"/")</f>
        <v>/</v>
      </c>
      <c r="Z22" s="513" t="str" cm="1">
        <f t="array" ref="Z22">IFERROR(INDEX('Offer Statistics'!H$2:H$206,MATCH(1,(CityU!$A22='Offer Statistics'!$B$2:$B$206)*(CityU!$T$2='Offer Statistics'!$C$2:$C$206),0)),"/")</f>
        <v>/</v>
      </c>
      <c r="AA22" s="577"/>
      <c r="AB22" s="510" t="str" cm="1">
        <f t="array" ref="AB22">IFERROR(INDEX('Offer Statistics'!$Q$2:$Q$206,MATCH(1,(CityU!$A22='Offer Statistics'!$B$2:$B$206)*(CityU!$T$2='Offer Statistics'!$K$2:$K$206),0)),"/")</f>
        <v>/</v>
      </c>
      <c r="AC22" s="513" t="str" cm="1">
        <f t="array" ref="AC22">IFERROR(INDEX('Offer Statistics'!L$2:L$206,MATCH(1,(CityU!$A22='Offer Statistics'!$B$2:$B$206)*(CityU!$T$2='Offer Statistics'!$K$2:$K$206),0)),"/")</f>
        <v>/</v>
      </c>
      <c r="AD22" s="513" t="str" cm="1">
        <f t="array" ref="AD22">IFERROR(INDEX('Offer Statistics'!M$2:M$206,MATCH(1,(CityU!$A22='Offer Statistics'!$B$2:$B$206)*(CityU!$T$2='Offer Statistics'!$K$2:$K$206),0)),"/")</f>
        <v>/</v>
      </c>
      <c r="AE22" s="513" t="str" cm="1">
        <f t="array" ref="AE22">IFERROR(INDEX('Offer Statistics'!N$2:N$206,MATCH(1,(CityU!$A22='Offer Statistics'!$B$2:$B$206)*(CityU!$T$2='Offer Statistics'!$K$2:$K$206),0)),"/")</f>
        <v>/</v>
      </c>
      <c r="AF22" s="513" t="str" cm="1">
        <f t="array" ref="AF22">IFERROR(INDEX('Offer Statistics'!O$2:O$206,MATCH(1,(CityU!$A22='Offer Statistics'!$B$2:$B$206)*(CityU!$T$2='Offer Statistics'!$K$2:$K$206),0)),"/")</f>
        <v>/</v>
      </c>
      <c r="AG22" s="513" t="str" cm="1">
        <f t="array" ref="AG22">IFERROR(INDEX('Offer Statistics'!P$2:P$206,MATCH(1,(CityU!$A22='Offer Statistics'!$B$2:$B$206)*(CityU!$T$2='Offer Statistics'!$K$2:$K$206),0)),"/")</f>
        <v>/</v>
      </c>
      <c r="AH22" s="502"/>
      <c r="AI22" s="502" t="str">
        <f t="shared" si="2"/>
        <v>JS1062</v>
      </c>
      <c r="AJ22" s="503"/>
      <c r="AK22" s="503"/>
      <c r="AL22" s="503"/>
      <c r="AM22" s="503"/>
      <c r="AN22" s="503"/>
      <c r="AO22" s="503"/>
      <c r="AP22" s="503"/>
      <c r="AQ22" s="503"/>
      <c r="AR22" s="503"/>
      <c r="AS22" s="503"/>
      <c r="AT22" s="503"/>
      <c r="AU22" s="503"/>
      <c r="AV22" s="503"/>
      <c r="AW22" s="503"/>
      <c r="AX22" s="503"/>
    </row>
    <row r="23" spans="1:50" s="514" customFormat="1" ht="18" customHeight="1" x14ac:dyDescent="0.3">
      <c r="A23" s="502" t="str">
        <f>'Reference Score Calculation'!A34</f>
        <v>JS1071</v>
      </c>
      <c r="B23" s="503" t="str">
        <f>'Reference Score Calculation'!C34</f>
        <v>數據科學學院</v>
      </c>
      <c r="C23" s="504" t="str">
        <f>'Reference Score Calculation'!D34</f>
        <v>數據科學學院 [選項：理學士 (數據科學)、工學士 (數據與系統工程)]</v>
      </c>
      <c r="D23" s="503" t="str">
        <f>'Reference Score Calculation'!T34</f>
        <v>SDSC</v>
      </c>
      <c r="E23" s="519" t="str">
        <f>'Reference Score Calculation'!E34</f>
        <v>4C2X</v>
      </c>
      <c r="F23" s="506">
        <f>'Reference Score Calculation'!G34</f>
        <v>34</v>
      </c>
      <c r="G23" s="506">
        <f>'Reference Score Calculation'!H34</f>
        <v>31</v>
      </c>
      <c r="H23" s="507">
        <f>計分版!H55</f>
        <v>3.3500000000000002E-9</v>
      </c>
      <c r="I23" s="515">
        <f t="shared" si="0"/>
        <v>-33.999999996649997</v>
      </c>
      <c r="J23" s="516">
        <f t="shared" si="1"/>
        <v>-10149253730.343283</v>
      </c>
      <c r="K23" s="563">
        <f>入學要求!C43</f>
        <v>20</v>
      </c>
      <c r="L23" s="511">
        <f>入學要求!R43</f>
        <v>0</v>
      </c>
      <c r="M23" s="578" t="s">
        <v>2369</v>
      </c>
      <c r="N23" s="517">
        <f>入學要求!D43</f>
        <v>3</v>
      </c>
      <c r="O23" s="517">
        <f>入學要求!E43</f>
        <v>3</v>
      </c>
      <c r="P23" s="517">
        <f>入學要求!F43</f>
        <v>3</v>
      </c>
      <c r="Q23" s="517">
        <f>入學要求!G43</f>
        <v>2</v>
      </c>
      <c r="R23" s="517">
        <f>入學要求!H43</f>
        <v>3</v>
      </c>
      <c r="S23" s="517">
        <f>入學要求!I43</f>
        <v>3</v>
      </c>
      <c r="T23" s="576"/>
      <c r="U23" s="510" cm="1">
        <f t="array" ref="U23">IFERROR(INDEX('Offer Statistics'!$I$2:$I$206,MATCH(1,(CityU!$A23='Offer Statistics'!$B$2:$B$206)*(CityU!$T$2='Offer Statistics'!$C$2:$C$206),0)),"/")</f>
        <v>16</v>
      </c>
      <c r="V23" s="513" cm="1">
        <f t="array" ref="V23">IFERROR(INDEX('Offer Statistics'!D$2:D$206,MATCH(1,(CityU!$A23='Offer Statistics'!$B$2:$B$206)*(CityU!$T$2='Offer Statistics'!$C$2:$C$206),0)),"/")</f>
        <v>13</v>
      </c>
      <c r="W23" s="513" cm="1">
        <f t="array" ref="W23">IFERROR(INDEX('Offer Statistics'!E$2:E$206,MATCH(1,(CityU!$A23='Offer Statistics'!$B$2:$B$206)*(CityU!$T$2='Offer Statistics'!$C$2:$C$206),0)),"/")</f>
        <v>1</v>
      </c>
      <c r="X23" s="513" cm="1">
        <f t="array" ref="X23">IFERROR(INDEX('Offer Statistics'!F$2:F$206,MATCH(1,(CityU!$A23='Offer Statistics'!$B$2:$B$206)*(CityU!$T$2='Offer Statistics'!$C$2:$C$206),0)),"/")</f>
        <v>1</v>
      </c>
      <c r="Y23" s="513" cm="1">
        <f t="array" ref="Y23">IFERROR(INDEX('Offer Statistics'!G$2:G$206,MATCH(1,(CityU!$A23='Offer Statistics'!$B$2:$B$206)*(CityU!$T$2='Offer Statistics'!$C$2:$C$206),0)),"/")</f>
        <v>1</v>
      </c>
      <c r="Z23" s="513" cm="1">
        <f t="array" ref="Z23">IFERROR(INDEX('Offer Statistics'!H$2:H$206,MATCH(1,(CityU!$A23='Offer Statistics'!$B$2:$B$206)*(CityU!$T$2='Offer Statistics'!$C$2:$C$206),0)),"/")</f>
        <v>0</v>
      </c>
      <c r="AA23" s="577"/>
      <c r="AB23" s="510" cm="1">
        <f t="array" ref="AB23">IFERROR(INDEX('Offer Statistics'!$Q$2:$Q$206,MATCH(1,(CityU!$A23='Offer Statistics'!$B$2:$B$206)*(CityU!$T$2='Offer Statistics'!$K$2:$K$206),0)),"/")</f>
        <v>1117</v>
      </c>
      <c r="AC23" s="513" cm="1">
        <f t="array" ref="AC23">IFERROR(INDEX('Offer Statistics'!L$2:L$206,MATCH(1,(CityU!$A23='Offer Statistics'!$B$2:$B$206)*(CityU!$T$2='Offer Statistics'!$K$2:$K$206),0)),"/")</f>
        <v>67</v>
      </c>
      <c r="AD23" s="513" cm="1">
        <f t="array" ref="AD23">IFERROR(INDEX('Offer Statistics'!M$2:M$206,MATCH(1,(CityU!$A23='Offer Statistics'!$B$2:$B$206)*(CityU!$T$2='Offer Statistics'!$K$2:$K$206),0)),"/")</f>
        <v>149</v>
      </c>
      <c r="AE23" s="513" cm="1">
        <f t="array" ref="AE23">IFERROR(INDEX('Offer Statistics'!N$2:N$206,MATCH(1,(CityU!$A23='Offer Statistics'!$B$2:$B$206)*(CityU!$T$2='Offer Statistics'!$K$2:$K$206),0)),"/")</f>
        <v>300</v>
      </c>
      <c r="AF23" s="513" cm="1">
        <f t="array" ref="AF23">IFERROR(INDEX('Offer Statistics'!O$2:O$206,MATCH(1,(CityU!$A23='Offer Statistics'!$B$2:$B$206)*(CityU!$T$2='Offer Statistics'!$K$2:$K$206),0)),"/")</f>
        <v>346</v>
      </c>
      <c r="AG23" s="513" cm="1">
        <f t="array" ref="AG23">IFERROR(INDEX('Offer Statistics'!P$2:P$206,MATCH(1,(CityU!$A23='Offer Statistics'!$B$2:$B$206)*(CityU!$T$2='Offer Statistics'!$K$2:$K$206),0)),"/")</f>
        <v>255</v>
      </c>
      <c r="AH23" s="502"/>
      <c r="AI23" s="502" t="str">
        <f t="shared" si="2"/>
        <v>JS1071</v>
      </c>
      <c r="AJ23" s="503"/>
      <c r="AK23" s="503"/>
      <c r="AL23" s="503"/>
      <c r="AM23" s="503"/>
      <c r="AN23" s="503"/>
      <c r="AO23" s="503"/>
      <c r="AP23" s="503"/>
      <c r="AQ23" s="503"/>
      <c r="AR23" s="503"/>
      <c r="AS23" s="503"/>
      <c r="AT23" s="503"/>
      <c r="AU23" s="503"/>
      <c r="AV23" s="503"/>
      <c r="AW23" s="503"/>
      <c r="AX23" s="503"/>
    </row>
    <row r="24" spans="1:50" s="514" customFormat="1" ht="18" customHeight="1" x14ac:dyDescent="0.3">
      <c r="A24" s="502" t="str">
        <f>'Reference Score Calculation'!A35</f>
        <v>JS1072</v>
      </c>
      <c r="B24" s="503" t="str">
        <f>'Reference Score Calculation'!C35</f>
        <v>數據科學學院</v>
      </c>
      <c r="C24" s="504" t="str">
        <f>'Reference Score Calculation'!D35</f>
        <v>理學士(數據科學)</v>
      </c>
      <c r="D24" s="503" t="str">
        <f>'Reference Score Calculation'!T35</f>
        <v>BScDSC</v>
      </c>
      <c r="E24" s="519" t="str">
        <f>'Reference Score Calculation'!E35</f>
        <v>4C2X</v>
      </c>
      <c r="F24" s="506">
        <f>'Reference Score Calculation'!G35</f>
        <v>32</v>
      </c>
      <c r="G24" s="506">
        <f>'Reference Score Calculation'!H35</f>
        <v>29</v>
      </c>
      <c r="H24" s="507">
        <f>計分版!H56</f>
        <v>3.3500000000000002E-9</v>
      </c>
      <c r="I24" s="515">
        <f t="shared" si="0"/>
        <v>-31.999999996650001</v>
      </c>
      <c r="J24" s="516">
        <f t="shared" si="1"/>
        <v>-9552238804.9701481</v>
      </c>
      <c r="K24" s="563">
        <f>入學要求!C44</f>
        <v>30</v>
      </c>
      <c r="L24" s="511">
        <f>入學要求!R44</f>
        <v>0</v>
      </c>
      <c r="M24" s="578"/>
      <c r="N24" s="517">
        <f>入學要求!D44</f>
        <v>3</v>
      </c>
      <c r="O24" s="517">
        <f>入學要求!E44</f>
        <v>3</v>
      </c>
      <c r="P24" s="517">
        <f>入學要求!F44</f>
        <v>3</v>
      </c>
      <c r="Q24" s="517">
        <f>入學要求!G44</f>
        <v>2</v>
      </c>
      <c r="R24" s="517">
        <f>入學要求!H44</f>
        <v>3</v>
      </c>
      <c r="S24" s="517">
        <f>入學要求!I44</f>
        <v>3</v>
      </c>
      <c r="T24" s="576"/>
      <c r="U24" s="510" cm="1">
        <f t="array" ref="U24">IFERROR(INDEX('Offer Statistics'!$I$2:$I$206,MATCH(1,(CityU!$A24='Offer Statistics'!$B$2:$B$206)*(CityU!$T$2='Offer Statistics'!$C$2:$C$206),0)),"/")</f>
        <v>23</v>
      </c>
      <c r="V24" s="513" cm="1">
        <f t="array" ref="V24">IFERROR(INDEX('Offer Statistics'!D$2:D$206,MATCH(1,(CityU!$A24='Offer Statistics'!$B$2:$B$206)*(CityU!$T$2='Offer Statistics'!$C$2:$C$206),0)),"/")</f>
        <v>17</v>
      </c>
      <c r="W24" s="513" cm="1">
        <f t="array" ref="W24">IFERROR(INDEX('Offer Statistics'!E$2:E$206,MATCH(1,(CityU!$A24='Offer Statistics'!$B$2:$B$206)*(CityU!$T$2='Offer Statistics'!$C$2:$C$206),0)),"/")</f>
        <v>1</v>
      </c>
      <c r="X24" s="513" cm="1">
        <f t="array" ref="X24">IFERROR(INDEX('Offer Statistics'!F$2:F$206,MATCH(1,(CityU!$A24='Offer Statistics'!$B$2:$B$206)*(CityU!$T$2='Offer Statistics'!$C$2:$C$206),0)),"/")</f>
        <v>2</v>
      </c>
      <c r="Y24" s="513" cm="1">
        <f t="array" ref="Y24">IFERROR(INDEX('Offer Statistics'!G$2:G$206,MATCH(1,(CityU!$A24='Offer Statistics'!$B$2:$B$206)*(CityU!$T$2='Offer Statistics'!$C$2:$C$206),0)),"/")</f>
        <v>2</v>
      </c>
      <c r="Z24" s="513" cm="1">
        <f t="array" ref="Z24">IFERROR(INDEX('Offer Statistics'!H$2:H$206,MATCH(1,(CityU!$A24='Offer Statistics'!$B$2:$B$206)*(CityU!$T$2='Offer Statistics'!$C$2:$C$206),0)),"/")</f>
        <v>1</v>
      </c>
      <c r="AA24" s="577"/>
      <c r="AB24" s="510" cm="1">
        <f t="array" ref="AB24">IFERROR(INDEX('Offer Statistics'!$Q$2:$Q$206,MATCH(1,(CityU!$A24='Offer Statistics'!$B$2:$B$206)*(CityU!$T$2='Offer Statistics'!$K$2:$K$206),0)),"/")</f>
        <v>1391</v>
      </c>
      <c r="AC24" s="513" cm="1">
        <f t="array" ref="AC24">IFERROR(INDEX('Offer Statistics'!L$2:L$206,MATCH(1,(CityU!$A24='Offer Statistics'!$B$2:$B$206)*(CityU!$T$2='Offer Statistics'!$K$2:$K$206),0)),"/")</f>
        <v>102</v>
      </c>
      <c r="AD24" s="513" cm="1">
        <f t="array" ref="AD24">IFERROR(INDEX('Offer Statistics'!M$2:M$206,MATCH(1,(CityU!$A24='Offer Statistics'!$B$2:$B$206)*(CityU!$T$2='Offer Statistics'!$K$2:$K$206),0)),"/")</f>
        <v>213</v>
      </c>
      <c r="AE24" s="513" cm="1">
        <f t="array" ref="AE24">IFERROR(INDEX('Offer Statistics'!N$2:N$206,MATCH(1,(CityU!$A24='Offer Statistics'!$B$2:$B$206)*(CityU!$T$2='Offer Statistics'!$K$2:$K$206),0)),"/")</f>
        <v>374</v>
      </c>
      <c r="AF24" s="513" cm="1">
        <f t="array" ref="AF24">IFERROR(INDEX('Offer Statistics'!O$2:O$206,MATCH(1,(CityU!$A24='Offer Statistics'!$B$2:$B$206)*(CityU!$T$2='Offer Statistics'!$K$2:$K$206),0)),"/")</f>
        <v>420</v>
      </c>
      <c r="AG24" s="513" cm="1">
        <f t="array" ref="AG24">IFERROR(INDEX('Offer Statistics'!P$2:P$206,MATCH(1,(CityU!$A24='Offer Statistics'!$B$2:$B$206)*(CityU!$T$2='Offer Statistics'!$K$2:$K$206),0)),"/")</f>
        <v>282</v>
      </c>
      <c r="AH24" s="502"/>
      <c r="AI24" s="502" t="str">
        <f t="shared" si="2"/>
        <v>JS1072</v>
      </c>
      <c r="AJ24" s="503"/>
      <c r="AK24" s="503"/>
      <c r="AL24" s="503"/>
      <c r="AM24" s="503"/>
      <c r="AN24" s="503"/>
      <c r="AO24" s="503"/>
      <c r="AP24" s="503"/>
      <c r="AQ24" s="503"/>
      <c r="AR24" s="503"/>
      <c r="AS24" s="503"/>
      <c r="AT24" s="503"/>
      <c r="AU24" s="503"/>
      <c r="AV24" s="503"/>
      <c r="AW24" s="503"/>
      <c r="AX24" s="503"/>
    </row>
    <row r="25" spans="1:50" s="514" customFormat="1" ht="18" customHeight="1" x14ac:dyDescent="0.3">
      <c r="A25" s="502" t="str">
        <f>'Reference Score Calculation'!A36</f>
        <v>JS1074</v>
      </c>
      <c r="B25" s="503" t="str">
        <f>'Reference Score Calculation'!C36</f>
        <v>數據科學學院</v>
      </c>
      <c r="C25" s="504" t="str">
        <f>'Reference Score Calculation'!D36</f>
        <v>工學士(數據與系統工程)</v>
      </c>
      <c r="D25" s="503" t="str">
        <f>'Reference Score Calculation'!T36</f>
        <v>BEngDSE</v>
      </c>
      <c r="E25" s="519" t="str">
        <f>'Reference Score Calculation'!E36</f>
        <v>4C2X</v>
      </c>
      <c r="F25" s="506">
        <f>'Reference Score Calculation'!G36</f>
        <v>30</v>
      </c>
      <c r="G25" s="506">
        <f>'Reference Score Calculation'!H36</f>
        <v>27</v>
      </c>
      <c r="H25" s="507">
        <f>計分版!H57</f>
        <v>3.3500000000000002E-9</v>
      </c>
      <c r="I25" s="515">
        <f t="shared" si="0"/>
        <v>-29.999999996650001</v>
      </c>
      <c r="J25" s="516">
        <f t="shared" si="1"/>
        <v>-8955223879.5970154</v>
      </c>
      <c r="K25" s="563">
        <f>入學要求!C45</f>
        <v>20</v>
      </c>
      <c r="L25" s="511">
        <f>入學要求!R45</f>
        <v>0</v>
      </c>
      <c r="M25" s="578"/>
      <c r="N25" s="517">
        <f>入學要求!D45</f>
        <v>3</v>
      </c>
      <c r="O25" s="517">
        <f>入學要求!E45</f>
        <v>3</v>
      </c>
      <c r="P25" s="517">
        <f>入學要求!F45</f>
        <v>3</v>
      </c>
      <c r="Q25" s="517">
        <f>入學要求!G45</f>
        <v>2</v>
      </c>
      <c r="R25" s="517">
        <f>入學要求!H45</f>
        <v>3</v>
      </c>
      <c r="S25" s="517">
        <f>入學要求!I45</f>
        <v>3</v>
      </c>
      <c r="T25" s="576"/>
      <c r="U25" s="510" cm="1">
        <f t="array" ref="U25">IFERROR(INDEX('Offer Statistics'!$I$2:$I$206,MATCH(1,(CityU!$A25='Offer Statistics'!$B$2:$B$206)*(CityU!$T$2='Offer Statistics'!$C$2:$C$206),0)),"/")</f>
        <v>11</v>
      </c>
      <c r="V25" s="513" cm="1">
        <f t="array" ref="V25">IFERROR(INDEX('Offer Statistics'!D$2:D$206,MATCH(1,(CityU!$A25='Offer Statistics'!$B$2:$B$206)*(CityU!$T$2='Offer Statistics'!$C$2:$C$206),0)),"/")</f>
        <v>7</v>
      </c>
      <c r="W25" s="513" cm="1">
        <f t="array" ref="W25">IFERROR(INDEX('Offer Statistics'!E$2:E$206,MATCH(1,(CityU!$A25='Offer Statistics'!$B$2:$B$206)*(CityU!$T$2='Offer Statistics'!$C$2:$C$206),0)),"/")</f>
        <v>1</v>
      </c>
      <c r="X25" s="513" cm="1">
        <f t="array" ref="X25">IFERROR(INDEX('Offer Statistics'!F$2:F$206,MATCH(1,(CityU!$A25='Offer Statistics'!$B$2:$B$206)*(CityU!$T$2='Offer Statistics'!$C$2:$C$206),0)),"/")</f>
        <v>3</v>
      </c>
      <c r="Y25" s="513" cm="1">
        <f t="array" ref="Y25">IFERROR(INDEX('Offer Statistics'!G$2:G$206,MATCH(1,(CityU!$A25='Offer Statistics'!$B$2:$B$206)*(CityU!$T$2='Offer Statistics'!$C$2:$C$206),0)),"/")</f>
        <v>0</v>
      </c>
      <c r="Z25" s="513" cm="1">
        <f t="array" ref="Z25">IFERROR(INDEX('Offer Statistics'!H$2:H$206,MATCH(1,(CityU!$A25='Offer Statistics'!$B$2:$B$206)*(CityU!$T$2='Offer Statistics'!$C$2:$C$206),0)),"/")</f>
        <v>0</v>
      </c>
      <c r="AA25" s="577"/>
      <c r="AB25" s="510" cm="1">
        <f t="array" ref="AB25">IFERROR(INDEX('Offer Statistics'!$Q$2:$Q$206,MATCH(1,(CityU!$A25='Offer Statistics'!$B$2:$B$206)*(CityU!$T$2='Offer Statistics'!$K$2:$K$206),0)),"/")</f>
        <v>1353</v>
      </c>
      <c r="AC25" s="513" cm="1">
        <f t="array" ref="AC25">IFERROR(INDEX('Offer Statistics'!L$2:L$206,MATCH(1,(CityU!$A25='Offer Statistics'!$B$2:$B$206)*(CityU!$T$2='Offer Statistics'!$K$2:$K$206),0)),"/")</f>
        <v>75</v>
      </c>
      <c r="AD25" s="513" cm="1">
        <f t="array" ref="AD25">IFERROR(INDEX('Offer Statistics'!M$2:M$206,MATCH(1,(CityU!$A25='Offer Statistics'!$B$2:$B$206)*(CityU!$T$2='Offer Statistics'!$K$2:$K$206),0)),"/")</f>
        <v>186</v>
      </c>
      <c r="AE25" s="513" cm="1">
        <f t="array" ref="AE25">IFERROR(INDEX('Offer Statistics'!N$2:N$206,MATCH(1,(CityU!$A25='Offer Statistics'!$B$2:$B$206)*(CityU!$T$2='Offer Statistics'!$K$2:$K$206),0)),"/")</f>
        <v>321</v>
      </c>
      <c r="AF25" s="513" cm="1">
        <f t="array" ref="AF25">IFERROR(INDEX('Offer Statistics'!O$2:O$206,MATCH(1,(CityU!$A25='Offer Statistics'!$B$2:$B$206)*(CityU!$T$2='Offer Statistics'!$K$2:$K$206),0)),"/")</f>
        <v>451</v>
      </c>
      <c r="AG25" s="513" cm="1">
        <f t="array" ref="AG25">IFERROR(INDEX('Offer Statistics'!P$2:P$206,MATCH(1,(CityU!$A25='Offer Statistics'!$B$2:$B$206)*(CityU!$T$2='Offer Statistics'!$K$2:$K$206),0)),"/")</f>
        <v>320</v>
      </c>
      <c r="AH25" s="502"/>
      <c r="AI25" s="502" t="str">
        <f t="shared" si="2"/>
        <v>JS1074</v>
      </c>
      <c r="AJ25" s="503"/>
      <c r="AK25" s="503"/>
      <c r="AL25" s="503"/>
      <c r="AM25" s="503"/>
      <c r="AN25" s="503"/>
      <c r="AO25" s="503"/>
      <c r="AP25" s="503"/>
      <c r="AQ25" s="503"/>
      <c r="AR25" s="503"/>
      <c r="AS25" s="503"/>
      <c r="AT25" s="503"/>
      <c r="AU25" s="503"/>
      <c r="AV25" s="503"/>
      <c r="AW25" s="503"/>
      <c r="AX25" s="503"/>
    </row>
    <row r="26" spans="1:50" s="514" customFormat="1" ht="18" customHeight="1" x14ac:dyDescent="0.3">
      <c r="A26" s="502" t="str">
        <f>'Reference Score Calculation'!A37</f>
        <v>JS1102</v>
      </c>
      <c r="B26" s="503" t="str">
        <f>'Reference Score Calculation'!C37</f>
        <v>人文社會科學院</v>
      </c>
      <c r="C26" s="504" t="str">
        <f>'Reference Score Calculation'!D37</f>
        <v>社會科學學士(亞洲及國際研究)</v>
      </c>
      <c r="D26" s="503" t="str">
        <f>'Reference Score Calculation'!T37</f>
        <v>BSocScASIS</v>
      </c>
      <c r="E26" s="505" t="str">
        <f>'Reference Score Calculation'!E37</f>
        <v>Best 5</v>
      </c>
      <c r="F26" s="506">
        <f>'Reference Score Calculation'!G37</f>
        <v>20</v>
      </c>
      <c r="G26" s="506">
        <f>'Reference Score Calculation'!H37</f>
        <v>19</v>
      </c>
      <c r="H26" s="507">
        <f>計分版!H58</f>
        <v>3.2500000000000002E-9</v>
      </c>
      <c r="I26" s="515">
        <f t="shared" si="0"/>
        <v>-19.999999996749999</v>
      </c>
      <c r="J26" s="516">
        <f t="shared" si="1"/>
        <v>-6153846152.8461533</v>
      </c>
      <c r="K26" s="563">
        <f>入學要求!C46</f>
        <v>20</v>
      </c>
      <c r="L26" s="511">
        <f>入學要求!R46</f>
        <v>0</v>
      </c>
      <c r="M26" s="569" t="s">
        <v>2150</v>
      </c>
      <c r="N26" s="517">
        <f>入學要求!D46</f>
        <v>3</v>
      </c>
      <c r="O26" s="517">
        <f>入學要求!E46</f>
        <v>3</v>
      </c>
      <c r="P26" s="517">
        <f>入學要求!F46</f>
        <v>2</v>
      </c>
      <c r="Q26" s="517">
        <f>入學要求!G46</f>
        <v>2</v>
      </c>
      <c r="R26" s="517">
        <f>入學要求!H46</f>
        <v>3</v>
      </c>
      <c r="S26" s="517">
        <f>入學要求!I46</f>
        <v>3</v>
      </c>
      <c r="T26" s="576"/>
      <c r="U26" s="510" cm="1">
        <f t="array" ref="U26">IFERROR(INDEX('Offer Statistics'!$I$2:$I$206,MATCH(1,(CityU!$A26='Offer Statistics'!$B$2:$B$206)*(CityU!$T$2='Offer Statistics'!$C$2:$C$206),0)),"/")</f>
        <v>16</v>
      </c>
      <c r="V26" s="513" cm="1">
        <f t="array" ref="V26">IFERROR(INDEX('Offer Statistics'!D$2:D$206,MATCH(1,(CityU!$A26='Offer Statistics'!$B$2:$B$206)*(CityU!$T$2='Offer Statistics'!$C$2:$C$206),0)),"/")</f>
        <v>12</v>
      </c>
      <c r="W26" s="513" cm="1">
        <f t="array" ref="W26">IFERROR(INDEX('Offer Statistics'!E$2:E$206,MATCH(1,(CityU!$A26='Offer Statistics'!$B$2:$B$206)*(CityU!$T$2='Offer Statistics'!$C$2:$C$206),0)),"/")</f>
        <v>3</v>
      </c>
      <c r="X26" s="513" cm="1">
        <f t="array" ref="X26">IFERROR(INDEX('Offer Statistics'!F$2:F$206,MATCH(1,(CityU!$A26='Offer Statistics'!$B$2:$B$206)*(CityU!$T$2='Offer Statistics'!$C$2:$C$206),0)),"/")</f>
        <v>1</v>
      </c>
      <c r="Y26" s="513" cm="1">
        <f t="array" ref="Y26">IFERROR(INDEX('Offer Statistics'!G$2:G$206,MATCH(1,(CityU!$A26='Offer Statistics'!$B$2:$B$206)*(CityU!$T$2='Offer Statistics'!$C$2:$C$206),0)),"/")</f>
        <v>0</v>
      </c>
      <c r="Z26" s="513" cm="1">
        <f t="array" ref="Z26">IFERROR(INDEX('Offer Statistics'!H$2:H$206,MATCH(1,(CityU!$A26='Offer Statistics'!$B$2:$B$206)*(CityU!$T$2='Offer Statistics'!$C$2:$C$206),0)),"/")</f>
        <v>0</v>
      </c>
      <c r="AA26" s="577"/>
      <c r="AB26" s="510" cm="1">
        <f t="array" ref="AB26">IFERROR(INDEX('Offer Statistics'!$Q$2:$Q$206,MATCH(1,(CityU!$A26='Offer Statistics'!$B$2:$B$206)*(CityU!$T$2='Offer Statistics'!$K$2:$K$206),0)),"/")</f>
        <v>1636</v>
      </c>
      <c r="AC26" s="513" cm="1">
        <f t="array" ref="AC26">IFERROR(INDEX('Offer Statistics'!L$2:L$206,MATCH(1,(CityU!$A26='Offer Statistics'!$B$2:$B$206)*(CityU!$T$2='Offer Statistics'!$K$2:$K$206),0)),"/")</f>
        <v>110</v>
      </c>
      <c r="AD26" s="513" cm="1">
        <f t="array" ref="AD26">IFERROR(INDEX('Offer Statistics'!M$2:M$206,MATCH(1,(CityU!$A26='Offer Statistics'!$B$2:$B$206)*(CityU!$T$2='Offer Statistics'!$K$2:$K$206),0)),"/")</f>
        <v>185</v>
      </c>
      <c r="AE26" s="513" cm="1">
        <f t="array" ref="AE26">IFERROR(INDEX('Offer Statistics'!N$2:N$206,MATCH(1,(CityU!$A26='Offer Statistics'!$B$2:$B$206)*(CityU!$T$2='Offer Statistics'!$K$2:$K$206),0)),"/")</f>
        <v>386</v>
      </c>
      <c r="AF26" s="513" cm="1">
        <f t="array" ref="AF26">IFERROR(INDEX('Offer Statistics'!O$2:O$206,MATCH(1,(CityU!$A26='Offer Statistics'!$B$2:$B$206)*(CityU!$T$2='Offer Statistics'!$K$2:$K$206),0)),"/")</f>
        <v>536</v>
      </c>
      <c r="AG26" s="513" cm="1">
        <f t="array" ref="AG26">IFERROR(INDEX('Offer Statistics'!P$2:P$206,MATCH(1,(CityU!$A26='Offer Statistics'!$B$2:$B$206)*(CityU!$T$2='Offer Statistics'!$K$2:$K$206),0)),"/")</f>
        <v>419</v>
      </c>
      <c r="AH26" s="502"/>
      <c r="AI26" s="502" t="str">
        <f t="shared" si="2"/>
        <v>JS1102</v>
      </c>
      <c r="AJ26" s="503"/>
      <c r="AK26" s="503"/>
      <c r="AL26" s="503"/>
      <c r="AM26" s="503"/>
      <c r="AN26" s="503"/>
      <c r="AO26" s="503"/>
      <c r="AP26" s="503"/>
      <c r="AQ26" s="503"/>
      <c r="AR26" s="503"/>
      <c r="AS26" s="503"/>
      <c r="AT26" s="503"/>
      <c r="AU26" s="503"/>
      <c r="AV26" s="503"/>
      <c r="AW26" s="503"/>
      <c r="AX26" s="503"/>
    </row>
    <row r="27" spans="1:50" s="514" customFormat="1" ht="18" customHeight="1" x14ac:dyDescent="0.3">
      <c r="A27" s="502" t="str">
        <f>'Reference Score Calculation'!A38</f>
        <v>JS1103</v>
      </c>
      <c r="B27" s="503" t="str">
        <f>'Reference Score Calculation'!C38</f>
        <v>人文社會科學院</v>
      </c>
      <c r="C27" s="504" t="str">
        <f>'Reference Score Calculation'!D38</f>
        <v>文學士(中文及歷史)</v>
      </c>
      <c r="D27" s="503" t="str">
        <f>'Reference Score Calculation'!T38</f>
        <v>BACHIS</v>
      </c>
      <c r="E27" s="519" t="str">
        <f>'Reference Score Calculation'!E38</f>
        <v>4C2X</v>
      </c>
      <c r="F27" s="506">
        <f>'Reference Score Calculation'!G38</f>
        <v>37</v>
      </c>
      <c r="G27" s="506">
        <f>'Reference Score Calculation'!H38</f>
        <v>36</v>
      </c>
      <c r="H27" s="507">
        <f>計分版!H59</f>
        <v>3.3500000000000002E-9</v>
      </c>
      <c r="I27" s="515">
        <f t="shared" si="0"/>
        <v>-36.999999996649997</v>
      </c>
      <c r="J27" s="516">
        <f t="shared" si="1"/>
        <v>-11044776118.402983</v>
      </c>
      <c r="K27" s="563">
        <f>入學要求!C47</f>
        <v>45</v>
      </c>
      <c r="L27" s="511">
        <f>入學要求!R47</f>
        <v>0</v>
      </c>
      <c r="M27" s="569" t="s">
        <v>2653</v>
      </c>
      <c r="N27" s="517">
        <f>入學要求!D47</f>
        <v>3</v>
      </c>
      <c r="O27" s="517">
        <f>入學要求!E47</f>
        <v>3</v>
      </c>
      <c r="P27" s="517">
        <f>入學要求!F47</f>
        <v>2</v>
      </c>
      <c r="Q27" s="517">
        <f>入學要求!G47</f>
        <v>2</v>
      </c>
      <c r="R27" s="517">
        <f>入學要求!H47</f>
        <v>3</v>
      </c>
      <c r="S27" s="517">
        <f>入學要求!I47</f>
        <v>3</v>
      </c>
      <c r="T27" s="576"/>
      <c r="U27" s="510" cm="1">
        <f t="array" ref="U27">IFERROR(INDEX('Offer Statistics'!$I$2:$I$206,MATCH(1,(CityU!$A27='Offer Statistics'!$B$2:$B$206)*(CityU!$T$2='Offer Statistics'!$C$2:$C$206),0)),"/")</f>
        <v>56</v>
      </c>
      <c r="V27" s="513" cm="1">
        <f t="array" ref="V27">IFERROR(INDEX('Offer Statistics'!D$2:D$206,MATCH(1,(CityU!$A27='Offer Statistics'!$B$2:$B$206)*(CityU!$T$2='Offer Statistics'!$C$2:$C$206),0)),"/")</f>
        <v>50</v>
      </c>
      <c r="W27" s="513" cm="1">
        <f t="array" ref="W27">IFERROR(INDEX('Offer Statistics'!E$2:E$206,MATCH(1,(CityU!$A27='Offer Statistics'!$B$2:$B$206)*(CityU!$T$2='Offer Statistics'!$C$2:$C$206),0)),"/")</f>
        <v>5</v>
      </c>
      <c r="X27" s="513" cm="1">
        <f t="array" ref="X27">IFERROR(INDEX('Offer Statistics'!F$2:F$206,MATCH(1,(CityU!$A27='Offer Statistics'!$B$2:$B$206)*(CityU!$T$2='Offer Statistics'!$C$2:$C$206),0)),"/")</f>
        <v>1</v>
      </c>
      <c r="Y27" s="513" cm="1">
        <f t="array" ref="Y27">IFERROR(INDEX('Offer Statistics'!G$2:G$206,MATCH(1,(CityU!$A27='Offer Statistics'!$B$2:$B$206)*(CityU!$T$2='Offer Statistics'!$C$2:$C$206),0)),"/")</f>
        <v>0</v>
      </c>
      <c r="Z27" s="513" cm="1">
        <f t="array" ref="Z27">IFERROR(INDEX('Offer Statistics'!H$2:H$206,MATCH(1,(CityU!$A27='Offer Statistics'!$B$2:$B$206)*(CityU!$T$2='Offer Statistics'!$C$2:$C$206),0)),"/")</f>
        <v>0</v>
      </c>
      <c r="AA27" s="577"/>
      <c r="AB27" s="510" cm="1">
        <f t="array" ref="AB27">IFERROR(INDEX('Offer Statistics'!$Q$2:$Q$206,MATCH(1,(CityU!$A27='Offer Statistics'!$B$2:$B$206)*(CityU!$T$2='Offer Statistics'!$K$2:$K$206),0)),"/")</f>
        <v>2654</v>
      </c>
      <c r="AC27" s="513" cm="1">
        <f t="array" ref="AC27">IFERROR(INDEX('Offer Statistics'!L$2:L$206,MATCH(1,(CityU!$A27='Offer Statistics'!$B$2:$B$206)*(CityU!$T$2='Offer Statistics'!$K$2:$K$206),0)),"/")</f>
        <v>592</v>
      </c>
      <c r="AD27" s="513" cm="1">
        <f t="array" ref="AD27">IFERROR(INDEX('Offer Statistics'!M$2:M$206,MATCH(1,(CityU!$A27='Offer Statistics'!$B$2:$B$206)*(CityU!$T$2='Offer Statistics'!$K$2:$K$206),0)),"/")</f>
        <v>531</v>
      </c>
      <c r="AE27" s="513" cm="1">
        <f t="array" ref="AE27">IFERROR(INDEX('Offer Statistics'!N$2:N$206,MATCH(1,(CityU!$A27='Offer Statistics'!$B$2:$B$206)*(CityU!$T$2='Offer Statistics'!$K$2:$K$206),0)),"/")</f>
        <v>557</v>
      </c>
      <c r="AF27" s="513" cm="1">
        <f t="array" ref="AF27">IFERROR(INDEX('Offer Statistics'!O$2:O$206,MATCH(1,(CityU!$A27='Offer Statistics'!$B$2:$B$206)*(CityU!$T$2='Offer Statistics'!$K$2:$K$206),0)),"/")</f>
        <v>577</v>
      </c>
      <c r="AG27" s="513" cm="1">
        <f t="array" ref="AG27">IFERROR(INDEX('Offer Statistics'!P$2:P$206,MATCH(1,(CityU!$A27='Offer Statistics'!$B$2:$B$206)*(CityU!$T$2='Offer Statistics'!$K$2:$K$206),0)),"/")</f>
        <v>397</v>
      </c>
      <c r="AH27" s="502"/>
      <c r="AI27" s="502" t="str">
        <f t="shared" si="2"/>
        <v>JS1103</v>
      </c>
      <c r="AJ27" s="503"/>
      <c r="AK27" s="503"/>
      <c r="AL27" s="503"/>
      <c r="AM27" s="503"/>
      <c r="AN27" s="503"/>
      <c r="AO27" s="503"/>
      <c r="AP27" s="503"/>
      <c r="AQ27" s="503"/>
      <c r="AR27" s="503"/>
      <c r="AS27" s="503"/>
      <c r="AT27" s="503"/>
      <c r="AU27" s="503"/>
      <c r="AV27" s="503"/>
      <c r="AW27" s="503"/>
      <c r="AX27" s="503"/>
    </row>
    <row r="28" spans="1:50" s="514" customFormat="1" ht="18" customHeight="1" x14ac:dyDescent="0.3">
      <c r="A28" s="502" t="str">
        <f>'Reference Score Calculation'!A39</f>
        <v>JS1104</v>
      </c>
      <c r="B28" s="503" t="str">
        <f>'Reference Score Calculation'!C39</f>
        <v>人文社會科學院</v>
      </c>
      <c r="C28" s="504" t="str">
        <f>'Reference Score Calculation'!D39</f>
        <v>文學士(英語語言)</v>
      </c>
      <c r="D28" s="503" t="str">
        <f>'Reference Score Calculation'!T39</f>
        <v>BAEN</v>
      </c>
      <c r="E28" s="519" t="str">
        <f>'Reference Score Calculation'!E39</f>
        <v>Best 6</v>
      </c>
      <c r="F28" s="506">
        <f>'Reference Score Calculation'!G39</f>
        <v>32.5</v>
      </c>
      <c r="G28" s="506">
        <f>'Reference Score Calculation'!H39</f>
        <v>31</v>
      </c>
      <c r="H28" s="507">
        <f>計分版!H60</f>
        <v>3.8500000000000006E-9</v>
      </c>
      <c r="I28" s="515">
        <f t="shared" si="0"/>
        <v>-32.499999996150002</v>
      </c>
      <c r="J28" s="516">
        <f t="shared" si="1"/>
        <v>-8441558440.5584412</v>
      </c>
      <c r="K28" s="563">
        <f>入學要求!C48</f>
        <v>25</v>
      </c>
      <c r="L28" s="511">
        <f>入學要求!R48</f>
        <v>0</v>
      </c>
      <c r="M28" s="569" t="s">
        <v>2369</v>
      </c>
      <c r="N28" s="517">
        <f>入學要求!D48</f>
        <v>3</v>
      </c>
      <c r="O28" s="517">
        <f>入學要求!E48</f>
        <v>3</v>
      </c>
      <c r="P28" s="517">
        <f>入學要求!F48</f>
        <v>2</v>
      </c>
      <c r="Q28" s="517">
        <f>入學要求!G48</f>
        <v>2</v>
      </c>
      <c r="R28" s="517">
        <f>入學要求!H48</f>
        <v>3</v>
      </c>
      <c r="S28" s="517">
        <f>入學要求!I48</f>
        <v>3</v>
      </c>
      <c r="T28" s="576"/>
      <c r="U28" s="510" cm="1">
        <f t="array" ref="U28">IFERROR(INDEX('Offer Statistics'!$I$2:$I$206,MATCH(1,(CityU!$A28='Offer Statistics'!$B$2:$B$206)*(CityU!$T$2='Offer Statistics'!$C$2:$C$206),0)),"/")</f>
        <v>26</v>
      </c>
      <c r="V28" s="513" cm="1">
        <f t="array" ref="V28">IFERROR(INDEX('Offer Statistics'!D$2:D$206,MATCH(1,(CityU!$A28='Offer Statistics'!$B$2:$B$206)*(CityU!$T$2='Offer Statistics'!$C$2:$C$206),0)),"/")</f>
        <v>20</v>
      </c>
      <c r="W28" s="513" cm="1">
        <f t="array" ref="W28">IFERROR(INDEX('Offer Statistics'!E$2:E$206,MATCH(1,(CityU!$A28='Offer Statistics'!$B$2:$B$206)*(CityU!$T$2='Offer Statistics'!$C$2:$C$206),0)),"/")</f>
        <v>1</v>
      </c>
      <c r="X28" s="513" cm="1">
        <f t="array" ref="X28">IFERROR(INDEX('Offer Statistics'!F$2:F$206,MATCH(1,(CityU!$A28='Offer Statistics'!$B$2:$B$206)*(CityU!$T$2='Offer Statistics'!$C$2:$C$206),0)),"/")</f>
        <v>2</v>
      </c>
      <c r="Y28" s="513" cm="1">
        <f t="array" ref="Y28">IFERROR(INDEX('Offer Statistics'!G$2:G$206,MATCH(1,(CityU!$A28='Offer Statistics'!$B$2:$B$206)*(CityU!$T$2='Offer Statistics'!$C$2:$C$206),0)),"/")</f>
        <v>2</v>
      </c>
      <c r="Z28" s="513" cm="1">
        <f t="array" ref="Z28">IFERROR(INDEX('Offer Statistics'!H$2:H$206,MATCH(1,(CityU!$A28='Offer Statistics'!$B$2:$B$206)*(CityU!$T$2='Offer Statistics'!$C$2:$C$206),0)),"/")</f>
        <v>1</v>
      </c>
      <c r="AA28" s="577"/>
      <c r="AB28" s="510" cm="1">
        <f t="array" ref="AB28">IFERROR(INDEX('Offer Statistics'!$Q$2:$Q$206,MATCH(1,(CityU!$A28='Offer Statistics'!$B$2:$B$206)*(CityU!$T$2='Offer Statistics'!$K$2:$K$206),0)),"/")</f>
        <v>1210</v>
      </c>
      <c r="AC28" s="513" cm="1">
        <f t="array" ref="AC28">IFERROR(INDEX('Offer Statistics'!L$2:L$206,MATCH(1,(CityU!$A28='Offer Statistics'!$B$2:$B$206)*(CityU!$T$2='Offer Statistics'!$K$2:$K$206),0)),"/")</f>
        <v>163</v>
      </c>
      <c r="AD28" s="513" cm="1">
        <f t="array" ref="AD28">IFERROR(INDEX('Offer Statistics'!M$2:M$206,MATCH(1,(CityU!$A28='Offer Statistics'!$B$2:$B$206)*(CityU!$T$2='Offer Statistics'!$K$2:$K$206),0)),"/")</f>
        <v>207</v>
      </c>
      <c r="AE28" s="513" cm="1">
        <f t="array" ref="AE28">IFERROR(INDEX('Offer Statistics'!N$2:N$206,MATCH(1,(CityU!$A28='Offer Statistics'!$B$2:$B$206)*(CityU!$T$2='Offer Statistics'!$K$2:$K$206),0)),"/")</f>
        <v>277</v>
      </c>
      <c r="AF28" s="513" cm="1">
        <f t="array" ref="AF28">IFERROR(INDEX('Offer Statistics'!O$2:O$206,MATCH(1,(CityU!$A28='Offer Statistics'!$B$2:$B$206)*(CityU!$T$2='Offer Statistics'!$K$2:$K$206),0)),"/")</f>
        <v>342</v>
      </c>
      <c r="AG28" s="513" cm="1">
        <f t="array" ref="AG28">IFERROR(INDEX('Offer Statistics'!P$2:P$206,MATCH(1,(CityU!$A28='Offer Statistics'!$B$2:$B$206)*(CityU!$T$2='Offer Statistics'!$K$2:$K$206),0)),"/")</f>
        <v>221</v>
      </c>
      <c r="AH28" s="502"/>
      <c r="AI28" s="502" t="str">
        <f t="shared" si="2"/>
        <v>JS1104</v>
      </c>
      <c r="AJ28" s="503"/>
      <c r="AK28" s="503"/>
      <c r="AL28" s="503"/>
      <c r="AM28" s="503"/>
      <c r="AN28" s="503"/>
      <c r="AO28" s="503"/>
      <c r="AP28" s="503"/>
      <c r="AQ28" s="503"/>
      <c r="AR28" s="503"/>
      <c r="AS28" s="503"/>
      <c r="AT28" s="503"/>
      <c r="AU28" s="503"/>
      <c r="AV28" s="503"/>
      <c r="AW28" s="503"/>
      <c r="AX28" s="503"/>
    </row>
    <row r="29" spans="1:50" s="514" customFormat="1" ht="18" customHeight="1" x14ac:dyDescent="0.3">
      <c r="A29" s="502" t="str">
        <f>'Reference Score Calculation'!A40</f>
        <v>JS1106</v>
      </c>
      <c r="B29" s="503" t="str">
        <f>'Reference Score Calculation'!C40</f>
        <v>人文社會科學院</v>
      </c>
      <c r="C29" s="504" t="str">
        <f>'Reference Score Calculation'!D40</f>
        <v>媒體與傳播系 [選項: 文學士(數碼電視與廣播)、文學士(媒體與傳播)]</v>
      </c>
      <c r="D29" s="503" t="str">
        <f>'Reference Score Calculation'!T40</f>
        <v>COM</v>
      </c>
      <c r="E29" s="519" t="str">
        <f>'Reference Score Calculation'!E40</f>
        <v>Best 5</v>
      </c>
      <c r="F29" s="506">
        <f>'Reference Score Calculation'!G40</f>
        <v>22</v>
      </c>
      <c r="G29" s="506">
        <f>'Reference Score Calculation'!H40</f>
        <v>21.75</v>
      </c>
      <c r="H29" s="507">
        <f>計分版!H61</f>
        <v>3.6E-9</v>
      </c>
      <c r="I29" s="515">
        <f t="shared" si="0"/>
        <v>-21.9999999964</v>
      </c>
      <c r="J29" s="516">
        <f t="shared" si="1"/>
        <v>-6111111110.1111107</v>
      </c>
      <c r="K29" s="563">
        <f>入學要求!C49</f>
        <v>45</v>
      </c>
      <c r="L29" s="511">
        <f>入學要求!R49</f>
        <v>0</v>
      </c>
      <c r="M29" s="569" t="s">
        <v>2150</v>
      </c>
      <c r="N29" s="517">
        <f>入學要求!D49</f>
        <v>3</v>
      </c>
      <c r="O29" s="517">
        <f>入學要求!E49</f>
        <v>3</v>
      </c>
      <c r="P29" s="517">
        <f>入學要求!F49</f>
        <v>2</v>
      </c>
      <c r="Q29" s="517">
        <f>入學要求!G49</f>
        <v>2</v>
      </c>
      <c r="R29" s="517">
        <f>入學要求!H49</f>
        <v>3</v>
      </c>
      <c r="S29" s="517">
        <f>入學要求!I49</f>
        <v>3</v>
      </c>
      <c r="T29" s="576"/>
      <c r="U29" s="510" cm="1">
        <f t="array" ref="U29">IFERROR(INDEX('Offer Statistics'!$I$2:$I$206,MATCH(1,(CityU!$A29='Offer Statistics'!$B$2:$B$206)*(CityU!$T$2='Offer Statistics'!$C$2:$C$206),0)),"/")</f>
        <v>54</v>
      </c>
      <c r="V29" s="513" cm="1">
        <f t="array" ref="V29">IFERROR(INDEX('Offer Statistics'!D$2:D$206,MATCH(1,(CityU!$A29='Offer Statistics'!$B$2:$B$206)*(CityU!$T$2='Offer Statistics'!$C$2:$C$206),0)),"/")</f>
        <v>48</v>
      </c>
      <c r="W29" s="513" cm="1">
        <f t="array" ref="W29">IFERROR(INDEX('Offer Statistics'!E$2:E$206,MATCH(1,(CityU!$A29='Offer Statistics'!$B$2:$B$206)*(CityU!$T$2='Offer Statistics'!$C$2:$C$206),0)),"/")</f>
        <v>4</v>
      </c>
      <c r="X29" s="513" cm="1">
        <f t="array" ref="X29">IFERROR(INDEX('Offer Statistics'!F$2:F$206,MATCH(1,(CityU!$A29='Offer Statistics'!$B$2:$B$206)*(CityU!$T$2='Offer Statistics'!$C$2:$C$206),0)),"/")</f>
        <v>1</v>
      </c>
      <c r="Y29" s="513" cm="1">
        <f t="array" ref="Y29">IFERROR(INDEX('Offer Statistics'!G$2:G$206,MATCH(1,(CityU!$A29='Offer Statistics'!$B$2:$B$206)*(CityU!$T$2='Offer Statistics'!$C$2:$C$206),0)),"/")</f>
        <v>1</v>
      </c>
      <c r="Z29" s="513" cm="1">
        <f t="array" ref="Z29">IFERROR(INDEX('Offer Statistics'!H$2:H$206,MATCH(1,(CityU!$A29='Offer Statistics'!$B$2:$B$206)*(CityU!$T$2='Offer Statistics'!$C$2:$C$206),0)),"/")</f>
        <v>0</v>
      </c>
      <c r="AA29" s="577"/>
      <c r="AB29" s="510" cm="1">
        <f t="array" ref="AB29">IFERROR(INDEX('Offer Statistics'!$Q$2:$Q$206,MATCH(1,(CityU!$A29='Offer Statistics'!$B$2:$B$206)*(CityU!$T$2='Offer Statistics'!$K$2:$K$206),0)),"/")</f>
        <v>3799</v>
      </c>
      <c r="AC29" s="513" cm="1">
        <f t="array" ref="AC29">IFERROR(INDEX('Offer Statistics'!L$2:L$206,MATCH(1,(CityU!$A29='Offer Statistics'!$B$2:$B$206)*(CityU!$T$2='Offer Statistics'!$K$2:$K$206),0)),"/")</f>
        <v>583</v>
      </c>
      <c r="AD29" s="513" cm="1">
        <f t="array" ref="AD29">IFERROR(INDEX('Offer Statistics'!M$2:M$206,MATCH(1,(CityU!$A29='Offer Statistics'!$B$2:$B$206)*(CityU!$T$2='Offer Statistics'!$K$2:$K$206),0)),"/")</f>
        <v>606</v>
      </c>
      <c r="AE29" s="513" cm="1">
        <f t="array" ref="AE29">IFERROR(INDEX('Offer Statistics'!N$2:N$206,MATCH(1,(CityU!$A29='Offer Statistics'!$B$2:$B$206)*(CityU!$T$2='Offer Statistics'!$K$2:$K$206),0)),"/")</f>
        <v>893</v>
      </c>
      <c r="AF29" s="513" cm="1">
        <f t="array" ref="AF29">IFERROR(INDEX('Offer Statistics'!O$2:O$206,MATCH(1,(CityU!$A29='Offer Statistics'!$B$2:$B$206)*(CityU!$T$2='Offer Statistics'!$K$2:$K$206),0)),"/")</f>
        <v>1007</v>
      </c>
      <c r="AG29" s="513" cm="1">
        <f t="array" ref="AG29">IFERROR(INDEX('Offer Statistics'!P$2:P$206,MATCH(1,(CityU!$A29='Offer Statistics'!$B$2:$B$206)*(CityU!$T$2='Offer Statistics'!$K$2:$K$206),0)),"/")</f>
        <v>710</v>
      </c>
      <c r="AH29" s="502"/>
      <c r="AI29" s="502" t="str">
        <f t="shared" si="2"/>
        <v>JS1106</v>
      </c>
      <c r="AJ29" s="503"/>
      <c r="AK29" s="503"/>
      <c r="AL29" s="503"/>
      <c r="AM29" s="503"/>
      <c r="AN29" s="503"/>
      <c r="AO29" s="503"/>
      <c r="AP29" s="503"/>
      <c r="AQ29" s="503"/>
      <c r="AR29" s="503"/>
      <c r="AS29" s="503"/>
      <c r="AT29" s="503"/>
      <c r="AU29" s="503"/>
      <c r="AV29" s="503"/>
      <c r="AW29" s="503"/>
      <c r="AX29" s="503"/>
    </row>
    <row r="30" spans="1:50" s="514" customFormat="1" ht="18" customHeight="1" x14ac:dyDescent="0.3">
      <c r="A30" s="502" t="str">
        <f>'Reference Score Calculation'!A41</f>
        <v>JS1108</v>
      </c>
      <c r="B30" s="503" t="str">
        <f>'Reference Score Calculation'!C41</f>
        <v>人文社會科學院</v>
      </c>
      <c r="C30" s="504" t="str">
        <f>'Reference Score Calculation'!D41</f>
        <v>社會科學學士(公共政策與政治)</v>
      </c>
      <c r="D30" s="503" t="str">
        <f>'Reference Score Calculation'!T41</f>
        <v>BSocScPPP</v>
      </c>
      <c r="E30" s="520" t="str">
        <f>'Reference Score Calculation'!E41</f>
        <v>4C1X</v>
      </c>
      <c r="F30" s="506">
        <f>'Reference Score Calculation'!G41</f>
        <v>24.5</v>
      </c>
      <c r="G30" s="506">
        <f>'Reference Score Calculation'!H41</f>
        <v>23.5</v>
      </c>
      <c r="H30" s="507">
        <f>計分版!H62</f>
        <v>2.3500000000000004E-9</v>
      </c>
      <c r="I30" s="515">
        <f t="shared" si="0"/>
        <v>-24.499999997650001</v>
      </c>
      <c r="J30" s="516">
        <f t="shared" si="1"/>
        <v>-10425531913.893616</v>
      </c>
      <c r="K30" s="563">
        <f>入學要求!C50</f>
        <v>64</v>
      </c>
      <c r="L30" s="511">
        <f>入學要求!R50</f>
        <v>0</v>
      </c>
      <c r="M30" s="569" t="s">
        <v>2369</v>
      </c>
      <c r="N30" s="517">
        <f>入學要求!D50</f>
        <v>3</v>
      </c>
      <c r="O30" s="517">
        <f>入學要求!E50</f>
        <v>3</v>
      </c>
      <c r="P30" s="517">
        <f>入學要求!F50</f>
        <v>2</v>
      </c>
      <c r="Q30" s="517">
        <f>入學要求!G50</f>
        <v>2</v>
      </c>
      <c r="R30" s="517">
        <f>入學要求!H50</f>
        <v>3</v>
      </c>
      <c r="S30" s="517">
        <f>入學要求!I50</f>
        <v>3</v>
      </c>
      <c r="T30" s="576"/>
      <c r="U30" s="510" cm="1">
        <f t="array" ref="U30">IFERROR(INDEX('Offer Statistics'!$I$2:$I$206,MATCH(1,(CityU!$A30='Offer Statistics'!$B$2:$B$206)*(CityU!$T$2='Offer Statistics'!$C$2:$C$206),0)),"/")</f>
        <v>54</v>
      </c>
      <c r="V30" s="513" cm="1">
        <f t="array" ref="V30">IFERROR(INDEX('Offer Statistics'!D$2:D$206,MATCH(1,(CityU!$A30='Offer Statistics'!$B$2:$B$206)*(CityU!$T$2='Offer Statistics'!$C$2:$C$206),0)),"/")</f>
        <v>41</v>
      </c>
      <c r="W30" s="513" cm="1">
        <f t="array" ref="W30">IFERROR(INDEX('Offer Statistics'!E$2:E$206,MATCH(1,(CityU!$A30='Offer Statistics'!$B$2:$B$206)*(CityU!$T$2='Offer Statistics'!$C$2:$C$206),0)),"/")</f>
        <v>8</v>
      </c>
      <c r="X30" s="513" cm="1">
        <f t="array" ref="X30">IFERROR(INDEX('Offer Statistics'!F$2:F$206,MATCH(1,(CityU!$A30='Offer Statistics'!$B$2:$B$206)*(CityU!$T$2='Offer Statistics'!$C$2:$C$206),0)),"/")</f>
        <v>3</v>
      </c>
      <c r="Y30" s="513" cm="1">
        <f t="array" ref="Y30">IFERROR(INDEX('Offer Statistics'!G$2:G$206,MATCH(1,(CityU!$A30='Offer Statistics'!$B$2:$B$206)*(CityU!$T$2='Offer Statistics'!$C$2:$C$206),0)),"/")</f>
        <v>1</v>
      </c>
      <c r="Z30" s="513" cm="1">
        <f t="array" ref="Z30">IFERROR(INDEX('Offer Statistics'!H$2:H$206,MATCH(1,(CityU!$A30='Offer Statistics'!$B$2:$B$206)*(CityU!$T$2='Offer Statistics'!$C$2:$C$206),0)),"/")</f>
        <v>1</v>
      </c>
      <c r="AA30" s="577"/>
      <c r="AB30" s="510" cm="1">
        <f t="array" ref="AB30">IFERROR(INDEX('Offer Statistics'!$Q$2:$Q$206,MATCH(1,(CityU!$A30='Offer Statistics'!$B$2:$B$206)*(CityU!$T$2='Offer Statistics'!$K$2:$K$206),0)),"/")</f>
        <v>1600</v>
      </c>
      <c r="AC30" s="513" cm="1">
        <f t="array" ref="AC30">IFERROR(INDEX('Offer Statistics'!L$2:L$206,MATCH(1,(CityU!$A30='Offer Statistics'!$B$2:$B$206)*(CityU!$T$2='Offer Statistics'!$K$2:$K$206),0)),"/")</f>
        <v>143</v>
      </c>
      <c r="AD30" s="513" cm="1">
        <f t="array" ref="AD30">IFERROR(INDEX('Offer Statistics'!M$2:M$206,MATCH(1,(CityU!$A30='Offer Statistics'!$B$2:$B$206)*(CityU!$T$2='Offer Statistics'!$K$2:$K$206),0)),"/")</f>
        <v>274</v>
      </c>
      <c r="AE30" s="513" cm="1">
        <f t="array" ref="AE30">IFERROR(INDEX('Offer Statistics'!N$2:N$206,MATCH(1,(CityU!$A30='Offer Statistics'!$B$2:$B$206)*(CityU!$T$2='Offer Statistics'!$K$2:$K$206),0)),"/")</f>
        <v>330</v>
      </c>
      <c r="AF30" s="513" cm="1">
        <f t="array" ref="AF30">IFERROR(INDEX('Offer Statistics'!O$2:O$206,MATCH(1,(CityU!$A30='Offer Statistics'!$B$2:$B$206)*(CityU!$T$2='Offer Statistics'!$K$2:$K$206),0)),"/")</f>
        <v>491</v>
      </c>
      <c r="AG30" s="513" cm="1">
        <f t="array" ref="AG30">IFERROR(INDEX('Offer Statistics'!P$2:P$206,MATCH(1,(CityU!$A30='Offer Statistics'!$B$2:$B$206)*(CityU!$T$2='Offer Statistics'!$K$2:$K$206),0)),"/")</f>
        <v>362</v>
      </c>
      <c r="AH30" s="502"/>
      <c r="AI30" s="502" t="str">
        <f t="shared" si="2"/>
        <v>JS1108</v>
      </c>
      <c r="AJ30" s="503"/>
      <c r="AK30" s="503"/>
      <c r="AL30" s="503"/>
      <c r="AM30" s="503"/>
      <c r="AN30" s="503"/>
      <c r="AO30" s="503"/>
      <c r="AP30" s="503"/>
      <c r="AQ30" s="503"/>
      <c r="AR30" s="503"/>
      <c r="AS30" s="503"/>
      <c r="AT30" s="503"/>
      <c r="AU30" s="503"/>
      <c r="AV30" s="503"/>
      <c r="AW30" s="503"/>
      <c r="AX30" s="503"/>
    </row>
    <row r="31" spans="1:50" s="514" customFormat="1" ht="18" customHeight="1" x14ac:dyDescent="0.3">
      <c r="A31" s="502" t="str">
        <f>'Reference Score Calculation'!A42</f>
        <v>JS1109</v>
      </c>
      <c r="B31" s="503" t="str">
        <f>'Reference Score Calculation'!C42</f>
        <v>人文社會科學院</v>
      </c>
      <c r="C31" s="504" t="str">
        <f>'Reference Score Calculation'!D42</f>
        <v>文學士(語言學及語言應用)</v>
      </c>
      <c r="D31" s="503" t="str">
        <f>'Reference Score Calculation'!T42</f>
        <v>BALLA</v>
      </c>
      <c r="E31" s="505" t="str">
        <f>'Reference Score Calculation'!E42</f>
        <v>4C2X</v>
      </c>
      <c r="F31" s="506">
        <f>'Reference Score Calculation'!G42</f>
        <v>30</v>
      </c>
      <c r="G31" s="506">
        <f>'Reference Score Calculation'!H42</f>
        <v>29.5</v>
      </c>
      <c r="H31" s="507">
        <f>計分版!H63</f>
        <v>3.2500000000000002E-9</v>
      </c>
      <c r="I31" s="515">
        <f t="shared" si="0"/>
        <v>-29.999999996749999</v>
      </c>
      <c r="J31" s="516">
        <f t="shared" si="1"/>
        <v>-9230769229.7692299</v>
      </c>
      <c r="K31" s="563">
        <f>入學要求!C51</f>
        <v>25</v>
      </c>
      <c r="L31" s="511">
        <f>入學要求!R51</f>
        <v>0</v>
      </c>
      <c r="M31" s="569" t="s">
        <v>2653</v>
      </c>
      <c r="N31" s="517">
        <f>入學要求!D51</f>
        <v>3</v>
      </c>
      <c r="O31" s="517">
        <f>入學要求!E51</f>
        <v>3</v>
      </c>
      <c r="P31" s="517">
        <f>入學要求!F51</f>
        <v>2</v>
      </c>
      <c r="Q31" s="517">
        <f>入學要求!G51</f>
        <v>2</v>
      </c>
      <c r="R31" s="517">
        <f>入學要求!H51</f>
        <v>3</v>
      </c>
      <c r="S31" s="517">
        <f>入學要求!I51</f>
        <v>3</v>
      </c>
      <c r="T31" s="576"/>
      <c r="U31" s="510" t="str" cm="1">
        <f t="array" ref="U31">IFERROR(INDEX('Offer Statistics'!$I$2:$I$206,MATCH(1,(CityU!$A31='Offer Statistics'!$B$2:$B$206)*(CityU!$T$2='Offer Statistics'!$C$2:$C$206),0)),"/")</f>
        <v>/</v>
      </c>
      <c r="V31" s="513" t="str" cm="1">
        <f t="array" ref="V31">IFERROR(INDEX('Offer Statistics'!D$2:D$206,MATCH(1,(CityU!$A31='Offer Statistics'!$B$2:$B$206)*(CityU!$T$2='Offer Statistics'!$C$2:$C$206),0)),"/")</f>
        <v>/</v>
      </c>
      <c r="W31" s="513" t="str" cm="1">
        <f t="array" ref="W31">IFERROR(INDEX('Offer Statistics'!E$2:E$206,MATCH(1,(CityU!$A31='Offer Statistics'!$B$2:$B$206)*(CityU!$T$2='Offer Statistics'!$C$2:$C$206),0)),"/")</f>
        <v>/</v>
      </c>
      <c r="X31" s="513" t="str" cm="1">
        <f t="array" ref="X31">IFERROR(INDEX('Offer Statistics'!F$2:F$206,MATCH(1,(CityU!$A31='Offer Statistics'!$B$2:$B$206)*(CityU!$T$2='Offer Statistics'!$C$2:$C$206),0)),"/")</f>
        <v>/</v>
      </c>
      <c r="Y31" s="513" t="str" cm="1">
        <f t="array" ref="Y31">IFERROR(INDEX('Offer Statistics'!G$2:G$206,MATCH(1,(CityU!$A31='Offer Statistics'!$B$2:$B$206)*(CityU!$T$2='Offer Statistics'!$C$2:$C$206),0)),"/")</f>
        <v>/</v>
      </c>
      <c r="Z31" s="513" t="str" cm="1">
        <f t="array" ref="Z31">IFERROR(INDEX('Offer Statistics'!H$2:H$206,MATCH(1,(CityU!$A31='Offer Statistics'!$B$2:$B$206)*(CityU!$T$2='Offer Statistics'!$C$2:$C$206),0)),"/")</f>
        <v>/</v>
      </c>
      <c r="AA31" s="577"/>
      <c r="AB31" s="510" t="str" cm="1">
        <f t="array" ref="AB31">IFERROR(INDEX('Offer Statistics'!$Q$2:$Q$206,MATCH(1,(CityU!$A31='Offer Statistics'!$B$2:$B$206)*(CityU!$T$2='Offer Statistics'!$K$2:$K$206),0)),"/")</f>
        <v>/</v>
      </c>
      <c r="AC31" s="513" t="str" cm="1">
        <f t="array" ref="AC31">IFERROR(INDEX('Offer Statistics'!L$2:L$206,MATCH(1,(CityU!$A31='Offer Statistics'!$B$2:$B$206)*(CityU!$T$2='Offer Statistics'!$K$2:$K$206),0)),"/")</f>
        <v>/</v>
      </c>
      <c r="AD31" s="513" t="str" cm="1">
        <f t="array" ref="AD31">IFERROR(INDEX('Offer Statistics'!M$2:M$206,MATCH(1,(CityU!$A31='Offer Statistics'!$B$2:$B$206)*(CityU!$T$2='Offer Statistics'!$K$2:$K$206),0)),"/")</f>
        <v>/</v>
      </c>
      <c r="AE31" s="513" t="str" cm="1">
        <f t="array" ref="AE31">IFERROR(INDEX('Offer Statistics'!N$2:N$206,MATCH(1,(CityU!$A31='Offer Statistics'!$B$2:$B$206)*(CityU!$T$2='Offer Statistics'!$K$2:$K$206),0)),"/")</f>
        <v>/</v>
      </c>
      <c r="AF31" s="513" t="str" cm="1">
        <f t="array" ref="AF31">IFERROR(INDEX('Offer Statistics'!O$2:O$206,MATCH(1,(CityU!$A31='Offer Statistics'!$B$2:$B$206)*(CityU!$T$2='Offer Statistics'!$K$2:$K$206),0)),"/")</f>
        <v>/</v>
      </c>
      <c r="AG31" s="513" t="str" cm="1">
        <f t="array" ref="AG31">IFERROR(INDEX('Offer Statistics'!P$2:P$206,MATCH(1,(CityU!$A31='Offer Statistics'!$B$2:$B$206)*(CityU!$T$2='Offer Statistics'!$K$2:$K$206),0)),"/")</f>
        <v>/</v>
      </c>
      <c r="AH31" s="502"/>
      <c r="AI31" s="502" t="str">
        <f t="shared" si="2"/>
        <v>JS1109</v>
      </c>
      <c r="AJ31" s="503"/>
      <c r="AK31" s="503"/>
      <c r="AL31" s="503"/>
      <c r="AM31" s="503"/>
      <c r="AN31" s="503"/>
      <c r="AO31" s="503"/>
      <c r="AP31" s="503"/>
      <c r="AQ31" s="503"/>
      <c r="AR31" s="503"/>
      <c r="AS31" s="503"/>
      <c r="AT31" s="503"/>
      <c r="AU31" s="503"/>
      <c r="AV31" s="503"/>
      <c r="AW31" s="503"/>
      <c r="AX31" s="503"/>
    </row>
    <row r="32" spans="1:50" s="514" customFormat="1" ht="18" customHeight="1" x14ac:dyDescent="0.3">
      <c r="A32" s="502" t="str">
        <f>'Reference Score Calculation'!A43</f>
        <v>JS1110</v>
      </c>
      <c r="B32" s="503" t="str">
        <f>'Reference Score Calculation'!C43</f>
        <v>人文社會科學院</v>
      </c>
      <c r="C32" s="504" t="str">
        <f>'Reference Score Calculation'!D43</f>
        <v>社會及行為科學系 [選項: 社會科學學士(犯罪學及社會學)、社會科學學士(心理學)、社會科學學士(社會工作)]</v>
      </c>
      <c r="D32" s="503" t="str">
        <f>'Reference Score Calculation'!T43</f>
        <v>SS</v>
      </c>
      <c r="E32" s="520" t="str">
        <f>'Reference Score Calculation'!E43</f>
        <v>4C2X</v>
      </c>
      <c r="F32" s="506">
        <f>'Reference Score Calculation'!G43</f>
        <v>29</v>
      </c>
      <c r="G32" s="506">
        <f>'Reference Score Calculation'!H43</f>
        <v>28</v>
      </c>
      <c r="H32" s="507">
        <f>計分版!H64</f>
        <v>3.05E-9</v>
      </c>
      <c r="I32" s="515">
        <f t="shared" si="0"/>
        <v>-28.999999996949999</v>
      </c>
      <c r="J32" s="516">
        <f t="shared" si="1"/>
        <v>-9508196720.3114758</v>
      </c>
      <c r="K32" s="563">
        <f>入學要求!C52</f>
        <v>10</v>
      </c>
      <c r="L32" s="511">
        <f>入學要求!R52</f>
        <v>0</v>
      </c>
      <c r="M32" s="578" t="s">
        <v>2150</v>
      </c>
      <c r="N32" s="517">
        <f>入學要求!D52</f>
        <v>3</v>
      </c>
      <c r="O32" s="517">
        <f>入學要求!E52</f>
        <v>3</v>
      </c>
      <c r="P32" s="517">
        <f>入學要求!F52</f>
        <v>2</v>
      </c>
      <c r="Q32" s="517">
        <f>入學要求!G52</f>
        <v>2</v>
      </c>
      <c r="R32" s="517">
        <f>入學要求!H52</f>
        <v>3</v>
      </c>
      <c r="S32" s="517">
        <f>入學要求!I52</f>
        <v>3</v>
      </c>
      <c r="T32" s="576"/>
      <c r="U32" s="510" cm="1">
        <f t="array" ref="U32">IFERROR(INDEX('Offer Statistics'!$I$2:$I$206,MATCH(1,(CityU!$A32='Offer Statistics'!$B$2:$B$206)*(CityU!$T$2='Offer Statistics'!$C$2:$C$206),0)),"/")</f>
        <v>22</v>
      </c>
      <c r="V32" s="513" cm="1">
        <f t="array" ref="V32">IFERROR(INDEX('Offer Statistics'!D$2:D$206,MATCH(1,(CityU!$A32='Offer Statistics'!$B$2:$B$206)*(CityU!$T$2='Offer Statistics'!$C$2:$C$206),0)),"/")</f>
        <v>18</v>
      </c>
      <c r="W32" s="513" cm="1">
        <f t="array" ref="W32">IFERROR(INDEX('Offer Statistics'!E$2:E$206,MATCH(1,(CityU!$A32='Offer Statistics'!$B$2:$B$206)*(CityU!$T$2='Offer Statistics'!$C$2:$C$206),0)),"/")</f>
        <v>2</v>
      </c>
      <c r="X32" s="513" cm="1">
        <f t="array" ref="X32">IFERROR(INDEX('Offer Statistics'!F$2:F$206,MATCH(1,(CityU!$A32='Offer Statistics'!$B$2:$B$206)*(CityU!$T$2='Offer Statistics'!$C$2:$C$206),0)),"/")</f>
        <v>2</v>
      </c>
      <c r="Y32" s="513" cm="1">
        <f t="array" ref="Y32">IFERROR(INDEX('Offer Statistics'!G$2:G$206,MATCH(1,(CityU!$A32='Offer Statistics'!$B$2:$B$206)*(CityU!$T$2='Offer Statistics'!$C$2:$C$206),0)),"/")</f>
        <v>0</v>
      </c>
      <c r="Z32" s="513" cm="1">
        <f t="array" ref="Z32">IFERROR(INDEX('Offer Statistics'!H$2:H$206,MATCH(1,(CityU!$A32='Offer Statistics'!$B$2:$B$206)*(CityU!$T$2='Offer Statistics'!$C$2:$C$206),0)),"/")</f>
        <v>0</v>
      </c>
      <c r="AA32" s="577"/>
      <c r="AB32" s="510" cm="1">
        <f t="array" ref="AB32">IFERROR(INDEX('Offer Statistics'!$Q$2:$Q$206,MATCH(1,(CityU!$A32='Offer Statistics'!$B$2:$B$206)*(CityU!$T$2='Offer Statistics'!$K$2:$K$206),0)),"/")</f>
        <v>3575</v>
      </c>
      <c r="AC32" s="513" cm="1">
        <f t="array" ref="AC32">IFERROR(INDEX('Offer Statistics'!L$2:L$206,MATCH(1,(CityU!$A32='Offer Statistics'!$B$2:$B$206)*(CityU!$T$2='Offer Statistics'!$K$2:$K$206),0)),"/")</f>
        <v>272</v>
      </c>
      <c r="AD32" s="513" cm="1">
        <f t="array" ref="AD32">IFERROR(INDEX('Offer Statistics'!M$2:M$206,MATCH(1,(CityU!$A32='Offer Statistics'!$B$2:$B$206)*(CityU!$T$2='Offer Statistics'!$K$2:$K$206),0)),"/")</f>
        <v>534</v>
      </c>
      <c r="AE32" s="513" cm="1">
        <f t="array" ref="AE32">IFERROR(INDEX('Offer Statistics'!N$2:N$206,MATCH(1,(CityU!$A32='Offer Statistics'!$B$2:$B$206)*(CityU!$T$2='Offer Statistics'!$K$2:$K$206),0)),"/")</f>
        <v>812</v>
      </c>
      <c r="AF32" s="513" cm="1">
        <f t="array" ref="AF32">IFERROR(INDEX('Offer Statistics'!O$2:O$206,MATCH(1,(CityU!$A32='Offer Statistics'!$B$2:$B$206)*(CityU!$T$2='Offer Statistics'!$K$2:$K$206),0)),"/")</f>
        <v>1079</v>
      </c>
      <c r="AG32" s="513" cm="1">
        <f t="array" ref="AG32">IFERROR(INDEX('Offer Statistics'!P$2:P$206,MATCH(1,(CityU!$A32='Offer Statistics'!$B$2:$B$206)*(CityU!$T$2='Offer Statistics'!$K$2:$K$206),0)),"/")</f>
        <v>878</v>
      </c>
      <c r="AH32" s="502"/>
      <c r="AI32" s="502" t="str">
        <f t="shared" si="2"/>
        <v>JS1110</v>
      </c>
      <c r="AJ32" s="503"/>
      <c r="AK32" s="503"/>
      <c r="AL32" s="503"/>
      <c r="AM32" s="503"/>
      <c r="AN32" s="503"/>
      <c r="AO32" s="503"/>
      <c r="AP32" s="503"/>
      <c r="AQ32" s="503"/>
      <c r="AR32" s="503"/>
      <c r="AS32" s="503"/>
      <c r="AT32" s="503"/>
      <c r="AU32" s="503"/>
      <c r="AV32" s="503"/>
      <c r="AW32" s="503"/>
      <c r="AX32" s="503"/>
    </row>
    <row r="33" spans="1:50" s="514" customFormat="1" ht="18" customHeight="1" x14ac:dyDescent="0.3">
      <c r="A33" s="502" t="str">
        <f>'Reference Score Calculation'!A44</f>
        <v>JS1111</v>
      </c>
      <c r="B33" s="503" t="str">
        <f>'Reference Score Calculation'!C44</f>
        <v>人文社會科學院</v>
      </c>
      <c r="C33" s="504" t="str">
        <f>'Reference Score Calculation'!D44</f>
        <v>社會科學學士(犯罪學及社會學)</v>
      </c>
      <c r="D33" s="503" t="str">
        <f>'Reference Score Calculation'!T44</f>
        <v>BSocScCRSO</v>
      </c>
      <c r="E33" s="520" t="str">
        <f>'Reference Score Calculation'!E44</f>
        <v>4C2X</v>
      </c>
      <c r="F33" s="506">
        <f>'Reference Score Calculation'!G44</f>
        <v>28</v>
      </c>
      <c r="G33" s="506">
        <f>'Reference Score Calculation'!H44</f>
        <v>28</v>
      </c>
      <c r="H33" s="507">
        <f>計分版!H65</f>
        <v>3.05E-9</v>
      </c>
      <c r="I33" s="515">
        <f t="shared" si="0"/>
        <v>-27.999999996949999</v>
      </c>
      <c r="J33" s="516">
        <f t="shared" si="1"/>
        <v>-9180327867.852459</v>
      </c>
      <c r="K33" s="563">
        <f>入學要求!C53</f>
        <v>20</v>
      </c>
      <c r="L33" s="511">
        <f>入學要求!R53</f>
        <v>0</v>
      </c>
      <c r="M33" s="578"/>
      <c r="N33" s="517">
        <f>入學要求!D53</f>
        <v>3</v>
      </c>
      <c r="O33" s="517">
        <f>入學要求!E53</f>
        <v>3</v>
      </c>
      <c r="P33" s="517">
        <f>入學要求!F53</f>
        <v>2</v>
      </c>
      <c r="Q33" s="517">
        <f>入學要求!G53</f>
        <v>2</v>
      </c>
      <c r="R33" s="517">
        <f>入學要求!H53</f>
        <v>3</v>
      </c>
      <c r="S33" s="517">
        <f>入學要求!I53</f>
        <v>3</v>
      </c>
      <c r="T33" s="576"/>
      <c r="U33" s="510" cm="1">
        <f t="array" ref="U33">IFERROR(INDEX('Offer Statistics'!$I$2:$I$206,MATCH(1,(CityU!$A33='Offer Statistics'!$B$2:$B$206)*(CityU!$T$2='Offer Statistics'!$C$2:$C$206),0)),"/")</f>
        <v>31</v>
      </c>
      <c r="V33" s="513" cm="1">
        <f t="array" ref="V33">IFERROR(INDEX('Offer Statistics'!D$2:D$206,MATCH(1,(CityU!$A33='Offer Statistics'!$B$2:$B$206)*(CityU!$T$2='Offer Statistics'!$C$2:$C$206),0)),"/")</f>
        <v>27</v>
      </c>
      <c r="W33" s="513" cm="1">
        <f t="array" ref="W33">IFERROR(INDEX('Offer Statistics'!E$2:E$206,MATCH(1,(CityU!$A33='Offer Statistics'!$B$2:$B$206)*(CityU!$T$2='Offer Statistics'!$C$2:$C$206),0)),"/")</f>
        <v>1</v>
      </c>
      <c r="X33" s="513" cm="1">
        <f t="array" ref="X33">IFERROR(INDEX('Offer Statistics'!F$2:F$206,MATCH(1,(CityU!$A33='Offer Statistics'!$B$2:$B$206)*(CityU!$T$2='Offer Statistics'!$C$2:$C$206),0)),"/")</f>
        <v>2</v>
      </c>
      <c r="Y33" s="513" cm="1">
        <f t="array" ref="Y33">IFERROR(INDEX('Offer Statistics'!G$2:G$206,MATCH(1,(CityU!$A33='Offer Statistics'!$B$2:$B$206)*(CityU!$T$2='Offer Statistics'!$C$2:$C$206),0)),"/")</f>
        <v>1</v>
      </c>
      <c r="Z33" s="513" cm="1">
        <f t="array" ref="Z33">IFERROR(INDEX('Offer Statistics'!H$2:H$206,MATCH(1,(CityU!$A33='Offer Statistics'!$B$2:$B$206)*(CityU!$T$2='Offer Statistics'!$C$2:$C$206),0)),"/")</f>
        <v>0</v>
      </c>
      <c r="AA33" s="577"/>
      <c r="AB33" s="510" cm="1">
        <f t="array" ref="AB33">IFERROR(INDEX('Offer Statistics'!$Q$2:$Q$206,MATCH(1,(CityU!$A33='Offer Statistics'!$B$2:$B$206)*(CityU!$T$2='Offer Statistics'!$K$2:$K$206),0)),"/")</f>
        <v>3838</v>
      </c>
      <c r="AC33" s="513" cm="1">
        <f t="array" ref="AC33">IFERROR(INDEX('Offer Statistics'!L$2:L$206,MATCH(1,(CityU!$A33='Offer Statistics'!$B$2:$B$206)*(CityU!$T$2='Offer Statistics'!$K$2:$K$206),0)),"/")</f>
        <v>335</v>
      </c>
      <c r="AD33" s="513" cm="1">
        <f t="array" ref="AD33">IFERROR(INDEX('Offer Statistics'!M$2:M$206,MATCH(1,(CityU!$A33='Offer Statistics'!$B$2:$B$206)*(CityU!$T$2='Offer Statistics'!$K$2:$K$206),0)),"/")</f>
        <v>555</v>
      </c>
      <c r="AE33" s="513" cm="1">
        <f t="array" ref="AE33">IFERROR(INDEX('Offer Statistics'!N$2:N$206,MATCH(1,(CityU!$A33='Offer Statistics'!$B$2:$B$206)*(CityU!$T$2='Offer Statistics'!$K$2:$K$206),0)),"/")</f>
        <v>936</v>
      </c>
      <c r="AF33" s="513" cm="1">
        <f t="array" ref="AF33">IFERROR(INDEX('Offer Statistics'!O$2:O$206,MATCH(1,(CityU!$A33='Offer Statistics'!$B$2:$B$206)*(CityU!$T$2='Offer Statistics'!$K$2:$K$206),0)),"/")</f>
        <v>1098</v>
      </c>
      <c r="AG33" s="513" cm="1">
        <f t="array" ref="AG33">IFERROR(INDEX('Offer Statistics'!P$2:P$206,MATCH(1,(CityU!$A33='Offer Statistics'!$B$2:$B$206)*(CityU!$T$2='Offer Statistics'!$K$2:$K$206),0)),"/")</f>
        <v>914</v>
      </c>
      <c r="AH33" s="502"/>
      <c r="AI33" s="502" t="str">
        <f t="shared" si="2"/>
        <v>JS1111</v>
      </c>
      <c r="AJ33" s="503"/>
      <c r="AK33" s="503"/>
      <c r="AL33" s="503"/>
      <c r="AM33" s="503"/>
      <c r="AN33" s="503"/>
      <c r="AO33" s="503"/>
      <c r="AP33" s="503"/>
      <c r="AQ33" s="503"/>
      <c r="AR33" s="503"/>
      <c r="AS33" s="503"/>
      <c r="AT33" s="503"/>
      <c r="AU33" s="503"/>
      <c r="AV33" s="503"/>
      <c r="AW33" s="503"/>
      <c r="AX33" s="503"/>
    </row>
    <row r="34" spans="1:50" s="514" customFormat="1" ht="18" customHeight="1" x14ac:dyDescent="0.3">
      <c r="A34" s="502" t="str">
        <f>'Reference Score Calculation'!A45</f>
        <v>JS1112</v>
      </c>
      <c r="B34" s="503" t="str">
        <f>'Reference Score Calculation'!C45</f>
        <v>人文社會科學院</v>
      </c>
      <c r="C34" s="504" t="str">
        <f>'Reference Score Calculation'!D45</f>
        <v>社會科學學士(心理學)</v>
      </c>
      <c r="D34" s="503" t="str">
        <f>'Reference Score Calculation'!T45</f>
        <v>BSocScPSY</v>
      </c>
      <c r="E34" s="520" t="str">
        <f>'Reference Score Calculation'!E45</f>
        <v>4C2X</v>
      </c>
      <c r="F34" s="506">
        <f>'Reference Score Calculation'!G45</f>
        <v>30</v>
      </c>
      <c r="G34" s="506">
        <f>'Reference Score Calculation'!H45</f>
        <v>29</v>
      </c>
      <c r="H34" s="507">
        <f>計分版!H66</f>
        <v>3.05E-9</v>
      </c>
      <c r="I34" s="515">
        <f t="shared" si="0"/>
        <v>-29.999999996949999</v>
      </c>
      <c r="J34" s="516">
        <f t="shared" si="1"/>
        <v>-9836065572.7704906</v>
      </c>
      <c r="K34" s="563">
        <f>入學要求!C54</f>
        <v>26</v>
      </c>
      <c r="L34" s="511">
        <f>入學要求!R54</f>
        <v>0</v>
      </c>
      <c r="M34" s="578"/>
      <c r="N34" s="517">
        <f>入學要求!D54</f>
        <v>3</v>
      </c>
      <c r="O34" s="517">
        <f>入學要求!E54</f>
        <v>3</v>
      </c>
      <c r="P34" s="517">
        <f>入學要求!F54</f>
        <v>2</v>
      </c>
      <c r="Q34" s="517">
        <f>入學要求!G54</f>
        <v>2</v>
      </c>
      <c r="R34" s="517">
        <f>入學要求!H54</f>
        <v>3</v>
      </c>
      <c r="S34" s="517">
        <f>入學要求!I54</f>
        <v>3</v>
      </c>
      <c r="T34" s="576"/>
      <c r="U34" s="510" cm="1">
        <f t="array" ref="U34">IFERROR(INDEX('Offer Statistics'!$I$2:$I$206,MATCH(1,(CityU!$A34='Offer Statistics'!$B$2:$B$206)*(CityU!$T$2='Offer Statistics'!$C$2:$C$206),0)),"/")</f>
        <v>23</v>
      </c>
      <c r="V34" s="513" cm="1">
        <f t="array" ref="V34">IFERROR(INDEX('Offer Statistics'!D$2:D$206,MATCH(1,(CityU!$A34='Offer Statistics'!$B$2:$B$206)*(CityU!$T$2='Offer Statistics'!$C$2:$C$206),0)),"/")</f>
        <v>21</v>
      </c>
      <c r="W34" s="513" cm="1">
        <f t="array" ref="W34">IFERROR(INDEX('Offer Statistics'!E$2:E$206,MATCH(1,(CityU!$A34='Offer Statistics'!$B$2:$B$206)*(CityU!$T$2='Offer Statistics'!$C$2:$C$206),0)),"/")</f>
        <v>1</v>
      </c>
      <c r="X34" s="513" cm="1">
        <f t="array" ref="X34">IFERROR(INDEX('Offer Statistics'!F$2:F$206,MATCH(1,(CityU!$A34='Offer Statistics'!$B$2:$B$206)*(CityU!$T$2='Offer Statistics'!$C$2:$C$206),0)),"/")</f>
        <v>0</v>
      </c>
      <c r="Y34" s="513" cm="1">
        <f t="array" ref="Y34">IFERROR(INDEX('Offer Statistics'!G$2:G$206,MATCH(1,(CityU!$A34='Offer Statistics'!$B$2:$B$206)*(CityU!$T$2='Offer Statistics'!$C$2:$C$206),0)),"/")</f>
        <v>1</v>
      </c>
      <c r="Z34" s="513" cm="1">
        <f t="array" ref="Z34">IFERROR(INDEX('Offer Statistics'!H$2:H$206,MATCH(1,(CityU!$A34='Offer Statistics'!$B$2:$B$206)*(CityU!$T$2='Offer Statistics'!$C$2:$C$206),0)),"/")</f>
        <v>0</v>
      </c>
      <c r="AA34" s="577"/>
      <c r="AB34" s="510" cm="1">
        <f t="array" ref="AB34">IFERROR(INDEX('Offer Statistics'!$Q$2:$Q$206,MATCH(1,(CityU!$A34='Offer Statistics'!$B$2:$B$206)*(CityU!$T$2='Offer Statistics'!$K$2:$K$206),0)),"/")</f>
        <v>4482</v>
      </c>
      <c r="AC34" s="513" cm="1">
        <f t="array" ref="AC34">IFERROR(INDEX('Offer Statistics'!L$2:L$206,MATCH(1,(CityU!$A34='Offer Statistics'!$B$2:$B$206)*(CityU!$T$2='Offer Statistics'!$K$2:$K$206),0)),"/")</f>
        <v>414</v>
      </c>
      <c r="AD34" s="513" cm="1">
        <f t="array" ref="AD34">IFERROR(INDEX('Offer Statistics'!M$2:M$206,MATCH(1,(CityU!$A34='Offer Statistics'!$B$2:$B$206)*(CityU!$T$2='Offer Statistics'!$K$2:$K$206),0)),"/")</f>
        <v>536</v>
      </c>
      <c r="AE34" s="513" cm="1">
        <f t="array" ref="AE34">IFERROR(INDEX('Offer Statistics'!N$2:N$206,MATCH(1,(CityU!$A34='Offer Statistics'!$B$2:$B$206)*(CityU!$T$2='Offer Statistics'!$K$2:$K$206),0)),"/")</f>
        <v>972</v>
      </c>
      <c r="AF34" s="513" cm="1">
        <f t="array" ref="AF34">IFERROR(INDEX('Offer Statistics'!O$2:O$206,MATCH(1,(CityU!$A34='Offer Statistics'!$B$2:$B$206)*(CityU!$T$2='Offer Statistics'!$K$2:$K$206),0)),"/")</f>
        <v>1394</v>
      </c>
      <c r="AG34" s="513" cm="1">
        <f t="array" ref="AG34">IFERROR(INDEX('Offer Statistics'!P$2:P$206,MATCH(1,(CityU!$A34='Offer Statistics'!$B$2:$B$206)*(CityU!$T$2='Offer Statistics'!$K$2:$K$206),0)),"/")</f>
        <v>1166</v>
      </c>
      <c r="AH34" s="502"/>
      <c r="AI34" s="502" t="str">
        <f t="shared" si="2"/>
        <v>JS1112</v>
      </c>
      <c r="AJ34" s="503"/>
      <c r="AK34" s="503"/>
      <c r="AL34" s="503"/>
      <c r="AM34" s="503"/>
      <c r="AN34" s="503"/>
      <c r="AO34" s="503"/>
      <c r="AP34" s="503"/>
      <c r="AQ34" s="503"/>
      <c r="AR34" s="503"/>
      <c r="AS34" s="503"/>
      <c r="AT34" s="503"/>
      <c r="AU34" s="503"/>
      <c r="AV34" s="503"/>
      <c r="AW34" s="503"/>
      <c r="AX34" s="503"/>
    </row>
    <row r="35" spans="1:50" s="514" customFormat="1" ht="18" customHeight="1" x14ac:dyDescent="0.3">
      <c r="A35" s="502" t="str">
        <f>'Reference Score Calculation'!A46</f>
        <v>JS1113</v>
      </c>
      <c r="B35" s="503" t="str">
        <f>'Reference Score Calculation'!C46</f>
        <v>人文社會科學院</v>
      </c>
      <c r="C35" s="504" t="str">
        <f>'Reference Score Calculation'!D46</f>
        <v>社會科學學士(社會工作)</v>
      </c>
      <c r="D35" s="503" t="str">
        <f>'Reference Score Calculation'!T46</f>
        <v>BSocScSW</v>
      </c>
      <c r="E35" s="520" t="str">
        <f>'Reference Score Calculation'!E46</f>
        <v>4C2X</v>
      </c>
      <c r="F35" s="506">
        <f>'Reference Score Calculation'!G46</f>
        <v>29</v>
      </c>
      <c r="G35" s="506">
        <f>'Reference Score Calculation'!H46</f>
        <v>28</v>
      </c>
      <c r="H35" s="507">
        <f>計分版!H67</f>
        <v>3.05E-9</v>
      </c>
      <c r="I35" s="515">
        <f t="shared" si="0"/>
        <v>-28.999999996949999</v>
      </c>
      <c r="J35" s="516">
        <f t="shared" si="1"/>
        <v>-9508196720.3114758</v>
      </c>
      <c r="K35" s="563">
        <f>入學要求!C55</f>
        <v>27</v>
      </c>
      <c r="L35" s="511">
        <f>入學要求!R55</f>
        <v>0</v>
      </c>
      <c r="M35" s="570" t="s">
        <v>2366</v>
      </c>
      <c r="N35" s="517">
        <f>入學要求!D55</f>
        <v>3</v>
      </c>
      <c r="O35" s="517">
        <f>入學要求!E55</f>
        <v>3</v>
      </c>
      <c r="P35" s="517">
        <f>入學要求!F55</f>
        <v>2</v>
      </c>
      <c r="Q35" s="517">
        <f>入學要求!G55</f>
        <v>2</v>
      </c>
      <c r="R35" s="517">
        <f>入學要求!H55</f>
        <v>3</v>
      </c>
      <c r="S35" s="517">
        <f>入學要求!I55</f>
        <v>3</v>
      </c>
      <c r="T35" s="576"/>
      <c r="U35" s="510" cm="1">
        <f t="array" ref="U35">IFERROR(INDEX('Offer Statistics'!$I$2:$I$206,MATCH(1,(CityU!$A35='Offer Statistics'!$B$2:$B$206)*(CityU!$T$2='Offer Statistics'!$C$2:$C$206),0)),"/")</f>
        <v>42</v>
      </c>
      <c r="V35" s="513" cm="1">
        <f t="array" ref="V35">IFERROR(INDEX('Offer Statistics'!D$2:D$206,MATCH(1,(CityU!$A35='Offer Statistics'!$B$2:$B$206)*(CityU!$T$2='Offer Statistics'!$C$2:$C$206),0)),"/")</f>
        <v>42</v>
      </c>
      <c r="W35" s="513" cm="1">
        <f t="array" ref="W35">IFERROR(INDEX('Offer Statistics'!E$2:E$206,MATCH(1,(CityU!$A35='Offer Statistics'!$B$2:$B$206)*(CityU!$T$2='Offer Statistics'!$C$2:$C$206),0)),"/")</f>
        <v>0</v>
      </c>
      <c r="X35" s="513" cm="1">
        <f t="array" ref="X35">IFERROR(INDEX('Offer Statistics'!F$2:F$206,MATCH(1,(CityU!$A35='Offer Statistics'!$B$2:$B$206)*(CityU!$T$2='Offer Statistics'!$C$2:$C$206),0)),"/")</f>
        <v>0</v>
      </c>
      <c r="Y35" s="513" cm="1">
        <f t="array" ref="Y35">IFERROR(INDEX('Offer Statistics'!G$2:G$206,MATCH(1,(CityU!$A35='Offer Statistics'!$B$2:$B$206)*(CityU!$T$2='Offer Statistics'!$C$2:$C$206),0)),"/")</f>
        <v>0</v>
      </c>
      <c r="Z35" s="513" cm="1">
        <f t="array" ref="Z35">IFERROR(INDEX('Offer Statistics'!H$2:H$206,MATCH(1,(CityU!$A35='Offer Statistics'!$B$2:$B$206)*(CityU!$T$2='Offer Statistics'!$C$2:$C$206),0)),"/")</f>
        <v>0</v>
      </c>
      <c r="AA35" s="577"/>
      <c r="AB35" s="510" cm="1">
        <f t="array" ref="AB35">IFERROR(INDEX('Offer Statistics'!$Q$2:$Q$206,MATCH(1,(CityU!$A35='Offer Statistics'!$B$2:$B$206)*(CityU!$T$2='Offer Statistics'!$K$2:$K$206),0)),"/")</f>
        <v>4319</v>
      </c>
      <c r="AC35" s="513" cm="1">
        <f t="array" ref="AC35">IFERROR(INDEX('Offer Statistics'!L$2:L$206,MATCH(1,(CityU!$A35='Offer Statistics'!$B$2:$B$206)*(CityU!$T$2='Offer Statistics'!$K$2:$K$206),0)),"/")</f>
        <v>766</v>
      </c>
      <c r="AD35" s="513" cm="1">
        <f t="array" ref="AD35">IFERROR(INDEX('Offer Statistics'!M$2:M$206,MATCH(1,(CityU!$A35='Offer Statistics'!$B$2:$B$206)*(CityU!$T$2='Offer Statistics'!$K$2:$K$206),0)),"/")</f>
        <v>583</v>
      </c>
      <c r="AE35" s="513" cm="1">
        <f t="array" ref="AE35">IFERROR(INDEX('Offer Statistics'!N$2:N$206,MATCH(1,(CityU!$A35='Offer Statistics'!$B$2:$B$206)*(CityU!$T$2='Offer Statistics'!$K$2:$K$206),0)),"/")</f>
        <v>883</v>
      </c>
      <c r="AF35" s="513" cm="1">
        <f t="array" ref="AF35">IFERROR(INDEX('Offer Statistics'!O$2:O$206,MATCH(1,(CityU!$A35='Offer Statistics'!$B$2:$B$206)*(CityU!$T$2='Offer Statistics'!$K$2:$K$206),0)),"/")</f>
        <v>1120</v>
      </c>
      <c r="AG35" s="513" cm="1">
        <f t="array" ref="AG35">IFERROR(INDEX('Offer Statistics'!P$2:P$206,MATCH(1,(CityU!$A35='Offer Statistics'!$B$2:$B$206)*(CityU!$T$2='Offer Statistics'!$K$2:$K$206),0)),"/")</f>
        <v>967</v>
      </c>
      <c r="AH35" s="502"/>
      <c r="AI35" s="502" t="str">
        <f t="shared" si="2"/>
        <v>JS1113</v>
      </c>
      <c r="AJ35" s="503"/>
      <c r="AK35" s="503"/>
      <c r="AL35" s="503"/>
      <c r="AM35" s="503"/>
      <c r="AN35" s="503"/>
      <c r="AO35" s="503"/>
      <c r="AP35" s="503"/>
      <c r="AQ35" s="503"/>
      <c r="AR35" s="503"/>
      <c r="AS35" s="503"/>
      <c r="AT35" s="503"/>
      <c r="AU35" s="503"/>
      <c r="AV35" s="503"/>
      <c r="AW35" s="503"/>
      <c r="AX35" s="503"/>
    </row>
    <row r="36" spans="1:50" s="514" customFormat="1" ht="18" customHeight="1" x14ac:dyDescent="0.3">
      <c r="A36" s="502" t="str">
        <f>'Reference Score Calculation'!A47</f>
        <v>JS1122</v>
      </c>
      <c r="B36" s="503" t="str">
        <f>'Reference Score Calculation'!C47</f>
        <v>人文社會科學院</v>
      </c>
      <c r="C36" s="504" t="str">
        <f>'Reference Score Calculation'!D47</f>
        <v>社會科學學士(公共政策)與法律學學士</v>
      </c>
      <c r="D36" s="503" t="str">
        <f>'Reference Score Calculation'!T47</f>
        <v>BSocScPP&amp;LLB</v>
      </c>
      <c r="E36" s="518" t="str">
        <f>'Reference Score Calculation'!AD47</f>
        <v>4C2X</v>
      </c>
      <c r="F36" s="506" t="str">
        <f>'Reference Score Calculation'!G47</f>
        <v>/</v>
      </c>
      <c r="G36" s="506" t="str">
        <f>'Reference Score Calculation'!H47</f>
        <v>/</v>
      </c>
      <c r="H36" s="507">
        <f>計分版!H68</f>
        <v>2.8499999999999999E-9</v>
      </c>
      <c r="I36" s="521" t="s">
        <v>1978</v>
      </c>
      <c r="J36" s="521" t="s">
        <v>1978</v>
      </c>
      <c r="K36" s="563">
        <f>入學要求!C56</f>
        <v>10</v>
      </c>
      <c r="L36" s="511">
        <f>入學要求!R56</f>
        <v>0</v>
      </c>
      <c r="M36" s="570" t="s">
        <v>3712</v>
      </c>
      <c r="N36" s="517">
        <f>入學要求!D56</f>
        <v>3</v>
      </c>
      <c r="O36" s="517">
        <f>入學要求!E56</f>
        <v>5</v>
      </c>
      <c r="P36" s="517">
        <f>入學要求!F56</f>
        <v>2</v>
      </c>
      <c r="Q36" s="517">
        <f>入學要求!G56</f>
        <v>2</v>
      </c>
      <c r="R36" s="517">
        <f>入學要求!H56</f>
        <v>3</v>
      </c>
      <c r="S36" s="517">
        <f>入學要求!I56</f>
        <v>3</v>
      </c>
      <c r="T36" s="576"/>
      <c r="U36" s="510" t="str" cm="1">
        <f t="array" ref="U36">IFERROR(INDEX('Offer Statistics'!$I$2:$I$206,MATCH(1,(CityU!$A36='Offer Statistics'!$B$2:$B$206)*(CityU!$T$2='Offer Statistics'!$C$2:$C$206),0)),"/")</f>
        <v>/</v>
      </c>
      <c r="V36" s="513" t="str" cm="1">
        <f t="array" ref="V36">IFERROR(INDEX('Offer Statistics'!D$2:D$206,MATCH(1,(CityU!$A36='Offer Statistics'!$B$2:$B$206)*(CityU!$T$2='Offer Statistics'!$C$2:$C$206),0)),"/")</f>
        <v>/</v>
      </c>
      <c r="W36" s="513" t="str" cm="1">
        <f t="array" ref="W36">IFERROR(INDEX('Offer Statistics'!E$2:E$206,MATCH(1,(CityU!$A36='Offer Statistics'!$B$2:$B$206)*(CityU!$T$2='Offer Statistics'!$C$2:$C$206),0)),"/")</f>
        <v>/</v>
      </c>
      <c r="X36" s="513" t="str" cm="1">
        <f t="array" ref="X36">IFERROR(INDEX('Offer Statistics'!F$2:F$206,MATCH(1,(CityU!$A36='Offer Statistics'!$B$2:$B$206)*(CityU!$T$2='Offer Statistics'!$C$2:$C$206),0)),"/")</f>
        <v>/</v>
      </c>
      <c r="Y36" s="513" t="str" cm="1">
        <f t="array" ref="Y36">IFERROR(INDEX('Offer Statistics'!G$2:G$206,MATCH(1,(CityU!$A36='Offer Statistics'!$B$2:$B$206)*(CityU!$T$2='Offer Statistics'!$C$2:$C$206),0)),"/")</f>
        <v>/</v>
      </c>
      <c r="Z36" s="513" t="str" cm="1">
        <f t="array" ref="Z36">IFERROR(INDEX('Offer Statistics'!H$2:H$206,MATCH(1,(CityU!$A36='Offer Statistics'!$B$2:$B$206)*(CityU!$T$2='Offer Statistics'!$C$2:$C$206),0)),"/")</f>
        <v>/</v>
      </c>
      <c r="AA36" s="577"/>
      <c r="AB36" s="510" t="str" cm="1">
        <f t="array" ref="AB36">IFERROR(INDEX('Offer Statistics'!$Q$2:$Q$206,MATCH(1,(CityU!$A36='Offer Statistics'!$B$2:$B$206)*(CityU!$T$2='Offer Statistics'!$K$2:$K$206),0)),"/")</f>
        <v>/</v>
      </c>
      <c r="AC36" s="513" t="str" cm="1">
        <f t="array" ref="AC36">IFERROR(INDEX('Offer Statistics'!L$2:L$206,MATCH(1,(CityU!$A36='Offer Statistics'!$B$2:$B$206)*(CityU!$T$2='Offer Statistics'!$K$2:$K$206),0)),"/")</f>
        <v>/</v>
      </c>
      <c r="AD36" s="513" t="str" cm="1">
        <f t="array" ref="AD36">IFERROR(INDEX('Offer Statistics'!M$2:M$206,MATCH(1,(CityU!$A36='Offer Statistics'!$B$2:$B$206)*(CityU!$T$2='Offer Statistics'!$K$2:$K$206),0)),"/")</f>
        <v>/</v>
      </c>
      <c r="AE36" s="513" t="str" cm="1">
        <f t="array" ref="AE36">IFERROR(INDEX('Offer Statistics'!N$2:N$206,MATCH(1,(CityU!$A36='Offer Statistics'!$B$2:$B$206)*(CityU!$T$2='Offer Statistics'!$K$2:$K$206),0)),"/")</f>
        <v>/</v>
      </c>
      <c r="AF36" s="513" t="str" cm="1">
        <f t="array" ref="AF36">IFERROR(INDEX('Offer Statistics'!O$2:O$206,MATCH(1,(CityU!$A36='Offer Statistics'!$B$2:$B$206)*(CityU!$T$2='Offer Statistics'!$K$2:$K$206),0)),"/")</f>
        <v>/</v>
      </c>
      <c r="AG36" s="513" t="str" cm="1">
        <f t="array" ref="AG36">IFERROR(INDEX('Offer Statistics'!P$2:P$206,MATCH(1,(CityU!$A36='Offer Statistics'!$B$2:$B$206)*(CityU!$T$2='Offer Statistics'!$K$2:$K$206),0)),"/")</f>
        <v>/</v>
      </c>
      <c r="AH36" s="502"/>
      <c r="AI36" s="502" t="str">
        <f t="shared" si="2"/>
        <v>JS1122</v>
      </c>
      <c r="AJ36" s="503"/>
      <c r="AK36" s="503"/>
      <c r="AL36" s="503"/>
      <c r="AM36" s="503"/>
      <c r="AN36" s="503"/>
      <c r="AO36" s="503"/>
      <c r="AP36" s="503"/>
      <c r="AQ36" s="503"/>
      <c r="AR36" s="503"/>
      <c r="AS36" s="503"/>
      <c r="AT36" s="503"/>
      <c r="AU36" s="503"/>
      <c r="AV36" s="503"/>
      <c r="AW36" s="503"/>
      <c r="AX36" s="503"/>
    </row>
    <row r="37" spans="1:50" s="514" customFormat="1" ht="18" customHeight="1" x14ac:dyDescent="0.3">
      <c r="A37" s="502" t="str">
        <f>'Reference Score Calculation'!A48</f>
        <v>JS1123</v>
      </c>
      <c r="B37" s="503" t="str">
        <f>'Reference Score Calculation'!C48</f>
        <v>人文社會科學院</v>
      </c>
      <c r="C37" s="504" t="str">
        <f>'Reference Score Calculation'!D48</f>
        <v>社會科學學士(犯罪學)與法律學學士</v>
      </c>
      <c r="D37" s="503" t="str">
        <f>'Reference Score Calculation'!T48</f>
        <v>BSocScCR&amp;LLB</v>
      </c>
      <c r="E37" s="518" t="str">
        <f>'Reference Score Calculation'!AD48</f>
        <v>Best 6</v>
      </c>
      <c r="F37" s="506" t="str">
        <f>'Reference Score Calculation'!G48</f>
        <v>/</v>
      </c>
      <c r="G37" s="506" t="str">
        <f>'Reference Score Calculation'!H48</f>
        <v>/</v>
      </c>
      <c r="H37" s="507">
        <f>計分版!H69</f>
        <v>4.1499999999999999E-9</v>
      </c>
      <c r="I37" s="521" t="s">
        <v>1978</v>
      </c>
      <c r="J37" s="521" t="s">
        <v>1978</v>
      </c>
      <c r="K37" s="563">
        <f>入學要求!C57</f>
        <v>10</v>
      </c>
      <c r="L37" s="511">
        <f>入學要求!R57</f>
        <v>0</v>
      </c>
      <c r="M37" s="570" t="s">
        <v>3712</v>
      </c>
      <c r="N37" s="517">
        <f>入學要求!D57</f>
        <v>3</v>
      </c>
      <c r="O37" s="517">
        <f>入學要求!E57</f>
        <v>5</v>
      </c>
      <c r="P37" s="517">
        <f>入學要求!F57</f>
        <v>2</v>
      </c>
      <c r="Q37" s="517">
        <f>入學要求!G57</f>
        <v>2</v>
      </c>
      <c r="R37" s="517">
        <f>入學要求!H57</f>
        <v>3</v>
      </c>
      <c r="S37" s="517">
        <f>入學要求!I57</f>
        <v>3</v>
      </c>
      <c r="T37" s="576"/>
      <c r="U37" s="510" t="str" cm="1">
        <f t="array" ref="U37">IFERROR(INDEX('Offer Statistics'!$I$2:$I$206,MATCH(1,(CityU!$A37='Offer Statistics'!$B$2:$B$206)*(CityU!$T$2='Offer Statistics'!$C$2:$C$206),0)),"/")</f>
        <v>/</v>
      </c>
      <c r="V37" s="513" t="str" cm="1">
        <f t="array" ref="V37">IFERROR(INDEX('Offer Statistics'!D$2:D$206,MATCH(1,(CityU!$A37='Offer Statistics'!$B$2:$B$206)*(CityU!$T$2='Offer Statistics'!$C$2:$C$206),0)),"/")</f>
        <v>/</v>
      </c>
      <c r="W37" s="513" t="str" cm="1">
        <f t="array" ref="W37">IFERROR(INDEX('Offer Statistics'!E$2:E$206,MATCH(1,(CityU!$A37='Offer Statistics'!$B$2:$B$206)*(CityU!$T$2='Offer Statistics'!$C$2:$C$206),0)),"/")</f>
        <v>/</v>
      </c>
      <c r="X37" s="513" t="str" cm="1">
        <f t="array" ref="X37">IFERROR(INDEX('Offer Statistics'!F$2:F$206,MATCH(1,(CityU!$A37='Offer Statistics'!$B$2:$B$206)*(CityU!$T$2='Offer Statistics'!$C$2:$C$206),0)),"/")</f>
        <v>/</v>
      </c>
      <c r="Y37" s="513" t="str" cm="1">
        <f t="array" ref="Y37">IFERROR(INDEX('Offer Statistics'!G$2:G$206,MATCH(1,(CityU!$A37='Offer Statistics'!$B$2:$B$206)*(CityU!$T$2='Offer Statistics'!$C$2:$C$206),0)),"/")</f>
        <v>/</v>
      </c>
      <c r="Z37" s="513" t="str" cm="1">
        <f t="array" ref="Z37">IFERROR(INDEX('Offer Statistics'!H$2:H$206,MATCH(1,(CityU!$A37='Offer Statistics'!$B$2:$B$206)*(CityU!$T$2='Offer Statistics'!$C$2:$C$206),0)),"/")</f>
        <v>/</v>
      </c>
      <c r="AA37" s="577"/>
      <c r="AB37" s="510" t="str" cm="1">
        <f t="array" ref="AB37">IFERROR(INDEX('Offer Statistics'!$Q$2:$Q$206,MATCH(1,(CityU!$A37='Offer Statistics'!$B$2:$B$206)*(CityU!$T$2='Offer Statistics'!$K$2:$K$206),0)),"/")</f>
        <v>/</v>
      </c>
      <c r="AC37" s="513" t="str" cm="1">
        <f t="array" ref="AC37">IFERROR(INDEX('Offer Statistics'!L$2:L$206,MATCH(1,(CityU!$A37='Offer Statistics'!$B$2:$B$206)*(CityU!$T$2='Offer Statistics'!$K$2:$K$206),0)),"/")</f>
        <v>/</v>
      </c>
      <c r="AD37" s="513" t="str" cm="1">
        <f t="array" ref="AD37">IFERROR(INDEX('Offer Statistics'!M$2:M$206,MATCH(1,(CityU!$A37='Offer Statistics'!$B$2:$B$206)*(CityU!$T$2='Offer Statistics'!$K$2:$K$206),0)),"/")</f>
        <v>/</v>
      </c>
      <c r="AE37" s="513" t="str" cm="1">
        <f t="array" ref="AE37">IFERROR(INDEX('Offer Statistics'!N$2:N$206,MATCH(1,(CityU!$A37='Offer Statistics'!$B$2:$B$206)*(CityU!$T$2='Offer Statistics'!$K$2:$K$206),0)),"/")</f>
        <v>/</v>
      </c>
      <c r="AF37" s="513" t="str" cm="1">
        <f t="array" ref="AF37">IFERROR(INDEX('Offer Statistics'!O$2:O$206,MATCH(1,(CityU!$A37='Offer Statistics'!$B$2:$B$206)*(CityU!$T$2='Offer Statistics'!$K$2:$K$206),0)),"/")</f>
        <v>/</v>
      </c>
      <c r="AG37" s="513" t="str" cm="1">
        <f t="array" ref="AG37">IFERROR(INDEX('Offer Statistics'!P$2:P$206,MATCH(1,(CityU!$A37='Offer Statistics'!$B$2:$B$206)*(CityU!$T$2='Offer Statistics'!$K$2:$K$206),0)),"/")</f>
        <v>/</v>
      </c>
      <c r="AH37" s="502"/>
      <c r="AI37" s="502" t="str">
        <f t="shared" si="2"/>
        <v>JS1123</v>
      </c>
      <c r="AJ37" s="503"/>
      <c r="AK37" s="503"/>
      <c r="AL37" s="503"/>
      <c r="AM37" s="503"/>
      <c r="AN37" s="503"/>
      <c r="AO37" s="503"/>
      <c r="AP37" s="503"/>
      <c r="AQ37" s="503"/>
      <c r="AR37" s="503"/>
      <c r="AS37" s="503"/>
      <c r="AT37" s="503"/>
      <c r="AU37" s="503"/>
      <c r="AV37" s="503"/>
      <c r="AW37" s="503"/>
      <c r="AX37" s="503"/>
    </row>
    <row r="38" spans="1:50" s="514" customFormat="1" ht="18" customHeight="1" x14ac:dyDescent="0.3">
      <c r="A38" s="502" t="str">
        <f>'Reference Score Calculation'!A49</f>
        <v>JS1200</v>
      </c>
      <c r="B38" s="503" t="str">
        <f>'Reference Score Calculation'!C49</f>
        <v>理學院</v>
      </c>
      <c r="C38" s="504" t="str">
        <f>'Reference Score Calculation'!D49</f>
        <v>環球精研與科創課程</v>
      </c>
      <c r="D38" s="503" t="str">
        <f>'Reference Score Calculation'!T49</f>
        <v>GREAT</v>
      </c>
      <c r="E38" s="519" t="str">
        <f>'Reference Score Calculation'!E49</f>
        <v>Best 5</v>
      </c>
      <c r="F38" s="506">
        <f>'Reference Score Calculation'!G49</f>
        <v>51</v>
      </c>
      <c r="G38" s="506">
        <f>'Reference Score Calculation'!H49</f>
        <v>50.5</v>
      </c>
      <c r="H38" s="507">
        <f>計分版!H70</f>
        <v>4.4000000000000005E-9</v>
      </c>
      <c r="I38" s="515">
        <f t="shared" ref="I38" si="3">IF(I$1="差距(Median)",H38-F38,IF(I$1="差距(LQ)",H38-G38))</f>
        <v>-50.9999999956</v>
      </c>
      <c r="J38" s="516">
        <f t="shared" ref="J38" si="4">IF(I$1="差距(Median)",(H38-F38)/H38,IF(I$1="差距(LQ)",(H38-G38)/H38))</f>
        <v>-11590909089.90909</v>
      </c>
      <c r="K38" s="563">
        <f>入學要求!C58</f>
        <v>9</v>
      </c>
      <c r="L38" s="511">
        <f>入學要求!R58</f>
        <v>0</v>
      </c>
      <c r="M38" s="569" t="s">
        <v>3617</v>
      </c>
      <c r="N38" s="517">
        <f>入學要求!D58</f>
        <v>3</v>
      </c>
      <c r="O38" s="517">
        <f>入學要求!E58</f>
        <v>3</v>
      </c>
      <c r="P38" s="517">
        <f>入學要求!F58</f>
        <v>2</v>
      </c>
      <c r="Q38" s="517">
        <f>入學要求!G58</f>
        <v>2</v>
      </c>
      <c r="R38" s="517">
        <f>入學要求!H58</f>
        <v>3</v>
      </c>
      <c r="S38" s="517">
        <f>入學要求!I58</f>
        <v>3</v>
      </c>
      <c r="T38" s="576"/>
      <c r="U38" s="510" cm="1">
        <f t="array" ref="U38">IFERROR(INDEX('Offer Statistics'!$I$2:$I$206,MATCH(1,(CityU!$A38='Offer Statistics'!$B$2:$B$206)*(CityU!$T$2='Offer Statistics'!$C$2:$C$206),0)),"/")</f>
        <v>3</v>
      </c>
      <c r="V38" s="513" cm="1">
        <f t="array" ref="V38">IFERROR(INDEX('Offer Statistics'!D$2:D$206,MATCH(1,(CityU!$A38='Offer Statistics'!$B$2:$B$206)*(CityU!$T$2='Offer Statistics'!$C$2:$C$206),0)),"/")</f>
        <v>3</v>
      </c>
      <c r="W38" s="513" cm="1">
        <f t="array" ref="W38">IFERROR(INDEX('Offer Statistics'!E$2:E$206,MATCH(1,(CityU!$A38='Offer Statistics'!$B$2:$B$206)*(CityU!$T$2='Offer Statistics'!$C$2:$C$206),0)),"/")</f>
        <v>0</v>
      </c>
      <c r="X38" s="513" cm="1">
        <f t="array" ref="X38">IFERROR(INDEX('Offer Statistics'!F$2:F$206,MATCH(1,(CityU!$A38='Offer Statistics'!$B$2:$B$206)*(CityU!$T$2='Offer Statistics'!$C$2:$C$206),0)),"/")</f>
        <v>0</v>
      </c>
      <c r="Y38" s="513" cm="1">
        <f t="array" ref="Y38">IFERROR(INDEX('Offer Statistics'!G$2:G$206,MATCH(1,(CityU!$A38='Offer Statistics'!$B$2:$B$206)*(CityU!$T$2='Offer Statistics'!$C$2:$C$206),0)),"/")</f>
        <v>0</v>
      </c>
      <c r="Z38" s="513" cm="1">
        <f t="array" ref="Z38">IFERROR(INDEX('Offer Statistics'!H$2:H$206,MATCH(1,(CityU!$A38='Offer Statistics'!$B$2:$B$206)*(CityU!$T$2='Offer Statistics'!$C$2:$C$206),0)),"/")</f>
        <v>0</v>
      </c>
      <c r="AA38" s="577"/>
      <c r="AB38" s="510" cm="1">
        <f t="array" ref="AB38">IFERROR(INDEX('Offer Statistics'!$Q$2:$Q$206,MATCH(1,(CityU!$A38='Offer Statistics'!$B$2:$B$206)*(CityU!$T$2='Offer Statistics'!$K$2:$K$206),0)),"/")</f>
        <v>228</v>
      </c>
      <c r="AC38" s="513" cm="1">
        <f t="array" ref="AC38">IFERROR(INDEX('Offer Statistics'!L$2:L$206,MATCH(1,(CityU!$A38='Offer Statistics'!$B$2:$B$206)*(CityU!$T$2='Offer Statistics'!$K$2:$K$206),0)),"/")</f>
        <v>30</v>
      </c>
      <c r="AD38" s="513" cm="1">
        <f t="array" ref="AD38">IFERROR(INDEX('Offer Statistics'!M$2:M$206,MATCH(1,(CityU!$A38='Offer Statistics'!$B$2:$B$206)*(CityU!$T$2='Offer Statistics'!$K$2:$K$206),0)),"/")</f>
        <v>45</v>
      </c>
      <c r="AE38" s="513" cm="1">
        <f t="array" ref="AE38">IFERROR(INDEX('Offer Statistics'!N$2:N$206,MATCH(1,(CityU!$A38='Offer Statistics'!$B$2:$B$206)*(CityU!$T$2='Offer Statistics'!$K$2:$K$206),0)),"/")</f>
        <v>39</v>
      </c>
      <c r="AF38" s="513" cm="1">
        <f t="array" ref="AF38">IFERROR(INDEX('Offer Statistics'!O$2:O$206,MATCH(1,(CityU!$A38='Offer Statistics'!$B$2:$B$206)*(CityU!$T$2='Offer Statistics'!$K$2:$K$206),0)),"/")</f>
        <v>63</v>
      </c>
      <c r="AG38" s="513" cm="1">
        <f t="array" ref="AG38">IFERROR(INDEX('Offer Statistics'!P$2:P$206,MATCH(1,(CityU!$A38='Offer Statistics'!$B$2:$B$206)*(CityU!$T$2='Offer Statistics'!$K$2:$K$206),0)),"/")</f>
        <v>51</v>
      </c>
      <c r="AH38" s="502"/>
      <c r="AI38" s="502" t="str">
        <f t="shared" si="2"/>
        <v>JS1200</v>
      </c>
      <c r="AJ38" s="503"/>
      <c r="AK38" s="503"/>
      <c r="AL38" s="503"/>
      <c r="AM38" s="503"/>
      <c r="AN38" s="503"/>
      <c r="AO38" s="503"/>
      <c r="AP38" s="503"/>
      <c r="AQ38" s="503"/>
      <c r="AR38" s="503"/>
      <c r="AS38" s="503"/>
      <c r="AT38" s="503"/>
      <c r="AU38" s="503"/>
      <c r="AV38" s="503"/>
      <c r="AW38" s="503"/>
      <c r="AX38" s="503"/>
    </row>
    <row r="39" spans="1:50" s="514" customFormat="1" ht="18" customHeight="1" x14ac:dyDescent="0.3">
      <c r="A39" s="502" t="str">
        <f>'Reference Score Calculation'!A50</f>
        <v>JS1201</v>
      </c>
      <c r="B39" s="503" t="str">
        <f>'Reference Score Calculation'!C50</f>
        <v>工學院</v>
      </c>
      <c r="C39" s="504" t="str">
        <f>'Reference Score Calculation'!D50</f>
        <v>建築學及土木工程學系 [選項: 工學士(建築工程)、工學士(土木工程)、理學士(測量學)]</v>
      </c>
      <c r="D39" s="503" t="str">
        <f>'Reference Score Calculation'!T50</f>
        <v>ACE</v>
      </c>
      <c r="E39" s="519" t="str">
        <f>'Reference Score Calculation'!E50</f>
        <v>Best 6</v>
      </c>
      <c r="F39" s="506">
        <f>'Reference Score Calculation'!G50</f>
        <v>41.5</v>
      </c>
      <c r="G39" s="506">
        <f>'Reference Score Calculation'!H50</f>
        <v>39</v>
      </c>
      <c r="H39" s="507">
        <f>計分版!H71</f>
        <v>4.9E-9</v>
      </c>
      <c r="I39" s="515">
        <f t="shared" ref="I39" si="5">IF(I$1="差距(Median)",H39-F39,IF(I$1="差距(LQ)",H39-G39))</f>
        <v>-41.499999995099998</v>
      </c>
      <c r="J39" s="516">
        <f t="shared" ref="J39" si="6">IF(I$1="差距(Median)",(H39-F39)/H39,IF(I$1="差距(LQ)",(H39-G39)/H39))</f>
        <v>-8469387754.1020403</v>
      </c>
      <c r="K39" s="563">
        <f>入學要求!C59</f>
        <v>97</v>
      </c>
      <c r="L39" s="511">
        <f>入學要求!R59</f>
        <v>0</v>
      </c>
      <c r="M39" s="569" t="s">
        <v>3603</v>
      </c>
      <c r="N39" s="517">
        <f>入學要求!D59</f>
        <v>3</v>
      </c>
      <c r="O39" s="517">
        <f>入學要求!E59</f>
        <v>3</v>
      </c>
      <c r="P39" s="517">
        <f>入學要求!F59</f>
        <v>3</v>
      </c>
      <c r="Q39" s="517">
        <f>入學要求!G59</f>
        <v>2</v>
      </c>
      <c r="R39" s="517">
        <f>入學要求!H59</f>
        <v>3</v>
      </c>
      <c r="S39" s="517">
        <f>入學要求!I59</f>
        <v>3</v>
      </c>
      <c r="T39" s="576"/>
      <c r="U39" s="510" cm="1">
        <f t="array" ref="U39">IFERROR(INDEX('Offer Statistics'!$I$2:$I$206,MATCH(1,(CityU!$A39='Offer Statistics'!$B$2:$B$206)*(CityU!$T$2='Offer Statistics'!$C$2:$C$206),0)),"/")</f>
        <v>67</v>
      </c>
      <c r="V39" s="513" cm="1">
        <f t="array" ref="V39">IFERROR(INDEX('Offer Statistics'!D$2:D$206,MATCH(1,(CityU!$A39='Offer Statistics'!$B$2:$B$206)*(CityU!$T$2='Offer Statistics'!$C$2:$C$206),0)),"/")</f>
        <v>63</v>
      </c>
      <c r="W39" s="513" cm="1">
        <f t="array" ref="W39">IFERROR(INDEX('Offer Statistics'!E$2:E$206,MATCH(1,(CityU!$A39='Offer Statistics'!$B$2:$B$206)*(CityU!$T$2='Offer Statistics'!$C$2:$C$206),0)),"/")</f>
        <v>3</v>
      </c>
      <c r="X39" s="513" cm="1">
        <f t="array" ref="X39">IFERROR(INDEX('Offer Statistics'!F$2:F$206,MATCH(1,(CityU!$A39='Offer Statistics'!$B$2:$B$206)*(CityU!$T$2='Offer Statistics'!$C$2:$C$206),0)),"/")</f>
        <v>0</v>
      </c>
      <c r="Y39" s="513" cm="1">
        <f t="array" ref="Y39">IFERROR(INDEX('Offer Statistics'!G$2:G$206,MATCH(1,(CityU!$A39='Offer Statistics'!$B$2:$B$206)*(CityU!$T$2='Offer Statistics'!$C$2:$C$206),0)),"/")</f>
        <v>0</v>
      </c>
      <c r="Z39" s="513" cm="1">
        <f t="array" ref="Z39">IFERROR(INDEX('Offer Statistics'!H$2:H$206,MATCH(1,(CityU!$A39='Offer Statistics'!$B$2:$B$206)*(CityU!$T$2='Offer Statistics'!$C$2:$C$206),0)),"/")</f>
        <v>1</v>
      </c>
      <c r="AA39" s="577"/>
      <c r="AB39" s="510" cm="1">
        <f t="array" ref="AB39">IFERROR(INDEX('Offer Statistics'!$Q$2:$Q$206,MATCH(1,(CityU!$A39='Offer Statistics'!$B$2:$B$206)*(CityU!$T$2='Offer Statistics'!$K$2:$K$206),0)),"/")</f>
        <v>1908</v>
      </c>
      <c r="AC39" s="513" cm="1">
        <f t="array" ref="AC39">IFERROR(INDEX('Offer Statistics'!L$2:L$206,MATCH(1,(CityU!$A39='Offer Statistics'!$B$2:$B$206)*(CityU!$T$2='Offer Statistics'!$K$2:$K$206),0)),"/")</f>
        <v>326</v>
      </c>
      <c r="AD39" s="513" cm="1">
        <f t="array" ref="AD39">IFERROR(INDEX('Offer Statistics'!M$2:M$206,MATCH(1,(CityU!$A39='Offer Statistics'!$B$2:$B$206)*(CityU!$T$2='Offer Statistics'!$K$2:$K$206),0)),"/")</f>
        <v>376</v>
      </c>
      <c r="AE39" s="513" cm="1">
        <f t="array" ref="AE39">IFERROR(INDEX('Offer Statistics'!N$2:N$206,MATCH(1,(CityU!$A39='Offer Statistics'!$B$2:$B$206)*(CityU!$T$2='Offer Statistics'!$K$2:$K$206),0)),"/")</f>
        <v>418</v>
      </c>
      <c r="AF39" s="513" cm="1">
        <f t="array" ref="AF39">IFERROR(INDEX('Offer Statistics'!O$2:O$206,MATCH(1,(CityU!$A39='Offer Statistics'!$B$2:$B$206)*(CityU!$T$2='Offer Statistics'!$K$2:$K$206),0)),"/")</f>
        <v>458</v>
      </c>
      <c r="AG39" s="513" cm="1">
        <f t="array" ref="AG39">IFERROR(INDEX('Offer Statistics'!P$2:P$206,MATCH(1,(CityU!$A39='Offer Statistics'!$B$2:$B$206)*(CityU!$T$2='Offer Statistics'!$K$2:$K$206),0)),"/")</f>
        <v>330</v>
      </c>
      <c r="AH39" s="502"/>
      <c r="AI39" s="502" t="str">
        <f t="shared" si="2"/>
        <v>JS1201</v>
      </c>
      <c r="AJ39" s="503"/>
      <c r="AK39" s="503"/>
      <c r="AL39" s="503"/>
      <c r="AM39" s="503"/>
      <c r="AN39" s="503"/>
      <c r="AO39" s="503"/>
      <c r="AP39" s="503"/>
      <c r="AQ39" s="503"/>
      <c r="AR39" s="503"/>
      <c r="AS39" s="503"/>
      <c r="AT39" s="503"/>
      <c r="AU39" s="503"/>
      <c r="AV39" s="503"/>
      <c r="AW39" s="503"/>
      <c r="AX39" s="503"/>
    </row>
    <row r="40" spans="1:50" s="514" customFormat="1" ht="18" customHeight="1" x14ac:dyDescent="0.3">
      <c r="A40" s="502" t="str">
        <f>'Reference Score Calculation'!A51</f>
        <v>JS1202</v>
      </c>
      <c r="B40" s="503" t="str">
        <f>'Reference Score Calculation'!C51</f>
        <v>理學院</v>
      </c>
      <c r="C40" s="504" t="str">
        <f>'Reference Score Calculation'!D51</f>
        <v>理學士(化學)</v>
      </c>
      <c r="D40" s="503" t="str">
        <f>'Reference Score Calculation'!T51</f>
        <v>BScCHEM</v>
      </c>
      <c r="E40" s="519" t="str">
        <f>'Reference Score Calculation'!E51</f>
        <v>Best 5</v>
      </c>
      <c r="F40" s="506">
        <f>'Reference Score Calculation'!G51</f>
        <v>28</v>
      </c>
      <c r="G40" s="506">
        <f>'Reference Score Calculation'!H51</f>
        <v>27</v>
      </c>
      <c r="H40" s="507">
        <f>計分版!H72</f>
        <v>3.9500000000000006E-9</v>
      </c>
      <c r="I40" s="515">
        <f t="shared" ref="I40:I53" si="7">IF(I$1="差距(Median)",H40-F40,IF(I$1="差距(LQ)",H40-G40))</f>
        <v>-27.999999996050001</v>
      </c>
      <c r="J40" s="516">
        <f t="shared" ref="J40:J53" si="8">IF(I$1="差距(Median)",(H40-F40)/H40,IF(I$1="差距(LQ)",(H40-G40)/H40))</f>
        <v>-7088607593.9367075</v>
      </c>
      <c r="K40" s="563">
        <f>入學要求!C60</f>
        <v>46</v>
      </c>
      <c r="L40" s="511">
        <f>入學要求!R60</f>
        <v>0</v>
      </c>
      <c r="M40" s="570" t="s">
        <v>3610</v>
      </c>
      <c r="N40" s="517">
        <f>入學要求!D60</f>
        <v>3</v>
      </c>
      <c r="O40" s="517">
        <f>入學要求!E60</f>
        <v>3</v>
      </c>
      <c r="P40" s="517">
        <f>入學要求!F60</f>
        <v>2</v>
      </c>
      <c r="Q40" s="517">
        <f>入學要求!G60</f>
        <v>2</v>
      </c>
      <c r="R40" s="517">
        <f>入學要求!H60</f>
        <v>3</v>
      </c>
      <c r="S40" s="517">
        <f>入學要求!I60</f>
        <v>3</v>
      </c>
      <c r="T40" s="576"/>
      <c r="U40" s="510" cm="1">
        <f t="array" ref="U40">IFERROR(INDEX('Offer Statistics'!$I$2:$I$206,MATCH(1,(CityU!$A40='Offer Statistics'!$B$2:$B$206)*(CityU!$T$2='Offer Statistics'!$C$2:$C$206),0)),"/")</f>
        <v>48</v>
      </c>
      <c r="V40" s="513" cm="1">
        <f t="array" ref="V40">IFERROR(INDEX('Offer Statistics'!D$2:D$206,MATCH(1,(CityU!$A40='Offer Statistics'!$B$2:$B$206)*(CityU!$T$2='Offer Statistics'!$C$2:$C$206),0)),"/")</f>
        <v>41</v>
      </c>
      <c r="W40" s="513" cm="1">
        <f t="array" ref="W40">IFERROR(INDEX('Offer Statistics'!E$2:E$206,MATCH(1,(CityU!$A40='Offer Statistics'!$B$2:$B$206)*(CityU!$T$2='Offer Statistics'!$C$2:$C$206),0)),"/")</f>
        <v>5</v>
      </c>
      <c r="X40" s="513" cm="1">
        <f t="array" ref="X40">IFERROR(INDEX('Offer Statistics'!F$2:F$206,MATCH(1,(CityU!$A40='Offer Statistics'!$B$2:$B$206)*(CityU!$T$2='Offer Statistics'!$C$2:$C$206),0)),"/")</f>
        <v>2</v>
      </c>
      <c r="Y40" s="513" cm="1">
        <f t="array" ref="Y40">IFERROR(INDEX('Offer Statistics'!G$2:G$206,MATCH(1,(CityU!$A40='Offer Statistics'!$B$2:$B$206)*(CityU!$T$2='Offer Statistics'!$C$2:$C$206),0)),"/")</f>
        <v>0</v>
      </c>
      <c r="Z40" s="513" cm="1">
        <f t="array" ref="Z40">IFERROR(INDEX('Offer Statistics'!H$2:H$206,MATCH(1,(CityU!$A40='Offer Statistics'!$B$2:$B$206)*(CityU!$T$2='Offer Statistics'!$C$2:$C$206),0)),"/")</f>
        <v>0</v>
      </c>
      <c r="AA40" s="577"/>
      <c r="AB40" s="510" cm="1">
        <f t="array" ref="AB40">IFERROR(INDEX('Offer Statistics'!$Q$2:$Q$206,MATCH(1,(CityU!$A40='Offer Statistics'!$B$2:$B$206)*(CityU!$T$2='Offer Statistics'!$K$2:$K$206),0)),"/")</f>
        <v>1664</v>
      </c>
      <c r="AC40" s="513" cm="1">
        <f t="array" ref="AC40">IFERROR(INDEX('Offer Statistics'!L$2:L$206,MATCH(1,(CityU!$A40='Offer Statistics'!$B$2:$B$206)*(CityU!$T$2='Offer Statistics'!$K$2:$K$206),0)),"/")</f>
        <v>236</v>
      </c>
      <c r="AD40" s="513" cm="1">
        <f t="array" ref="AD40">IFERROR(INDEX('Offer Statistics'!M$2:M$206,MATCH(1,(CityU!$A40='Offer Statistics'!$B$2:$B$206)*(CityU!$T$2='Offer Statistics'!$K$2:$K$206),0)),"/")</f>
        <v>319</v>
      </c>
      <c r="AE40" s="513" cm="1">
        <f t="array" ref="AE40">IFERROR(INDEX('Offer Statistics'!N$2:N$206,MATCH(1,(CityU!$A40='Offer Statistics'!$B$2:$B$206)*(CityU!$T$2='Offer Statistics'!$K$2:$K$206),0)),"/")</f>
        <v>387</v>
      </c>
      <c r="AF40" s="513" cm="1">
        <f t="array" ref="AF40">IFERROR(INDEX('Offer Statistics'!O$2:O$206,MATCH(1,(CityU!$A40='Offer Statistics'!$B$2:$B$206)*(CityU!$T$2='Offer Statistics'!$K$2:$K$206),0)),"/")</f>
        <v>433</v>
      </c>
      <c r="AG40" s="513" cm="1">
        <f t="array" ref="AG40">IFERROR(INDEX('Offer Statistics'!P$2:P$206,MATCH(1,(CityU!$A40='Offer Statistics'!$B$2:$B$206)*(CityU!$T$2='Offer Statistics'!$K$2:$K$206),0)),"/")</f>
        <v>289</v>
      </c>
      <c r="AH40" s="502"/>
      <c r="AI40" s="502" t="str">
        <f t="shared" si="2"/>
        <v>JS1202</v>
      </c>
      <c r="AJ40" s="503"/>
      <c r="AK40" s="503"/>
      <c r="AL40" s="503"/>
      <c r="AM40" s="503"/>
      <c r="AN40" s="503"/>
      <c r="AO40" s="503"/>
      <c r="AP40" s="503"/>
      <c r="AQ40" s="503"/>
      <c r="AR40" s="503"/>
      <c r="AS40" s="503"/>
      <c r="AT40" s="503"/>
      <c r="AU40" s="503"/>
      <c r="AV40" s="503"/>
      <c r="AW40" s="503"/>
      <c r="AX40" s="503"/>
    </row>
    <row r="41" spans="1:50" s="514" customFormat="1" ht="18" customHeight="1" x14ac:dyDescent="0.3">
      <c r="A41" s="502" t="str">
        <f>'Reference Score Calculation'!A52</f>
        <v>JS1204</v>
      </c>
      <c r="B41" s="503" t="str">
        <f>'Reference Score Calculation'!C52</f>
        <v>工學院</v>
      </c>
      <c r="C41" s="504" t="str">
        <f>'Reference Score Calculation'!D52</f>
        <v>理學士(電腦科學)</v>
      </c>
      <c r="D41" s="503" t="str">
        <f>'Reference Score Calculation'!T52</f>
        <v>BScCSC</v>
      </c>
      <c r="E41" s="505" t="str">
        <f>'Reference Score Calculation'!E52</f>
        <v>Best 5</v>
      </c>
      <c r="F41" s="506">
        <f>'Reference Score Calculation'!G52</f>
        <v>20</v>
      </c>
      <c r="G41" s="506">
        <f>'Reference Score Calculation'!H52</f>
        <v>19</v>
      </c>
      <c r="H41" s="507">
        <f>計分版!H73</f>
        <v>2.8499999999999999E-9</v>
      </c>
      <c r="I41" s="515">
        <f t="shared" si="7"/>
        <v>-19.999999997149999</v>
      </c>
      <c r="J41" s="516">
        <f t="shared" si="8"/>
        <v>-7017543858.6491222</v>
      </c>
      <c r="K41" s="563">
        <f>入學要求!C61</f>
        <v>97</v>
      </c>
      <c r="L41" s="511">
        <f>入學要求!R61</f>
        <v>0</v>
      </c>
      <c r="M41" s="570" t="s">
        <v>3610</v>
      </c>
      <c r="N41" s="517">
        <f>入學要求!D61</f>
        <v>3</v>
      </c>
      <c r="O41" s="517">
        <f>入學要求!E61</f>
        <v>3</v>
      </c>
      <c r="P41" s="517">
        <f>入學要求!F61</f>
        <v>3</v>
      </c>
      <c r="Q41" s="517">
        <f>入學要求!G61</f>
        <v>2</v>
      </c>
      <c r="R41" s="517">
        <f>入學要求!H61</f>
        <v>3</v>
      </c>
      <c r="S41" s="517">
        <f>入學要求!I61</f>
        <v>3</v>
      </c>
      <c r="T41" s="576"/>
      <c r="U41" s="510" cm="1">
        <f t="array" ref="U41">IFERROR(INDEX('Offer Statistics'!$I$2:$I$206,MATCH(1,(CityU!$A41='Offer Statistics'!$B$2:$B$206)*(CityU!$T$2='Offer Statistics'!$C$2:$C$206),0)),"/")</f>
        <v>111</v>
      </c>
      <c r="V41" s="513" cm="1">
        <f t="array" ref="V41">IFERROR(INDEX('Offer Statistics'!D$2:D$206,MATCH(1,(CityU!$A41='Offer Statistics'!$B$2:$B$206)*(CityU!$T$2='Offer Statistics'!$C$2:$C$206),0)),"/")</f>
        <v>106</v>
      </c>
      <c r="W41" s="513" cm="1">
        <f t="array" ref="W41">IFERROR(INDEX('Offer Statistics'!E$2:E$206,MATCH(1,(CityU!$A41='Offer Statistics'!$B$2:$B$206)*(CityU!$T$2='Offer Statistics'!$C$2:$C$206),0)),"/")</f>
        <v>4</v>
      </c>
      <c r="X41" s="513" cm="1">
        <f t="array" ref="X41">IFERROR(INDEX('Offer Statistics'!F$2:F$206,MATCH(1,(CityU!$A41='Offer Statistics'!$B$2:$B$206)*(CityU!$T$2='Offer Statistics'!$C$2:$C$206),0)),"/")</f>
        <v>1</v>
      </c>
      <c r="Y41" s="513" cm="1">
        <f t="array" ref="Y41">IFERROR(INDEX('Offer Statistics'!G$2:G$206,MATCH(1,(CityU!$A41='Offer Statistics'!$B$2:$B$206)*(CityU!$T$2='Offer Statistics'!$C$2:$C$206),0)),"/")</f>
        <v>0</v>
      </c>
      <c r="Z41" s="513" cm="1">
        <f t="array" ref="Z41">IFERROR(INDEX('Offer Statistics'!H$2:H$206,MATCH(1,(CityU!$A41='Offer Statistics'!$B$2:$B$206)*(CityU!$T$2='Offer Statistics'!$C$2:$C$206),0)),"/")</f>
        <v>0</v>
      </c>
      <c r="AA41" s="577"/>
      <c r="AB41" s="510" cm="1">
        <f t="array" ref="AB41">IFERROR(INDEX('Offer Statistics'!$Q$2:$Q$206,MATCH(1,(CityU!$A41='Offer Statistics'!$B$2:$B$206)*(CityU!$T$2='Offer Statistics'!$K$2:$K$206),0)),"/")</f>
        <v>2821</v>
      </c>
      <c r="AC41" s="513" cm="1">
        <f t="array" ref="AC41">IFERROR(INDEX('Offer Statistics'!L$2:L$206,MATCH(1,(CityU!$A41='Offer Statistics'!$B$2:$B$206)*(CityU!$T$2='Offer Statistics'!$K$2:$K$206),0)),"/")</f>
        <v>635</v>
      </c>
      <c r="AD41" s="513" cm="1">
        <f t="array" ref="AD41">IFERROR(INDEX('Offer Statistics'!M$2:M$206,MATCH(1,(CityU!$A41='Offer Statistics'!$B$2:$B$206)*(CityU!$T$2='Offer Statistics'!$K$2:$K$206),0)),"/")</f>
        <v>576</v>
      </c>
      <c r="AE41" s="513" cm="1">
        <f t="array" ref="AE41">IFERROR(INDEX('Offer Statistics'!N$2:N$206,MATCH(1,(CityU!$A41='Offer Statistics'!$B$2:$B$206)*(CityU!$T$2='Offer Statistics'!$K$2:$K$206),0)),"/")</f>
        <v>637</v>
      </c>
      <c r="AF41" s="513" cm="1">
        <f t="array" ref="AF41">IFERROR(INDEX('Offer Statistics'!O$2:O$206,MATCH(1,(CityU!$A41='Offer Statistics'!$B$2:$B$206)*(CityU!$T$2='Offer Statistics'!$K$2:$K$206),0)),"/")</f>
        <v>595</v>
      </c>
      <c r="AG41" s="513" cm="1">
        <f t="array" ref="AG41">IFERROR(INDEX('Offer Statistics'!P$2:P$206,MATCH(1,(CityU!$A41='Offer Statistics'!$B$2:$B$206)*(CityU!$T$2='Offer Statistics'!$K$2:$K$206),0)),"/")</f>
        <v>378</v>
      </c>
      <c r="AH41" s="502"/>
      <c r="AI41" s="502" t="str">
        <f t="shared" si="2"/>
        <v>JS1204</v>
      </c>
      <c r="AJ41" s="503"/>
      <c r="AK41" s="503"/>
      <c r="AL41" s="503"/>
      <c r="AM41" s="503"/>
      <c r="AN41" s="503"/>
      <c r="AO41" s="503"/>
      <c r="AP41" s="503"/>
      <c r="AQ41" s="503"/>
      <c r="AR41" s="503"/>
      <c r="AS41" s="503"/>
      <c r="AT41" s="503"/>
      <c r="AU41" s="503"/>
      <c r="AV41" s="503"/>
      <c r="AW41" s="503"/>
      <c r="AX41" s="503"/>
    </row>
    <row r="42" spans="1:50" s="514" customFormat="1" ht="18" customHeight="1" x14ac:dyDescent="0.3">
      <c r="A42" s="502" t="str">
        <f>'Reference Score Calculation'!A53</f>
        <v>JS1205</v>
      </c>
      <c r="B42" s="503" t="str">
        <f>'Reference Score Calculation'!C53</f>
        <v>工學院</v>
      </c>
      <c r="C42" s="504" t="str">
        <f>'Reference Score Calculation'!D53</f>
        <v>電機工程學系 [選項: 工學士(電子計算機及數據工程學)、工學士(電子及電機工程學)、工學士(資訊工程學)]</v>
      </c>
      <c r="D42" s="503" t="str">
        <f>'Reference Score Calculation'!T53</f>
        <v>EE</v>
      </c>
      <c r="E42" s="519" t="str">
        <f>'Reference Score Calculation'!E53</f>
        <v>Best 5</v>
      </c>
      <c r="F42" s="506">
        <f>'Reference Score Calculation'!G53</f>
        <v>32</v>
      </c>
      <c r="G42" s="506">
        <f>'Reference Score Calculation'!H53</f>
        <v>30</v>
      </c>
      <c r="H42" s="507">
        <f>計分版!H74</f>
        <v>3.8500000000000006E-9</v>
      </c>
      <c r="I42" s="515">
        <f t="shared" si="7"/>
        <v>-31.999999996149999</v>
      </c>
      <c r="J42" s="516">
        <f t="shared" si="8"/>
        <v>-8311688310.6883106</v>
      </c>
      <c r="K42" s="563">
        <f>入學要求!C62</f>
        <v>174</v>
      </c>
      <c r="L42" s="511">
        <f>入學要求!R62</f>
        <v>0</v>
      </c>
      <c r="M42" s="569" t="s">
        <v>3712</v>
      </c>
      <c r="N42" s="517">
        <f>入學要求!D62</f>
        <v>3</v>
      </c>
      <c r="O42" s="517">
        <f>入學要求!E62</f>
        <v>3</v>
      </c>
      <c r="P42" s="517">
        <f>入學要求!F62</f>
        <v>3</v>
      </c>
      <c r="Q42" s="517">
        <f>入學要求!G62</f>
        <v>2</v>
      </c>
      <c r="R42" s="517">
        <f>入學要求!H62</f>
        <v>3</v>
      </c>
      <c r="S42" s="517">
        <f>入學要求!I62</f>
        <v>3</v>
      </c>
      <c r="T42" s="576"/>
      <c r="U42" s="510" cm="1">
        <f t="array" ref="U42">IFERROR(INDEX('Offer Statistics'!$I$2:$I$206,MATCH(1,(CityU!$A42='Offer Statistics'!$B$2:$B$206)*(CityU!$T$2='Offer Statistics'!$C$2:$C$206),0)),"/")</f>
        <v>89</v>
      </c>
      <c r="V42" s="513" cm="1">
        <f t="array" ref="V42">IFERROR(INDEX('Offer Statistics'!D$2:D$206,MATCH(1,(CityU!$A42='Offer Statistics'!$B$2:$B$206)*(CityU!$T$2='Offer Statistics'!$C$2:$C$206),0)),"/")</f>
        <v>84</v>
      </c>
      <c r="W42" s="513" cm="1">
        <f t="array" ref="W42">IFERROR(INDEX('Offer Statistics'!E$2:E$206,MATCH(1,(CityU!$A42='Offer Statistics'!$B$2:$B$206)*(CityU!$T$2='Offer Statistics'!$C$2:$C$206),0)),"/")</f>
        <v>5</v>
      </c>
      <c r="X42" s="513" cm="1">
        <f t="array" ref="X42">IFERROR(INDEX('Offer Statistics'!F$2:F$206,MATCH(1,(CityU!$A42='Offer Statistics'!$B$2:$B$206)*(CityU!$T$2='Offer Statistics'!$C$2:$C$206),0)),"/")</f>
        <v>0</v>
      </c>
      <c r="Y42" s="513" cm="1">
        <f t="array" ref="Y42">IFERROR(INDEX('Offer Statistics'!G$2:G$206,MATCH(1,(CityU!$A42='Offer Statistics'!$B$2:$B$206)*(CityU!$T$2='Offer Statistics'!$C$2:$C$206),0)),"/")</f>
        <v>0</v>
      </c>
      <c r="Z42" s="513" cm="1">
        <f t="array" ref="Z42">IFERROR(INDEX('Offer Statistics'!H$2:H$206,MATCH(1,(CityU!$A42='Offer Statistics'!$B$2:$B$206)*(CityU!$T$2='Offer Statistics'!$C$2:$C$206),0)),"/")</f>
        <v>0</v>
      </c>
      <c r="AA42" s="577"/>
      <c r="AB42" s="510" cm="1">
        <f t="array" ref="AB42">IFERROR(INDEX('Offer Statistics'!$Q$2:$Q$206,MATCH(1,(CityU!$A42='Offer Statistics'!$B$2:$B$206)*(CityU!$T$2='Offer Statistics'!$K$2:$K$206),0)),"/")</f>
        <v>2487</v>
      </c>
      <c r="AC42" s="513" cm="1">
        <f t="array" ref="AC42">IFERROR(INDEX('Offer Statistics'!L$2:L$206,MATCH(1,(CityU!$A42='Offer Statistics'!$B$2:$B$206)*(CityU!$T$2='Offer Statistics'!$K$2:$K$206),0)),"/")</f>
        <v>481</v>
      </c>
      <c r="AD42" s="513" cm="1">
        <f t="array" ref="AD42">IFERROR(INDEX('Offer Statistics'!M$2:M$206,MATCH(1,(CityU!$A42='Offer Statistics'!$B$2:$B$206)*(CityU!$T$2='Offer Statistics'!$K$2:$K$206),0)),"/")</f>
        <v>459</v>
      </c>
      <c r="AE42" s="513" cm="1">
        <f t="array" ref="AE42">IFERROR(INDEX('Offer Statistics'!N$2:N$206,MATCH(1,(CityU!$A42='Offer Statistics'!$B$2:$B$206)*(CityU!$T$2='Offer Statistics'!$K$2:$K$206),0)),"/")</f>
        <v>547</v>
      </c>
      <c r="AF42" s="513" cm="1">
        <f t="array" ref="AF42">IFERROR(INDEX('Offer Statistics'!O$2:O$206,MATCH(1,(CityU!$A42='Offer Statistics'!$B$2:$B$206)*(CityU!$T$2='Offer Statistics'!$K$2:$K$206),0)),"/")</f>
        <v>620</v>
      </c>
      <c r="AG42" s="513" cm="1">
        <f t="array" ref="AG42">IFERROR(INDEX('Offer Statistics'!P$2:P$206,MATCH(1,(CityU!$A42='Offer Statistics'!$B$2:$B$206)*(CityU!$T$2='Offer Statistics'!$K$2:$K$206),0)),"/")</f>
        <v>380</v>
      </c>
      <c r="AH42" s="502"/>
      <c r="AI42" s="502" t="str">
        <f t="shared" si="2"/>
        <v>JS1205</v>
      </c>
      <c r="AJ42" s="503"/>
      <c r="AK42" s="503"/>
      <c r="AL42" s="503"/>
      <c r="AM42" s="503"/>
      <c r="AN42" s="503"/>
      <c r="AO42" s="503"/>
      <c r="AP42" s="503"/>
      <c r="AQ42" s="503"/>
      <c r="AR42" s="503"/>
      <c r="AS42" s="503"/>
      <c r="AT42" s="503"/>
      <c r="AU42" s="503"/>
      <c r="AV42" s="503"/>
      <c r="AW42" s="503"/>
      <c r="AX42" s="503"/>
    </row>
    <row r="43" spans="1:50" s="514" customFormat="1" ht="18" customHeight="1" x14ac:dyDescent="0.3">
      <c r="A43" s="502" t="str">
        <f>'Reference Score Calculation'!A54</f>
        <v>JS1206</v>
      </c>
      <c r="B43" s="503" t="str">
        <f>'Reference Score Calculation'!C54</f>
        <v>理學院</v>
      </c>
      <c r="C43" s="504" t="str">
        <f>'Reference Score Calculation'!D54</f>
        <v>理學士(計算數學)</v>
      </c>
      <c r="D43" s="503" t="str">
        <f>'Reference Score Calculation'!T54</f>
        <v>BScCM</v>
      </c>
      <c r="E43" s="519" t="str">
        <f>'Reference Score Calculation'!E54</f>
        <v>Best 5</v>
      </c>
      <c r="F43" s="506">
        <f>'Reference Score Calculation'!G54</f>
        <v>33</v>
      </c>
      <c r="G43" s="506">
        <f>'Reference Score Calculation'!H54</f>
        <v>30</v>
      </c>
      <c r="H43" s="507">
        <f>計分版!H75</f>
        <v>4.4000000000000005E-9</v>
      </c>
      <c r="I43" s="515">
        <f t="shared" si="7"/>
        <v>-32.9999999956</v>
      </c>
      <c r="J43" s="516">
        <f t="shared" si="8"/>
        <v>-7499999998.999999</v>
      </c>
      <c r="K43" s="563">
        <f>入學要求!C63</f>
        <v>31</v>
      </c>
      <c r="L43" s="511">
        <f>入學要求!R63</f>
        <v>0</v>
      </c>
      <c r="M43" s="569" t="s">
        <v>3603</v>
      </c>
      <c r="N43" s="517">
        <f>入學要求!D63</f>
        <v>3</v>
      </c>
      <c r="O43" s="517">
        <f>入學要求!E63</f>
        <v>3</v>
      </c>
      <c r="P43" s="517">
        <f>入學要求!F63</f>
        <v>3</v>
      </c>
      <c r="Q43" s="517">
        <f>入學要求!G63</f>
        <v>2</v>
      </c>
      <c r="R43" s="517">
        <f>入學要求!H63</f>
        <v>3</v>
      </c>
      <c r="S43" s="517">
        <f>入學要求!I63</f>
        <v>3</v>
      </c>
      <c r="T43" s="576"/>
      <c r="U43" s="510" cm="1">
        <f t="array" ref="U43">IFERROR(INDEX('Offer Statistics'!$I$2:$I$206,MATCH(1,(CityU!$A43='Offer Statistics'!$B$2:$B$206)*(CityU!$T$2='Offer Statistics'!$C$2:$C$206),0)),"/")</f>
        <v>22</v>
      </c>
      <c r="V43" s="513" cm="1">
        <f t="array" ref="V43">IFERROR(INDEX('Offer Statistics'!D$2:D$206,MATCH(1,(CityU!$A43='Offer Statistics'!$B$2:$B$206)*(CityU!$T$2='Offer Statistics'!$C$2:$C$206),0)),"/")</f>
        <v>17</v>
      </c>
      <c r="W43" s="513" cm="1">
        <f t="array" ref="W43">IFERROR(INDEX('Offer Statistics'!E$2:E$206,MATCH(1,(CityU!$A43='Offer Statistics'!$B$2:$B$206)*(CityU!$T$2='Offer Statistics'!$C$2:$C$206),0)),"/")</f>
        <v>2</v>
      </c>
      <c r="X43" s="513" cm="1">
        <f t="array" ref="X43">IFERROR(INDEX('Offer Statistics'!F$2:F$206,MATCH(1,(CityU!$A43='Offer Statistics'!$B$2:$B$206)*(CityU!$T$2='Offer Statistics'!$C$2:$C$206),0)),"/")</f>
        <v>3</v>
      </c>
      <c r="Y43" s="513" cm="1">
        <f t="array" ref="Y43">IFERROR(INDEX('Offer Statistics'!G$2:G$206,MATCH(1,(CityU!$A43='Offer Statistics'!$B$2:$B$206)*(CityU!$T$2='Offer Statistics'!$C$2:$C$206),0)),"/")</f>
        <v>0</v>
      </c>
      <c r="Z43" s="513" cm="1">
        <f t="array" ref="Z43">IFERROR(INDEX('Offer Statistics'!H$2:H$206,MATCH(1,(CityU!$A43='Offer Statistics'!$B$2:$B$206)*(CityU!$T$2='Offer Statistics'!$C$2:$C$206),0)),"/")</f>
        <v>0</v>
      </c>
      <c r="AA43" s="577"/>
      <c r="AB43" s="510" cm="1">
        <f t="array" ref="AB43">IFERROR(INDEX('Offer Statistics'!$Q$2:$Q$206,MATCH(1,(CityU!$A43='Offer Statistics'!$B$2:$B$206)*(CityU!$T$2='Offer Statistics'!$K$2:$K$206),0)),"/")</f>
        <v>1184</v>
      </c>
      <c r="AC43" s="513" cm="1">
        <f t="array" ref="AC43">IFERROR(INDEX('Offer Statistics'!L$2:L$206,MATCH(1,(CityU!$A43='Offer Statistics'!$B$2:$B$206)*(CityU!$T$2='Offer Statistics'!$K$2:$K$206),0)),"/")</f>
        <v>128</v>
      </c>
      <c r="AD43" s="513" cm="1">
        <f t="array" ref="AD43">IFERROR(INDEX('Offer Statistics'!M$2:M$206,MATCH(1,(CityU!$A43='Offer Statistics'!$B$2:$B$206)*(CityU!$T$2='Offer Statistics'!$K$2:$K$206),0)),"/")</f>
        <v>191</v>
      </c>
      <c r="AE43" s="513" cm="1">
        <f t="array" ref="AE43">IFERROR(INDEX('Offer Statistics'!N$2:N$206,MATCH(1,(CityU!$A43='Offer Statistics'!$B$2:$B$206)*(CityU!$T$2='Offer Statistics'!$K$2:$K$206),0)),"/")</f>
        <v>296</v>
      </c>
      <c r="AF43" s="513" cm="1">
        <f t="array" ref="AF43">IFERROR(INDEX('Offer Statistics'!O$2:O$206,MATCH(1,(CityU!$A43='Offer Statistics'!$B$2:$B$206)*(CityU!$T$2='Offer Statistics'!$K$2:$K$206),0)),"/")</f>
        <v>310</v>
      </c>
      <c r="AG43" s="513" cm="1">
        <f t="array" ref="AG43">IFERROR(INDEX('Offer Statistics'!P$2:P$206,MATCH(1,(CityU!$A43='Offer Statistics'!$B$2:$B$206)*(CityU!$T$2='Offer Statistics'!$K$2:$K$206),0)),"/")</f>
        <v>259</v>
      </c>
      <c r="AH43" s="502"/>
      <c r="AI43" s="502" t="str">
        <f t="shared" si="2"/>
        <v>JS1206</v>
      </c>
      <c r="AJ43" s="503"/>
      <c r="AK43" s="503"/>
      <c r="AL43" s="503"/>
      <c r="AM43" s="503"/>
      <c r="AN43" s="503"/>
      <c r="AO43" s="503"/>
      <c r="AP43" s="503"/>
      <c r="AQ43" s="503"/>
      <c r="AR43" s="503"/>
      <c r="AS43" s="503"/>
      <c r="AT43" s="503"/>
      <c r="AU43" s="503"/>
      <c r="AV43" s="503"/>
      <c r="AW43" s="503"/>
      <c r="AX43" s="503"/>
    </row>
    <row r="44" spans="1:50" s="514" customFormat="1" ht="18" customHeight="1" x14ac:dyDescent="0.3">
      <c r="A44" s="502" t="str">
        <f>'Reference Score Calculation'!A55</f>
        <v>JS1207</v>
      </c>
      <c r="B44" s="503" t="str">
        <f>'Reference Score Calculation'!C55</f>
        <v>工學院</v>
      </c>
      <c r="C44" s="504" t="str">
        <f>'Reference Score Calculation'!D55</f>
        <v>機械工程學系 [選項: 工學士(機械工程)、工學士(核子及風險工程)]</v>
      </c>
      <c r="D44" s="503" t="str">
        <f>'Reference Score Calculation'!T55</f>
        <v>MNE</v>
      </c>
      <c r="E44" s="519" t="str">
        <f>'Reference Score Calculation'!E55</f>
        <v>Best 6</v>
      </c>
      <c r="F44" s="506">
        <f>'Reference Score Calculation'!G55</f>
        <v>32.5</v>
      </c>
      <c r="G44" s="506">
        <f>'Reference Score Calculation'!H55</f>
        <v>31</v>
      </c>
      <c r="H44" s="507">
        <f>計分版!H76</f>
        <v>4.7000000000000007E-9</v>
      </c>
      <c r="I44" s="515">
        <f t="shared" si="7"/>
        <v>-32.499999995300001</v>
      </c>
      <c r="J44" s="516">
        <f t="shared" si="8"/>
        <v>-6914893616.0212755</v>
      </c>
      <c r="K44" s="563">
        <f>入學要求!C64</f>
        <v>106</v>
      </c>
      <c r="L44" s="511">
        <f>入學要求!R64</f>
        <v>0</v>
      </c>
      <c r="M44" s="569" t="s">
        <v>3712</v>
      </c>
      <c r="N44" s="517">
        <f>入學要求!D64</f>
        <v>3</v>
      </c>
      <c r="O44" s="517">
        <f>入學要求!E64</f>
        <v>3</v>
      </c>
      <c r="P44" s="517">
        <f>入學要求!F64</f>
        <v>2</v>
      </c>
      <c r="Q44" s="517">
        <f>入學要求!G64</f>
        <v>2</v>
      </c>
      <c r="R44" s="517">
        <f>入學要求!H64</f>
        <v>3</v>
      </c>
      <c r="S44" s="517">
        <f>入學要求!I64</f>
        <v>3</v>
      </c>
      <c r="T44" s="576"/>
      <c r="U44" s="510" cm="1">
        <f t="array" ref="U44">IFERROR(INDEX('Offer Statistics'!$I$2:$I$206,MATCH(1,(CityU!$A44='Offer Statistics'!$B$2:$B$206)*(CityU!$T$2='Offer Statistics'!$C$2:$C$206),0)),"/")</f>
        <v>31</v>
      </c>
      <c r="V44" s="513" cm="1">
        <f t="array" ref="V44">IFERROR(INDEX('Offer Statistics'!D$2:D$206,MATCH(1,(CityU!$A44='Offer Statistics'!$B$2:$B$206)*(CityU!$T$2='Offer Statistics'!$C$2:$C$206),0)),"/")</f>
        <v>29</v>
      </c>
      <c r="W44" s="513" cm="1">
        <f t="array" ref="W44">IFERROR(INDEX('Offer Statistics'!E$2:E$206,MATCH(1,(CityU!$A44='Offer Statistics'!$B$2:$B$206)*(CityU!$T$2='Offer Statistics'!$C$2:$C$206),0)),"/")</f>
        <v>1</v>
      </c>
      <c r="X44" s="513" cm="1">
        <f t="array" ref="X44">IFERROR(INDEX('Offer Statistics'!F$2:F$206,MATCH(1,(CityU!$A44='Offer Statistics'!$B$2:$B$206)*(CityU!$T$2='Offer Statistics'!$C$2:$C$206),0)),"/")</f>
        <v>1</v>
      </c>
      <c r="Y44" s="513" cm="1">
        <f t="array" ref="Y44">IFERROR(INDEX('Offer Statistics'!G$2:G$206,MATCH(1,(CityU!$A44='Offer Statistics'!$B$2:$B$206)*(CityU!$T$2='Offer Statistics'!$C$2:$C$206),0)),"/")</f>
        <v>0</v>
      </c>
      <c r="Z44" s="513" cm="1">
        <f t="array" ref="Z44">IFERROR(INDEX('Offer Statistics'!H$2:H$206,MATCH(1,(CityU!$A44='Offer Statistics'!$B$2:$B$206)*(CityU!$T$2='Offer Statistics'!$C$2:$C$206),0)),"/")</f>
        <v>0</v>
      </c>
      <c r="AA44" s="577"/>
      <c r="AB44" s="510" cm="1">
        <f t="array" ref="AB44">IFERROR(INDEX('Offer Statistics'!$Q$2:$Q$206,MATCH(1,(CityU!$A44='Offer Statistics'!$B$2:$B$206)*(CityU!$T$2='Offer Statistics'!$K$2:$K$206),0)),"/")</f>
        <v>1603</v>
      </c>
      <c r="AC44" s="513" cm="1">
        <f t="array" ref="AC44">IFERROR(INDEX('Offer Statistics'!L$2:L$206,MATCH(1,(CityU!$A44='Offer Statistics'!$B$2:$B$206)*(CityU!$T$2='Offer Statistics'!$K$2:$K$206),0)),"/")</f>
        <v>195</v>
      </c>
      <c r="AD44" s="513" cm="1">
        <f t="array" ref="AD44">IFERROR(INDEX('Offer Statistics'!M$2:M$206,MATCH(1,(CityU!$A44='Offer Statistics'!$B$2:$B$206)*(CityU!$T$2='Offer Statistics'!$K$2:$K$206),0)),"/")</f>
        <v>245</v>
      </c>
      <c r="AE44" s="513" cm="1">
        <f t="array" ref="AE44">IFERROR(INDEX('Offer Statistics'!N$2:N$206,MATCH(1,(CityU!$A44='Offer Statistics'!$B$2:$B$206)*(CityU!$T$2='Offer Statistics'!$K$2:$K$206),0)),"/")</f>
        <v>381</v>
      </c>
      <c r="AF44" s="513" cm="1">
        <f t="array" ref="AF44">IFERROR(INDEX('Offer Statistics'!O$2:O$206,MATCH(1,(CityU!$A44='Offer Statistics'!$B$2:$B$206)*(CityU!$T$2='Offer Statistics'!$K$2:$K$206),0)),"/")</f>
        <v>418</v>
      </c>
      <c r="AG44" s="513" cm="1">
        <f t="array" ref="AG44">IFERROR(INDEX('Offer Statistics'!P$2:P$206,MATCH(1,(CityU!$A44='Offer Statistics'!$B$2:$B$206)*(CityU!$T$2='Offer Statistics'!$K$2:$K$206),0)),"/")</f>
        <v>364</v>
      </c>
      <c r="AH44" s="502"/>
      <c r="AI44" s="502" t="str">
        <f t="shared" si="2"/>
        <v>JS1207</v>
      </c>
      <c r="AJ44" s="503"/>
      <c r="AK44" s="503"/>
      <c r="AL44" s="503"/>
      <c r="AM44" s="503"/>
      <c r="AN44" s="503"/>
      <c r="AO44" s="503"/>
      <c r="AP44" s="503"/>
      <c r="AQ44" s="503"/>
      <c r="AR44" s="503"/>
      <c r="AS44" s="503"/>
      <c r="AT44" s="503"/>
      <c r="AU44" s="503"/>
      <c r="AV44" s="503"/>
      <c r="AW44" s="503"/>
      <c r="AX44" s="503"/>
    </row>
    <row r="45" spans="1:50" s="514" customFormat="1" ht="18" customHeight="1" x14ac:dyDescent="0.3">
      <c r="A45" s="502" t="str">
        <f>'Reference Score Calculation'!A56</f>
        <v>JS1208</v>
      </c>
      <c r="B45" s="503" t="str">
        <f>'Reference Score Calculation'!C56</f>
        <v>理學院</v>
      </c>
      <c r="C45" s="504" t="str">
        <f>'Reference Score Calculation'!D56</f>
        <v>理學士(物理學)</v>
      </c>
      <c r="D45" s="503" t="str">
        <f>'Reference Score Calculation'!T56</f>
        <v>BScPHY</v>
      </c>
      <c r="E45" s="519" t="str">
        <f>'Reference Score Calculation'!E56</f>
        <v>Best 5</v>
      </c>
      <c r="F45" s="506">
        <f>'Reference Score Calculation'!G56</f>
        <v>25</v>
      </c>
      <c r="G45" s="506">
        <f>'Reference Score Calculation'!H56</f>
        <v>25</v>
      </c>
      <c r="H45" s="507">
        <f>計分版!H77</f>
        <v>3.7750000000000007E-9</v>
      </c>
      <c r="I45" s="515">
        <f t="shared" si="7"/>
        <v>-24.999999996225</v>
      </c>
      <c r="J45" s="516">
        <f t="shared" si="8"/>
        <v>-6622516555.2913895</v>
      </c>
      <c r="K45" s="563">
        <f>入學要求!C65</f>
        <v>22</v>
      </c>
      <c r="L45" s="511">
        <f>入學要求!R65</f>
        <v>0</v>
      </c>
      <c r="M45" s="569" t="s">
        <v>3603</v>
      </c>
      <c r="N45" s="517">
        <f>入學要求!D65</f>
        <v>3</v>
      </c>
      <c r="O45" s="517">
        <f>入學要求!E65</f>
        <v>3</v>
      </c>
      <c r="P45" s="517">
        <f>入學要求!F65</f>
        <v>2</v>
      </c>
      <c r="Q45" s="517">
        <f>入學要求!G65</f>
        <v>2</v>
      </c>
      <c r="R45" s="517">
        <f>入學要求!H65</f>
        <v>3</v>
      </c>
      <c r="S45" s="517">
        <f>入學要求!I65</f>
        <v>3</v>
      </c>
      <c r="T45" s="576"/>
      <c r="U45" s="510" cm="1">
        <f t="array" ref="U45">IFERROR(INDEX('Offer Statistics'!$I$2:$I$206,MATCH(1,(CityU!$A45='Offer Statistics'!$B$2:$B$206)*(CityU!$T$2='Offer Statistics'!$C$2:$C$206),0)),"/")</f>
        <v>13</v>
      </c>
      <c r="V45" s="513" cm="1">
        <f t="array" ref="V45">IFERROR(INDEX('Offer Statistics'!D$2:D$206,MATCH(1,(CityU!$A45='Offer Statistics'!$B$2:$B$206)*(CityU!$T$2='Offer Statistics'!$C$2:$C$206),0)),"/")</f>
        <v>10</v>
      </c>
      <c r="W45" s="513" cm="1">
        <f t="array" ref="W45">IFERROR(INDEX('Offer Statistics'!E$2:E$206,MATCH(1,(CityU!$A45='Offer Statistics'!$B$2:$B$206)*(CityU!$T$2='Offer Statistics'!$C$2:$C$206),0)),"/")</f>
        <v>2</v>
      </c>
      <c r="X45" s="513" cm="1">
        <f t="array" ref="X45">IFERROR(INDEX('Offer Statistics'!F$2:F$206,MATCH(1,(CityU!$A45='Offer Statistics'!$B$2:$B$206)*(CityU!$T$2='Offer Statistics'!$C$2:$C$206),0)),"/")</f>
        <v>1</v>
      </c>
      <c r="Y45" s="513" cm="1">
        <f t="array" ref="Y45">IFERROR(INDEX('Offer Statistics'!G$2:G$206,MATCH(1,(CityU!$A45='Offer Statistics'!$B$2:$B$206)*(CityU!$T$2='Offer Statistics'!$C$2:$C$206),0)),"/")</f>
        <v>0</v>
      </c>
      <c r="Z45" s="513" cm="1">
        <f t="array" ref="Z45">IFERROR(INDEX('Offer Statistics'!H$2:H$206,MATCH(1,(CityU!$A45='Offer Statistics'!$B$2:$B$206)*(CityU!$T$2='Offer Statistics'!$C$2:$C$206),0)),"/")</f>
        <v>0</v>
      </c>
      <c r="AA45" s="577"/>
      <c r="AB45" s="510" cm="1">
        <f t="array" ref="AB45">IFERROR(INDEX('Offer Statistics'!$Q$2:$Q$206,MATCH(1,(CityU!$A45='Offer Statistics'!$B$2:$B$206)*(CityU!$T$2='Offer Statistics'!$K$2:$K$206),0)),"/")</f>
        <v>1114</v>
      </c>
      <c r="AC45" s="513" cm="1">
        <f t="array" ref="AC45">IFERROR(INDEX('Offer Statistics'!L$2:L$206,MATCH(1,(CityU!$A45='Offer Statistics'!$B$2:$B$206)*(CityU!$T$2='Offer Statistics'!$K$2:$K$206),0)),"/")</f>
        <v>78</v>
      </c>
      <c r="AD45" s="513" cm="1">
        <f t="array" ref="AD45">IFERROR(INDEX('Offer Statistics'!M$2:M$206,MATCH(1,(CityU!$A45='Offer Statistics'!$B$2:$B$206)*(CityU!$T$2='Offer Statistics'!$K$2:$K$206),0)),"/")</f>
        <v>173</v>
      </c>
      <c r="AE45" s="513" cm="1">
        <f t="array" ref="AE45">IFERROR(INDEX('Offer Statistics'!N$2:N$206,MATCH(1,(CityU!$A45='Offer Statistics'!$B$2:$B$206)*(CityU!$T$2='Offer Statistics'!$K$2:$K$206),0)),"/")</f>
        <v>248</v>
      </c>
      <c r="AF45" s="513" cm="1">
        <f t="array" ref="AF45">IFERROR(INDEX('Offer Statistics'!O$2:O$206,MATCH(1,(CityU!$A45='Offer Statistics'!$B$2:$B$206)*(CityU!$T$2='Offer Statistics'!$K$2:$K$206),0)),"/")</f>
        <v>348</v>
      </c>
      <c r="AG45" s="513" cm="1">
        <f t="array" ref="AG45">IFERROR(INDEX('Offer Statistics'!P$2:P$206,MATCH(1,(CityU!$A45='Offer Statistics'!$B$2:$B$206)*(CityU!$T$2='Offer Statistics'!$K$2:$K$206),0)),"/")</f>
        <v>267</v>
      </c>
      <c r="AH45" s="502"/>
      <c r="AI45" s="502" t="str">
        <f t="shared" si="2"/>
        <v>JS1208</v>
      </c>
      <c r="AJ45" s="503"/>
      <c r="AK45" s="503"/>
      <c r="AL45" s="503"/>
      <c r="AM45" s="503"/>
      <c r="AN45" s="503"/>
      <c r="AO45" s="503"/>
      <c r="AP45" s="503"/>
      <c r="AQ45" s="503"/>
      <c r="AR45" s="503"/>
      <c r="AS45" s="503"/>
      <c r="AT45" s="503"/>
      <c r="AU45" s="503"/>
      <c r="AV45" s="503"/>
      <c r="AW45" s="503"/>
      <c r="AX45" s="503"/>
    </row>
    <row r="46" spans="1:50" s="514" customFormat="1" ht="18" customHeight="1" x14ac:dyDescent="0.3">
      <c r="A46" s="502" t="str">
        <f>'Reference Score Calculation'!A57</f>
        <v>JS1210</v>
      </c>
      <c r="B46" s="503" t="str">
        <f>'Reference Score Calculation'!C57</f>
        <v>工學院</v>
      </c>
      <c r="C46" s="504" t="str">
        <f>'Reference Score Calculation'!D57</f>
        <v>工學士(材料科學及工程)</v>
      </c>
      <c r="D46" s="503" t="str">
        <f>'Reference Score Calculation'!T57</f>
        <v>BEngMASE</v>
      </c>
      <c r="E46" s="520" t="str">
        <f>'Reference Score Calculation'!E57</f>
        <v>Best 6</v>
      </c>
      <c r="F46" s="506">
        <f>'Reference Score Calculation'!G57</f>
        <v>28.5</v>
      </c>
      <c r="G46" s="506">
        <f>'Reference Score Calculation'!H57</f>
        <v>27.5</v>
      </c>
      <c r="H46" s="507">
        <f>計分版!H78</f>
        <v>4.1000000000000003E-9</v>
      </c>
      <c r="I46" s="515">
        <f t="shared" si="7"/>
        <v>-28.499999995900001</v>
      </c>
      <c r="J46" s="516">
        <f t="shared" si="8"/>
        <v>-6951219511.1951218</v>
      </c>
      <c r="K46" s="563">
        <f>入學要求!C66</f>
        <v>29</v>
      </c>
      <c r="L46" s="511">
        <f>入學要求!R66</f>
        <v>0</v>
      </c>
      <c r="M46" s="569" t="s">
        <v>3603</v>
      </c>
      <c r="N46" s="517">
        <f>入學要求!D66</f>
        <v>3</v>
      </c>
      <c r="O46" s="517">
        <f>入學要求!E66</f>
        <v>3</v>
      </c>
      <c r="P46" s="517">
        <f>入學要求!F66</f>
        <v>2</v>
      </c>
      <c r="Q46" s="517">
        <f>入學要求!G66</f>
        <v>2</v>
      </c>
      <c r="R46" s="517">
        <f>入學要求!H66</f>
        <v>3</v>
      </c>
      <c r="S46" s="517">
        <f>入學要求!I66</f>
        <v>3</v>
      </c>
      <c r="T46" s="576"/>
      <c r="U46" s="510" cm="1">
        <f t="array" ref="U46">IFERROR(INDEX('Offer Statistics'!$I$2:$I$206,MATCH(1,(CityU!$A46='Offer Statistics'!$B$2:$B$206)*(CityU!$T$2='Offer Statistics'!$C$2:$C$206),0)),"/")</f>
        <v>6</v>
      </c>
      <c r="V46" s="513" cm="1">
        <f t="array" ref="V46">IFERROR(INDEX('Offer Statistics'!D$2:D$206,MATCH(1,(CityU!$A46='Offer Statistics'!$B$2:$B$206)*(CityU!$T$2='Offer Statistics'!$C$2:$C$206),0)),"/")</f>
        <v>3</v>
      </c>
      <c r="W46" s="513" cm="1">
        <f t="array" ref="W46">IFERROR(INDEX('Offer Statistics'!E$2:E$206,MATCH(1,(CityU!$A46='Offer Statistics'!$B$2:$B$206)*(CityU!$T$2='Offer Statistics'!$C$2:$C$206),0)),"/")</f>
        <v>2</v>
      </c>
      <c r="X46" s="513" cm="1">
        <f t="array" ref="X46">IFERROR(INDEX('Offer Statistics'!F$2:F$206,MATCH(1,(CityU!$A46='Offer Statistics'!$B$2:$B$206)*(CityU!$T$2='Offer Statistics'!$C$2:$C$206),0)),"/")</f>
        <v>1</v>
      </c>
      <c r="Y46" s="513" cm="1">
        <f t="array" ref="Y46">IFERROR(INDEX('Offer Statistics'!G$2:G$206,MATCH(1,(CityU!$A46='Offer Statistics'!$B$2:$B$206)*(CityU!$T$2='Offer Statistics'!$C$2:$C$206),0)),"/")</f>
        <v>0</v>
      </c>
      <c r="Z46" s="513" cm="1">
        <f t="array" ref="Z46">IFERROR(INDEX('Offer Statistics'!H$2:H$206,MATCH(1,(CityU!$A46='Offer Statistics'!$B$2:$B$206)*(CityU!$T$2='Offer Statistics'!$C$2:$C$206),0)),"/")</f>
        <v>0</v>
      </c>
      <c r="AA46" s="577"/>
      <c r="AB46" s="510" cm="1">
        <f t="array" ref="AB46">IFERROR(INDEX('Offer Statistics'!$Q$2:$Q$206,MATCH(1,(CityU!$A46='Offer Statistics'!$B$2:$B$206)*(CityU!$T$2='Offer Statistics'!$K$2:$K$206),0)),"/")</f>
        <v>894</v>
      </c>
      <c r="AC46" s="513" cm="1">
        <f t="array" ref="AC46">IFERROR(INDEX('Offer Statistics'!L$2:L$206,MATCH(1,(CityU!$A46='Offer Statistics'!$B$2:$B$206)*(CityU!$T$2='Offer Statistics'!$K$2:$K$206),0)),"/")</f>
        <v>51</v>
      </c>
      <c r="AD46" s="513" cm="1">
        <f t="array" ref="AD46">IFERROR(INDEX('Offer Statistics'!M$2:M$206,MATCH(1,(CityU!$A46='Offer Statistics'!$B$2:$B$206)*(CityU!$T$2='Offer Statistics'!$K$2:$K$206),0)),"/")</f>
        <v>118</v>
      </c>
      <c r="AE46" s="513" cm="1">
        <f t="array" ref="AE46">IFERROR(INDEX('Offer Statistics'!N$2:N$206,MATCH(1,(CityU!$A46='Offer Statistics'!$B$2:$B$206)*(CityU!$T$2='Offer Statistics'!$K$2:$K$206),0)),"/")</f>
        <v>166</v>
      </c>
      <c r="AF46" s="513" cm="1">
        <f t="array" ref="AF46">IFERROR(INDEX('Offer Statistics'!O$2:O$206,MATCH(1,(CityU!$A46='Offer Statistics'!$B$2:$B$206)*(CityU!$T$2='Offer Statistics'!$K$2:$K$206),0)),"/")</f>
        <v>305</v>
      </c>
      <c r="AG46" s="513" cm="1">
        <f t="array" ref="AG46">IFERROR(INDEX('Offer Statistics'!P$2:P$206,MATCH(1,(CityU!$A46='Offer Statistics'!$B$2:$B$206)*(CityU!$T$2='Offer Statistics'!$K$2:$K$206),0)),"/")</f>
        <v>254</v>
      </c>
      <c r="AH46" s="502"/>
      <c r="AI46" s="502" t="str">
        <f t="shared" si="2"/>
        <v>JS1210</v>
      </c>
      <c r="AJ46" s="503"/>
      <c r="AK46" s="503"/>
      <c r="AL46" s="503"/>
      <c r="AM46" s="503"/>
      <c r="AN46" s="503"/>
      <c r="AO46" s="503"/>
      <c r="AP46" s="503"/>
      <c r="AQ46" s="503"/>
      <c r="AR46" s="503"/>
      <c r="AS46" s="503"/>
      <c r="AT46" s="503"/>
      <c r="AU46" s="503"/>
      <c r="AV46" s="503"/>
      <c r="AW46" s="503"/>
      <c r="AX46" s="503"/>
    </row>
    <row r="47" spans="1:50" s="514" customFormat="1" ht="18" customHeight="1" x14ac:dyDescent="0.3">
      <c r="A47" s="502" t="str">
        <f>'Reference Score Calculation'!A58</f>
        <v>JS1211</v>
      </c>
      <c r="B47" s="503" t="str">
        <f>'Reference Score Calculation'!C58</f>
        <v>工學院</v>
      </c>
      <c r="C47" s="504" t="str">
        <f>'Reference Score Calculation'!D58</f>
        <v>工學士(生物醫學工程)</v>
      </c>
      <c r="D47" s="503" t="str">
        <f>'Reference Score Calculation'!T58</f>
        <v>BEngBME</v>
      </c>
      <c r="E47" s="505" t="str">
        <f>'Reference Score Calculation'!E58</f>
        <v>Best 5</v>
      </c>
      <c r="F47" s="506">
        <f>'Reference Score Calculation'!G58</f>
        <v>33</v>
      </c>
      <c r="G47" s="506">
        <f>'Reference Score Calculation'!H58</f>
        <v>32</v>
      </c>
      <c r="H47" s="507">
        <f>計分版!H79</f>
        <v>4.3500000000000001E-9</v>
      </c>
      <c r="I47" s="515">
        <f t="shared" si="7"/>
        <v>-32.999999995650001</v>
      </c>
      <c r="J47" s="516">
        <f t="shared" si="8"/>
        <v>-7586206895.5517244</v>
      </c>
      <c r="K47" s="563">
        <f>入學要求!C67</f>
        <v>43</v>
      </c>
      <c r="L47" s="511">
        <f>入學要求!R67</f>
        <v>0</v>
      </c>
      <c r="M47" s="569" t="s">
        <v>3608</v>
      </c>
      <c r="N47" s="517">
        <f>入學要求!D67</f>
        <v>3</v>
      </c>
      <c r="O47" s="517">
        <f>入學要求!E67</f>
        <v>3</v>
      </c>
      <c r="P47" s="517">
        <f>入學要求!F67</f>
        <v>2</v>
      </c>
      <c r="Q47" s="517">
        <f>入學要求!G67</f>
        <v>2</v>
      </c>
      <c r="R47" s="517">
        <f>入學要求!H67</f>
        <v>3</v>
      </c>
      <c r="S47" s="517">
        <f>入學要求!I67</f>
        <v>3</v>
      </c>
      <c r="T47" s="576"/>
      <c r="U47" s="510" cm="1">
        <f t="array" ref="U47">IFERROR(INDEX('Offer Statistics'!$I$2:$I$206,MATCH(1,(CityU!$A47='Offer Statistics'!$B$2:$B$206)*(CityU!$T$2='Offer Statistics'!$C$2:$C$206),0)),"/")</f>
        <v>40</v>
      </c>
      <c r="V47" s="513" cm="1">
        <f t="array" ref="V47">IFERROR(INDEX('Offer Statistics'!D$2:D$206,MATCH(1,(CityU!$A47='Offer Statistics'!$B$2:$B$206)*(CityU!$T$2='Offer Statistics'!$C$2:$C$206),0)),"/")</f>
        <v>24</v>
      </c>
      <c r="W47" s="513" cm="1">
        <f t="array" ref="W47">IFERROR(INDEX('Offer Statistics'!E$2:E$206,MATCH(1,(CityU!$A47='Offer Statistics'!$B$2:$B$206)*(CityU!$T$2='Offer Statistics'!$C$2:$C$206),0)),"/")</f>
        <v>4</v>
      </c>
      <c r="X47" s="513" cm="1">
        <f t="array" ref="X47">IFERROR(INDEX('Offer Statistics'!F$2:F$206,MATCH(1,(CityU!$A47='Offer Statistics'!$B$2:$B$206)*(CityU!$T$2='Offer Statistics'!$C$2:$C$206),0)),"/")</f>
        <v>2</v>
      </c>
      <c r="Y47" s="513" cm="1">
        <f t="array" ref="Y47">IFERROR(INDEX('Offer Statistics'!G$2:G$206,MATCH(1,(CityU!$A47='Offer Statistics'!$B$2:$B$206)*(CityU!$T$2='Offer Statistics'!$C$2:$C$206),0)),"/")</f>
        <v>7</v>
      </c>
      <c r="Z47" s="513" cm="1">
        <f t="array" ref="Z47">IFERROR(INDEX('Offer Statistics'!H$2:H$206,MATCH(1,(CityU!$A47='Offer Statistics'!$B$2:$B$206)*(CityU!$T$2='Offer Statistics'!$C$2:$C$206),0)),"/")</f>
        <v>3</v>
      </c>
      <c r="AA47" s="577"/>
      <c r="AB47" s="510" cm="1">
        <f t="array" ref="AB47">IFERROR(INDEX('Offer Statistics'!$Q$2:$Q$206,MATCH(1,(CityU!$A47='Offer Statistics'!$B$2:$B$206)*(CityU!$T$2='Offer Statistics'!$K$2:$K$206),0)),"/")</f>
        <v>1619</v>
      </c>
      <c r="AC47" s="513" cm="1">
        <f t="array" ref="AC47">IFERROR(INDEX('Offer Statistics'!L$2:L$206,MATCH(1,(CityU!$A47='Offer Statistics'!$B$2:$B$206)*(CityU!$T$2='Offer Statistics'!$K$2:$K$206),0)),"/")</f>
        <v>153</v>
      </c>
      <c r="AD47" s="513" cm="1">
        <f t="array" ref="AD47">IFERROR(INDEX('Offer Statistics'!M$2:M$206,MATCH(1,(CityU!$A47='Offer Statistics'!$B$2:$B$206)*(CityU!$T$2='Offer Statistics'!$K$2:$K$206),0)),"/")</f>
        <v>249</v>
      </c>
      <c r="AE47" s="513" cm="1">
        <f t="array" ref="AE47">IFERROR(INDEX('Offer Statistics'!N$2:N$206,MATCH(1,(CityU!$A47='Offer Statistics'!$B$2:$B$206)*(CityU!$T$2='Offer Statistics'!$K$2:$K$206),0)),"/")</f>
        <v>380</v>
      </c>
      <c r="AF47" s="513" cm="1">
        <f t="array" ref="AF47">IFERROR(INDEX('Offer Statistics'!O$2:O$206,MATCH(1,(CityU!$A47='Offer Statistics'!$B$2:$B$206)*(CityU!$T$2='Offer Statistics'!$K$2:$K$206),0)),"/")</f>
        <v>445</v>
      </c>
      <c r="AG47" s="513" cm="1">
        <f t="array" ref="AG47">IFERROR(INDEX('Offer Statistics'!P$2:P$206,MATCH(1,(CityU!$A47='Offer Statistics'!$B$2:$B$206)*(CityU!$T$2='Offer Statistics'!$K$2:$K$206),0)),"/")</f>
        <v>392</v>
      </c>
      <c r="AH47" s="502"/>
      <c r="AI47" s="502" t="str">
        <f t="shared" si="2"/>
        <v>JS1211</v>
      </c>
      <c r="AJ47" s="503"/>
      <c r="AK47" s="503"/>
      <c r="AL47" s="503"/>
      <c r="AM47" s="503"/>
      <c r="AN47" s="503"/>
      <c r="AO47" s="503"/>
      <c r="AP47" s="503"/>
      <c r="AQ47" s="503"/>
      <c r="AR47" s="503"/>
      <c r="AS47" s="503"/>
      <c r="AT47" s="503"/>
      <c r="AU47" s="503"/>
      <c r="AV47" s="503"/>
      <c r="AW47" s="503"/>
      <c r="AX47" s="503"/>
    </row>
    <row r="48" spans="1:50" s="514" customFormat="1" ht="18" customHeight="1" x14ac:dyDescent="0.3">
      <c r="A48" s="502" t="str">
        <f>'Reference Score Calculation'!A59</f>
        <v>JS1216</v>
      </c>
      <c r="B48" s="503" t="str">
        <f>'Reference Score Calculation'!C59</f>
        <v>工學院</v>
      </c>
      <c r="C48" s="504" t="str">
        <f>'Reference Score Calculation'!D59</f>
        <v>工學士(智能製造工程學)</v>
      </c>
      <c r="D48" s="503" t="str">
        <f>'Reference Score Calculation'!T59</f>
        <v>ITME</v>
      </c>
      <c r="E48" s="505" t="str">
        <f>'Reference Score Calculation'!E59</f>
        <v>Best 5</v>
      </c>
      <c r="F48" s="506">
        <f>'Reference Score Calculation'!G59</f>
        <v>30</v>
      </c>
      <c r="G48" s="506">
        <f>'Reference Score Calculation'!H59</f>
        <v>27</v>
      </c>
      <c r="H48" s="507">
        <f>計分版!H80</f>
        <v>3.3500000000000002E-9</v>
      </c>
      <c r="I48" s="515">
        <f t="shared" ref="I48" si="9">IF(I$1="差距(Median)",H48-F48,IF(I$1="差距(LQ)",H48-G48))</f>
        <v>-29.999999996650001</v>
      </c>
      <c r="J48" s="516">
        <f t="shared" ref="J48" si="10">IF(I$1="差距(Median)",(H48-F48)/H48,IF(I$1="差距(LQ)",(H48-G48)/H48))</f>
        <v>-8955223879.5970154</v>
      </c>
      <c r="K48" s="563">
        <f>入學要求!C68</f>
        <v>24</v>
      </c>
      <c r="L48" s="511">
        <f>入學要求!R68</f>
        <v>0</v>
      </c>
      <c r="M48" s="569" t="s">
        <v>3712</v>
      </c>
      <c r="N48" s="517">
        <f>入學要求!D68</f>
        <v>3</v>
      </c>
      <c r="O48" s="517">
        <f>入學要求!E68</f>
        <v>3</v>
      </c>
      <c r="P48" s="517">
        <f>入學要求!F68</f>
        <v>2</v>
      </c>
      <c r="Q48" s="517">
        <f>入學要求!G68</f>
        <v>2</v>
      </c>
      <c r="R48" s="517">
        <f>入學要求!H68</f>
        <v>3</v>
      </c>
      <c r="S48" s="517">
        <f>入學要求!I68</f>
        <v>3</v>
      </c>
      <c r="T48" s="576"/>
      <c r="U48" s="510" cm="1">
        <f t="array" ref="U48">IFERROR(INDEX('Offer Statistics'!$I$2:$I$206,MATCH(1,(CityU!$A48='Offer Statistics'!$B$2:$B$206)*(CityU!$T$2='Offer Statistics'!$C$2:$C$206),0)),"/")</f>
        <v>7</v>
      </c>
      <c r="V48" s="513" cm="1">
        <f t="array" ref="V48">IFERROR(INDEX('Offer Statistics'!D$2:D$206,MATCH(1,(CityU!$A48='Offer Statistics'!$B$2:$B$206)*(CityU!$T$2='Offer Statistics'!$C$2:$C$206),0)),"/")</f>
        <v>7</v>
      </c>
      <c r="W48" s="513" cm="1">
        <f t="array" ref="W48">IFERROR(INDEX('Offer Statistics'!E$2:E$206,MATCH(1,(CityU!$A48='Offer Statistics'!$B$2:$B$206)*(CityU!$T$2='Offer Statistics'!$C$2:$C$206),0)),"/")</f>
        <v>0</v>
      </c>
      <c r="X48" s="513" cm="1">
        <f t="array" ref="X48">IFERROR(INDEX('Offer Statistics'!F$2:F$206,MATCH(1,(CityU!$A48='Offer Statistics'!$B$2:$B$206)*(CityU!$T$2='Offer Statistics'!$C$2:$C$206),0)),"/")</f>
        <v>0</v>
      </c>
      <c r="Y48" s="513" cm="1">
        <f t="array" ref="Y48">IFERROR(INDEX('Offer Statistics'!G$2:G$206,MATCH(1,(CityU!$A48='Offer Statistics'!$B$2:$B$206)*(CityU!$T$2='Offer Statistics'!$C$2:$C$206),0)),"/")</f>
        <v>0</v>
      </c>
      <c r="Z48" s="513" cm="1">
        <f t="array" ref="Z48">IFERROR(INDEX('Offer Statistics'!H$2:H$206,MATCH(1,(CityU!$A48='Offer Statistics'!$B$2:$B$206)*(CityU!$T$2='Offer Statistics'!$C$2:$C$206),0)),"/")</f>
        <v>0</v>
      </c>
      <c r="AA48" s="577"/>
      <c r="AB48" s="510" cm="1">
        <f t="array" ref="AB48">IFERROR(INDEX('Offer Statistics'!$Q$2:$Q$206,MATCH(1,(CityU!$A48='Offer Statistics'!$B$2:$B$206)*(CityU!$T$2='Offer Statistics'!$K$2:$K$206),0)),"/")</f>
        <v>127</v>
      </c>
      <c r="AC48" s="513" cm="1">
        <f t="array" ref="AC48">IFERROR(INDEX('Offer Statistics'!L$2:L$206,MATCH(1,(CityU!$A48='Offer Statistics'!$B$2:$B$206)*(CityU!$T$2='Offer Statistics'!$K$2:$K$206),0)),"/")</f>
        <v>39</v>
      </c>
      <c r="AD48" s="513" cm="1">
        <f t="array" ref="AD48">IFERROR(INDEX('Offer Statistics'!M$2:M$206,MATCH(1,(CityU!$A48='Offer Statistics'!$B$2:$B$206)*(CityU!$T$2='Offer Statistics'!$K$2:$K$206),0)),"/")</f>
        <v>32</v>
      </c>
      <c r="AE48" s="513" cm="1">
        <f t="array" ref="AE48">IFERROR(INDEX('Offer Statistics'!N$2:N$206,MATCH(1,(CityU!$A48='Offer Statistics'!$B$2:$B$206)*(CityU!$T$2='Offer Statistics'!$K$2:$K$206),0)),"/")</f>
        <v>18</v>
      </c>
      <c r="AF48" s="513" cm="1">
        <f t="array" ref="AF48">IFERROR(INDEX('Offer Statistics'!O$2:O$206,MATCH(1,(CityU!$A48='Offer Statistics'!$B$2:$B$206)*(CityU!$T$2='Offer Statistics'!$K$2:$K$206),0)),"/")</f>
        <v>26</v>
      </c>
      <c r="AG48" s="513" cm="1">
        <f t="array" ref="AG48">IFERROR(INDEX('Offer Statistics'!P$2:P$206,MATCH(1,(CityU!$A48='Offer Statistics'!$B$2:$B$206)*(CityU!$T$2='Offer Statistics'!$K$2:$K$206),0)),"/")</f>
        <v>12</v>
      </c>
      <c r="AH48" s="502"/>
      <c r="AI48" s="502" t="str">
        <f t="shared" si="2"/>
        <v>JS1216</v>
      </c>
      <c r="AJ48" s="503"/>
      <c r="AK48" s="503"/>
      <c r="AL48" s="503"/>
      <c r="AM48" s="503"/>
      <c r="AN48" s="503"/>
      <c r="AO48" s="503"/>
      <c r="AP48" s="503"/>
      <c r="AQ48" s="503"/>
      <c r="AR48" s="503"/>
      <c r="AS48" s="503"/>
      <c r="AT48" s="503"/>
      <c r="AU48" s="503"/>
      <c r="AV48" s="503"/>
      <c r="AW48" s="503"/>
      <c r="AX48" s="503"/>
    </row>
    <row r="49" spans="1:50" s="514" customFormat="1" ht="18" customHeight="1" x14ac:dyDescent="0.3">
      <c r="A49" s="502" t="str">
        <f>'Reference Score Calculation'!A60</f>
        <v>JS1217</v>
      </c>
      <c r="B49" s="503" t="str">
        <f>'Reference Score Calculation'!C60</f>
        <v>工學院</v>
      </c>
      <c r="C49" s="504" t="str">
        <f>'Reference Score Calculation'!D60</f>
        <v>工學院(選項: 工學院任何一個主修及工程創業副修)</v>
      </c>
      <c r="D49" s="503" t="str">
        <f>'Reference Score Calculation'!T60</f>
        <v>CENG</v>
      </c>
      <c r="E49" s="520" t="str">
        <f>'Reference Score Calculation'!AD60</f>
        <v>Best 6</v>
      </c>
      <c r="F49" s="506" t="str">
        <f>'Reference Score Calculation'!G60</f>
        <v>/</v>
      </c>
      <c r="G49" s="506" t="str">
        <f>'Reference Score Calculation'!H60</f>
        <v>/</v>
      </c>
      <c r="H49" s="507">
        <f>計分版!H81</f>
        <v>3.8000000000000001E-9</v>
      </c>
      <c r="I49" s="521" t="s">
        <v>1978</v>
      </c>
      <c r="J49" s="521" t="s">
        <v>1978</v>
      </c>
      <c r="K49" s="563">
        <f>入學要求!C69</f>
        <v>20</v>
      </c>
      <c r="L49" s="511">
        <f>入學要求!R69</f>
        <v>0</v>
      </c>
      <c r="M49" s="569" t="s">
        <v>3608</v>
      </c>
      <c r="N49" s="517">
        <f>入學要求!D69</f>
        <v>3</v>
      </c>
      <c r="O49" s="517">
        <f>入學要求!E69</f>
        <v>3</v>
      </c>
      <c r="P49" s="517">
        <f>入學要求!F69</f>
        <v>3</v>
      </c>
      <c r="Q49" s="517">
        <f>入學要求!G69</f>
        <v>2</v>
      </c>
      <c r="R49" s="517">
        <f>入學要求!H69</f>
        <v>3</v>
      </c>
      <c r="S49" s="517">
        <f>入學要求!I69</f>
        <v>3</v>
      </c>
      <c r="T49" s="576"/>
      <c r="U49" s="510" t="str" cm="1">
        <f t="array" ref="U49">IFERROR(INDEX('Offer Statistics'!$I$2:$I$206,MATCH(1,(CityU!$A49='Offer Statistics'!$B$2:$B$206)*(CityU!$T$2='Offer Statistics'!$C$2:$C$206),0)),"/")</f>
        <v>/</v>
      </c>
      <c r="V49" s="513" t="str" cm="1">
        <f t="array" ref="V49">IFERROR(INDEX('Offer Statistics'!D$2:D$206,MATCH(1,(CityU!$A49='Offer Statistics'!$B$2:$B$206)*(CityU!$T$2='Offer Statistics'!$C$2:$C$206),0)),"/")</f>
        <v>/</v>
      </c>
      <c r="W49" s="513" t="str" cm="1">
        <f t="array" ref="W49">IFERROR(INDEX('Offer Statistics'!E$2:E$206,MATCH(1,(CityU!$A49='Offer Statistics'!$B$2:$B$206)*(CityU!$T$2='Offer Statistics'!$C$2:$C$206),0)),"/")</f>
        <v>/</v>
      </c>
      <c r="X49" s="513" t="str" cm="1">
        <f t="array" ref="X49">IFERROR(INDEX('Offer Statistics'!F$2:F$206,MATCH(1,(CityU!$A49='Offer Statistics'!$B$2:$B$206)*(CityU!$T$2='Offer Statistics'!$C$2:$C$206),0)),"/")</f>
        <v>/</v>
      </c>
      <c r="Y49" s="513" t="str" cm="1">
        <f t="array" ref="Y49">IFERROR(INDEX('Offer Statistics'!G$2:G$206,MATCH(1,(CityU!$A49='Offer Statistics'!$B$2:$B$206)*(CityU!$T$2='Offer Statistics'!$C$2:$C$206),0)),"/")</f>
        <v>/</v>
      </c>
      <c r="Z49" s="513" t="str" cm="1">
        <f t="array" ref="Z49">IFERROR(INDEX('Offer Statistics'!H$2:H$206,MATCH(1,(CityU!$A49='Offer Statistics'!$B$2:$B$206)*(CityU!$T$2='Offer Statistics'!$C$2:$C$206),0)),"/")</f>
        <v>/</v>
      </c>
      <c r="AA49" s="577"/>
      <c r="AB49" s="510" t="str" cm="1">
        <f t="array" ref="AB49">IFERROR(INDEX('Offer Statistics'!$Q$2:$Q$206,MATCH(1,(CityU!$A49='Offer Statistics'!$B$2:$B$206)*(CityU!$T$2='Offer Statistics'!$K$2:$K$206),0)),"/")</f>
        <v>/</v>
      </c>
      <c r="AC49" s="513" t="str" cm="1">
        <f t="array" ref="AC49">IFERROR(INDEX('Offer Statistics'!L$2:L$206,MATCH(1,(CityU!$A49='Offer Statistics'!$B$2:$B$206)*(CityU!$T$2='Offer Statistics'!$K$2:$K$206),0)),"/")</f>
        <v>/</v>
      </c>
      <c r="AD49" s="513" t="str" cm="1">
        <f t="array" ref="AD49">IFERROR(INDEX('Offer Statistics'!M$2:M$206,MATCH(1,(CityU!$A49='Offer Statistics'!$B$2:$B$206)*(CityU!$T$2='Offer Statistics'!$K$2:$K$206),0)),"/")</f>
        <v>/</v>
      </c>
      <c r="AE49" s="513" t="str" cm="1">
        <f t="array" ref="AE49">IFERROR(INDEX('Offer Statistics'!N$2:N$206,MATCH(1,(CityU!$A49='Offer Statistics'!$B$2:$B$206)*(CityU!$T$2='Offer Statistics'!$K$2:$K$206),0)),"/")</f>
        <v>/</v>
      </c>
      <c r="AF49" s="513" t="str" cm="1">
        <f t="array" ref="AF49">IFERROR(INDEX('Offer Statistics'!O$2:O$206,MATCH(1,(CityU!$A49='Offer Statistics'!$B$2:$B$206)*(CityU!$T$2='Offer Statistics'!$K$2:$K$206),0)),"/")</f>
        <v>/</v>
      </c>
      <c r="AG49" s="513" t="str" cm="1">
        <f t="array" ref="AG49">IFERROR(INDEX('Offer Statistics'!P$2:P$206,MATCH(1,(CityU!$A49='Offer Statistics'!$B$2:$B$206)*(CityU!$T$2='Offer Statistics'!$K$2:$K$206),0)),"/")</f>
        <v>/</v>
      </c>
      <c r="AH49" s="502"/>
      <c r="AI49" s="502" t="str">
        <f t="shared" si="2"/>
        <v>JS1217</v>
      </c>
      <c r="AJ49" s="503"/>
      <c r="AK49" s="503"/>
      <c r="AL49" s="503"/>
      <c r="AM49" s="503"/>
      <c r="AN49" s="503"/>
      <c r="AO49" s="503"/>
      <c r="AP49" s="503"/>
      <c r="AQ49" s="503"/>
      <c r="AR49" s="503"/>
      <c r="AS49" s="503"/>
      <c r="AT49" s="503"/>
      <c r="AU49" s="503"/>
      <c r="AV49" s="503"/>
      <c r="AW49" s="503"/>
      <c r="AX49" s="503"/>
    </row>
    <row r="50" spans="1:50" s="514" customFormat="1" ht="18" customHeight="1" x14ac:dyDescent="0.3">
      <c r="A50" s="502" t="str">
        <f>'Reference Score Calculation'!A61</f>
        <v>JS1220</v>
      </c>
      <c r="B50" s="503" t="str">
        <f>'Reference Score Calculation'!C61</f>
        <v>法律學院/理學院</v>
      </c>
      <c r="C50" s="504" t="str">
        <f>'Reference Score Calculation'!D61</f>
        <v>法律學學士與理學士(計算數學)</v>
      </c>
      <c r="D50" s="503" t="str">
        <f>'Reference Score Calculation'!T61</f>
        <v>LLB&amp;BScCM</v>
      </c>
      <c r="E50" s="520" t="str">
        <f>'Reference Score Calculation'!AD61</f>
        <v>Best 5</v>
      </c>
      <c r="F50" s="506" t="str">
        <f>'Reference Score Calculation'!G61</f>
        <v>/</v>
      </c>
      <c r="G50" s="506" t="str">
        <f>'Reference Score Calculation'!H61</f>
        <v>/</v>
      </c>
      <c r="H50" s="507">
        <f>計分版!H82</f>
        <v>3.2500000000000002E-9</v>
      </c>
      <c r="I50" s="521" t="s">
        <v>1978</v>
      </c>
      <c r="J50" s="521" t="s">
        <v>1978</v>
      </c>
      <c r="K50" s="563">
        <f>入學要求!C70</f>
        <v>9</v>
      </c>
      <c r="L50" s="511">
        <f>入學要求!R70</f>
        <v>0</v>
      </c>
      <c r="M50" s="569" t="s">
        <v>3603</v>
      </c>
      <c r="N50" s="517">
        <f>入學要求!D70</f>
        <v>3</v>
      </c>
      <c r="O50" s="517">
        <f>入學要求!E70</f>
        <v>5</v>
      </c>
      <c r="P50" s="517">
        <f>入學要求!F70</f>
        <v>3</v>
      </c>
      <c r="Q50" s="517">
        <f>入學要求!G70</f>
        <v>2</v>
      </c>
      <c r="R50" s="517">
        <f>入學要求!H70</f>
        <v>3</v>
      </c>
      <c r="S50" s="517">
        <f>入學要求!I70</f>
        <v>3</v>
      </c>
      <c r="T50" s="576"/>
      <c r="U50" s="510" t="str" cm="1">
        <f t="array" ref="U50">IFERROR(INDEX('Offer Statistics'!$I$2:$I$206,MATCH(1,(CityU!$A50='Offer Statistics'!$B$2:$B$206)*(CityU!$T$2='Offer Statistics'!$C$2:$C$206),0)),"/")</f>
        <v>/</v>
      </c>
      <c r="V50" s="513" t="str" cm="1">
        <f t="array" ref="V50">IFERROR(INDEX('Offer Statistics'!D$2:D$206,MATCH(1,(CityU!$A50='Offer Statistics'!$B$2:$B$206)*(CityU!$T$2='Offer Statistics'!$C$2:$C$206),0)),"/")</f>
        <v>/</v>
      </c>
      <c r="W50" s="513" t="str" cm="1">
        <f t="array" ref="W50">IFERROR(INDEX('Offer Statistics'!E$2:E$206,MATCH(1,(CityU!$A50='Offer Statistics'!$B$2:$B$206)*(CityU!$T$2='Offer Statistics'!$C$2:$C$206),0)),"/")</f>
        <v>/</v>
      </c>
      <c r="X50" s="513" t="str" cm="1">
        <f t="array" ref="X50">IFERROR(INDEX('Offer Statistics'!F$2:F$206,MATCH(1,(CityU!$A50='Offer Statistics'!$B$2:$B$206)*(CityU!$T$2='Offer Statistics'!$C$2:$C$206),0)),"/")</f>
        <v>/</v>
      </c>
      <c r="Y50" s="513" t="str" cm="1">
        <f t="array" ref="Y50">IFERROR(INDEX('Offer Statistics'!G$2:G$206,MATCH(1,(CityU!$A50='Offer Statistics'!$B$2:$B$206)*(CityU!$T$2='Offer Statistics'!$C$2:$C$206),0)),"/")</f>
        <v>/</v>
      </c>
      <c r="Z50" s="513" t="str" cm="1">
        <f t="array" ref="Z50">IFERROR(INDEX('Offer Statistics'!H$2:H$206,MATCH(1,(CityU!$A50='Offer Statistics'!$B$2:$B$206)*(CityU!$T$2='Offer Statistics'!$C$2:$C$206),0)),"/")</f>
        <v>/</v>
      </c>
      <c r="AA50" s="577"/>
      <c r="AB50" s="510" t="str" cm="1">
        <f t="array" ref="AB50">IFERROR(INDEX('Offer Statistics'!$Q$2:$Q$206,MATCH(1,(CityU!$A50='Offer Statistics'!$B$2:$B$206)*(CityU!$T$2='Offer Statistics'!$K$2:$K$206),0)),"/")</f>
        <v>/</v>
      </c>
      <c r="AC50" s="513" t="str" cm="1">
        <f t="array" ref="AC50">IFERROR(INDEX('Offer Statistics'!L$2:L$206,MATCH(1,(CityU!$A50='Offer Statistics'!$B$2:$B$206)*(CityU!$T$2='Offer Statistics'!$K$2:$K$206),0)),"/")</f>
        <v>/</v>
      </c>
      <c r="AD50" s="513" t="str" cm="1">
        <f t="array" ref="AD50">IFERROR(INDEX('Offer Statistics'!M$2:M$206,MATCH(1,(CityU!$A50='Offer Statistics'!$B$2:$B$206)*(CityU!$T$2='Offer Statistics'!$K$2:$K$206),0)),"/")</f>
        <v>/</v>
      </c>
      <c r="AE50" s="513" t="str" cm="1">
        <f t="array" ref="AE50">IFERROR(INDEX('Offer Statistics'!N$2:N$206,MATCH(1,(CityU!$A50='Offer Statistics'!$B$2:$B$206)*(CityU!$T$2='Offer Statistics'!$K$2:$K$206),0)),"/")</f>
        <v>/</v>
      </c>
      <c r="AF50" s="513" t="str" cm="1">
        <f t="array" ref="AF50">IFERROR(INDEX('Offer Statistics'!O$2:O$206,MATCH(1,(CityU!$A50='Offer Statistics'!$B$2:$B$206)*(CityU!$T$2='Offer Statistics'!$K$2:$K$206),0)),"/")</f>
        <v>/</v>
      </c>
      <c r="AG50" s="513" t="str" cm="1">
        <f t="array" ref="AG50">IFERROR(INDEX('Offer Statistics'!P$2:P$206,MATCH(1,(CityU!$A50='Offer Statistics'!$B$2:$B$206)*(CityU!$T$2='Offer Statistics'!$K$2:$K$206),0)),"/")</f>
        <v>/</v>
      </c>
      <c r="AH50" s="502"/>
      <c r="AI50" s="502" t="str">
        <f t="shared" si="2"/>
        <v>JS1220</v>
      </c>
      <c r="AJ50" s="503"/>
      <c r="AK50" s="503"/>
      <c r="AL50" s="503"/>
      <c r="AM50" s="503"/>
      <c r="AN50" s="503"/>
      <c r="AO50" s="503"/>
      <c r="AP50" s="503"/>
      <c r="AQ50" s="503"/>
      <c r="AR50" s="503"/>
      <c r="AS50" s="503"/>
      <c r="AT50" s="503"/>
      <c r="AU50" s="503"/>
      <c r="AV50" s="503"/>
      <c r="AW50" s="503"/>
      <c r="AX50" s="503"/>
    </row>
    <row r="51" spans="1:50" s="514" customFormat="1" ht="18" customHeight="1" x14ac:dyDescent="0.3">
      <c r="A51" s="502" t="str">
        <f>'Reference Score Calculation'!A62</f>
        <v>JS1221</v>
      </c>
      <c r="B51" s="503" t="str">
        <f>'Reference Score Calculation'!C62</f>
        <v>理學院</v>
      </c>
      <c r="C51" s="504" t="str">
        <f>'Reference Score Calculation'!D62</f>
        <v>理學士(電腦科學)與理學士(計算金融及金融科技)</v>
      </c>
      <c r="D51" s="503" t="str">
        <f>'Reference Score Calculation'!T62</f>
        <v>BScCS&amp;BScCFFT</v>
      </c>
      <c r="E51" s="518" t="str">
        <f>'Reference Score Calculation'!AD62</f>
        <v>4C2X</v>
      </c>
      <c r="F51" s="506" t="str">
        <f>'Reference Score Calculation'!G62</f>
        <v>/</v>
      </c>
      <c r="G51" s="506" t="str">
        <f>'Reference Score Calculation'!H62</f>
        <v>/</v>
      </c>
      <c r="H51" s="507">
        <f>計分版!H83</f>
        <v>2.8499999999999999E-9</v>
      </c>
      <c r="I51" s="521" t="s">
        <v>1978</v>
      </c>
      <c r="J51" s="521" t="s">
        <v>1978</v>
      </c>
      <c r="K51" s="563">
        <f>入學要求!C71</f>
        <v>10</v>
      </c>
      <c r="L51" s="511">
        <f>入學要求!R71</f>
        <v>0</v>
      </c>
      <c r="M51" s="569" t="s">
        <v>3610</v>
      </c>
      <c r="N51" s="517">
        <f>入學要求!D71</f>
        <v>3</v>
      </c>
      <c r="O51" s="517">
        <f>入學要求!E71</f>
        <v>3</v>
      </c>
      <c r="P51" s="517">
        <f>入學要求!F71</f>
        <v>4</v>
      </c>
      <c r="Q51" s="517">
        <f>入學要求!G71</f>
        <v>2</v>
      </c>
      <c r="R51" s="517">
        <f>入學要求!H71</f>
        <v>3</v>
      </c>
      <c r="S51" s="517">
        <f>入學要求!I71</f>
        <v>3</v>
      </c>
      <c r="T51" s="576"/>
      <c r="U51" s="510" t="str" cm="1">
        <f t="array" ref="U51">IFERROR(INDEX('Offer Statistics'!$I$2:$I$206,MATCH(1,(CityU!$A51='Offer Statistics'!$B$2:$B$206)*(CityU!$T$2='Offer Statistics'!$C$2:$C$206),0)),"/")</f>
        <v>/</v>
      </c>
      <c r="V51" s="513" t="str" cm="1">
        <f t="array" ref="V51">IFERROR(INDEX('Offer Statistics'!D$2:D$206,MATCH(1,(CityU!$A51='Offer Statistics'!$B$2:$B$206)*(CityU!$T$2='Offer Statistics'!$C$2:$C$206),0)),"/")</f>
        <v>/</v>
      </c>
      <c r="W51" s="513" t="str" cm="1">
        <f t="array" ref="W51">IFERROR(INDEX('Offer Statistics'!E$2:E$206,MATCH(1,(CityU!$A51='Offer Statistics'!$B$2:$B$206)*(CityU!$T$2='Offer Statistics'!$C$2:$C$206),0)),"/")</f>
        <v>/</v>
      </c>
      <c r="X51" s="513" t="str" cm="1">
        <f t="array" ref="X51">IFERROR(INDEX('Offer Statistics'!F$2:F$206,MATCH(1,(CityU!$A51='Offer Statistics'!$B$2:$B$206)*(CityU!$T$2='Offer Statistics'!$C$2:$C$206),0)),"/")</f>
        <v>/</v>
      </c>
      <c r="Y51" s="513" t="str" cm="1">
        <f t="array" ref="Y51">IFERROR(INDEX('Offer Statistics'!G$2:G$206,MATCH(1,(CityU!$A51='Offer Statistics'!$B$2:$B$206)*(CityU!$T$2='Offer Statistics'!$C$2:$C$206),0)),"/")</f>
        <v>/</v>
      </c>
      <c r="Z51" s="513" t="str" cm="1">
        <f t="array" ref="Z51">IFERROR(INDEX('Offer Statistics'!H$2:H$206,MATCH(1,(CityU!$A51='Offer Statistics'!$B$2:$B$206)*(CityU!$T$2='Offer Statistics'!$C$2:$C$206),0)),"/")</f>
        <v>/</v>
      </c>
      <c r="AA51" s="577"/>
      <c r="AB51" s="510" t="str" cm="1">
        <f t="array" ref="AB51">IFERROR(INDEX('Offer Statistics'!$Q$2:$Q$206,MATCH(1,(CityU!$A51='Offer Statistics'!$B$2:$B$206)*(CityU!$T$2='Offer Statistics'!$K$2:$K$206),0)),"/")</f>
        <v>/</v>
      </c>
      <c r="AC51" s="513" t="str" cm="1">
        <f t="array" ref="AC51">IFERROR(INDEX('Offer Statistics'!L$2:L$206,MATCH(1,(CityU!$A51='Offer Statistics'!$B$2:$B$206)*(CityU!$T$2='Offer Statistics'!$K$2:$K$206),0)),"/")</f>
        <v>/</v>
      </c>
      <c r="AD51" s="513" t="str" cm="1">
        <f t="array" ref="AD51">IFERROR(INDEX('Offer Statistics'!M$2:M$206,MATCH(1,(CityU!$A51='Offer Statistics'!$B$2:$B$206)*(CityU!$T$2='Offer Statistics'!$K$2:$K$206),0)),"/")</f>
        <v>/</v>
      </c>
      <c r="AE51" s="513" t="str" cm="1">
        <f t="array" ref="AE51">IFERROR(INDEX('Offer Statistics'!N$2:N$206,MATCH(1,(CityU!$A51='Offer Statistics'!$B$2:$B$206)*(CityU!$T$2='Offer Statistics'!$K$2:$K$206),0)),"/")</f>
        <v>/</v>
      </c>
      <c r="AF51" s="513" t="str" cm="1">
        <f t="array" ref="AF51">IFERROR(INDEX('Offer Statistics'!O$2:O$206,MATCH(1,(CityU!$A51='Offer Statistics'!$B$2:$B$206)*(CityU!$T$2='Offer Statistics'!$K$2:$K$206),0)),"/")</f>
        <v>/</v>
      </c>
      <c r="AG51" s="513" t="str" cm="1">
        <f t="array" ref="AG51">IFERROR(INDEX('Offer Statistics'!P$2:P$206,MATCH(1,(CityU!$A51='Offer Statistics'!$B$2:$B$206)*(CityU!$T$2='Offer Statistics'!$K$2:$K$206),0)),"/")</f>
        <v>/</v>
      </c>
      <c r="AH51" s="502"/>
      <c r="AI51" s="502" t="str">
        <f t="shared" si="2"/>
        <v>JS1221</v>
      </c>
      <c r="AJ51" s="503"/>
      <c r="AK51" s="503"/>
      <c r="AL51" s="503"/>
      <c r="AM51" s="503"/>
      <c r="AN51" s="503"/>
      <c r="AO51" s="503"/>
      <c r="AP51" s="503"/>
      <c r="AQ51" s="503"/>
      <c r="AR51" s="503"/>
      <c r="AS51" s="503"/>
      <c r="AT51" s="503"/>
      <c r="AU51" s="503"/>
      <c r="AV51" s="503"/>
      <c r="AW51" s="503"/>
      <c r="AX51" s="503"/>
    </row>
    <row r="52" spans="1:50" s="514" customFormat="1" ht="18" customHeight="1" x14ac:dyDescent="0.3">
      <c r="A52" s="502" t="str">
        <f>'Reference Score Calculation'!A63</f>
        <v>JS1801</v>
      </c>
      <c r="B52" s="503" t="str">
        <f>'Reference Score Calculation'!C63</f>
        <v>賽馬會動物醫學及生命科學院</v>
      </c>
      <c r="C52" s="504" t="str">
        <f>'Reference Score Calculation'!D63</f>
        <v>獸醫學學士</v>
      </c>
      <c r="D52" s="503" t="str">
        <f>'Reference Score Calculation'!T63</f>
        <v>BVM</v>
      </c>
      <c r="E52" s="505" t="str">
        <f>'Reference Score Calculation'!E63</f>
        <v>Best 6</v>
      </c>
      <c r="F52" s="506">
        <f>'Reference Score Calculation'!G63</f>
        <v>34</v>
      </c>
      <c r="G52" s="506">
        <f>'Reference Score Calculation'!H63</f>
        <v>33</v>
      </c>
      <c r="H52" s="507">
        <f>計分版!H84</f>
        <v>2.1999999999999998E-9</v>
      </c>
      <c r="I52" s="515">
        <f t="shared" si="7"/>
        <v>-33.999999997800003</v>
      </c>
      <c r="J52" s="516">
        <f t="shared" si="8"/>
        <v>-15454545453.545458</v>
      </c>
      <c r="K52" s="563">
        <f>入學要求!C72</f>
        <v>30</v>
      </c>
      <c r="L52" s="511">
        <f>入學要求!R72</f>
        <v>0</v>
      </c>
      <c r="M52" s="570" t="s">
        <v>3610</v>
      </c>
      <c r="N52" s="517">
        <f>入學要求!D72</f>
        <v>3</v>
      </c>
      <c r="O52" s="517">
        <f>入學要求!E72</f>
        <v>5</v>
      </c>
      <c r="P52" s="517">
        <f>入學要求!F72</f>
        <v>3</v>
      </c>
      <c r="Q52" s="517">
        <f>入學要求!G72</f>
        <v>3</v>
      </c>
      <c r="R52" s="517">
        <f>入學要求!H72</f>
        <v>3</v>
      </c>
      <c r="S52" s="517">
        <f>入學要求!I72</f>
        <v>3</v>
      </c>
      <c r="T52" s="576"/>
      <c r="U52" s="510" cm="1">
        <f t="array" ref="U52">IFERROR(INDEX('Offer Statistics'!$I$2:$I$206,MATCH(1,(CityU!$A52='Offer Statistics'!$B$2:$B$206)*(CityU!$T$2='Offer Statistics'!$C$2:$C$206),0)),"/")</f>
        <v>10</v>
      </c>
      <c r="V52" s="513" cm="1">
        <f t="array" ref="V52">IFERROR(INDEX('Offer Statistics'!D$2:D$206,MATCH(1,(CityU!$A52='Offer Statistics'!$B$2:$B$206)*(CityU!$T$2='Offer Statistics'!$C$2:$C$206),0)),"/")</f>
        <v>10</v>
      </c>
      <c r="W52" s="513" cm="1">
        <f t="array" ref="W52">IFERROR(INDEX('Offer Statistics'!E$2:E$206,MATCH(1,(CityU!$A52='Offer Statistics'!$B$2:$B$206)*(CityU!$T$2='Offer Statistics'!$C$2:$C$206),0)),"/")</f>
        <v>0</v>
      </c>
      <c r="X52" s="513" cm="1">
        <f t="array" ref="X52">IFERROR(INDEX('Offer Statistics'!F$2:F$206,MATCH(1,(CityU!$A52='Offer Statistics'!$B$2:$B$206)*(CityU!$T$2='Offer Statistics'!$C$2:$C$206),0)),"/")</f>
        <v>0</v>
      </c>
      <c r="Y52" s="513" cm="1">
        <f t="array" ref="Y52">IFERROR(INDEX('Offer Statistics'!G$2:G$206,MATCH(1,(CityU!$A52='Offer Statistics'!$B$2:$B$206)*(CityU!$T$2='Offer Statistics'!$C$2:$C$206),0)),"/")</f>
        <v>0</v>
      </c>
      <c r="Z52" s="513" cm="1">
        <f t="array" ref="Z52">IFERROR(INDEX('Offer Statistics'!H$2:H$206,MATCH(1,(CityU!$A52='Offer Statistics'!$B$2:$B$206)*(CityU!$T$2='Offer Statistics'!$C$2:$C$206),0)),"/")</f>
        <v>0</v>
      </c>
      <c r="AA52" s="577"/>
      <c r="AB52" s="510" cm="1">
        <f t="array" ref="AB52">IFERROR(INDEX('Offer Statistics'!$Q$2:$Q$206,MATCH(1,(CityU!$A52='Offer Statistics'!$B$2:$B$206)*(CityU!$T$2='Offer Statistics'!$K$2:$K$206),0)),"/")</f>
        <v>868</v>
      </c>
      <c r="AC52" s="513" cm="1">
        <f t="array" ref="AC52">IFERROR(INDEX('Offer Statistics'!L$2:L$206,MATCH(1,(CityU!$A52='Offer Statistics'!$B$2:$B$206)*(CityU!$T$2='Offer Statistics'!$K$2:$K$206),0)),"/")</f>
        <v>125</v>
      </c>
      <c r="AD52" s="513" cm="1">
        <f t="array" ref="AD52">IFERROR(INDEX('Offer Statistics'!M$2:M$206,MATCH(1,(CityU!$A52='Offer Statistics'!$B$2:$B$206)*(CityU!$T$2='Offer Statistics'!$K$2:$K$206),0)),"/")</f>
        <v>90</v>
      </c>
      <c r="AE52" s="513" cm="1">
        <f t="array" ref="AE52">IFERROR(INDEX('Offer Statistics'!N$2:N$206,MATCH(1,(CityU!$A52='Offer Statistics'!$B$2:$B$206)*(CityU!$T$2='Offer Statistics'!$K$2:$K$206),0)),"/")</f>
        <v>162</v>
      </c>
      <c r="AF52" s="513" cm="1">
        <f t="array" ref="AF52">IFERROR(INDEX('Offer Statistics'!O$2:O$206,MATCH(1,(CityU!$A52='Offer Statistics'!$B$2:$B$206)*(CityU!$T$2='Offer Statistics'!$K$2:$K$206),0)),"/")</f>
        <v>241</v>
      </c>
      <c r="AG52" s="513" cm="1">
        <f t="array" ref="AG52">IFERROR(INDEX('Offer Statistics'!P$2:P$206,MATCH(1,(CityU!$A52='Offer Statistics'!$B$2:$B$206)*(CityU!$T$2='Offer Statistics'!$K$2:$K$206),0)),"/")</f>
        <v>250</v>
      </c>
      <c r="AH52" s="502"/>
      <c r="AI52" s="502" t="str">
        <f t="shared" si="2"/>
        <v>JS1801</v>
      </c>
      <c r="AJ52" s="503"/>
      <c r="AK52" s="503"/>
      <c r="AL52" s="503"/>
      <c r="AM52" s="503"/>
      <c r="AN52" s="503"/>
      <c r="AO52" s="503"/>
      <c r="AP52" s="503"/>
      <c r="AQ52" s="503"/>
      <c r="AR52" s="503"/>
      <c r="AS52" s="503"/>
      <c r="AT52" s="503"/>
      <c r="AU52" s="503"/>
      <c r="AV52" s="503"/>
      <c r="AW52" s="503"/>
      <c r="AX52" s="503"/>
    </row>
    <row r="53" spans="1:50" s="514" customFormat="1" ht="18" customHeight="1" x14ac:dyDescent="0.3">
      <c r="A53" s="502" t="str">
        <f>'Reference Score Calculation'!A64</f>
        <v>JS1805</v>
      </c>
      <c r="B53" s="503" t="str">
        <f>'Reference Score Calculation'!C64</f>
        <v>賽馬會動物醫學及生命科學院</v>
      </c>
      <c r="C53" s="504" t="str">
        <f>'Reference Score Calculation'!D64</f>
        <v>生物醫學系 [選項: 理學士(生物科學)、理學士(生物醫學)]</v>
      </c>
      <c r="D53" s="503" t="str">
        <f>'Reference Score Calculation'!T64</f>
        <v>BMS</v>
      </c>
      <c r="E53" s="505" t="str">
        <f>'Reference Score Calculation'!E64</f>
        <v>4C2X</v>
      </c>
      <c r="F53" s="506">
        <f>'Reference Score Calculation'!G64</f>
        <v>38</v>
      </c>
      <c r="G53" s="506">
        <f>'Reference Score Calculation'!H64</f>
        <v>37</v>
      </c>
      <c r="H53" s="507">
        <f>計分版!H85</f>
        <v>3.05E-9</v>
      </c>
      <c r="I53" s="515">
        <f t="shared" si="7"/>
        <v>-37.999999996950002</v>
      </c>
      <c r="J53" s="516">
        <f t="shared" si="8"/>
        <v>-12459016392.442623</v>
      </c>
      <c r="K53" s="563">
        <f>入學要求!C73</f>
        <v>24</v>
      </c>
      <c r="L53" s="511">
        <f>入學要求!R73</f>
        <v>0</v>
      </c>
      <c r="M53" s="578" t="s">
        <v>2150</v>
      </c>
      <c r="N53" s="517">
        <f>入學要求!D73</f>
        <v>3</v>
      </c>
      <c r="O53" s="517">
        <f>入學要求!E73</f>
        <v>3</v>
      </c>
      <c r="P53" s="517">
        <f>入學要求!F73</f>
        <v>3</v>
      </c>
      <c r="Q53" s="517">
        <f>入學要求!G73</f>
        <v>2</v>
      </c>
      <c r="R53" s="517">
        <f>入學要求!H73</f>
        <v>3</v>
      </c>
      <c r="S53" s="517">
        <f>入學要求!I73</f>
        <v>3</v>
      </c>
      <c r="T53" s="576"/>
      <c r="U53" s="510" cm="1">
        <f t="array" ref="U53">IFERROR(INDEX('Offer Statistics'!$I$2:$I$206,MATCH(1,(CityU!$A53='Offer Statistics'!$B$2:$B$206)*(CityU!$T$2='Offer Statistics'!$C$2:$C$206),0)),"/")</f>
        <v>27</v>
      </c>
      <c r="V53" s="513" cm="1">
        <f t="array" ref="V53">IFERROR(INDEX('Offer Statistics'!D$2:D$206,MATCH(1,(CityU!$A53='Offer Statistics'!$B$2:$B$206)*(CityU!$T$2='Offer Statistics'!$C$2:$C$206),0)),"/")</f>
        <v>25</v>
      </c>
      <c r="W53" s="513" cm="1">
        <f t="array" ref="W53">IFERROR(INDEX('Offer Statistics'!E$2:E$206,MATCH(1,(CityU!$A53='Offer Statistics'!$B$2:$B$206)*(CityU!$T$2='Offer Statistics'!$C$2:$C$206),0)),"/")</f>
        <v>0</v>
      </c>
      <c r="X53" s="513" cm="1">
        <f t="array" ref="X53">IFERROR(INDEX('Offer Statistics'!F$2:F$206,MATCH(1,(CityU!$A53='Offer Statistics'!$B$2:$B$206)*(CityU!$T$2='Offer Statistics'!$C$2:$C$206),0)),"/")</f>
        <v>1</v>
      </c>
      <c r="Y53" s="513" cm="1">
        <f t="array" ref="Y53">IFERROR(INDEX('Offer Statistics'!G$2:G$206,MATCH(1,(CityU!$A53='Offer Statistics'!$B$2:$B$206)*(CityU!$T$2='Offer Statistics'!$C$2:$C$206),0)),"/")</f>
        <v>1</v>
      </c>
      <c r="Z53" s="513" cm="1">
        <f t="array" ref="Z53">IFERROR(INDEX('Offer Statistics'!H$2:H$206,MATCH(1,(CityU!$A53='Offer Statistics'!$B$2:$B$206)*(CityU!$T$2='Offer Statistics'!$C$2:$C$206),0)),"/")</f>
        <v>0</v>
      </c>
      <c r="AA53" s="577"/>
      <c r="AB53" s="510" cm="1">
        <f t="array" ref="AB53">IFERROR(INDEX('Offer Statistics'!$Q$2:$Q$206,MATCH(1,(CityU!$A53='Offer Statistics'!$B$2:$B$206)*(CityU!$T$2='Offer Statistics'!$K$2:$K$206),0)),"/")</f>
        <v>1459</v>
      </c>
      <c r="AC53" s="513" cm="1">
        <f t="array" ref="AC53">IFERROR(INDEX('Offer Statistics'!L$2:L$206,MATCH(1,(CityU!$A53='Offer Statistics'!$B$2:$B$206)*(CityU!$T$2='Offer Statistics'!$K$2:$K$206),0)),"/")</f>
        <v>144</v>
      </c>
      <c r="AD53" s="513" cm="1">
        <f t="array" ref="AD53">IFERROR(INDEX('Offer Statistics'!M$2:M$206,MATCH(1,(CityU!$A53='Offer Statistics'!$B$2:$B$206)*(CityU!$T$2='Offer Statistics'!$K$2:$K$206),0)),"/")</f>
        <v>216</v>
      </c>
      <c r="AE53" s="513" cm="1">
        <f t="array" ref="AE53">IFERROR(INDEX('Offer Statistics'!N$2:N$206,MATCH(1,(CityU!$A53='Offer Statistics'!$B$2:$B$206)*(CityU!$T$2='Offer Statistics'!$K$2:$K$206),0)),"/")</f>
        <v>378</v>
      </c>
      <c r="AF53" s="513" cm="1">
        <f t="array" ref="AF53">IFERROR(INDEX('Offer Statistics'!O$2:O$206,MATCH(1,(CityU!$A53='Offer Statistics'!$B$2:$B$206)*(CityU!$T$2='Offer Statistics'!$K$2:$K$206),0)),"/")</f>
        <v>418</v>
      </c>
      <c r="AG53" s="513" cm="1">
        <f t="array" ref="AG53">IFERROR(INDEX('Offer Statistics'!P$2:P$206,MATCH(1,(CityU!$A53='Offer Statistics'!$B$2:$B$206)*(CityU!$T$2='Offer Statistics'!$K$2:$K$206),0)),"/")</f>
        <v>303</v>
      </c>
      <c r="AH53" s="502"/>
      <c r="AI53" s="502" t="str">
        <f t="shared" si="2"/>
        <v>JS1805</v>
      </c>
      <c r="AJ53" s="503"/>
      <c r="AK53" s="503"/>
      <c r="AL53" s="503"/>
      <c r="AM53" s="503"/>
      <c r="AN53" s="503"/>
      <c r="AO53" s="503"/>
      <c r="AP53" s="503"/>
      <c r="AQ53" s="503"/>
      <c r="AR53" s="503"/>
      <c r="AS53" s="503"/>
      <c r="AT53" s="503"/>
      <c r="AU53" s="503"/>
      <c r="AV53" s="503"/>
      <c r="AW53" s="503"/>
      <c r="AX53" s="503"/>
    </row>
    <row r="54" spans="1:50" s="514" customFormat="1" ht="18" customHeight="1" x14ac:dyDescent="0.3">
      <c r="A54" s="502" t="str">
        <f>'Reference Score Calculation'!A65</f>
        <v>JS1806</v>
      </c>
      <c r="B54" s="503" t="str">
        <f>'Reference Score Calculation'!C65</f>
        <v>賽馬會動物醫學及生命科學院</v>
      </c>
      <c r="C54" s="504" t="str">
        <f>'Reference Score Calculation'!D65</f>
        <v>理學士(生物科學)</v>
      </c>
      <c r="D54" s="503" t="str">
        <f>'Reference Score Calculation'!T65</f>
        <v>BScBISI</v>
      </c>
      <c r="E54" s="505" t="str">
        <f>'Reference Score Calculation'!E65</f>
        <v>4C2X</v>
      </c>
      <c r="F54" s="506">
        <f>'Reference Score Calculation'!G65</f>
        <v>35</v>
      </c>
      <c r="G54" s="506">
        <f>'Reference Score Calculation'!H65</f>
        <v>34.5</v>
      </c>
      <c r="H54" s="507">
        <f>計分版!H86</f>
        <v>3.05E-9</v>
      </c>
      <c r="I54" s="515">
        <f t="shared" ref="I54:I55" si="11">IF(I$1="差距(Median)",H54-F54,IF(I$1="差距(LQ)",H54-G54))</f>
        <v>-34.999999996950002</v>
      </c>
      <c r="J54" s="516">
        <f t="shared" ref="J54:J55" si="12">IF(I$1="差距(Median)",(H54-F54)/H54,IF(I$1="差距(LQ)",(H54-G54)/H54))</f>
        <v>-11475409835.065575</v>
      </c>
      <c r="K54" s="563">
        <f>入學要求!C74</f>
        <v>28</v>
      </c>
      <c r="L54" s="511">
        <f>入學要求!R74</f>
        <v>0</v>
      </c>
      <c r="M54" s="578"/>
      <c r="N54" s="517">
        <f>入學要求!D74</f>
        <v>3</v>
      </c>
      <c r="O54" s="517">
        <f>入學要求!E74</f>
        <v>3</v>
      </c>
      <c r="P54" s="517">
        <f>入學要求!F74</f>
        <v>3</v>
      </c>
      <c r="Q54" s="517">
        <f>入學要求!G74</f>
        <v>2</v>
      </c>
      <c r="R54" s="517">
        <f>入學要求!H74</f>
        <v>3</v>
      </c>
      <c r="S54" s="517">
        <f>入學要求!I74</f>
        <v>3</v>
      </c>
      <c r="T54" s="576"/>
      <c r="U54" s="510" cm="1">
        <f t="array" ref="U54">IFERROR(INDEX('Offer Statistics'!$I$2:$I$206,MATCH(1,(CityU!$A54='Offer Statistics'!$B$2:$B$206)*(CityU!$T$2='Offer Statistics'!$C$2:$C$206),0)),"/")</f>
        <v>33</v>
      </c>
      <c r="V54" s="513" cm="1">
        <f t="array" ref="V54">IFERROR(INDEX('Offer Statistics'!D$2:D$206,MATCH(1,(CityU!$A54='Offer Statistics'!$B$2:$B$206)*(CityU!$T$2='Offer Statistics'!$C$2:$C$206),0)),"/")</f>
        <v>29</v>
      </c>
      <c r="W54" s="513" cm="1">
        <f t="array" ref="W54">IFERROR(INDEX('Offer Statistics'!E$2:E$206,MATCH(1,(CityU!$A54='Offer Statistics'!$B$2:$B$206)*(CityU!$T$2='Offer Statistics'!$C$2:$C$206),0)),"/")</f>
        <v>3</v>
      </c>
      <c r="X54" s="513" cm="1">
        <f t="array" ref="X54">IFERROR(INDEX('Offer Statistics'!F$2:F$206,MATCH(1,(CityU!$A54='Offer Statistics'!$B$2:$B$206)*(CityU!$T$2='Offer Statistics'!$C$2:$C$206),0)),"/")</f>
        <v>1</v>
      </c>
      <c r="Y54" s="513" cm="1">
        <f t="array" ref="Y54">IFERROR(INDEX('Offer Statistics'!G$2:G$206,MATCH(1,(CityU!$A54='Offer Statistics'!$B$2:$B$206)*(CityU!$T$2='Offer Statistics'!$C$2:$C$206),0)),"/")</f>
        <v>0</v>
      </c>
      <c r="Z54" s="513" cm="1">
        <f t="array" ref="Z54">IFERROR(INDEX('Offer Statistics'!H$2:H$206,MATCH(1,(CityU!$A54='Offer Statistics'!$B$2:$B$206)*(CityU!$T$2='Offer Statistics'!$C$2:$C$206),0)),"/")</f>
        <v>0</v>
      </c>
      <c r="AA54" s="577"/>
      <c r="AB54" s="510" cm="1">
        <f t="array" ref="AB54">IFERROR(INDEX('Offer Statistics'!$Q$2:$Q$206,MATCH(1,(CityU!$A54='Offer Statistics'!$B$2:$B$206)*(CityU!$T$2='Offer Statistics'!$K$2:$K$206),0)),"/")</f>
        <v>2046</v>
      </c>
      <c r="AC54" s="513" cm="1">
        <f t="array" ref="AC54">IFERROR(INDEX('Offer Statistics'!L$2:L$206,MATCH(1,(CityU!$A54='Offer Statistics'!$B$2:$B$206)*(CityU!$T$2='Offer Statistics'!$K$2:$K$206),0)),"/")</f>
        <v>340</v>
      </c>
      <c r="AD54" s="513" cm="1">
        <f t="array" ref="AD54">IFERROR(INDEX('Offer Statistics'!M$2:M$206,MATCH(1,(CityU!$A54='Offer Statistics'!$B$2:$B$206)*(CityU!$T$2='Offer Statistics'!$K$2:$K$206),0)),"/")</f>
        <v>405</v>
      </c>
      <c r="AE54" s="513" cm="1">
        <f t="array" ref="AE54">IFERROR(INDEX('Offer Statistics'!N$2:N$206,MATCH(1,(CityU!$A54='Offer Statistics'!$B$2:$B$206)*(CityU!$T$2='Offer Statistics'!$K$2:$K$206),0)),"/")</f>
        <v>459</v>
      </c>
      <c r="AF54" s="513" cm="1">
        <f t="array" ref="AF54">IFERROR(INDEX('Offer Statistics'!O$2:O$206,MATCH(1,(CityU!$A54='Offer Statistics'!$B$2:$B$206)*(CityU!$T$2='Offer Statistics'!$K$2:$K$206),0)),"/")</f>
        <v>503</v>
      </c>
      <c r="AG54" s="513" cm="1">
        <f t="array" ref="AG54">IFERROR(INDEX('Offer Statistics'!P$2:P$206,MATCH(1,(CityU!$A54='Offer Statistics'!$B$2:$B$206)*(CityU!$T$2='Offer Statistics'!$K$2:$K$206),0)),"/")</f>
        <v>339</v>
      </c>
      <c r="AH54" s="502"/>
      <c r="AI54" s="502" t="str">
        <f t="shared" si="2"/>
        <v>JS1806</v>
      </c>
      <c r="AJ54" s="503"/>
      <c r="AK54" s="503"/>
      <c r="AL54" s="503"/>
      <c r="AM54" s="503"/>
      <c r="AN54" s="503"/>
      <c r="AO54" s="503"/>
      <c r="AP54" s="503"/>
      <c r="AQ54" s="503"/>
      <c r="AR54" s="503"/>
      <c r="AS54" s="503"/>
      <c r="AT54" s="503"/>
      <c r="AU54" s="503"/>
      <c r="AV54" s="503"/>
      <c r="AW54" s="503"/>
      <c r="AX54" s="503"/>
    </row>
    <row r="55" spans="1:50" s="514" customFormat="1" ht="18" customHeight="1" x14ac:dyDescent="0.3">
      <c r="A55" s="502" t="str">
        <f>'Reference Score Calculation'!A66</f>
        <v>JS1807</v>
      </c>
      <c r="B55" s="503" t="str">
        <f>'Reference Score Calculation'!C66</f>
        <v>賽馬會動物醫學及生命科學院</v>
      </c>
      <c r="C55" s="504" t="str">
        <f>'Reference Score Calculation'!D66</f>
        <v>理學士(生物醫學)</v>
      </c>
      <c r="D55" s="503" t="str">
        <f>'Reference Score Calculation'!T66</f>
        <v>BScBMS</v>
      </c>
      <c r="E55" s="505" t="str">
        <f>'Reference Score Calculation'!E66</f>
        <v>4C2X</v>
      </c>
      <c r="F55" s="506">
        <f>'Reference Score Calculation'!G66</f>
        <v>41.5</v>
      </c>
      <c r="G55" s="506">
        <f>'Reference Score Calculation'!H66</f>
        <v>39.5</v>
      </c>
      <c r="H55" s="507">
        <f>計分版!H87</f>
        <v>3.05E-9</v>
      </c>
      <c r="I55" s="522">
        <f t="shared" si="11"/>
        <v>-41.499999996950002</v>
      </c>
      <c r="J55" s="523">
        <f t="shared" si="12"/>
        <v>-13606557376.049181</v>
      </c>
      <c r="K55" s="563">
        <f>入學要求!C75</f>
        <v>28</v>
      </c>
      <c r="L55" s="511">
        <f>入學要求!R75</f>
        <v>0</v>
      </c>
      <c r="M55" s="578"/>
      <c r="N55" s="524">
        <f>入學要求!D75</f>
        <v>3</v>
      </c>
      <c r="O55" s="524">
        <f>入學要求!E75</f>
        <v>3</v>
      </c>
      <c r="P55" s="524">
        <f>入學要求!F75</f>
        <v>3</v>
      </c>
      <c r="Q55" s="524">
        <f>入學要求!G75</f>
        <v>2</v>
      </c>
      <c r="R55" s="524">
        <f>入學要求!H75</f>
        <v>3</v>
      </c>
      <c r="S55" s="524">
        <f>入學要求!I75</f>
        <v>3</v>
      </c>
      <c r="T55" s="576"/>
      <c r="U55" s="510" cm="1">
        <f t="array" ref="U55">IFERROR(INDEX('Offer Statistics'!$I$2:$I$206,MATCH(1,(CityU!$A55='Offer Statistics'!$B$2:$B$206)*(CityU!$T$2='Offer Statistics'!$C$2:$C$206),0)),"/")</f>
        <v>29</v>
      </c>
      <c r="V55" s="513" cm="1">
        <f t="array" ref="V55">IFERROR(INDEX('Offer Statistics'!D$2:D$206,MATCH(1,(CityU!$A55='Offer Statistics'!$B$2:$B$206)*(CityU!$T$2='Offer Statistics'!$C$2:$C$206),0)),"/")</f>
        <v>28</v>
      </c>
      <c r="W55" s="513" cm="1">
        <f t="array" ref="W55">IFERROR(INDEX('Offer Statistics'!E$2:E$206,MATCH(1,(CityU!$A55='Offer Statistics'!$B$2:$B$206)*(CityU!$T$2='Offer Statistics'!$C$2:$C$206),0)),"/")</f>
        <v>0</v>
      </c>
      <c r="X55" s="513" cm="1">
        <f t="array" ref="X55">IFERROR(INDEX('Offer Statistics'!F$2:F$206,MATCH(1,(CityU!$A55='Offer Statistics'!$B$2:$B$206)*(CityU!$T$2='Offer Statistics'!$C$2:$C$206),0)),"/")</f>
        <v>0</v>
      </c>
      <c r="Y55" s="513" cm="1">
        <f t="array" ref="Y55">IFERROR(INDEX('Offer Statistics'!G$2:G$206,MATCH(1,(CityU!$A55='Offer Statistics'!$B$2:$B$206)*(CityU!$T$2='Offer Statistics'!$C$2:$C$206),0)),"/")</f>
        <v>1</v>
      </c>
      <c r="Z55" s="513" cm="1">
        <f t="array" ref="Z55">IFERROR(INDEX('Offer Statistics'!H$2:H$206,MATCH(1,(CityU!$A55='Offer Statistics'!$B$2:$B$206)*(CityU!$T$2='Offer Statistics'!$C$2:$C$206),0)),"/")</f>
        <v>0</v>
      </c>
      <c r="AA55" s="577"/>
      <c r="AB55" s="510" cm="1">
        <f t="array" ref="AB55">IFERROR(INDEX('Offer Statistics'!$Q$2:$Q$206,MATCH(1,(CityU!$A55='Offer Statistics'!$B$2:$B$206)*(CityU!$T$2='Offer Statistics'!$K$2:$K$206),0)),"/")</f>
        <v>1703</v>
      </c>
      <c r="AC55" s="513" cm="1">
        <f t="array" ref="AC55">IFERROR(INDEX('Offer Statistics'!L$2:L$206,MATCH(1,(CityU!$A55='Offer Statistics'!$B$2:$B$206)*(CityU!$T$2='Offer Statistics'!$K$2:$K$206),0)),"/")</f>
        <v>143</v>
      </c>
      <c r="AD55" s="513" cm="1">
        <f t="array" ref="AD55">IFERROR(INDEX('Offer Statistics'!M$2:M$206,MATCH(1,(CityU!$A55='Offer Statistics'!$B$2:$B$206)*(CityU!$T$2='Offer Statistics'!$K$2:$K$206),0)),"/")</f>
        <v>265</v>
      </c>
      <c r="AE55" s="513" cm="1">
        <f t="array" ref="AE55">IFERROR(INDEX('Offer Statistics'!N$2:N$206,MATCH(1,(CityU!$A55='Offer Statistics'!$B$2:$B$206)*(CityU!$T$2='Offer Statistics'!$K$2:$K$206),0)),"/")</f>
        <v>406</v>
      </c>
      <c r="AF55" s="513" cm="1">
        <f t="array" ref="AF55">IFERROR(INDEX('Offer Statistics'!O$2:O$206,MATCH(1,(CityU!$A55='Offer Statistics'!$B$2:$B$206)*(CityU!$T$2='Offer Statistics'!$K$2:$K$206),0)),"/")</f>
        <v>511</v>
      </c>
      <c r="AG55" s="513" cm="1">
        <f t="array" ref="AG55">IFERROR(INDEX('Offer Statistics'!P$2:P$206,MATCH(1,(CityU!$A55='Offer Statistics'!$B$2:$B$206)*(CityU!$T$2='Offer Statistics'!$K$2:$K$206),0)),"/")</f>
        <v>378</v>
      </c>
      <c r="AH55" s="502"/>
      <c r="AI55" s="502" t="str">
        <f t="shared" si="2"/>
        <v>JS1807</v>
      </c>
      <c r="AJ55" s="503"/>
      <c r="AK55" s="503"/>
      <c r="AL55" s="503"/>
      <c r="AM55" s="503"/>
      <c r="AN55" s="503"/>
      <c r="AO55" s="503"/>
      <c r="AP55" s="503"/>
      <c r="AQ55" s="503"/>
      <c r="AR55" s="503"/>
      <c r="AS55" s="503"/>
      <c r="AT55" s="503"/>
      <c r="AU55" s="503"/>
      <c r="AV55" s="503"/>
      <c r="AW55" s="503"/>
      <c r="AX55" s="503"/>
    </row>
    <row r="56" spans="1:50" s="514" customFormat="1" ht="18" customHeight="1" x14ac:dyDescent="0.3">
      <c r="A56" s="502"/>
      <c r="B56" s="503"/>
      <c r="C56" s="504"/>
      <c r="D56" s="503"/>
      <c r="E56" s="502"/>
      <c r="F56" s="503"/>
      <c r="G56" s="503"/>
      <c r="H56" s="502"/>
      <c r="I56" s="503"/>
      <c r="J56" s="503"/>
      <c r="K56" s="510"/>
      <c r="L56" s="502"/>
      <c r="M56" s="503"/>
      <c r="N56" s="503"/>
      <c r="O56" s="503"/>
      <c r="P56" s="503"/>
      <c r="Q56" s="503"/>
      <c r="R56" s="503"/>
      <c r="S56" s="503"/>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row>
    <row r="57" spans="1:50" ht="18" customHeight="1" x14ac:dyDescent="0.3">
      <c r="A57" s="504" t="s">
        <v>1984</v>
      </c>
    </row>
    <row r="58" spans="1:50" ht="18" customHeight="1" x14ac:dyDescent="0.3">
      <c r="A58" s="504" t="s">
        <v>2589</v>
      </c>
    </row>
    <row r="59" spans="1:50" ht="18" customHeight="1" x14ac:dyDescent="0.3">
      <c r="A59" s="504"/>
    </row>
    <row r="60" spans="1:50" ht="18" customHeight="1" x14ac:dyDescent="0.3">
      <c r="A60" s="504" t="s">
        <v>2870</v>
      </c>
      <c r="C60" s="503"/>
      <c r="E60" s="510"/>
      <c r="F60" s="502"/>
      <c r="G60" s="502"/>
      <c r="I60" s="502"/>
      <c r="J60" s="525"/>
      <c r="K60" s="504"/>
      <c r="O60" s="502"/>
      <c r="P60" s="502"/>
      <c r="Q60" s="502"/>
      <c r="R60" s="502"/>
      <c r="S60" s="502"/>
      <c r="T60" s="502"/>
      <c r="U60" s="502"/>
      <c r="V60" s="502" t="s">
        <v>3531</v>
      </c>
      <c r="W60" s="502"/>
      <c r="X60" s="502"/>
      <c r="Y60" s="502"/>
      <c r="Z60" s="502"/>
      <c r="AA60" s="502"/>
      <c r="AB60" s="502"/>
      <c r="AC60" s="502"/>
      <c r="AD60" s="502"/>
      <c r="AE60" s="502"/>
      <c r="AF60" s="502"/>
      <c r="AG60" s="502"/>
      <c r="AH60" s="502"/>
      <c r="AJ60" s="502"/>
    </row>
    <row r="61" spans="1:50" ht="18" customHeight="1" x14ac:dyDescent="0.3">
      <c r="A61" s="504"/>
    </row>
    <row r="62" spans="1:50" ht="18" customHeight="1" x14ac:dyDescent="0.3">
      <c r="A62" s="526" t="s">
        <v>1986</v>
      </c>
    </row>
    <row r="63" spans="1:50" ht="18" customHeight="1" x14ac:dyDescent="0.3">
      <c r="A63" s="504" t="s">
        <v>1987</v>
      </c>
    </row>
    <row r="64" spans="1:50" ht="18" customHeight="1" x14ac:dyDescent="0.3">
      <c r="A64" s="504"/>
    </row>
    <row r="65" spans="1:1" ht="18" customHeight="1" x14ac:dyDescent="0.3">
      <c r="A65" s="526" t="s">
        <v>1988</v>
      </c>
    </row>
    <row r="66" spans="1:1" ht="18" customHeight="1" x14ac:dyDescent="0.3">
      <c r="A66" s="527" t="s">
        <v>1989</v>
      </c>
    </row>
    <row r="67" spans="1:1" ht="18" customHeight="1" x14ac:dyDescent="0.3">
      <c r="A67" s="527" t="s">
        <v>1990</v>
      </c>
    </row>
    <row r="68" spans="1:1" ht="18" customHeight="1" x14ac:dyDescent="0.3">
      <c r="A68" s="527" t="s">
        <v>1991</v>
      </c>
    </row>
    <row r="69" spans="1:1" ht="18" customHeight="1" x14ac:dyDescent="0.3">
      <c r="A69" s="527" t="s">
        <v>1992</v>
      </c>
    </row>
    <row r="70" spans="1:1" ht="18" customHeight="1" x14ac:dyDescent="0.3">
      <c r="A70" s="527" t="s">
        <v>1993</v>
      </c>
    </row>
    <row r="71" spans="1:1" ht="18" customHeight="1" x14ac:dyDescent="0.3">
      <c r="A71" s="504"/>
    </row>
    <row r="72" spans="1:1" ht="16.5" hidden="1" customHeight="1" x14ac:dyDescent="0.3"/>
    <row r="73" spans="1:1" ht="16.5" hidden="1" customHeight="1" x14ac:dyDescent="0.3"/>
    <row r="74" spans="1:1" ht="16.5" hidden="1" customHeight="1" x14ac:dyDescent="0.3"/>
    <row r="75" spans="1:1" ht="16.5" hidden="1" customHeight="1" x14ac:dyDescent="0.3"/>
    <row r="76" spans="1:1" ht="16.5" hidden="1" customHeight="1" x14ac:dyDescent="0.3"/>
    <row r="77" spans="1:1" ht="16.5" hidden="1" customHeight="1" x14ac:dyDescent="0.3"/>
  </sheetData>
  <mergeCells count="10">
    <mergeCell ref="I1:J1"/>
    <mergeCell ref="T2:T55"/>
    <mergeCell ref="AA2:AA55"/>
    <mergeCell ref="M10:M12"/>
    <mergeCell ref="M7:M9"/>
    <mergeCell ref="M13:M15"/>
    <mergeCell ref="M16:M19"/>
    <mergeCell ref="M23:M25"/>
    <mergeCell ref="M32:M34"/>
    <mergeCell ref="M53:M55"/>
  </mergeCells>
  <phoneticPr fontId="2" type="noConversion"/>
  <conditionalFormatting sqref="I2:J55">
    <cfRule type="cellIs" dxfId="319" priority="155" operator="equal">
      <formula>"/"</formula>
    </cfRule>
    <cfRule type="cellIs" dxfId="318" priority="156" operator="lessThan">
      <formula>0</formula>
    </cfRule>
    <cfRule type="cellIs" dxfId="317" priority="157" operator="greaterThan">
      <formula>0</formula>
    </cfRule>
  </conditionalFormatting>
  <conditionalFormatting sqref="F2:F55">
    <cfRule type="expression" dxfId="316" priority="142">
      <formula>$I$1="差距(Median)"</formula>
    </cfRule>
  </conditionalFormatting>
  <conditionalFormatting sqref="G2:G55">
    <cfRule type="expression" dxfId="315" priority="141">
      <formula>$I$1="差距(LQ)"</formula>
    </cfRule>
  </conditionalFormatting>
  <conditionalFormatting sqref="L2:L55">
    <cfRule type="cellIs" dxfId="314" priority="25" operator="equal">
      <formula>2</formula>
    </cfRule>
    <cfRule type="cellIs" dxfId="313" priority="139" operator="equal">
      <formula>1</formula>
    </cfRule>
    <cfRule type="cellIs" dxfId="312" priority="140" operator="equal">
      <formula>0</formula>
    </cfRule>
  </conditionalFormatting>
  <conditionalFormatting sqref="A7:AI55 A2:L6 N2:AI6">
    <cfRule type="expression" dxfId="311" priority="18725">
      <formula>MOD(ROW(),2)=0</formula>
    </cfRule>
  </conditionalFormatting>
  <conditionalFormatting sqref="T2 AH2:AH55">
    <cfRule type="expression" dxfId="310" priority="23">
      <formula>TRUE</formula>
    </cfRule>
  </conditionalFormatting>
  <conditionalFormatting sqref="AA2">
    <cfRule type="expression" dxfId="309" priority="21">
      <formula>TRUE</formula>
    </cfRule>
  </conditionalFormatting>
  <conditionalFormatting sqref="M23">
    <cfRule type="expression" dxfId="308" priority="18724">
      <formula>MOD(ROW(),2)=0</formula>
    </cfRule>
  </conditionalFormatting>
  <conditionalFormatting sqref="M2:M6">
    <cfRule type="expression" dxfId="307" priority="1">
      <formula>MOD(ROW(),2)=0</formula>
    </cfRule>
  </conditionalFormatting>
  <hyperlinks>
    <hyperlink ref="A66" r:id="rId1" xr:uid="{00000000-0004-0000-0500-000000000000}"/>
    <hyperlink ref="A67" r:id="rId2" xr:uid="{00000000-0004-0000-0500-000001000000}"/>
    <hyperlink ref="A68" r:id="rId3" xr:uid="{00000000-0004-0000-0500-000002000000}"/>
    <hyperlink ref="A69" r:id="rId4" xr:uid="{00000000-0004-0000-0500-000003000000}"/>
    <hyperlink ref="A70" r:id="rId5" xr:uid="{00000000-0004-0000-0500-000004000000}"/>
  </hyperlinks>
  <pageMargins left="0.7" right="0.7" top="0.75" bottom="0.75" header="0.3" footer="0.3"/>
  <pageSetup paperSize="9"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5" id="{B0923242-EE9A-4F1F-8146-1AD1085DC0CB}">
            <xm:f>入學要求!K22=0</xm:f>
            <x14:dxf>
              <font>
                <color rgb="FF9C0006"/>
              </font>
              <fill>
                <patternFill>
                  <bgColor rgb="FFFFC7CE"/>
                </patternFill>
              </fill>
            </x14:dxf>
          </x14:cfRule>
          <x14:cfRule type="expression" priority="6" id="{DB5FF3CF-16EB-44EB-8F73-E716C3A623B9}">
            <xm:f>入學要求!K22=2</xm:f>
            <x14:dxf>
              <font>
                <color rgb="FF9C5700"/>
              </font>
              <fill>
                <patternFill>
                  <bgColor rgb="FFFFEB9C"/>
                </patternFill>
              </fill>
            </x14:dxf>
          </x14:cfRule>
          <x14:cfRule type="expression" priority="7" id="{07523817-4A57-46A0-9BE7-62AAB3866A9E}">
            <xm:f>入學要求!K22=1</xm:f>
            <x14:dxf>
              <font>
                <color rgb="FF006100"/>
              </font>
              <fill>
                <patternFill>
                  <bgColor rgb="FFC6EFCE"/>
                </patternFill>
              </fill>
            </x14:dxf>
          </x14:cfRule>
          <xm:sqref>N2:S55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選單!$J$2:$J$3</xm:f>
          </x14:formula1>
          <xm:sqref>I1:J1</xm:sqref>
        </x14:dataValidation>
        <x14:dataValidation type="list" allowBlank="1" showInputMessage="1" showErrorMessage="1" xr:uid="{00000000-0002-0000-0500-000001000000}">
          <x14:formula1>
            <xm:f>選單!$I$1:$I$4</xm:f>
          </x14:formula1>
          <xm:sqref>T2:T55</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工作表6">
    <tabColor theme="4" tint="-0.249977111117893"/>
    <pageSetUpPr autoPageBreaks="0"/>
  </sheetPr>
  <dimension ref="A1:AO76"/>
  <sheetViews>
    <sheetView zoomScaleNormal="100" zoomScaleSheetLayoutView="50" workbookViewId="0">
      <pane ySplit="1" topLeftCell="A2" activePane="bottomLeft" state="frozen"/>
      <selection pane="bottomLeft" activeCell="E2" sqref="E2:E22"/>
    </sheetView>
  </sheetViews>
  <sheetFormatPr defaultColWidth="0" defaultRowHeight="0" customHeight="1" zeroHeight="1" x14ac:dyDescent="0.3"/>
  <cols>
    <col min="1" max="1" width="7.6640625" style="4" customWidth="1"/>
    <col min="2" max="2" width="9.109375" style="4" customWidth="1"/>
    <col min="3" max="3" width="25.77734375" style="4" customWidth="1"/>
    <col min="4" max="4" width="10.6640625" style="4" customWidth="1"/>
    <col min="5" max="5" width="7.77734375" style="15" customWidth="1"/>
    <col min="6" max="8" width="7.77734375" style="4" customWidth="1"/>
    <col min="9" max="10" width="7.6640625" style="4" customWidth="1"/>
    <col min="11" max="11" width="4.88671875" style="37" customWidth="1"/>
    <col min="12" max="12" width="4.6640625" style="15" customWidth="1"/>
    <col min="13" max="13" width="9.77734375" style="15" customWidth="1"/>
    <col min="14" max="19" width="2.21875" style="4" customWidth="1"/>
    <col min="20" max="20" width="8.88671875" style="4" customWidth="1"/>
    <col min="21" max="26" width="6.33203125" style="4" customWidth="1"/>
    <col min="27" max="27" width="8.88671875" style="4" customWidth="1"/>
    <col min="28" max="33" width="6.33203125" style="4" customWidth="1"/>
    <col min="34" max="34" width="3.109375" style="4" customWidth="1"/>
    <col min="35" max="35" width="8.109375" style="4" customWidth="1"/>
    <col min="36" max="41" width="0" style="4" hidden="1" customWidth="1"/>
    <col min="42" max="16384" width="8.88671875" style="4" hidden="1"/>
  </cols>
  <sheetData>
    <row r="1" spans="1:35" s="42" customFormat="1" ht="18" customHeight="1" x14ac:dyDescent="0.3">
      <c r="A1" s="42" t="s">
        <v>2403</v>
      </c>
      <c r="B1" s="42" t="s">
        <v>1943</v>
      </c>
      <c r="C1" s="42" t="s">
        <v>1944</v>
      </c>
      <c r="E1" s="43" t="s">
        <v>1945</v>
      </c>
      <c r="F1" s="43" t="s">
        <v>1946</v>
      </c>
      <c r="G1" s="43" t="s">
        <v>1947</v>
      </c>
      <c r="H1" s="43" t="s">
        <v>1948</v>
      </c>
      <c r="I1" s="579" t="s">
        <v>1949</v>
      </c>
      <c r="J1" s="579"/>
      <c r="K1" s="43" t="s">
        <v>1950</v>
      </c>
      <c r="L1" s="43" t="s">
        <v>1951</v>
      </c>
      <c r="M1" s="43" t="s">
        <v>2027</v>
      </c>
      <c r="N1" s="43" t="s">
        <v>1953</v>
      </c>
      <c r="O1" s="43" t="s">
        <v>1954</v>
      </c>
      <c r="P1" s="43" t="s">
        <v>1955</v>
      </c>
      <c r="Q1" s="43" t="s">
        <v>1956</v>
      </c>
      <c r="R1" s="43" t="s">
        <v>1957</v>
      </c>
      <c r="S1" s="43" t="s">
        <v>1958</v>
      </c>
      <c r="T1" s="43" t="s">
        <v>1959</v>
      </c>
      <c r="U1" s="43" t="s">
        <v>2363</v>
      </c>
      <c r="V1" s="43" t="s">
        <v>1961</v>
      </c>
      <c r="W1" s="43" t="s">
        <v>1962</v>
      </c>
      <c r="X1" s="43" t="s">
        <v>1963</v>
      </c>
      <c r="Y1" s="43" t="s">
        <v>1964</v>
      </c>
      <c r="Z1" s="43" t="s">
        <v>1965</v>
      </c>
      <c r="AA1" s="43" t="s">
        <v>2364</v>
      </c>
      <c r="AB1" s="43" t="s">
        <v>2363</v>
      </c>
      <c r="AC1" s="43" t="s">
        <v>1961</v>
      </c>
      <c r="AD1" s="43" t="s">
        <v>1962</v>
      </c>
      <c r="AE1" s="43" t="s">
        <v>1963</v>
      </c>
      <c r="AF1" s="43" t="s">
        <v>1964</v>
      </c>
      <c r="AG1" s="43" t="s">
        <v>1965</v>
      </c>
      <c r="AI1" s="43"/>
    </row>
    <row r="2" spans="1:35" ht="18" customHeight="1" x14ac:dyDescent="0.3">
      <c r="A2" s="4" t="str">
        <f>'Reference Score Calculation'!A69</f>
        <v>JS2020</v>
      </c>
      <c r="B2" s="4" t="str">
        <f>'Reference Score Calculation'!C69</f>
        <v>文學院</v>
      </c>
      <c r="C2" s="4" t="str">
        <f>'Reference Score Calculation'!D69</f>
        <v>文學士(榮譽) (中國語言文學 / 創意及專業寫作 / 英國語言文學 / 人文學 / 翻譯學)</v>
      </c>
      <c r="D2" s="4" t="str">
        <f>'Reference Score Calculation'!T69</f>
        <v>BA</v>
      </c>
      <c r="E2" s="190" t="str">
        <f>'Reference Score Calculation'!E69</f>
        <v>4C2X</v>
      </c>
      <c r="F2" s="6">
        <f>'Reference Score Calculation'!G69</f>
        <v>24</v>
      </c>
      <c r="G2" s="6">
        <f>'Reference Score Calculation'!H69</f>
        <v>25</v>
      </c>
      <c r="H2" s="46">
        <f>計分版!H90</f>
        <v>2.8499999999999999E-9</v>
      </c>
      <c r="I2" s="25">
        <f>IF(I$1="差距(Median)",H2-F2,IF(I$1="差距(LQ)",H2-G2))</f>
        <v>-23.999999997149999</v>
      </c>
      <c r="J2" s="26">
        <f>IF(I$1="差距(Median)",(H2-F2)/H2,IF(I$1="差距(LQ)",(H2-G2)/H2))</f>
        <v>-8421052630.5789471</v>
      </c>
      <c r="K2" s="37">
        <f>入學要求!C78</f>
        <v>105</v>
      </c>
      <c r="L2" s="102">
        <f>入學要求!R78</f>
        <v>0</v>
      </c>
      <c r="M2" s="27"/>
      <c r="N2" s="15">
        <f>入學要求!D78</f>
        <v>3</v>
      </c>
      <c r="O2" s="189">
        <f>入學要求!E78</f>
        <v>3</v>
      </c>
      <c r="P2" s="189">
        <f>入學要求!F78</f>
        <v>2</v>
      </c>
      <c r="Q2" s="189">
        <f>入學要求!G78</f>
        <v>2</v>
      </c>
      <c r="R2" s="189">
        <f>入學要求!H78</f>
        <v>3</v>
      </c>
      <c r="S2" s="189">
        <f>入學要求!I78</f>
        <v>3</v>
      </c>
      <c r="T2" s="576" t="s">
        <v>2540</v>
      </c>
      <c r="U2" s="37" cm="1">
        <f t="array" ref="U2">IFERROR(INDEX('Offer Statistics'!$AI$2:$AI$115,MATCH(1,($A2='Offer Statistics'!$T$2:$T$115)*($T$2='Offer Statistics'!$AC$2:$AC$115),0)),"/")</f>
        <v>64</v>
      </c>
      <c r="V2" s="271" cm="1">
        <f t="array" ref="V2">IFERROR(INDEX('Offer Statistics'!AD$2:AD$115,MATCH(1,($A2='Offer Statistics'!$T$2:$T$115)*($T$2='Offer Statistics'!$AC$2:$AC$115),0)),"/")</f>
        <v>61</v>
      </c>
      <c r="W2" s="271" cm="1">
        <f t="array" ref="W2">IFERROR(INDEX('Offer Statistics'!AE$2:AE$115,MATCH(1,($A2='Offer Statistics'!$T$2:$T$115)*($T$2='Offer Statistics'!$AC$2:$AC$115),0)),"/")</f>
        <v>2</v>
      </c>
      <c r="X2" s="271" cm="1">
        <f t="array" ref="X2">IFERROR(INDEX('Offer Statistics'!AF$2:AF$115,MATCH(1,($A2='Offer Statistics'!$T$2:$T$115)*($T$2='Offer Statistics'!$AC$2:$AC$115),0)),"/")</f>
        <v>1</v>
      </c>
      <c r="Y2" s="271" cm="1">
        <f t="array" ref="Y2">IFERROR(INDEX('Offer Statistics'!AG$2:AG$115,MATCH(1,($A2='Offer Statistics'!$T$2:$T$115)*($T$2='Offer Statistics'!$AC$2:$AC$115),0)),"/")</f>
        <v>0</v>
      </c>
      <c r="Z2" s="271" cm="1">
        <f t="array" ref="Z2">IFERROR(INDEX('Offer Statistics'!AH$2:AH$115,MATCH(1,($A2='Offer Statistics'!$T$2:$T$115)*($T$2='Offer Statistics'!$AC$2:$AC$115),0)),"/")</f>
        <v>0</v>
      </c>
      <c r="AA2" s="580" t="str">
        <f>T2</f>
        <v>2021年</v>
      </c>
      <c r="AB2" s="265" cm="1">
        <f t="array" ref="AB2">IFERROR(INDEX('Offer Statistics'!$AA$2:$AA$115,MATCH(1,($A2='Offer Statistics'!$T$2:$T$115)*($T$2='Offer Statistics'!$U$2:$U$115),0)),"/")</f>
        <v>3483</v>
      </c>
      <c r="AC2" s="271" cm="1">
        <f t="array" ref="AC2">IFERROR(INDEX('Offer Statistics'!V$2:V$115,MATCH(1,($A2='Offer Statistics'!$T$2:$T$115)*($T$2='Offer Statistics'!$U$2:$U$115),0)),"/")</f>
        <v>535</v>
      </c>
      <c r="AD2" s="271" cm="1">
        <f t="array" ref="AD2">IFERROR(INDEX('Offer Statistics'!W$2:W$115,MATCH(1,($A2='Offer Statistics'!$T$2:$T$115)*($T$2='Offer Statistics'!$U$2:$U$115),0)),"/")</f>
        <v>679</v>
      </c>
      <c r="AE2" s="271" cm="1">
        <f t="array" ref="AE2">IFERROR(INDEX('Offer Statistics'!X$2:X$115,MATCH(1,($A2='Offer Statistics'!$T$2:$T$115)*($T$2='Offer Statistics'!$U$2:$U$115),0)),"/")</f>
        <v>835</v>
      </c>
      <c r="AF2" s="271" cm="1">
        <f t="array" ref="AF2">IFERROR(INDEX('Offer Statistics'!Y$2:Y$115,MATCH(1,($A2='Offer Statistics'!$T$2:$T$115)*($T$2='Offer Statistics'!$U$2:$U$115),0)),"/")</f>
        <v>873</v>
      </c>
      <c r="AG2" s="271" cm="1">
        <f t="array" ref="AG2">IFERROR(INDEX('Offer Statistics'!Z$2:Z$115,MATCH(1,($A2='Offer Statistics'!$T$2:$T$115)*($T$2='Offer Statistics'!$U$2:$U$115),0)),"/")</f>
        <v>561</v>
      </c>
      <c r="AI2" s="15" t="str">
        <f>A2</f>
        <v>JS2020</v>
      </c>
    </row>
    <row r="3" spans="1:35" s="44" customFormat="1" ht="18" customHeight="1" x14ac:dyDescent="0.3">
      <c r="A3" s="4" t="str">
        <f>'Reference Score Calculation'!A70</f>
        <v>JS2025</v>
      </c>
      <c r="B3" s="4" t="str">
        <f>'Reference Score Calculation'!C70</f>
        <v>文學院</v>
      </c>
      <c r="C3" s="4" t="str">
        <f>'Reference Score Calculation'!D70</f>
        <v>宗教、哲學及倫理文學士(榮譽)</v>
      </c>
      <c r="D3" s="4" t="str">
        <f>'Reference Score Calculation'!T70</f>
        <v>BA(RPE)</v>
      </c>
      <c r="E3" s="190" t="str">
        <f>'Reference Score Calculation'!E70</f>
        <v>4C2X</v>
      </c>
      <c r="F3" s="6">
        <f>'Reference Score Calculation'!G70</f>
        <v>23</v>
      </c>
      <c r="G3" s="6">
        <f>'Reference Score Calculation'!H70</f>
        <v>23</v>
      </c>
      <c r="H3" s="46">
        <f>計分版!H91</f>
        <v>2.8499999999999999E-9</v>
      </c>
      <c r="I3" s="25">
        <f t="shared" ref="I3:I18" si="0">IF(I$1="差距(Median)",H3-F3,IF(I$1="差距(LQ)",H3-G3))</f>
        <v>-22.999999997149999</v>
      </c>
      <c r="J3" s="26">
        <f t="shared" ref="J3:J18" si="1">IF(I$1="差距(Median)",(H3-F3)/H3,IF(I$1="差距(LQ)",(H3-G3)/H3))</f>
        <v>-8070175437.5964909</v>
      </c>
      <c r="K3" s="567">
        <f>入學要求!C79</f>
        <v>15</v>
      </c>
      <c r="L3" s="102">
        <f>入學要求!R79</f>
        <v>0</v>
      </c>
      <c r="M3" s="15"/>
      <c r="N3" s="189">
        <f>入學要求!D79</f>
        <v>3</v>
      </c>
      <c r="O3" s="189">
        <f>入學要求!E79</f>
        <v>3</v>
      </c>
      <c r="P3" s="189">
        <f>入學要求!F79</f>
        <v>2</v>
      </c>
      <c r="Q3" s="189">
        <f>入學要求!G79</f>
        <v>2</v>
      </c>
      <c r="R3" s="189">
        <f>入學要求!H79</f>
        <v>3</v>
      </c>
      <c r="S3" s="189">
        <f>入學要求!I79</f>
        <v>3</v>
      </c>
      <c r="T3" s="576"/>
      <c r="U3" s="265" cm="1">
        <f t="array" ref="U3">IFERROR(INDEX('Offer Statistics'!$AI$2:$AI$115,MATCH(1,($A3='Offer Statistics'!$T$2:$T$115)*($T$2='Offer Statistics'!$AC$2:$AC$115),0)),"/")</f>
        <v>10</v>
      </c>
      <c r="V3" s="271" cm="1">
        <f t="array" ref="V3">IFERROR(INDEX('Offer Statistics'!AD$2:AD$115,MATCH(1,($A3='Offer Statistics'!$T$2:$T$115)*($T$2='Offer Statistics'!$AC$2:$AC$115),0)),"/")</f>
        <v>10</v>
      </c>
      <c r="W3" s="271" cm="1">
        <f t="array" ref="W3">IFERROR(INDEX('Offer Statistics'!AE$2:AE$115,MATCH(1,($A3='Offer Statistics'!$T$2:$T$115)*($T$2='Offer Statistics'!$AC$2:$AC$115),0)),"/")</f>
        <v>0</v>
      </c>
      <c r="X3" s="271" cm="1">
        <f t="array" ref="X3">IFERROR(INDEX('Offer Statistics'!AF$2:AF$115,MATCH(1,($A3='Offer Statistics'!$T$2:$T$115)*($T$2='Offer Statistics'!$AC$2:$AC$115),0)),"/")</f>
        <v>0</v>
      </c>
      <c r="Y3" s="271" cm="1">
        <f t="array" ref="Y3">IFERROR(INDEX('Offer Statistics'!AG$2:AG$115,MATCH(1,($A3='Offer Statistics'!$T$2:$T$115)*($T$2='Offer Statistics'!$AC$2:$AC$115),0)),"/")</f>
        <v>0</v>
      </c>
      <c r="Z3" s="271" cm="1">
        <f t="array" ref="Z3">IFERROR(INDEX('Offer Statistics'!AH$2:AH$115,MATCH(1,($A3='Offer Statistics'!$T$2:$T$115)*($T$2='Offer Statistics'!$AC$2:$AC$115),0)),"/")</f>
        <v>0</v>
      </c>
      <c r="AA3" s="580"/>
      <c r="AB3" s="265" cm="1">
        <f t="array" ref="AB3">IFERROR(INDEX('Offer Statistics'!$AA$2:$AA$115,MATCH(1,($A3='Offer Statistics'!$T$2:$T$115)*($T$2='Offer Statistics'!$U$2:$U$115),0)),"/")</f>
        <v>985</v>
      </c>
      <c r="AC3" s="271" cm="1">
        <f t="array" ref="AC3">IFERROR(INDEX('Offer Statistics'!V$2:V$115,MATCH(1,($A3='Offer Statistics'!$T$2:$T$115)*($T$2='Offer Statistics'!$U$2:$U$115),0)),"/")</f>
        <v>108</v>
      </c>
      <c r="AD3" s="271" cm="1">
        <f t="array" ref="AD3">IFERROR(INDEX('Offer Statistics'!W$2:W$115,MATCH(1,($A3='Offer Statistics'!$T$2:$T$115)*($T$2='Offer Statistics'!$U$2:$U$115),0)),"/")</f>
        <v>137</v>
      </c>
      <c r="AE3" s="271" cm="1">
        <f t="array" ref="AE3">IFERROR(INDEX('Offer Statistics'!X$2:X$115,MATCH(1,($A3='Offer Statistics'!$T$2:$T$115)*($T$2='Offer Statistics'!$U$2:$U$115),0)),"/")</f>
        <v>209</v>
      </c>
      <c r="AF3" s="271" cm="1">
        <f t="array" ref="AF3">IFERROR(INDEX('Offer Statistics'!Y$2:Y$115,MATCH(1,($A3='Offer Statistics'!$T$2:$T$115)*($T$2='Offer Statistics'!$U$2:$U$115),0)),"/")</f>
        <v>285</v>
      </c>
      <c r="AG3" s="271" cm="1">
        <f t="array" ref="AG3">IFERROR(INDEX('Offer Statistics'!Z$2:Z$115,MATCH(1,($A3='Offer Statistics'!$T$2:$T$115)*($T$2='Offer Statistics'!$U$2:$U$115),0)),"/")</f>
        <v>246</v>
      </c>
      <c r="AH3" s="4"/>
      <c r="AI3" s="15" t="str">
        <f t="shared" ref="AI3:AI16" si="2">A3</f>
        <v>JS2025</v>
      </c>
    </row>
    <row r="4" spans="1:35" ht="18" customHeight="1" x14ac:dyDescent="0.3">
      <c r="A4" s="4" t="str">
        <f>'Reference Score Calculation'!A71</f>
        <v>JS2060</v>
      </c>
      <c r="B4" s="4" t="str">
        <f>'Reference Score Calculation'!C71</f>
        <v>文學院</v>
      </c>
      <c r="C4" s="4" t="str">
        <f>'Reference Score Calculation'!D71</f>
        <v>文學士(榮譽) / 音樂學士(榮譽) (音樂 / 創意產業)</v>
      </c>
      <c r="D4" s="4" t="str">
        <f>'Reference Score Calculation'!T71</f>
        <v>BA/BMUS(MUSIC/CI)</v>
      </c>
      <c r="E4" s="115" t="str">
        <f>'Reference Score Calculation'!AD71</f>
        <v>4C2X</v>
      </c>
      <c r="F4" s="6" t="str">
        <f>'Reference Score Calculation'!G71</f>
        <v>/</v>
      </c>
      <c r="G4" s="6" t="str">
        <f>'Reference Score Calculation'!H71</f>
        <v>/</v>
      </c>
      <c r="H4" s="46">
        <f>計分版!H92</f>
        <v>2.8499999999999999E-9</v>
      </c>
      <c r="I4" s="7" t="s">
        <v>1978</v>
      </c>
      <c r="J4" s="8" t="s">
        <v>1978</v>
      </c>
      <c r="K4" s="567">
        <f>入學要求!C80</f>
        <v>43</v>
      </c>
      <c r="L4" s="102">
        <f>入學要求!R80</f>
        <v>0</v>
      </c>
      <c r="N4" s="189">
        <f>入學要求!D80</f>
        <v>3</v>
      </c>
      <c r="O4" s="189">
        <f>入學要求!E80</f>
        <v>3</v>
      </c>
      <c r="P4" s="189">
        <f>入學要求!F80</f>
        <v>2</v>
      </c>
      <c r="Q4" s="189">
        <f>入學要求!G80</f>
        <v>2</v>
      </c>
      <c r="R4" s="189">
        <f>入學要求!H80</f>
        <v>3</v>
      </c>
      <c r="S4" s="189">
        <f>入學要求!I80</f>
        <v>3</v>
      </c>
      <c r="T4" s="576"/>
      <c r="U4" s="265" t="str" cm="1">
        <f t="array" ref="U4">IFERROR(INDEX('Offer Statistics'!$AI$2:$AI$115,MATCH(1,($A4='Offer Statistics'!$T$2:$T$115)*($T$2='Offer Statistics'!$AC$2:$AC$115),0)),"/")</f>
        <v>/</v>
      </c>
      <c r="V4" s="271" t="str" cm="1">
        <f t="array" ref="V4">IFERROR(INDEX('Offer Statistics'!AD$2:AD$115,MATCH(1,($A4='Offer Statistics'!$T$2:$T$115)*($T$2='Offer Statistics'!$AC$2:$AC$115),0)),"/")</f>
        <v>/</v>
      </c>
      <c r="W4" s="271" t="str" cm="1">
        <f t="array" ref="W4">IFERROR(INDEX('Offer Statistics'!AE$2:AE$115,MATCH(1,($A4='Offer Statistics'!$T$2:$T$115)*($T$2='Offer Statistics'!$AC$2:$AC$115),0)),"/")</f>
        <v>/</v>
      </c>
      <c r="X4" s="271" t="str" cm="1">
        <f t="array" ref="X4">IFERROR(INDEX('Offer Statistics'!AF$2:AF$115,MATCH(1,($A4='Offer Statistics'!$T$2:$T$115)*($T$2='Offer Statistics'!$AC$2:$AC$115),0)),"/")</f>
        <v>/</v>
      </c>
      <c r="Y4" s="271" t="str" cm="1">
        <f t="array" ref="Y4">IFERROR(INDEX('Offer Statistics'!AG$2:AG$115,MATCH(1,($A4='Offer Statistics'!$T$2:$T$115)*($T$2='Offer Statistics'!$AC$2:$AC$115),0)),"/")</f>
        <v>/</v>
      </c>
      <c r="Z4" s="271" t="str" cm="1">
        <f t="array" ref="Z4">IFERROR(INDEX('Offer Statistics'!AH$2:AH$115,MATCH(1,($A4='Offer Statistics'!$T$2:$T$115)*($T$2='Offer Statistics'!$AC$2:$AC$115),0)),"/")</f>
        <v>/</v>
      </c>
      <c r="AA4" s="580"/>
      <c r="AB4" s="265" t="str" cm="1">
        <f t="array" ref="AB4">IFERROR(INDEX('Offer Statistics'!$AA$2:$AA$115,MATCH(1,($A4='Offer Statistics'!$T$2:$T$115)*($T$2='Offer Statistics'!$U$2:$U$115),0)),"/")</f>
        <v>/</v>
      </c>
      <c r="AC4" s="271" t="str" cm="1">
        <f t="array" ref="AC4">IFERROR(INDEX('Offer Statistics'!V$2:V$115,MATCH(1,($A4='Offer Statistics'!$T$2:$T$115)*($T$2='Offer Statistics'!$U$2:$U$115),0)),"/")</f>
        <v>/</v>
      </c>
      <c r="AD4" s="271" t="str" cm="1">
        <f t="array" ref="AD4">IFERROR(INDEX('Offer Statistics'!W$2:W$115,MATCH(1,($A4='Offer Statistics'!$T$2:$T$115)*($T$2='Offer Statistics'!$U$2:$U$115),0)),"/")</f>
        <v>/</v>
      </c>
      <c r="AE4" s="271" t="str" cm="1">
        <f t="array" ref="AE4">IFERROR(INDEX('Offer Statistics'!X$2:X$115,MATCH(1,($A4='Offer Statistics'!$T$2:$T$115)*($T$2='Offer Statistics'!$U$2:$U$115),0)),"/")</f>
        <v>/</v>
      </c>
      <c r="AF4" s="271" t="str" cm="1">
        <f t="array" ref="AF4">IFERROR(INDEX('Offer Statistics'!Y$2:Y$115,MATCH(1,($A4='Offer Statistics'!$T$2:$T$115)*($T$2='Offer Statistics'!$U$2:$U$115),0)),"/")</f>
        <v>/</v>
      </c>
      <c r="AG4" s="271" t="str" cm="1">
        <f t="array" ref="AG4">IFERROR(INDEX('Offer Statistics'!Z$2:Z$115,MATCH(1,($A4='Offer Statistics'!$T$2:$T$115)*($T$2='Offer Statistics'!$U$2:$U$115),0)),"/")</f>
        <v>/</v>
      </c>
      <c r="AI4" s="15" t="str">
        <f t="shared" si="2"/>
        <v>JS2060</v>
      </c>
    </row>
    <row r="5" spans="1:35" s="44" customFormat="1" ht="18" customHeight="1" x14ac:dyDescent="0.3">
      <c r="A5" s="4" t="str">
        <f>'Reference Score Calculation'!A72</f>
        <v>JS2110</v>
      </c>
      <c r="B5" s="4" t="str">
        <f>'Reference Score Calculation'!C72</f>
        <v>商學院</v>
      </c>
      <c r="C5" s="4" t="str">
        <f>'Reference Score Calculation'!D72</f>
        <v>工商管理學士(榮譽) - 會計學專修</v>
      </c>
      <c r="D5" s="4" t="str">
        <f>'Reference Score Calculation'!T72</f>
        <v>BBA(ACCT)</v>
      </c>
      <c r="E5" s="82" t="str">
        <f>'Reference Score Calculation'!E72</f>
        <v>Best 6</v>
      </c>
      <c r="F5" s="6">
        <f>'Reference Score Calculation'!G72</f>
        <v>24</v>
      </c>
      <c r="G5" s="6">
        <f>'Reference Score Calculation'!H72</f>
        <v>23.5</v>
      </c>
      <c r="H5" s="46">
        <f>計分版!H93</f>
        <v>3.9000000000000002E-9</v>
      </c>
      <c r="I5" s="25">
        <f t="shared" si="0"/>
        <v>-23.999999996100001</v>
      </c>
      <c r="J5" s="26">
        <f t="shared" si="1"/>
        <v>-6153846152.8461542</v>
      </c>
      <c r="K5" s="567">
        <f>入學要求!C81</f>
        <v>47</v>
      </c>
      <c r="L5" s="102">
        <f>入學要求!R81</f>
        <v>0</v>
      </c>
      <c r="M5" s="15"/>
      <c r="N5" s="189">
        <f>入學要求!D81</f>
        <v>3</v>
      </c>
      <c r="O5" s="189">
        <f>入學要求!E81</f>
        <v>3</v>
      </c>
      <c r="P5" s="189">
        <f>入學要求!F81</f>
        <v>2</v>
      </c>
      <c r="Q5" s="189">
        <f>入學要求!G81</f>
        <v>2</v>
      </c>
      <c r="R5" s="189">
        <f>入學要求!H81</f>
        <v>3</v>
      </c>
      <c r="S5" s="189">
        <f>入學要求!I81</f>
        <v>3</v>
      </c>
      <c r="T5" s="576"/>
      <c r="U5" s="265" cm="1">
        <f t="array" ref="U5">IFERROR(INDEX('Offer Statistics'!$AI$2:$AI$115,MATCH(1,($A5='Offer Statistics'!$T$2:$T$115)*($T$2='Offer Statistics'!$AC$2:$AC$115),0)),"/")</f>
        <v>48</v>
      </c>
      <c r="V5" s="271" cm="1">
        <f t="array" ref="V5">IFERROR(INDEX('Offer Statistics'!AD$2:AD$115,MATCH(1,($A5='Offer Statistics'!$T$2:$T$115)*($T$2='Offer Statistics'!$AC$2:$AC$115),0)),"/")</f>
        <v>36</v>
      </c>
      <c r="W5" s="271" cm="1">
        <f t="array" ref="W5">IFERROR(INDEX('Offer Statistics'!AE$2:AE$115,MATCH(1,($A5='Offer Statistics'!$T$2:$T$115)*($T$2='Offer Statistics'!$AC$2:$AC$115),0)),"/")</f>
        <v>9</v>
      </c>
      <c r="X5" s="271" cm="1">
        <f t="array" ref="X5">IFERROR(INDEX('Offer Statistics'!AF$2:AF$115,MATCH(1,($A5='Offer Statistics'!$T$2:$T$115)*($T$2='Offer Statistics'!$AC$2:$AC$115),0)),"/")</f>
        <v>2</v>
      </c>
      <c r="Y5" s="271" cm="1">
        <f t="array" ref="Y5">IFERROR(INDEX('Offer Statistics'!AG$2:AG$115,MATCH(1,($A5='Offer Statistics'!$T$2:$T$115)*($T$2='Offer Statistics'!$AC$2:$AC$115),0)),"/")</f>
        <v>1</v>
      </c>
      <c r="Z5" s="271" cm="1">
        <f t="array" ref="Z5">IFERROR(INDEX('Offer Statistics'!AH$2:AH$115,MATCH(1,($A5='Offer Statistics'!$T$2:$T$115)*($T$2='Offer Statistics'!$AC$2:$AC$115),0)),"/")</f>
        <v>0</v>
      </c>
      <c r="AA5" s="580"/>
      <c r="AB5" s="265" cm="1">
        <f t="array" ref="AB5">IFERROR(INDEX('Offer Statistics'!$AA$2:$AA$115,MATCH(1,($A5='Offer Statistics'!$T$2:$T$115)*($T$2='Offer Statistics'!$U$2:$U$115),0)),"/")</f>
        <v>2936</v>
      </c>
      <c r="AC5" s="271" cm="1">
        <f t="array" ref="AC5">IFERROR(INDEX('Offer Statistics'!V$2:V$115,MATCH(1,($A5='Offer Statistics'!$T$2:$T$115)*($T$2='Offer Statistics'!$U$2:$U$115),0)),"/")</f>
        <v>396</v>
      </c>
      <c r="AD5" s="271" cm="1">
        <f t="array" ref="AD5">IFERROR(INDEX('Offer Statistics'!W$2:W$115,MATCH(1,($A5='Offer Statistics'!$T$2:$T$115)*($T$2='Offer Statistics'!$U$2:$U$115),0)),"/")</f>
        <v>551</v>
      </c>
      <c r="AE5" s="271" cm="1">
        <f t="array" ref="AE5">IFERROR(INDEX('Offer Statistics'!X$2:X$115,MATCH(1,($A5='Offer Statistics'!$T$2:$T$115)*($T$2='Offer Statistics'!$U$2:$U$115),0)),"/")</f>
        <v>631</v>
      </c>
      <c r="AF5" s="271" cm="1">
        <f t="array" ref="AF5">IFERROR(INDEX('Offer Statistics'!Y$2:Y$115,MATCH(1,($A5='Offer Statistics'!$T$2:$T$115)*($T$2='Offer Statistics'!$U$2:$U$115),0)),"/")</f>
        <v>773</v>
      </c>
      <c r="AG5" s="271" cm="1">
        <f t="array" ref="AG5">IFERROR(INDEX('Offer Statistics'!Z$2:Z$115,MATCH(1,($A5='Offer Statistics'!$T$2:$T$115)*($T$2='Offer Statistics'!$U$2:$U$115),0)),"/")</f>
        <v>585</v>
      </c>
      <c r="AH5" s="4"/>
      <c r="AI5" s="15" t="str">
        <f t="shared" si="2"/>
        <v>JS2110</v>
      </c>
    </row>
    <row r="6" spans="1:35" ht="18" customHeight="1" x14ac:dyDescent="0.3">
      <c r="A6" s="4" t="str">
        <f>'Reference Score Calculation'!A73</f>
        <v>JS2120</v>
      </c>
      <c r="B6" s="4" t="str">
        <f>'Reference Score Calculation'!C73</f>
        <v>商學院</v>
      </c>
      <c r="C6" s="4" t="str">
        <f>'Reference Score Calculation'!D73</f>
        <v>工商管理學士(榮譽)</v>
      </c>
      <c r="D6" s="4" t="str">
        <f>'Reference Score Calculation'!T73</f>
        <v>BBA</v>
      </c>
      <c r="E6" s="82" t="str">
        <f>'Reference Score Calculation'!E73</f>
        <v>Best 6</v>
      </c>
      <c r="F6" s="6">
        <f>'Reference Score Calculation'!G73</f>
        <v>23.5</v>
      </c>
      <c r="G6" s="6">
        <f>'Reference Score Calculation'!H73</f>
        <v>23.5</v>
      </c>
      <c r="H6" s="46">
        <f>計分版!H94</f>
        <v>3.9000000000000002E-9</v>
      </c>
      <c r="I6" s="25">
        <f t="shared" si="0"/>
        <v>-23.499999996100001</v>
      </c>
      <c r="J6" s="26">
        <f t="shared" si="1"/>
        <v>-6025641024.6410255</v>
      </c>
      <c r="K6" s="567">
        <f>入學要求!C82</f>
        <v>187</v>
      </c>
      <c r="L6" s="102">
        <f>入學要求!R82</f>
        <v>0</v>
      </c>
      <c r="M6" s="101"/>
      <c r="N6" s="189">
        <f>入學要求!D82</f>
        <v>3</v>
      </c>
      <c r="O6" s="189">
        <f>入學要求!E82</f>
        <v>3</v>
      </c>
      <c r="P6" s="189">
        <f>入學要求!F82</f>
        <v>2</v>
      </c>
      <c r="Q6" s="189">
        <f>入學要求!G82</f>
        <v>2</v>
      </c>
      <c r="R6" s="189">
        <f>入學要求!H82</f>
        <v>3</v>
      </c>
      <c r="S6" s="189">
        <f>入學要求!I82</f>
        <v>3</v>
      </c>
      <c r="T6" s="576"/>
      <c r="U6" s="265" cm="1">
        <f t="array" ref="U6">IFERROR(INDEX('Offer Statistics'!$AI$2:$AI$115,MATCH(1,($A6='Offer Statistics'!$T$2:$T$115)*($T$2='Offer Statistics'!$AC$2:$AC$115),0)),"/")</f>
        <v>213</v>
      </c>
      <c r="V6" s="271" cm="1">
        <f t="array" ref="V6">IFERROR(INDEX('Offer Statistics'!AD$2:AD$115,MATCH(1,($A6='Offer Statistics'!$T$2:$T$115)*($T$2='Offer Statistics'!$AC$2:$AC$115),0)),"/")</f>
        <v>158</v>
      </c>
      <c r="W6" s="271" cm="1">
        <f t="array" ref="W6">IFERROR(INDEX('Offer Statistics'!AE$2:AE$115,MATCH(1,($A6='Offer Statistics'!$T$2:$T$115)*($T$2='Offer Statistics'!$AC$2:$AC$115),0)),"/")</f>
        <v>39</v>
      </c>
      <c r="X6" s="271" cm="1">
        <f t="array" ref="X6">IFERROR(INDEX('Offer Statistics'!AF$2:AF$115,MATCH(1,($A6='Offer Statistics'!$T$2:$T$115)*($T$2='Offer Statistics'!$AC$2:$AC$115),0)),"/")</f>
        <v>10</v>
      </c>
      <c r="Y6" s="271" cm="1">
        <f t="array" ref="Y6">IFERROR(INDEX('Offer Statistics'!AG$2:AG$115,MATCH(1,($A6='Offer Statistics'!$T$2:$T$115)*($T$2='Offer Statistics'!$AC$2:$AC$115),0)),"/")</f>
        <v>3</v>
      </c>
      <c r="Z6" s="271" cm="1">
        <f t="array" ref="Z6">IFERROR(INDEX('Offer Statistics'!AH$2:AH$115,MATCH(1,($A6='Offer Statistics'!$T$2:$T$115)*($T$2='Offer Statistics'!$AC$2:$AC$115),0)),"/")</f>
        <v>3</v>
      </c>
      <c r="AA6" s="580"/>
      <c r="AB6" s="265" cm="1">
        <f t="array" ref="AB6">IFERROR(INDEX('Offer Statistics'!$AA$2:$AA$115,MATCH(1,($A6='Offer Statistics'!$T$2:$T$115)*($T$2='Offer Statistics'!$U$2:$U$115),0)),"/")</f>
        <v>6381</v>
      </c>
      <c r="AC6" s="271" cm="1">
        <f t="array" ref="AC6">IFERROR(INDEX('Offer Statistics'!V$2:V$115,MATCH(1,($A6='Offer Statistics'!$T$2:$T$115)*($T$2='Offer Statistics'!$U$2:$U$115),0)),"/")</f>
        <v>1258</v>
      </c>
      <c r="AD6" s="271" cm="1">
        <f t="array" ref="AD6">IFERROR(INDEX('Offer Statistics'!W$2:W$115,MATCH(1,($A6='Offer Statistics'!$T$2:$T$115)*($T$2='Offer Statistics'!$U$2:$U$115),0)),"/")</f>
        <v>1183</v>
      </c>
      <c r="AE6" s="271" cm="1">
        <f t="array" ref="AE6">IFERROR(INDEX('Offer Statistics'!X$2:X$115,MATCH(1,($A6='Offer Statistics'!$T$2:$T$115)*($T$2='Offer Statistics'!$U$2:$U$115),0)),"/")</f>
        <v>1400</v>
      </c>
      <c r="AF6" s="271" cm="1">
        <f t="array" ref="AF6">IFERROR(INDEX('Offer Statistics'!Y$2:Y$115,MATCH(1,($A6='Offer Statistics'!$T$2:$T$115)*($T$2='Offer Statistics'!$U$2:$U$115),0)),"/")</f>
        <v>1464</v>
      </c>
      <c r="AG6" s="271" cm="1">
        <f t="array" ref="AG6">IFERROR(INDEX('Offer Statistics'!Z$2:Z$115,MATCH(1,($A6='Offer Statistics'!$T$2:$T$115)*($T$2='Offer Statistics'!$U$2:$U$115),0)),"/")</f>
        <v>1076</v>
      </c>
      <c r="AI6" s="15" t="str">
        <f t="shared" si="2"/>
        <v>JS2120</v>
      </c>
    </row>
    <row r="7" spans="1:35" s="44" customFormat="1" ht="18" customHeight="1" x14ac:dyDescent="0.3">
      <c r="A7" s="4" t="str">
        <f>'Reference Score Calculation'!A74</f>
        <v>JS2310</v>
      </c>
      <c r="B7" s="4" t="str">
        <f>'Reference Score Calculation'!C74</f>
        <v>傳理學院</v>
      </c>
      <c r="C7" s="4" t="str">
        <f>'Reference Score Calculation'!D74</f>
        <v>傳理學學士(榮譽) (新聞與數碼媒體 / 公關及廣告)</v>
      </c>
      <c r="D7" s="4" t="str">
        <f>'Reference Score Calculation'!T74</f>
        <v>BCOMM</v>
      </c>
      <c r="E7" s="82" t="str">
        <f>'Reference Score Calculation'!AD74</f>
        <v>Best 5</v>
      </c>
      <c r="F7" s="6" t="str">
        <f>'Reference Score Calculation'!G74</f>
        <v>/</v>
      </c>
      <c r="G7" s="6" t="str">
        <f>'Reference Score Calculation'!H74</f>
        <v>/</v>
      </c>
      <c r="H7" s="46">
        <f>計分版!H95</f>
        <v>3.0250000000000006E-9</v>
      </c>
      <c r="I7" s="25" t="s">
        <v>1978</v>
      </c>
      <c r="J7" s="26" t="s">
        <v>1978</v>
      </c>
      <c r="K7" s="567">
        <f>入學要求!C83</f>
        <v>77</v>
      </c>
      <c r="L7" s="102">
        <f>入學要求!R83</f>
        <v>0</v>
      </c>
      <c r="M7" s="101"/>
      <c r="N7" s="189">
        <f>入學要求!D83</f>
        <v>3</v>
      </c>
      <c r="O7" s="189">
        <f>入學要求!E83</f>
        <v>3</v>
      </c>
      <c r="P7" s="189">
        <f>入學要求!F83</f>
        <v>2</v>
      </c>
      <c r="Q7" s="189">
        <f>入學要求!G83</f>
        <v>2</v>
      </c>
      <c r="R7" s="189">
        <f>入學要求!H83</f>
        <v>3</v>
      </c>
      <c r="S7" s="189">
        <f>入學要求!I83</f>
        <v>3</v>
      </c>
      <c r="T7" s="576"/>
      <c r="U7" s="265" cm="1">
        <f t="array" ref="U7">IFERROR(INDEX('Offer Statistics'!$AI$2:$AI$115,MATCH(1,($A7='Offer Statistics'!$T$2:$T$115)*($T$2='Offer Statistics'!$AC$2:$AC$115),0)),"/")</f>
        <v>89</v>
      </c>
      <c r="V7" s="271" cm="1">
        <f t="array" ref="V7">IFERROR(INDEX('Offer Statistics'!AD$2:AD$115,MATCH(1,($A7='Offer Statistics'!$T$2:$T$115)*($T$2='Offer Statistics'!$AC$2:$AC$115),0)),"/")</f>
        <v>84</v>
      </c>
      <c r="W7" s="271" cm="1">
        <f t="array" ref="W7">IFERROR(INDEX('Offer Statistics'!AE$2:AE$115,MATCH(1,($A7='Offer Statistics'!$T$2:$T$115)*($T$2='Offer Statistics'!$AC$2:$AC$115),0)),"/")</f>
        <v>3</v>
      </c>
      <c r="X7" s="271" cm="1">
        <f t="array" ref="X7">IFERROR(INDEX('Offer Statistics'!AF$2:AF$115,MATCH(1,($A7='Offer Statistics'!$T$2:$T$115)*($T$2='Offer Statistics'!$AC$2:$AC$115),0)),"/")</f>
        <v>1</v>
      </c>
      <c r="Y7" s="271" cm="1">
        <f t="array" ref="Y7">IFERROR(INDEX('Offer Statistics'!AG$2:AG$115,MATCH(1,($A7='Offer Statistics'!$T$2:$T$115)*($T$2='Offer Statistics'!$AC$2:$AC$115),0)),"/")</f>
        <v>1</v>
      </c>
      <c r="Z7" s="271" cm="1">
        <f t="array" ref="Z7">IFERROR(INDEX('Offer Statistics'!AH$2:AH$115,MATCH(1,($A7='Offer Statistics'!$T$2:$T$115)*($T$2='Offer Statistics'!$AC$2:$AC$115),0)),"/")</f>
        <v>0</v>
      </c>
      <c r="AA7" s="580"/>
      <c r="AB7" s="265" cm="1">
        <f t="array" ref="AB7">IFERROR(INDEX('Offer Statistics'!$AA$2:$AA$115,MATCH(1,($A7='Offer Statistics'!$T$2:$T$115)*($T$2='Offer Statistics'!$U$2:$U$115),0)),"/")</f>
        <v>4019</v>
      </c>
      <c r="AC7" s="271" cm="1">
        <f t="array" ref="AC7">IFERROR(INDEX('Offer Statistics'!V$2:V$115,MATCH(1,($A7='Offer Statistics'!$T$2:$T$115)*($T$2='Offer Statistics'!$U$2:$U$115),0)),"/")</f>
        <v>560</v>
      </c>
      <c r="AD7" s="271" cm="1">
        <f t="array" ref="AD7">IFERROR(INDEX('Offer Statistics'!W$2:W$115,MATCH(1,($A7='Offer Statistics'!$T$2:$T$115)*($T$2='Offer Statistics'!$U$2:$U$115),0)),"/")</f>
        <v>583</v>
      </c>
      <c r="AE7" s="271" cm="1">
        <f t="array" ref="AE7">IFERROR(INDEX('Offer Statistics'!X$2:X$115,MATCH(1,($A7='Offer Statistics'!$T$2:$T$115)*($T$2='Offer Statistics'!$U$2:$U$115),0)),"/")</f>
        <v>871</v>
      </c>
      <c r="AF7" s="271" cm="1">
        <f t="array" ref="AF7">IFERROR(INDEX('Offer Statistics'!Y$2:Y$115,MATCH(1,($A7='Offer Statistics'!$T$2:$T$115)*($T$2='Offer Statistics'!$U$2:$U$115),0)),"/")</f>
        <v>1122</v>
      </c>
      <c r="AG7" s="271" cm="1">
        <f t="array" ref="AG7">IFERROR(INDEX('Offer Statistics'!Z$2:Z$115,MATCH(1,($A7='Offer Statistics'!$T$2:$T$115)*($T$2='Offer Statistics'!$U$2:$U$115),0)),"/")</f>
        <v>883</v>
      </c>
      <c r="AH7" s="4"/>
      <c r="AI7" s="15" t="str">
        <f t="shared" si="2"/>
        <v>JS2310</v>
      </c>
    </row>
    <row r="8" spans="1:35" s="44" customFormat="1" ht="18" customHeight="1" x14ac:dyDescent="0.3">
      <c r="A8" s="4" t="str">
        <f>'Reference Score Calculation'!A75</f>
        <v>JS2330</v>
      </c>
      <c r="B8" s="4" t="str">
        <f>'Reference Score Calculation'!C75</f>
        <v>傳理學院</v>
      </c>
      <c r="C8" s="4" t="str">
        <f>'Reference Score Calculation'!D75</f>
        <v>傳理學學士(榮譽) - 電影主修 - 電影電視專修</v>
      </c>
      <c r="D8" s="4" t="str">
        <f>'Reference Score Calculation'!T75</f>
        <v>BCOMM(FTV)</v>
      </c>
      <c r="E8" s="19" t="str">
        <f>'Reference Score Calculation'!E75</f>
        <v>Best 5</v>
      </c>
      <c r="F8" s="6">
        <f>'Reference Score Calculation'!G75</f>
        <v>24</v>
      </c>
      <c r="G8" s="6">
        <f>'Reference Score Calculation'!H75</f>
        <v>23</v>
      </c>
      <c r="H8" s="46">
        <f>計分版!H96</f>
        <v>3.0250000000000006E-9</v>
      </c>
      <c r="I8" s="25">
        <f t="shared" si="0"/>
        <v>-23.999999996974999</v>
      </c>
      <c r="J8" s="26">
        <f t="shared" si="1"/>
        <v>-7933884296.5206594</v>
      </c>
      <c r="K8" s="567">
        <f>入學要求!C84</f>
        <v>18</v>
      </c>
      <c r="L8" s="102">
        <f>入學要求!R84</f>
        <v>0</v>
      </c>
      <c r="M8" s="27"/>
      <c r="N8" s="189">
        <f>入學要求!D84</f>
        <v>3</v>
      </c>
      <c r="O8" s="189">
        <f>入學要求!E84</f>
        <v>3</v>
      </c>
      <c r="P8" s="189">
        <f>入學要求!F84</f>
        <v>2</v>
      </c>
      <c r="Q8" s="189">
        <f>入學要求!G84</f>
        <v>2</v>
      </c>
      <c r="R8" s="189">
        <f>入學要求!H84</f>
        <v>3</v>
      </c>
      <c r="S8" s="189">
        <f>入學要求!I84</f>
        <v>3</v>
      </c>
      <c r="T8" s="576"/>
      <c r="U8" s="265" cm="1">
        <f t="array" ref="U8">IFERROR(INDEX('Offer Statistics'!$AI$2:$AI$115,MATCH(1,($A8='Offer Statistics'!$T$2:$T$115)*($T$2='Offer Statistics'!$AC$2:$AC$115),0)),"/")</f>
        <v>23</v>
      </c>
      <c r="V8" s="271" cm="1">
        <f t="array" ref="V8">IFERROR(INDEX('Offer Statistics'!AD$2:AD$115,MATCH(1,($A8='Offer Statistics'!$T$2:$T$115)*($T$2='Offer Statistics'!$AC$2:$AC$115),0)),"/")</f>
        <v>23</v>
      </c>
      <c r="W8" s="271" cm="1">
        <f t="array" ref="W8">IFERROR(INDEX('Offer Statistics'!AE$2:AE$115,MATCH(1,($A8='Offer Statistics'!$T$2:$T$115)*($T$2='Offer Statistics'!$AC$2:$AC$115),0)),"/")</f>
        <v>0</v>
      </c>
      <c r="X8" s="271" cm="1">
        <f t="array" ref="X8">IFERROR(INDEX('Offer Statistics'!AF$2:AF$115,MATCH(1,($A8='Offer Statistics'!$T$2:$T$115)*($T$2='Offer Statistics'!$AC$2:$AC$115),0)),"/")</f>
        <v>0</v>
      </c>
      <c r="Y8" s="271" cm="1">
        <f t="array" ref="Y8">IFERROR(INDEX('Offer Statistics'!AG$2:AG$115,MATCH(1,($A8='Offer Statistics'!$T$2:$T$115)*($T$2='Offer Statistics'!$AC$2:$AC$115),0)),"/")</f>
        <v>0</v>
      </c>
      <c r="Z8" s="271" cm="1">
        <f t="array" ref="Z8">IFERROR(INDEX('Offer Statistics'!AH$2:AH$115,MATCH(1,($A8='Offer Statistics'!$T$2:$T$115)*($T$2='Offer Statistics'!$AC$2:$AC$115),0)),"/")</f>
        <v>0</v>
      </c>
      <c r="AA8" s="580"/>
      <c r="AB8" s="265" cm="1">
        <f t="array" ref="AB8">IFERROR(INDEX('Offer Statistics'!$AA$2:$AA$115,MATCH(1,($A8='Offer Statistics'!$T$2:$T$115)*($T$2='Offer Statistics'!$U$2:$U$115),0)),"/")</f>
        <v>2581</v>
      </c>
      <c r="AC8" s="271" cm="1">
        <f t="array" ref="AC8">IFERROR(INDEX('Offer Statistics'!V$2:V$115,MATCH(1,($A8='Offer Statistics'!$T$2:$T$115)*($T$2='Offer Statistics'!$U$2:$U$115),0)),"/")</f>
        <v>499</v>
      </c>
      <c r="AD8" s="271" cm="1">
        <f t="array" ref="AD8">IFERROR(INDEX('Offer Statistics'!W$2:W$115,MATCH(1,($A8='Offer Statistics'!$T$2:$T$115)*($T$2='Offer Statistics'!$U$2:$U$115),0)),"/")</f>
        <v>359</v>
      </c>
      <c r="AE8" s="271" cm="1">
        <f t="array" ref="AE8">IFERROR(INDEX('Offer Statistics'!X$2:X$115,MATCH(1,($A8='Offer Statistics'!$T$2:$T$115)*($T$2='Offer Statistics'!$U$2:$U$115),0)),"/")</f>
        <v>544</v>
      </c>
      <c r="AF8" s="271" cm="1">
        <f t="array" ref="AF8">IFERROR(INDEX('Offer Statistics'!Y$2:Y$115,MATCH(1,($A8='Offer Statistics'!$T$2:$T$115)*($T$2='Offer Statistics'!$U$2:$U$115),0)),"/")</f>
        <v>663</v>
      </c>
      <c r="AG8" s="271" cm="1">
        <f t="array" ref="AG8">IFERROR(INDEX('Offer Statistics'!Z$2:Z$115,MATCH(1,($A8='Offer Statistics'!$T$2:$T$115)*($T$2='Offer Statistics'!$U$2:$U$115),0)),"/")</f>
        <v>516</v>
      </c>
      <c r="AH8" s="4"/>
      <c r="AI8" s="15" t="str">
        <f t="shared" si="2"/>
        <v>JS2330</v>
      </c>
    </row>
    <row r="9" spans="1:35" ht="18" customHeight="1" x14ac:dyDescent="0.3">
      <c r="A9" s="4" t="str">
        <f>'Reference Score Calculation'!A76</f>
        <v>JS2340</v>
      </c>
      <c r="B9" s="4" t="str">
        <f>'Reference Score Calculation'!C76</f>
        <v>傳理學院</v>
      </c>
      <c r="C9" s="4" t="str">
        <f>'Reference Score Calculation'!D76</f>
        <v>環球螢幕演技藝術學士(榮譽)</v>
      </c>
      <c r="D9" s="4" t="str">
        <f>'Reference Score Calculation'!T76</f>
        <v>BFA(AGS)</v>
      </c>
      <c r="E9" s="190" t="str">
        <f>'Reference Score Calculation'!E76</f>
        <v>Best 5</v>
      </c>
      <c r="F9" s="6">
        <f>'Reference Score Calculation'!G76</f>
        <v>19</v>
      </c>
      <c r="G9" s="6">
        <f>'Reference Score Calculation'!H76</f>
        <v>19</v>
      </c>
      <c r="H9" s="46">
        <f>計分版!H97</f>
        <v>3.5500000000000004E-9</v>
      </c>
      <c r="I9" s="25">
        <f t="shared" si="0"/>
        <v>-18.999999996450001</v>
      </c>
      <c r="J9" s="26">
        <f t="shared" si="1"/>
        <v>-5352112675.0563374</v>
      </c>
      <c r="K9" s="567">
        <f>入學要求!C85</f>
        <v>8</v>
      </c>
      <c r="L9" s="102">
        <f>入學要求!R85</f>
        <v>0</v>
      </c>
      <c r="M9" s="27"/>
      <c r="N9" s="189">
        <f>入學要求!D85</f>
        <v>3</v>
      </c>
      <c r="O9" s="189">
        <f>入學要求!E85</f>
        <v>3</v>
      </c>
      <c r="P9" s="189">
        <f>入學要求!F85</f>
        <v>2</v>
      </c>
      <c r="Q9" s="189">
        <f>入學要求!G85</f>
        <v>2</v>
      </c>
      <c r="R9" s="189">
        <f>入學要求!H85</f>
        <v>3</v>
      </c>
      <c r="S9" s="189">
        <f>入學要求!I85</f>
        <v>3</v>
      </c>
      <c r="T9" s="576"/>
      <c r="U9" s="265" cm="1">
        <f t="array" ref="U9">IFERROR(INDEX('Offer Statistics'!$AI$2:$AI$115,MATCH(1,($A9='Offer Statistics'!$T$2:$T$115)*($T$2='Offer Statistics'!$AC$2:$AC$115),0)),"/")</f>
        <v>10</v>
      </c>
      <c r="V9" s="271" cm="1">
        <f t="array" ref="V9">IFERROR(INDEX('Offer Statistics'!AD$2:AD$115,MATCH(1,($A9='Offer Statistics'!$T$2:$T$115)*($T$2='Offer Statistics'!$AC$2:$AC$115),0)),"/")</f>
        <v>10</v>
      </c>
      <c r="W9" s="271" cm="1">
        <f t="array" ref="W9">IFERROR(INDEX('Offer Statistics'!AE$2:AE$115,MATCH(1,($A9='Offer Statistics'!$T$2:$T$115)*($T$2='Offer Statistics'!$AC$2:$AC$115),0)),"/")</f>
        <v>0</v>
      </c>
      <c r="X9" s="271" cm="1">
        <f t="array" ref="X9">IFERROR(INDEX('Offer Statistics'!AF$2:AF$115,MATCH(1,($A9='Offer Statistics'!$T$2:$T$115)*($T$2='Offer Statistics'!$AC$2:$AC$115),0)),"/")</f>
        <v>0</v>
      </c>
      <c r="Y9" s="271" cm="1">
        <f t="array" ref="Y9">IFERROR(INDEX('Offer Statistics'!AG$2:AG$115,MATCH(1,($A9='Offer Statistics'!$T$2:$T$115)*($T$2='Offer Statistics'!$AC$2:$AC$115),0)),"/")</f>
        <v>0</v>
      </c>
      <c r="Z9" s="271" cm="1">
        <f t="array" ref="Z9">IFERROR(INDEX('Offer Statistics'!AH$2:AH$115,MATCH(1,($A9='Offer Statistics'!$T$2:$T$115)*($T$2='Offer Statistics'!$AC$2:$AC$115),0)),"/")</f>
        <v>0</v>
      </c>
      <c r="AA9" s="580"/>
      <c r="AB9" s="265" cm="1">
        <f t="array" ref="AB9">IFERROR(INDEX('Offer Statistics'!$AA$2:$AA$115,MATCH(1,($A9='Offer Statistics'!$T$2:$T$115)*($T$2='Offer Statistics'!$U$2:$U$115),0)),"/")</f>
        <v>598</v>
      </c>
      <c r="AC9" s="271" cm="1">
        <f t="array" ref="AC9">IFERROR(INDEX('Offer Statistics'!V$2:V$115,MATCH(1,($A9='Offer Statistics'!$T$2:$T$115)*($T$2='Offer Statistics'!$U$2:$U$115),0)),"/")</f>
        <v>102</v>
      </c>
      <c r="AD9" s="271" cm="1">
        <f t="array" ref="AD9">IFERROR(INDEX('Offer Statistics'!W$2:W$115,MATCH(1,($A9='Offer Statistics'!$T$2:$T$115)*($T$2='Offer Statistics'!$U$2:$U$115),0)),"/")</f>
        <v>67</v>
      </c>
      <c r="AE9" s="271" cm="1">
        <f t="array" ref="AE9">IFERROR(INDEX('Offer Statistics'!X$2:X$115,MATCH(1,($A9='Offer Statistics'!$T$2:$T$115)*($T$2='Offer Statistics'!$U$2:$U$115),0)),"/")</f>
        <v>131</v>
      </c>
      <c r="AF9" s="271" cm="1">
        <f t="array" ref="AF9">IFERROR(INDEX('Offer Statistics'!Y$2:Y$115,MATCH(1,($A9='Offer Statistics'!$T$2:$T$115)*($T$2='Offer Statistics'!$U$2:$U$115),0)),"/")</f>
        <v>145</v>
      </c>
      <c r="AG9" s="271" cm="1">
        <f t="array" ref="AG9">IFERROR(INDEX('Offer Statistics'!Z$2:Z$115,MATCH(1,($A9='Offer Statistics'!$T$2:$T$115)*($T$2='Offer Statistics'!$U$2:$U$115),0)),"/")</f>
        <v>153</v>
      </c>
      <c r="AI9" s="15" t="str">
        <f t="shared" si="2"/>
        <v>JS2340</v>
      </c>
    </row>
    <row r="10" spans="1:35" s="44" customFormat="1" ht="18" customHeight="1" x14ac:dyDescent="0.3">
      <c r="A10" s="4" t="str">
        <f>'Reference Score Calculation'!A77</f>
        <v>JS2370</v>
      </c>
      <c r="B10" s="4" t="str">
        <f>'Reference Score Calculation'!C77</f>
        <v>傳理學院</v>
      </c>
      <c r="C10" s="4" t="str">
        <f>'Reference Score Calculation'!D77</f>
        <v>傳理學學士(榮譽) - 遊戲設計與動畫主修</v>
      </c>
      <c r="D10" s="4" t="str">
        <f>'Reference Score Calculation'!T77</f>
        <v>BCOMM(GDA)</v>
      </c>
      <c r="E10" s="82" t="str">
        <f>'Reference Score Calculation'!AD77</f>
        <v>Best 5</v>
      </c>
      <c r="F10" s="6" t="str">
        <f>'Reference Score Calculation'!G77</f>
        <v>/</v>
      </c>
      <c r="G10" s="6" t="str">
        <f>'Reference Score Calculation'!H77</f>
        <v>/</v>
      </c>
      <c r="H10" s="46">
        <f>計分版!H98</f>
        <v>3.0250000000000006E-9</v>
      </c>
      <c r="I10" s="7" t="s">
        <v>1978</v>
      </c>
      <c r="J10" s="8" t="s">
        <v>1978</v>
      </c>
      <c r="K10" s="567">
        <f>入學要求!C86</f>
        <v>20</v>
      </c>
      <c r="L10" s="102">
        <f>入學要求!R86</f>
        <v>0</v>
      </c>
      <c r="M10" s="27"/>
      <c r="N10" s="189">
        <f>入學要求!D86</f>
        <v>3</v>
      </c>
      <c r="O10" s="189">
        <f>入學要求!E86</f>
        <v>3</v>
      </c>
      <c r="P10" s="189">
        <f>入學要求!F86</f>
        <v>2</v>
      </c>
      <c r="Q10" s="189">
        <f>入學要求!G86</f>
        <v>2</v>
      </c>
      <c r="R10" s="189">
        <f>入學要求!H86</f>
        <v>3</v>
      </c>
      <c r="S10" s="189">
        <f>入學要求!I86</f>
        <v>3</v>
      </c>
      <c r="T10" s="576"/>
      <c r="U10" s="265" cm="1">
        <f t="array" ref="U10">IFERROR(INDEX('Offer Statistics'!$AI$2:$AI$115,MATCH(1,($A10='Offer Statistics'!$T$2:$T$115)*($T$2='Offer Statistics'!$AC$2:$AC$115),0)),"/")</f>
        <v>11</v>
      </c>
      <c r="V10" s="271" cm="1">
        <f t="array" ref="V10">IFERROR(INDEX('Offer Statistics'!AD$2:AD$115,MATCH(1,($A10='Offer Statistics'!$T$2:$T$115)*($T$2='Offer Statistics'!$AC$2:$AC$115),0)),"/")</f>
        <v>11</v>
      </c>
      <c r="W10" s="271" cm="1">
        <f t="array" ref="W10">IFERROR(INDEX('Offer Statistics'!AE$2:AE$115,MATCH(1,($A10='Offer Statistics'!$T$2:$T$115)*($T$2='Offer Statistics'!$AC$2:$AC$115),0)),"/")</f>
        <v>0</v>
      </c>
      <c r="X10" s="271" cm="1">
        <f t="array" ref="X10">IFERROR(INDEX('Offer Statistics'!AF$2:AF$115,MATCH(1,($A10='Offer Statistics'!$T$2:$T$115)*($T$2='Offer Statistics'!$AC$2:$AC$115),0)),"/")</f>
        <v>0</v>
      </c>
      <c r="Y10" s="271" cm="1">
        <f t="array" ref="Y10">IFERROR(INDEX('Offer Statistics'!AG$2:AG$115,MATCH(1,($A10='Offer Statistics'!$T$2:$T$115)*($T$2='Offer Statistics'!$AC$2:$AC$115),0)),"/")</f>
        <v>0</v>
      </c>
      <c r="Z10" s="271" cm="1">
        <f t="array" ref="Z10">IFERROR(INDEX('Offer Statistics'!AH$2:AH$115,MATCH(1,($A10='Offer Statistics'!$T$2:$T$115)*($T$2='Offer Statistics'!$AC$2:$AC$115),0)),"/")</f>
        <v>0</v>
      </c>
      <c r="AA10" s="580"/>
      <c r="AB10" s="265" cm="1">
        <f t="array" ref="AB10">IFERROR(INDEX('Offer Statistics'!$AA$2:$AA$115,MATCH(1,($A10='Offer Statistics'!$T$2:$T$115)*($T$2='Offer Statistics'!$U$2:$U$115),0)),"/")</f>
        <v>3019</v>
      </c>
      <c r="AC10" s="271" cm="1">
        <f t="array" ref="AC10">IFERROR(INDEX('Offer Statistics'!V$2:V$115,MATCH(1,($A10='Offer Statistics'!$T$2:$T$115)*($T$2='Offer Statistics'!$U$2:$U$115),0)),"/")</f>
        <v>480</v>
      </c>
      <c r="AD10" s="271" cm="1">
        <f t="array" ref="AD10">IFERROR(INDEX('Offer Statistics'!W$2:W$115,MATCH(1,($A10='Offer Statistics'!$T$2:$T$115)*($T$2='Offer Statistics'!$U$2:$U$115),0)),"/")</f>
        <v>509</v>
      </c>
      <c r="AE10" s="271" cm="1">
        <f t="array" ref="AE10">IFERROR(INDEX('Offer Statistics'!X$2:X$115,MATCH(1,($A10='Offer Statistics'!$T$2:$T$115)*($T$2='Offer Statistics'!$U$2:$U$115),0)),"/")</f>
        <v>678</v>
      </c>
      <c r="AF10" s="271" cm="1">
        <f t="array" ref="AF10">IFERROR(INDEX('Offer Statistics'!Y$2:Y$115,MATCH(1,($A10='Offer Statistics'!$T$2:$T$115)*($T$2='Offer Statistics'!$U$2:$U$115),0)),"/")</f>
        <v>771</v>
      </c>
      <c r="AG10" s="271" cm="1">
        <f t="array" ref="AG10">IFERROR(INDEX('Offer Statistics'!Z$2:Z$115,MATCH(1,($A10='Offer Statistics'!$T$2:$T$115)*($T$2='Offer Statistics'!$U$2:$U$115),0)),"/")</f>
        <v>581</v>
      </c>
      <c r="AH10" s="4"/>
      <c r="AI10" s="15" t="str">
        <f t="shared" si="2"/>
        <v>JS2370</v>
      </c>
    </row>
    <row r="11" spans="1:35" ht="18" customHeight="1" x14ac:dyDescent="0.3">
      <c r="A11" s="4" t="str">
        <f>'Reference Score Calculation'!A78</f>
        <v>JS2410</v>
      </c>
      <c r="B11" s="4" t="str">
        <f>'Reference Score Calculation'!C78</f>
        <v>中醫藥學院</v>
      </c>
      <c r="C11" s="4" t="str">
        <f>'Reference Score Calculation'!D78</f>
        <v>中醫學學士及生物醫學理學士(榮譽)</v>
      </c>
      <c r="D11" s="4" t="str">
        <f>'Reference Score Calculation'!T78</f>
        <v>BCM&amp;BSc(BIOMED)</v>
      </c>
      <c r="E11" s="249" t="str">
        <f>'Reference Score Calculation'!E78</f>
        <v>Best 5</v>
      </c>
      <c r="F11" s="6">
        <f>'Reference Score Calculation'!G78</f>
        <v>33.75</v>
      </c>
      <c r="G11" s="6">
        <f>'Reference Score Calculation'!H78</f>
        <v>30.75</v>
      </c>
      <c r="H11" s="46">
        <f>計分版!H99</f>
        <v>3.4999999999999999E-9</v>
      </c>
      <c r="I11" s="25">
        <f t="shared" si="0"/>
        <v>-33.749999996500001</v>
      </c>
      <c r="J11" s="26">
        <f t="shared" si="1"/>
        <v>-9642857141.8571434</v>
      </c>
      <c r="K11" s="567">
        <f>入學要求!C87</f>
        <v>40</v>
      </c>
      <c r="L11" s="102">
        <f>入學要求!R87</f>
        <v>0</v>
      </c>
      <c r="M11" s="27"/>
      <c r="N11" s="189">
        <f>入學要求!D87</f>
        <v>3</v>
      </c>
      <c r="O11" s="189">
        <f>入學要求!E87</f>
        <v>3</v>
      </c>
      <c r="P11" s="189">
        <f>入學要求!F87</f>
        <v>2</v>
      </c>
      <c r="Q11" s="189">
        <f>入學要求!G87</f>
        <v>2</v>
      </c>
      <c r="R11" s="189">
        <f>入學要求!H87</f>
        <v>3</v>
      </c>
      <c r="S11" s="189">
        <f>入學要求!I87</f>
        <v>3</v>
      </c>
      <c r="T11" s="576"/>
      <c r="U11" s="265" cm="1">
        <f t="array" ref="U11">IFERROR(INDEX('Offer Statistics'!$AI$2:$AI$115,MATCH(1,($A11='Offer Statistics'!$T$2:$T$115)*($T$2='Offer Statistics'!$AC$2:$AC$115),0)),"/")</f>
        <v>30</v>
      </c>
      <c r="V11" s="271" cm="1">
        <f t="array" ref="V11">IFERROR(INDEX('Offer Statistics'!AD$2:AD$115,MATCH(1,($A11='Offer Statistics'!$T$2:$T$115)*($T$2='Offer Statistics'!$AC$2:$AC$115),0)),"/")</f>
        <v>29</v>
      </c>
      <c r="W11" s="271" cm="1">
        <f t="array" ref="W11">IFERROR(INDEX('Offer Statistics'!AE$2:AE$115,MATCH(1,($A11='Offer Statistics'!$T$2:$T$115)*($T$2='Offer Statistics'!$AC$2:$AC$115),0)),"/")</f>
        <v>0</v>
      </c>
      <c r="X11" s="271" cm="1">
        <f t="array" ref="X11">IFERROR(INDEX('Offer Statistics'!AF$2:AF$115,MATCH(1,($A11='Offer Statistics'!$T$2:$T$115)*($T$2='Offer Statistics'!$AC$2:$AC$115),0)),"/")</f>
        <v>1</v>
      </c>
      <c r="Y11" s="271" cm="1">
        <f t="array" ref="Y11">IFERROR(INDEX('Offer Statistics'!AG$2:AG$115,MATCH(1,($A11='Offer Statistics'!$T$2:$T$115)*($T$2='Offer Statistics'!$AC$2:$AC$115),0)),"/")</f>
        <v>0</v>
      </c>
      <c r="Z11" s="271" cm="1">
        <f t="array" ref="Z11">IFERROR(INDEX('Offer Statistics'!AH$2:AH$115,MATCH(1,($A11='Offer Statistics'!$T$2:$T$115)*($T$2='Offer Statistics'!$AC$2:$AC$115),0)),"/")</f>
        <v>0</v>
      </c>
      <c r="AA11" s="580"/>
      <c r="AB11" s="265" cm="1">
        <f t="array" ref="AB11">IFERROR(INDEX('Offer Statistics'!$AA$2:$AA$115,MATCH(1,($A11='Offer Statistics'!$T$2:$T$115)*($T$2='Offer Statistics'!$U$2:$U$115),0)),"/")</f>
        <v>1219</v>
      </c>
      <c r="AC11" s="271" cm="1">
        <f t="array" ref="AC11">IFERROR(INDEX('Offer Statistics'!V$2:V$115,MATCH(1,($A11='Offer Statistics'!$T$2:$T$115)*($T$2='Offer Statistics'!$U$2:$U$115),0)),"/")</f>
        <v>196</v>
      </c>
      <c r="AD11" s="271" cm="1">
        <f t="array" ref="AD11">IFERROR(INDEX('Offer Statistics'!W$2:W$115,MATCH(1,($A11='Offer Statistics'!$T$2:$T$115)*($T$2='Offer Statistics'!$U$2:$U$115),0)),"/")</f>
        <v>145</v>
      </c>
      <c r="AE11" s="271" cm="1">
        <f t="array" ref="AE11">IFERROR(INDEX('Offer Statistics'!X$2:X$115,MATCH(1,($A11='Offer Statistics'!$T$2:$T$115)*($T$2='Offer Statistics'!$U$2:$U$115),0)),"/")</f>
        <v>255</v>
      </c>
      <c r="AF11" s="271" cm="1">
        <f t="array" ref="AF11">IFERROR(INDEX('Offer Statistics'!Y$2:Y$115,MATCH(1,($A11='Offer Statistics'!$T$2:$T$115)*($T$2='Offer Statistics'!$U$2:$U$115),0)),"/")</f>
        <v>341</v>
      </c>
      <c r="AG11" s="271" cm="1">
        <f t="array" ref="AG11">IFERROR(INDEX('Offer Statistics'!Z$2:Z$115,MATCH(1,($A11='Offer Statistics'!$T$2:$T$115)*($T$2='Offer Statistics'!$U$2:$U$115),0)),"/")</f>
        <v>282</v>
      </c>
      <c r="AI11" s="15" t="str">
        <f t="shared" si="2"/>
        <v>JS2410</v>
      </c>
    </row>
    <row r="12" spans="1:35" s="44" customFormat="1" ht="18" customHeight="1" x14ac:dyDescent="0.3">
      <c r="A12" s="4" t="str">
        <f>'Reference Score Calculation'!A79</f>
        <v>JS2420</v>
      </c>
      <c r="B12" s="4" t="str">
        <f>'Reference Score Calculation'!C79</f>
        <v>中醫藥學院</v>
      </c>
      <c r="C12" s="4" t="str">
        <f>'Reference Score Calculation'!D79</f>
        <v>中藥學學士(榮譽)</v>
      </c>
      <c r="D12" s="4" t="str">
        <f>'Reference Score Calculation'!T79</f>
        <v>BPharm</v>
      </c>
      <c r="E12" s="249" t="str">
        <f>'Reference Score Calculation'!E79</f>
        <v>Best 5</v>
      </c>
      <c r="F12" s="6">
        <f>'Reference Score Calculation'!G79</f>
        <v>27.5</v>
      </c>
      <c r="G12" s="6">
        <f>'Reference Score Calculation'!H79</f>
        <v>24.5</v>
      </c>
      <c r="H12" s="46">
        <f>計分版!H100</f>
        <v>3.4999999999999999E-9</v>
      </c>
      <c r="I12" s="25">
        <f t="shared" si="0"/>
        <v>-27.499999996500001</v>
      </c>
      <c r="J12" s="26">
        <f t="shared" si="1"/>
        <v>-7857142856.1428576</v>
      </c>
      <c r="K12" s="567">
        <f>入學要求!C88</f>
        <v>20</v>
      </c>
      <c r="L12" s="102">
        <f>入學要求!R88</f>
        <v>0</v>
      </c>
      <c r="M12" s="27"/>
      <c r="N12" s="189">
        <f>入學要求!D88</f>
        <v>3</v>
      </c>
      <c r="O12" s="189">
        <f>入學要求!E88</f>
        <v>3</v>
      </c>
      <c r="P12" s="189">
        <f>入學要求!F88</f>
        <v>2</v>
      </c>
      <c r="Q12" s="189">
        <f>入學要求!G88</f>
        <v>2</v>
      </c>
      <c r="R12" s="189">
        <f>入學要求!H88</f>
        <v>3</v>
      </c>
      <c r="S12" s="189">
        <f>入學要求!I88</f>
        <v>3</v>
      </c>
      <c r="T12" s="576"/>
      <c r="U12" s="265" cm="1">
        <f t="array" ref="U12">IFERROR(INDEX('Offer Statistics'!$AI$2:$AI$115,MATCH(1,($A12='Offer Statistics'!$T$2:$T$115)*($T$2='Offer Statistics'!$AC$2:$AC$115),0)),"/")</f>
        <v>20</v>
      </c>
      <c r="V12" s="271" cm="1">
        <f t="array" ref="V12">IFERROR(INDEX('Offer Statistics'!AD$2:AD$115,MATCH(1,($A12='Offer Statistics'!$T$2:$T$115)*($T$2='Offer Statistics'!$AC$2:$AC$115),0)),"/")</f>
        <v>16</v>
      </c>
      <c r="W12" s="271" cm="1">
        <f t="array" ref="W12">IFERROR(INDEX('Offer Statistics'!AE$2:AE$115,MATCH(1,($A12='Offer Statistics'!$T$2:$T$115)*($T$2='Offer Statistics'!$AC$2:$AC$115),0)),"/")</f>
        <v>4</v>
      </c>
      <c r="X12" s="271" cm="1">
        <f t="array" ref="X12">IFERROR(INDEX('Offer Statistics'!AF$2:AF$115,MATCH(1,($A12='Offer Statistics'!$T$2:$T$115)*($T$2='Offer Statistics'!$AC$2:$AC$115),0)),"/")</f>
        <v>0</v>
      </c>
      <c r="Y12" s="271" cm="1">
        <f t="array" ref="Y12">IFERROR(INDEX('Offer Statistics'!AG$2:AG$115,MATCH(1,($A12='Offer Statistics'!$T$2:$T$115)*($T$2='Offer Statistics'!$AC$2:$AC$115),0)),"/")</f>
        <v>0</v>
      </c>
      <c r="Z12" s="271" cm="1">
        <f t="array" ref="Z12">IFERROR(INDEX('Offer Statistics'!AH$2:AH$115,MATCH(1,($A12='Offer Statistics'!$T$2:$T$115)*($T$2='Offer Statistics'!$AC$2:$AC$115),0)),"/")</f>
        <v>0</v>
      </c>
      <c r="AA12" s="580"/>
      <c r="AB12" s="265" cm="1">
        <f t="array" ref="AB12">IFERROR(INDEX('Offer Statistics'!$AA$2:$AA$115,MATCH(1,($A12='Offer Statistics'!$T$2:$T$115)*($T$2='Offer Statistics'!$U$2:$U$115),0)),"/")</f>
        <v>1673</v>
      </c>
      <c r="AC12" s="271" cm="1">
        <f t="array" ref="AC12">IFERROR(INDEX('Offer Statistics'!V$2:V$115,MATCH(1,($A12='Offer Statistics'!$T$2:$T$115)*($T$2='Offer Statistics'!$U$2:$U$115),0)),"/")</f>
        <v>206</v>
      </c>
      <c r="AD12" s="271" cm="1">
        <f t="array" ref="AD12">IFERROR(INDEX('Offer Statistics'!W$2:W$115,MATCH(1,($A12='Offer Statistics'!$T$2:$T$115)*($T$2='Offer Statistics'!$U$2:$U$115),0)),"/")</f>
        <v>227</v>
      </c>
      <c r="AE12" s="271" cm="1">
        <f t="array" ref="AE12">IFERROR(INDEX('Offer Statistics'!X$2:X$115,MATCH(1,($A12='Offer Statistics'!$T$2:$T$115)*($T$2='Offer Statistics'!$U$2:$U$115),0)),"/")</f>
        <v>360</v>
      </c>
      <c r="AF12" s="271" cm="1">
        <f t="array" ref="AF12">IFERROR(INDEX('Offer Statistics'!Y$2:Y$115,MATCH(1,($A12='Offer Statistics'!$T$2:$T$115)*($T$2='Offer Statistics'!$U$2:$U$115),0)),"/")</f>
        <v>490</v>
      </c>
      <c r="AG12" s="271" cm="1">
        <f t="array" ref="AG12">IFERROR(INDEX('Offer Statistics'!Z$2:Z$115,MATCH(1,($A12='Offer Statistics'!$T$2:$T$115)*($T$2='Offer Statistics'!$U$2:$U$115),0)),"/")</f>
        <v>390</v>
      </c>
      <c r="AH12" s="4"/>
      <c r="AI12" s="15" t="str">
        <f t="shared" si="2"/>
        <v>JS2420</v>
      </c>
    </row>
    <row r="13" spans="1:35" ht="18" customHeight="1" x14ac:dyDescent="0.3">
      <c r="A13" s="4" t="str">
        <f>'Reference Score Calculation'!A80</f>
        <v>JS2510</v>
      </c>
      <c r="B13" s="4" t="str">
        <f>'Reference Score Calculation'!C80</f>
        <v>理學院</v>
      </c>
      <c r="C13" s="4" t="str">
        <f>'Reference Score Calculation'!D80</f>
        <v>理學士(榮譽)</v>
      </c>
      <c r="D13" s="4" t="str">
        <f>'Reference Score Calculation'!T80</f>
        <v>BSc</v>
      </c>
      <c r="E13" s="190" t="str">
        <f>'Reference Score Calculation'!E80</f>
        <v>4C2X</v>
      </c>
      <c r="F13" s="6">
        <f>'Reference Score Calculation'!G80</f>
        <v>21</v>
      </c>
      <c r="G13" s="6">
        <f>'Reference Score Calculation'!H80</f>
        <v>20</v>
      </c>
      <c r="H13" s="46">
        <f>計分版!H101</f>
        <v>2.8499999999999999E-9</v>
      </c>
      <c r="I13" s="25">
        <f t="shared" si="0"/>
        <v>-20.999999997149999</v>
      </c>
      <c r="J13" s="26">
        <f t="shared" si="1"/>
        <v>-7368421051.6315784</v>
      </c>
      <c r="K13" s="567">
        <f>入學要求!C89</f>
        <v>195</v>
      </c>
      <c r="L13" s="102">
        <f>入學要求!R89</f>
        <v>0</v>
      </c>
      <c r="M13" s="27"/>
      <c r="N13" s="189">
        <f>入學要求!D89</f>
        <v>3</v>
      </c>
      <c r="O13" s="189">
        <f>入學要求!E89</f>
        <v>3</v>
      </c>
      <c r="P13" s="189">
        <f>入學要求!F89</f>
        <v>2</v>
      </c>
      <c r="Q13" s="189">
        <f>入學要求!G89</f>
        <v>2</v>
      </c>
      <c r="R13" s="189">
        <f>入學要求!H89</f>
        <v>3</v>
      </c>
      <c r="S13" s="189">
        <f>入學要求!I89</f>
        <v>3</v>
      </c>
      <c r="T13" s="576"/>
      <c r="U13" s="265" cm="1">
        <f t="array" ref="U13">IFERROR(INDEX('Offer Statistics'!$AI$2:$AI$115,MATCH(1,($A13='Offer Statistics'!$T$2:$T$115)*($T$2='Offer Statistics'!$AC$2:$AC$115),0)),"/")</f>
        <v>249</v>
      </c>
      <c r="V13" s="271" cm="1">
        <f t="array" ref="V13">IFERROR(INDEX('Offer Statistics'!AD$2:AD$115,MATCH(1,($A13='Offer Statistics'!$T$2:$T$115)*($T$2='Offer Statistics'!$AC$2:$AC$115),0)),"/")</f>
        <v>186</v>
      </c>
      <c r="W13" s="271" cm="1">
        <f t="array" ref="W13">IFERROR(INDEX('Offer Statistics'!AE$2:AE$115,MATCH(1,($A13='Offer Statistics'!$T$2:$T$115)*($T$2='Offer Statistics'!$AC$2:$AC$115),0)),"/")</f>
        <v>39</v>
      </c>
      <c r="X13" s="271" cm="1">
        <f t="array" ref="X13">IFERROR(INDEX('Offer Statistics'!AF$2:AF$115,MATCH(1,($A13='Offer Statistics'!$T$2:$T$115)*($T$2='Offer Statistics'!$AC$2:$AC$115),0)),"/")</f>
        <v>14</v>
      </c>
      <c r="Y13" s="271" cm="1">
        <f t="array" ref="Y13">IFERROR(INDEX('Offer Statistics'!AG$2:AG$115,MATCH(1,($A13='Offer Statistics'!$T$2:$T$115)*($T$2='Offer Statistics'!$AC$2:$AC$115),0)),"/")</f>
        <v>7</v>
      </c>
      <c r="Z13" s="271" cm="1">
        <f t="array" ref="Z13">IFERROR(INDEX('Offer Statistics'!AH$2:AH$115,MATCH(1,($A13='Offer Statistics'!$T$2:$T$115)*($T$2='Offer Statistics'!$AC$2:$AC$115),0)),"/")</f>
        <v>3</v>
      </c>
      <c r="AA13" s="580"/>
      <c r="AB13" s="265" cm="1">
        <f t="array" ref="AB13">IFERROR(INDEX('Offer Statistics'!$AA$2:$AA$115,MATCH(1,($A13='Offer Statistics'!$T$2:$T$115)*($T$2='Offer Statistics'!$U$2:$U$115),0)),"/")</f>
        <v>4524</v>
      </c>
      <c r="AC13" s="271" cm="1">
        <f t="array" ref="AC13">IFERROR(INDEX('Offer Statistics'!V$2:V$115,MATCH(1,($A13='Offer Statistics'!$T$2:$T$115)*($T$2='Offer Statistics'!$U$2:$U$115),0)),"/")</f>
        <v>665</v>
      </c>
      <c r="AD13" s="271" cm="1">
        <f t="array" ref="AD13">IFERROR(INDEX('Offer Statistics'!W$2:W$115,MATCH(1,($A13='Offer Statistics'!$T$2:$T$115)*($T$2='Offer Statistics'!$U$2:$U$115),0)),"/")</f>
        <v>927</v>
      </c>
      <c r="AE13" s="271" cm="1">
        <f t="array" ref="AE13">IFERROR(INDEX('Offer Statistics'!X$2:X$115,MATCH(1,($A13='Offer Statistics'!$T$2:$T$115)*($T$2='Offer Statistics'!$U$2:$U$115),0)),"/")</f>
        <v>1020</v>
      </c>
      <c r="AF13" s="271" cm="1">
        <f t="array" ref="AF13">IFERROR(INDEX('Offer Statistics'!Y$2:Y$115,MATCH(1,($A13='Offer Statistics'!$T$2:$T$115)*($T$2='Offer Statistics'!$U$2:$U$115),0)),"/")</f>
        <v>1082</v>
      </c>
      <c r="AG13" s="271" cm="1">
        <f t="array" ref="AG13">IFERROR(INDEX('Offer Statistics'!Z$2:Z$115,MATCH(1,($A13='Offer Statistics'!$T$2:$T$115)*($T$2='Offer Statistics'!$U$2:$U$115),0)),"/")</f>
        <v>830</v>
      </c>
      <c r="AI13" s="15" t="str">
        <f t="shared" si="2"/>
        <v>JS2510</v>
      </c>
    </row>
    <row r="14" spans="1:35" s="44" customFormat="1" ht="18" customHeight="1" x14ac:dyDescent="0.3">
      <c r="A14" s="4" t="str">
        <f>'Reference Score Calculation'!A81</f>
        <v>JS2610</v>
      </c>
      <c r="B14" s="4" t="str">
        <f>'Reference Score Calculation'!C81</f>
        <v>社會科學院</v>
      </c>
      <c r="C14" s="4" t="str">
        <f>'Reference Score Calculation'!D81</f>
        <v>文學士(榮譽) / 社會科學學士(榮譽) (歐洲研究 [法文/德文] / 地理 / 全球及中國研究 / 政治及國際關係學 / 歷史 / 社會學)</v>
      </c>
      <c r="D14" s="4" t="str">
        <f>'Reference Score Calculation'!T81</f>
        <v>BA/BSocSc</v>
      </c>
      <c r="E14" s="19" t="str">
        <f>'Reference Score Calculation'!E81</f>
        <v>4C2X</v>
      </c>
      <c r="F14" s="6">
        <f>'Reference Score Calculation'!G81</f>
        <v>28</v>
      </c>
      <c r="G14" s="6">
        <f>'Reference Score Calculation'!H81</f>
        <v>27</v>
      </c>
      <c r="H14" s="46">
        <f>計分版!H102</f>
        <v>3.05E-9</v>
      </c>
      <c r="I14" s="25">
        <f t="shared" si="0"/>
        <v>-27.999999996949999</v>
      </c>
      <c r="J14" s="26">
        <f t="shared" si="1"/>
        <v>-9180327867.852459</v>
      </c>
      <c r="K14" s="567">
        <f>入學要求!C90</f>
        <v>135</v>
      </c>
      <c r="L14" s="102">
        <f>入學要求!R90</f>
        <v>0</v>
      </c>
      <c r="M14" s="27"/>
      <c r="N14" s="189">
        <f>入學要求!D90</f>
        <v>3</v>
      </c>
      <c r="O14" s="189">
        <f>入學要求!E90</f>
        <v>3</v>
      </c>
      <c r="P14" s="189">
        <f>入學要求!F90</f>
        <v>2</v>
      </c>
      <c r="Q14" s="189">
        <f>入學要求!G90</f>
        <v>2</v>
      </c>
      <c r="R14" s="189">
        <f>入學要求!H90</f>
        <v>3</v>
      </c>
      <c r="S14" s="189">
        <f>入學要求!I90</f>
        <v>3</v>
      </c>
      <c r="T14" s="576"/>
      <c r="U14" s="265" cm="1">
        <f t="array" ref="U14">IFERROR(INDEX('Offer Statistics'!$AI$2:$AI$115,MATCH(1,($A14='Offer Statistics'!$T$2:$T$115)*($T$2='Offer Statistics'!$AC$2:$AC$115),0)),"/")</f>
        <v>102</v>
      </c>
      <c r="V14" s="271" cm="1">
        <f t="array" ref="V14">IFERROR(INDEX('Offer Statistics'!AD$2:AD$115,MATCH(1,($A14='Offer Statistics'!$T$2:$T$115)*($T$2='Offer Statistics'!$AC$2:$AC$115),0)),"/")</f>
        <v>97</v>
      </c>
      <c r="W14" s="271" cm="1">
        <f t="array" ref="W14">IFERROR(INDEX('Offer Statistics'!AE$2:AE$115,MATCH(1,($A14='Offer Statistics'!$T$2:$T$115)*($T$2='Offer Statistics'!$AC$2:$AC$115),0)),"/")</f>
        <v>4</v>
      </c>
      <c r="X14" s="271" cm="1">
        <f t="array" ref="X14">IFERROR(INDEX('Offer Statistics'!AF$2:AF$115,MATCH(1,($A14='Offer Statistics'!$T$2:$T$115)*($T$2='Offer Statistics'!$AC$2:$AC$115),0)),"/")</f>
        <v>1</v>
      </c>
      <c r="Y14" s="271" cm="1">
        <f t="array" ref="Y14">IFERROR(INDEX('Offer Statistics'!AG$2:AG$115,MATCH(1,($A14='Offer Statistics'!$T$2:$T$115)*($T$2='Offer Statistics'!$AC$2:$AC$115),0)),"/")</f>
        <v>0</v>
      </c>
      <c r="Z14" s="271" cm="1">
        <f t="array" ref="Z14">IFERROR(INDEX('Offer Statistics'!AH$2:AH$115,MATCH(1,($A14='Offer Statistics'!$T$2:$T$115)*($T$2='Offer Statistics'!$AC$2:$AC$115),0)),"/")</f>
        <v>0</v>
      </c>
      <c r="AA14" s="580"/>
      <c r="AB14" s="265" cm="1">
        <f t="array" ref="AB14">IFERROR(INDEX('Offer Statistics'!$AA$2:$AA$115,MATCH(1,($A14='Offer Statistics'!$T$2:$T$115)*($T$2='Offer Statistics'!$U$2:$U$115),0)),"/")</f>
        <v>4249</v>
      </c>
      <c r="AC14" s="271" cm="1">
        <f t="array" ref="AC14">IFERROR(INDEX('Offer Statistics'!V$2:V$115,MATCH(1,($A14='Offer Statistics'!$T$2:$T$115)*($T$2='Offer Statistics'!$U$2:$U$115),0)),"/")</f>
        <v>872</v>
      </c>
      <c r="AD14" s="271" cm="1">
        <f t="array" ref="AD14">IFERROR(INDEX('Offer Statistics'!W$2:W$115,MATCH(1,($A14='Offer Statistics'!$T$2:$T$115)*($T$2='Offer Statistics'!$U$2:$U$115),0)),"/")</f>
        <v>723</v>
      </c>
      <c r="AE14" s="271" cm="1">
        <f t="array" ref="AE14">IFERROR(INDEX('Offer Statistics'!X$2:X$115,MATCH(1,($A14='Offer Statistics'!$T$2:$T$115)*($T$2='Offer Statistics'!$U$2:$U$115),0)),"/")</f>
        <v>887</v>
      </c>
      <c r="AF14" s="271" cm="1">
        <f t="array" ref="AF14">IFERROR(INDEX('Offer Statistics'!Y$2:Y$115,MATCH(1,($A14='Offer Statistics'!$T$2:$T$115)*($T$2='Offer Statistics'!$U$2:$U$115),0)),"/")</f>
        <v>1040</v>
      </c>
      <c r="AG14" s="271" cm="1">
        <f t="array" ref="AG14">IFERROR(INDEX('Offer Statistics'!Z$2:Z$115,MATCH(1,($A14='Offer Statistics'!$T$2:$T$115)*($T$2='Offer Statistics'!$U$2:$U$115),0)),"/")</f>
        <v>727</v>
      </c>
      <c r="AH14" s="4"/>
      <c r="AI14" s="15" t="str">
        <f t="shared" si="2"/>
        <v>JS2610</v>
      </c>
    </row>
    <row r="15" spans="1:35" ht="18" customHeight="1" x14ac:dyDescent="0.3">
      <c r="A15" s="4" t="str">
        <f>'Reference Score Calculation'!A82</f>
        <v>JS2620</v>
      </c>
      <c r="B15" s="4" t="str">
        <f>'Reference Score Calculation'!C82</f>
        <v>社會科學院</v>
      </c>
      <c r="C15" s="4" t="str">
        <f>'Reference Score Calculation'!D82</f>
        <v>體育及康樂管理文學士(榮譽)</v>
      </c>
      <c r="D15" s="4" t="str">
        <f>'Reference Score Calculation'!T82</f>
        <v>BA(PERM)</v>
      </c>
      <c r="E15" s="190" t="str">
        <f>'Reference Score Calculation'!E82</f>
        <v>4C2X</v>
      </c>
      <c r="F15" s="6">
        <f>'Reference Score Calculation'!G82</f>
        <v>26</v>
      </c>
      <c r="G15" s="6">
        <f>'Reference Score Calculation'!H82</f>
        <v>25</v>
      </c>
      <c r="H15" s="46">
        <f>計分版!H103</f>
        <v>2.8499999999999999E-9</v>
      </c>
      <c r="I15" s="25">
        <f t="shared" si="0"/>
        <v>-25.999999997149999</v>
      </c>
      <c r="J15" s="26">
        <f t="shared" si="1"/>
        <v>-9122807016.5438595</v>
      </c>
      <c r="K15" s="567">
        <f>入學要求!C91</f>
        <v>22</v>
      </c>
      <c r="L15" s="102">
        <f>入學要求!R91</f>
        <v>0</v>
      </c>
      <c r="M15" s="27"/>
      <c r="N15" s="189">
        <f>入學要求!D91</f>
        <v>3</v>
      </c>
      <c r="O15" s="189">
        <f>入學要求!E91</f>
        <v>3</v>
      </c>
      <c r="P15" s="189">
        <f>入學要求!F91</f>
        <v>2</v>
      </c>
      <c r="Q15" s="189">
        <f>入學要求!G91</f>
        <v>2</v>
      </c>
      <c r="R15" s="189">
        <f>入學要求!H91</f>
        <v>3</v>
      </c>
      <c r="S15" s="189">
        <f>入學要求!I91</f>
        <v>3</v>
      </c>
      <c r="T15" s="576"/>
      <c r="U15" s="265" cm="1">
        <f t="array" ref="U15">IFERROR(INDEX('Offer Statistics'!$AI$2:$AI$115,MATCH(1,($A15='Offer Statistics'!$T$2:$T$115)*($T$2='Offer Statistics'!$AC$2:$AC$115),0)),"/")</f>
        <v>16</v>
      </c>
      <c r="V15" s="271" cm="1">
        <f t="array" ref="V15">IFERROR(INDEX('Offer Statistics'!AD$2:AD$115,MATCH(1,($A15='Offer Statistics'!$T$2:$T$115)*($T$2='Offer Statistics'!$AC$2:$AC$115),0)),"/")</f>
        <v>16</v>
      </c>
      <c r="W15" s="271" cm="1">
        <f t="array" ref="W15">IFERROR(INDEX('Offer Statistics'!AE$2:AE$115,MATCH(1,($A15='Offer Statistics'!$T$2:$T$115)*($T$2='Offer Statistics'!$AC$2:$AC$115),0)),"/")</f>
        <v>0</v>
      </c>
      <c r="X15" s="271" cm="1">
        <f t="array" ref="X15">IFERROR(INDEX('Offer Statistics'!AF$2:AF$115,MATCH(1,($A15='Offer Statistics'!$T$2:$T$115)*($T$2='Offer Statistics'!$AC$2:$AC$115),0)),"/")</f>
        <v>0</v>
      </c>
      <c r="Y15" s="271" cm="1">
        <f t="array" ref="Y15">IFERROR(INDEX('Offer Statistics'!AG$2:AG$115,MATCH(1,($A15='Offer Statistics'!$T$2:$T$115)*($T$2='Offer Statistics'!$AC$2:$AC$115),0)),"/")</f>
        <v>0</v>
      </c>
      <c r="Z15" s="271" cm="1">
        <f t="array" ref="Z15">IFERROR(INDEX('Offer Statistics'!AH$2:AH$115,MATCH(1,($A15='Offer Statistics'!$T$2:$T$115)*($T$2='Offer Statistics'!$AC$2:$AC$115),0)),"/")</f>
        <v>0</v>
      </c>
      <c r="AA15" s="580"/>
      <c r="AB15" s="265" cm="1">
        <f t="array" ref="AB15">IFERROR(INDEX('Offer Statistics'!$AA$2:$AA$115,MATCH(1,($A15='Offer Statistics'!$T$2:$T$115)*($T$2='Offer Statistics'!$U$2:$U$115),0)),"/")</f>
        <v>2032</v>
      </c>
      <c r="AC15" s="271" cm="1">
        <f t="array" ref="AC15">IFERROR(INDEX('Offer Statistics'!V$2:V$115,MATCH(1,($A15='Offer Statistics'!$T$2:$T$115)*($T$2='Offer Statistics'!$U$2:$U$115),0)),"/")</f>
        <v>597</v>
      </c>
      <c r="AD15" s="271" cm="1">
        <f t="array" ref="AD15">IFERROR(INDEX('Offer Statistics'!W$2:W$115,MATCH(1,($A15='Offer Statistics'!$T$2:$T$115)*($T$2='Offer Statistics'!$U$2:$U$115),0)),"/")</f>
        <v>332</v>
      </c>
      <c r="AE15" s="271" cm="1">
        <f t="array" ref="AE15">IFERROR(INDEX('Offer Statistics'!X$2:X$115,MATCH(1,($A15='Offer Statistics'!$T$2:$T$115)*($T$2='Offer Statistics'!$U$2:$U$115),0)),"/")</f>
        <v>372</v>
      </c>
      <c r="AF15" s="271" cm="1">
        <f t="array" ref="AF15">IFERROR(INDEX('Offer Statistics'!Y$2:Y$115,MATCH(1,($A15='Offer Statistics'!$T$2:$T$115)*($T$2='Offer Statistics'!$U$2:$U$115),0)),"/")</f>
        <v>396</v>
      </c>
      <c r="AG15" s="271" cm="1">
        <f t="array" ref="AG15">IFERROR(INDEX('Offer Statistics'!Z$2:Z$115,MATCH(1,($A15='Offer Statistics'!$T$2:$T$115)*($T$2='Offer Statistics'!$U$2:$U$115),0)),"/")</f>
        <v>335</v>
      </c>
      <c r="AI15" s="15" t="str">
        <f t="shared" si="2"/>
        <v>JS2620</v>
      </c>
    </row>
    <row r="16" spans="1:35" ht="18" customHeight="1" x14ac:dyDescent="0.3">
      <c r="A16" s="4" t="str">
        <f>'Reference Score Calculation'!A83</f>
        <v>JS2660</v>
      </c>
      <c r="B16" s="4" t="str">
        <f>'Reference Score Calculation'!C83</f>
        <v>社會科學院</v>
      </c>
      <c r="C16" s="4" t="str">
        <f>'Reference Score Calculation'!D83</f>
        <v>社會工作學士(榮譽)</v>
      </c>
      <c r="D16" s="4" t="str">
        <f>'Reference Score Calculation'!T83</f>
        <v>BSW</v>
      </c>
      <c r="E16" s="19" t="str">
        <f>'Reference Score Calculation'!E83</f>
        <v>4C2X</v>
      </c>
      <c r="F16" s="6">
        <f>'Reference Score Calculation'!G83</f>
        <v>31</v>
      </c>
      <c r="G16" s="6">
        <f>'Reference Score Calculation'!H83</f>
        <v>30.5</v>
      </c>
      <c r="H16" s="46">
        <f>計分版!H104</f>
        <v>3.2500000000000002E-9</v>
      </c>
      <c r="I16" s="25">
        <f t="shared" si="0"/>
        <v>-30.999999996749999</v>
      </c>
      <c r="J16" s="26">
        <f t="shared" si="1"/>
        <v>-9538461537.4615383</v>
      </c>
      <c r="K16" s="567">
        <f>入學要求!C92</f>
        <v>30</v>
      </c>
      <c r="L16" s="102">
        <f>入學要求!R92</f>
        <v>0</v>
      </c>
      <c r="N16" s="189">
        <f>入學要求!D92</f>
        <v>3</v>
      </c>
      <c r="O16" s="189">
        <f>入學要求!E92</f>
        <v>3</v>
      </c>
      <c r="P16" s="189">
        <f>入學要求!F92</f>
        <v>2</v>
      </c>
      <c r="Q16" s="189">
        <f>入學要求!G92</f>
        <v>2</v>
      </c>
      <c r="R16" s="189">
        <f>入學要求!H92</f>
        <v>3</v>
      </c>
      <c r="S16" s="189">
        <f>入學要求!I92</f>
        <v>3</v>
      </c>
      <c r="T16" s="576"/>
      <c r="U16" s="265" cm="1">
        <f t="array" ref="U16">IFERROR(INDEX('Offer Statistics'!$AI$2:$AI$115,MATCH(1,($A16='Offer Statistics'!$T$2:$T$115)*($T$2='Offer Statistics'!$AC$2:$AC$115),0)),"/")</f>
        <v>37</v>
      </c>
      <c r="V16" s="271" cm="1">
        <f t="array" ref="V16">IFERROR(INDEX('Offer Statistics'!AD$2:AD$115,MATCH(1,($A16='Offer Statistics'!$T$2:$T$115)*($T$2='Offer Statistics'!$AC$2:$AC$115),0)),"/")</f>
        <v>31</v>
      </c>
      <c r="W16" s="271" cm="1">
        <f t="array" ref="W16">IFERROR(INDEX('Offer Statistics'!AE$2:AE$115,MATCH(1,($A16='Offer Statistics'!$T$2:$T$115)*($T$2='Offer Statistics'!$AC$2:$AC$115),0)),"/")</f>
        <v>4</v>
      </c>
      <c r="X16" s="271" cm="1">
        <f t="array" ref="X16">IFERROR(INDEX('Offer Statistics'!AF$2:AF$115,MATCH(1,($A16='Offer Statistics'!$T$2:$T$115)*($T$2='Offer Statistics'!$AC$2:$AC$115),0)),"/")</f>
        <v>2</v>
      </c>
      <c r="Y16" s="271" cm="1">
        <f t="array" ref="Y16">IFERROR(INDEX('Offer Statistics'!AG$2:AG$115,MATCH(1,($A16='Offer Statistics'!$T$2:$T$115)*($T$2='Offer Statistics'!$AC$2:$AC$115),0)),"/")</f>
        <v>0</v>
      </c>
      <c r="Z16" s="271" cm="1">
        <f t="array" ref="Z16">IFERROR(INDEX('Offer Statistics'!AH$2:AH$115,MATCH(1,($A16='Offer Statistics'!$T$2:$T$115)*($T$2='Offer Statistics'!$AC$2:$AC$115),0)),"/")</f>
        <v>0</v>
      </c>
      <c r="AA16" s="580"/>
      <c r="AB16" s="265" cm="1">
        <f t="array" ref="AB16">IFERROR(INDEX('Offer Statistics'!$AA$2:$AA$115,MATCH(1,($A16='Offer Statistics'!$T$2:$T$115)*($T$2='Offer Statistics'!$U$2:$U$115),0)),"/")</f>
        <v>5172</v>
      </c>
      <c r="AC16" s="271" cm="1">
        <f t="array" ref="AC16">IFERROR(INDEX('Offer Statistics'!V$2:V$115,MATCH(1,($A16='Offer Statistics'!$T$2:$T$115)*($T$2='Offer Statistics'!$U$2:$U$115),0)),"/")</f>
        <v>736</v>
      </c>
      <c r="AD16" s="271" cm="1">
        <f t="array" ref="AD16">IFERROR(INDEX('Offer Statistics'!W$2:W$115,MATCH(1,($A16='Offer Statistics'!$T$2:$T$115)*($T$2='Offer Statistics'!$U$2:$U$115),0)),"/")</f>
        <v>707</v>
      </c>
      <c r="AE16" s="271" cm="1">
        <f t="array" ref="AE16">IFERROR(INDEX('Offer Statistics'!X$2:X$115,MATCH(1,($A16='Offer Statistics'!$T$2:$T$115)*($T$2='Offer Statistics'!$U$2:$U$115),0)),"/")</f>
        <v>1127</v>
      </c>
      <c r="AF16" s="271" cm="1">
        <f t="array" ref="AF16">IFERROR(INDEX('Offer Statistics'!Y$2:Y$115,MATCH(1,($A16='Offer Statistics'!$T$2:$T$115)*($T$2='Offer Statistics'!$U$2:$U$115),0)),"/")</f>
        <v>1445</v>
      </c>
      <c r="AG16" s="271" cm="1">
        <f t="array" ref="AG16">IFERROR(INDEX('Offer Statistics'!Z$2:Z$115,MATCH(1,($A16='Offer Statistics'!$T$2:$T$115)*($T$2='Offer Statistics'!$U$2:$U$115),0)),"/")</f>
        <v>1157</v>
      </c>
      <c r="AI16" s="15" t="str">
        <f t="shared" si="2"/>
        <v>JS2660</v>
      </c>
    </row>
    <row r="17" spans="1:36" s="44" customFormat="1" ht="18" customHeight="1" x14ac:dyDescent="0.3">
      <c r="A17" s="4" t="str">
        <f>'Reference Score Calculation'!A84</f>
        <v>JS2810</v>
      </c>
      <c r="B17" s="4" t="str">
        <f>'Reference Score Calculation'!C84</f>
        <v>視覺藝術院</v>
      </c>
      <c r="C17" s="4" t="str">
        <f>'Reference Score Calculation'!D84</f>
        <v>視覺藝術文學士(榮譽)</v>
      </c>
      <c r="D17" s="4" t="str">
        <f>'Reference Score Calculation'!T84</f>
        <v>BA(VA)</v>
      </c>
      <c r="E17" s="190" t="str">
        <f>'Reference Score Calculation'!E84</f>
        <v>Best 5</v>
      </c>
      <c r="F17" s="6">
        <f>'Reference Score Calculation'!G84</f>
        <v>21</v>
      </c>
      <c r="G17" s="6">
        <f>'Reference Score Calculation'!H84</f>
        <v>20</v>
      </c>
      <c r="H17" s="46">
        <f>計分版!H105</f>
        <v>3.5500000000000004E-9</v>
      </c>
      <c r="I17" s="25">
        <f t="shared" si="0"/>
        <v>-20.999999996450001</v>
      </c>
      <c r="J17" s="26">
        <f t="shared" si="1"/>
        <v>-5915492956.7464781</v>
      </c>
      <c r="K17" s="567">
        <f>入學要求!C93</f>
        <v>40</v>
      </c>
      <c r="L17" s="102">
        <f>入學要求!R93</f>
        <v>0</v>
      </c>
      <c r="M17" s="189"/>
      <c r="N17" s="189">
        <f>入學要求!D93</f>
        <v>3</v>
      </c>
      <c r="O17" s="189">
        <f>入學要求!E93</f>
        <v>3</v>
      </c>
      <c r="P17" s="189">
        <f>入學要求!F93</f>
        <v>2</v>
      </c>
      <c r="Q17" s="189">
        <f>入學要求!G93</f>
        <v>2</v>
      </c>
      <c r="R17" s="189">
        <f>入學要求!H93</f>
        <v>3</v>
      </c>
      <c r="S17" s="189">
        <f>入學要求!I93</f>
        <v>3</v>
      </c>
      <c r="T17" s="576"/>
      <c r="U17" s="265" cm="1">
        <f t="array" ref="U17">IFERROR(INDEX('Offer Statistics'!$AI$2:$AI$115,MATCH(1,($A17='Offer Statistics'!$T$2:$T$115)*($T$2='Offer Statistics'!$AC$2:$AC$115),0)),"/")</f>
        <v>53</v>
      </c>
      <c r="V17" s="271" cm="1">
        <f t="array" ref="V17">IFERROR(INDEX('Offer Statistics'!AD$2:AD$115,MATCH(1,($A17='Offer Statistics'!$T$2:$T$115)*($T$2='Offer Statistics'!$AC$2:$AC$115),0)),"/")</f>
        <v>53</v>
      </c>
      <c r="W17" s="271" cm="1">
        <f t="array" ref="W17">IFERROR(INDEX('Offer Statistics'!AE$2:AE$115,MATCH(1,($A17='Offer Statistics'!$T$2:$T$115)*($T$2='Offer Statistics'!$AC$2:$AC$115),0)),"/")</f>
        <v>0</v>
      </c>
      <c r="X17" s="271" cm="1">
        <f t="array" ref="X17">IFERROR(INDEX('Offer Statistics'!AF$2:AF$115,MATCH(1,($A17='Offer Statistics'!$T$2:$T$115)*($T$2='Offer Statistics'!$AC$2:$AC$115),0)),"/")</f>
        <v>0</v>
      </c>
      <c r="Y17" s="271" cm="1">
        <f t="array" ref="Y17">IFERROR(INDEX('Offer Statistics'!AG$2:AG$115,MATCH(1,($A17='Offer Statistics'!$T$2:$T$115)*($T$2='Offer Statistics'!$AC$2:$AC$115),0)),"/")</f>
        <v>0</v>
      </c>
      <c r="Z17" s="271" cm="1">
        <f t="array" ref="Z17">IFERROR(INDEX('Offer Statistics'!AH$2:AH$115,MATCH(1,($A17='Offer Statistics'!$T$2:$T$115)*($T$2='Offer Statistics'!$AC$2:$AC$115),0)),"/")</f>
        <v>0</v>
      </c>
      <c r="AA17" s="580"/>
      <c r="AB17" s="265" cm="1">
        <f t="array" ref="AB17">IFERROR(INDEX('Offer Statistics'!$AA$2:$AA$115,MATCH(1,($A17='Offer Statistics'!$T$2:$T$115)*($T$2='Offer Statistics'!$U$2:$U$115),0)),"/")</f>
        <v>2210</v>
      </c>
      <c r="AC17" s="271" cm="1">
        <f t="array" ref="AC17">IFERROR(INDEX('Offer Statistics'!V$2:V$115,MATCH(1,($A17='Offer Statistics'!$T$2:$T$115)*($T$2='Offer Statistics'!$U$2:$U$115),0)),"/")</f>
        <v>714</v>
      </c>
      <c r="AD17" s="271" cm="1">
        <f t="array" ref="AD17">IFERROR(INDEX('Offer Statistics'!W$2:W$115,MATCH(1,($A17='Offer Statistics'!$T$2:$T$115)*($T$2='Offer Statistics'!$U$2:$U$115),0)),"/")</f>
        <v>415</v>
      </c>
      <c r="AE17" s="271" cm="1">
        <f t="array" ref="AE17">IFERROR(INDEX('Offer Statistics'!X$2:X$115,MATCH(1,($A17='Offer Statistics'!$T$2:$T$115)*($T$2='Offer Statistics'!$U$2:$U$115),0)),"/")</f>
        <v>457</v>
      </c>
      <c r="AF17" s="271" cm="1">
        <f t="array" ref="AF17">IFERROR(INDEX('Offer Statistics'!Y$2:Y$115,MATCH(1,($A17='Offer Statistics'!$T$2:$T$115)*($T$2='Offer Statistics'!$U$2:$U$115),0)),"/")</f>
        <v>377</v>
      </c>
      <c r="AG17" s="271" cm="1">
        <f t="array" ref="AG17">IFERROR(INDEX('Offer Statistics'!Z$2:Z$115,MATCH(1,($A17='Offer Statistics'!$T$2:$T$115)*($T$2='Offer Statistics'!$U$2:$U$115),0)),"/")</f>
        <v>247</v>
      </c>
      <c r="AH17" s="4"/>
      <c r="AI17" s="189"/>
    </row>
    <row r="18" spans="1:36" s="44" customFormat="1" ht="18" customHeight="1" x14ac:dyDescent="0.3">
      <c r="A18" s="4" t="str">
        <f>'Reference Score Calculation'!A85</f>
        <v>JS2910</v>
      </c>
      <c r="B18" s="4" t="str">
        <f>'Reference Score Calculation'!C85</f>
        <v>跨學院課程</v>
      </c>
      <c r="C18" s="4" t="str">
        <f>'Reference Score Calculation'!D85</f>
        <v>商業計算及數據分析理學士(榮譽)</v>
      </c>
      <c r="D18" s="4" t="str">
        <f>'Reference Score Calculation'!T85</f>
        <v>BSc(BCDA)</v>
      </c>
      <c r="E18" s="190" t="str">
        <f>'Reference Score Calculation'!E85</f>
        <v>Best 6</v>
      </c>
      <c r="F18" s="6">
        <f>'Reference Score Calculation'!G85</f>
        <v>22</v>
      </c>
      <c r="G18" s="6">
        <f>'Reference Score Calculation'!H85</f>
        <v>21</v>
      </c>
      <c r="H18" s="46">
        <f>計分版!H106</f>
        <v>3.9000000000000002E-9</v>
      </c>
      <c r="I18" s="25">
        <f t="shared" si="0"/>
        <v>-21.999999996100001</v>
      </c>
      <c r="J18" s="26">
        <f t="shared" si="1"/>
        <v>-5641025640.0256414</v>
      </c>
      <c r="K18" s="567">
        <f>入學要求!C94</f>
        <v>15</v>
      </c>
      <c r="L18" s="102">
        <f>入學要求!R94</f>
        <v>0</v>
      </c>
      <c r="M18" s="189"/>
      <c r="N18" s="189">
        <f>入學要求!D94</f>
        <v>3</v>
      </c>
      <c r="O18" s="189">
        <f>入學要求!E94</f>
        <v>3</v>
      </c>
      <c r="P18" s="189">
        <f>入學要求!F94</f>
        <v>2</v>
      </c>
      <c r="Q18" s="189">
        <f>入學要求!G94</f>
        <v>2</v>
      </c>
      <c r="R18" s="189">
        <f>入學要求!H94</f>
        <v>3</v>
      </c>
      <c r="S18" s="189">
        <f>入學要求!I94</f>
        <v>3</v>
      </c>
      <c r="T18" s="576"/>
      <c r="U18" s="265" cm="1">
        <f t="array" ref="U18">IFERROR(INDEX('Offer Statistics'!$AI$2:$AI$115,MATCH(1,($A18='Offer Statistics'!$T$2:$T$115)*($T$2='Offer Statistics'!$AC$2:$AC$115),0)),"/")</f>
        <v>20</v>
      </c>
      <c r="V18" s="271" cm="1">
        <f t="array" ref="V18">IFERROR(INDEX('Offer Statistics'!AD$2:AD$115,MATCH(1,($A18='Offer Statistics'!$T$2:$T$115)*($T$2='Offer Statistics'!$AC$2:$AC$115),0)),"/")</f>
        <v>11</v>
      </c>
      <c r="W18" s="271" cm="1">
        <f t="array" ref="W18">IFERROR(INDEX('Offer Statistics'!AE$2:AE$115,MATCH(1,($A18='Offer Statistics'!$T$2:$T$115)*($T$2='Offer Statistics'!$AC$2:$AC$115),0)),"/")</f>
        <v>4</v>
      </c>
      <c r="X18" s="271" cm="1">
        <f t="array" ref="X18">IFERROR(INDEX('Offer Statistics'!AF$2:AF$115,MATCH(1,($A18='Offer Statistics'!$T$2:$T$115)*($T$2='Offer Statistics'!$AC$2:$AC$115),0)),"/")</f>
        <v>3</v>
      </c>
      <c r="Y18" s="271" cm="1">
        <f t="array" ref="Y18">IFERROR(INDEX('Offer Statistics'!AG$2:AG$115,MATCH(1,($A18='Offer Statistics'!$T$2:$T$115)*($T$2='Offer Statistics'!$AC$2:$AC$115),0)),"/")</f>
        <v>1</v>
      </c>
      <c r="Z18" s="271" cm="1">
        <f t="array" ref="Z18">IFERROR(INDEX('Offer Statistics'!AH$2:AH$115,MATCH(1,($A18='Offer Statistics'!$T$2:$T$115)*($T$2='Offer Statistics'!$AC$2:$AC$115),0)),"/")</f>
        <v>1</v>
      </c>
      <c r="AA18" s="580"/>
      <c r="AB18" s="265" cm="1">
        <f t="array" ref="AB18">IFERROR(INDEX('Offer Statistics'!$AA$2:$AA$115,MATCH(1,($A18='Offer Statistics'!$T$2:$T$115)*($T$2='Offer Statistics'!$U$2:$U$115),0)),"/")</f>
        <v>2154</v>
      </c>
      <c r="AC18" s="271" cm="1">
        <f t="array" ref="AC18">IFERROR(INDEX('Offer Statistics'!V$2:V$115,MATCH(1,($A18='Offer Statistics'!$T$2:$T$115)*($T$2='Offer Statistics'!$U$2:$U$115),0)),"/")</f>
        <v>133</v>
      </c>
      <c r="AD18" s="271" cm="1">
        <f t="array" ref="AD18">IFERROR(INDEX('Offer Statistics'!W$2:W$115,MATCH(1,($A18='Offer Statistics'!$T$2:$T$115)*($T$2='Offer Statistics'!$U$2:$U$115),0)),"/")</f>
        <v>264</v>
      </c>
      <c r="AE18" s="271" cm="1">
        <f t="array" ref="AE18">IFERROR(INDEX('Offer Statistics'!X$2:X$115,MATCH(1,($A18='Offer Statistics'!$T$2:$T$115)*($T$2='Offer Statistics'!$U$2:$U$115),0)),"/")</f>
        <v>487</v>
      </c>
      <c r="AF18" s="271" cm="1">
        <f t="array" ref="AF18">IFERROR(INDEX('Offer Statistics'!Y$2:Y$115,MATCH(1,($A18='Offer Statistics'!$T$2:$T$115)*($T$2='Offer Statistics'!$U$2:$U$115),0)),"/")</f>
        <v>686</v>
      </c>
      <c r="AG18" s="271" cm="1">
        <f t="array" ref="AG18">IFERROR(INDEX('Offer Statistics'!Z$2:Z$115,MATCH(1,($A18='Offer Statistics'!$T$2:$T$115)*($T$2='Offer Statistics'!$U$2:$U$115),0)),"/")</f>
        <v>584</v>
      </c>
      <c r="AH18" s="4"/>
      <c r="AI18" s="189"/>
    </row>
    <row r="19" spans="1:36" s="44" customFormat="1" ht="18" customHeight="1" x14ac:dyDescent="0.3">
      <c r="A19" s="4" t="str">
        <f>'Reference Score Calculation'!A86</f>
        <v>JS2920</v>
      </c>
      <c r="B19" s="4" t="str">
        <f>'Reference Score Calculation'!C86</f>
        <v>跨學院課程</v>
      </c>
      <c r="C19" s="4" t="str">
        <f>'Reference Score Calculation'!D86</f>
        <v>藝術及科技文理學士(榮譽)</v>
      </c>
      <c r="D19" s="4" t="str">
        <f>'Reference Score Calculation'!T86</f>
        <v>BASc(ARTT)</v>
      </c>
      <c r="E19" s="82" t="str">
        <f>'Reference Score Calculation'!AD86</f>
        <v>4C2X</v>
      </c>
      <c r="F19" s="6" t="str">
        <f>'Reference Score Calculation'!G86</f>
        <v>/</v>
      </c>
      <c r="G19" s="6" t="str">
        <f>'Reference Score Calculation'!H86</f>
        <v>/</v>
      </c>
      <c r="H19" s="46">
        <f>計分版!H107</f>
        <v>2.9100000000000001E-9</v>
      </c>
      <c r="I19" s="7" t="s">
        <v>1978</v>
      </c>
      <c r="J19" s="8" t="s">
        <v>1978</v>
      </c>
      <c r="K19" s="567">
        <f>入學要求!C95</f>
        <v>40</v>
      </c>
      <c r="L19" s="102">
        <f>入學要求!R95</f>
        <v>0</v>
      </c>
      <c r="M19" s="189"/>
      <c r="N19" s="189">
        <f>入學要求!D95</f>
        <v>3</v>
      </c>
      <c r="O19" s="189">
        <f>入學要求!E95</f>
        <v>3</v>
      </c>
      <c r="P19" s="189">
        <f>入學要求!F95</f>
        <v>2</v>
      </c>
      <c r="Q19" s="189">
        <f>入學要求!G95</f>
        <v>2</v>
      </c>
      <c r="R19" s="189">
        <f>入學要求!H95</f>
        <v>3</v>
      </c>
      <c r="S19" s="189">
        <f>入學要求!I95</f>
        <v>3</v>
      </c>
      <c r="T19" s="576"/>
      <c r="U19" s="265" t="str" cm="1">
        <f t="array" ref="U19">IFERROR(INDEX('Offer Statistics'!$AI$2:$AI$115,MATCH(1,($A19='Offer Statistics'!$T$2:$T$115)*($T$2='Offer Statistics'!$AC$2:$AC$115),0)),"/")</f>
        <v>/</v>
      </c>
      <c r="V19" s="271" t="str" cm="1">
        <f t="array" ref="V19">IFERROR(INDEX('Offer Statistics'!AD$2:AD$115,MATCH(1,($A19='Offer Statistics'!$T$2:$T$115)*($T$2='Offer Statistics'!$AC$2:$AC$115),0)),"/")</f>
        <v>/</v>
      </c>
      <c r="W19" s="271" t="str" cm="1">
        <f t="array" ref="W19">IFERROR(INDEX('Offer Statistics'!AE$2:AE$115,MATCH(1,($A19='Offer Statistics'!$T$2:$T$115)*($T$2='Offer Statistics'!$AC$2:$AC$115),0)),"/")</f>
        <v>/</v>
      </c>
      <c r="X19" s="271" t="str" cm="1">
        <f t="array" ref="X19">IFERROR(INDEX('Offer Statistics'!AF$2:AF$115,MATCH(1,($A19='Offer Statistics'!$T$2:$T$115)*($T$2='Offer Statistics'!$AC$2:$AC$115),0)),"/")</f>
        <v>/</v>
      </c>
      <c r="Y19" s="271" t="str" cm="1">
        <f t="array" ref="Y19">IFERROR(INDEX('Offer Statistics'!AG$2:AG$115,MATCH(1,($A19='Offer Statistics'!$T$2:$T$115)*($T$2='Offer Statistics'!$AC$2:$AC$115),0)),"/")</f>
        <v>/</v>
      </c>
      <c r="Z19" s="271" t="str" cm="1">
        <f t="array" ref="Z19">IFERROR(INDEX('Offer Statistics'!AH$2:AH$115,MATCH(1,($A19='Offer Statistics'!$T$2:$T$115)*($T$2='Offer Statistics'!$AC$2:$AC$115),0)),"/")</f>
        <v>/</v>
      </c>
      <c r="AA19" s="580"/>
      <c r="AB19" s="265" t="str" cm="1">
        <f t="array" ref="AB19">IFERROR(INDEX('Offer Statistics'!$AA$2:$AA$115,MATCH(1,($A19='Offer Statistics'!$T$2:$T$115)*($T$2='Offer Statistics'!$U$2:$U$115),0)),"/")</f>
        <v>/</v>
      </c>
      <c r="AC19" s="271" t="str" cm="1">
        <f t="array" ref="AC19">IFERROR(INDEX('Offer Statistics'!V$2:V$115,MATCH(1,($A19='Offer Statistics'!$T$2:$T$115)*($T$2='Offer Statistics'!$U$2:$U$115),0)),"/")</f>
        <v>/</v>
      </c>
      <c r="AD19" s="271" t="str" cm="1">
        <f t="array" ref="AD19">IFERROR(INDEX('Offer Statistics'!W$2:W$115,MATCH(1,($A19='Offer Statistics'!$T$2:$T$115)*($T$2='Offer Statistics'!$U$2:$U$115),0)),"/")</f>
        <v>/</v>
      </c>
      <c r="AE19" s="271" t="str" cm="1">
        <f t="array" ref="AE19">IFERROR(INDEX('Offer Statistics'!X$2:X$115,MATCH(1,($A19='Offer Statistics'!$T$2:$T$115)*($T$2='Offer Statistics'!$U$2:$U$115),0)),"/")</f>
        <v>/</v>
      </c>
      <c r="AF19" s="271" t="str" cm="1">
        <f t="array" ref="AF19">IFERROR(INDEX('Offer Statistics'!Y$2:Y$115,MATCH(1,($A19='Offer Statistics'!$T$2:$T$115)*($T$2='Offer Statistics'!$U$2:$U$115),0)),"/")</f>
        <v>/</v>
      </c>
      <c r="AG19" s="271" t="str" cm="1">
        <f t="array" ref="AG19">IFERROR(INDEX('Offer Statistics'!Z$2:Z$115,MATCH(1,($A19='Offer Statistics'!$T$2:$T$115)*($T$2='Offer Statistics'!$U$2:$U$115),0)),"/")</f>
        <v>/</v>
      </c>
      <c r="AH19" s="4"/>
      <c r="AI19" s="189"/>
    </row>
    <row r="20" spans="1:36" s="44" customFormat="1" ht="18" customHeight="1" x14ac:dyDescent="0.3">
      <c r="A20" s="4" t="str">
        <f>'Reference Score Calculation'!A87</f>
        <v>JS2930</v>
      </c>
      <c r="B20" s="4" t="str">
        <f>'Reference Score Calculation'!C87</f>
        <v>跨學院課程</v>
      </c>
      <c r="C20" s="4" t="str">
        <f>'Reference Score Calculation'!D87</f>
        <v>工商管理文學士(榮譽)(全球娛樂)</v>
      </c>
      <c r="D20" s="4" t="str">
        <f>'Reference Score Calculation'!T87</f>
        <v>BA(BUSADMIN-GE)</v>
      </c>
      <c r="E20" s="115" t="str">
        <f>'Reference Score Calculation'!AD87</f>
        <v>Best 5</v>
      </c>
      <c r="F20" s="6" t="str">
        <f>'Reference Score Calculation'!G87</f>
        <v>/</v>
      </c>
      <c r="G20" s="6" t="str">
        <f>'Reference Score Calculation'!H87</f>
        <v>/</v>
      </c>
      <c r="H20" s="46">
        <f>計分版!H108</f>
        <v>3.9500000000000006E-9</v>
      </c>
      <c r="I20" s="7" t="s">
        <v>1978</v>
      </c>
      <c r="J20" s="8" t="s">
        <v>1978</v>
      </c>
      <c r="K20" s="567">
        <f>入學要求!C96</f>
        <v>15</v>
      </c>
      <c r="L20" s="102">
        <f>入學要求!R96</f>
        <v>0</v>
      </c>
      <c r="M20" s="189"/>
      <c r="N20" s="189">
        <f>入學要求!D96</f>
        <v>3</v>
      </c>
      <c r="O20" s="189">
        <f>入學要求!E96</f>
        <v>3</v>
      </c>
      <c r="P20" s="189">
        <f>入學要求!F96</f>
        <v>2</v>
      </c>
      <c r="Q20" s="189">
        <f>入學要求!G96</f>
        <v>2</v>
      </c>
      <c r="R20" s="189">
        <f>入學要求!H96</f>
        <v>3</v>
      </c>
      <c r="S20" s="189">
        <f>入學要求!I96</f>
        <v>3</v>
      </c>
      <c r="T20" s="576"/>
      <c r="U20" s="265" t="str" cm="1">
        <f t="array" ref="U20">IFERROR(INDEX('Offer Statistics'!$AI$2:$AI$115,MATCH(1,($A20='Offer Statistics'!$T$2:$T$115)*($T$2='Offer Statistics'!$AC$2:$AC$115),0)),"/")</f>
        <v>/</v>
      </c>
      <c r="V20" s="271" t="str" cm="1">
        <f t="array" ref="V20">IFERROR(INDEX('Offer Statistics'!AD$2:AD$115,MATCH(1,($A20='Offer Statistics'!$T$2:$T$115)*($T$2='Offer Statistics'!$AC$2:$AC$115),0)),"/")</f>
        <v>/</v>
      </c>
      <c r="W20" s="271" t="str" cm="1">
        <f t="array" ref="W20">IFERROR(INDEX('Offer Statistics'!AE$2:AE$115,MATCH(1,($A20='Offer Statistics'!$T$2:$T$115)*($T$2='Offer Statistics'!$AC$2:$AC$115),0)),"/")</f>
        <v>/</v>
      </c>
      <c r="X20" s="271" t="str" cm="1">
        <f t="array" ref="X20">IFERROR(INDEX('Offer Statistics'!AF$2:AF$115,MATCH(1,($A20='Offer Statistics'!$T$2:$T$115)*($T$2='Offer Statistics'!$AC$2:$AC$115),0)),"/")</f>
        <v>/</v>
      </c>
      <c r="Y20" s="271" t="str" cm="1">
        <f t="array" ref="Y20">IFERROR(INDEX('Offer Statistics'!AG$2:AG$115,MATCH(1,($A20='Offer Statistics'!$T$2:$T$115)*($T$2='Offer Statistics'!$AC$2:$AC$115),0)),"/")</f>
        <v>/</v>
      </c>
      <c r="Z20" s="271" t="str" cm="1">
        <f t="array" ref="Z20">IFERROR(INDEX('Offer Statistics'!AH$2:AH$115,MATCH(1,($A20='Offer Statistics'!$T$2:$T$115)*($T$2='Offer Statistics'!$AC$2:$AC$115),0)),"/")</f>
        <v>/</v>
      </c>
      <c r="AA20" s="580"/>
      <c r="AB20" s="265" t="str" cm="1">
        <f t="array" ref="AB20">IFERROR(INDEX('Offer Statistics'!$AA$2:$AA$115,MATCH(1,($A20='Offer Statistics'!$T$2:$T$115)*($T$2='Offer Statistics'!$U$2:$U$115),0)),"/")</f>
        <v>/</v>
      </c>
      <c r="AC20" s="271" t="str" cm="1">
        <f t="array" ref="AC20">IFERROR(INDEX('Offer Statistics'!V$2:V$115,MATCH(1,($A20='Offer Statistics'!$T$2:$T$115)*($T$2='Offer Statistics'!$U$2:$U$115),0)),"/")</f>
        <v>/</v>
      </c>
      <c r="AD20" s="271" t="str" cm="1">
        <f t="array" ref="AD20">IFERROR(INDEX('Offer Statistics'!W$2:W$115,MATCH(1,($A20='Offer Statistics'!$T$2:$T$115)*($T$2='Offer Statistics'!$U$2:$U$115),0)),"/")</f>
        <v>/</v>
      </c>
      <c r="AE20" s="271" t="str" cm="1">
        <f t="array" ref="AE20">IFERROR(INDEX('Offer Statistics'!X$2:X$115,MATCH(1,($A20='Offer Statistics'!$T$2:$T$115)*($T$2='Offer Statistics'!$U$2:$U$115),0)),"/")</f>
        <v>/</v>
      </c>
      <c r="AF20" s="271" t="str" cm="1">
        <f t="array" ref="AF20">IFERROR(INDEX('Offer Statistics'!Y$2:Y$115,MATCH(1,($A20='Offer Statistics'!$T$2:$T$115)*($T$2='Offer Statistics'!$U$2:$U$115),0)),"/")</f>
        <v>/</v>
      </c>
      <c r="AG20" s="271" t="str" cm="1">
        <f t="array" ref="AG20">IFERROR(INDEX('Offer Statistics'!Z$2:Z$115,MATCH(1,($A20='Offer Statistics'!$T$2:$T$115)*($T$2='Offer Statistics'!$U$2:$U$115),0)),"/")</f>
        <v>/</v>
      </c>
      <c r="AH20" s="4"/>
      <c r="AI20" s="189"/>
    </row>
    <row r="21" spans="1:36" s="44" customFormat="1" ht="18" customHeight="1" x14ac:dyDescent="0.3">
      <c r="A21" s="4" t="str">
        <f>'Reference Score Calculation'!A88</f>
        <v>JS2940</v>
      </c>
      <c r="B21" s="4" t="str">
        <f>'Reference Score Calculation'!C88</f>
        <v>跨學院課程</v>
      </c>
      <c r="C21" s="4" t="str">
        <f>'Reference Score Calculation'!D88</f>
        <v>創新醫療及社會健康社會科學學士(榮譽) / 理學士(榮譽)</v>
      </c>
      <c r="D21" s="4" t="str">
        <f>'Reference Score Calculation'!T88</f>
        <v>BSocSc/BSc(HSWB)</v>
      </c>
      <c r="E21" s="115" t="str">
        <f>'Reference Score Calculation'!AD88</f>
        <v>Best 5</v>
      </c>
      <c r="F21" s="6" t="str">
        <f>'Reference Score Calculation'!G88</f>
        <v>/</v>
      </c>
      <c r="G21" s="6" t="str">
        <f>'Reference Score Calculation'!H88</f>
        <v>/</v>
      </c>
      <c r="H21" s="46">
        <f>計分版!H109</f>
        <v>3.5500000000000004E-9</v>
      </c>
      <c r="I21" s="7" t="s">
        <v>1978</v>
      </c>
      <c r="J21" s="8" t="s">
        <v>1978</v>
      </c>
      <c r="K21" s="567">
        <f>入學要求!C97</f>
        <v>30</v>
      </c>
      <c r="L21" s="102">
        <f>入學要求!R97</f>
        <v>0</v>
      </c>
      <c r="M21" s="189"/>
      <c r="N21" s="189">
        <f>入學要求!D97</f>
        <v>3</v>
      </c>
      <c r="O21" s="189">
        <f>入學要求!E97</f>
        <v>3</v>
      </c>
      <c r="P21" s="189">
        <f>入學要求!F97</f>
        <v>2</v>
      </c>
      <c r="Q21" s="189">
        <f>入學要求!G97</f>
        <v>2</v>
      </c>
      <c r="R21" s="189">
        <f>入學要求!H97</f>
        <v>3</v>
      </c>
      <c r="S21" s="189">
        <f>入學要求!I97</f>
        <v>3</v>
      </c>
      <c r="T21" s="576"/>
      <c r="U21" s="265" t="str" cm="1">
        <f t="array" ref="U21">IFERROR(INDEX('Offer Statistics'!$AI$2:$AI$115,MATCH(1,($A21='Offer Statistics'!$T$2:$T$115)*($T$2='Offer Statistics'!$AC$2:$AC$115),0)),"/")</f>
        <v>/</v>
      </c>
      <c r="V21" s="271" t="str" cm="1">
        <f t="array" ref="V21">IFERROR(INDEX('Offer Statistics'!AD$2:AD$115,MATCH(1,($A21='Offer Statistics'!$T$2:$T$115)*($T$2='Offer Statistics'!$AC$2:$AC$115),0)),"/")</f>
        <v>/</v>
      </c>
      <c r="W21" s="271" t="str" cm="1">
        <f t="array" ref="W21">IFERROR(INDEX('Offer Statistics'!AE$2:AE$115,MATCH(1,($A21='Offer Statistics'!$T$2:$T$115)*($T$2='Offer Statistics'!$AC$2:$AC$115),0)),"/")</f>
        <v>/</v>
      </c>
      <c r="X21" s="271" t="str" cm="1">
        <f t="array" ref="X21">IFERROR(INDEX('Offer Statistics'!AF$2:AF$115,MATCH(1,($A21='Offer Statistics'!$T$2:$T$115)*($T$2='Offer Statistics'!$AC$2:$AC$115),0)),"/")</f>
        <v>/</v>
      </c>
      <c r="Y21" s="271" t="str" cm="1">
        <f t="array" ref="Y21">IFERROR(INDEX('Offer Statistics'!AG$2:AG$115,MATCH(1,($A21='Offer Statistics'!$T$2:$T$115)*($T$2='Offer Statistics'!$AC$2:$AC$115),0)),"/")</f>
        <v>/</v>
      </c>
      <c r="Z21" s="271" t="str" cm="1">
        <f t="array" ref="Z21">IFERROR(INDEX('Offer Statistics'!AH$2:AH$115,MATCH(1,($A21='Offer Statistics'!$T$2:$T$115)*($T$2='Offer Statistics'!$AC$2:$AC$115),0)),"/")</f>
        <v>/</v>
      </c>
      <c r="AA21" s="580"/>
      <c r="AB21" s="265" t="str" cm="1">
        <f t="array" ref="AB21">IFERROR(INDEX('Offer Statistics'!$AA$2:$AA$115,MATCH(1,($A21='Offer Statistics'!$T$2:$T$115)*($T$2='Offer Statistics'!$U$2:$U$115),0)),"/")</f>
        <v>/</v>
      </c>
      <c r="AC21" s="271" t="str" cm="1">
        <f t="array" ref="AC21">IFERROR(INDEX('Offer Statistics'!V$2:V$115,MATCH(1,($A21='Offer Statistics'!$T$2:$T$115)*($T$2='Offer Statistics'!$U$2:$U$115),0)),"/")</f>
        <v>/</v>
      </c>
      <c r="AD21" s="271" t="str" cm="1">
        <f t="array" ref="AD21">IFERROR(INDEX('Offer Statistics'!W$2:W$115,MATCH(1,($A21='Offer Statistics'!$T$2:$T$115)*($T$2='Offer Statistics'!$U$2:$U$115),0)),"/")</f>
        <v>/</v>
      </c>
      <c r="AE21" s="271" t="str" cm="1">
        <f t="array" ref="AE21">IFERROR(INDEX('Offer Statistics'!X$2:X$115,MATCH(1,($A21='Offer Statistics'!$T$2:$T$115)*($T$2='Offer Statistics'!$U$2:$U$115),0)),"/")</f>
        <v>/</v>
      </c>
      <c r="AF21" s="271" t="str" cm="1">
        <f t="array" ref="AF21">IFERROR(INDEX('Offer Statistics'!Y$2:Y$115,MATCH(1,($A21='Offer Statistics'!$T$2:$T$115)*($T$2='Offer Statistics'!$U$2:$U$115),0)),"/")</f>
        <v>/</v>
      </c>
      <c r="AG21" s="271" t="str" cm="1">
        <f t="array" ref="AG21">IFERROR(INDEX('Offer Statistics'!Z$2:Z$115,MATCH(1,($A21='Offer Statistics'!$T$2:$T$115)*($T$2='Offer Statistics'!$U$2:$U$115),0)),"/")</f>
        <v>/</v>
      </c>
      <c r="AH21" s="4"/>
      <c r="AI21" s="189"/>
    </row>
    <row r="22" spans="1:36" s="44" customFormat="1" ht="18" customHeight="1" x14ac:dyDescent="0.3">
      <c r="A22" s="4" t="str">
        <f>'Reference Score Calculation'!A89</f>
        <v>JS2950</v>
      </c>
      <c r="B22" s="4" t="str">
        <f>'Reference Score Calculation'!C89</f>
        <v>跨學院課程</v>
      </c>
      <c r="C22" s="4" t="str">
        <f>'Reference Score Calculation'!D89</f>
        <v>文理及科技學士(榮譽)</v>
      </c>
      <c r="D22" s="4" t="str">
        <f>'Reference Score Calculation'!T89</f>
        <v>BAScT</v>
      </c>
      <c r="E22" s="115" t="str">
        <f>'Reference Score Calculation'!AD89</f>
        <v>Best 5</v>
      </c>
      <c r="F22" s="6" t="str">
        <f>'Reference Score Calculation'!G89</f>
        <v>/</v>
      </c>
      <c r="G22" s="6" t="str">
        <f>'Reference Score Calculation'!H89</f>
        <v>/</v>
      </c>
      <c r="H22" s="46">
        <f>計分版!H110</f>
        <v>3.9500000000000006E-9</v>
      </c>
      <c r="I22" s="7" t="s">
        <v>1978</v>
      </c>
      <c r="J22" s="8" t="s">
        <v>1978</v>
      </c>
      <c r="K22" s="567">
        <f>入學要求!C98</f>
        <v>10</v>
      </c>
      <c r="L22" s="102">
        <f>入學要求!R98</f>
        <v>0</v>
      </c>
      <c r="M22" s="189"/>
      <c r="N22" s="189">
        <f>入學要求!D98</f>
        <v>3</v>
      </c>
      <c r="O22" s="189">
        <f>入學要求!E98</f>
        <v>3</v>
      </c>
      <c r="P22" s="189">
        <f>入學要求!F98</f>
        <v>2</v>
      </c>
      <c r="Q22" s="189">
        <f>入學要求!G98</f>
        <v>2</v>
      </c>
      <c r="R22" s="189">
        <f>入學要求!H98</f>
        <v>3</v>
      </c>
      <c r="S22" s="189">
        <f>入學要求!I98</f>
        <v>3</v>
      </c>
      <c r="T22" s="576"/>
      <c r="U22" s="265" t="str" cm="1">
        <f t="array" ref="U22">IFERROR(INDEX('Offer Statistics'!$AI$2:$AI$115,MATCH(1,($A22='Offer Statistics'!$T$2:$T$115)*($T$2='Offer Statistics'!$AC$2:$AC$115),0)),"/")</f>
        <v>/</v>
      </c>
      <c r="V22" s="271" t="str" cm="1">
        <f t="array" ref="V22">IFERROR(INDEX('Offer Statistics'!AD$2:AD$115,MATCH(1,($A22='Offer Statistics'!$T$2:$T$115)*($T$2='Offer Statistics'!$AC$2:$AC$115),0)),"/")</f>
        <v>/</v>
      </c>
      <c r="W22" s="271" t="str" cm="1">
        <f t="array" ref="W22">IFERROR(INDEX('Offer Statistics'!AE$2:AE$115,MATCH(1,($A22='Offer Statistics'!$T$2:$T$115)*($T$2='Offer Statistics'!$AC$2:$AC$115),0)),"/")</f>
        <v>/</v>
      </c>
      <c r="X22" s="271" t="str" cm="1">
        <f t="array" ref="X22">IFERROR(INDEX('Offer Statistics'!AF$2:AF$115,MATCH(1,($A22='Offer Statistics'!$T$2:$T$115)*($T$2='Offer Statistics'!$AC$2:$AC$115),0)),"/")</f>
        <v>/</v>
      </c>
      <c r="Y22" s="271" t="str" cm="1">
        <f t="array" ref="Y22">IFERROR(INDEX('Offer Statistics'!AG$2:AG$115,MATCH(1,($A22='Offer Statistics'!$T$2:$T$115)*($T$2='Offer Statistics'!$AC$2:$AC$115),0)),"/")</f>
        <v>/</v>
      </c>
      <c r="Z22" s="271" t="str" cm="1">
        <f t="array" ref="Z22">IFERROR(INDEX('Offer Statistics'!AH$2:AH$115,MATCH(1,($A22='Offer Statistics'!$T$2:$T$115)*($T$2='Offer Statistics'!$AC$2:$AC$115),0)),"/")</f>
        <v>/</v>
      </c>
      <c r="AA22" s="580"/>
      <c r="AB22" s="265" t="str" cm="1">
        <f t="array" ref="AB22">IFERROR(INDEX('Offer Statistics'!$AA$2:$AA$115,MATCH(1,($A22='Offer Statistics'!$T$2:$T$115)*($T$2='Offer Statistics'!$U$2:$U$115),0)),"/")</f>
        <v>/</v>
      </c>
      <c r="AC22" s="271" t="str" cm="1">
        <f t="array" ref="AC22">IFERROR(INDEX('Offer Statistics'!V$2:V$115,MATCH(1,($A22='Offer Statistics'!$T$2:$T$115)*($T$2='Offer Statistics'!$U$2:$U$115),0)),"/")</f>
        <v>/</v>
      </c>
      <c r="AD22" s="271" t="str" cm="1">
        <f t="array" ref="AD22">IFERROR(INDEX('Offer Statistics'!W$2:W$115,MATCH(1,($A22='Offer Statistics'!$T$2:$T$115)*($T$2='Offer Statistics'!$U$2:$U$115),0)),"/")</f>
        <v>/</v>
      </c>
      <c r="AE22" s="271" t="str" cm="1">
        <f t="array" ref="AE22">IFERROR(INDEX('Offer Statistics'!X$2:X$115,MATCH(1,($A22='Offer Statistics'!$T$2:$T$115)*($T$2='Offer Statistics'!$U$2:$U$115),0)),"/")</f>
        <v>/</v>
      </c>
      <c r="AF22" s="271" t="str" cm="1">
        <f t="array" ref="AF22">IFERROR(INDEX('Offer Statistics'!Y$2:Y$115,MATCH(1,($A22='Offer Statistics'!$T$2:$T$115)*($T$2='Offer Statistics'!$U$2:$U$115),0)),"/")</f>
        <v>/</v>
      </c>
      <c r="AG22" s="271" t="str" cm="1">
        <f t="array" ref="AG22">IFERROR(INDEX('Offer Statistics'!Z$2:Z$115,MATCH(1,($A22='Offer Statistics'!$T$2:$T$115)*($T$2='Offer Statistics'!$U$2:$U$115),0)),"/")</f>
        <v>/</v>
      </c>
      <c r="AH22" s="4"/>
      <c r="AI22" s="189"/>
    </row>
    <row r="23" spans="1:36" ht="18" customHeight="1" x14ac:dyDescent="0.3"/>
    <row r="24" spans="1:36" ht="18" customHeight="1" x14ac:dyDescent="0.3">
      <c r="A24" s="4" t="s">
        <v>3537</v>
      </c>
    </row>
    <row r="25" spans="1:36" ht="18" customHeight="1" x14ac:dyDescent="0.3">
      <c r="A25" s="4" t="s">
        <v>2589</v>
      </c>
    </row>
    <row r="26" spans="1:36" ht="18" customHeight="1" x14ac:dyDescent="0.3">
      <c r="C26" s="23"/>
      <c r="H26" s="15"/>
      <c r="M26" s="4"/>
    </row>
    <row r="27" spans="1:36" ht="18" customHeight="1" x14ac:dyDescent="0.3">
      <c r="A27" s="4" t="s">
        <v>2870</v>
      </c>
      <c r="E27" s="37"/>
      <c r="F27" s="15"/>
      <c r="G27" s="15"/>
      <c r="H27" s="15"/>
      <c r="I27" s="15"/>
      <c r="J27" s="22"/>
      <c r="K27" s="23"/>
      <c r="M27" s="4"/>
      <c r="N27" s="15"/>
      <c r="O27" s="15"/>
      <c r="P27" s="15"/>
      <c r="Q27" s="15"/>
      <c r="R27" s="15"/>
      <c r="S27" s="15"/>
      <c r="T27" s="15"/>
      <c r="V27" s="15" t="s">
        <v>3531</v>
      </c>
      <c r="W27" s="15"/>
      <c r="X27" s="15"/>
      <c r="Y27" s="15"/>
      <c r="Z27" s="15"/>
      <c r="AA27" s="15"/>
      <c r="AB27" s="15"/>
      <c r="AC27" s="15"/>
      <c r="AD27" s="15"/>
      <c r="AE27" s="15"/>
      <c r="AF27" s="15"/>
      <c r="AG27" s="15"/>
      <c r="AH27" s="15"/>
      <c r="AJ27" s="15"/>
    </row>
    <row r="28" spans="1:36" ht="18" customHeight="1" x14ac:dyDescent="0.3"/>
    <row r="29" spans="1:36" ht="18" customHeight="1" x14ac:dyDescent="0.3">
      <c r="A29" s="3" t="s">
        <v>1986</v>
      </c>
    </row>
    <row r="30" spans="1:36" ht="18" customHeight="1" x14ac:dyDescent="0.3">
      <c r="A30" s="4" t="s">
        <v>2406</v>
      </c>
    </row>
    <row r="31" spans="1:36" ht="18" customHeight="1" x14ac:dyDescent="0.3"/>
    <row r="32" spans="1:36" ht="18" customHeight="1" x14ac:dyDescent="0.3">
      <c r="A32" s="4" t="s">
        <v>2959</v>
      </c>
    </row>
    <row r="33" spans="1:13" ht="18" customHeight="1" x14ac:dyDescent="0.3">
      <c r="A33" s="4" t="s">
        <v>2960</v>
      </c>
    </row>
    <row r="34" spans="1:13" ht="18" customHeight="1" x14ac:dyDescent="0.3"/>
    <row r="35" spans="1:13" ht="18" customHeight="1" x14ac:dyDescent="0.3">
      <c r="A35" s="253" t="s">
        <v>2407</v>
      </c>
      <c r="B35" s="253"/>
      <c r="C35" s="253"/>
      <c r="D35" s="253"/>
      <c r="E35" s="261"/>
      <c r="F35" s="253"/>
      <c r="G35" s="253"/>
      <c r="H35" s="253"/>
      <c r="I35" s="253"/>
    </row>
    <row r="36" spans="1:13" ht="18" customHeight="1" x14ac:dyDescent="0.3">
      <c r="A36" s="253"/>
      <c r="B36" s="253" t="s">
        <v>2980</v>
      </c>
      <c r="C36" s="253"/>
      <c r="D36" s="253"/>
      <c r="E36" s="261"/>
      <c r="F36" s="253"/>
      <c r="G36" s="253"/>
      <c r="H36" s="253"/>
      <c r="I36" s="253"/>
    </row>
    <row r="37" spans="1:13" ht="18" customHeight="1" x14ac:dyDescent="0.3">
      <c r="A37" s="253"/>
      <c r="B37" s="253" t="s">
        <v>2981</v>
      </c>
      <c r="C37" s="253"/>
      <c r="D37" s="253"/>
      <c r="E37" s="261"/>
      <c r="F37" s="253"/>
      <c r="G37" s="253"/>
      <c r="H37" s="253"/>
      <c r="I37" s="253"/>
    </row>
    <row r="38" spans="1:13" ht="18" customHeight="1" x14ac:dyDescent="0.3">
      <c r="A38" s="253"/>
      <c r="B38" s="253" t="s">
        <v>2982</v>
      </c>
      <c r="C38" s="253"/>
      <c r="D38" s="253"/>
      <c r="E38" s="261"/>
      <c r="F38" s="253"/>
      <c r="G38" s="253"/>
      <c r="H38" s="253"/>
      <c r="I38" s="253"/>
    </row>
    <row r="39" spans="1:13" ht="18" customHeight="1" x14ac:dyDescent="0.3">
      <c r="A39" s="253"/>
      <c r="B39" s="253" t="s">
        <v>2983</v>
      </c>
      <c r="C39" s="253"/>
      <c r="D39" s="253"/>
      <c r="E39" s="261"/>
      <c r="F39" s="253"/>
      <c r="G39" s="253"/>
      <c r="H39" s="253"/>
      <c r="I39" s="253"/>
    </row>
    <row r="40" spans="1:13" ht="18" customHeight="1" x14ac:dyDescent="0.3"/>
    <row r="41" spans="1:13" ht="18" customHeight="1" x14ac:dyDescent="0.3">
      <c r="A41" s="4" t="s">
        <v>2408</v>
      </c>
    </row>
    <row r="42" spans="1:13" ht="18" customHeight="1" x14ac:dyDescent="0.3">
      <c r="E42" s="189"/>
      <c r="K42" s="188"/>
      <c r="L42" s="189"/>
      <c r="M42" s="189"/>
    </row>
    <row r="43" spans="1:13" ht="18" customHeight="1" x14ac:dyDescent="0.3">
      <c r="A43" s="3" t="s">
        <v>2961</v>
      </c>
      <c r="E43" s="189"/>
      <c r="K43" s="188"/>
      <c r="L43" s="189"/>
      <c r="M43" s="189"/>
    </row>
    <row r="44" spans="1:13" ht="18" customHeight="1" x14ac:dyDescent="0.3">
      <c r="A44" s="107" t="s">
        <v>2963</v>
      </c>
      <c r="B44" s="4" t="s">
        <v>2962</v>
      </c>
      <c r="E44" s="189"/>
      <c r="K44" s="188"/>
      <c r="L44" s="189"/>
      <c r="M44" s="189"/>
    </row>
    <row r="45" spans="1:13" ht="18" customHeight="1" x14ac:dyDescent="0.3">
      <c r="A45" s="107" t="s">
        <v>2964</v>
      </c>
      <c r="B45" s="4" t="s">
        <v>2965</v>
      </c>
    </row>
    <row r="46" spans="1:13" ht="18" customHeight="1" x14ac:dyDescent="0.3">
      <c r="A46" s="3"/>
      <c r="B46" s="4" t="s">
        <v>2966</v>
      </c>
      <c r="E46" s="189"/>
      <c r="K46" s="188"/>
      <c r="L46" s="189"/>
      <c r="M46" s="189"/>
    </row>
    <row r="47" spans="1:13" ht="18" customHeight="1" x14ac:dyDescent="0.3">
      <c r="A47" s="3"/>
      <c r="E47" s="189"/>
      <c r="K47" s="188"/>
      <c r="L47" s="189"/>
      <c r="M47" s="189"/>
    </row>
    <row r="48" spans="1:13" ht="18" customHeight="1" x14ac:dyDescent="0.3">
      <c r="A48" s="107" t="s">
        <v>2963</v>
      </c>
      <c r="B48" s="4" t="s">
        <v>2967</v>
      </c>
      <c r="E48" s="189"/>
      <c r="K48" s="188"/>
      <c r="L48" s="189"/>
      <c r="M48" s="189"/>
    </row>
    <row r="49" spans="1:13" ht="18" customHeight="1" x14ac:dyDescent="0.3">
      <c r="A49" s="107" t="s">
        <v>2964</v>
      </c>
      <c r="B49" s="4" t="s">
        <v>2968</v>
      </c>
      <c r="E49" s="189"/>
      <c r="K49" s="188"/>
      <c r="L49" s="189"/>
      <c r="M49" s="189"/>
    </row>
    <row r="50" spans="1:13" ht="18" customHeight="1" x14ac:dyDescent="0.3">
      <c r="A50" s="3"/>
      <c r="B50" s="4" t="s">
        <v>2969</v>
      </c>
      <c r="E50" s="189"/>
      <c r="K50" s="188"/>
      <c r="L50" s="189"/>
      <c r="M50" s="189"/>
    </row>
    <row r="51" spans="1:13" ht="18" customHeight="1" x14ac:dyDescent="0.3">
      <c r="A51" s="3"/>
      <c r="B51" s="4" t="s">
        <v>2971</v>
      </c>
      <c r="E51" s="189"/>
      <c r="K51" s="188"/>
      <c r="L51" s="189"/>
      <c r="M51" s="189"/>
    </row>
    <row r="52" spans="1:13" ht="18" customHeight="1" x14ac:dyDescent="0.3">
      <c r="A52" s="3"/>
      <c r="B52" s="4" t="s">
        <v>2970</v>
      </c>
      <c r="E52" s="189"/>
      <c r="K52" s="188"/>
      <c r="L52" s="189"/>
      <c r="M52" s="189"/>
    </row>
    <row r="53" spans="1:13" ht="18" customHeight="1" x14ac:dyDescent="0.3">
      <c r="A53" s="3"/>
      <c r="E53" s="189"/>
      <c r="K53" s="188"/>
      <c r="L53" s="189"/>
      <c r="M53" s="189"/>
    </row>
    <row r="54" spans="1:13" ht="18" customHeight="1" x14ac:dyDescent="0.3">
      <c r="A54" s="3" t="s">
        <v>1988</v>
      </c>
    </row>
    <row r="55" spans="1:13" ht="18" customHeight="1" x14ac:dyDescent="0.3">
      <c r="A55" s="47" t="s">
        <v>2409</v>
      </c>
    </row>
    <row r="56" spans="1:13" ht="18" customHeight="1" x14ac:dyDescent="0.3">
      <c r="A56" s="48" t="s">
        <v>2410</v>
      </c>
    </row>
    <row r="57" spans="1:13" ht="18" customHeight="1" x14ac:dyDescent="0.3">
      <c r="A57" s="47"/>
    </row>
    <row r="58" spans="1:13" ht="18" customHeight="1" x14ac:dyDescent="0.3">
      <c r="A58" s="47"/>
    </row>
    <row r="59" spans="1:13" ht="18" hidden="1" customHeight="1" x14ac:dyDescent="0.3">
      <c r="A59" s="3"/>
    </row>
    <row r="60" spans="1:13" ht="18" hidden="1" customHeight="1" x14ac:dyDescent="0.3">
      <c r="A60" s="3"/>
    </row>
    <row r="61" spans="1:13" ht="18" hidden="1" customHeight="1" x14ac:dyDescent="0.3">
      <c r="A61" s="3"/>
    </row>
    <row r="62" spans="1:13" ht="18" hidden="1" customHeight="1" x14ac:dyDescent="0.3"/>
    <row r="63" spans="1:13" ht="18" hidden="1" customHeight="1" x14ac:dyDescent="0.3"/>
    <row r="64" spans="1:13" ht="18" hidden="1" customHeight="1" x14ac:dyDescent="0.3"/>
    <row r="65" spans="1:35" ht="18" hidden="1" customHeight="1" x14ac:dyDescent="0.3"/>
    <row r="66" spans="1:35" ht="18" hidden="1" customHeight="1" x14ac:dyDescent="0.3"/>
    <row r="67" spans="1:35" ht="18" hidden="1" customHeight="1" x14ac:dyDescent="0.3"/>
    <row r="68" spans="1:35" ht="0" hidden="1" customHeight="1" x14ac:dyDescent="0.3">
      <c r="T68" s="3"/>
      <c r="U68" s="37" t="b">
        <f>IF($S$2="2018年",'Offer Statistics'!#REF!,IF($S$2="2019年",'Offer Statistics'!#REF!,IF($S$2="2020年",'Offer Statistics'!#REF!)))</f>
        <v>0</v>
      </c>
      <c r="V68" s="15" t="b">
        <f>IF($S$2="2018年",'Offer Statistics'!E50,IF($S$2="2019年",'Offer Statistics'!E100,IF($S$2="2020年",'Offer Statistics'!E151)))</f>
        <v>0</v>
      </c>
      <c r="W68" s="15" t="b">
        <f>IF($S$2="2018年",'Offer Statistics'!F50,IF($S$2="2019年",'Offer Statistics'!F100,IF($S$2="2020年",'Offer Statistics'!F151)))</f>
        <v>0</v>
      </c>
      <c r="X68" s="15" t="b">
        <f>IF($S$2="2018年",'Offer Statistics'!G50,IF($S$2="2019年",'Offer Statistics'!G100,IF($S$2="2020年",'Offer Statistics'!G151)))</f>
        <v>0</v>
      </c>
      <c r="Y68" s="15" t="b">
        <f>IF($S$2="2018年",'Offer Statistics'!H50,IF($S$2="2019年",'Offer Statistics'!H100,IF($S$2="2020年",'Offer Statistics'!H151)))</f>
        <v>0</v>
      </c>
      <c r="Z68" s="66" t="b">
        <f>IF($S$2="2018年",'Offer Statistics'!I50,IF($S$2="2019年",'Offer Statistics'!I100,IF($S$2="2020年",'Offer Statistics'!I151)))</f>
        <v>0</v>
      </c>
      <c r="AA68" s="3"/>
      <c r="AB68" s="37" t="e">
        <f>IF(#REF!="2018年",'Offer Statistics'!S50,IF(#REF!="2019年",'Offer Statistics'!S100,IF(#REF!="2020年",'Offer Statistics'!S150)))</f>
        <v>#REF!</v>
      </c>
      <c r="AC68" s="15" t="e">
        <f>IF(#REF!="2018年",'Offer Statistics'!M50,IF(#REF!="2019年",'Offer Statistics'!M100,IF(#REF!="2020年",'Offer Statistics'!M151)))</f>
        <v>#REF!</v>
      </c>
      <c r="AD68" s="15" t="e">
        <f>IF(#REF!="2018年",'Offer Statistics'!N50,IF(#REF!="2019年",'Offer Statistics'!N100,IF(#REF!="2020年",'Offer Statistics'!N151)))</f>
        <v>#REF!</v>
      </c>
      <c r="AE68" s="15" t="e">
        <f>IF(#REF!="2018年",'Offer Statistics'!O50,IF(#REF!="2019年",'Offer Statistics'!O100,IF(#REF!="2020年",'Offer Statistics'!O151)))</f>
        <v>#REF!</v>
      </c>
      <c r="AF68" s="15" t="e">
        <f>IF(#REF!="2018年",'Offer Statistics'!P50,IF(#REF!="2019年",'Offer Statistics'!P100,IF(#REF!="2020年",'Offer Statistics'!P151)))</f>
        <v>#REF!</v>
      </c>
      <c r="AG68" s="66" t="e">
        <f>IF(#REF!="2018年",'Offer Statistics'!Q50,IF(#REF!="2019年",'Offer Statistics'!Q100,IF(#REF!="2020年",'Offer Statistics'!Q151)))</f>
        <v>#REF!</v>
      </c>
      <c r="AH68" s="15"/>
      <c r="AI68" s="15" t="s">
        <v>260</v>
      </c>
    </row>
    <row r="73" spans="1:35" ht="16.5" hidden="1" customHeight="1" x14ac:dyDescent="0.3">
      <c r="E73" s="37"/>
      <c r="F73" s="15"/>
      <c r="G73" s="15"/>
      <c r="H73" s="15"/>
      <c r="I73" s="22"/>
      <c r="J73" s="23"/>
      <c r="N73" s="15"/>
      <c r="O73" s="15"/>
      <c r="P73" s="15"/>
      <c r="Q73" s="15"/>
      <c r="R73" s="15"/>
      <c r="S73" s="15"/>
    </row>
    <row r="74" spans="1:35" ht="16.5" hidden="1" customHeight="1" x14ac:dyDescent="0.3">
      <c r="E74" s="37"/>
      <c r="F74" s="15"/>
      <c r="G74" s="15"/>
      <c r="H74" s="15"/>
      <c r="I74" s="22"/>
      <c r="J74" s="23"/>
      <c r="N74" s="15"/>
      <c r="O74" s="15"/>
      <c r="P74" s="15"/>
      <c r="Q74" s="15"/>
      <c r="R74" s="15"/>
      <c r="S74" s="15"/>
    </row>
    <row r="75" spans="1:35" ht="0" hidden="1" customHeight="1" x14ac:dyDescent="0.3">
      <c r="A75" s="3"/>
    </row>
    <row r="76" spans="1:35" ht="0" hidden="1" customHeight="1" x14ac:dyDescent="0.3">
      <c r="A76" s="3"/>
    </row>
  </sheetData>
  <mergeCells count="3">
    <mergeCell ref="I1:J1"/>
    <mergeCell ref="T2:T22"/>
    <mergeCell ref="AA2:AA22"/>
  </mergeCells>
  <phoneticPr fontId="2" type="noConversion"/>
  <conditionalFormatting sqref="I2:J22">
    <cfRule type="cellIs" dxfId="303" priority="118" operator="equal">
      <formula>"/"</formula>
    </cfRule>
    <cfRule type="cellIs" dxfId="302" priority="119" operator="lessThan">
      <formula>0</formula>
    </cfRule>
    <cfRule type="cellIs" dxfId="301" priority="120" operator="greaterThan">
      <formula>0</formula>
    </cfRule>
  </conditionalFormatting>
  <conditionalFormatting sqref="F2:F22">
    <cfRule type="expression" dxfId="300" priority="117">
      <formula>$I$1="差距(Median)"</formula>
    </cfRule>
  </conditionalFormatting>
  <conditionalFormatting sqref="G2:G22">
    <cfRule type="expression" dxfId="299" priority="116">
      <formula>$I$1="差距(LQ)"</formula>
    </cfRule>
  </conditionalFormatting>
  <conditionalFormatting sqref="L2:L22">
    <cfRule type="cellIs" dxfId="298" priority="113" operator="equal">
      <formula>2</formula>
    </cfRule>
    <cfRule type="cellIs" dxfId="297" priority="114" operator="equal">
      <formula>1</formula>
    </cfRule>
    <cfRule type="cellIs" dxfId="296" priority="115" operator="equal">
      <formula>0</formula>
    </cfRule>
  </conditionalFormatting>
  <conditionalFormatting sqref="G6">
    <cfRule type="expression" dxfId="295" priority="15">
      <formula>$I$1="差距(LQ)"</formula>
    </cfRule>
  </conditionalFormatting>
  <conditionalFormatting sqref="I8:J9">
    <cfRule type="cellIs" dxfId="294" priority="29" operator="equal">
      <formula>"/"</formula>
    </cfRule>
    <cfRule type="cellIs" dxfId="293" priority="32" operator="lessThan">
      <formula>0</formula>
    </cfRule>
    <cfRule type="cellIs" dxfId="292" priority="33" operator="greaterThan">
      <formula>0</formula>
    </cfRule>
  </conditionalFormatting>
  <conditionalFormatting sqref="L8:L9">
    <cfRule type="cellIs" dxfId="291" priority="26" operator="equal">
      <formula>2</formula>
    </cfRule>
    <cfRule type="cellIs" dxfId="290" priority="27" operator="equal">
      <formula>1</formula>
    </cfRule>
    <cfRule type="cellIs" dxfId="289" priority="28" operator="equal">
      <formula>0</formula>
    </cfRule>
  </conditionalFormatting>
  <conditionalFormatting sqref="F7">
    <cfRule type="expression" dxfId="288" priority="18">
      <formula>$I$1="差距(Median)"</formula>
    </cfRule>
  </conditionalFormatting>
  <conditionalFormatting sqref="G7">
    <cfRule type="expression" dxfId="287" priority="17">
      <formula>$I$1="差距(LQ)"</formula>
    </cfRule>
  </conditionalFormatting>
  <conditionalFormatting sqref="F6">
    <cfRule type="expression" dxfId="286" priority="16">
      <formula>$I$1="差距(Median)"</formula>
    </cfRule>
  </conditionalFormatting>
  <conditionalFormatting sqref="A2:AI2 AB3:AI22 A3:Z22">
    <cfRule type="expression" dxfId="285" priority="1773">
      <formula>MOD(ROW(),2)=0</formula>
    </cfRule>
  </conditionalFormatting>
  <conditionalFormatting sqref="T68:U68 AH2:AH22">
    <cfRule type="expression" dxfId="284" priority="13">
      <formula>TRUE</formula>
    </cfRule>
  </conditionalFormatting>
  <conditionalFormatting sqref="AA68:AB68">
    <cfRule type="expression" dxfId="283" priority="11">
      <formula>TRUE</formula>
    </cfRule>
  </conditionalFormatting>
  <conditionalFormatting sqref="AH68">
    <cfRule type="expression" dxfId="282" priority="10">
      <formula>TRUE</formula>
    </cfRule>
  </conditionalFormatting>
  <conditionalFormatting sqref="T2 AA2">
    <cfRule type="expression" dxfId="281" priority="9">
      <formula>TRUE</formula>
    </cfRule>
  </conditionalFormatting>
  <hyperlinks>
    <hyperlink ref="A55" r:id="rId1" xr:uid="{00000000-0004-0000-0600-000000000000}"/>
    <hyperlink ref="A56" r:id="rId2" xr:uid="{00000000-0004-0000-0600-000001000000}"/>
  </hyperlinks>
  <pageMargins left="0.7" right="0.7" top="0.75" bottom="0.75" header="0.3" footer="0.3"/>
  <pageSetup paperSize="9" orientation="portrait" r:id="rId3"/>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1" id="{43C03454-55CE-44F6-93B7-997A1B62BC88}">
            <xm:f>入學要求!K78=0</xm:f>
            <x14:dxf>
              <font>
                <color rgb="FF9C0006"/>
              </font>
              <fill>
                <patternFill>
                  <bgColor rgb="FFFFC7CE"/>
                </patternFill>
              </fill>
            </x14:dxf>
          </x14:cfRule>
          <x14:cfRule type="expression" priority="2" id="{C9FA4709-2C14-422C-BAC9-DD3189FA12FE}">
            <xm:f>入學要求!K78=2</xm:f>
            <x14:dxf>
              <font>
                <color rgb="FF9C5700"/>
              </font>
              <fill>
                <patternFill>
                  <bgColor rgb="FFFFEB9C"/>
                </patternFill>
              </fill>
            </x14:dxf>
          </x14:cfRule>
          <x14:cfRule type="expression" priority="3" id="{A0CB6FD3-EF2F-4F37-BA00-E886B35461E2}">
            <xm:f>入學要求!K78=1</xm:f>
            <x14:dxf>
              <font>
                <color rgb="FF006100"/>
              </font>
              <fill>
                <patternFill>
                  <bgColor rgb="FFC6EFCE"/>
                </patternFill>
              </fill>
            </x14:dxf>
          </x14:cfRule>
          <xm:sqref>N2:S22</xm:sqref>
        </x14:conditionalFormatting>
        <x14:conditionalFormatting xmlns:xm="http://schemas.microsoft.com/office/excel/2006/main">
          <x14:cfRule type="expression" priority="19014" id="{43C03454-55CE-44F6-93B7-997A1B62BC88}">
            <xm:f>入學要求!K99=0</xm:f>
            <x14:dxf>
              <font>
                <color rgb="FF9C0006"/>
              </font>
              <fill>
                <patternFill>
                  <bgColor rgb="FFFFC7CE"/>
                </patternFill>
              </fill>
            </x14:dxf>
          </x14:cfRule>
          <x14:cfRule type="expression" priority="19015" id="{C9FA4709-2C14-422C-BAC9-DD3189FA12FE}">
            <xm:f>入學要求!K99=2</xm:f>
            <x14:dxf>
              <font>
                <color rgb="FF9C5700"/>
              </font>
              <fill>
                <patternFill>
                  <bgColor rgb="FFFFEB9C"/>
                </patternFill>
              </fill>
            </x14:dxf>
          </x14:cfRule>
          <x14:cfRule type="expression" priority="19016" id="{A0CB6FD3-EF2F-4F37-BA00-E886B35461E2}">
            <xm:f>入學要求!K99=1</xm:f>
            <x14:dxf>
              <font>
                <color rgb="FF006100"/>
              </font>
              <fill>
                <patternFill>
                  <bgColor rgb="FFC6EFCE"/>
                </patternFill>
              </fill>
            </x14:dxf>
          </x14:cfRule>
          <xm:sqref>N17:S19</xm:sqref>
        </x14:conditionalFormatting>
        <x14:conditionalFormatting xmlns:xm="http://schemas.microsoft.com/office/excel/2006/main">
          <x14:cfRule type="expression" priority="21635" id="{43C03454-55CE-44F6-93B7-997A1B62BC88}">
            <xm:f>入學要求!#REF!=0</xm:f>
            <x14:dxf>
              <font>
                <color rgb="FF9C0006"/>
              </font>
              <fill>
                <patternFill>
                  <bgColor rgb="FFFFC7CE"/>
                </patternFill>
              </fill>
            </x14:dxf>
          </x14:cfRule>
          <x14:cfRule type="expression" priority="21636" id="{C9FA4709-2C14-422C-BAC9-DD3189FA12FE}">
            <xm:f>入學要求!#REF!=2</xm:f>
            <x14:dxf>
              <font>
                <color rgb="FF9C5700"/>
              </font>
              <fill>
                <patternFill>
                  <bgColor rgb="FFFFEB9C"/>
                </patternFill>
              </fill>
            </x14:dxf>
          </x14:cfRule>
          <x14:cfRule type="expression" priority="21637" id="{A0CB6FD3-EF2F-4F37-BA00-E886B35461E2}">
            <xm:f>入學要求!#REF!=1</xm:f>
            <x14:dxf>
              <font>
                <color rgb="FF006100"/>
              </font>
              <fill>
                <patternFill>
                  <bgColor rgb="FFC6EFCE"/>
                </patternFill>
              </fill>
            </x14:dxf>
          </x14:cfRule>
          <xm:sqref>N22:S22</xm:sqref>
        </x14:conditionalFormatting>
        <x14:conditionalFormatting xmlns:xm="http://schemas.microsoft.com/office/excel/2006/main">
          <x14:cfRule type="expression" priority="21638" id="{43C03454-55CE-44F6-93B7-997A1B62BC88}">
            <xm:f>入學要求!#REF!=0</xm:f>
            <x14:dxf>
              <font>
                <color rgb="FF9C0006"/>
              </font>
              <fill>
                <patternFill>
                  <bgColor rgb="FFFFC7CE"/>
                </patternFill>
              </fill>
            </x14:dxf>
          </x14:cfRule>
          <x14:cfRule type="expression" priority="21639" id="{C9FA4709-2C14-422C-BAC9-DD3189FA12FE}">
            <xm:f>入學要求!#REF!=2</xm:f>
            <x14:dxf>
              <font>
                <color rgb="FF9C5700"/>
              </font>
              <fill>
                <patternFill>
                  <bgColor rgb="FFFFEB9C"/>
                </patternFill>
              </fill>
            </x14:dxf>
          </x14:cfRule>
          <x14:cfRule type="expression" priority="21640" id="{A0CB6FD3-EF2F-4F37-BA00-E886B35461E2}">
            <xm:f>入學要求!#REF!=1</xm:f>
            <x14:dxf>
              <font>
                <color rgb="FF006100"/>
              </font>
              <fill>
                <patternFill>
                  <bgColor rgb="FFC6EFCE"/>
                </patternFill>
              </fill>
            </x14:dxf>
          </x14:cfRule>
          <xm:sqref>N20:S21</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0000000}">
          <x14:formula1>
            <xm:f>選單!$J$2:$J$3</xm:f>
          </x14:formula1>
          <xm:sqref>I1:J1</xm:sqref>
        </x14:dataValidation>
        <x14:dataValidation type="list" allowBlank="1" showInputMessage="1" showErrorMessage="1" xr:uid="{00000000-0002-0000-0600-000001000000}">
          <x14:formula1>
            <xm:f>選單!$I$2:$I$4</xm:f>
          </x14:formula1>
          <xm:sqref>T68:U68</xm:sqref>
        </x14:dataValidation>
        <x14:dataValidation type="list" allowBlank="1" showInputMessage="1" showErrorMessage="1" xr:uid="{2B1AD2E4-0C0C-4D04-9042-81393B7F5778}">
          <x14:formula1>
            <xm:f>選單!$I$1:$I$4</xm:f>
          </x14:formula1>
          <xm:sqref>T2:T22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工作表7">
    <tabColor rgb="FFA04310"/>
  </sheetPr>
  <dimension ref="A1:AP93"/>
  <sheetViews>
    <sheetView zoomScaleNormal="100" workbookViewId="0">
      <pane ySplit="1" topLeftCell="A25" activePane="bottomLeft" state="frozen"/>
      <selection activeCell="C1" sqref="C1"/>
      <selection pane="bottomLeft" activeCell="L16" sqref="K16:L16"/>
    </sheetView>
  </sheetViews>
  <sheetFormatPr defaultColWidth="0" defaultRowHeight="15.6" zeroHeight="1" x14ac:dyDescent="0.3"/>
  <cols>
    <col min="1" max="1" width="7.109375" style="13" customWidth="1"/>
    <col min="2" max="2" width="6.88671875" style="13" customWidth="1"/>
    <col min="3" max="3" width="16.44140625" style="13" customWidth="1"/>
    <col min="4" max="4" width="5.109375" style="255" hidden="1" customWidth="1"/>
    <col min="5" max="5" width="7.88671875" style="258" customWidth="1"/>
    <col min="6" max="6" width="9.21875" style="258" customWidth="1"/>
    <col min="7" max="7" width="6.77734375" style="258" customWidth="1"/>
    <col min="8" max="8" width="12.6640625" style="13" customWidth="1"/>
    <col min="9" max="9" width="8.77734375" style="20" customWidth="1"/>
    <col min="10" max="10" width="12.33203125" style="258" customWidth="1"/>
    <col min="11" max="11" width="7.109375" style="13" customWidth="1"/>
    <col min="12" max="12" width="7.21875" style="13" customWidth="1"/>
    <col min="13" max="13" width="7.109375" style="20" customWidth="1"/>
    <col min="14" max="14" width="8.77734375" style="13" customWidth="1"/>
    <col min="15" max="15" width="7.6640625" style="13" customWidth="1"/>
    <col min="16" max="16" width="4.88671875" style="13" customWidth="1"/>
    <col min="17" max="17" width="4.6640625" style="20" customWidth="1"/>
    <col min="18" max="18" width="9.77734375" style="20" customWidth="1"/>
    <col min="19" max="24" width="2.21875" style="13" customWidth="1"/>
    <col min="25" max="25" width="8.88671875" style="13" customWidth="1"/>
    <col min="26" max="31" width="6.33203125" style="13" customWidth="1"/>
    <col min="32" max="32" width="8.88671875" style="13" customWidth="1"/>
    <col min="33" max="38" width="6.33203125" style="13" customWidth="1"/>
    <col min="39" max="39" width="3.109375" style="13" customWidth="1"/>
    <col min="40" max="40" width="8.109375" style="255" customWidth="1"/>
    <col min="41" max="41" width="8.109375" style="13" customWidth="1"/>
    <col min="42" max="16384" width="10.88671875" style="13" hidden="1"/>
  </cols>
  <sheetData>
    <row r="1" spans="1:41" s="75" customFormat="1" ht="18" customHeight="1" x14ac:dyDescent="0.3">
      <c r="A1" s="30" t="s">
        <v>1942</v>
      </c>
      <c r="B1" s="30" t="s">
        <v>1943</v>
      </c>
      <c r="C1" s="263" t="s">
        <v>1944</v>
      </c>
      <c r="D1" s="263"/>
      <c r="E1" s="311" t="s">
        <v>2545</v>
      </c>
      <c r="F1" s="314" t="s">
        <v>3057</v>
      </c>
      <c r="G1" s="270" t="s">
        <v>2996</v>
      </c>
      <c r="H1" s="30" t="s">
        <v>2994</v>
      </c>
      <c r="I1" s="68" t="s">
        <v>3059</v>
      </c>
      <c r="J1" s="311" t="s">
        <v>3058</v>
      </c>
      <c r="K1" s="68" t="s">
        <v>1946</v>
      </c>
      <c r="L1" s="68" t="s">
        <v>1947</v>
      </c>
      <c r="M1" s="68" t="s">
        <v>1948</v>
      </c>
      <c r="N1" s="592" t="s">
        <v>1949</v>
      </c>
      <c r="O1" s="592"/>
      <c r="P1" s="68" t="s">
        <v>1950</v>
      </c>
      <c r="Q1" s="68" t="s">
        <v>1951</v>
      </c>
      <c r="R1" s="68" t="s">
        <v>2027</v>
      </c>
      <c r="S1" s="68" t="s">
        <v>1953</v>
      </c>
      <c r="T1" s="68" t="s">
        <v>1954</v>
      </c>
      <c r="U1" s="68" t="s">
        <v>1955</v>
      </c>
      <c r="V1" s="68" t="s">
        <v>1956</v>
      </c>
      <c r="W1" s="68" t="s">
        <v>1957</v>
      </c>
      <c r="X1" s="68" t="s">
        <v>1958</v>
      </c>
      <c r="Y1" s="68" t="s">
        <v>1959</v>
      </c>
      <c r="Z1" s="68" t="s">
        <v>2363</v>
      </c>
      <c r="AA1" s="68" t="s">
        <v>1961</v>
      </c>
      <c r="AB1" s="68" t="s">
        <v>1962</v>
      </c>
      <c r="AC1" s="68" t="s">
        <v>1963</v>
      </c>
      <c r="AD1" s="68" t="s">
        <v>1964</v>
      </c>
      <c r="AE1" s="68" t="s">
        <v>1965</v>
      </c>
      <c r="AF1" s="68" t="s">
        <v>2364</v>
      </c>
      <c r="AG1" s="68" t="s">
        <v>2363</v>
      </c>
      <c r="AH1" s="68" t="s">
        <v>1961</v>
      </c>
      <c r="AI1" s="68" t="s">
        <v>1962</v>
      </c>
      <c r="AJ1" s="68" t="s">
        <v>1963</v>
      </c>
      <c r="AK1" s="68" t="s">
        <v>1964</v>
      </c>
      <c r="AL1" s="68" t="s">
        <v>1965</v>
      </c>
      <c r="AN1" s="311"/>
      <c r="AO1" s="68"/>
    </row>
    <row r="2" spans="1:41" ht="18" customHeight="1" x14ac:dyDescent="0.3">
      <c r="A2" s="252" t="s">
        <v>480</v>
      </c>
      <c r="B2" s="252" t="s">
        <v>1976</v>
      </c>
      <c r="C2" s="252" t="s">
        <v>483</v>
      </c>
      <c r="D2" s="252" t="s">
        <v>481</v>
      </c>
      <c r="E2" s="62" t="str">
        <f>'Reference Score Calculation'!E92</f>
        <v>Best 5</v>
      </c>
      <c r="F2" s="322">
        <f>'Reference Score Calculation'!V92</f>
        <v>21.4</v>
      </c>
      <c r="G2" s="256" t="s">
        <v>562</v>
      </c>
      <c r="H2" s="4" t="s">
        <v>565</v>
      </c>
      <c r="I2" s="309" t="str">
        <f>'Reference Score Calculation'!P92</f>
        <v>Best 5</v>
      </c>
      <c r="J2" s="322">
        <f>'Reference Score Calculation'!W92</f>
        <v>21</v>
      </c>
      <c r="K2" s="34">
        <f>'Reference Score Calculation'!G92</f>
        <v>193.00000000207999</v>
      </c>
      <c r="L2" s="34">
        <f>'Reference Score Calculation'!H92</f>
        <v>190.00000000260002</v>
      </c>
      <c r="M2" s="331">
        <f>計分版!H113</f>
        <v>2.175E-8</v>
      </c>
      <c r="N2" s="25">
        <f t="shared" ref="N2:N7" si="0">IF(N$1="差距(Median)",M2-K2,IF(N$1="差距(LQ)",M2-L2))</f>
        <v>-192.99999998032999</v>
      </c>
      <c r="O2" s="26">
        <f t="shared" ref="O2:O7" si="1">IF(N$1="差距(Median)",(M2-K2)/M2,IF(N$1="差距(LQ)",(M2-L2)/M2))</f>
        <v>-8873563217.4864368</v>
      </c>
      <c r="P2" s="591">
        <f>入學要求!C101</f>
        <v>76</v>
      </c>
      <c r="Q2" s="587">
        <f>入學要求!R101</f>
        <v>0</v>
      </c>
      <c r="R2" s="15"/>
      <c r="S2" s="586">
        <f>入學要求!D101</f>
        <v>3</v>
      </c>
      <c r="T2" s="586">
        <f>入學要求!E101</f>
        <v>3</v>
      </c>
      <c r="U2" s="586">
        <f>入學要求!F101</f>
        <v>2</v>
      </c>
      <c r="V2" s="586">
        <f>入學要求!G101</f>
        <v>2</v>
      </c>
      <c r="W2" s="586">
        <f>入學要求!H101</f>
        <v>3</v>
      </c>
      <c r="X2" s="586">
        <f>入學要求!I101</f>
        <v>3</v>
      </c>
      <c r="Y2" s="576" t="s">
        <v>2840</v>
      </c>
      <c r="Z2" s="286" t="str" cm="1">
        <f t="array" ref="Z2">IFERROR(IF(Y2="2021年",INDEX('Offer Statistics'!AZ$2:AZ$203,MATCH(1,($A2='Offer Statistics'!$AK$2:$AK$203)*($Y$2='Offer Statistics'!$AL$2:$AL$203),0)),INDEX('Offer Statistics'!AZ$2:AZ$203,MATCH(1,($G2='Offer Statistics'!$AK$2:$AK$203)*($Y$2='Offer Statistics'!$AL$2:$AL$203),0))),"/")</f>
        <v>/</v>
      </c>
      <c r="AA2" s="289" t="str" cm="1">
        <f t="array" ref="AA2">IFERROR(INDEX('Offer Statistics'!AU$2:AU$203,MATCH(1,($A2='Offer Statistics'!$AK$2:$AK$203)*($Y$2='Offer Statistics'!$AL$2:$AL$203),0)),"/")</f>
        <v>/</v>
      </c>
      <c r="AB2" s="289" t="str" cm="1">
        <f t="array" ref="AB2">IFERROR(INDEX('Offer Statistics'!AV$2:AV$203,MATCH(1,($A2='Offer Statistics'!$AK$2:$AK$203)*($Y$2='Offer Statistics'!$AL$2:$AL$203),0)),"/")</f>
        <v>/</v>
      </c>
      <c r="AC2" s="289" t="str" cm="1">
        <f t="array" ref="AC2">IFERROR(INDEX('Offer Statistics'!AW$2:AW$203,MATCH(1,($A2='Offer Statistics'!$AK$2:$AK$203)*($Y$2='Offer Statistics'!$AL$2:$AL$203),0)),"/")</f>
        <v>/</v>
      </c>
      <c r="AD2" s="289" t="str" cm="1">
        <f t="array" ref="AD2">IFERROR(INDEX('Offer Statistics'!AX$2:AX$203,MATCH(1,($A2='Offer Statistics'!$AK$2:$AK$203)*($Y$2='Offer Statistics'!$AL$2:$AL$203),0)),"/")</f>
        <v>/</v>
      </c>
      <c r="AE2" s="289" t="str" cm="1">
        <f t="array" ref="AE2">IFERROR(INDEX('Offer Statistics'!AY$2:AY$203,MATCH(1,($A2='Offer Statistics'!$AK$2:$AK$203)*($Y$2='Offer Statistics'!$AL$2:$AL$203),0)),"/")</f>
        <v>/</v>
      </c>
      <c r="AF2" s="580" t="str">
        <f>Y2</f>
        <v>2021年</v>
      </c>
      <c r="AG2" s="286" t="str" cm="1">
        <f t="array" ref="AG2">IFERROR(IF(Y2="2021年",INDEX('Offer Statistics'!AR$2:AR$203,MATCH(1,($A2='Offer Statistics'!$AK$2:$AK$203)*($Y$2='Offer Statistics'!$AL$2:$AL$203),0)),INDEX('Offer Statistics'!AR$2:AR159,MATCH(1,($G2='Offer Statistics'!$AK$2:$AK$203)*($Y$2='Offer Statistics'!$AL$2:$AL$203),0))),"/")</f>
        <v>/</v>
      </c>
      <c r="AH2" s="289" t="str" cm="1">
        <f t="array" ref="AH2">IFERROR(IF(T2="2021年",INDEX('Offer Statistics'!AM$2:AM$203,MATCH(1,($A2='Offer Statistics'!$AK$2:$AK$203)*($Y$2='Offer Statistics'!$AL$2:$AL$203),0)),INDEX('Offer Statistics'!AM$2:AM159,MATCH(1,($G2='Offer Statistics'!$AK$2:$AK$203)*($Y$2='Offer Statistics'!$AL$2:$AL$203),0))),"/")</f>
        <v>/</v>
      </c>
      <c r="AI2" s="289" t="str" cm="1">
        <f t="array" ref="AI2">IFERROR(IF(U2="2021年",INDEX('Offer Statistics'!AN$2:AN$203,MATCH(1,($A2='Offer Statistics'!$AK$2:$AK$203)*($Y$2='Offer Statistics'!$AL$2:$AL$203),0)),INDEX('Offer Statistics'!AN$2:AN159,MATCH(1,($G2='Offer Statistics'!$AK$2:$AK$203)*($Y$2='Offer Statistics'!$AL$2:$AL$203),0))),"/")</f>
        <v>/</v>
      </c>
      <c r="AJ2" s="289" t="str" cm="1">
        <f t="array" ref="AJ2">IFERROR(IF(V2="2021年",INDEX('Offer Statistics'!AO$2:AO$203,MATCH(1,($A2='Offer Statistics'!$AK$2:$AK$203)*($Y$2='Offer Statistics'!$AL$2:$AL$203),0)),INDEX('Offer Statistics'!AO$2:AO159,MATCH(1,($G2='Offer Statistics'!$AK$2:$AK$203)*($Y$2='Offer Statistics'!$AL$2:$AL$203),0))),"/")</f>
        <v>/</v>
      </c>
      <c r="AK2" s="289" t="str" cm="1">
        <f t="array" ref="AK2">IFERROR(IF(W2="2021年",INDEX('Offer Statistics'!AP$2:AP$203,MATCH(1,($A2='Offer Statistics'!$AK$2:$AK$203)*($Y$2='Offer Statistics'!$AL$2:$AL$203),0)),INDEX('Offer Statistics'!AP$2:AP159,MATCH(1,($G2='Offer Statistics'!$AK$2:$AK$203)*($Y$2='Offer Statistics'!$AL$2:$AL$203),0))),"/")</f>
        <v>/</v>
      </c>
      <c r="AL2" s="289" t="str" cm="1">
        <f t="array" ref="AL2">IFERROR(IF(X2="2021年",INDEX('Offer Statistics'!AQ$2:AQ$203,MATCH(1,($A2='Offer Statistics'!$AK$2:$AK$203)*($Y$2='Offer Statistics'!$AL$2:$AL$203),0)),INDEX('Offer Statistics'!AQ$2:AQ159,MATCH(1,($G2='Offer Statistics'!$AK$2:$AK$203)*($Y$2='Offer Statistics'!$AL$2:$AL$203),0))),"/")</f>
        <v>/</v>
      </c>
      <c r="AM2" s="284"/>
      <c r="AN2" s="313" t="str">
        <f>G2</f>
        <v>JS3349</v>
      </c>
      <c r="AO2" s="15" t="str">
        <f>A2</f>
        <v>JS3010</v>
      </c>
    </row>
    <row r="3" spans="1:41" ht="18" customHeight="1" x14ac:dyDescent="0.3">
      <c r="A3" s="252"/>
      <c r="B3" s="252"/>
      <c r="C3" s="252"/>
      <c r="D3" s="252"/>
      <c r="E3" s="62" t="str">
        <f>'Reference Score Calculation'!E93</f>
        <v/>
      </c>
      <c r="F3" s="322" t="str">
        <f>'Reference Score Calculation'!V93</f>
        <v/>
      </c>
      <c r="G3" s="256" t="s">
        <v>738</v>
      </c>
      <c r="H3" s="4" t="s">
        <v>741</v>
      </c>
      <c r="I3" s="309" t="str">
        <f>'Reference Score Calculation'!P93</f>
        <v>Best 5</v>
      </c>
      <c r="J3" s="322">
        <f>'Reference Score Calculation'!W93</f>
        <v>22.1</v>
      </c>
      <c r="K3" s="34">
        <f>'Reference Score Calculation'!G93</f>
        <v>180.50000000172997</v>
      </c>
      <c r="L3" s="34">
        <f>'Reference Score Calculation'!H93</f>
        <v>177.00000000145002</v>
      </c>
      <c r="M3" s="331">
        <f>計分版!H114</f>
        <v>1.6750000000000001E-8</v>
      </c>
      <c r="N3" s="25">
        <f t="shared" si="0"/>
        <v>-180.49999998497998</v>
      </c>
      <c r="O3" s="26">
        <f t="shared" si="1"/>
        <v>-10776119402.088356</v>
      </c>
      <c r="P3" s="591"/>
      <c r="Q3" s="588"/>
      <c r="R3" s="15"/>
      <c r="S3" s="586"/>
      <c r="T3" s="586"/>
      <c r="U3" s="586"/>
      <c r="V3" s="586"/>
      <c r="W3" s="586"/>
      <c r="X3" s="586"/>
      <c r="Y3" s="576"/>
      <c r="Z3" s="286" t="str" cm="1">
        <f t="array" ref="Z3">IFERROR(IF(Y3="2021年",INDEX('Offer Statistics'!AZ$2:AZ$203,MATCH(1,($A3='Offer Statistics'!$AK$2:$AK$203)*($Y$2='Offer Statistics'!$AL$2:$AL$203),0)),INDEX('Offer Statistics'!AZ$2:AZ$203,MATCH(1,($G3='Offer Statistics'!$AK$2:$AK$203)*($Y$2='Offer Statistics'!$AL$2:$AL$203),0))),"/")</f>
        <v>/</v>
      </c>
      <c r="AA3" s="289" t="str" cm="1">
        <f t="array" ref="AA3">IFERROR(INDEX('Offer Statistics'!AU$2:AU$203,MATCH(1,($A3='Offer Statistics'!$AK$2:$AK$203)*($Y$2='Offer Statistics'!$AL$2:$AL$203),0)),"/")</f>
        <v>/</v>
      </c>
      <c r="AB3" s="289" t="str" cm="1">
        <f t="array" ref="AB3">IFERROR(INDEX('Offer Statistics'!AV$2:AV$203,MATCH(1,($A3='Offer Statistics'!$AK$2:$AK$203)*($Y$2='Offer Statistics'!$AL$2:$AL$203),0)),"/")</f>
        <v>/</v>
      </c>
      <c r="AC3" s="289" t="str" cm="1">
        <f t="array" ref="AC3">IFERROR(INDEX('Offer Statistics'!AW$2:AW$203,MATCH(1,($A3='Offer Statistics'!$AK$2:$AK$203)*($Y$2='Offer Statistics'!$AL$2:$AL$203),0)),"/")</f>
        <v>/</v>
      </c>
      <c r="AD3" s="289" t="str" cm="1">
        <f t="array" ref="AD3">IFERROR(INDEX('Offer Statistics'!AX$2:AX$203,MATCH(1,($A3='Offer Statistics'!$AK$2:$AK$203)*($Y$2='Offer Statistics'!$AL$2:$AL$203),0)),"/")</f>
        <v>/</v>
      </c>
      <c r="AE3" s="289" t="str" cm="1">
        <f t="array" ref="AE3">IFERROR(INDEX('Offer Statistics'!AY$2:AY$203,MATCH(1,($A3='Offer Statistics'!$AK$2:$AK$203)*($Y$2='Offer Statistics'!$AL$2:$AL$203),0)),"/")</f>
        <v>/</v>
      </c>
      <c r="AF3" s="580"/>
      <c r="AG3" s="286" t="str" cm="1">
        <f t="array" ref="AG3">IFERROR(IF(Y3="2021年",INDEX('Offer Statistics'!AR$2:AR$203,MATCH(1,($A3='Offer Statistics'!$AK$2:$AK$203)*($Y$2='Offer Statistics'!$AL$2:$AL$203),0)),INDEX('Offer Statistics'!AR$2:AR160,MATCH(1,($G3='Offer Statistics'!$AK$2:$AK$203)*($Y$2='Offer Statistics'!$AL$2:$AL$203),0))),"/")</f>
        <v>/</v>
      </c>
      <c r="AH3" s="289" t="str" cm="1">
        <f t="array" ref="AH3">IFERROR(IF(T3="2021年",INDEX('Offer Statistics'!AM$2:AM$203,MATCH(1,($A3='Offer Statistics'!$AK$2:$AK$203)*($Y$2='Offer Statistics'!$AL$2:$AL$203),0)),INDEX('Offer Statistics'!AM$2:AM160,MATCH(1,($G3='Offer Statistics'!$AK$2:$AK$203)*($Y$2='Offer Statistics'!$AL$2:$AL$203),0))),"/")</f>
        <v>/</v>
      </c>
      <c r="AI3" s="289" t="str" cm="1">
        <f t="array" ref="AI3">IFERROR(IF(U3="2021年",INDEX('Offer Statistics'!AN$2:AN$203,MATCH(1,($A3='Offer Statistics'!$AK$2:$AK$203)*($Y$2='Offer Statistics'!$AL$2:$AL$203),0)),INDEX('Offer Statistics'!AN$2:AN160,MATCH(1,($G3='Offer Statistics'!$AK$2:$AK$203)*($Y$2='Offer Statistics'!$AL$2:$AL$203),0))),"/")</f>
        <v>/</v>
      </c>
      <c r="AJ3" s="289" t="str" cm="1">
        <f t="array" ref="AJ3">IFERROR(IF(V3="2021年",INDEX('Offer Statistics'!AO$2:AO$203,MATCH(1,($A3='Offer Statistics'!$AK$2:$AK$203)*($Y$2='Offer Statistics'!$AL$2:$AL$203),0)),INDEX('Offer Statistics'!AO$2:AO160,MATCH(1,($G3='Offer Statistics'!$AK$2:$AK$203)*($Y$2='Offer Statistics'!$AL$2:$AL$203),0))),"/")</f>
        <v>/</v>
      </c>
      <c r="AK3" s="289" t="str" cm="1">
        <f t="array" ref="AK3">IFERROR(IF(W3="2021年",INDEX('Offer Statistics'!AP$2:AP$203,MATCH(1,($A3='Offer Statistics'!$AK$2:$AK$203)*($Y$2='Offer Statistics'!$AL$2:$AL$203),0)),INDEX('Offer Statistics'!AP$2:AP160,MATCH(1,($G3='Offer Statistics'!$AK$2:$AK$203)*($Y$2='Offer Statistics'!$AL$2:$AL$203),0))),"/")</f>
        <v>/</v>
      </c>
      <c r="AL3" s="289" t="str" cm="1">
        <f t="array" ref="AL3">IFERROR(IF(X3="2021年",INDEX('Offer Statistics'!AQ$2:AQ$203,MATCH(1,($A3='Offer Statistics'!$AK$2:$AK$203)*($Y$2='Offer Statistics'!$AL$2:$AL$203),0)),INDEX('Offer Statistics'!AQ$2:AQ160,MATCH(1,($G3='Offer Statistics'!$AK$2:$AK$203)*($Y$2='Offer Statistics'!$AL$2:$AL$203),0))),"/")</f>
        <v>/</v>
      </c>
      <c r="AM3" s="284"/>
      <c r="AN3" s="313" t="str">
        <f t="shared" ref="AN3:AN46" si="2">G3</f>
        <v>JS3923</v>
      </c>
      <c r="AO3" s="15"/>
    </row>
    <row r="4" spans="1:41" s="296" customFormat="1" ht="18" customHeight="1" x14ac:dyDescent="0.3">
      <c r="A4" s="290"/>
      <c r="B4" s="290"/>
      <c r="C4" s="290"/>
      <c r="D4" s="290"/>
      <c r="E4" s="305" t="str">
        <f>'Reference Score Calculation'!E94</f>
        <v/>
      </c>
      <c r="F4" s="323" t="str">
        <f>'Reference Score Calculation'!V94</f>
        <v/>
      </c>
      <c r="G4" s="294" t="s">
        <v>743</v>
      </c>
      <c r="H4" s="290" t="s">
        <v>746</v>
      </c>
      <c r="I4" s="310" t="str">
        <f>'Reference Score Calculation'!P94</f>
        <v>Best 5</v>
      </c>
      <c r="J4" s="323">
        <f>'Reference Score Calculation'!W94</f>
        <v>21.2</v>
      </c>
      <c r="K4" s="326">
        <f>'Reference Score Calculation'!G94</f>
        <v>176.00000000145002</v>
      </c>
      <c r="L4" s="326">
        <f>'Reference Score Calculation'!H94</f>
        <v>161.00000000151999</v>
      </c>
      <c r="M4" s="332">
        <f>計分版!H115</f>
        <v>1.6750000000000001E-8</v>
      </c>
      <c r="N4" s="292">
        <f t="shared" si="0"/>
        <v>-175.99999998470003</v>
      </c>
      <c r="O4" s="293">
        <f t="shared" si="1"/>
        <v>-10507462685.653732</v>
      </c>
      <c r="P4" s="584"/>
      <c r="Q4" s="589"/>
      <c r="R4" s="294"/>
      <c r="S4" s="582"/>
      <c r="T4" s="582"/>
      <c r="U4" s="582"/>
      <c r="V4" s="582"/>
      <c r="W4" s="582"/>
      <c r="X4" s="582"/>
      <c r="Y4" s="576"/>
      <c r="Z4" s="310" t="str" cm="1">
        <f t="array" ref="Z4">IFERROR(IF(Y4="2021年",INDEX('Offer Statistics'!AZ$2:AZ$203,MATCH(1,($A4='Offer Statistics'!$AK$2:$AK$203)*($Y$2='Offer Statistics'!$AL$2:$AL$203),0)),INDEX('Offer Statistics'!AZ$2:AZ$203,MATCH(1,($G4='Offer Statistics'!$AK$2:$AK$203)*($Y$2='Offer Statistics'!$AL$2:$AL$203),0))),"/")</f>
        <v>/</v>
      </c>
      <c r="AA4" s="295" t="str" cm="1">
        <f t="array" ref="AA4">IFERROR(INDEX('Offer Statistics'!AU$2:AU$203,MATCH(1,($A4='Offer Statistics'!$AK$2:$AK$203)*($Y$2='Offer Statistics'!$AL$2:$AL$203),0)),"/")</f>
        <v>/</v>
      </c>
      <c r="AB4" s="295" t="str" cm="1">
        <f t="array" ref="AB4">IFERROR(INDEX('Offer Statistics'!AV$2:AV$203,MATCH(1,($A4='Offer Statistics'!$AK$2:$AK$203)*($Y$2='Offer Statistics'!$AL$2:$AL$203),0)),"/")</f>
        <v>/</v>
      </c>
      <c r="AC4" s="295" t="str" cm="1">
        <f t="array" ref="AC4">IFERROR(INDEX('Offer Statistics'!AW$2:AW$203,MATCH(1,($A4='Offer Statistics'!$AK$2:$AK$203)*($Y$2='Offer Statistics'!$AL$2:$AL$203),0)),"/")</f>
        <v>/</v>
      </c>
      <c r="AD4" s="295" t="str" cm="1">
        <f t="array" ref="AD4">IFERROR(INDEX('Offer Statistics'!AX$2:AX$203,MATCH(1,($A4='Offer Statistics'!$AK$2:$AK$203)*($Y$2='Offer Statistics'!$AL$2:$AL$203),0)),"/")</f>
        <v>/</v>
      </c>
      <c r="AE4" s="295" t="str" cm="1">
        <f t="array" ref="AE4">IFERROR(INDEX('Offer Statistics'!AY$2:AY$203,MATCH(1,($A4='Offer Statistics'!$AK$2:$AK$203)*($Y$2='Offer Statistics'!$AL$2:$AL$203),0)),"/")</f>
        <v>/</v>
      </c>
      <c r="AF4" s="580"/>
      <c r="AG4" s="310" t="str" cm="1">
        <f t="array" ref="AG4">IFERROR(IF(Y4="2021年",INDEX('Offer Statistics'!AR$2:AR$203,MATCH(1,($A4='Offer Statistics'!$AK$2:$AK$203)*($Y$2='Offer Statistics'!$AL$2:$AL$203),0)),INDEX('Offer Statistics'!AR$2:AR161,MATCH(1,($G4='Offer Statistics'!$AK$2:$AK$203)*($Y$2='Offer Statistics'!$AL$2:$AL$203),0))),"/")</f>
        <v>/</v>
      </c>
      <c r="AH4" s="295" t="str" cm="1">
        <f t="array" ref="AH4">IFERROR(IF(T4="2021年",INDEX('Offer Statistics'!AM$2:AM$203,MATCH(1,($A4='Offer Statistics'!$AK$2:$AK$203)*($Y$2='Offer Statistics'!$AL$2:$AL$203),0)),INDEX('Offer Statistics'!AM$2:AM161,MATCH(1,($G4='Offer Statistics'!$AK$2:$AK$203)*($Y$2='Offer Statistics'!$AL$2:$AL$203),0))),"/")</f>
        <v>/</v>
      </c>
      <c r="AI4" s="295" t="str" cm="1">
        <f t="array" ref="AI4">IFERROR(IF(U4="2021年",INDEX('Offer Statistics'!AN$2:AN$203,MATCH(1,($A4='Offer Statistics'!$AK$2:$AK$203)*($Y$2='Offer Statistics'!$AL$2:$AL$203),0)),INDEX('Offer Statistics'!AN$2:AN161,MATCH(1,($G4='Offer Statistics'!$AK$2:$AK$203)*($Y$2='Offer Statistics'!$AL$2:$AL$203),0))),"/")</f>
        <v>/</v>
      </c>
      <c r="AJ4" s="295" t="str" cm="1">
        <f t="array" ref="AJ4">IFERROR(IF(V4="2021年",INDEX('Offer Statistics'!AO$2:AO$203,MATCH(1,($A4='Offer Statistics'!$AK$2:$AK$203)*($Y$2='Offer Statistics'!$AL$2:$AL$203),0)),INDEX('Offer Statistics'!AO$2:AO161,MATCH(1,($G4='Offer Statistics'!$AK$2:$AK$203)*($Y$2='Offer Statistics'!$AL$2:$AL$203),0))),"/")</f>
        <v>/</v>
      </c>
      <c r="AK4" s="295" t="str" cm="1">
        <f t="array" ref="AK4">IFERROR(IF(W4="2021年",INDEX('Offer Statistics'!AP$2:AP$203,MATCH(1,($A4='Offer Statistics'!$AK$2:$AK$203)*($Y$2='Offer Statistics'!$AL$2:$AL$203),0)),INDEX('Offer Statistics'!AP$2:AP161,MATCH(1,($G4='Offer Statistics'!$AK$2:$AK$203)*($Y$2='Offer Statistics'!$AL$2:$AL$203),0))),"/")</f>
        <v>/</v>
      </c>
      <c r="AL4" s="295" t="str" cm="1">
        <f t="array" ref="AL4">IFERROR(IF(X4="2021年",INDEX('Offer Statistics'!AQ$2:AQ$203,MATCH(1,($A4='Offer Statistics'!$AK$2:$AK$203)*($Y$2='Offer Statistics'!$AL$2:$AL$203),0)),INDEX('Offer Statistics'!AQ$2:AQ161,MATCH(1,($G4='Offer Statistics'!$AK$2:$AK$203)*($Y$2='Offer Statistics'!$AL$2:$AL$203),0))),"/")</f>
        <v>/</v>
      </c>
      <c r="AM4" s="284"/>
      <c r="AN4" s="294" t="str">
        <f t="shared" si="2"/>
        <v>JS3997</v>
      </c>
      <c r="AO4" s="294"/>
    </row>
    <row r="5" spans="1:41" s="303" customFormat="1" ht="18" customHeight="1" x14ac:dyDescent="0.3">
      <c r="A5" s="297" t="s">
        <v>484</v>
      </c>
      <c r="B5" s="297" t="s">
        <v>1976</v>
      </c>
      <c r="C5" s="297" t="s">
        <v>487</v>
      </c>
      <c r="D5" s="297" t="s">
        <v>485</v>
      </c>
      <c r="E5" s="329" t="str">
        <f>'Reference Score Calculation'!E95</f>
        <v>Best 5</v>
      </c>
      <c r="F5" s="324">
        <f>'Reference Score Calculation'!V95</f>
        <v>21.9</v>
      </c>
      <c r="G5" s="302" t="s">
        <v>701</v>
      </c>
      <c r="H5" s="297" t="s">
        <v>704</v>
      </c>
      <c r="I5" s="298" t="str">
        <f>'Reference Score Calculation'!P95</f>
        <v>Best 5</v>
      </c>
      <c r="J5" s="324">
        <f>'Reference Score Calculation'!W95</f>
        <v>21.9</v>
      </c>
      <c r="K5" s="327">
        <f>'Reference Score Calculation'!G95</f>
        <v>164.00000000115</v>
      </c>
      <c r="L5" s="327">
        <f>'Reference Score Calculation'!H95</f>
        <v>146.50000000115</v>
      </c>
      <c r="M5" s="333">
        <f>計分版!H116</f>
        <v>1.6750000000000001E-8</v>
      </c>
      <c r="N5" s="299">
        <f t="shared" si="0"/>
        <v>-163.99999998440001</v>
      </c>
      <c r="O5" s="300">
        <f t="shared" si="1"/>
        <v>-9791044775.1880589</v>
      </c>
      <c r="P5" s="298">
        <f>入學要求!C104</f>
        <v>25</v>
      </c>
      <c r="Q5" s="301">
        <f>入學要求!R104</f>
        <v>0</v>
      </c>
      <c r="R5" s="294"/>
      <c r="S5" s="302">
        <f>入學要求!D104</f>
        <v>3</v>
      </c>
      <c r="T5" s="302">
        <f>入學要求!E104</f>
        <v>3</v>
      </c>
      <c r="U5" s="302">
        <f>入學要求!F104</f>
        <v>2</v>
      </c>
      <c r="V5" s="302">
        <f>入學要求!G104</f>
        <v>2</v>
      </c>
      <c r="W5" s="302">
        <f>入學要求!H104</f>
        <v>3</v>
      </c>
      <c r="X5" s="302">
        <f>入學要求!I104</f>
        <v>3</v>
      </c>
      <c r="Y5" s="576"/>
      <c r="Z5" s="309" t="str" cm="1">
        <f t="array" ref="Z5">IFERROR(IF(Y5="2021年",INDEX('Offer Statistics'!AZ$2:AZ$203,MATCH(1,($A5='Offer Statistics'!$AK$2:$AK$203)*($Y$2='Offer Statistics'!$AL$2:$AL$203),0)),INDEX('Offer Statistics'!AZ$2:AZ$203,MATCH(1,($G5='Offer Statistics'!$AK$2:$AK$203)*($Y$2='Offer Statistics'!$AL$2:$AL$203),0))),"/")</f>
        <v>/</v>
      </c>
      <c r="AA5" s="295" t="str" cm="1">
        <f t="array" ref="AA5">IFERROR(IF(T5="2021年",INDEX('Offer Statistics'!AU$2:AU$203,MATCH(1,($A5='Offer Statistics'!$AK$2:$AK$203)*($Y$2='Offer Statistics'!$AL$2:$AL$203),0)),INDEX('Offer Statistics'!AU$2:AU$203,MATCH(1,($G5='Offer Statistics'!$AK$2:$AK$203)*($Y$2='Offer Statistics'!$AL$2:$AL$203),0))),"/")</f>
        <v>/</v>
      </c>
      <c r="AB5" s="295" t="str" cm="1">
        <f t="array" ref="AB5">IFERROR(IF(U5="2021年",INDEX('Offer Statistics'!AV$2:AV$203,MATCH(1,($A5='Offer Statistics'!$AK$2:$AK$203)*($Y$2='Offer Statistics'!$AL$2:$AL$203),0)),INDEX('Offer Statistics'!AV$2:AV$203,MATCH(1,($G5='Offer Statistics'!$AK$2:$AK$203)*($Y$2='Offer Statistics'!$AL$2:$AL$203),0))),"/")</f>
        <v>/</v>
      </c>
      <c r="AC5" s="295" t="str" cm="1">
        <f t="array" ref="AC5">IFERROR(IF(V5="2021年",INDEX('Offer Statistics'!AW$2:AW$203,MATCH(1,($A5='Offer Statistics'!$AK$2:$AK$203)*($Y$2='Offer Statistics'!$AL$2:$AL$203),0)),INDEX('Offer Statistics'!AW$2:AW$203,MATCH(1,($G5='Offer Statistics'!$AK$2:$AK$203)*($Y$2='Offer Statistics'!$AL$2:$AL$203),0))),"/")</f>
        <v>/</v>
      </c>
      <c r="AD5" s="295" t="str" cm="1">
        <f t="array" ref="AD5">IFERROR(IF(W5="2021年",INDEX('Offer Statistics'!AX$2:AX$203,MATCH(1,($A5='Offer Statistics'!$AK$2:$AK$203)*($Y$2='Offer Statistics'!$AL$2:$AL$203),0)),INDEX('Offer Statistics'!AX$2:AX$203,MATCH(1,($G5='Offer Statistics'!$AK$2:$AK$203)*($Y$2='Offer Statistics'!$AL$2:$AL$203),0))),"/")</f>
        <v>/</v>
      </c>
      <c r="AE5" s="295" t="str" cm="1">
        <f t="array" ref="AE5">IFERROR(IF(X5="2021年",INDEX('Offer Statistics'!AY$2:AY$203,MATCH(1,($A5='Offer Statistics'!$AK$2:$AK$203)*($Y$2='Offer Statistics'!$AL$2:$AL$203),0)),INDEX('Offer Statistics'!AY$2:AY$203,MATCH(1,($G5='Offer Statistics'!$AK$2:$AK$203)*($Y$2='Offer Statistics'!$AL$2:$AL$203),0))),"/")</f>
        <v>/</v>
      </c>
      <c r="AF5" s="580"/>
      <c r="AG5" s="310" t="str" cm="1">
        <f t="array" ref="AG5">IFERROR(IF(Y5="2021年",INDEX('Offer Statistics'!AR$2:AR$203,MATCH(1,($A5='Offer Statistics'!$AK$2:$AK$203)*($Y$2='Offer Statistics'!$AL$2:$AL$203),0)),INDEX('Offer Statistics'!AR$2:AR162,MATCH(1,($G5='Offer Statistics'!$AK$2:$AK$203)*($Y$2='Offer Statistics'!$AL$2:$AL$203),0))),"/")</f>
        <v>/</v>
      </c>
      <c r="AH5" s="295" t="str" cm="1">
        <f t="array" ref="AH5">IFERROR(IF(T5="2021年",INDEX('Offer Statistics'!AM$2:AM$203,MATCH(1,($A5='Offer Statistics'!$AK$2:$AK$203)*($Y$2='Offer Statistics'!$AL$2:$AL$203),0)),INDEX('Offer Statistics'!AM$2:AM162,MATCH(1,($G5='Offer Statistics'!$AK$2:$AK$203)*($Y$2='Offer Statistics'!$AL$2:$AL$203),0))),"/")</f>
        <v>/</v>
      </c>
      <c r="AI5" s="295" t="str" cm="1">
        <f t="array" ref="AI5">IFERROR(IF(U5="2021年",INDEX('Offer Statistics'!AN$2:AN$203,MATCH(1,($A5='Offer Statistics'!$AK$2:$AK$203)*($Y$2='Offer Statistics'!$AL$2:$AL$203),0)),INDEX('Offer Statistics'!AN$2:AN162,MATCH(1,($G5='Offer Statistics'!$AK$2:$AK$203)*($Y$2='Offer Statistics'!$AL$2:$AL$203),0))),"/")</f>
        <v>/</v>
      </c>
      <c r="AJ5" s="295" t="str" cm="1">
        <f t="array" ref="AJ5">IFERROR(IF(V5="2021年",INDEX('Offer Statistics'!AO$2:AO$203,MATCH(1,($A5='Offer Statistics'!$AK$2:$AK$203)*($Y$2='Offer Statistics'!$AL$2:$AL$203),0)),INDEX('Offer Statistics'!AO$2:AO162,MATCH(1,($G5='Offer Statistics'!$AK$2:$AK$203)*($Y$2='Offer Statistics'!$AL$2:$AL$203),0))),"/")</f>
        <v>/</v>
      </c>
      <c r="AK5" s="295" t="str" cm="1">
        <f t="array" ref="AK5">IFERROR(IF(W5="2021年",INDEX('Offer Statistics'!AP$2:AP$203,MATCH(1,($A5='Offer Statistics'!$AK$2:$AK$203)*($Y$2='Offer Statistics'!$AL$2:$AL$203),0)),INDEX('Offer Statistics'!AP$2:AP162,MATCH(1,($G5='Offer Statistics'!$AK$2:$AK$203)*($Y$2='Offer Statistics'!$AL$2:$AL$203),0))),"/")</f>
        <v>/</v>
      </c>
      <c r="AL5" s="295" t="str" cm="1">
        <f t="array" ref="AL5">IFERROR(IF(X5="2021年",INDEX('Offer Statistics'!AQ$2:AQ$203,MATCH(1,($A5='Offer Statistics'!$AK$2:$AK$203)*($Y$2='Offer Statistics'!$AL$2:$AL$203),0)),INDEX('Offer Statistics'!AQ$2:AQ162,MATCH(1,($G5='Offer Statistics'!$AK$2:$AK$203)*($Y$2='Offer Statistics'!$AL$2:$AL$203),0))),"/")</f>
        <v>/</v>
      </c>
      <c r="AM5" s="284"/>
      <c r="AN5" s="313" t="str">
        <f t="shared" si="2"/>
        <v>JS3806</v>
      </c>
      <c r="AO5" s="294" t="str">
        <f>A5</f>
        <v>JS3020</v>
      </c>
    </row>
    <row r="6" spans="1:41" s="303" customFormat="1" ht="18" customHeight="1" x14ac:dyDescent="0.3">
      <c r="A6" s="297" t="s">
        <v>488</v>
      </c>
      <c r="B6" s="297" t="s">
        <v>1976</v>
      </c>
      <c r="C6" s="297" t="s">
        <v>2984</v>
      </c>
      <c r="D6" s="297" t="s">
        <v>2985</v>
      </c>
      <c r="E6" s="329" t="str">
        <f>'Reference Score Calculation'!E96</f>
        <v>Best 5</v>
      </c>
      <c r="F6" s="324" t="str">
        <f>'Reference Score Calculation'!V96</f>
        <v>/</v>
      </c>
      <c r="G6" s="302" t="s">
        <v>1978</v>
      </c>
      <c r="H6" s="297"/>
      <c r="I6" s="298" t="str">
        <f>'Reference Score Calculation'!P96</f>
        <v>/</v>
      </c>
      <c r="J6" s="324" t="str">
        <f>'Reference Score Calculation'!W96</f>
        <v>/</v>
      </c>
      <c r="K6" s="327" t="str">
        <f>'Reference Score Calculation'!G96</f>
        <v>/</v>
      </c>
      <c r="L6" s="327" t="str">
        <f>'Reference Score Calculation'!H96</f>
        <v>/</v>
      </c>
      <c r="M6" s="333">
        <f>計分版!H117</f>
        <v>2.175E-8</v>
      </c>
      <c r="N6" s="335" t="s">
        <v>1978</v>
      </c>
      <c r="O6" s="335" t="s">
        <v>1978</v>
      </c>
      <c r="P6" s="298">
        <f>入學要求!C105</f>
        <v>25</v>
      </c>
      <c r="Q6" s="301">
        <f>入學要求!R105</f>
        <v>0</v>
      </c>
      <c r="R6" s="302"/>
      <c r="S6" s="302">
        <f>入學要求!D105</f>
        <v>3</v>
      </c>
      <c r="T6" s="302">
        <f>入學要求!E105</f>
        <v>3</v>
      </c>
      <c r="U6" s="302">
        <f>入學要求!F105</f>
        <v>2</v>
      </c>
      <c r="V6" s="302">
        <f>入學要求!G105</f>
        <v>2</v>
      </c>
      <c r="W6" s="302">
        <f>入學要求!H105</f>
        <v>3</v>
      </c>
      <c r="X6" s="302">
        <f>入學要求!I105</f>
        <v>3</v>
      </c>
      <c r="Y6" s="576"/>
      <c r="Z6" s="318" t="str" cm="1">
        <f t="array" ref="Z6">IFERROR(IF(Y6="2021年",INDEX('Offer Statistics'!AZ$2:AZ$203,MATCH(1,($A6='Offer Statistics'!$AK$2:$AK$203)*($Y$2='Offer Statistics'!$AL$2:$AL$203),0)),INDEX('Offer Statistics'!AZ$2:AZ$203,MATCH(1,($G6='Offer Statistics'!$AK$2:$AK$203)*($Y$2='Offer Statistics'!$AL$2:$AL$203),0))),"/")</f>
        <v>/</v>
      </c>
      <c r="AA6" s="295" t="str" cm="1">
        <f t="array" ref="AA6">IFERROR(IF(T6="2021年",INDEX('Offer Statistics'!AU$2:AU$203,MATCH(1,($A6='Offer Statistics'!$AK$2:$AK$203)*($Y$2='Offer Statistics'!$AL$2:$AL$203),0)),INDEX('Offer Statistics'!AU$2:AU$203,MATCH(1,($G6='Offer Statistics'!$AK$2:$AK$203)*($Y$2='Offer Statistics'!$AL$2:$AL$203),0))),"/")</f>
        <v>/</v>
      </c>
      <c r="AB6" s="295" t="str" cm="1">
        <f t="array" ref="AB6">IFERROR(IF(U6="2021年",INDEX('Offer Statistics'!AV$2:AV$203,MATCH(1,($A6='Offer Statistics'!$AK$2:$AK$203)*($Y$2='Offer Statistics'!$AL$2:$AL$203),0)),INDEX('Offer Statistics'!AV$2:AV$203,MATCH(1,($G6='Offer Statistics'!$AK$2:$AK$203)*($Y$2='Offer Statistics'!$AL$2:$AL$203),0))),"/")</f>
        <v>/</v>
      </c>
      <c r="AC6" s="295" t="str" cm="1">
        <f t="array" ref="AC6">IFERROR(IF(V6="2021年",INDEX('Offer Statistics'!AW$2:AW$203,MATCH(1,($A6='Offer Statistics'!$AK$2:$AK$203)*($Y$2='Offer Statistics'!$AL$2:$AL$203),0)),INDEX('Offer Statistics'!AW$2:AW$203,MATCH(1,($G6='Offer Statistics'!$AK$2:$AK$203)*($Y$2='Offer Statistics'!$AL$2:$AL$203),0))),"/")</f>
        <v>/</v>
      </c>
      <c r="AD6" s="295" t="str" cm="1">
        <f t="array" ref="AD6">IFERROR(IF(W6="2021年",INDEX('Offer Statistics'!AX$2:AX$203,MATCH(1,($A6='Offer Statistics'!$AK$2:$AK$203)*($Y$2='Offer Statistics'!$AL$2:$AL$203),0)),INDEX('Offer Statistics'!AX$2:AX$203,MATCH(1,($G6='Offer Statistics'!$AK$2:$AK$203)*($Y$2='Offer Statistics'!$AL$2:$AL$203),0))),"/")</f>
        <v>/</v>
      </c>
      <c r="AE6" s="295" t="str" cm="1">
        <f t="array" ref="AE6">IFERROR(IF(X6="2021年",INDEX('Offer Statistics'!AY$2:AY$203,MATCH(1,($A6='Offer Statistics'!$AK$2:$AK$203)*($Y$2='Offer Statistics'!$AL$2:$AL$203),0)),INDEX('Offer Statistics'!AY$2:AY$203,MATCH(1,($G6='Offer Statistics'!$AK$2:$AK$203)*($Y$2='Offer Statistics'!$AL$2:$AL$203),0))),"/")</f>
        <v>/</v>
      </c>
      <c r="AF6" s="580"/>
      <c r="AG6" s="310" t="str" cm="1">
        <f t="array" ref="AG6">IFERROR(IF(Y6="2021年",INDEX('Offer Statistics'!AR$2:AR$203,MATCH(1,($A6='Offer Statistics'!$AK$2:$AK$203)*($Y$2='Offer Statistics'!$AL$2:$AL$203),0)),INDEX('Offer Statistics'!AR$2:AR163,MATCH(1,($G6='Offer Statistics'!$AK$2:$AK$203)*($Y$2='Offer Statistics'!$AL$2:$AL$203),0))),"/")</f>
        <v>/</v>
      </c>
      <c r="AH6" s="295" t="str" cm="1">
        <f t="array" ref="AH6">IFERROR(IF(T6="2021年",INDEX('Offer Statistics'!AM$2:AM$203,MATCH(1,($A6='Offer Statistics'!$AK$2:$AK$203)*($Y$2='Offer Statistics'!$AL$2:$AL$203),0)),INDEX('Offer Statistics'!AM$2:AM163,MATCH(1,($G6='Offer Statistics'!$AK$2:$AK$203)*($Y$2='Offer Statistics'!$AL$2:$AL$203),0))),"/")</f>
        <v>/</v>
      </c>
      <c r="AI6" s="295" t="str" cm="1">
        <f t="array" ref="AI6">IFERROR(IF(U6="2021年",INDEX('Offer Statistics'!AN$2:AN$203,MATCH(1,($A6='Offer Statistics'!$AK$2:$AK$203)*($Y$2='Offer Statistics'!$AL$2:$AL$203),0)),INDEX('Offer Statistics'!AN$2:AN163,MATCH(1,($G6='Offer Statistics'!$AK$2:$AK$203)*($Y$2='Offer Statistics'!$AL$2:$AL$203),0))),"/")</f>
        <v>/</v>
      </c>
      <c r="AJ6" s="295" t="str" cm="1">
        <f t="array" ref="AJ6">IFERROR(IF(V6="2021年",INDEX('Offer Statistics'!AO$2:AO$203,MATCH(1,($A6='Offer Statistics'!$AK$2:$AK$203)*($Y$2='Offer Statistics'!$AL$2:$AL$203),0)),INDEX('Offer Statistics'!AO$2:AO163,MATCH(1,($G6='Offer Statistics'!$AK$2:$AK$203)*($Y$2='Offer Statistics'!$AL$2:$AL$203),0))),"/")</f>
        <v>/</v>
      </c>
      <c r="AK6" s="295" t="str" cm="1">
        <f t="array" ref="AK6">IFERROR(IF(W6="2021年",INDEX('Offer Statistics'!AP$2:AP$203,MATCH(1,($A6='Offer Statistics'!$AK$2:$AK$203)*($Y$2='Offer Statistics'!$AL$2:$AL$203),0)),INDEX('Offer Statistics'!AP$2:AP163,MATCH(1,($G6='Offer Statistics'!$AK$2:$AK$203)*($Y$2='Offer Statistics'!$AL$2:$AL$203),0))),"/")</f>
        <v>/</v>
      </c>
      <c r="AL6" s="295" t="str" cm="1">
        <f t="array" ref="AL6">IFERROR(IF(X6="2021年",INDEX('Offer Statistics'!AQ$2:AQ$203,MATCH(1,($A6='Offer Statistics'!$AK$2:$AK$203)*($Y$2='Offer Statistics'!$AL$2:$AL$203),0)),INDEX('Offer Statistics'!AQ$2:AQ163,MATCH(1,($G6='Offer Statistics'!$AK$2:$AK$203)*($Y$2='Offer Statistics'!$AL$2:$AL$203),0))),"/")</f>
        <v>/</v>
      </c>
      <c r="AM6" s="284"/>
      <c r="AN6" s="319" t="str">
        <f t="shared" si="2"/>
        <v>/</v>
      </c>
      <c r="AO6" s="302" t="str">
        <f>A6</f>
        <v>JS3030</v>
      </c>
    </row>
    <row r="7" spans="1:41" ht="18" customHeight="1" x14ac:dyDescent="0.3">
      <c r="A7" s="252" t="s">
        <v>492</v>
      </c>
      <c r="B7" s="252" t="s">
        <v>2376</v>
      </c>
      <c r="C7" s="4" t="s">
        <v>495</v>
      </c>
      <c r="D7" s="252" t="s">
        <v>493</v>
      </c>
      <c r="E7" s="62" t="str">
        <f>'Reference Score Calculation'!E97</f>
        <v>Best 5</v>
      </c>
      <c r="F7" s="322">
        <f>'Reference Score Calculation'!V97</f>
        <v>22.1</v>
      </c>
      <c r="G7" s="256" t="s">
        <v>582</v>
      </c>
      <c r="H7" s="4" t="s">
        <v>584</v>
      </c>
      <c r="I7" s="309" t="str">
        <f>'Reference Score Calculation'!P97</f>
        <v>Best 5</v>
      </c>
      <c r="J7" s="322">
        <f>'Reference Score Calculation'!W97</f>
        <v>23.1</v>
      </c>
      <c r="K7" s="34">
        <f>'Reference Score Calculation'!G97</f>
        <v>161.50000000115</v>
      </c>
      <c r="L7" s="34">
        <f>'Reference Score Calculation'!H97</f>
        <v>163.50000000115</v>
      </c>
      <c r="M7" s="331">
        <f>計分版!H118</f>
        <v>1.6750000000000001E-8</v>
      </c>
      <c r="N7" s="25">
        <f t="shared" si="0"/>
        <v>-161.49999998440001</v>
      </c>
      <c r="O7" s="26">
        <f t="shared" si="1"/>
        <v>-9641791043.8447762</v>
      </c>
      <c r="P7" s="591">
        <f>入學要求!C106</f>
        <v>160</v>
      </c>
      <c r="Q7" s="590">
        <f>入學要求!R106</f>
        <v>0</v>
      </c>
      <c r="R7" s="256"/>
      <c r="S7" s="581">
        <f>入學要求!D106</f>
        <v>3</v>
      </c>
      <c r="T7" s="581">
        <f>入學要求!E106</f>
        <v>3</v>
      </c>
      <c r="U7" s="581">
        <f>入學要求!F106</f>
        <v>2</v>
      </c>
      <c r="V7" s="581">
        <f>入學要求!G106</f>
        <v>2</v>
      </c>
      <c r="W7" s="581">
        <f>入學要求!H106</f>
        <v>3</v>
      </c>
      <c r="X7" s="581">
        <f>入學要求!I106</f>
        <v>3</v>
      </c>
      <c r="Y7" s="576"/>
      <c r="Z7" s="318" t="str" cm="1">
        <f t="array" ref="Z7">IFERROR(IF(Y7="2021年",INDEX('Offer Statistics'!AZ$2:AZ$203,MATCH(1,($A7='Offer Statistics'!$AK$2:$AK$203)*($Y$2='Offer Statistics'!$AL$2:$AL$203),0)),INDEX('Offer Statistics'!AZ$2:AZ$203,MATCH(1,($G7='Offer Statistics'!$AK$2:$AK$203)*($Y$2='Offer Statistics'!$AL$2:$AL$203),0))),"/")</f>
        <v>/</v>
      </c>
      <c r="AA7" s="289" t="str" cm="1">
        <f t="array" ref="AA7">IFERROR(IF(T7="2021年",INDEX('Offer Statistics'!AU$2:AU$203,MATCH(1,($A7='Offer Statistics'!$AK$2:$AK$203)*($Y$2='Offer Statistics'!$AL$2:$AL$203),0)),INDEX('Offer Statistics'!AU$2:AU$203,MATCH(1,($G7='Offer Statistics'!$AK$2:$AK$203)*($Y$2='Offer Statistics'!$AL$2:$AL$203),0))),"/")</f>
        <v>/</v>
      </c>
      <c r="AB7" s="289" t="str" cm="1">
        <f t="array" ref="AB7">IFERROR(IF(U7="2021年",INDEX('Offer Statistics'!AV$2:AV$203,MATCH(1,($A7='Offer Statistics'!$AK$2:$AK$203)*($Y$2='Offer Statistics'!$AL$2:$AL$203),0)),INDEX('Offer Statistics'!AV$2:AV$203,MATCH(1,($G7='Offer Statistics'!$AK$2:$AK$203)*($Y$2='Offer Statistics'!$AL$2:$AL$203),0))),"/")</f>
        <v>/</v>
      </c>
      <c r="AC7" s="289" t="str" cm="1">
        <f t="array" ref="AC7">IFERROR(IF(V7="2021年",INDEX('Offer Statistics'!AW$2:AW$203,MATCH(1,($A7='Offer Statistics'!$AK$2:$AK$203)*($Y$2='Offer Statistics'!$AL$2:$AL$203),0)),INDEX('Offer Statistics'!AW$2:AW$203,MATCH(1,($G7='Offer Statistics'!$AK$2:$AK$203)*($Y$2='Offer Statistics'!$AL$2:$AL$203),0))),"/")</f>
        <v>/</v>
      </c>
      <c r="AD7" s="289" t="str" cm="1">
        <f t="array" ref="AD7">IFERROR(IF(W7="2021年",INDEX('Offer Statistics'!AX$2:AX$203,MATCH(1,($A7='Offer Statistics'!$AK$2:$AK$203)*($Y$2='Offer Statistics'!$AL$2:$AL$203),0)),INDEX('Offer Statistics'!AX$2:AX$203,MATCH(1,($G7='Offer Statistics'!$AK$2:$AK$203)*($Y$2='Offer Statistics'!$AL$2:$AL$203),0))),"/")</f>
        <v>/</v>
      </c>
      <c r="AE7" s="289" t="str" cm="1">
        <f t="array" ref="AE7">IFERROR(IF(X7="2021年",INDEX('Offer Statistics'!AY$2:AY$203,MATCH(1,($A7='Offer Statistics'!$AK$2:$AK$203)*($Y$2='Offer Statistics'!$AL$2:$AL$203),0)),INDEX('Offer Statistics'!AY$2:AY$203,MATCH(1,($G7='Offer Statistics'!$AK$2:$AK$203)*($Y$2='Offer Statistics'!$AL$2:$AL$203),0))),"/")</f>
        <v>/</v>
      </c>
      <c r="AF7" s="580"/>
      <c r="AG7" s="318" t="str" cm="1">
        <f t="array" ref="AG7">IFERROR(IF(Y7="2021年",INDEX('Offer Statistics'!AR$2:AR$203,MATCH(1,($A7='Offer Statistics'!$AK$2:$AK$203)*($Y$2='Offer Statistics'!$AL$2:$AL$203),0)),INDEX('Offer Statistics'!AR$2:AR164,MATCH(1,($G7='Offer Statistics'!$AK$2:$AK$203)*($Y$2='Offer Statistics'!$AL$2:$AL$203),0))),"/")</f>
        <v>/</v>
      </c>
      <c r="AH7" s="321" t="str" cm="1">
        <f t="array" ref="AH7">IFERROR(IF(T7="2021年",INDEX('Offer Statistics'!AM$2:AM$203,MATCH(1,($A7='Offer Statistics'!$AK$2:$AK$203)*($Y$2='Offer Statistics'!$AL$2:$AL$203),0)),INDEX('Offer Statistics'!AM$2:AM164,MATCH(1,($G7='Offer Statistics'!$AK$2:$AK$203)*($Y$2='Offer Statistics'!$AL$2:$AL$203),0))),"/")</f>
        <v>/</v>
      </c>
      <c r="AI7" s="321" t="str" cm="1">
        <f t="array" ref="AI7">IFERROR(IF(U7="2021年",INDEX('Offer Statistics'!AN$2:AN$203,MATCH(1,($A7='Offer Statistics'!$AK$2:$AK$203)*($Y$2='Offer Statistics'!$AL$2:$AL$203),0)),INDEX('Offer Statistics'!AN$2:AN164,MATCH(1,($G7='Offer Statistics'!$AK$2:$AK$203)*($Y$2='Offer Statistics'!$AL$2:$AL$203),0))),"/")</f>
        <v>/</v>
      </c>
      <c r="AJ7" s="321" t="str" cm="1">
        <f t="array" ref="AJ7">IFERROR(IF(V7="2021年",INDEX('Offer Statistics'!AO$2:AO$203,MATCH(1,($A7='Offer Statistics'!$AK$2:$AK$203)*($Y$2='Offer Statistics'!$AL$2:$AL$203),0)),INDEX('Offer Statistics'!AO$2:AO164,MATCH(1,($G7='Offer Statistics'!$AK$2:$AK$203)*($Y$2='Offer Statistics'!$AL$2:$AL$203),0))),"/")</f>
        <v>/</v>
      </c>
      <c r="AK7" s="321" t="str" cm="1">
        <f t="array" ref="AK7">IFERROR(IF(W7="2021年",INDEX('Offer Statistics'!AP$2:AP$203,MATCH(1,($A7='Offer Statistics'!$AK$2:$AK$203)*($Y$2='Offer Statistics'!$AL$2:$AL$203),0)),INDEX('Offer Statistics'!AP$2:AP164,MATCH(1,($G7='Offer Statistics'!$AK$2:$AK$203)*($Y$2='Offer Statistics'!$AL$2:$AL$203),0))),"/")</f>
        <v>/</v>
      </c>
      <c r="AL7" s="321" t="str" cm="1">
        <f t="array" ref="AL7">IFERROR(IF(X7="2021年",INDEX('Offer Statistics'!AQ$2:AQ$203,MATCH(1,($A7='Offer Statistics'!$AK$2:$AK$203)*($Y$2='Offer Statistics'!$AL$2:$AL$203),0)),INDEX('Offer Statistics'!AQ$2:AQ164,MATCH(1,($G7='Offer Statistics'!$AK$2:$AK$203)*($Y$2='Offer Statistics'!$AL$2:$AL$203),0))),"/")</f>
        <v>/</v>
      </c>
      <c r="AM7" s="284"/>
      <c r="AN7" s="319" t="str">
        <f t="shared" si="2"/>
        <v>JS3466</v>
      </c>
      <c r="AO7" s="15" t="str">
        <f>A7</f>
        <v>JS3060</v>
      </c>
    </row>
    <row r="8" spans="1:41" ht="18" customHeight="1" x14ac:dyDescent="0.3">
      <c r="A8" s="252"/>
      <c r="B8" s="252"/>
      <c r="C8" s="4"/>
      <c r="D8" s="252"/>
      <c r="E8" s="62" t="str">
        <f>'Reference Score Calculation'!E98</f>
        <v/>
      </c>
      <c r="F8" s="322" t="str">
        <f>'Reference Score Calculation'!V98</f>
        <v/>
      </c>
      <c r="G8" s="256" t="s">
        <v>623</v>
      </c>
      <c r="H8" s="4" t="s">
        <v>626</v>
      </c>
      <c r="I8" s="309" t="str">
        <f>'Reference Score Calculation'!P98</f>
        <v>Best 5</v>
      </c>
      <c r="J8" s="322">
        <f>'Reference Score Calculation'!W98</f>
        <v>20.5</v>
      </c>
      <c r="K8" s="34">
        <f>'Reference Score Calculation'!G98</f>
        <v>156.00000000120002</v>
      </c>
      <c r="L8" s="34">
        <f>'Reference Score Calculation'!H98</f>
        <v>149.50000000115</v>
      </c>
      <c r="M8" s="331">
        <f>計分版!H119</f>
        <v>1.6750000000000001E-8</v>
      </c>
      <c r="N8" s="25">
        <f t="shared" ref="N8:N45" si="3">IF(N$1="差距(Median)",M8-K8,IF(N$1="差距(LQ)",M8-L8))</f>
        <v>-155.99999998445003</v>
      </c>
      <c r="O8" s="26">
        <f t="shared" ref="O8:O45" si="4">IF(N$1="差距(Median)",(M8-K8)/M8,IF(N$1="差距(LQ)",(M8-L8)/M8))</f>
        <v>-9313432834.8925381</v>
      </c>
      <c r="P8" s="591"/>
      <c r="Q8" s="588"/>
      <c r="R8" s="278"/>
      <c r="S8" s="585"/>
      <c r="T8" s="585"/>
      <c r="U8" s="585"/>
      <c r="V8" s="585"/>
      <c r="W8" s="585"/>
      <c r="X8" s="585"/>
      <c r="Y8" s="576"/>
      <c r="Z8" s="286" t="str" cm="1">
        <f t="array" ref="Z8">IFERROR(IF(Y8="2021年",INDEX('Offer Statistics'!AZ$2:AZ$203,MATCH(1,($A8='Offer Statistics'!$AK$2:$AK$203)*($Y$2='Offer Statistics'!$AL$2:$AL$203),0)),INDEX('Offer Statistics'!AZ$2:AZ$203,MATCH(1,($G8='Offer Statistics'!$AK$2:$AK$203)*($Y$2='Offer Statistics'!$AL$2:$AL$203),0))),"/")</f>
        <v>/</v>
      </c>
      <c r="AA8" s="289" t="str" cm="1">
        <f t="array" ref="AA8">IFERROR(IF(T8="2021年",INDEX('Offer Statistics'!AU$2:AU$203,MATCH(1,($A8='Offer Statistics'!$AK$2:$AK$203)*($Y$2='Offer Statistics'!$AL$2:$AL$203),0)),INDEX('Offer Statistics'!AU$2:AU$203,MATCH(1,($G8='Offer Statistics'!$AK$2:$AK$203)*($Y$2='Offer Statistics'!$AL$2:$AL$203),0))),"/")</f>
        <v>/</v>
      </c>
      <c r="AB8" s="289" t="str" cm="1">
        <f t="array" ref="AB8">IFERROR(IF(U8="2021年",INDEX('Offer Statistics'!AV$2:AV$203,MATCH(1,($A8='Offer Statistics'!$AK$2:$AK$203)*($Y$2='Offer Statistics'!$AL$2:$AL$203),0)),INDEX('Offer Statistics'!AV$2:AV$203,MATCH(1,($G8='Offer Statistics'!$AK$2:$AK$203)*($Y$2='Offer Statistics'!$AL$2:$AL$203),0))),"/")</f>
        <v>/</v>
      </c>
      <c r="AC8" s="289" t="str" cm="1">
        <f t="array" ref="AC8">IFERROR(IF(V8="2021年",INDEX('Offer Statistics'!AW$2:AW$203,MATCH(1,($A8='Offer Statistics'!$AK$2:$AK$203)*($Y$2='Offer Statistics'!$AL$2:$AL$203),0)),INDEX('Offer Statistics'!AW$2:AW$203,MATCH(1,($G8='Offer Statistics'!$AK$2:$AK$203)*($Y$2='Offer Statistics'!$AL$2:$AL$203),0))),"/")</f>
        <v>/</v>
      </c>
      <c r="AD8" s="289" t="str" cm="1">
        <f t="array" ref="AD8">IFERROR(IF(W8="2021年",INDEX('Offer Statistics'!AX$2:AX$203,MATCH(1,($A8='Offer Statistics'!$AK$2:$AK$203)*($Y$2='Offer Statistics'!$AL$2:$AL$203),0)),INDEX('Offer Statistics'!AX$2:AX$203,MATCH(1,($G8='Offer Statistics'!$AK$2:$AK$203)*($Y$2='Offer Statistics'!$AL$2:$AL$203),0))),"/")</f>
        <v>/</v>
      </c>
      <c r="AE8" s="289" t="str" cm="1">
        <f t="array" ref="AE8">IFERROR(IF(X8="2021年",INDEX('Offer Statistics'!AY$2:AY$203,MATCH(1,($A8='Offer Statistics'!$AK$2:$AK$203)*($Y$2='Offer Statistics'!$AL$2:$AL$203),0)),INDEX('Offer Statistics'!AY$2:AY$203,MATCH(1,($G8='Offer Statistics'!$AK$2:$AK$203)*($Y$2='Offer Statistics'!$AL$2:$AL$203),0))),"/")</f>
        <v>/</v>
      </c>
      <c r="AF8" s="580"/>
      <c r="AG8" s="286" t="str" cm="1">
        <f t="array" ref="AG8">IFERROR(IF(Y8="2021年",INDEX('Offer Statistics'!AR$2:AR$203,MATCH(1,($A8='Offer Statistics'!$AK$2:$AK$203)*($Y$2='Offer Statistics'!$AL$2:$AL$203),0)),INDEX('Offer Statistics'!AR$2:AR165,MATCH(1,($G8='Offer Statistics'!$AK$2:$AK$203)*($Y$2='Offer Statistics'!$AL$2:$AL$203),0))),"/")</f>
        <v>/</v>
      </c>
      <c r="AH8" s="289" t="str" cm="1">
        <f t="array" ref="AH8">IFERROR(IF(T8="2021年",INDEX('Offer Statistics'!AM$2:AM$203,MATCH(1,($A8='Offer Statistics'!$AK$2:$AK$203)*($Y$2='Offer Statistics'!$AL$2:$AL$203),0)),INDEX('Offer Statistics'!AM$2:AM165,MATCH(1,($G8='Offer Statistics'!$AK$2:$AK$203)*($Y$2='Offer Statistics'!$AL$2:$AL$203),0))),"/")</f>
        <v>/</v>
      </c>
      <c r="AI8" s="289" t="str" cm="1">
        <f t="array" ref="AI8">IFERROR(IF(U8="2021年",INDEX('Offer Statistics'!AN$2:AN$203,MATCH(1,($A8='Offer Statistics'!$AK$2:$AK$203)*($Y$2='Offer Statistics'!$AL$2:$AL$203),0)),INDEX('Offer Statistics'!AN$2:AN165,MATCH(1,($G8='Offer Statistics'!$AK$2:$AK$203)*($Y$2='Offer Statistics'!$AL$2:$AL$203),0))),"/")</f>
        <v>/</v>
      </c>
      <c r="AJ8" s="289" t="str" cm="1">
        <f t="array" ref="AJ8">IFERROR(IF(V8="2021年",INDEX('Offer Statistics'!AO$2:AO$203,MATCH(1,($A8='Offer Statistics'!$AK$2:$AK$203)*($Y$2='Offer Statistics'!$AL$2:$AL$203),0)),INDEX('Offer Statistics'!AO$2:AO165,MATCH(1,($G8='Offer Statistics'!$AK$2:$AK$203)*($Y$2='Offer Statistics'!$AL$2:$AL$203),0))),"/")</f>
        <v>/</v>
      </c>
      <c r="AK8" s="289" t="str" cm="1">
        <f t="array" ref="AK8">IFERROR(IF(W8="2021年",INDEX('Offer Statistics'!AP$2:AP$203,MATCH(1,($A8='Offer Statistics'!$AK$2:$AK$203)*($Y$2='Offer Statistics'!$AL$2:$AL$203),0)),INDEX('Offer Statistics'!AP$2:AP165,MATCH(1,($G8='Offer Statistics'!$AK$2:$AK$203)*($Y$2='Offer Statistics'!$AL$2:$AL$203),0))),"/")</f>
        <v>/</v>
      </c>
      <c r="AL8" s="289" t="str" cm="1">
        <f t="array" ref="AL8">IFERROR(IF(X8="2021年",INDEX('Offer Statistics'!AQ$2:AQ$203,MATCH(1,($A8='Offer Statistics'!$AK$2:$AK$203)*($Y$2='Offer Statistics'!$AL$2:$AL$203),0)),INDEX('Offer Statistics'!AQ$2:AQ165,MATCH(1,($G8='Offer Statistics'!$AK$2:$AK$203)*($Y$2='Offer Statistics'!$AL$2:$AL$203),0))),"/")</f>
        <v>/</v>
      </c>
      <c r="AM8" s="284"/>
      <c r="AN8" s="313" t="str">
        <f t="shared" si="2"/>
        <v>JS3595</v>
      </c>
      <c r="AO8" s="15"/>
    </row>
    <row r="9" spans="1:41" s="296" customFormat="1" ht="18" customHeight="1" x14ac:dyDescent="0.3">
      <c r="A9" s="290"/>
      <c r="B9" s="290"/>
      <c r="C9" s="290"/>
      <c r="D9" s="290"/>
      <c r="E9" s="305" t="str">
        <f>'Reference Score Calculation'!E99</f>
        <v/>
      </c>
      <c r="F9" s="323" t="str">
        <f>'Reference Score Calculation'!V99</f>
        <v/>
      </c>
      <c r="G9" s="294" t="s">
        <v>734</v>
      </c>
      <c r="H9" s="290" t="s">
        <v>737</v>
      </c>
      <c r="I9" s="310" t="str">
        <f>'Reference Score Calculation'!P99</f>
        <v>Best 5</v>
      </c>
      <c r="J9" s="323">
        <f>'Reference Score Calculation'!W99</f>
        <v>22.2</v>
      </c>
      <c r="K9" s="326">
        <f>'Reference Score Calculation'!G99</f>
        <v>161.00000000115</v>
      </c>
      <c r="L9" s="326">
        <f>'Reference Score Calculation'!H99</f>
        <v>166.50000000114997</v>
      </c>
      <c r="M9" s="332">
        <f>計分版!H120</f>
        <v>1.6750000000000001E-8</v>
      </c>
      <c r="N9" s="292">
        <f t="shared" si="3"/>
        <v>-160.99999998440001</v>
      </c>
      <c r="O9" s="293">
        <f t="shared" si="4"/>
        <v>-9611940297.5761185</v>
      </c>
      <c r="P9" s="584"/>
      <c r="Q9" s="589"/>
      <c r="R9" s="294"/>
      <c r="S9" s="582"/>
      <c r="T9" s="582"/>
      <c r="U9" s="582"/>
      <c r="V9" s="582"/>
      <c r="W9" s="582"/>
      <c r="X9" s="582"/>
      <c r="Y9" s="576"/>
      <c r="Z9" s="310" t="str" cm="1">
        <f t="array" ref="Z9">IFERROR(IF(Y9="2021年",INDEX('Offer Statistics'!AZ$2:AZ$203,MATCH(1,($A9='Offer Statistics'!$AK$2:$AK$203)*($Y$2='Offer Statistics'!$AL$2:$AL$203),0)),INDEX('Offer Statistics'!AZ$2:AZ$203,MATCH(1,($G9='Offer Statistics'!$AK$2:$AK$203)*($Y$2='Offer Statistics'!$AL$2:$AL$203),0))),"/")</f>
        <v>/</v>
      </c>
      <c r="AA9" s="295" t="str" cm="1">
        <f t="array" ref="AA9">IFERROR(IF(T9="2021年",INDEX('Offer Statistics'!AU$2:AU$203,MATCH(1,($A9='Offer Statistics'!$AK$2:$AK$203)*($Y$2='Offer Statistics'!$AL$2:$AL$203),0)),INDEX('Offer Statistics'!AU$2:AU$203,MATCH(1,($G9='Offer Statistics'!$AK$2:$AK$203)*($Y$2='Offer Statistics'!$AL$2:$AL$203),0))),"/")</f>
        <v>/</v>
      </c>
      <c r="AB9" s="295" t="str" cm="1">
        <f t="array" ref="AB9">IFERROR(IF(U9="2021年",INDEX('Offer Statistics'!AV$2:AV$203,MATCH(1,($A9='Offer Statistics'!$AK$2:$AK$203)*($Y$2='Offer Statistics'!$AL$2:$AL$203),0)),INDEX('Offer Statistics'!AV$2:AV$203,MATCH(1,($G9='Offer Statistics'!$AK$2:$AK$203)*($Y$2='Offer Statistics'!$AL$2:$AL$203),0))),"/")</f>
        <v>/</v>
      </c>
      <c r="AC9" s="295" t="str" cm="1">
        <f t="array" ref="AC9">IFERROR(IF(V9="2021年",INDEX('Offer Statistics'!AW$2:AW$203,MATCH(1,($A9='Offer Statistics'!$AK$2:$AK$203)*($Y$2='Offer Statistics'!$AL$2:$AL$203),0)),INDEX('Offer Statistics'!AW$2:AW$203,MATCH(1,($G9='Offer Statistics'!$AK$2:$AK$203)*($Y$2='Offer Statistics'!$AL$2:$AL$203),0))),"/")</f>
        <v>/</v>
      </c>
      <c r="AD9" s="295" t="str" cm="1">
        <f t="array" ref="AD9">IFERROR(IF(W9="2021年",INDEX('Offer Statistics'!AX$2:AX$203,MATCH(1,($A9='Offer Statistics'!$AK$2:$AK$203)*($Y$2='Offer Statistics'!$AL$2:$AL$203),0)),INDEX('Offer Statistics'!AX$2:AX$203,MATCH(1,($G9='Offer Statistics'!$AK$2:$AK$203)*($Y$2='Offer Statistics'!$AL$2:$AL$203),0))),"/")</f>
        <v>/</v>
      </c>
      <c r="AE9" s="295" t="str" cm="1">
        <f t="array" ref="AE9">IFERROR(IF(X9="2021年",INDEX('Offer Statistics'!AY$2:AY$203,MATCH(1,($A9='Offer Statistics'!$AK$2:$AK$203)*($Y$2='Offer Statistics'!$AL$2:$AL$203),0)),INDEX('Offer Statistics'!AY$2:AY$203,MATCH(1,($G9='Offer Statistics'!$AK$2:$AK$203)*($Y$2='Offer Statistics'!$AL$2:$AL$203),0))),"/")</f>
        <v>/</v>
      </c>
      <c r="AF9" s="580"/>
      <c r="AG9" s="310" t="str" cm="1">
        <f t="array" ref="AG9">IFERROR(IF(Y9="2021年",INDEX('Offer Statistics'!AR$2:AR$203,MATCH(1,($A9='Offer Statistics'!$AK$2:$AK$203)*($Y$2='Offer Statistics'!$AL$2:$AL$203),0)),INDEX('Offer Statistics'!AR$2:AR166,MATCH(1,($G9='Offer Statistics'!$AK$2:$AK$203)*($Y$2='Offer Statistics'!$AL$2:$AL$203),0))),"/")</f>
        <v>/</v>
      </c>
      <c r="AH9" s="295" t="str" cm="1">
        <f t="array" ref="AH9">IFERROR(IF(T9="2021年",INDEX('Offer Statistics'!AM$2:AM$203,MATCH(1,($A9='Offer Statistics'!$AK$2:$AK$203)*($Y$2='Offer Statistics'!$AL$2:$AL$203),0)),INDEX('Offer Statistics'!AM$2:AM166,MATCH(1,($G9='Offer Statistics'!$AK$2:$AK$203)*($Y$2='Offer Statistics'!$AL$2:$AL$203),0))),"/")</f>
        <v>/</v>
      </c>
      <c r="AI9" s="295" t="str" cm="1">
        <f t="array" ref="AI9">IFERROR(IF(U9="2021年",INDEX('Offer Statistics'!AN$2:AN$203,MATCH(1,($A9='Offer Statistics'!$AK$2:$AK$203)*($Y$2='Offer Statistics'!$AL$2:$AL$203),0)),INDEX('Offer Statistics'!AN$2:AN166,MATCH(1,($G9='Offer Statistics'!$AK$2:$AK$203)*($Y$2='Offer Statistics'!$AL$2:$AL$203),0))),"/")</f>
        <v>/</v>
      </c>
      <c r="AJ9" s="295" t="str" cm="1">
        <f t="array" ref="AJ9">IFERROR(IF(V9="2021年",INDEX('Offer Statistics'!AO$2:AO$203,MATCH(1,($A9='Offer Statistics'!$AK$2:$AK$203)*($Y$2='Offer Statistics'!$AL$2:$AL$203),0)),INDEX('Offer Statistics'!AO$2:AO166,MATCH(1,($G9='Offer Statistics'!$AK$2:$AK$203)*($Y$2='Offer Statistics'!$AL$2:$AL$203),0))),"/")</f>
        <v>/</v>
      </c>
      <c r="AK9" s="295" t="str" cm="1">
        <f t="array" ref="AK9">IFERROR(IF(W9="2021年",INDEX('Offer Statistics'!AP$2:AP$203,MATCH(1,($A9='Offer Statistics'!$AK$2:$AK$203)*($Y$2='Offer Statistics'!$AL$2:$AL$203),0)),INDEX('Offer Statistics'!AP$2:AP166,MATCH(1,($G9='Offer Statistics'!$AK$2:$AK$203)*($Y$2='Offer Statistics'!$AL$2:$AL$203),0))),"/")</f>
        <v>/</v>
      </c>
      <c r="AL9" s="295" t="str" cm="1">
        <f t="array" ref="AL9">IFERROR(IF(X9="2021年",INDEX('Offer Statistics'!AQ$2:AQ$203,MATCH(1,($A9='Offer Statistics'!$AK$2:$AK$203)*($Y$2='Offer Statistics'!$AL$2:$AL$203),0)),INDEX('Offer Statistics'!AQ$2:AQ166,MATCH(1,($G9='Offer Statistics'!$AK$2:$AK$203)*($Y$2='Offer Statistics'!$AL$2:$AL$203),0))),"/")</f>
        <v>/</v>
      </c>
      <c r="AM9" s="284"/>
      <c r="AN9" s="294" t="str">
        <f t="shared" si="2"/>
        <v>JS3911</v>
      </c>
      <c r="AO9" s="294"/>
    </row>
    <row r="10" spans="1:41" s="283" customFormat="1" ht="18" customHeight="1" x14ac:dyDescent="0.3">
      <c r="A10" s="285" t="s">
        <v>496</v>
      </c>
      <c r="B10" s="285" t="s">
        <v>2376</v>
      </c>
      <c r="C10" s="285" t="s">
        <v>499</v>
      </c>
      <c r="D10" s="285" t="s">
        <v>497</v>
      </c>
      <c r="E10" s="330" t="str">
        <f>'Reference Score Calculation'!E100</f>
        <v>Best 5</v>
      </c>
      <c r="F10" s="325">
        <f>'Reference Score Calculation'!V100</f>
        <v>19.7</v>
      </c>
      <c r="G10" s="284" t="s">
        <v>661</v>
      </c>
      <c r="H10" s="285" t="s">
        <v>664</v>
      </c>
      <c r="I10" s="286" t="str">
        <f>'Reference Score Calculation'!P100</f>
        <v>Best 5</v>
      </c>
      <c r="J10" s="325">
        <f>'Reference Score Calculation'!W100</f>
        <v>19.7</v>
      </c>
      <c r="K10" s="328">
        <f>'Reference Score Calculation'!G100</f>
        <v>146.50000000115</v>
      </c>
      <c r="L10" s="328">
        <f>'Reference Score Calculation'!H100</f>
        <v>149.00000000115</v>
      </c>
      <c r="M10" s="334">
        <f>計分版!H121</f>
        <v>1.6750000000000001E-8</v>
      </c>
      <c r="N10" s="287">
        <f t="shared" ref="N10:N27" si="5">IF(N$1="差距(Median)",M10-K10,IF(N$1="差距(LQ)",M10-L10))</f>
        <v>-146.49999998440001</v>
      </c>
      <c r="O10" s="288">
        <f t="shared" ref="O10:O27" si="6">IF(N$1="差距(Median)",(M10-K10)/M10,IF(N$1="差距(LQ)",(M10-L10)/M10))</f>
        <v>-8746268655.7850742</v>
      </c>
      <c r="P10" s="591">
        <f>入學要求!C109</f>
        <v>60</v>
      </c>
      <c r="Q10" s="590">
        <f>入學要求!R109</f>
        <v>0</v>
      </c>
      <c r="R10" s="284"/>
      <c r="S10" s="581">
        <f>入學要求!D109</f>
        <v>3</v>
      </c>
      <c r="T10" s="581">
        <f>入學要求!E109</f>
        <v>3</v>
      </c>
      <c r="U10" s="581">
        <f>入學要求!F109</f>
        <v>2</v>
      </c>
      <c r="V10" s="581">
        <f>入學要求!G109</f>
        <v>2</v>
      </c>
      <c r="W10" s="581">
        <f>入學要求!H109</f>
        <v>3</v>
      </c>
      <c r="X10" s="581">
        <f>入學要求!I109</f>
        <v>3</v>
      </c>
      <c r="Y10" s="576"/>
      <c r="Z10" s="318" t="str" cm="1">
        <f t="array" ref="Z10">IFERROR(IF(Y10="2021年",INDEX('Offer Statistics'!AZ$2:AZ$203,MATCH(1,($A10='Offer Statistics'!$AK$2:$AK$203)*($Y$2='Offer Statistics'!$AL$2:$AL$203),0)),INDEX('Offer Statistics'!AZ$2:AZ$203,MATCH(1,($G10='Offer Statistics'!$AK$2:$AK$203)*($Y$2='Offer Statistics'!$AL$2:$AL$203),0))),"/")</f>
        <v>/</v>
      </c>
      <c r="AA10" s="321" t="str" cm="1">
        <f t="array" ref="AA10">IFERROR(IF(T10="2021年",INDEX('Offer Statistics'!AU$2:AU$203,MATCH(1,($A10='Offer Statistics'!$AK$2:$AK$203)*($Y$2='Offer Statistics'!$AL$2:$AL$203),0)),INDEX('Offer Statistics'!AU$2:AU$203,MATCH(1,($G10='Offer Statistics'!$AK$2:$AK$203)*($Y$2='Offer Statistics'!$AL$2:$AL$203),0))),"/")</f>
        <v>/</v>
      </c>
      <c r="AB10" s="321" t="str" cm="1">
        <f t="array" ref="AB10">IFERROR(IF(U10="2021年",INDEX('Offer Statistics'!AV$2:AV$203,MATCH(1,($A10='Offer Statistics'!$AK$2:$AK$203)*($Y$2='Offer Statistics'!$AL$2:$AL$203),0)),INDEX('Offer Statistics'!AV$2:AV$203,MATCH(1,($G10='Offer Statistics'!$AK$2:$AK$203)*($Y$2='Offer Statistics'!$AL$2:$AL$203),0))),"/")</f>
        <v>/</v>
      </c>
      <c r="AC10" s="321" t="str" cm="1">
        <f t="array" ref="AC10">IFERROR(IF(V10="2021年",INDEX('Offer Statistics'!AW$2:AW$203,MATCH(1,($A10='Offer Statistics'!$AK$2:$AK$203)*($Y$2='Offer Statistics'!$AL$2:$AL$203),0)),INDEX('Offer Statistics'!AW$2:AW$203,MATCH(1,($G10='Offer Statistics'!$AK$2:$AK$203)*($Y$2='Offer Statistics'!$AL$2:$AL$203),0))),"/")</f>
        <v>/</v>
      </c>
      <c r="AD10" s="321" t="str" cm="1">
        <f t="array" ref="AD10">IFERROR(IF(W10="2021年",INDEX('Offer Statistics'!AX$2:AX$203,MATCH(1,($A10='Offer Statistics'!$AK$2:$AK$203)*($Y$2='Offer Statistics'!$AL$2:$AL$203),0)),INDEX('Offer Statistics'!AX$2:AX$203,MATCH(1,($G10='Offer Statistics'!$AK$2:$AK$203)*($Y$2='Offer Statistics'!$AL$2:$AL$203),0))),"/")</f>
        <v>/</v>
      </c>
      <c r="AE10" s="321" t="str" cm="1">
        <f t="array" ref="AE10">IFERROR(IF(X10="2021年",INDEX('Offer Statistics'!AY$2:AY$203,MATCH(1,($A10='Offer Statistics'!$AK$2:$AK$203)*($Y$2='Offer Statistics'!$AL$2:$AL$203),0)),INDEX('Offer Statistics'!AY$2:AY$203,MATCH(1,($G10='Offer Statistics'!$AK$2:$AK$203)*($Y$2='Offer Statistics'!$AL$2:$AL$203),0))),"/")</f>
        <v>/</v>
      </c>
      <c r="AF10" s="580"/>
      <c r="AG10" s="318" t="str" cm="1">
        <f t="array" ref="AG10">IFERROR(IF(Y10="2021年",INDEX('Offer Statistics'!AR$2:AR$203,MATCH(1,($A10='Offer Statistics'!$AK$2:$AK$203)*($Y$2='Offer Statistics'!$AL$2:$AL$203),0)),INDEX('Offer Statistics'!AR$2:AR167,MATCH(1,($G10='Offer Statistics'!$AK$2:$AK$203)*($Y$2='Offer Statistics'!$AL$2:$AL$203),0))),"/")</f>
        <v>/</v>
      </c>
      <c r="AH10" s="321" t="str" cm="1">
        <f t="array" ref="AH10">IFERROR(IF(T10="2021年",INDEX('Offer Statistics'!AM$2:AM$203,MATCH(1,($A10='Offer Statistics'!$AK$2:$AK$203)*($Y$2='Offer Statistics'!$AL$2:$AL$203),0)),INDEX('Offer Statistics'!AM$2:AM167,MATCH(1,($G10='Offer Statistics'!$AK$2:$AK$203)*($Y$2='Offer Statistics'!$AL$2:$AL$203),0))),"/")</f>
        <v>/</v>
      </c>
      <c r="AI10" s="321" t="str" cm="1">
        <f t="array" ref="AI10">IFERROR(IF(U10="2021年",INDEX('Offer Statistics'!AN$2:AN$203,MATCH(1,($A10='Offer Statistics'!$AK$2:$AK$203)*($Y$2='Offer Statistics'!$AL$2:$AL$203),0)),INDEX('Offer Statistics'!AN$2:AN167,MATCH(1,($G10='Offer Statistics'!$AK$2:$AK$203)*($Y$2='Offer Statistics'!$AL$2:$AL$203),0))),"/")</f>
        <v>/</v>
      </c>
      <c r="AJ10" s="321" t="str" cm="1">
        <f t="array" ref="AJ10">IFERROR(IF(V10="2021年",INDEX('Offer Statistics'!AO$2:AO$203,MATCH(1,($A10='Offer Statistics'!$AK$2:$AK$203)*($Y$2='Offer Statistics'!$AL$2:$AL$203),0)),INDEX('Offer Statistics'!AO$2:AO167,MATCH(1,($G10='Offer Statistics'!$AK$2:$AK$203)*($Y$2='Offer Statistics'!$AL$2:$AL$203),0))),"/")</f>
        <v>/</v>
      </c>
      <c r="AK10" s="321" t="str" cm="1">
        <f t="array" ref="AK10">IFERROR(IF(W10="2021年",INDEX('Offer Statistics'!AP$2:AP$203,MATCH(1,($A10='Offer Statistics'!$AK$2:$AK$203)*($Y$2='Offer Statistics'!$AL$2:$AL$203),0)),INDEX('Offer Statistics'!AP$2:AP167,MATCH(1,($G10='Offer Statistics'!$AK$2:$AK$203)*($Y$2='Offer Statistics'!$AL$2:$AL$203),0))),"/")</f>
        <v>/</v>
      </c>
      <c r="AL10" s="321" t="str" cm="1">
        <f t="array" ref="AL10">IFERROR(IF(X10="2021年",INDEX('Offer Statistics'!AQ$2:AQ$203,MATCH(1,($A10='Offer Statistics'!$AK$2:$AK$203)*($Y$2='Offer Statistics'!$AL$2:$AL$203),0)),INDEX('Offer Statistics'!AQ$2:AQ167,MATCH(1,($G10='Offer Statistics'!$AK$2:$AK$203)*($Y$2='Offer Statistics'!$AL$2:$AL$203),0))),"/")</f>
        <v>/</v>
      </c>
      <c r="AM10" s="284"/>
      <c r="AN10" s="313" t="str">
        <f t="shared" si="2"/>
        <v>JS3674</v>
      </c>
      <c r="AO10" s="284" t="str">
        <f>A10</f>
        <v>JS3070</v>
      </c>
    </row>
    <row r="11" spans="1:41" s="296" customFormat="1" ht="18" customHeight="1" x14ac:dyDescent="0.3">
      <c r="A11" s="290"/>
      <c r="B11" s="290"/>
      <c r="C11" s="290"/>
      <c r="D11" s="290"/>
      <c r="E11" s="305" t="str">
        <f>'Reference Score Calculation'!E101</f>
        <v/>
      </c>
      <c r="F11" s="323" t="str">
        <f>'Reference Score Calculation'!V101</f>
        <v/>
      </c>
      <c r="G11" s="294" t="s">
        <v>715</v>
      </c>
      <c r="H11" s="290" t="s">
        <v>718</v>
      </c>
      <c r="I11" s="310" t="str">
        <f>'Reference Score Calculation'!P101</f>
        <v>Best 5</v>
      </c>
      <c r="J11" s="323">
        <f>'Reference Score Calculation'!W101</f>
        <v>19.8</v>
      </c>
      <c r="K11" s="326">
        <f>'Reference Score Calculation'!G101</f>
        <v>151.00000000120002</v>
      </c>
      <c r="L11" s="326">
        <f>'Reference Score Calculation'!H101</f>
        <v>143.00000000121997</v>
      </c>
      <c r="M11" s="332">
        <f>計分版!H122</f>
        <v>1.6750000000000001E-8</v>
      </c>
      <c r="N11" s="292">
        <f t="shared" si="5"/>
        <v>-150.99999998445003</v>
      </c>
      <c r="O11" s="293">
        <f t="shared" si="6"/>
        <v>-9014925372.2059708</v>
      </c>
      <c r="P11" s="584"/>
      <c r="Q11" s="589"/>
      <c r="R11" s="294"/>
      <c r="S11" s="582"/>
      <c r="T11" s="582"/>
      <c r="U11" s="582"/>
      <c r="V11" s="582"/>
      <c r="W11" s="582"/>
      <c r="X11" s="582"/>
      <c r="Y11" s="576"/>
      <c r="Z11" s="309" t="str" cm="1">
        <f t="array" ref="Z11">IFERROR(IF(Y11="2021年",INDEX('Offer Statistics'!AZ$2:AZ$203,MATCH(1,($A11='Offer Statistics'!$AK$2:$AK$203)*($Y$2='Offer Statistics'!$AL$2:$AL$203),0)),INDEX('Offer Statistics'!AZ$2:AZ$203,MATCH(1,($G11='Offer Statistics'!$AK$2:$AK$203)*($Y$2='Offer Statistics'!$AL$2:$AL$203),0))),"/")</f>
        <v>/</v>
      </c>
      <c r="AA11" s="295" t="str" cm="1">
        <f t="array" ref="AA11">IFERROR(IF(T11="2021年",INDEX('Offer Statistics'!AU$2:AU$203,MATCH(1,($A11='Offer Statistics'!$AK$2:$AK$203)*($Y$2='Offer Statistics'!$AL$2:$AL$203),0)),INDEX('Offer Statistics'!AU$2:AU$203,MATCH(1,($G11='Offer Statistics'!$AK$2:$AK$203)*($Y$2='Offer Statistics'!$AL$2:$AL$203),0))),"/")</f>
        <v>/</v>
      </c>
      <c r="AB11" s="295" t="str" cm="1">
        <f t="array" ref="AB11">IFERROR(IF(U11="2021年",INDEX('Offer Statistics'!AV$2:AV$203,MATCH(1,($A11='Offer Statistics'!$AK$2:$AK$203)*($Y$2='Offer Statistics'!$AL$2:$AL$203),0)),INDEX('Offer Statistics'!AV$2:AV$203,MATCH(1,($G11='Offer Statistics'!$AK$2:$AK$203)*($Y$2='Offer Statistics'!$AL$2:$AL$203),0))),"/")</f>
        <v>/</v>
      </c>
      <c r="AC11" s="295" t="str" cm="1">
        <f t="array" ref="AC11">IFERROR(IF(V11="2021年",INDEX('Offer Statistics'!AW$2:AW$203,MATCH(1,($A11='Offer Statistics'!$AK$2:$AK$203)*($Y$2='Offer Statistics'!$AL$2:$AL$203),0)),INDEX('Offer Statistics'!AW$2:AW$203,MATCH(1,($G11='Offer Statistics'!$AK$2:$AK$203)*($Y$2='Offer Statistics'!$AL$2:$AL$203),0))),"/")</f>
        <v>/</v>
      </c>
      <c r="AD11" s="295" t="str" cm="1">
        <f t="array" ref="AD11">IFERROR(IF(W11="2021年",INDEX('Offer Statistics'!AX$2:AX$203,MATCH(1,($A11='Offer Statistics'!$AK$2:$AK$203)*($Y$2='Offer Statistics'!$AL$2:$AL$203),0)),INDEX('Offer Statistics'!AX$2:AX$203,MATCH(1,($G11='Offer Statistics'!$AK$2:$AK$203)*($Y$2='Offer Statistics'!$AL$2:$AL$203),0))),"/")</f>
        <v>/</v>
      </c>
      <c r="AE11" s="295" t="str" cm="1">
        <f t="array" ref="AE11">IFERROR(IF(X11="2021年",INDEX('Offer Statistics'!AY$2:AY$203,MATCH(1,($A11='Offer Statistics'!$AK$2:$AK$203)*($Y$2='Offer Statistics'!$AL$2:$AL$203),0)),INDEX('Offer Statistics'!AY$2:AY$203,MATCH(1,($G11='Offer Statistics'!$AK$2:$AK$203)*($Y$2='Offer Statistics'!$AL$2:$AL$203),0))),"/")</f>
        <v>/</v>
      </c>
      <c r="AF11" s="580"/>
      <c r="AG11" s="310" t="str" cm="1">
        <f t="array" ref="AG11">IFERROR(IF(Y11="2021年",INDEX('Offer Statistics'!AR$2:AR$203,MATCH(1,($A11='Offer Statistics'!$AK$2:$AK$203)*($Y$2='Offer Statistics'!$AL$2:$AL$203),0)),INDEX('Offer Statistics'!AR$2:AR168,MATCH(1,($G11='Offer Statistics'!$AK$2:$AK$203)*($Y$2='Offer Statistics'!$AL$2:$AL$203),0))),"/")</f>
        <v>/</v>
      </c>
      <c r="AH11" s="295" t="str" cm="1">
        <f t="array" ref="AH11">IFERROR(IF(T11="2021年",INDEX('Offer Statistics'!AM$2:AM$203,MATCH(1,($A11='Offer Statistics'!$AK$2:$AK$203)*($Y$2='Offer Statistics'!$AL$2:$AL$203),0)),INDEX('Offer Statistics'!AM$2:AM168,MATCH(1,($G11='Offer Statistics'!$AK$2:$AK$203)*($Y$2='Offer Statistics'!$AL$2:$AL$203),0))),"/")</f>
        <v>/</v>
      </c>
      <c r="AI11" s="295" t="str" cm="1">
        <f t="array" ref="AI11">IFERROR(IF(U11="2021年",INDEX('Offer Statistics'!AN$2:AN$203,MATCH(1,($A11='Offer Statistics'!$AK$2:$AK$203)*($Y$2='Offer Statistics'!$AL$2:$AL$203),0)),INDEX('Offer Statistics'!AN$2:AN168,MATCH(1,($G11='Offer Statistics'!$AK$2:$AK$203)*($Y$2='Offer Statistics'!$AL$2:$AL$203),0))),"/")</f>
        <v>/</v>
      </c>
      <c r="AJ11" s="295" t="str" cm="1">
        <f t="array" ref="AJ11">IFERROR(IF(V11="2021年",INDEX('Offer Statistics'!AO$2:AO$203,MATCH(1,($A11='Offer Statistics'!$AK$2:$AK$203)*($Y$2='Offer Statistics'!$AL$2:$AL$203),0)),INDEX('Offer Statistics'!AO$2:AO168,MATCH(1,($G11='Offer Statistics'!$AK$2:$AK$203)*($Y$2='Offer Statistics'!$AL$2:$AL$203),0))),"/")</f>
        <v>/</v>
      </c>
      <c r="AK11" s="295" t="str" cm="1">
        <f t="array" ref="AK11">IFERROR(IF(W11="2021年",INDEX('Offer Statistics'!AP$2:AP$203,MATCH(1,($A11='Offer Statistics'!$AK$2:$AK$203)*($Y$2='Offer Statistics'!$AL$2:$AL$203),0)),INDEX('Offer Statistics'!AP$2:AP168,MATCH(1,($G11='Offer Statistics'!$AK$2:$AK$203)*($Y$2='Offer Statistics'!$AL$2:$AL$203),0))),"/")</f>
        <v>/</v>
      </c>
      <c r="AL11" s="295" t="str" cm="1">
        <f t="array" ref="AL11">IFERROR(IF(X11="2021年",INDEX('Offer Statistics'!AQ$2:AQ$203,MATCH(1,($A11='Offer Statistics'!$AK$2:$AK$203)*($Y$2='Offer Statistics'!$AL$2:$AL$203),0)),INDEX('Offer Statistics'!AQ$2:AQ168,MATCH(1,($G11='Offer Statistics'!$AK$2:$AK$203)*($Y$2='Offer Statistics'!$AL$2:$AL$203),0))),"/")</f>
        <v>/</v>
      </c>
      <c r="AM11" s="284"/>
      <c r="AN11" s="294" t="str">
        <f t="shared" si="2"/>
        <v>JS3844</v>
      </c>
      <c r="AO11" s="294"/>
    </row>
    <row r="12" spans="1:41" ht="18" customHeight="1" x14ac:dyDescent="0.3">
      <c r="A12" s="252" t="s">
        <v>500</v>
      </c>
      <c r="B12" s="252" t="s">
        <v>2376</v>
      </c>
      <c r="C12" s="4" t="s">
        <v>503</v>
      </c>
      <c r="D12" s="252" t="s">
        <v>501</v>
      </c>
      <c r="E12" s="62" t="str">
        <f>'Reference Score Calculation'!E102</f>
        <v>Best 5</v>
      </c>
      <c r="F12" s="322">
        <f>'Reference Score Calculation'!V102</f>
        <v>21.1</v>
      </c>
      <c r="G12" s="256" t="s">
        <v>619</v>
      </c>
      <c r="H12" s="4" t="s">
        <v>622</v>
      </c>
      <c r="I12" s="309" t="str">
        <f>'Reference Score Calculation'!P102</f>
        <v>Best 5</v>
      </c>
      <c r="J12" s="322">
        <f>'Reference Score Calculation'!W102</f>
        <v>21.3</v>
      </c>
      <c r="K12" s="34">
        <f>'Reference Score Calculation'!G102</f>
        <v>154.00000000125002</v>
      </c>
      <c r="L12" s="34">
        <f>'Reference Score Calculation'!H102</f>
        <v>146.50000000115</v>
      </c>
      <c r="M12" s="331">
        <f>計分版!H123</f>
        <v>1.6750000000000001E-8</v>
      </c>
      <c r="N12" s="25">
        <f t="shared" si="5"/>
        <v>-153.99999998450002</v>
      </c>
      <c r="O12" s="26">
        <f t="shared" si="6"/>
        <v>-9194029849.8208961</v>
      </c>
      <c r="P12" s="591">
        <f>入學要求!C111</f>
        <v>97</v>
      </c>
      <c r="Q12" s="590">
        <f>入學要求!R111</f>
        <v>0</v>
      </c>
      <c r="R12" s="101"/>
      <c r="S12" s="581">
        <f>入學要求!D111</f>
        <v>3</v>
      </c>
      <c r="T12" s="581">
        <f>入學要求!E111</f>
        <v>3</v>
      </c>
      <c r="U12" s="581">
        <f>入學要求!F111</f>
        <v>2</v>
      </c>
      <c r="V12" s="581">
        <f>入學要求!G111</f>
        <v>2</v>
      </c>
      <c r="W12" s="581">
        <f>入學要求!H111</f>
        <v>3</v>
      </c>
      <c r="X12" s="581">
        <f>入學要求!I111</f>
        <v>3</v>
      </c>
      <c r="Y12" s="576"/>
      <c r="Z12" s="318" t="str" cm="1">
        <f t="array" ref="Z12">IFERROR(IF(Y12="2021年",INDEX('Offer Statistics'!AZ$2:AZ$203,MATCH(1,($A12='Offer Statistics'!$AK$2:$AK$203)*($Y$2='Offer Statistics'!$AL$2:$AL$203),0)),INDEX('Offer Statistics'!AZ$2:AZ$203,MATCH(1,($G12='Offer Statistics'!$AK$2:$AK$203)*($Y$2='Offer Statistics'!$AL$2:$AL$203),0))),"/")</f>
        <v>/</v>
      </c>
      <c r="AA12" s="321" t="str" cm="1">
        <f t="array" ref="AA12">IFERROR(IF(T12="2021年",INDEX('Offer Statistics'!AU$2:AU$203,MATCH(1,($A12='Offer Statistics'!$AK$2:$AK$203)*($Y$2='Offer Statistics'!$AL$2:$AL$203),0)),INDEX('Offer Statistics'!AU$2:AU$203,MATCH(1,($G12='Offer Statistics'!$AK$2:$AK$203)*($Y$2='Offer Statistics'!$AL$2:$AL$203),0))),"/")</f>
        <v>/</v>
      </c>
      <c r="AB12" s="321" t="str" cm="1">
        <f t="array" ref="AB12">IFERROR(IF(U12="2021年",INDEX('Offer Statistics'!AV$2:AV$203,MATCH(1,($A12='Offer Statistics'!$AK$2:$AK$203)*($Y$2='Offer Statistics'!$AL$2:$AL$203),0)),INDEX('Offer Statistics'!AV$2:AV$203,MATCH(1,($G12='Offer Statistics'!$AK$2:$AK$203)*($Y$2='Offer Statistics'!$AL$2:$AL$203),0))),"/")</f>
        <v>/</v>
      </c>
      <c r="AC12" s="321" t="str" cm="1">
        <f t="array" ref="AC12">IFERROR(IF(V12="2021年",INDEX('Offer Statistics'!AW$2:AW$203,MATCH(1,($A12='Offer Statistics'!$AK$2:$AK$203)*($Y$2='Offer Statistics'!$AL$2:$AL$203),0)),INDEX('Offer Statistics'!AW$2:AW$203,MATCH(1,($G12='Offer Statistics'!$AK$2:$AK$203)*($Y$2='Offer Statistics'!$AL$2:$AL$203),0))),"/")</f>
        <v>/</v>
      </c>
      <c r="AD12" s="321" t="str" cm="1">
        <f t="array" ref="AD12">IFERROR(IF(W12="2021年",INDEX('Offer Statistics'!AX$2:AX$203,MATCH(1,($A12='Offer Statistics'!$AK$2:$AK$203)*($Y$2='Offer Statistics'!$AL$2:$AL$203),0)),INDEX('Offer Statistics'!AX$2:AX$203,MATCH(1,($G12='Offer Statistics'!$AK$2:$AK$203)*($Y$2='Offer Statistics'!$AL$2:$AL$203),0))),"/")</f>
        <v>/</v>
      </c>
      <c r="AE12" s="321" t="str" cm="1">
        <f t="array" ref="AE12">IFERROR(IF(X12="2021年",INDEX('Offer Statistics'!AY$2:AY$203,MATCH(1,($A12='Offer Statistics'!$AK$2:$AK$203)*($Y$2='Offer Statistics'!$AL$2:$AL$203),0)),INDEX('Offer Statistics'!AY$2:AY$203,MATCH(1,($G12='Offer Statistics'!$AK$2:$AK$203)*($Y$2='Offer Statistics'!$AL$2:$AL$203),0))),"/")</f>
        <v>/</v>
      </c>
      <c r="AF12" s="580"/>
      <c r="AG12" s="318" t="str" cm="1">
        <f t="array" ref="AG12">IFERROR(IF(Y12="2021年",INDEX('Offer Statistics'!AR$2:AR$203,MATCH(1,($A12='Offer Statistics'!$AK$2:$AK$203)*($Y$2='Offer Statistics'!$AL$2:$AL$203),0)),INDEX('Offer Statistics'!AR$2:AR169,MATCH(1,($G12='Offer Statistics'!$AK$2:$AK$203)*($Y$2='Offer Statistics'!$AL$2:$AL$203),0))),"/")</f>
        <v>/</v>
      </c>
      <c r="AH12" s="321" t="str" cm="1">
        <f t="array" ref="AH12">IFERROR(IF(T12="2021年",INDEX('Offer Statistics'!AM$2:AM$203,MATCH(1,($A12='Offer Statistics'!$AK$2:$AK$203)*($Y$2='Offer Statistics'!$AL$2:$AL$203),0)),INDEX('Offer Statistics'!AM$2:AM169,MATCH(1,($G12='Offer Statistics'!$AK$2:$AK$203)*($Y$2='Offer Statistics'!$AL$2:$AL$203),0))),"/")</f>
        <v>/</v>
      </c>
      <c r="AI12" s="321" t="str" cm="1">
        <f t="array" ref="AI12">IFERROR(IF(U12="2021年",INDEX('Offer Statistics'!AN$2:AN$203,MATCH(1,($A12='Offer Statistics'!$AK$2:$AK$203)*($Y$2='Offer Statistics'!$AL$2:$AL$203),0)),INDEX('Offer Statistics'!AN$2:AN169,MATCH(1,($G12='Offer Statistics'!$AK$2:$AK$203)*($Y$2='Offer Statistics'!$AL$2:$AL$203),0))),"/")</f>
        <v>/</v>
      </c>
      <c r="AJ12" s="321" t="str" cm="1">
        <f t="array" ref="AJ12">IFERROR(IF(V12="2021年",INDEX('Offer Statistics'!AO$2:AO$203,MATCH(1,($A12='Offer Statistics'!$AK$2:$AK$203)*($Y$2='Offer Statistics'!$AL$2:$AL$203),0)),INDEX('Offer Statistics'!AO$2:AO169,MATCH(1,($G12='Offer Statistics'!$AK$2:$AK$203)*($Y$2='Offer Statistics'!$AL$2:$AL$203),0))),"/")</f>
        <v>/</v>
      </c>
      <c r="AK12" s="321" t="str" cm="1">
        <f t="array" ref="AK12">IFERROR(IF(W12="2021年",INDEX('Offer Statistics'!AP$2:AP$203,MATCH(1,($A12='Offer Statistics'!$AK$2:$AK$203)*($Y$2='Offer Statistics'!$AL$2:$AL$203),0)),INDEX('Offer Statistics'!AP$2:AP169,MATCH(1,($G12='Offer Statistics'!$AK$2:$AK$203)*($Y$2='Offer Statistics'!$AL$2:$AL$203),0))),"/")</f>
        <v>/</v>
      </c>
      <c r="AL12" s="321" t="str" cm="1">
        <f t="array" ref="AL12">IFERROR(IF(X12="2021年",INDEX('Offer Statistics'!AQ$2:AQ$203,MATCH(1,($A12='Offer Statistics'!$AK$2:$AK$203)*($Y$2='Offer Statistics'!$AL$2:$AL$203),0)),INDEX('Offer Statistics'!AQ$2:AQ169,MATCH(1,($G12='Offer Statistics'!$AK$2:$AK$203)*($Y$2='Offer Statistics'!$AL$2:$AL$203),0))),"/")</f>
        <v>/</v>
      </c>
      <c r="AM12" s="284"/>
      <c r="AN12" s="313" t="str">
        <f t="shared" si="2"/>
        <v>JS3583</v>
      </c>
      <c r="AO12" s="15" t="str">
        <f>A12</f>
        <v>JS3080</v>
      </c>
    </row>
    <row r="13" spans="1:41" s="296" customFormat="1" ht="18" customHeight="1" x14ac:dyDescent="0.3">
      <c r="A13" s="290"/>
      <c r="B13" s="290"/>
      <c r="C13" s="290"/>
      <c r="D13" s="290"/>
      <c r="E13" s="305" t="str">
        <f>'Reference Score Calculation'!E103</f>
        <v/>
      </c>
      <c r="F13" s="323" t="str">
        <f>'Reference Score Calculation'!V103</f>
        <v/>
      </c>
      <c r="G13" s="294" t="s">
        <v>730</v>
      </c>
      <c r="H13" s="290" t="s">
        <v>733</v>
      </c>
      <c r="I13" s="310" t="str">
        <f>'Reference Score Calculation'!P103</f>
        <v>Best 5</v>
      </c>
      <c r="J13" s="323">
        <f>'Reference Score Calculation'!W103</f>
        <v>21</v>
      </c>
      <c r="K13" s="326">
        <f>'Reference Score Calculation'!G103</f>
        <v>149.50000000125002</v>
      </c>
      <c r="L13" s="326">
        <f>'Reference Score Calculation'!H103</f>
        <v>149.00000000120002</v>
      </c>
      <c r="M13" s="332">
        <f>計分版!H124</f>
        <v>1.6750000000000001E-8</v>
      </c>
      <c r="N13" s="292">
        <f t="shared" si="5"/>
        <v>-149.49999998450002</v>
      </c>
      <c r="O13" s="293">
        <f t="shared" si="6"/>
        <v>-8925373133.4029865</v>
      </c>
      <c r="P13" s="584"/>
      <c r="Q13" s="589"/>
      <c r="R13" s="294"/>
      <c r="S13" s="582"/>
      <c r="T13" s="582"/>
      <c r="U13" s="582"/>
      <c r="V13" s="582"/>
      <c r="W13" s="582"/>
      <c r="X13" s="582"/>
      <c r="Y13" s="576"/>
      <c r="Z13" s="309" t="str" cm="1">
        <f t="array" ref="Z13">IFERROR(IF(Y13="2021年",INDEX('Offer Statistics'!AZ$2:AZ$203,MATCH(1,($A13='Offer Statistics'!$AK$2:$AK$203)*($Y$2='Offer Statistics'!$AL$2:$AL$203),0)),INDEX('Offer Statistics'!AZ$2:AZ$203,MATCH(1,($G13='Offer Statistics'!$AK$2:$AK$203)*($Y$2='Offer Statistics'!$AL$2:$AL$203),0))),"/")</f>
        <v>/</v>
      </c>
      <c r="AA13" s="295" t="str" cm="1">
        <f t="array" ref="AA13">IFERROR(IF(T13="2021年",INDEX('Offer Statistics'!AU$2:AU$203,MATCH(1,($A13='Offer Statistics'!$AK$2:$AK$203)*($Y$2='Offer Statistics'!$AL$2:$AL$203),0)),INDEX('Offer Statistics'!AU$2:AU$203,MATCH(1,($G13='Offer Statistics'!$AK$2:$AK$203)*($Y$2='Offer Statistics'!$AL$2:$AL$203),0))),"/")</f>
        <v>/</v>
      </c>
      <c r="AB13" s="295" t="str" cm="1">
        <f t="array" ref="AB13">IFERROR(IF(U13="2021年",INDEX('Offer Statistics'!AV$2:AV$203,MATCH(1,($A13='Offer Statistics'!$AK$2:$AK$203)*($Y$2='Offer Statistics'!$AL$2:$AL$203),0)),INDEX('Offer Statistics'!AV$2:AV$203,MATCH(1,($G13='Offer Statistics'!$AK$2:$AK$203)*($Y$2='Offer Statistics'!$AL$2:$AL$203),0))),"/")</f>
        <v>/</v>
      </c>
      <c r="AC13" s="295" t="str" cm="1">
        <f t="array" ref="AC13">IFERROR(IF(V13="2021年",INDEX('Offer Statistics'!AW$2:AW$203,MATCH(1,($A13='Offer Statistics'!$AK$2:$AK$203)*($Y$2='Offer Statistics'!$AL$2:$AL$203),0)),INDEX('Offer Statistics'!AW$2:AW$203,MATCH(1,($G13='Offer Statistics'!$AK$2:$AK$203)*($Y$2='Offer Statistics'!$AL$2:$AL$203),0))),"/")</f>
        <v>/</v>
      </c>
      <c r="AD13" s="295" t="str" cm="1">
        <f t="array" ref="AD13">IFERROR(IF(W13="2021年",INDEX('Offer Statistics'!AX$2:AX$203,MATCH(1,($A13='Offer Statistics'!$AK$2:$AK$203)*($Y$2='Offer Statistics'!$AL$2:$AL$203),0)),INDEX('Offer Statistics'!AX$2:AX$203,MATCH(1,($G13='Offer Statistics'!$AK$2:$AK$203)*($Y$2='Offer Statistics'!$AL$2:$AL$203),0))),"/")</f>
        <v>/</v>
      </c>
      <c r="AE13" s="295" t="str" cm="1">
        <f t="array" ref="AE13">IFERROR(IF(X13="2021年",INDEX('Offer Statistics'!AY$2:AY$203,MATCH(1,($A13='Offer Statistics'!$AK$2:$AK$203)*($Y$2='Offer Statistics'!$AL$2:$AL$203),0)),INDEX('Offer Statistics'!AY$2:AY$203,MATCH(1,($G13='Offer Statistics'!$AK$2:$AK$203)*($Y$2='Offer Statistics'!$AL$2:$AL$203),0))),"/")</f>
        <v>/</v>
      </c>
      <c r="AF13" s="580"/>
      <c r="AG13" s="310" t="str" cm="1">
        <f t="array" ref="AG13">IFERROR(IF(Y13="2021年",INDEX('Offer Statistics'!AR$2:AR$203,MATCH(1,($A13='Offer Statistics'!$AK$2:$AK$203)*($Y$2='Offer Statistics'!$AL$2:$AL$203),0)),INDEX('Offer Statistics'!AR$2:AR170,MATCH(1,($G13='Offer Statistics'!$AK$2:$AK$203)*($Y$2='Offer Statistics'!$AL$2:$AL$203),0))),"/")</f>
        <v>/</v>
      </c>
      <c r="AH13" s="295" t="str" cm="1">
        <f t="array" ref="AH13">IFERROR(IF(T13="2021年",INDEX('Offer Statistics'!AM$2:AM$203,MATCH(1,($A13='Offer Statistics'!$AK$2:$AK$203)*($Y$2='Offer Statistics'!$AL$2:$AL$203),0)),INDEX('Offer Statistics'!AM$2:AM170,MATCH(1,($G13='Offer Statistics'!$AK$2:$AK$203)*($Y$2='Offer Statistics'!$AL$2:$AL$203),0))),"/")</f>
        <v>/</v>
      </c>
      <c r="AI13" s="295" t="str" cm="1">
        <f t="array" ref="AI13">IFERROR(IF(U13="2021年",INDEX('Offer Statistics'!AN$2:AN$203,MATCH(1,($A13='Offer Statistics'!$AK$2:$AK$203)*($Y$2='Offer Statistics'!$AL$2:$AL$203),0)),INDEX('Offer Statistics'!AN$2:AN170,MATCH(1,($G13='Offer Statistics'!$AK$2:$AK$203)*($Y$2='Offer Statistics'!$AL$2:$AL$203),0))),"/")</f>
        <v>/</v>
      </c>
      <c r="AJ13" s="295" t="str" cm="1">
        <f t="array" ref="AJ13">IFERROR(IF(V13="2021年",INDEX('Offer Statistics'!AO$2:AO$203,MATCH(1,($A13='Offer Statistics'!$AK$2:$AK$203)*($Y$2='Offer Statistics'!$AL$2:$AL$203),0)),INDEX('Offer Statistics'!AO$2:AO170,MATCH(1,($G13='Offer Statistics'!$AK$2:$AK$203)*($Y$2='Offer Statistics'!$AL$2:$AL$203),0))),"/")</f>
        <v>/</v>
      </c>
      <c r="AK13" s="295" t="str" cm="1">
        <f t="array" ref="AK13">IFERROR(IF(W13="2021年",INDEX('Offer Statistics'!AP$2:AP$203,MATCH(1,($A13='Offer Statistics'!$AK$2:$AK$203)*($Y$2='Offer Statistics'!$AL$2:$AL$203),0)),INDEX('Offer Statistics'!AP$2:AP170,MATCH(1,($G13='Offer Statistics'!$AK$2:$AK$203)*($Y$2='Offer Statistics'!$AL$2:$AL$203),0))),"/")</f>
        <v>/</v>
      </c>
      <c r="AL13" s="295" t="str" cm="1">
        <f t="array" ref="AL13">IFERROR(IF(X13="2021年",INDEX('Offer Statistics'!AQ$2:AQ$203,MATCH(1,($A13='Offer Statistics'!$AK$2:$AK$203)*($Y$2='Offer Statistics'!$AL$2:$AL$203),0)),INDEX('Offer Statistics'!AQ$2:AQ170,MATCH(1,($G13='Offer Statistics'!$AK$2:$AK$203)*($Y$2='Offer Statistics'!$AL$2:$AL$203),0))),"/")</f>
        <v>/</v>
      </c>
      <c r="AM13" s="284"/>
      <c r="AN13" s="294" t="str">
        <f t="shared" si="2"/>
        <v>JS3894</v>
      </c>
      <c r="AO13" s="294"/>
    </row>
    <row r="14" spans="1:41" ht="18" customHeight="1" x14ac:dyDescent="0.3">
      <c r="A14" s="252" t="s">
        <v>504</v>
      </c>
      <c r="B14" s="252" t="s">
        <v>2988</v>
      </c>
      <c r="C14" s="4" t="s">
        <v>507</v>
      </c>
      <c r="D14" s="252" t="s">
        <v>505</v>
      </c>
      <c r="E14" s="62" t="str">
        <f>'Reference Score Calculation'!E104</f>
        <v>Best 5</v>
      </c>
      <c r="F14" s="322">
        <f>'Reference Score Calculation'!V104</f>
        <v>23.1</v>
      </c>
      <c r="G14" s="256" t="s">
        <v>578</v>
      </c>
      <c r="H14" s="4" t="s">
        <v>581</v>
      </c>
      <c r="I14" s="309" t="str">
        <f>'Reference Score Calculation'!P104</f>
        <v>Best 5</v>
      </c>
      <c r="J14" s="322">
        <f>'Reference Score Calculation'!W104</f>
        <v>20</v>
      </c>
      <c r="K14" s="34">
        <f>'Reference Score Calculation'!G104</f>
        <v>127.00000000111</v>
      </c>
      <c r="L14" s="34">
        <f>'Reference Score Calculation'!H104</f>
        <v>137.00000000106002</v>
      </c>
      <c r="M14" s="331">
        <f>計分版!H125</f>
        <v>1.9750000000000001E-8</v>
      </c>
      <c r="N14" s="25">
        <f t="shared" si="5"/>
        <v>-126.99999998135999</v>
      </c>
      <c r="O14" s="26">
        <f t="shared" si="6"/>
        <v>-6430379745.8916445</v>
      </c>
      <c r="P14" s="591">
        <f>入學要求!C113</f>
        <v>98</v>
      </c>
      <c r="Q14" s="590">
        <f>入學要求!R113</f>
        <v>0</v>
      </c>
      <c r="R14" s="15"/>
      <c r="S14" s="581">
        <f>入學要求!D113</f>
        <v>3</v>
      </c>
      <c r="T14" s="581">
        <f>入學要求!E113</f>
        <v>3</v>
      </c>
      <c r="U14" s="581">
        <f>入學要求!F113</f>
        <v>2</v>
      </c>
      <c r="V14" s="581">
        <f>入學要求!G113</f>
        <v>2</v>
      </c>
      <c r="W14" s="581">
        <f>入學要求!H113</f>
        <v>3</v>
      </c>
      <c r="X14" s="581">
        <f>入學要求!I113</f>
        <v>3</v>
      </c>
      <c r="Y14" s="576"/>
      <c r="Z14" s="318" t="str" cm="1">
        <f t="array" ref="Z14">IFERROR(IF(Y14="2021年",INDEX('Offer Statistics'!AZ$2:AZ$203,MATCH(1,($A14='Offer Statistics'!$AK$2:$AK$203)*($Y$2='Offer Statistics'!$AL$2:$AL$203),0)),INDEX('Offer Statistics'!AZ$2:AZ$203,MATCH(1,($G14='Offer Statistics'!$AK$2:$AK$203)*($Y$2='Offer Statistics'!$AL$2:$AL$203),0))),"/")</f>
        <v>/</v>
      </c>
      <c r="AA14" s="289" t="str" cm="1">
        <f t="array" ref="AA14">IFERROR(IF(T14="2021年",INDEX('Offer Statistics'!AU$2:AU$203,MATCH(1,($A14='Offer Statistics'!$AK$2:$AK$203)*($Y$2='Offer Statistics'!$AL$2:$AL$203),0)),INDEX('Offer Statistics'!AU$2:AU$203,MATCH(1,($G14='Offer Statistics'!$AK$2:$AK$203)*($Y$2='Offer Statistics'!$AL$2:$AL$203),0))),"/")</f>
        <v>/</v>
      </c>
      <c r="AB14" s="289" t="str" cm="1">
        <f t="array" ref="AB14">IFERROR(IF(U14="2021年",INDEX('Offer Statistics'!AV$2:AV$203,MATCH(1,($A14='Offer Statistics'!$AK$2:$AK$203)*($Y$2='Offer Statistics'!$AL$2:$AL$203),0)),INDEX('Offer Statistics'!AV$2:AV$203,MATCH(1,($G14='Offer Statistics'!$AK$2:$AK$203)*($Y$2='Offer Statistics'!$AL$2:$AL$203),0))),"/")</f>
        <v>/</v>
      </c>
      <c r="AC14" s="289" t="str" cm="1">
        <f t="array" ref="AC14">IFERROR(IF(V14="2021年",INDEX('Offer Statistics'!AW$2:AW$203,MATCH(1,($A14='Offer Statistics'!$AK$2:$AK$203)*($Y$2='Offer Statistics'!$AL$2:$AL$203),0)),INDEX('Offer Statistics'!AW$2:AW$203,MATCH(1,($G14='Offer Statistics'!$AK$2:$AK$203)*($Y$2='Offer Statistics'!$AL$2:$AL$203),0))),"/")</f>
        <v>/</v>
      </c>
      <c r="AD14" s="289" t="str" cm="1">
        <f t="array" ref="AD14">IFERROR(IF(W14="2021年",INDEX('Offer Statistics'!AX$2:AX$203,MATCH(1,($A14='Offer Statistics'!$AK$2:$AK$203)*($Y$2='Offer Statistics'!$AL$2:$AL$203),0)),INDEX('Offer Statistics'!AX$2:AX$203,MATCH(1,($G14='Offer Statistics'!$AK$2:$AK$203)*($Y$2='Offer Statistics'!$AL$2:$AL$203),0))),"/")</f>
        <v>/</v>
      </c>
      <c r="AE14" s="289" t="str" cm="1">
        <f t="array" ref="AE14">IFERROR(IF(X14="2021年",INDEX('Offer Statistics'!AY$2:AY$203,MATCH(1,($A14='Offer Statistics'!$AK$2:$AK$203)*($Y$2='Offer Statistics'!$AL$2:$AL$203),0)),INDEX('Offer Statistics'!AY$2:AY$203,MATCH(1,($G14='Offer Statistics'!$AK$2:$AK$203)*($Y$2='Offer Statistics'!$AL$2:$AL$203),0))),"/")</f>
        <v>/</v>
      </c>
      <c r="AF14" s="580"/>
      <c r="AG14" s="286" t="str" cm="1">
        <f t="array" ref="AG14">IFERROR(IF(Y14="2021年",INDEX('Offer Statistics'!AR$2:AR$203,MATCH(1,($A14='Offer Statistics'!$AK$2:$AK$203)*($Y$2='Offer Statistics'!$AL$2:$AL$203),0)),INDEX('Offer Statistics'!AR$2:AR171,MATCH(1,($G14='Offer Statistics'!$AK$2:$AK$203)*($Y$2='Offer Statistics'!$AL$2:$AL$203),0))),"/")</f>
        <v>/</v>
      </c>
      <c r="AH14" s="289" t="str" cm="1">
        <f t="array" ref="AH14">IFERROR(IF(T14="2021年",INDEX('Offer Statistics'!AM$2:AM$203,MATCH(1,($A14='Offer Statistics'!$AK$2:$AK$203)*($Y$2='Offer Statistics'!$AL$2:$AL$203),0)),INDEX('Offer Statistics'!AM$2:AM171,MATCH(1,($G14='Offer Statistics'!$AK$2:$AK$203)*($Y$2='Offer Statistics'!$AL$2:$AL$203),0))),"/")</f>
        <v>/</v>
      </c>
      <c r="AI14" s="289" t="str" cm="1">
        <f t="array" ref="AI14">IFERROR(IF(U14="2021年",INDEX('Offer Statistics'!AN$2:AN$203,MATCH(1,($A14='Offer Statistics'!$AK$2:$AK$203)*($Y$2='Offer Statistics'!$AL$2:$AL$203),0)),INDEX('Offer Statistics'!AN$2:AN171,MATCH(1,($G14='Offer Statistics'!$AK$2:$AK$203)*($Y$2='Offer Statistics'!$AL$2:$AL$203),0))),"/")</f>
        <v>/</v>
      </c>
      <c r="AJ14" s="289" t="str" cm="1">
        <f t="array" ref="AJ14">IFERROR(IF(V14="2021年",INDEX('Offer Statistics'!AO$2:AO$203,MATCH(1,($A14='Offer Statistics'!$AK$2:$AK$203)*($Y$2='Offer Statistics'!$AL$2:$AL$203),0)),INDEX('Offer Statistics'!AO$2:AO171,MATCH(1,($G14='Offer Statistics'!$AK$2:$AK$203)*($Y$2='Offer Statistics'!$AL$2:$AL$203),0))),"/")</f>
        <v>/</v>
      </c>
      <c r="AK14" s="289" t="str" cm="1">
        <f t="array" ref="AK14">IFERROR(IF(W14="2021年",INDEX('Offer Statistics'!AP$2:AP$203,MATCH(1,($A14='Offer Statistics'!$AK$2:$AK$203)*($Y$2='Offer Statistics'!$AL$2:$AL$203),0)),INDEX('Offer Statistics'!AP$2:AP171,MATCH(1,($G14='Offer Statistics'!$AK$2:$AK$203)*($Y$2='Offer Statistics'!$AL$2:$AL$203),0))),"/")</f>
        <v>/</v>
      </c>
      <c r="AL14" s="289" t="str" cm="1">
        <f t="array" ref="AL14">IFERROR(IF(X14="2021年",INDEX('Offer Statistics'!AQ$2:AQ$203,MATCH(1,($A14='Offer Statistics'!$AK$2:$AK$203)*($Y$2='Offer Statistics'!$AL$2:$AL$203),0)),INDEX('Offer Statistics'!AQ$2:AQ171,MATCH(1,($G14='Offer Statistics'!$AK$2:$AK$203)*($Y$2='Offer Statistics'!$AL$2:$AL$203),0))),"/")</f>
        <v>/</v>
      </c>
      <c r="AM14" s="284"/>
      <c r="AN14" s="313" t="str">
        <f t="shared" si="2"/>
        <v>JS3442</v>
      </c>
      <c r="AO14" s="15" t="str">
        <f>A14</f>
        <v>JS3100</v>
      </c>
    </row>
    <row r="15" spans="1:41" ht="18" customHeight="1" x14ac:dyDescent="0.3">
      <c r="A15" s="252"/>
      <c r="B15" s="252"/>
      <c r="C15" s="4"/>
      <c r="D15" s="252"/>
      <c r="E15" s="62" t="str">
        <f>'Reference Score Calculation'!E105</f>
        <v/>
      </c>
      <c r="F15" s="322" t="str">
        <f>'Reference Score Calculation'!V105</f>
        <v/>
      </c>
      <c r="G15" s="256" t="s">
        <v>693</v>
      </c>
      <c r="H15" s="4" t="s">
        <v>696</v>
      </c>
      <c r="I15" s="309" t="str">
        <f>'Reference Score Calculation'!P105</f>
        <v>Best 5</v>
      </c>
      <c r="J15" s="322">
        <f>'Reference Score Calculation'!W105</f>
        <v>25.9</v>
      </c>
      <c r="K15" s="34">
        <f>'Reference Score Calculation'!G105</f>
        <v>180.50000000105999</v>
      </c>
      <c r="L15" s="34">
        <f>'Reference Score Calculation'!H105</f>
        <v>175.00000000110998</v>
      </c>
      <c r="M15" s="331">
        <f>計分版!H126</f>
        <v>1.9750000000000001E-8</v>
      </c>
      <c r="N15" s="25">
        <f t="shared" si="5"/>
        <v>-180.49999998131</v>
      </c>
      <c r="O15" s="26">
        <f t="shared" si="6"/>
        <v>-9139240505.3827839</v>
      </c>
      <c r="P15" s="591"/>
      <c r="Q15" s="588"/>
      <c r="R15" s="15"/>
      <c r="S15" s="585"/>
      <c r="T15" s="585"/>
      <c r="U15" s="585"/>
      <c r="V15" s="585"/>
      <c r="W15" s="585"/>
      <c r="X15" s="585"/>
      <c r="Y15" s="576"/>
      <c r="Z15" s="286" t="str" cm="1">
        <f t="array" ref="Z15">IFERROR(IF(Y15="2021年",INDEX('Offer Statistics'!AZ$2:AZ$203,MATCH(1,($A15='Offer Statistics'!$AK$2:$AK$203)*($Y$2='Offer Statistics'!$AL$2:$AL$203),0)),INDEX('Offer Statistics'!AZ$2:AZ$203,MATCH(1,($G15='Offer Statistics'!$AK$2:$AK$203)*($Y$2='Offer Statistics'!$AL$2:$AL$203),0))),"/")</f>
        <v>/</v>
      </c>
      <c r="AA15" s="289" t="str" cm="1">
        <f t="array" ref="AA15">IFERROR(IF(T15="2021年",INDEX('Offer Statistics'!AU$2:AU$203,MATCH(1,($A15='Offer Statistics'!$AK$2:$AK$203)*($Y$2='Offer Statistics'!$AL$2:$AL$203),0)),INDEX('Offer Statistics'!AU$2:AU$203,MATCH(1,($G15='Offer Statistics'!$AK$2:$AK$203)*($Y$2='Offer Statistics'!$AL$2:$AL$203),0))),"/")</f>
        <v>/</v>
      </c>
      <c r="AB15" s="289" t="str" cm="1">
        <f t="array" ref="AB15">IFERROR(IF(U15="2021年",INDEX('Offer Statistics'!AV$2:AV$203,MATCH(1,($A15='Offer Statistics'!$AK$2:$AK$203)*($Y$2='Offer Statistics'!$AL$2:$AL$203),0)),INDEX('Offer Statistics'!AV$2:AV$203,MATCH(1,($G15='Offer Statistics'!$AK$2:$AK$203)*($Y$2='Offer Statistics'!$AL$2:$AL$203),0))),"/")</f>
        <v>/</v>
      </c>
      <c r="AC15" s="289" t="str" cm="1">
        <f t="array" ref="AC15">IFERROR(IF(V15="2021年",INDEX('Offer Statistics'!AW$2:AW$203,MATCH(1,($A15='Offer Statistics'!$AK$2:$AK$203)*($Y$2='Offer Statistics'!$AL$2:$AL$203),0)),INDEX('Offer Statistics'!AW$2:AW$203,MATCH(1,($G15='Offer Statistics'!$AK$2:$AK$203)*($Y$2='Offer Statistics'!$AL$2:$AL$203),0))),"/")</f>
        <v>/</v>
      </c>
      <c r="AD15" s="289" t="str" cm="1">
        <f t="array" ref="AD15">IFERROR(IF(W15="2021年",INDEX('Offer Statistics'!AX$2:AX$203,MATCH(1,($A15='Offer Statistics'!$AK$2:$AK$203)*($Y$2='Offer Statistics'!$AL$2:$AL$203),0)),INDEX('Offer Statistics'!AX$2:AX$203,MATCH(1,($G15='Offer Statistics'!$AK$2:$AK$203)*($Y$2='Offer Statistics'!$AL$2:$AL$203),0))),"/")</f>
        <v>/</v>
      </c>
      <c r="AE15" s="289" t="str" cm="1">
        <f t="array" ref="AE15">IFERROR(IF(X15="2021年",INDEX('Offer Statistics'!AY$2:AY$203,MATCH(1,($A15='Offer Statistics'!$AK$2:$AK$203)*($Y$2='Offer Statistics'!$AL$2:$AL$203),0)),INDEX('Offer Statistics'!AY$2:AY$203,MATCH(1,($G15='Offer Statistics'!$AK$2:$AK$203)*($Y$2='Offer Statistics'!$AL$2:$AL$203),0))),"/")</f>
        <v>/</v>
      </c>
      <c r="AF15" s="580"/>
      <c r="AG15" s="286" t="str" cm="1">
        <f t="array" ref="AG15">IFERROR(IF(Y15="2021年",INDEX('Offer Statistics'!AR$2:AR$203,MATCH(1,($A15='Offer Statistics'!$AK$2:$AK$203)*($Y$2='Offer Statistics'!$AL$2:$AL$203),0)),INDEX('Offer Statistics'!AR$2:AR172,MATCH(1,($G15='Offer Statistics'!$AK$2:$AK$203)*($Y$2='Offer Statistics'!$AL$2:$AL$203),0))),"/")</f>
        <v>/</v>
      </c>
      <c r="AH15" s="289" t="str" cm="1">
        <f t="array" ref="AH15">IFERROR(IF(T15="2021年",INDEX('Offer Statistics'!AM$2:AM$203,MATCH(1,($A15='Offer Statistics'!$AK$2:$AK$203)*($Y$2='Offer Statistics'!$AL$2:$AL$203),0)),INDEX('Offer Statistics'!AM$2:AM172,MATCH(1,($G15='Offer Statistics'!$AK$2:$AK$203)*($Y$2='Offer Statistics'!$AL$2:$AL$203),0))),"/")</f>
        <v>/</v>
      </c>
      <c r="AI15" s="289" t="str" cm="1">
        <f t="array" ref="AI15">IFERROR(IF(U15="2021年",INDEX('Offer Statistics'!AN$2:AN$203,MATCH(1,($A15='Offer Statistics'!$AK$2:$AK$203)*($Y$2='Offer Statistics'!$AL$2:$AL$203),0)),INDEX('Offer Statistics'!AN$2:AN172,MATCH(1,($G15='Offer Statistics'!$AK$2:$AK$203)*($Y$2='Offer Statistics'!$AL$2:$AL$203),0))),"/")</f>
        <v>/</v>
      </c>
      <c r="AJ15" s="289" t="str" cm="1">
        <f t="array" ref="AJ15">IFERROR(IF(V15="2021年",INDEX('Offer Statistics'!AO$2:AO$203,MATCH(1,($A15='Offer Statistics'!$AK$2:$AK$203)*($Y$2='Offer Statistics'!$AL$2:$AL$203),0)),INDEX('Offer Statistics'!AO$2:AO172,MATCH(1,($G15='Offer Statistics'!$AK$2:$AK$203)*($Y$2='Offer Statistics'!$AL$2:$AL$203),0))),"/")</f>
        <v>/</v>
      </c>
      <c r="AK15" s="289" t="str" cm="1">
        <f t="array" ref="AK15">IFERROR(IF(W15="2021年",INDEX('Offer Statistics'!AP$2:AP$203,MATCH(1,($A15='Offer Statistics'!$AK$2:$AK$203)*($Y$2='Offer Statistics'!$AL$2:$AL$203),0)),INDEX('Offer Statistics'!AP$2:AP172,MATCH(1,($G15='Offer Statistics'!$AK$2:$AK$203)*($Y$2='Offer Statistics'!$AL$2:$AL$203),0))),"/")</f>
        <v>/</v>
      </c>
      <c r="AL15" s="289" t="str" cm="1">
        <f t="array" ref="AL15">IFERROR(IF(X15="2021年",INDEX('Offer Statistics'!AQ$2:AQ$203,MATCH(1,($A15='Offer Statistics'!$AK$2:$AK$203)*($Y$2='Offer Statistics'!$AL$2:$AL$203),0)),INDEX('Offer Statistics'!AQ$2:AQ172,MATCH(1,($G15='Offer Statistics'!$AK$2:$AK$203)*($Y$2='Offer Statistics'!$AL$2:$AL$203),0))),"/")</f>
        <v>/</v>
      </c>
      <c r="AM15" s="284"/>
      <c r="AN15" s="313" t="str">
        <f t="shared" si="2"/>
        <v>JS3789</v>
      </c>
      <c r="AO15" s="15"/>
    </row>
    <row r="16" spans="1:41" s="296" customFormat="1" ht="18" customHeight="1" x14ac:dyDescent="0.3">
      <c r="A16" s="290"/>
      <c r="B16" s="290"/>
      <c r="C16" s="290"/>
      <c r="D16" s="290"/>
      <c r="E16" s="305" t="str">
        <f>'Reference Score Calculation'!E106</f>
        <v/>
      </c>
      <c r="F16" s="323" t="str">
        <f>'Reference Score Calculation'!V106</f>
        <v/>
      </c>
      <c r="G16" s="294" t="s">
        <v>697</v>
      </c>
      <c r="H16" s="290" t="s">
        <v>700</v>
      </c>
      <c r="I16" s="310" t="str">
        <f>'Reference Score Calculation'!P106</f>
        <v>Best 5</v>
      </c>
      <c r="J16" s="323">
        <f>'Reference Score Calculation'!W106</f>
        <v>19.399999999999999</v>
      </c>
      <c r="K16" s="326">
        <f>'Reference Score Calculation'!G106</f>
        <v>159.00000000144999</v>
      </c>
      <c r="L16" s="326">
        <f>'Reference Score Calculation'!H106</f>
        <v>171.00000000187998</v>
      </c>
      <c r="M16" s="332">
        <f>計分版!H127</f>
        <v>2.175E-8</v>
      </c>
      <c r="N16" s="292">
        <f t="shared" si="5"/>
        <v>-158.99999997969999</v>
      </c>
      <c r="O16" s="293">
        <f t="shared" si="6"/>
        <v>-7310344826.652873</v>
      </c>
      <c r="P16" s="584"/>
      <c r="Q16" s="589"/>
      <c r="R16" s="294"/>
      <c r="S16" s="582"/>
      <c r="T16" s="582"/>
      <c r="U16" s="582"/>
      <c r="V16" s="582"/>
      <c r="W16" s="582"/>
      <c r="X16" s="582"/>
      <c r="Y16" s="576"/>
      <c r="Z16" s="310" t="str" cm="1">
        <f t="array" ref="Z16">IFERROR(IF(Y16="2021年",INDEX('Offer Statistics'!AZ$2:AZ$203,MATCH(1,($A16='Offer Statistics'!$AK$2:$AK$203)*($Y$2='Offer Statistics'!$AL$2:$AL$203),0)),INDEX('Offer Statistics'!AZ$2:AZ$203,MATCH(1,($G16='Offer Statistics'!$AK$2:$AK$203)*($Y$2='Offer Statistics'!$AL$2:$AL$203),0))),"/")</f>
        <v>/</v>
      </c>
      <c r="AA16" s="295" t="str" cm="1">
        <f t="array" ref="AA16">IFERROR(IF(T16="2021年",INDEX('Offer Statistics'!AU$2:AU$203,MATCH(1,($A16='Offer Statistics'!$AK$2:$AK$203)*($Y$2='Offer Statistics'!$AL$2:$AL$203),0)),INDEX('Offer Statistics'!AU$2:AU$203,MATCH(1,($G16='Offer Statistics'!$AK$2:$AK$203)*($Y$2='Offer Statistics'!$AL$2:$AL$203),0))),"/")</f>
        <v>/</v>
      </c>
      <c r="AB16" s="295" t="str" cm="1">
        <f t="array" ref="AB16">IFERROR(IF(U16="2021年",INDEX('Offer Statistics'!AV$2:AV$203,MATCH(1,($A16='Offer Statistics'!$AK$2:$AK$203)*($Y$2='Offer Statistics'!$AL$2:$AL$203),0)),INDEX('Offer Statistics'!AV$2:AV$203,MATCH(1,($G16='Offer Statistics'!$AK$2:$AK$203)*($Y$2='Offer Statistics'!$AL$2:$AL$203),0))),"/")</f>
        <v>/</v>
      </c>
      <c r="AC16" s="295" t="str" cm="1">
        <f t="array" ref="AC16">IFERROR(IF(V16="2021年",INDEX('Offer Statistics'!AW$2:AW$203,MATCH(1,($A16='Offer Statistics'!$AK$2:$AK$203)*($Y$2='Offer Statistics'!$AL$2:$AL$203),0)),INDEX('Offer Statistics'!AW$2:AW$203,MATCH(1,($G16='Offer Statistics'!$AK$2:$AK$203)*($Y$2='Offer Statistics'!$AL$2:$AL$203),0))),"/")</f>
        <v>/</v>
      </c>
      <c r="AD16" s="295" t="str" cm="1">
        <f t="array" ref="AD16">IFERROR(IF(W16="2021年",INDEX('Offer Statistics'!AX$2:AX$203,MATCH(1,($A16='Offer Statistics'!$AK$2:$AK$203)*($Y$2='Offer Statistics'!$AL$2:$AL$203),0)),INDEX('Offer Statistics'!AX$2:AX$203,MATCH(1,($G16='Offer Statistics'!$AK$2:$AK$203)*($Y$2='Offer Statistics'!$AL$2:$AL$203),0))),"/")</f>
        <v>/</v>
      </c>
      <c r="AE16" s="295" t="str" cm="1">
        <f t="array" ref="AE16">IFERROR(IF(X16="2021年",INDEX('Offer Statistics'!AY$2:AY$203,MATCH(1,($A16='Offer Statistics'!$AK$2:$AK$203)*($Y$2='Offer Statistics'!$AL$2:$AL$203),0)),INDEX('Offer Statistics'!AY$2:AY$203,MATCH(1,($G16='Offer Statistics'!$AK$2:$AK$203)*($Y$2='Offer Statistics'!$AL$2:$AL$203),0))),"/")</f>
        <v>/</v>
      </c>
      <c r="AF16" s="580"/>
      <c r="AG16" s="310" t="str" cm="1">
        <f t="array" ref="AG16">IFERROR(IF(Y16="2021年",INDEX('Offer Statistics'!AR$2:AR$203,MATCH(1,($A16='Offer Statistics'!$AK$2:$AK$203)*($Y$2='Offer Statistics'!$AL$2:$AL$203),0)),INDEX('Offer Statistics'!AR$2:AR173,MATCH(1,($G16='Offer Statistics'!$AK$2:$AK$203)*($Y$2='Offer Statistics'!$AL$2:$AL$203),0))),"/")</f>
        <v>/</v>
      </c>
      <c r="AH16" s="295" t="str" cm="1">
        <f t="array" ref="AH16">IFERROR(IF(T16="2021年",INDEX('Offer Statistics'!AM$2:AM$203,MATCH(1,($A16='Offer Statistics'!$AK$2:$AK$203)*($Y$2='Offer Statistics'!$AL$2:$AL$203),0)),INDEX('Offer Statistics'!AM$2:AM173,MATCH(1,($G16='Offer Statistics'!$AK$2:$AK$203)*($Y$2='Offer Statistics'!$AL$2:$AL$203),0))),"/")</f>
        <v>/</v>
      </c>
      <c r="AI16" s="295" t="str" cm="1">
        <f t="array" ref="AI16">IFERROR(IF(U16="2021年",INDEX('Offer Statistics'!AN$2:AN$203,MATCH(1,($A16='Offer Statistics'!$AK$2:$AK$203)*($Y$2='Offer Statistics'!$AL$2:$AL$203),0)),INDEX('Offer Statistics'!AN$2:AN173,MATCH(1,($G16='Offer Statistics'!$AK$2:$AK$203)*($Y$2='Offer Statistics'!$AL$2:$AL$203),0))),"/")</f>
        <v>/</v>
      </c>
      <c r="AJ16" s="295" t="str" cm="1">
        <f t="array" ref="AJ16">IFERROR(IF(V16="2021年",INDEX('Offer Statistics'!AO$2:AO$203,MATCH(1,($A16='Offer Statistics'!$AK$2:$AK$203)*($Y$2='Offer Statistics'!$AL$2:$AL$203),0)),INDEX('Offer Statistics'!AO$2:AO173,MATCH(1,($G16='Offer Statistics'!$AK$2:$AK$203)*($Y$2='Offer Statistics'!$AL$2:$AL$203),0))),"/")</f>
        <v>/</v>
      </c>
      <c r="AK16" s="295" t="str" cm="1">
        <f t="array" ref="AK16">IFERROR(IF(W16="2021年",INDEX('Offer Statistics'!AP$2:AP$203,MATCH(1,($A16='Offer Statistics'!$AK$2:$AK$203)*($Y$2='Offer Statistics'!$AL$2:$AL$203),0)),INDEX('Offer Statistics'!AP$2:AP173,MATCH(1,($G16='Offer Statistics'!$AK$2:$AK$203)*($Y$2='Offer Statistics'!$AL$2:$AL$203),0))),"/")</f>
        <v>/</v>
      </c>
      <c r="AL16" s="295" t="str" cm="1">
        <f t="array" ref="AL16">IFERROR(IF(X16="2021年",INDEX('Offer Statistics'!AQ$2:AQ$203,MATCH(1,($A16='Offer Statistics'!$AK$2:$AK$203)*($Y$2='Offer Statistics'!$AL$2:$AL$203),0)),INDEX('Offer Statistics'!AQ$2:AQ173,MATCH(1,($G16='Offer Statistics'!$AK$2:$AK$203)*($Y$2='Offer Statistics'!$AL$2:$AL$203),0))),"/")</f>
        <v>/</v>
      </c>
      <c r="AM16" s="284"/>
      <c r="AN16" s="313" t="str">
        <f t="shared" si="2"/>
        <v>JS3791</v>
      </c>
      <c r="AO16" s="294"/>
    </row>
    <row r="17" spans="1:41" s="296" customFormat="1" ht="18" customHeight="1" x14ac:dyDescent="0.3">
      <c r="A17" s="290" t="s">
        <v>508</v>
      </c>
      <c r="B17" s="290" t="s">
        <v>2988</v>
      </c>
      <c r="C17" s="290" t="s">
        <v>511</v>
      </c>
      <c r="D17" s="290" t="s">
        <v>509</v>
      </c>
      <c r="E17" s="305" t="str">
        <f>'Reference Score Calculation'!E107</f>
        <v>Best 5</v>
      </c>
      <c r="F17" s="323">
        <f>'Reference Score Calculation'!V107</f>
        <v>20</v>
      </c>
      <c r="G17" s="294" t="s">
        <v>681</v>
      </c>
      <c r="H17" s="290" t="s">
        <v>684</v>
      </c>
      <c r="I17" s="310" t="str">
        <f>'Reference Score Calculation'!P107</f>
        <v>Best 5</v>
      </c>
      <c r="J17" s="323">
        <f>'Reference Score Calculation'!W107</f>
        <v>20</v>
      </c>
      <c r="K17" s="326">
        <f>'Reference Score Calculation'!G107</f>
        <v>166.00000000145002</v>
      </c>
      <c r="L17" s="326">
        <f>'Reference Score Calculation'!H107</f>
        <v>159.50000000145002</v>
      </c>
      <c r="M17" s="332">
        <f>計分版!H128</f>
        <v>1.6750000000000001E-8</v>
      </c>
      <c r="N17" s="292">
        <f t="shared" si="5"/>
        <v>-165.99999998470003</v>
      </c>
      <c r="O17" s="293">
        <f t="shared" si="6"/>
        <v>-9910447760.2805977</v>
      </c>
      <c r="P17" s="298">
        <f>入學要求!C116</f>
        <v>35</v>
      </c>
      <c r="Q17" s="301">
        <f>入學要求!R116</f>
        <v>0</v>
      </c>
      <c r="R17" s="302"/>
      <c r="S17" s="302">
        <f>入學要求!D116</f>
        <v>3</v>
      </c>
      <c r="T17" s="302">
        <f>入學要求!E116</f>
        <v>3</v>
      </c>
      <c r="U17" s="302">
        <f>入學要求!F116</f>
        <v>2</v>
      </c>
      <c r="V17" s="302">
        <f>入學要求!G116</f>
        <v>2</v>
      </c>
      <c r="W17" s="302">
        <f>入學要求!H116</f>
        <v>3</v>
      </c>
      <c r="X17" s="302">
        <f>入學要求!I116</f>
        <v>3</v>
      </c>
      <c r="Y17" s="576"/>
      <c r="Z17" s="310" t="str" cm="1">
        <f t="array" ref="Z17">IFERROR(IF(Y17="2021年",INDEX('Offer Statistics'!AZ$2:AZ$203,MATCH(1,($A17='Offer Statistics'!$AK$2:$AK$203)*($Y$2='Offer Statistics'!$AL$2:$AL$203),0)),INDEX('Offer Statistics'!AZ$2:AZ$203,MATCH(1,($G17='Offer Statistics'!$AK$2:$AK$203)*($Y$2='Offer Statistics'!$AL$2:$AL$203),0))),"/")</f>
        <v>/</v>
      </c>
      <c r="AA17" s="295" t="str" cm="1">
        <f t="array" ref="AA17">IFERROR(IF(T17="2021年",INDEX('Offer Statistics'!AU$2:AU$203,MATCH(1,($A17='Offer Statistics'!$AK$2:$AK$203)*($Y$2='Offer Statistics'!$AL$2:$AL$203),0)),INDEX('Offer Statistics'!AU$2:AU$203,MATCH(1,($G17='Offer Statistics'!$AK$2:$AK$203)*($Y$2='Offer Statistics'!$AL$2:$AL$203),0))),"/")</f>
        <v>/</v>
      </c>
      <c r="AB17" s="295" t="str" cm="1">
        <f t="array" ref="AB17">IFERROR(IF(U17="2021年",INDEX('Offer Statistics'!AV$2:AV$203,MATCH(1,($A17='Offer Statistics'!$AK$2:$AK$203)*($Y$2='Offer Statistics'!$AL$2:$AL$203),0)),INDEX('Offer Statistics'!AV$2:AV$203,MATCH(1,($G17='Offer Statistics'!$AK$2:$AK$203)*($Y$2='Offer Statistics'!$AL$2:$AL$203),0))),"/")</f>
        <v>/</v>
      </c>
      <c r="AC17" s="295" t="str" cm="1">
        <f t="array" ref="AC17">IFERROR(IF(V17="2021年",INDEX('Offer Statistics'!AW$2:AW$203,MATCH(1,($A17='Offer Statistics'!$AK$2:$AK$203)*($Y$2='Offer Statistics'!$AL$2:$AL$203),0)),INDEX('Offer Statistics'!AW$2:AW$203,MATCH(1,($G17='Offer Statistics'!$AK$2:$AK$203)*($Y$2='Offer Statistics'!$AL$2:$AL$203),0))),"/")</f>
        <v>/</v>
      </c>
      <c r="AD17" s="295" t="str" cm="1">
        <f t="array" ref="AD17">IFERROR(IF(W17="2021年",INDEX('Offer Statistics'!AX$2:AX$203,MATCH(1,($A17='Offer Statistics'!$AK$2:$AK$203)*($Y$2='Offer Statistics'!$AL$2:$AL$203),0)),INDEX('Offer Statistics'!AX$2:AX$203,MATCH(1,($G17='Offer Statistics'!$AK$2:$AK$203)*($Y$2='Offer Statistics'!$AL$2:$AL$203),0))),"/")</f>
        <v>/</v>
      </c>
      <c r="AE17" s="295" t="str" cm="1">
        <f t="array" ref="AE17">IFERROR(IF(X17="2021年",INDEX('Offer Statistics'!AY$2:AY$203,MATCH(1,($A17='Offer Statistics'!$AK$2:$AK$203)*($Y$2='Offer Statistics'!$AL$2:$AL$203),0)),INDEX('Offer Statistics'!AY$2:AY$203,MATCH(1,($G17='Offer Statistics'!$AK$2:$AK$203)*($Y$2='Offer Statistics'!$AL$2:$AL$203),0))),"/")</f>
        <v>/</v>
      </c>
      <c r="AF17" s="580"/>
      <c r="AG17" s="310" t="str" cm="1">
        <f t="array" ref="AG17">IFERROR(IF(Y17="2021年",INDEX('Offer Statistics'!AR$2:AR$203,MATCH(1,($A17='Offer Statistics'!$AK$2:$AK$203)*($Y$2='Offer Statistics'!$AL$2:$AL$203),0)),INDEX('Offer Statistics'!AR$2:AR174,MATCH(1,($G17='Offer Statistics'!$AK$2:$AK$203)*($Y$2='Offer Statistics'!$AL$2:$AL$203),0))),"/")</f>
        <v>/</v>
      </c>
      <c r="AH17" s="295" t="str" cm="1">
        <f t="array" ref="AH17">IFERROR(IF(T17="2021年",INDEX('Offer Statistics'!AM$2:AM$203,MATCH(1,($A17='Offer Statistics'!$AK$2:$AK$203)*($Y$2='Offer Statistics'!$AL$2:$AL$203),0)),INDEX('Offer Statistics'!AM$2:AM174,MATCH(1,($G17='Offer Statistics'!$AK$2:$AK$203)*($Y$2='Offer Statistics'!$AL$2:$AL$203),0))),"/")</f>
        <v>/</v>
      </c>
      <c r="AI17" s="295" t="str" cm="1">
        <f t="array" ref="AI17">IFERROR(IF(U17="2021年",INDEX('Offer Statistics'!AN$2:AN$203,MATCH(1,($A17='Offer Statistics'!$AK$2:$AK$203)*($Y$2='Offer Statistics'!$AL$2:$AL$203),0)),INDEX('Offer Statistics'!AN$2:AN174,MATCH(1,($G17='Offer Statistics'!$AK$2:$AK$203)*($Y$2='Offer Statistics'!$AL$2:$AL$203),0))),"/")</f>
        <v>/</v>
      </c>
      <c r="AJ17" s="295" t="str" cm="1">
        <f t="array" ref="AJ17">IFERROR(IF(V17="2021年",INDEX('Offer Statistics'!AO$2:AO$203,MATCH(1,($A17='Offer Statistics'!$AK$2:$AK$203)*($Y$2='Offer Statistics'!$AL$2:$AL$203),0)),INDEX('Offer Statistics'!AO$2:AO174,MATCH(1,($G17='Offer Statistics'!$AK$2:$AK$203)*($Y$2='Offer Statistics'!$AL$2:$AL$203),0))),"/")</f>
        <v>/</v>
      </c>
      <c r="AK17" s="295" t="str" cm="1">
        <f t="array" ref="AK17">IFERROR(IF(W17="2021年",INDEX('Offer Statistics'!AP$2:AP$203,MATCH(1,($A17='Offer Statistics'!$AK$2:$AK$203)*($Y$2='Offer Statistics'!$AL$2:$AL$203),0)),INDEX('Offer Statistics'!AP$2:AP174,MATCH(1,($G17='Offer Statistics'!$AK$2:$AK$203)*($Y$2='Offer Statistics'!$AL$2:$AL$203),0))),"/")</f>
        <v>/</v>
      </c>
      <c r="AL17" s="295" t="str" cm="1">
        <f t="array" ref="AL17">IFERROR(IF(X17="2021年",INDEX('Offer Statistics'!AQ$2:AQ$203,MATCH(1,($A17='Offer Statistics'!$AK$2:$AK$203)*($Y$2='Offer Statistics'!$AL$2:$AL$203),0)),INDEX('Offer Statistics'!AQ$2:AQ174,MATCH(1,($G17='Offer Statistics'!$AK$2:$AK$203)*($Y$2='Offer Statistics'!$AL$2:$AL$203),0))),"/")</f>
        <v>/</v>
      </c>
      <c r="AM17" s="284"/>
      <c r="AN17" s="302" t="str">
        <f t="shared" si="2"/>
        <v>JS3753</v>
      </c>
      <c r="AO17" s="294" t="str">
        <f>A17</f>
        <v>JS3110</v>
      </c>
    </row>
    <row r="18" spans="1:41" ht="18" customHeight="1" x14ac:dyDescent="0.3">
      <c r="A18" s="252" t="s">
        <v>512</v>
      </c>
      <c r="B18" s="252" t="s">
        <v>2988</v>
      </c>
      <c r="C18" s="4" t="s">
        <v>515</v>
      </c>
      <c r="D18" s="252" t="s">
        <v>513</v>
      </c>
      <c r="E18" s="62" t="str">
        <f>'Reference Score Calculation'!E108</f>
        <v>Best 5</v>
      </c>
      <c r="F18" s="322">
        <f>'Reference Score Calculation'!V108</f>
        <v>20.5</v>
      </c>
      <c r="G18" s="256" t="s">
        <v>570</v>
      </c>
      <c r="H18" s="4" t="s">
        <v>573</v>
      </c>
      <c r="I18" s="309" t="str">
        <f>'Reference Score Calculation'!P108</f>
        <v>Best 5</v>
      </c>
      <c r="J18" s="322">
        <f>'Reference Score Calculation'!W108</f>
        <v>20.2</v>
      </c>
      <c r="K18" s="34">
        <f>'Reference Score Calculation'!G108</f>
        <v>195.00000000279999</v>
      </c>
      <c r="L18" s="34">
        <f>'Reference Score Calculation'!H108</f>
        <v>195.00000000219998</v>
      </c>
      <c r="M18" s="331">
        <f>計分版!H129</f>
        <v>2.2250000000000001E-8</v>
      </c>
      <c r="N18" s="25">
        <f t="shared" si="5"/>
        <v>-194.99999998055</v>
      </c>
      <c r="O18" s="26">
        <f t="shared" si="6"/>
        <v>-8764044942.9460678</v>
      </c>
      <c r="P18" s="591">
        <f>入學要求!C117</f>
        <v>128</v>
      </c>
      <c r="Q18" s="590">
        <f>入學要求!R117</f>
        <v>0</v>
      </c>
      <c r="R18" s="15"/>
      <c r="S18" s="581">
        <f>入學要求!D117</f>
        <v>3</v>
      </c>
      <c r="T18" s="581">
        <f>入學要求!E117</f>
        <v>3</v>
      </c>
      <c r="U18" s="581">
        <f>入學要求!F117</f>
        <v>2</v>
      </c>
      <c r="V18" s="581">
        <f>入學要求!G117</f>
        <v>2</v>
      </c>
      <c r="W18" s="581">
        <f>入學要求!H117</f>
        <v>3</v>
      </c>
      <c r="X18" s="581">
        <f>入學要求!I117</f>
        <v>3</v>
      </c>
      <c r="Y18" s="576"/>
      <c r="Z18" s="286" t="str" cm="1">
        <f t="array" ref="Z18">IFERROR(IF(Y18="2021年",INDEX('Offer Statistics'!AZ$2:AZ$203,MATCH(1,($A18='Offer Statistics'!$AK$2:$AK$203)*($Y$2='Offer Statistics'!$AL$2:$AL$203),0)),INDEX('Offer Statistics'!AZ$2:AZ$203,MATCH(1,($G18='Offer Statistics'!$AK$2:$AK$203)*($Y$2='Offer Statistics'!$AL$2:$AL$203),0))),"/")</f>
        <v>/</v>
      </c>
      <c r="AA18" s="289" t="str" cm="1">
        <f t="array" ref="AA18">IFERROR(IF(T18="2021年",INDEX('Offer Statistics'!AU$2:AU$203,MATCH(1,($A18='Offer Statistics'!$AK$2:$AK$203)*($Y$2='Offer Statistics'!$AL$2:$AL$203),0)),INDEX('Offer Statistics'!AU$2:AU$203,MATCH(1,($G18='Offer Statistics'!$AK$2:$AK$203)*($Y$2='Offer Statistics'!$AL$2:$AL$203),0))),"/")</f>
        <v>/</v>
      </c>
      <c r="AB18" s="289" t="str" cm="1">
        <f t="array" ref="AB18">IFERROR(IF(U18="2021年",INDEX('Offer Statistics'!AV$2:AV$203,MATCH(1,($A18='Offer Statistics'!$AK$2:$AK$203)*($Y$2='Offer Statistics'!$AL$2:$AL$203),0)),INDEX('Offer Statistics'!AV$2:AV$203,MATCH(1,($G18='Offer Statistics'!$AK$2:$AK$203)*($Y$2='Offer Statistics'!$AL$2:$AL$203),0))),"/")</f>
        <v>/</v>
      </c>
      <c r="AC18" s="289" t="str" cm="1">
        <f t="array" ref="AC18">IFERROR(IF(V18="2021年",INDEX('Offer Statistics'!AW$2:AW$203,MATCH(1,($A18='Offer Statistics'!$AK$2:$AK$203)*($Y$2='Offer Statistics'!$AL$2:$AL$203),0)),INDEX('Offer Statistics'!AW$2:AW$203,MATCH(1,($G18='Offer Statistics'!$AK$2:$AK$203)*($Y$2='Offer Statistics'!$AL$2:$AL$203),0))),"/")</f>
        <v>/</v>
      </c>
      <c r="AD18" s="289" t="str" cm="1">
        <f t="array" ref="AD18">IFERROR(IF(W18="2021年",INDEX('Offer Statistics'!AX$2:AX$203,MATCH(1,($A18='Offer Statistics'!$AK$2:$AK$203)*($Y$2='Offer Statistics'!$AL$2:$AL$203),0)),INDEX('Offer Statistics'!AX$2:AX$203,MATCH(1,($G18='Offer Statistics'!$AK$2:$AK$203)*($Y$2='Offer Statistics'!$AL$2:$AL$203),0))),"/")</f>
        <v>/</v>
      </c>
      <c r="AE18" s="289" t="str" cm="1">
        <f t="array" ref="AE18">IFERROR(IF(X18="2021年",INDEX('Offer Statistics'!AY$2:AY$203,MATCH(1,($A18='Offer Statistics'!$AK$2:$AK$203)*($Y$2='Offer Statistics'!$AL$2:$AL$203),0)),INDEX('Offer Statistics'!AY$2:AY$203,MATCH(1,($G18='Offer Statistics'!$AK$2:$AK$203)*($Y$2='Offer Statistics'!$AL$2:$AL$203),0))),"/")</f>
        <v>/</v>
      </c>
      <c r="AF18" s="580"/>
      <c r="AG18" s="286" t="str" cm="1">
        <f t="array" ref="AG18">IFERROR(IF(Y18="2021年",INDEX('Offer Statistics'!AR$2:AR$203,MATCH(1,($A18='Offer Statistics'!$AK$2:$AK$203)*($Y$2='Offer Statistics'!$AL$2:$AL$203),0)),INDEX('Offer Statistics'!AR$2:AR175,MATCH(1,($G18='Offer Statistics'!$AK$2:$AK$203)*($Y$2='Offer Statistics'!$AL$2:$AL$203),0))),"/")</f>
        <v>/</v>
      </c>
      <c r="AH18" s="289" t="str" cm="1">
        <f t="array" ref="AH18">IFERROR(IF(T18="2021年",INDEX('Offer Statistics'!AM$2:AM$203,MATCH(1,($A18='Offer Statistics'!$AK$2:$AK$203)*($Y$2='Offer Statistics'!$AL$2:$AL$203),0)),INDEX('Offer Statistics'!AM$2:AM175,MATCH(1,($G18='Offer Statistics'!$AK$2:$AK$203)*($Y$2='Offer Statistics'!$AL$2:$AL$203),0))),"/")</f>
        <v>/</v>
      </c>
      <c r="AI18" s="289" t="str" cm="1">
        <f t="array" ref="AI18">IFERROR(IF(U18="2021年",INDEX('Offer Statistics'!AN$2:AN$203,MATCH(1,($A18='Offer Statistics'!$AK$2:$AK$203)*($Y$2='Offer Statistics'!$AL$2:$AL$203),0)),INDEX('Offer Statistics'!AN$2:AN175,MATCH(1,($G18='Offer Statistics'!$AK$2:$AK$203)*($Y$2='Offer Statistics'!$AL$2:$AL$203),0))),"/")</f>
        <v>/</v>
      </c>
      <c r="AJ18" s="289" t="str" cm="1">
        <f t="array" ref="AJ18">IFERROR(IF(V18="2021年",INDEX('Offer Statistics'!AO$2:AO$203,MATCH(1,($A18='Offer Statistics'!$AK$2:$AK$203)*($Y$2='Offer Statistics'!$AL$2:$AL$203),0)),INDEX('Offer Statistics'!AO$2:AO175,MATCH(1,($G18='Offer Statistics'!$AK$2:$AK$203)*($Y$2='Offer Statistics'!$AL$2:$AL$203),0))),"/")</f>
        <v>/</v>
      </c>
      <c r="AK18" s="289" t="str" cm="1">
        <f t="array" ref="AK18">IFERROR(IF(W18="2021年",INDEX('Offer Statistics'!AP$2:AP$203,MATCH(1,($A18='Offer Statistics'!$AK$2:$AK$203)*($Y$2='Offer Statistics'!$AL$2:$AL$203),0)),INDEX('Offer Statistics'!AP$2:AP175,MATCH(1,($G18='Offer Statistics'!$AK$2:$AK$203)*($Y$2='Offer Statistics'!$AL$2:$AL$203),0))),"/")</f>
        <v>/</v>
      </c>
      <c r="AL18" s="289" t="str" cm="1">
        <f t="array" ref="AL18">IFERROR(IF(X18="2021年",INDEX('Offer Statistics'!AQ$2:AQ$203,MATCH(1,($A18='Offer Statistics'!$AK$2:$AK$203)*($Y$2='Offer Statistics'!$AL$2:$AL$203),0)),INDEX('Offer Statistics'!AQ$2:AQ175,MATCH(1,($G18='Offer Statistics'!$AK$2:$AK$203)*($Y$2='Offer Statistics'!$AL$2:$AL$203),0))),"/")</f>
        <v>/</v>
      </c>
      <c r="AM18" s="284"/>
      <c r="AN18" s="313" t="str">
        <f t="shared" si="2"/>
        <v>JS3375</v>
      </c>
      <c r="AO18" s="15" t="str">
        <f>A18</f>
        <v>JS3120</v>
      </c>
    </row>
    <row r="19" spans="1:41" ht="18" customHeight="1" x14ac:dyDescent="0.3">
      <c r="A19" s="252"/>
      <c r="B19" s="252"/>
      <c r="C19" s="4"/>
      <c r="D19" s="252"/>
      <c r="E19" s="62" t="str">
        <f>'Reference Score Calculation'!E109</f>
        <v/>
      </c>
      <c r="F19" s="322" t="str">
        <f>'Reference Score Calculation'!V109</f>
        <v/>
      </c>
      <c r="G19" s="256" t="s">
        <v>672</v>
      </c>
      <c r="H19" s="4" t="s">
        <v>675</v>
      </c>
      <c r="I19" s="309" t="str">
        <f>'Reference Score Calculation'!P109</f>
        <v>Best 5</v>
      </c>
      <c r="J19" s="322">
        <f>'Reference Score Calculation'!W109</f>
        <v>21.7</v>
      </c>
      <c r="K19" s="34">
        <f>'Reference Score Calculation'!G109</f>
        <v>186.50000000144996</v>
      </c>
      <c r="L19" s="34">
        <f>'Reference Score Calculation'!H109</f>
        <v>178.00000000187998</v>
      </c>
      <c r="M19" s="331">
        <f>計分版!H130</f>
        <v>2.175E-8</v>
      </c>
      <c r="N19" s="25">
        <f t="shared" si="5"/>
        <v>-186.49999997969996</v>
      </c>
      <c r="O19" s="26">
        <f t="shared" si="6"/>
        <v>-8574712642.7448263</v>
      </c>
      <c r="P19" s="591"/>
      <c r="Q19" s="588"/>
      <c r="R19" s="15"/>
      <c r="S19" s="585"/>
      <c r="T19" s="585"/>
      <c r="U19" s="585"/>
      <c r="V19" s="585"/>
      <c r="W19" s="585"/>
      <c r="X19" s="585"/>
      <c r="Y19" s="576"/>
      <c r="Z19" s="286" t="str" cm="1">
        <f t="array" ref="Z19">IFERROR(IF(Y19="2021年",INDEX('Offer Statistics'!AZ$2:AZ$203,MATCH(1,($A19='Offer Statistics'!$AK$2:$AK$203)*($Y$2='Offer Statistics'!$AL$2:$AL$203),0)),INDEX('Offer Statistics'!AZ$2:AZ$203,MATCH(1,($G19='Offer Statistics'!$AK$2:$AK$203)*($Y$2='Offer Statistics'!$AL$2:$AL$203),0))),"/")</f>
        <v>/</v>
      </c>
      <c r="AA19" s="289" t="str" cm="1">
        <f t="array" ref="AA19">IFERROR(IF(T19="2021年",INDEX('Offer Statistics'!AU$2:AU$203,MATCH(1,($A19='Offer Statistics'!$AK$2:$AK$203)*($Y$2='Offer Statistics'!$AL$2:$AL$203),0)),INDEX('Offer Statistics'!AU$2:AU$203,MATCH(1,($G19='Offer Statistics'!$AK$2:$AK$203)*($Y$2='Offer Statistics'!$AL$2:$AL$203),0))),"/")</f>
        <v>/</v>
      </c>
      <c r="AB19" s="289" t="str" cm="1">
        <f t="array" ref="AB19">IFERROR(IF(U19="2021年",INDEX('Offer Statistics'!AV$2:AV$203,MATCH(1,($A19='Offer Statistics'!$AK$2:$AK$203)*($Y$2='Offer Statistics'!$AL$2:$AL$203),0)),INDEX('Offer Statistics'!AV$2:AV$203,MATCH(1,($G19='Offer Statistics'!$AK$2:$AK$203)*($Y$2='Offer Statistics'!$AL$2:$AL$203),0))),"/")</f>
        <v>/</v>
      </c>
      <c r="AC19" s="289" t="str" cm="1">
        <f t="array" ref="AC19">IFERROR(IF(V19="2021年",INDEX('Offer Statistics'!AW$2:AW$203,MATCH(1,($A19='Offer Statistics'!$AK$2:$AK$203)*($Y$2='Offer Statistics'!$AL$2:$AL$203),0)),INDEX('Offer Statistics'!AW$2:AW$203,MATCH(1,($G19='Offer Statistics'!$AK$2:$AK$203)*($Y$2='Offer Statistics'!$AL$2:$AL$203),0))),"/")</f>
        <v>/</v>
      </c>
      <c r="AD19" s="289" t="str" cm="1">
        <f t="array" ref="AD19">IFERROR(IF(W19="2021年",INDEX('Offer Statistics'!AX$2:AX$203,MATCH(1,($A19='Offer Statistics'!$AK$2:$AK$203)*($Y$2='Offer Statistics'!$AL$2:$AL$203),0)),INDEX('Offer Statistics'!AX$2:AX$203,MATCH(1,($G19='Offer Statistics'!$AK$2:$AK$203)*($Y$2='Offer Statistics'!$AL$2:$AL$203),0))),"/")</f>
        <v>/</v>
      </c>
      <c r="AE19" s="289" t="str" cm="1">
        <f t="array" ref="AE19">IFERROR(IF(X19="2021年",INDEX('Offer Statistics'!AY$2:AY$203,MATCH(1,($A19='Offer Statistics'!$AK$2:$AK$203)*($Y$2='Offer Statistics'!$AL$2:$AL$203),0)),INDEX('Offer Statistics'!AY$2:AY$203,MATCH(1,($G19='Offer Statistics'!$AK$2:$AK$203)*($Y$2='Offer Statistics'!$AL$2:$AL$203),0))),"/")</f>
        <v>/</v>
      </c>
      <c r="AF19" s="580"/>
      <c r="AG19" s="286" t="str" cm="1">
        <f t="array" ref="AG19">IFERROR(IF(Y19="2021年",INDEX('Offer Statistics'!AR$2:AR$203,MATCH(1,($A19='Offer Statistics'!$AK$2:$AK$203)*($Y$2='Offer Statistics'!$AL$2:$AL$203),0)),INDEX('Offer Statistics'!AR$2:AR176,MATCH(1,($G19='Offer Statistics'!$AK$2:$AK$203)*($Y$2='Offer Statistics'!$AL$2:$AL$203),0))),"/")</f>
        <v>/</v>
      </c>
      <c r="AH19" s="289" t="str" cm="1">
        <f t="array" ref="AH19">IFERROR(IF(T19="2021年",INDEX('Offer Statistics'!AM$2:AM$203,MATCH(1,($A19='Offer Statistics'!$AK$2:$AK$203)*($Y$2='Offer Statistics'!$AL$2:$AL$203),0)),INDEX('Offer Statistics'!AM$2:AM176,MATCH(1,($G19='Offer Statistics'!$AK$2:$AK$203)*($Y$2='Offer Statistics'!$AL$2:$AL$203),0))),"/")</f>
        <v>/</v>
      </c>
      <c r="AI19" s="289" t="str" cm="1">
        <f t="array" ref="AI19">IFERROR(IF(U19="2021年",INDEX('Offer Statistics'!AN$2:AN$203,MATCH(1,($A19='Offer Statistics'!$AK$2:$AK$203)*($Y$2='Offer Statistics'!$AL$2:$AL$203),0)),INDEX('Offer Statistics'!AN$2:AN176,MATCH(1,($G19='Offer Statistics'!$AK$2:$AK$203)*($Y$2='Offer Statistics'!$AL$2:$AL$203),0))),"/")</f>
        <v>/</v>
      </c>
      <c r="AJ19" s="289" t="str" cm="1">
        <f t="array" ref="AJ19">IFERROR(IF(V19="2021年",INDEX('Offer Statistics'!AO$2:AO$203,MATCH(1,($A19='Offer Statistics'!$AK$2:$AK$203)*($Y$2='Offer Statistics'!$AL$2:$AL$203),0)),INDEX('Offer Statistics'!AO$2:AO176,MATCH(1,($G19='Offer Statistics'!$AK$2:$AK$203)*($Y$2='Offer Statistics'!$AL$2:$AL$203),0))),"/")</f>
        <v>/</v>
      </c>
      <c r="AK19" s="289" t="str" cm="1">
        <f t="array" ref="AK19">IFERROR(IF(W19="2021年",INDEX('Offer Statistics'!AP$2:AP$203,MATCH(1,($A19='Offer Statistics'!$AK$2:$AK$203)*($Y$2='Offer Statistics'!$AL$2:$AL$203),0)),INDEX('Offer Statistics'!AP$2:AP176,MATCH(1,($G19='Offer Statistics'!$AK$2:$AK$203)*($Y$2='Offer Statistics'!$AL$2:$AL$203),0))),"/")</f>
        <v>/</v>
      </c>
      <c r="AL19" s="289" t="str" cm="1">
        <f t="array" ref="AL19">IFERROR(IF(X19="2021年",INDEX('Offer Statistics'!AQ$2:AQ$203,MATCH(1,($A19='Offer Statistics'!$AK$2:$AK$203)*($Y$2='Offer Statistics'!$AL$2:$AL$203),0)),INDEX('Offer Statistics'!AQ$2:AQ176,MATCH(1,($G19='Offer Statistics'!$AK$2:$AK$203)*($Y$2='Offer Statistics'!$AL$2:$AL$203),0))),"/")</f>
        <v>/</v>
      </c>
      <c r="AM19" s="284"/>
      <c r="AN19" s="313" t="str">
        <f t="shared" si="2"/>
        <v>JS3739</v>
      </c>
      <c r="AO19" s="15"/>
    </row>
    <row r="20" spans="1:41" s="296" customFormat="1" ht="18" customHeight="1" x14ac:dyDescent="0.3">
      <c r="A20" s="290"/>
      <c r="B20" s="290"/>
      <c r="C20" s="290"/>
      <c r="D20" s="290"/>
      <c r="E20" s="305" t="str">
        <f>'Reference Score Calculation'!E110</f>
        <v/>
      </c>
      <c r="F20" s="323" t="str">
        <f>'Reference Score Calculation'!V110</f>
        <v/>
      </c>
      <c r="G20" s="294" t="s">
        <v>689</v>
      </c>
      <c r="H20" s="290" t="s">
        <v>692</v>
      </c>
      <c r="I20" s="310" t="str">
        <f>'Reference Score Calculation'!P110</f>
        <v>Best 5</v>
      </c>
      <c r="J20" s="323">
        <f>'Reference Score Calculation'!W110</f>
        <v>18.7</v>
      </c>
      <c r="K20" s="326">
        <f>'Reference Score Calculation'!G110</f>
        <v>157.00000000144999</v>
      </c>
      <c r="L20" s="326">
        <f>'Reference Score Calculation'!H110</f>
        <v>151.00000000188001</v>
      </c>
      <c r="M20" s="332">
        <f>計分版!H131</f>
        <v>2.175E-8</v>
      </c>
      <c r="N20" s="292">
        <f t="shared" si="5"/>
        <v>-156.99999997969999</v>
      </c>
      <c r="O20" s="293">
        <f t="shared" si="6"/>
        <v>-7218390803.6643677</v>
      </c>
      <c r="P20" s="584"/>
      <c r="Q20" s="589"/>
      <c r="R20" s="304"/>
      <c r="S20" s="582"/>
      <c r="T20" s="582"/>
      <c r="U20" s="582"/>
      <c r="V20" s="582"/>
      <c r="W20" s="582"/>
      <c r="X20" s="582"/>
      <c r="Y20" s="576"/>
      <c r="Z20" s="310" t="str" cm="1">
        <f t="array" ref="Z20">IFERROR(IF(Y20="2021年",INDEX('Offer Statistics'!AZ$2:AZ$203,MATCH(1,($A20='Offer Statistics'!$AK$2:$AK$203)*($Y$2='Offer Statistics'!$AL$2:$AL$203),0)),INDEX('Offer Statistics'!AZ$2:AZ$203,MATCH(1,($G20='Offer Statistics'!$AK$2:$AK$203)*($Y$2='Offer Statistics'!$AL$2:$AL$203),0))),"/")</f>
        <v>/</v>
      </c>
      <c r="AA20" s="295" t="str" cm="1">
        <f t="array" ref="AA20">IFERROR(IF(T20="2021年",INDEX('Offer Statistics'!AU$2:AU$203,MATCH(1,($A20='Offer Statistics'!$AK$2:$AK$203)*($Y$2='Offer Statistics'!$AL$2:$AL$203),0)),INDEX('Offer Statistics'!AU$2:AU$203,MATCH(1,($G20='Offer Statistics'!$AK$2:$AK$203)*($Y$2='Offer Statistics'!$AL$2:$AL$203),0))),"/")</f>
        <v>/</v>
      </c>
      <c r="AB20" s="295" t="str" cm="1">
        <f t="array" ref="AB20">IFERROR(IF(U20="2021年",INDEX('Offer Statistics'!AV$2:AV$203,MATCH(1,($A20='Offer Statistics'!$AK$2:$AK$203)*($Y$2='Offer Statistics'!$AL$2:$AL$203),0)),INDEX('Offer Statistics'!AV$2:AV$203,MATCH(1,($G20='Offer Statistics'!$AK$2:$AK$203)*($Y$2='Offer Statistics'!$AL$2:$AL$203),0))),"/")</f>
        <v>/</v>
      </c>
      <c r="AC20" s="295" t="str" cm="1">
        <f t="array" ref="AC20">IFERROR(IF(V20="2021年",INDEX('Offer Statistics'!AW$2:AW$203,MATCH(1,($A20='Offer Statistics'!$AK$2:$AK$203)*($Y$2='Offer Statistics'!$AL$2:$AL$203),0)),INDEX('Offer Statistics'!AW$2:AW$203,MATCH(1,($G20='Offer Statistics'!$AK$2:$AK$203)*($Y$2='Offer Statistics'!$AL$2:$AL$203),0))),"/")</f>
        <v>/</v>
      </c>
      <c r="AD20" s="295" t="str" cm="1">
        <f t="array" ref="AD20">IFERROR(IF(W20="2021年",INDEX('Offer Statistics'!AX$2:AX$203,MATCH(1,($A20='Offer Statistics'!$AK$2:$AK$203)*($Y$2='Offer Statistics'!$AL$2:$AL$203),0)),INDEX('Offer Statistics'!AX$2:AX$203,MATCH(1,($G20='Offer Statistics'!$AK$2:$AK$203)*($Y$2='Offer Statistics'!$AL$2:$AL$203),0))),"/")</f>
        <v>/</v>
      </c>
      <c r="AE20" s="295" t="str" cm="1">
        <f t="array" ref="AE20">IFERROR(IF(X20="2021年",INDEX('Offer Statistics'!AY$2:AY$203,MATCH(1,($A20='Offer Statistics'!$AK$2:$AK$203)*($Y$2='Offer Statistics'!$AL$2:$AL$203),0)),INDEX('Offer Statistics'!AY$2:AY$203,MATCH(1,($G20='Offer Statistics'!$AK$2:$AK$203)*($Y$2='Offer Statistics'!$AL$2:$AL$203),0))),"/")</f>
        <v>/</v>
      </c>
      <c r="AF20" s="580"/>
      <c r="AG20" s="310" t="str" cm="1">
        <f t="array" ref="AG20">IFERROR(IF(Y20="2021年",INDEX('Offer Statistics'!AR$2:AR$203,MATCH(1,($A20='Offer Statistics'!$AK$2:$AK$203)*($Y$2='Offer Statistics'!$AL$2:$AL$203),0)),INDEX('Offer Statistics'!AR$2:AR177,MATCH(1,($G20='Offer Statistics'!$AK$2:$AK$203)*($Y$2='Offer Statistics'!$AL$2:$AL$203),0))),"/")</f>
        <v>/</v>
      </c>
      <c r="AH20" s="295" t="str" cm="1">
        <f t="array" ref="AH20">IFERROR(IF(T20="2021年",INDEX('Offer Statistics'!AM$2:AM$203,MATCH(1,($A20='Offer Statistics'!$AK$2:$AK$203)*($Y$2='Offer Statistics'!$AL$2:$AL$203),0)),INDEX('Offer Statistics'!AM$2:AM177,MATCH(1,($G20='Offer Statistics'!$AK$2:$AK$203)*($Y$2='Offer Statistics'!$AL$2:$AL$203),0))),"/")</f>
        <v>/</v>
      </c>
      <c r="AI20" s="295" t="str" cm="1">
        <f t="array" ref="AI20">IFERROR(IF(U20="2021年",INDEX('Offer Statistics'!AN$2:AN$203,MATCH(1,($A20='Offer Statistics'!$AK$2:$AK$203)*($Y$2='Offer Statistics'!$AL$2:$AL$203),0)),INDEX('Offer Statistics'!AN$2:AN177,MATCH(1,($G20='Offer Statistics'!$AK$2:$AK$203)*($Y$2='Offer Statistics'!$AL$2:$AL$203),0))),"/")</f>
        <v>/</v>
      </c>
      <c r="AJ20" s="295" t="str" cm="1">
        <f t="array" ref="AJ20">IFERROR(IF(V20="2021年",INDEX('Offer Statistics'!AO$2:AO$203,MATCH(1,($A20='Offer Statistics'!$AK$2:$AK$203)*($Y$2='Offer Statistics'!$AL$2:$AL$203),0)),INDEX('Offer Statistics'!AO$2:AO177,MATCH(1,($G20='Offer Statistics'!$AK$2:$AK$203)*($Y$2='Offer Statistics'!$AL$2:$AL$203),0))),"/")</f>
        <v>/</v>
      </c>
      <c r="AK20" s="295" t="str" cm="1">
        <f t="array" ref="AK20">IFERROR(IF(W20="2021年",INDEX('Offer Statistics'!AP$2:AP$203,MATCH(1,($A20='Offer Statistics'!$AK$2:$AK$203)*($Y$2='Offer Statistics'!$AL$2:$AL$203),0)),INDEX('Offer Statistics'!AP$2:AP177,MATCH(1,($G20='Offer Statistics'!$AK$2:$AK$203)*($Y$2='Offer Statistics'!$AL$2:$AL$203),0))),"/")</f>
        <v>/</v>
      </c>
      <c r="AL20" s="295" t="str" cm="1">
        <f t="array" ref="AL20">IFERROR(IF(X20="2021年",INDEX('Offer Statistics'!AQ$2:AQ$203,MATCH(1,($A20='Offer Statistics'!$AK$2:$AK$203)*($Y$2='Offer Statistics'!$AL$2:$AL$203),0)),INDEX('Offer Statistics'!AQ$2:AQ177,MATCH(1,($G20='Offer Statistics'!$AK$2:$AK$203)*($Y$2='Offer Statistics'!$AL$2:$AL$203),0))),"/")</f>
        <v>/</v>
      </c>
      <c r="AM20" s="284"/>
      <c r="AN20" s="294" t="str">
        <f t="shared" si="2"/>
        <v>JS3777</v>
      </c>
      <c r="AO20" s="294"/>
    </row>
    <row r="21" spans="1:41" s="296" customFormat="1" ht="18" customHeight="1" x14ac:dyDescent="0.3">
      <c r="A21" s="290" t="s">
        <v>516</v>
      </c>
      <c r="B21" s="290" t="s">
        <v>2988</v>
      </c>
      <c r="C21" s="290" t="s">
        <v>519</v>
      </c>
      <c r="D21" s="290" t="s">
        <v>517</v>
      </c>
      <c r="E21" s="305" t="str">
        <f>'Reference Score Calculation'!E111</f>
        <v>Best 5</v>
      </c>
      <c r="F21" s="323">
        <f>'Reference Score Calculation'!V111</f>
        <v>21.5</v>
      </c>
      <c r="G21" s="294" t="s">
        <v>574</v>
      </c>
      <c r="H21" s="290" t="s">
        <v>577</v>
      </c>
      <c r="I21" s="310" t="str">
        <f>'Reference Score Calculation'!P111</f>
        <v>Best 5</v>
      </c>
      <c r="J21" s="323">
        <f>'Reference Score Calculation'!W111</f>
        <v>21.5</v>
      </c>
      <c r="K21" s="326">
        <f>'Reference Score Calculation'!G111</f>
        <v>184.00000000145002</v>
      </c>
      <c r="L21" s="326">
        <f>'Reference Score Calculation'!H111</f>
        <v>181.00000000144999</v>
      </c>
      <c r="M21" s="332">
        <f>計分版!H132</f>
        <v>2.175E-8</v>
      </c>
      <c r="N21" s="292">
        <f t="shared" si="5"/>
        <v>-183.99999997970002</v>
      </c>
      <c r="O21" s="293">
        <f t="shared" si="6"/>
        <v>-8459770114.0091963</v>
      </c>
      <c r="P21" s="298">
        <f>入學要求!C120</f>
        <v>39</v>
      </c>
      <c r="Q21" s="301">
        <f>入學要求!R120</f>
        <v>0</v>
      </c>
      <c r="R21" s="294"/>
      <c r="S21" s="302">
        <f>入學要求!D120</f>
        <v>3</v>
      </c>
      <c r="T21" s="302">
        <f>入學要求!E120</f>
        <v>3</v>
      </c>
      <c r="U21" s="302">
        <f>入學要求!F120</f>
        <v>2</v>
      </c>
      <c r="V21" s="302">
        <f>入學要求!G120</f>
        <v>2</v>
      </c>
      <c r="W21" s="302">
        <f>入學要求!H120</f>
        <v>3</v>
      </c>
      <c r="X21" s="302">
        <f>入學要求!I120</f>
        <v>3</v>
      </c>
      <c r="Y21" s="576"/>
      <c r="Z21" s="298" t="str" cm="1">
        <f t="array" ref="Z21">IFERROR(IF(Y21="2021年",INDEX('Offer Statistics'!AZ$2:AZ$203,MATCH(1,($A21='Offer Statistics'!$AK$2:$AK$203)*($Y$2='Offer Statistics'!$AL$2:$AL$203),0)),INDEX('Offer Statistics'!AZ$2:AZ$203,MATCH(1,($G21='Offer Statistics'!$AK$2:$AK$203)*($Y$2='Offer Statistics'!$AL$2:$AL$203),0))),"/")</f>
        <v>/</v>
      </c>
      <c r="AA21" s="295" t="str" cm="1">
        <f t="array" ref="AA21">IFERROR(IF(T21="2021年",INDEX('Offer Statistics'!AU$2:AU$203,MATCH(1,($A21='Offer Statistics'!$AK$2:$AK$203)*($Y$2='Offer Statistics'!$AL$2:$AL$203),0)),INDEX('Offer Statistics'!AU$2:AU$203,MATCH(1,($G21='Offer Statistics'!$AK$2:$AK$203)*($Y$2='Offer Statistics'!$AL$2:$AL$203),0))),"/")</f>
        <v>/</v>
      </c>
      <c r="AB21" s="295" t="str" cm="1">
        <f t="array" ref="AB21">IFERROR(IF(U21="2021年",INDEX('Offer Statistics'!AV$2:AV$203,MATCH(1,($A21='Offer Statistics'!$AK$2:$AK$203)*($Y$2='Offer Statistics'!$AL$2:$AL$203),0)),INDEX('Offer Statistics'!AV$2:AV$203,MATCH(1,($G21='Offer Statistics'!$AK$2:$AK$203)*($Y$2='Offer Statistics'!$AL$2:$AL$203),0))),"/")</f>
        <v>/</v>
      </c>
      <c r="AC21" s="295" t="str" cm="1">
        <f t="array" ref="AC21">IFERROR(IF(V21="2021年",INDEX('Offer Statistics'!AW$2:AW$203,MATCH(1,($A21='Offer Statistics'!$AK$2:$AK$203)*($Y$2='Offer Statistics'!$AL$2:$AL$203),0)),INDEX('Offer Statistics'!AW$2:AW$203,MATCH(1,($G21='Offer Statistics'!$AK$2:$AK$203)*($Y$2='Offer Statistics'!$AL$2:$AL$203),0))),"/")</f>
        <v>/</v>
      </c>
      <c r="AD21" s="295" t="str" cm="1">
        <f t="array" ref="AD21">IFERROR(IF(W21="2021年",INDEX('Offer Statistics'!AX$2:AX$203,MATCH(1,($A21='Offer Statistics'!$AK$2:$AK$203)*($Y$2='Offer Statistics'!$AL$2:$AL$203),0)),INDEX('Offer Statistics'!AX$2:AX$203,MATCH(1,($G21='Offer Statistics'!$AK$2:$AK$203)*($Y$2='Offer Statistics'!$AL$2:$AL$203),0))),"/")</f>
        <v>/</v>
      </c>
      <c r="AE21" s="295" t="str" cm="1">
        <f t="array" ref="AE21">IFERROR(IF(X21="2021年",INDEX('Offer Statistics'!AY$2:AY$203,MATCH(1,($A21='Offer Statistics'!$AK$2:$AK$203)*($Y$2='Offer Statistics'!$AL$2:$AL$203),0)),INDEX('Offer Statistics'!AY$2:AY$203,MATCH(1,($G21='Offer Statistics'!$AK$2:$AK$203)*($Y$2='Offer Statistics'!$AL$2:$AL$203),0))),"/")</f>
        <v>/</v>
      </c>
      <c r="AF21" s="580"/>
      <c r="AG21" s="310" t="str" cm="1">
        <f t="array" ref="AG21">IFERROR(IF(Y21="2021年",INDEX('Offer Statistics'!AR$2:AR$203,MATCH(1,($A21='Offer Statistics'!$AK$2:$AK$203)*($Y$2='Offer Statistics'!$AL$2:$AL$203),0)),INDEX('Offer Statistics'!AR$2:AR178,MATCH(1,($G21='Offer Statistics'!$AK$2:$AK$203)*($Y$2='Offer Statistics'!$AL$2:$AL$203),0))),"/")</f>
        <v>/</v>
      </c>
      <c r="AH21" s="295" t="str" cm="1">
        <f t="array" ref="AH21">IFERROR(IF(T21="2021年",INDEX('Offer Statistics'!AM$2:AM$203,MATCH(1,($A21='Offer Statistics'!$AK$2:$AK$203)*($Y$2='Offer Statistics'!$AL$2:$AL$203),0)),INDEX('Offer Statistics'!AM$2:AM178,MATCH(1,($G21='Offer Statistics'!$AK$2:$AK$203)*($Y$2='Offer Statistics'!$AL$2:$AL$203),0))),"/")</f>
        <v>/</v>
      </c>
      <c r="AI21" s="295" t="str" cm="1">
        <f t="array" ref="AI21">IFERROR(IF(U21="2021年",INDEX('Offer Statistics'!AN$2:AN$203,MATCH(1,($A21='Offer Statistics'!$AK$2:$AK$203)*($Y$2='Offer Statistics'!$AL$2:$AL$203),0)),INDEX('Offer Statistics'!AN$2:AN178,MATCH(1,($G21='Offer Statistics'!$AK$2:$AK$203)*($Y$2='Offer Statistics'!$AL$2:$AL$203),0))),"/")</f>
        <v>/</v>
      </c>
      <c r="AJ21" s="295" t="str" cm="1">
        <f t="array" ref="AJ21">IFERROR(IF(V21="2021年",INDEX('Offer Statistics'!AO$2:AO$203,MATCH(1,($A21='Offer Statistics'!$AK$2:$AK$203)*($Y$2='Offer Statistics'!$AL$2:$AL$203),0)),INDEX('Offer Statistics'!AO$2:AO178,MATCH(1,($G21='Offer Statistics'!$AK$2:$AK$203)*($Y$2='Offer Statistics'!$AL$2:$AL$203),0))),"/")</f>
        <v>/</v>
      </c>
      <c r="AK21" s="295" t="str" cm="1">
        <f t="array" ref="AK21">IFERROR(IF(W21="2021年",INDEX('Offer Statistics'!AP$2:AP$203,MATCH(1,($A21='Offer Statistics'!$AK$2:$AK$203)*($Y$2='Offer Statistics'!$AL$2:$AL$203),0)),INDEX('Offer Statistics'!AP$2:AP178,MATCH(1,($G21='Offer Statistics'!$AK$2:$AK$203)*($Y$2='Offer Statistics'!$AL$2:$AL$203),0))),"/")</f>
        <v>/</v>
      </c>
      <c r="AL21" s="295" t="str" cm="1">
        <f t="array" ref="AL21">IFERROR(IF(X21="2021年",INDEX('Offer Statistics'!AQ$2:AQ$203,MATCH(1,($A21='Offer Statistics'!$AK$2:$AK$203)*($Y$2='Offer Statistics'!$AL$2:$AL$203),0)),INDEX('Offer Statistics'!AQ$2:AQ178,MATCH(1,($G21='Offer Statistics'!$AK$2:$AK$203)*($Y$2='Offer Statistics'!$AL$2:$AL$203),0))),"/")</f>
        <v>/</v>
      </c>
      <c r="AM21" s="284"/>
      <c r="AN21" s="313" t="str">
        <f t="shared" si="2"/>
        <v>JS3387</v>
      </c>
      <c r="AO21" s="294" t="str">
        <f>A21</f>
        <v>JS3130</v>
      </c>
    </row>
    <row r="22" spans="1:41" s="303" customFormat="1" ht="18" customHeight="1" x14ac:dyDescent="0.3">
      <c r="A22" s="297" t="s">
        <v>520</v>
      </c>
      <c r="B22" s="297" t="s">
        <v>2585</v>
      </c>
      <c r="C22" s="297" t="s">
        <v>523</v>
      </c>
      <c r="D22" s="297" t="s">
        <v>521</v>
      </c>
      <c r="E22" s="329" t="str">
        <f>'Reference Score Calculation'!E112</f>
        <v>Best 5</v>
      </c>
      <c r="F22" s="324">
        <f>'Reference Score Calculation'!V112</f>
        <v>20.2</v>
      </c>
      <c r="G22" s="302" t="s">
        <v>596</v>
      </c>
      <c r="H22" s="297" t="s">
        <v>598</v>
      </c>
      <c r="I22" s="298" t="str">
        <f>'Reference Score Calculation'!P112</f>
        <v>Best 5</v>
      </c>
      <c r="J22" s="324">
        <f>'Reference Score Calculation'!W112</f>
        <v>20.2</v>
      </c>
      <c r="K22" s="327">
        <f>'Reference Score Calculation'!G112</f>
        <v>178.50000000187001</v>
      </c>
      <c r="L22" s="327">
        <f>'Reference Score Calculation'!H112</f>
        <v>181.00000000207999</v>
      </c>
      <c r="M22" s="333">
        <f>計分版!H133</f>
        <v>2.175E-8</v>
      </c>
      <c r="N22" s="299">
        <f t="shared" si="5"/>
        <v>-178.49999998012001</v>
      </c>
      <c r="O22" s="300">
        <f t="shared" si="6"/>
        <v>-8206896550.8101158</v>
      </c>
      <c r="P22" s="298">
        <f>入學要求!C121</f>
        <v>56</v>
      </c>
      <c r="Q22" s="301">
        <f>入學要求!R121</f>
        <v>0</v>
      </c>
      <c r="R22" s="306"/>
      <c r="S22" s="302">
        <f>入學要求!D121</f>
        <v>3</v>
      </c>
      <c r="T22" s="302">
        <f>入學要求!E121</f>
        <v>3</v>
      </c>
      <c r="U22" s="302">
        <f>入學要求!F121</f>
        <v>2</v>
      </c>
      <c r="V22" s="302">
        <f>入學要求!G121</f>
        <v>2</v>
      </c>
      <c r="W22" s="302">
        <f>入學要求!H121</f>
        <v>3</v>
      </c>
      <c r="X22" s="302">
        <f>入學要求!I121</f>
        <v>3</v>
      </c>
      <c r="Y22" s="576"/>
      <c r="Z22" s="310" t="str" cm="1">
        <f t="array" ref="Z22">IFERROR(IF(Y22="2021年",INDEX('Offer Statistics'!AZ$2:AZ$203,MATCH(1,($A22='Offer Statistics'!$AK$2:$AK$203)*($Y$2='Offer Statistics'!$AL$2:$AL$203),0)),INDEX('Offer Statistics'!AZ$2:AZ$203,MATCH(1,($G22='Offer Statistics'!$AK$2:$AK$203)*($Y$2='Offer Statistics'!$AL$2:$AL$203),0))),"/")</f>
        <v>/</v>
      </c>
      <c r="AA22" s="295" t="str" cm="1">
        <f t="array" ref="AA22">IFERROR(IF(T22="2021年",INDEX('Offer Statistics'!AU$2:AU$203,MATCH(1,($A22='Offer Statistics'!$AK$2:$AK$203)*($Y$2='Offer Statistics'!$AL$2:$AL$203),0)),INDEX('Offer Statistics'!AU$2:AU$203,MATCH(1,($G22='Offer Statistics'!$AK$2:$AK$203)*($Y$2='Offer Statistics'!$AL$2:$AL$203),0))),"/")</f>
        <v>/</v>
      </c>
      <c r="AB22" s="295" t="str" cm="1">
        <f t="array" ref="AB22">IFERROR(IF(U22="2021年",INDEX('Offer Statistics'!AV$2:AV$203,MATCH(1,($A22='Offer Statistics'!$AK$2:$AK$203)*($Y$2='Offer Statistics'!$AL$2:$AL$203),0)),INDEX('Offer Statistics'!AV$2:AV$203,MATCH(1,($G22='Offer Statistics'!$AK$2:$AK$203)*($Y$2='Offer Statistics'!$AL$2:$AL$203),0))),"/")</f>
        <v>/</v>
      </c>
      <c r="AC22" s="295" t="str" cm="1">
        <f t="array" ref="AC22">IFERROR(IF(V22="2021年",INDEX('Offer Statistics'!AW$2:AW$203,MATCH(1,($A22='Offer Statistics'!$AK$2:$AK$203)*($Y$2='Offer Statistics'!$AL$2:$AL$203),0)),INDEX('Offer Statistics'!AW$2:AW$203,MATCH(1,($G22='Offer Statistics'!$AK$2:$AK$203)*($Y$2='Offer Statistics'!$AL$2:$AL$203),0))),"/")</f>
        <v>/</v>
      </c>
      <c r="AD22" s="295" t="str" cm="1">
        <f t="array" ref="AD22">IFERROR(IF(W22="2021年",INDEX('Offer Statistics'!AX$2:AX$203,MATCH(1,($A22='Offer Statistics'!$AK$2:$AK$203)*($Y$2='Offer Statistics'!$AL$2:$AL$203),0)),INDEX('Offer Statistics'!AX$2:AX$203,MATCH(1,($G22='Offer Statistics'!$AK$2:$AK$203)*($Y$2='Offer Statistics'!$AL$2:$AL$203),0))),"/")</f>
        <v>/</v>
      </c>
      <c r="AE22" s="295" t="str" cm="1">
        <f t="array" ref="AE22">IFERROR(IF(X22="2021年",INDEX('Offer Statistics'!AY$2:AY$203,MATCH(1,($A22='Offer Statistics'!$AK$2:$AK$203)*($Y$2='Offer Statistics'!$AL$2:$AL$203),0)),INDEX('Offer Statistics'!AY$2:AY$203,MATCH(1,($G22='Offer Statistics'!$AK$2:$AK$203)*($Y$2='Offer Statistics'!$AL$2:$AL$203),0))),"/")</f>
        <v>/</v>
      </c>
      <c r="AF22" s="580"/>
      <c r="AG22" s="310" t="str" cm="1">
        <f t="array" ref="AG22">IFERROR(IF(Y22="2021年",INDEX('Offer Statistics'!AR$2:AR$203,MATCH(1,($A22='Offer Statistics'!$AK$2:$AK$203)*($Y$2='Offer Statistics'!$AL$2:$AL$203),0)),INDEX('Offer Statistics'!AR$2:AR179,MATCH(1,($G22='Offer Statistics'!$AK$2:$AK$203)*($Y$2='Offer Statistics'!$AL$2:$AL$203),0))),"/")</f>
        <v>/</v>
      </c>
      <c r="AH22" s="295" t="str" cm="1">
        <f t="array" ref="AH22">IFERROR(IF(T22="2021年",INDEX('Offer Statistics'!AM$2:AM$203,MATCH(1,($A22='Offer Statistics'!$AK$2:$AK$203)*($Y$2='Offer Statistics'!$AL$2:$AL$203),0)),INDEX('Offer Statistics'!AM$2:AM179,MATCH(1,($G22='Offer Statistics'!$AK$2:$AK$203)*($Y$2='Offer Statistics'!$AL$2:$AL$203),0))),"/")</f>
        <v>/</v>
      </c>
      <c r="AI22" s="295" t="str" cm="1">
        <f t="array" ref="AI22">IFERROR(IF(U22="2021年",INDEX('Offer Statistics'!AN$2:AN$203,MATCH(1,($A22='Offer Statistics'!$AK$2:$AK$203)*($Y$2='Offer Statistics'!$AL$2:$AL$203),0)),INDEX('Offer Statistics'!AN$2:AN179,MATCH(1,($G22='Offer Statistics'!$AK$2:$AK$203)*($Y$2='Offer Statistics'!$AL$2:$AL$203),0))),"/")</f>
        <v>/</v>
      </c>
      <c r="AJ22" s="295" t="str" cm="1">
        <f t="array" ref="AJ22">IFERROR(IF(V22="2021年",INDEX('Offer Statistics'!AO$2:AO$203,MATCH(1,($A22='Offer Statistics'!$AK$2:$AK$203)*($Y$2='Offer Statistics'!$AL$2:$AL$203),0)),INDEX('Offer Statistics'!AO$2:AO179,MATCH(1,($G22='Offer Statistics'!$AK$2:$AK$203)*($Y$2='Offer Statistics'!$AL$2:$AL$203),0))),"/")</f>
        <v>/</v>
      </c>
      <c r="AK22" s="295" t="str" cm="1">
        <f t="array" ref="AK22">IFERROR(IF(W22="2021年",INDEX('Offer Statistics'!AP$2:AP$203,MATCH(1,($A22='Offer Statistics'!$AK$2:$AK$203)*($Y$2='Offer Statistics'!$AL$2:$AL$203),0)),INDEX('Offer Statistics'!AP$2:AP179,MATCH(1,($G22='Offer Statistics'!$AK$2:$AK$203)*($Y$2='Offer Statistics'!$AL$2:$AL$203),0))),"/")</f>
        <v>/</v>
      </c>
      <c r="AL22" s="295" t="str" cm="1">
        <f t="array" ref="AL22">IFERROR(IF(X22="2021年",INDEX('Offer Statistics'!AQ$2:AQ$203,MATCH(1,($A22='Offer Statistics'!$AK$2:$AK$203)*($Y$2='Offer Statistics'!$AL$2:$AL$203),0)),INDEX('Offer Statistics'!AQ$2:AQ179,MATCH(1,($G22='Offer Statistics'!$AK$2:$AK$203)*($Y$2='Offer Statistics'!$AL$2:$AL$203),0))),"/")</f>
        <v>/</v>
      </c>
      <c r="AM22" s="284"/>
      <c r="AN22" s="302" t="str">
        <f t="shared" si="2"/>
        <v>JS3507</v>
      </c>
      <c r="AO22" s="302" t="str">
        <f>A22</f>
        <v>JS3140</v>
      </c>
    </row>
    <row r="23" spans="1:41" s="296" customFormat="1" ht="18" customHeight="1" x14ac:dyDescent="0.3">
      <c r="A23" s="290" t="s">
        <v>524</v>
      </c>
      <c r="B23" s="290" t="s">
        <v>2585</v>
      </c>
      <c r="C23" s="290" t="s">
        <v>527</v>
      </c>
      <c r="D23" s="290" t="s">
        <v>525</v>
      </c>
      <c r="E23" s="305" t="str">
        <f>'Reference Score Calculation'!E113</f>
        <v>Best 5</v>
      </c>
      <c r="F23" s="323">
        <f>'Reference Score Calculation'!V113</f>
        <v>23.6</v>
      </c>
      <c r="G23" s="294" t="s">
        <v>627</v>
      </c>
      <c r="H23" s="290" t="s">
        <v>629</v>
      </c>
      <c r="I23" s="310" t="str">
        <f>'Reference Score Calculation'!P113</f>
        <v>Best 5</v>
      </c>
      <c r="J23" s="323">
        <f>'Reference Score Calculation'!W113</f>
        <v>23.6</v>
      </c>
      <c r="K23" s="326">
        <f>'Reference Score Calculation'!G113</f>
        <v>243.50000000253999</v>
      </c>
      <c r="L23" s="326">
        <f>'Reference Score Calculation'!H113</f>
        <v>200.00000000289998</v>
      </c>
      <c r="M23" s="332">
        <f>計分版!H134</f>
        <v>2.175E-8</v>
      </c>
      <c r="N23" s="292">
        <f t="shared" si="5"/>
        <v>-243.49999998078999</v>
      </c>
      <c r="O23" s="293">
        <f t="shared" si="6"/>
        <v>-11195402297.967356</v>
      </c>
      <c r="P23" s="298">
        <f>入學要求!C122</f>
        <v>24</v>
      </c>
      <c r="Q23" s="301">
        <f>入學要求!R122</f>
        <v>0</v>
      </c>
      <c r="R23" s="294"/>
      <c r="S23" s="302">
        <f>入學要求!D122</f>
        <v>3</v>
      </c>
      <c r="T23" s="302">
        <f>入學要求!E122</f>
        <v>3</v>
      </c>
      <c r="U23" s="302">
        <f>入學要求!F122</f>
        <v>2</v>
      </c>
      <c r="V23" s="302">
        <f>入學要求!G122</f>
        <v>2</v>
      </c>
      <c r="W23" s="302">
        <f>入學要求!H122</f>
        <v>3</v>
      </c>
      <c r="X23" s="302">
        <f>入學要求!I122</f>
        <v>3</v>
      </c>
      <c r="Y23" s="576"/>
      <c r="Z23" s="310" t="str" cm="1">
        <f t="array" ref="Z23">IFERROR(IF(Y23="2021年",INDEX('Offer Statistics'!AZ$2:AZ$203,MATCH(1,($A23='Offer Statistics'!$AK$2:$AK$203)*($Y$2='Offer Statistics'!$AL$2:$AL$203),0)),INDEX('Offer Statistics'!AZ$2:AZ$203,MATCH(1,($G23='Offer Statistics'!$AK$2:$AK$203)*($Y$2='Offer Statistics'!$AL$2:$AL$203),0))),"/")</f>
        <v>/</v>
      </c>
      <c r="AA23" s="295" t="str" cm="1">
        <f t="array" ref="AA23">IFERROR(IF(T23="2021年",INDEX('Offer Statistics'!AU$2:AU$203,MATCH(1,($A23='Offer Statistics'!$AK$2:$AK$203)*($Y$2='Offer Statistics'!$AL$2:$AL$203),0)),INDEX('Offer Statistics'!AU$2:AU$203,MATCH(1,($G23='Offer Statistics'!$AK$2:$AK$203)*($Y$2='Offer Statistics'!$AL$2:$AL$203),0))),"/")</f>
        <v>/</v>
      </c>
      <c r="AB23" s="295" t="str" cm="1">
        <f t="array" ref="AB23">IFERROR(IF(U23="2021年",INDEX('Offer Statistics'!AV$2:AV$203,MATCH(1,($A23='Offer Statistics'!$AK$2:$AK$203)*($Y$2='Offer Statistics'!$AL$2:$AL$203),0)),INDEX('Offer Statistics'!AV$2:AV$203,MATCH(1,($G23='Offer Statistics'!$AK$2:$AK$203)*($Y$2='Offer Statistics'!$AL$2:$AL$203),0))),"/")</f>
        <v>/</v>
      </c>
      <c r="AC23" s="295" t="str" cm="1">
        <f t="array" ref="AC23">IFERROR(IF(V23="2021年",INDEX('Offer Statistics'!AW$2:AW$203,MATCH(1,($A23='Offer Statistics'!$AK$2:$AK$203)*($Y$2='Offer Statistics'!$AL$2:$AL$203),0)),INDEX('Offer Statistics'!AW$2:AW$203,MATCH(1,($G23='Offer Statistics'!$AK$2:$AK$203)*($Y$2='Offer Statistics'!$AL$2:$AL$203),0))),"/")</f>
        <v>/</v>
      </c>
      <c r="AD23" s="295" t="str" cm="1">
        <f t="array" ref="AD23">IFERROR(IF(W23="2021年",INDEX('Offer Statistics'!AX$2:AX$203,MATCH(1,($A23='Offer Statistics'!$AK$2:$AK$203)*($Y$2='Offer Statistics'!$AL$2:$AL$203),0)),INDEX('Offer Statistics'!AX$2:AX$203,MATCH(1,($G23='Offer Statistics'!$AK$2:$AK$203)*($Y$2='Offer Statistics'!$AL$2:$AL$203),0))),"/")</f>
        <v>/</v>
      </c>
      <c r="AE23" s="295" t="str" cm="1">
        <f t="array" ref="AE23">IFERROR(IF(X23="2021年",INDEX('Offer Statistics'!AY$2:AY$203,MATCH(1,($A23='Offer Statistics'!$AK$2:$AK$203)*($Y$2='Offer Statistics'!$AL$2:$AL$203),0)),INDEX('Offer Statistics'!AY$2:AY$203,MATCH(1,($G23='Offer Statistics'!$AK$2:$AK$203)*($Y$2='Offer Statistics'!$AL$2:$AL$203),0))),"/")</f>
        <v>/</v>
      </c>
      <c r="AF23" s="580"/>
      <c r="AG23" s="310" t="str" cm="1">
        <f t="array" ref="AG23">IFERROR(IF(Y23="2021年",INDEX('Offer Statistics'!AR$2:AR$203,MATCH(1,($A23='Offer Statistics'!$AK$2:$AK$203)*($Y$2='Offer Statistics'!$AL$2:$AL$203),0)),INDEX('Offer Statistics'!AR$2:AR180,MATCH(1,($G23='Offer Statistics'!$AK$2:$AK$203)*($Y$2='Offer Statistics'!$AL$2:$AL$203),0))),"/")</f>
        <v>/</v>
      </c>
      <c r="AH23" s="295" t="str" cm="1">
        <f t="array" ref="AH23">IFERROR(IF(T23="2021年",INDEX('Offer Statistics'!AM$2:AM$203,MATCH(1,($A23='Offer Statistics'!$AK$2:$AK$203)*($Y$2='Offer Statistics'!$AL$2:$AL$203),0)),INDEX('Offer Statistics'!AM$2:AM180,MATCH(1,($G23='Offer Statistics'!$AK$2:$AK$203)*($Y$2='Offer Statistics'!$AL$2:$AL$203),0))),"/")</f>
        <v>/</v>
      </c>
      <c r="AI23" s="295" t="str" cm="1">
        <f t="array" ref="AI23">IFERROR(IF(U23="2021年",INDEX('Offer Statistics'!AN$2:AN$203,MATCH(1,($A23='Offer Statistics'!$AK$2:$AK$203)*($Y$2='Offer Statistics'!$AL$2:$AL$203),0)),INDEX('Offer Statistics'!AN$2:AN180,MATCH(1,($G23='Offer Statistics'!$AK$2:$AK$203)*($Y$2='Offer Statistics'!$AL$2:$AL$203),0))),"/")</f>
        <v>/</v>
      </c>
      <c r="AJ23" s="295" t="str" cm="1">
        <f t="array" ref="AJ23">IFERROR(IF(V23="2021年",INDEX('Offer Statistics'!AO$2:AO$203,MATCH(1,($A23='Offer Statistics'!$AK$2:$AK$203)*($Y$2='Offer Statistics'!$AL$2:$AL$203),0)),INDEX('Offer Statistics'!AO$2:AO180,MATCH(1,($G23='Offer Statistics'!$AK$2:$AK$203)*($Y$2='Offer Statistics'!$AL$2:$AL$203),0))),"/")</f>
        <v>/</v>
      </c>
      <c r="AK23" s="295" t="str" cm="1">
        <f t="array" ref="AK23">IFERROR(IF(W23="2021年",INDEX('Offer Statistics'!AP$2:AP$203,MATCH(1,($A23='Offer Statistics'!$AK$2:$AK$203)*($Y$2='Offer Statistics'!$AL$2:$AL$203),0)),INDEX('Offer Statistics'!AP$2:AP180,MATCH(1,($G23='Offer Statistics'!$AK$2:$AK$203)*($Y$2='Offer Statistics'!$AL$2:$AL$203),0))),"/")</f>
        <v>/</v>
      </c>
      <c r="AL23" s="295" t="str" cm="1">
        <f t="array" ref="AL23">IFERROR(IF(X23="2021年",INDEX('Offer Statistics'!AQ$2:AQ$203,MATCH(1,($A23='Offer Statistics'!$AK$2:$AK$203)*($Y$2='Offer Statistics'!$AL$2:$AL$203),0)),INDEX('Offer Statistics'!AQ$2:AQ180,MATCH(1,($G23='Offer Statistics'!$AK$2:$AK$203)*($Y$2='Offer Statistics'!$AL$2:$AL$203),0))),"/")</f>
        <v>/</v>
      </c>
      <c r="AM23" s="284"/>
      <c r="AN23" s="302" t="str">
        <f t="shared" si="2"/>
        <v>JS3600</v>
      </c>
      <c r="AO23" s="294" t="str">
        <f>A23</f>
        <v>JS3150</v>
      </c>
    </row>
    <row r="24" spans="1:41" ht="18" customHeight="1" x14ac:dyDescent="0.3">
      <c r="A24" s="252" t="s">
        <v>528</v>
      </c>
      <c r="B24" s="252" t="s">
        <v>2585</v>
      </c>
      <c r="C24" s="4" t="s">
        <v>531</v>
      </c>
      <c r="D24" s="252" t="s">
        <v>529</v>
      </c>
      <c r="E24" s="62" t="str">
        <f>'Reference Score Calculation'!E114</f>
        <v>Best 5</v>
      </c>
      <c r="F24" s="322">
        <f>'Reference Score Calculation'!V114</f>
        <v>19.5</v>
      </c>
      <c r="G24" s="256" t="s">
        <v>566</v>
      </c>
      <c r="H24" s="4" t="s">
        <v>569</v>
      </c>
      <c r="I24" s="309" t="str">
        <f>'Reference Score Calculation'!P114</f>
        <v>Best 5</v>
      </c>
      <c r="J24" s="322">
        <f>'Reference Score Calculation'!W114</f>
        <v>18.2</v>
      </c>
      <c r="K24" s="34">
        <f>'Reference Score Calculation'!G114</f>
        <v>168.00000000207999</v>
      </c>
      <c r="L24" s="34">
        <f>'Reference Score Calculation'!H114</f>
        <v>161.00000000207999</v>
      </c>
      <c r="M24" s="331">
        <f>計分版!H135</f>
        <v>2.175E-8</v>
      </c>
      <c r="N24" s="25">
        <f t="shared" si="5"/>
        <v>-167.99999998032999</v>
      </c>
      <c r="O24" s="26">
        <f t="shared" si="6"/>
        <v>-7724137930.1301146</v>
      </c>
      <c r="P24" s="591">
        <f>入學要求!C123</f>
        <v>61</v>
      </c>
      <c r="Q24" s="590">
        <f>入學要求!R123</f>
        <v>0</v>
      </c>
      <c r="R24" s="101"/>
      <c r="S24" s="581">
        <f>入學要求!D123</f>
        <v>3</v>
      </c>
      <c r="T24" s="581">
        <f>入學要求!E123</f>
        <v>3</v>
      </c>
      <c r="U24" s="581">
        <f>入學要求!F123</f>
        <v>2</v>
      </c>
      <c r="V24" s="581">
        <f>入學要求!G123</f>
        <v>2</v>
      </c>
      <c r="W24" s="581">
        <f>入學要求!H123</f>
        <v>3</v>
      </c>
      <c r="X24" s="581">
        <f>入學要求!I123</f>
        <v>3</v>
      </c>
      <c r="Y24" s="576"/>
      <c r="Z24" s="318" t="str" cm="1">
        <f t="array" ref="Z24">IFERROR(IF(Y24="2021年",INDEX('Offer Statistics'!AZ$2:AZ$203,MATCH(1,($A24='Offer Statistics'!$AK$2:$AK$203)*($Y$2='Offer Statistics'!$AL$2:$AL$203),0)),INDEX('Offer Statistics'!AZ$2:AZ$203,MATCH(1,($G24='Offer Statistics'!$AK$2:$AK$203)*($Y$2='Offer Statistics'!$AL$2:$AL$203),0))),"/")</f>
        <v>/</v>
      </c>
      <c r="AA24" s="321" t="str" cm="1">
        <f t="array" ref="AA24">IFERROR(IF(T24="2021年",INDEX('Offer Statistics'!AU$2:AU$203,MATCH(1,($A24='Offer Statistics'!$AK$2:$AK$203)*($Y$2='Offer Statistics'!$AL$2:$AL$203),0)),INDEX('Offer Statistics'!AU$2:AU$203,MATCH(1,($G24='Offer Statistics'!$AK$2:$AK$203)*($Y$2='Offer Statistics'!$AL$2:$AL$203),0))),"/")</f>
        <v>/</v>
      </c>
      <c r="AB24" s="321" t="str" cm="1">
        <f t="array" ref="AB24">IFERROR(IF(U24="2021年",INDEX('Offer Statistics'!AV$2:AV$203,MATCH(1,($A24='Offer Statistics'!$AK$2:$AK$203)*($Y$2='Offer Statistics'!$AL$2:$AL$203),0)),INDEX('Offer Statistics'!AV$2:AV$203,MATCH(1,($G24='Offer Statistics'!$AK$2:$AK$203)*($Y$2='Offer Statistics'!$AL$2:$AL$203),0))),"/")</f>
        <v>/</v>
      </c>
      <c r="AC24" s="321" t="str" cm="1">
        <f t="array" ref="AC24">IFERROR(IF(V24="2021年",INDEX('Offer Statistics'!AW$2:AW$203,MATCH(1,($A24='Offer Statistics'!$AK$2:$AK$203)*($Y$2='Offer Statistics'!$AL$2:$AL$203),0)),INDEX('Offer Statistics'!AW$2:AW$203,MATCH(1,($G24='Offer Statistics'!$AK$2:$AK$203)*($Y$2='Offer Statistics'!$AL$2:$AL$203),0))),"/")</f>
        <v>/</v>
      </c>
      <c r="AD24" s="321" t="str" cm="1">
        <f t="array" ref="AD24">IFERROR(IF(W24="2021年",INDEX('Offer Statistics'!AX$2:AX$203,MATCH(1,($A24='Offer Statistics'!$AK$2:$AK$203)*($Y$2='Offer Statistics'!$AL$2:$AL$203),0)),INDEX('Offer Statistics'!AX$2:AX$203,MATCH(1,($G24='Offer Statistics'!$AK$2:$AK$203)*($Y$2='Offer Statistics'!$AL$2:$AL$203),0))),"/")</f>
        <v>/</v>
      </c>
      <c r="AE24" s="321" t="str" cm="1">
        <f t="array" ref="AE24">IFERROR(IF(X24="2021年",INDEX('Offer Statistics'!AY$2:AY$203,MATCH(1,($A24='Offer Statistics'!$AK$2:$AK$203)*($Y$2='Offer Statistics'!$AL$2:$AL$203),0)),INDEX('Offer Statistics'!AY$2:AY$203,MATCH(1,($G24='Offer Statistics'!$AK$2:$AK$203)*($Y$2='Offer Statistics'!$AL$2:$AL$203),0))),"/")</f>
        <v>/</v>
      </c>
      <c r="AF24" s="580"/>
      <c r="AG24" s="318" t="str" cm="1">
        <f t="array" ref="AG24">IFERROR(IF(Y24="2021年",INDEX('Offer Statistics'!AR$2:AR$203,MATCH(1,($A24='Offer Statistics'!$AK$2:$AK$203)*($Y$2='Offer Statistics'!$AL$2:$AL$203),0)),INDEX('Offer Statistics'!AR$2:AR181,MATCH(1,($G24='Offer Statistics'!$AK$2:$AK$203)*($Y$2='Offer Statistics'!$AL$2:$AL$203),0))),"/")</f>
        <v>/</v>
      </c>
      <c r="AH24" s="321" t="str" cm="1">
        <f t="array" ref="AH24">IFERROR(IF(T24="2021年",INDEX('Offer Statistics'!AM$2:AM$203,MATCH(1,($A24='Offer Statistics'!$AK$2:$AK$203)*($Y$2='Offer Statistics'!$AL$2:$AL$203),0)),INDEX('Offer Statistics'!AM$2:AM181,MATCH(1,($G24='Offer Statistics'!$AK$2:$AK$203)*($Y$2='Offer Statistics'!$AL$2:$AL$203),0))),"/")</f>
        <v>/</v>
      </c>
      <c r="AI24" s="321" t="str" cm="1">
        <f t="array" ref="AI24">IFERROR(IF(U24="2021年",INDEX('Offer Statistics'!AN$2:AN$203,MATCH(1,($A24='Offer Statistics'!$AK$2:$AK$203)*($Y$2='Offer Statistics'!$AL$2:$AL$203),0)),INDEX('Offer Statistics'!AN$2:AN181,MATCH(1,($G24='Offer Statistics'!$AK$2:$AK$203)*($Y$2='Offer Statistics'!$AL$2:$AL$203),0))),"/")</f>
        <v>/</v>
      </c>
      <c r="AJ24" s="321" t="str" cm="1">
        <f t="array" ref="AJ24">IFERROR(IF(V24="2021年",INDEX('Offer Statistics'!AO$2:AO$203,MATCH(1,($A24='Offer Statistics'!$AK$2:$AK$203)*($Y$2='Offer Statistics'!$AL$2:$AL$203),0)),INDEX('Offer Statistics'!AO$2:AO181,MATCH(1,($G24='Offer Statistics'!$AK$2:$AK$203)*($Y$2='Offer Statistics'!$AL$2:$AL$203),0))),"/")</f>
        <v>/</v>
      </c>
      <c r="AK24" s="321" t="str" cm="1">
        <f t="array" ref="AK24">IFERROR(IF(W24="2021年",INDEX('Offer Statistics'!AP$2:AP$203,MATCH(1,($A24='Offer Statistics'!$AK$2:$AK$203)*($Y$2='Offer Statistics'!$AL$2:$AL$203),0)),INDEX('Offer Statistics'!AP$2:AP181,MATCH(1,($G24='Offer Statistics'!$AK$2:$AK$203)*($Y$2='Offer Statistics'!$AL$2:$AL$203),0))),"/")</f>
        <v>/</v>
      </c>
      <c r="AL24" s="321" t="str" cm="1">
        <f t="array" ref="AL24">IFERROR(IF(X24="2021年",INDEX('Offer Statistics'!AQ$2:AQ$203,MATCH(1,($A24='Offer Statistics'!$AK$2:$AK$203)*($Y$2='Offer Statistics'!$AL$2:$AL$203),0)),INDEX('Offer Statistics'!AQ$2:AQ181,MATCH(1,($G24='Offer Statistics'!$AK$2:$AK$203)*($Y$2='Offer Statistics'!$AL$2:$AL$203),0))),"/")</f>
        <v>/</v>
      </c>
      <c r="AM24" s="284"/>
      <c r="AN24" s="313" t="str">
        <f t="shared" si="2"/>
        <v>JS3351</v>
      </c>
      <c r="AO24" s="15" t="str">
        <f>A24</f>
        <v>JS3170</v>
      </c>
    </row>
    <row r="25" spans="1:41" s="296" customFormat="1" ht="18" customHeight="1" x14ac:dyDescent="0.3">
      <c r="A25" s="290"/>
      <c r="B25" s="290"/>
      <c r="C25" s="290"/>
      <c r="D25" s="290"/>
      <c r="E25" s="305" t="str">
        <f>'Reference Score Calculation'!E115</f>
        <v/>
      </c>
      <c r="F25" s="323" t="str">
        <f>'Reference Score Calculation'!V115</f>
        <v/>
      </c>
      <c r="G25" s="294" t="s">
        <v>669</v>
      </c>
      <c r="H25" s="290" t="s">
        <v>671</v>
      </c>
      <c r="I25" s="310" t="str">
        <f>'Reference Score Calculation'!P115</f>
        <v>Best 5</v>
      </c>
      <c r="J25" s="323">
        <f>'Reference Score Calculation'!W115</f>
        <v>20.2</v>
      </c>
      <c r="K25" s="326">
        <f>'Reference Score Calculation'!G115</f>
        <v>183.00000000187001</v>
      </c>
      <c r="L25" s="326">
        <f>'Reference Score Calculation'!H115</f>
        <v>168.50000000187001</v>
      </c>
      <c r="M25" s="332">
        <f>計分版!H136</f>
        <v>2.175E-8</v>
      </c>
      <c r="N25" s="292">
        <f t="shared" si="5"/>
        <v>-182.99999998012001</v>
      </c>
      <c r="O25" s="293">
        <f t="shared" si="6"/>
        <v>-8413793102.5342531</v>
      </c>
      <c r="P25" s="584"/>
      <c r="Q25" s="589"/>
      <c r="R25" s="304"/>
      <c r="S25" s="582"/>
      <c r="T25" s="582"/>
      <c r="U25" s="582"/>
      <c r="V25" s="582"/>
      <c r="W25" s="582"/>
      <c r="X25" s="582"/>
      <c r="Y25" s="576"/>
      <c r="Z25" s="309" t="str" cm="1">
        <f t="array" ref="Z25">IFERROR(IF(Y25="2021年",INDEX('Offer Statistics'!AZ$2:AZ$203,MATCH(1,($A25='Offer Statistics'!$AK$2:$AK$203)*($Y$2='Offer Statistics'!$AL$2:$AL$203),0)),INDEX('Offer Statistics'!AZ$2:AZ$203,MATCH(1,($G25='Offer Statistics'!$AK$2:$AK$203)*($Y$2='Offer Statistics'!$AL$2:$AL$203),0))),"/")</f>
        <v>/</v>
      </c>
      <c r="AA25" s="295" t="str" cm="1">
        <f t="array" ref="AA25">IFERROR(IF(T25="2021年",INDEX('Offer Statistics'!AU$2:AU$203,MATCH(1,($A25='Offer Statistics'!$AK$2:$AK$203)*($Y$2='Offer Statistics'!$AL$2:$AL$203),0)),INDEX('Offer Statistics'!AU$2:AU$203,MATCH(1,($G25='Offer Statistics'!$AK$2:$AK$203)*($Y$2='Offer Statistics'!$AL$2:$AL$203),0))),"/")</f>
        <v>/</v>
      </c>
      <c r="AB25" s="295" t="str" cm="1">
        <f t="array" ref="AB25">IFERROR(IF(U25="2021年",INDEX('Offer Statistics'!AV$2:AV$203,MATCH(1,($A25='Offer Statistics'!$AK$2:$AK$203)*($Y$2='Offer Statistics'!$AL$2:$AL$203),0)),INDEX('Offer Statistics'!AV$2:AV$203,MATCH(1,($G25='Offer Statistics'!$AK$2:$AK$203)*($Y$2='Offer Statistics'!$AL$2:$AL$203),0))),"/")</f>
        <v>/</v>
      </c>
      <c r="AC25" s="295" t="str" cm="1">
        <f t="array" ref="AC25">IFERROR(IF(V25="2021年",INDEX('Offer Statistics'!AW$2:AW$203,MATCH(1,($A25='Offer Statistics'!$AK$2:$AK$203)*($Y$2='Offer Statistics'!$AL$2:$AL$203),0)),INDEX('Offer Statistics'!AW$2:AW$203,MATCH(1,($G25='Offer Statistics'!$AK$2:$AK$203)*($Y$2='Offer Statistics'!$AL$2:$AL$203),0))),"/")</f>
        <v>/</v>
      </c>
      <c r="AD25" s="295" t="str" cm="1">
        <f t="array" ref="AD25">IFERROR(IF(W25="2021年",INDEX('Offer Statistics'!AX$2:AX$203,MATCH(1,($A25='Offer Statistics'!$AK$2:$AK$203)*($Y$2='Offer Statistics'!$AL$2:$AL$203),0)),INDEX('Offer Statistics'!AX$2:AX$203,MATCH(1,($G25='Offer Statistics'!$AK$2:$AK$203)*($Y$2='Offer Statistics'!$AL$2:$AL$203),0))),"/")</f>
        <v>/</v>
      </c>
      <c r="AE25" s="295" t="str" cm="1">
        <f t="array" ref="AE25">IFERROR(IF(X25="2021年",INDEX('Offer Statistics'!AY$2:AY$203,MATCH(1,($A25='Offer Statistics'!$AK$2:$AK$203)*($Y$2='Offer Statistics'!$AL$2:$AL$203),0)),INDEX('Offer Statistics'!AY$2:AY$203,MATCH(1,($G25='Offer Statistics'!$AK$2:$AK$203)*($Y$2='Offer Statistics'!$AL$2:$AL$203),0))),"/")</f>
        <v>/</v>
      </c>
      <c r="AF25" s="580"/>
      <c r="AG25" s="310" t="str" cm="1">
        <f t="array" ref="AG25">IFERROR(IF(Y25="2021年",INDEX('Offer Statistics'!AR$2:AR$203,MATCH(1,($A25='Offer Statistics'!$AK$2:$AK$203)*($Y$2='Offer Statistics'!$AL$2:$AL$203),0)),INDEX('Offer Statistics'!AR$2:AR182,MATCH(1,($G25='Offer Statistics'!$AK$2:$AK$203)*($Y$2='Offer Statistics'!$AL$2:$AL$203),0))),"/")</f>
        <v>/</v>
      </c>
      <c r="AH25" s="295" t="str" cm="1">
        <f t="array" ref="AH25">IFERROR(IF(T25="2021年",INDEX('Offer Statistics'!AM$2:AM$203,MATCH(1,($A25='Offer Statistics'!$AK$2:$AK$203)*($Y$2='Offer Statistics'!$AL$2:$AL$203),0)),INDEX('Offer Statistics'!AM$2:AM182,MATCH(1,($G25='Offer Statistics'!$AK$2:$AK$203)*($Y$2='Offer Statistics'!$AL$2:$AL$203),0))),"/")</f>
        <v>/</v>
      </c>
      <c r="AI25" s="295" t="str" cm="1">
        <f t="array" ref="AI25">IFERROR(IF(U25="2021年",INDEX('Offer Statistics'!AN$2:AN$203,MATCH(1,($A25='Offer Statistics'!$AK$2:$AK$203)*($Y$2='Offer Statistics'!$AL$2:$AL$203),0)),INDEX('Offer Statistics'!AN$2:AN182,MATCH(1,($G25='Offer Statistics'!$AK$2:$AK$203)*($Y$2='Offer Statistics'!$AL$2:$AL$203),0))),"/")</f>
        <v>/</v>
      </c>
      <c r="AJ25" s="295" t="str" cm="1">
        <f t="array" ref="AJ25">IFERROR(IF(V25="2021年",INDEX('Offer Statistics'!AO$2:AO$203,MATCH(1,($A25='Offer Statistics'!$AK$2:$AK$203)*($Y$2='Offer Statistics'!$AL$2:$AL$203),0)),INDEX('Offer Statistics'!AO$2:AO182,MATCH(1,($G25='Offer Statistics'!$AK$2:$AK$203)*($Y$2='Offer Statistics'!$AL$2:$AL$203),0))),"/")</f>
        <v>/</v>
      </c>
      <c r="AK25" s="295" t="str" cm="1">
        <f t="array" ref="AK25">IFERROR(IF(W25="2021年",INDEX('Offer Statistics'!AP$2:AP$203,MATCH(1,($A25='Offer Statistics'!$AK$2:$AK$203)*($Y$2='Offer Statistics'!$AL$2:$AL$203),0)),INDEX('Offer Statistics'!AP$2:AP182,MATCH(1,($G25='Offer Statistics'!$AK$2:$AK$203)*($Y$2='Offer Statistics'!$AL$2:$AL$203),0))),"/")</f>
        <v>/</v>
      </c>
      <c r="AL25" s="295" t="str" cm="1">
        <f t="array" ref="AL25">IFERROR(IF(X25="2021年",INDEX('Offer Statistics'!AQ$2:AQ$203,MATCH(1,($A25='Offer Statistics'!$AK$2:$AK$203)*($Y$2='Offer Statistics'!$AL$2:$AL$203),0)),INDEX('Offer Statistics'!AQ$2:AQ182,MATCH(1,($G25='Offer Statistics'!$AK$2:$AK$203)*($Y$2='Offer Statistics'!$AL$2:$AL$203),0))),"/")</f>
        <v>/</v>
      </c>
      <c r="AM25" s="284"/>
      <c r="AN25" s="313" t="str">
        <f t="shared" si="2"/>
        <v>JS3715</v>
      </c>
      <c r="AO25" s="294"/>
    </row>
    <row r="26" spans="1:41" ht="18" customHeight="1" x14ac:dyDescent="0.3">
      <c r="A26" s="252" t="s">
        <v>532</v>
      </c>
      <c r="B26" s="252" t="s">
        <v>2585</v>
      </c>
      <c r="C26" s="4" t="s">
        <v>535</v>
      </c>
      <c r="D26" s="252" t="s">
        <v>533</v>
      </c>
      <c r="E26" s="62" t="str">
        <f>'Reference Score Calculation'!E116</f>
        <v>Best 5</v>
      </c>
      <c r="F26" s="322">
        <f>'Reference Score Calculation'!V116</f>
        <v>19.7</v>
      </c>
      <c r="G26" s="256" t="s">
        <v>599</v>
      </c>
      <c r="H26" s="4" t="s">
        <v>602</v>
      </c>
      <c r="I26" s="309" t="str">
        <f>'Reference Score Calculation'!P116</f>
        <v>Best 5</v>
      </c>
      <c r="J26" s="322">
        <f>'Reference Score Calculation'!W116</f>
        <v>20.3</v>
      </c>
      <c r="K26" s="34">
        <f>'Reference Score Calculation'!G116</f>
        <v>180.00000000229997</v>
      </c>
      <c r="L26" s="34">
        <f>'Reference Score Calculation'!H116</f>
        <v>171.00000000207999</v>
      </c>
      <c r="M26" s="331">
        <f>計分版!H137</f>
        <v>2.175E-8</v>
      </c>
      <c r="N26" s="25">
        <f t="shared" si="5"/>
        <v>-179.99999998054997</v>
      </c>
      <c r="O26" s="26">
        <f t="shared" si="6"/>
        <v>-8275862068.0712633</v>
      </c>
      <c r="P26" s="591">
        <f>入學要求!C125</f>
        <v>68</v>
      </c>
      <c r="Q26" s="590">
        <f>入學要求!R125</f>
        <v>0</v>
      </c>
      <c r="R26" s="101"/>
      <c r="S26" s="581">
        <f>入學要求!D125</f>
        <v>3</v>
      </c>
      <c r="T26" s="581">
        <f>入學要求!E125</f>
        <v>3</v>
      </c>
      <c r="U26" s="581">
        <f>入學要求!F125</f>
        <v>2</v>
      </c>
      <c r="V26" s="581">
        <f>入學要求!G125</f>
        <v>2</v>
      </c>
      <c r="W26" s="581">
        <f>入學要求!H125</f>
        <v>3</v>
      </c>
      <c r="X26" s="581">
        <f>入學要求!I125</f>
        <v>3</v>
      </c>
      <c r="Y26" s="576"/>
      <c r="Z26" s="318" t="str" cm="1">
        <f t="array" ref="Z26">IFERROR(IF(Y26="2021年",INDEX('Offer Statistics'!AZ$2:AZ$203,MATCH(1,($A26='Offer Statistics'!$AK$2:$AK$203)*($Y$2='Offer Statistics'!$AL$2:$AL$203),0)),INDEX('Offer Statistics'!AZ$2:AZ$203,MATCH(1,($G26='Offer Statistics'!$AK$2:$AK$203)*($Y$2='Offer Statistics'!$AL$2:$AL$203),0))),"/")</f>
        <v>/</v>
      </c>
      <c r="AA26" s="321" t="str" cm="1">
        <f t="array" ref="AA26">IFERROR(IF(T26="2021年",INDEX('Offer Statistics'!AU$2:AU$203,MATCH(1,($A26='Offer Statistics'!$AK$2:$AK$203)*($Y$2='Offer Statistics'!$AL$2:$AL$203),0)),INDEX('Offer Statistics'!AU$2:AU$203,MATCH(1,($G26='Offer Statistics'!$AK$2:$AK$203)*($Y$2='Offer Statistics'!$AL$2:$AL$203),0))),"/")</f>
        <v>/</v>
      </c>
      <c r="AB26" s="321" t="str" cm="1">
        <f t="array" ref="AB26">IFERROR(IF(U26="2021年",INDEX('Offer Statistics'!AV$2:AV$203,MATCH(1,($A26='Offer Statistics'!$AK$2:$AK$203)*($Y$2='Offer Statistics'!$AL$2:$AL$203),0)),INDEX('Offer Statistics'!AV$2:AV$203,MATCH(1,($G26='Offer Statistics'!$AK$2:$AK$203)*($Y$2='Offer Statistics'!$AL$2:$AL$203),0))),"/")</f>
        <v>/</v>
      </c>
      <c r="AC26" s="321" t="str" cm="1">
        <f t="array" ref="AC26">IFERROR(IF(V26="2021年",INDEX('Offer Statistics'!AW$2:AW$203,MATCH(1,($A26='Offer Statistics'!$AK$2:$AK$203)*($Y$2='Offer Statistics'!$AL$2:$AL$203),0)),INDEX('Offer Statistics'!AW$2:AW$203,MATCH(1,($G26='Offer Statistics'!$AK$2:$AK$203)*($Y$2='Offer Statistics'!$AL$2:$AL$203),0))),"/")</f>
        <v>/</v>
      </c>
      <c r="AD26" s="321" t="str" cm="1">
        <f t="array" ref="AD26">IFERROR(IF(W26="2021年",INDEX('Offer Statistics'!AX$2:AX$203,MATCH(1,($A26='Offer Statistics'!$AK$2:$AK$203)*($Y$2='Offer Statistics'!$AL$2:$AL$203),0)),INDEX('Offer Statistics'!AX$2:AX$203,MATCH(1,($G26='Offer Statistics'!$AK$2:$AK$203)*($Y$2='Offer Statistics'!$AL$2:$AL$203),0))),"/")</f>
        <v>/</v>
      </c>
      <c r="AE26" s="321" t="str" cm="1">
        <f t="array" ref="AE26">IFERROR(IF(X26="2021年",INDEX('Offer Statistics'!AY$2:AY$203,MATCH(1,($A26='Offer Statistics'!$AK$2:$AK$203)*($Y$2='Offer Statistics'!$AL$2:$AL$203),0)),INDEX('Offer Statistics'!AY$2:AY$203,MATCH(1,($G26='Offer Statistics'!$AK$2:$AK$203)*($Y$2='Offer Statistics'!$AL$2:$AL$203),0))),"/")</f>
        <v>/</v>
      </c>
      <c r="AF26" s="580"/>
      <c r="AG26" s="318" t="str" cm="1">
        <f t="array" ref="AG26">IFERROR(IF(Y26="2021年",INDEX('Offer Statistics'!AR$2:AR$203,MATCH(1,($A26='Offer Statistics'!$AK$2:$AK$203)*($Y$2='Offer Statistics'!$AL$2:$AL$203),0)),INDEX('Offer Statistics'!AR$2:AR183,MATCH(1,($G26='Offer Statistics'!$AK$2:$AK$203)*($Y$2='Offer Statistics'!$AL$2:$AL$203),0))),"/")</f>
        <v>/</v>
      </c>
      <c r="AH26" s="321" t="str" cm="1">
        <f t="array" ref="AH26">IFERROR(IF(T26="2021年",INDEX('Offer Statistics'!AM$2:AM$203,MATCH(1,($A26='Offer Statistics'!$AK$2:$AK$203)*($Y$2='Offer Statistics'!$AL$2:$AL$203),0)),INDEX('Offer Statistics'!AM$2:AM183,MATCH(1,($G26='Offer Statistics'!$AK$2:$AK$203)*($Y$2='Offer Statistics'!$AL$2:$AL$203),0))),"/")</f>
        <v>/</v>
      </c>
      <c r="AI26" s="321" t="str" cm="1">
        <f t="array" ref="AI26">IFERROR(IF(U26="2021年",INDEX('Offer Statistics'!AN$2:AN$203,MATCH(1,($A26='Offer Statistics'!$AK$2:$AK$203)*($Y$2='Offer Statistics'!$AL$2:$AL$203),0)),INDEX('Offer Statistics'!AN$2:AN183,MATCH(1,($G26='Offer Statistics'!$AK$2:$AK$203)*($Y$2='Offer Statistics'!$AL$2:$AL$203),0))),"/")</f>
        <v>/</v>
      </c>
      <c r="AJ26" s="321" t="str" cm="1">
        <f t="array" ref="AJ26">IFERROR(IF(V26="2021年",INDEX('Offer Statistics'!AO$2:AO$203,MATCH(1,($A26='Offer Statistics'!$AK$2:$AK$203)*($Y$2='Offer Statistics'!$AL$2:$AL$203),0)),INDEX('Offer Statistics'!AO$2:AO183,MATCH(1,($G26='Offer Statistics'!$AK$2:$AK$203)*($Y$2='Offer Statistics'!$AL$2:$AL$203),0))),"/")</f>
        <v>/</v>
      </c>
      <c r="AK26" s="321" t="str" cm="1">
        <f t="array" ref="AK26">IFERROR(IF(W26="2021年",INDEX('Offer Statistics'!AP$2:AP$203,MATCH(1,($A26='Offer Statistics'!$AK$2:$AK$203)*($Y$2='Offer Statistics'!$AL$2:$AL$203),0)),INDEX('Offer Statistics'!AP$2:AP183,MATCH(1,($G26='Offer Statistics'!$AK$2:$AK$203)*($Y$2='Offer Statistics'!$AL$2:$AL$203),0))),"/")</f>
        <v>/</v>
      </c>
      <c r="AL26" s="321" t="str" cm="1">
        <f t="array" ref="AL26">IFERROR(IF(X26="2021年",INDEX('Offer Statistics'!AQ$2:AQ$203,MATCH(1,($A26='Offer Statistics'!$AK$2:$AK$203)*($Y$2='Offer Statistics'!$AL$2:$AL$203),0)),INDEX('Offer Statistics'!AQ$2:AQ183,MATCH(1,($G26='Offer Statistics'!$AK$2:$AK$203)*($Y$2='Offer Statistics'!$AL$2:$AL$203),0))),"/")</f>
        <v>/</v>
      </c>
      <c r="AM26" s="284"/>
      <c r="AN26" s="319" t="str">
        <f t="shared" si="2"/>
        <v>JS3519</v>
      </c>
      <c r="AO26" s="15" t="str">
        <f>A26</f>
        <v>JS3180</v>
      </c>
    </row>
    <row r="27" spans="1:41" s="296" customFormat="1" ht="18" customHeight="1" x14ac:dyDescent="0.3">
      <c r="A27" s="290"/>
      <c r="B27" s="290"/>
      <c r="C27" s="290"/>
      <c r="D27" s="290"/>
      <c r="E27" s="305" t="str">
        <f>'Reference Score Calculation'!E117</f>
        <v/>
      </c>
      <c r="F27" s="323" t="str">
        <f>'Reference Score Calculation'!V117</f>
        <v/>
      </c>
      <c r="G27" s="294" t="s">
        <v>665</v>
      </c>
      <c r="H27" s="290" t="s">
        <v>668</v>
      </c>
      <c r="I27" s="310" t="str">
        <f>'Reference Score Calculation'!P117</f>
        <v>Best 5</v>
      </c>
      <c r="J27" s="323">
        <f>'Reference Score Calculation'!W117</f>
        <v>19.100000000000001</v>
      </c>
      <c r="K27" s="326">
        <f>'Reference Score Calculation'!G117</f>
        <v>190.00000000260002</v>
      </c>
      <c r="L27" s="326">
        <f>'Reference Score Calculation'!H117</f>
        <v>190.00000000260002</v>
      </c>
      <c r="M27" s="332">
        <f>計分版!H138</f>
        <v>2.175E-8</v>
      </c>
      <c r="N27" s="292">
        <f t="shared" si="5"/>
        <v>-189.99999998085002</v>
      </c>
      <c r="O27" s="293">
        <f t="shared" si="6"/>
        <v>-8735632183.0275879</v>
      </c>
      <c r="P27" s="584"/>
      <c r="Q27" s="589"/>
      <c r="R27" s="304"/>
      <c r="S27" s="582"/>
      <c r="T27" s="582"/>
      <c r="U27" s="582"/>
      <c r="V27" s="582"/>
      <c r="W27" s="582"/>
      <c r="X27" s="582"/>
      <c r="Y27" s="576"/>
      <c r="Z27" s="310" t="str" cm="1">
        <f t="array" ref="Z27">IFERROR(IF(Y27="2021年",INDEX('Offer Statistics'!AZ$2:AZ$203,MATCH(1,($A27='Offer Statistics'!$AK$2:$AK$203)*($Y$2='Offer Statistics'!$AL$2:$AL$203),0)),INDEX('Offer Statistics'!AZ$2:AZ$203,MATCH(1,($G27='Offer Statistics'!$AK$2:$AK$203)*($Y$2='Offer Statistics'!$AL$2:$AL$203),0))),"/")</f>
        <v>/</v>
      </c>
      <c r="AA27" s="295" t="str" cm="1">
        <f t="array" ref="AA27">IFERROR(IF(T27="2021年",INDEX('Offer Statistics'!AU$2:AU$203,MATCH(1,($A27='Offer Statistics'!$AK$2:$AK$203)*($Y$2='Offer Statistics'!$AL$2:$AL$203),0)),INDEX('Offer Statistics'!AU$2:AU$203,MATCH(1,($G27='Offer Statistics'!$AK$2:$AK$203)*($Y$2='Offer Statistics'!$AL$2:$AL$203),0))),"/")</f>
        <v>/</v>
      </c>
      <c r="AB27" s="295" t="str" cm="1">
        <f t="array" ref="AB27">IFERROR(IF(U27="2021年",INDEX('Offer Statistics'!AV$2:AV$203,MATCH(1,($A27='Offer Statistics'!$AK$2:$AK$203)*($Y$2='Offer Statistics'!$AL$2:$AL$203),0)),INDEX('Offer Statistics'!AV$2:AV$203,MATCH(1,($G27='Offer Statistics'!$AK$2:$AK$203)*($Y$2='Offer Statistics'!$AL$2:$AL$203),0))),"/")</f>
        <v>/</v>
      </c>
      <c r="AC27" s="295" t="str" cm="1">
        <f t="array" ref="AC27">IFERROR(IF(V27="2021年",INDEX('Offer Statistics'!AW$2:AW$203,MATCH(1,($A27='Offer Statistics'!$AK$2:$AK$203)*($Y$2='Offer Statistics'!$AL$2:$AL$203),0)),INDEX('Offer Statistics'!AW$2:AW$203,MATCH(1,($G27='Offer Statistics'!$AK$2:$AK$203)*($Y$2='Offer Statistics'!$AL$2:$AL$203),0))),"/")</f>
        <v>/</v>
      </c>
      <c r="AD27" s="295" t="str" cm="1">
        <f t="array" ref="AD27">IFERROR(IF(W27="2021年",INDEX('Offer Statistics'!AX$2:AX$203,MATCH(1,($A27='Offer Statistics'!$AK$2:$AK$203)*($Y$2='Offer Statistics'!$AL$2:$AL$203),0)),INDEX('Offer Statistics'!AX$2:AX$203,MATCH(1,($G27='Offer Statistics'!$AK$2:$AK$203)*($Y$2='Offer Statistics'!$AL$2:$AL$203),0))),"/")</f>
        <v>/</v>
      </c>
      <c r="AE27" s="295" t="str" cm="1">
        <f t="array" ref="AE27">IFERROR(IF(X27="2021年",INDEX('Offer Statistics'!AY$2:AY$203,MATCH(1,($A27='Offer Statistics'!$AK$2:$AK$203)*($Y$2='Offer Statistics'!$AL$2:$AL$203),0)),INDEX('Offer Statistics'!AY$2:AY$203,MATCH(1,($G27='Offer Statistics'!$AK$2:$AK$203)*($Y$2='Offer Statistics'!$AL$2:$AL$203),0))),"/")</f>
        <v>/</v>
      </c>
      <c r="AF27" s="580"/>
      <c r="AG27" s="310" t="str" cm="1">
        <f t="array" ref="AG27">IFERROR(IF(Y27="2021年",INDEX('Offer Statistics'!AR$2:AR$203,MATCH(1,($A27='Offer Statistics'!$AK$2:$AK$203)*($Y$2='Offer Statistics'!$AL$2:$AL$203),0)),INDEX('Offer Statistics'!AR$2:AR184,MATCH(1,($G27='Offer Statistics'!$AK$2:$AK$203)*($Y$2='Offer Statistics'!$AL$2:$AL$203),0))),"/")</f>
        <v>/</v>
      </c>
      <c r="AH27" s="295" t="str" cm="1">
        <f t="array" ref="AH27">IFERROR(IF(T27="2021年",INDEX('Offer Statistics'!AM$2:AM$203,MATCH(1,($A27='Offer Statistics'!$AK$2:$AK$203)*($Y$2='Offer Statistics'!$AL$2:$AL$203),0)),INDEX('Offer Statistics'!AM$2:AM184,MATCH(1,($G27='Offer Statistics'!$AK$2:$AK$203)*($Y$2='Offer Statistics'!$AL$2:$AL$203),0))),"/")</f>
        <v>/</v>
      </c>
      <c r="AI27" s="295" t="str" cm="1">
        <f t="array" ref="AI27">IFERROR(IF(U27="2021年",INDEX('Offer Statistics'!AN$2:AN$203,MATCH(1,($A27='Offer Statistics'!$AK$2:$AK$203)*($Y$2='Offer Statistics'!$AL$2:$AL$203),0)),INDEX('Offer Statistics'!AN$2:AN184,MATCH(1,($G27='Offer Statistics'!$AK$2:$AK$203)*($Y$2='Offer Statistics'!$AL$2:$AL$203),0))),"/")</f>
        <v>/</v>
      </c>
      <c r="AJ27" s="295" t="str" cm="1">
        <f t="array" ref="AJ27">IFERROR(IF(V27="2021年",INDEX('Offer Statistics'!AO$2:AO$203,MATCH(1,($A27='Offer Statistics'!$AK$2:$AK$203)*($Y$2='Offer Statistics'!$AL$2:$AL$203),0)),INDEX('Offer Statistics'!AO$2:AO184,MATCH(1,($G27='Offer Statistics'!$AK$2:$AK$203)*($Y$2='Offer Statistics'!$AL$2:$AL$203),0))),"/")</f>
        <v>/</v>
      </c>
      <c r="AK27" s="295" t="str" cm="1">
        <f t="array" ref="AK27">IFERROR(IF(W27="2021年",INDEX('Offer Statistics'!AP$2:AP$203,MATCH(1,($A27='Offer Statistics'!$AK$2:$AK$203)*($Y$2='Offer Statistics'!$AL$2:$AL$203),0)),INDEX('Offer Statistics'!AP$2:AP184,MATCH(1,($G27='Offer Statistics'!$AK$2:$AK$203)*($Y$2='Offer Statistics'!$AL$2:$AL$203),0))),"/")</f>
        <v>/</v>
      </c>
      <c r="AL27" s="295" t="str" cm="1">
        <f t="array" ref="AL27">IFERROR(IF(X27="2021年",INDEX('Offer Statistics'!AQ$2:AQ$203,MATCH(1,($A27='Offer Statistics'!$AK$2:$AK$203)*($Y$2='Offer Statistics'!$AL$2:$AL$203),0)),INDEX('Offer Statistics'!AQ$2:AQ184,MATCH(1,($G27='Offer Statistics'!$AK$2:$AK$203)*($Y$2='Offer Statistics'!$AL$2:$AL$203),0))),"/")</f>
        <v>/</v>
      </c>
      <c r="AM27" s="284"/>
      <c r="AN27" s="294" t="str">
        <f t="shared" si="2"/>
        <v>JS3703</v>
      </c>
      <c r="AO27" s="294"/>
    </row>
    <row r="28" spans="1:41" s="296" customFormat="1" ht="18" customHeight="1" x14ac:dyDescent="0.3">
      <c r="A28" s="290" t="s">
        <v>719</v>
      </c>
      <c r="B28" s="290" t="s">
        <v>2585</v>
      </c>
      <c r="C28" s="290" t="s">
        <v>725</v>
      </c>
      <c r="D28" s="290" t="s">
        <v>723</v>
      </c>
      <c r="E28" s="305" t="str">
        <f>'Reference Score Calculation'!E118</f>
        <v>Best 5</v>
      </c>
      <c r="F28" s="323">
        <f>'Reference Score Calculation'!V118</f>
        <v>19.8</v>
      </c>
      <c r="G28" s="294" t="s">
        <v>719</v>
      </c>
      <c r="H28" s="290" t="s">
        <v>722</v>
      </c>
      <c r="I28" s="310" t="str">
        <f>'Reference Score Calculation'!P118</f>
        <v>Best 5</v>
      </c>
      <c r="J28" s="323">
        <f>'Reference Score Calculation'!W118</f>
        <v>19.8</v>
      </c>
      <c r="K28" s="326">
        <f>'Reference Score Calculation'!G118</f>
        <v>180.00000000260002</v>
      </c>
      <c r="L28" s="326">
        <f>'Reference Score Calculation'!H118</f>
        <v>173.00000000207999</v>
      </c>
      <c r="M28" s="332">
        <f>計分版!H139</f>
        <v>2.175E-8</v>
      </c>
      <c r="N28" s="292">
        <f t="shared" si="3"/>
        <v>-179.99999998085002</v>
      </c>
      <c r="O28" s="293">
        <f t="shared" si="4"/>
        <v>-8275862068.0850582</v>
      </c>
      <c r="P28" s="298">
        <f>入學要求!C127</f>
        <v>113</v>
      </c>
      <c r="Q28" s="301">
        <f>入學要求!R127</f>
        <v>0</v>
      </c>
      <c r="R28" s="304"/>
      <c r="S28" s="302">
        <f>入學要求!D127</f>
        <v>3</v>
      </c>
      <c r="T28" s="302">
        <f>入學要求!E127</f>
        <v>3</v>
      </c>
      <c r="U28" s="302">
        <f>入學要求!F127</f>
        <v>2</v>
      </c>
      <c r="V28" s="302">
        <f>入學要求!G127</f>
        <v>2</v>
      </c>
      <c r="W28" s="302">
        <f>入學要求!H127</f>
        <v>3</v>
      </c>
      <c r="X28" s="302">
        <f>入學要求!I127</f>
        <v>3</v>
      </c>
      <c r="Y28" s="576"/>
      <c r="Z28" s="309" cm="1">
        <f t="array" ref="Z28">IFERROR(IF(Y28="2021年",INDEX('Offer Statistics'!AZ$2:AZ$203,MATCH(1,($A28='Offer Statistics'!$AK$2:$AK$203)*($Y$2='Offer Statistics'!$AL$2:$AL$203),0)),INDEX('Offer Statistics'!AZ$2:AZ$203,MATCH(1,($G28='Offer Statistics'!$AK$2:$AK$203)*($Y$2='Offer Statistics'!$AL$2:$AL$203),0))),"/")</f>
        <v>94</v>
      </c>
      <c r="AA28" s="295" cm="1">
        <f t="array" ref="AA28">IFERROR(IF(T28="2021年",INDEX('Offer Statistics'!AU$2:AU$203,MATCH(1,($A28='Offer Statistics'!$AK$2:$AK$203)*($Y$2='Offer Statistics'!$AL$2:$AL$203),0)),INDEX('Offer Statistics'!AU$2:AU$203,MATCH(1,($G28='Offer Statistics'!$AK$2:$AK$203)*($Y$2='Offer Statistics'!$AL$2:$AL$203),0))),"/")</f>
        <v>82</v>
      </c>
      <c r="AB28" s="295" cm="1">
        <f t="array" ref="AB28">IFERROR(IF(U28="2021年",INDEX('Offer Statistics'!AV$2:AV$203,MATCH(1,($A28='Offer Statistics'!$AK$2:$AK$203)*($Y$2='Offer Statistics'!$AL$2:$AL$203),0)),INDEX('Offer Statistics'!AV$2:AV$203,MATCH(1,($G28='Offer Statistics'!$AK$2:$AK$203)*($Y$2='Offer Statistics'!$AL$2:$AL$203),0))),"/")</f>
        <v>5</v>
      </c>
      <c r="AC28" s="295" cm="1">
        <f t="array" ref="AC28">IFERROR(IF(V28="2021年",INDEX('Offer Statistics'!AW$2:AW$203,MATCH(1,($A28='Offer Statistics'!$AK$2:$AK$203)*($Y$2='Offer Statistics'!$AL$2:$AL$203),0)),INDEX('Offer Statistics'!AW$2:AW$203,MATCH(1,($G28='Offer Statistics'!$AK$2:$AK$203)*($Y$2='Offer Statistics'!$AL$2:$AL$203),0))),"/")</f>
        <v>3</v>
      </c>
      <c r="AD28" s="295" cm="1">
        <f t="array" ref="AD28">IFERROR(IF(W28="2021年",INDEX('Offer Statistics'!AX$2:AX$203,MATCH(1,($A28='Offer Statistics'!$AK$2:$AK$203)*($Y$2='Offer Statistics'!$AL$2:$AL$203),0)),INDEX('Offer Statistics'!AX$2:AX$203,MATCH(1,($G28='Offer Statistics'!$AK$2:$AK$203)*($Y$2='Offer Statistics'!$AL$2:$AL$203),0))),"/")</f>
        <v>2</v>
      </c>
      <c r="AE28" s="295" cm="1">
        <f t="array" ref="AE28">IFERROR(IF(X28="2021年",INDEX('Offer Statistics'!AY$2:AY$203,MATCH(1,($A28='Offer Statistics'!$AK$2:$AK$203)*($Y$2='Offer Statistics'!$AL$2:$AL$203),0)),INDEX('Offer Statistics'!AY$2:AY$203,MATCH(1,($G28='Offer Statistics'!$AK$2:$AK$203)*($Y$2='Offer Statistics'!$AL$2:$AL$203),0))),"/")</f>
        <v>2</v>
      </c>
      <c r="AF28" s="580"/>
      <c r="AG28" s="310" t="str" cm="1">
        <f t="array" ref="AG28">IFERROR(IF(Y28="2021年",INDEX('Offer Statistics'!AR$2:AR$203,MATCH(1,($A28='Offer Statistics'!$AK$2:$AK$203)*($Y$2='Offer Statistics'!$AL$2:$AL$203),0)),INDEX('Offer Statistics'!AR$2:AR185,MATCH(1,($G28='Offer Statistics'!$AK$2:$AK$203)*($Y$2='Offer Statistics'!$AL$2:$AL$203),0))),"/")</f>
        <v>/</v>
      </c>
      <c r="AH28" s="295" t="str" cm="1">
        <f t="array" ref="AH28">IFERROR(IF(T28="2021年",INDEX('Offer Statistics'!AM$2:AM$203,MATCH(1,($A28='Offer Statistics'!$AK$2:$AK$203)*($Y$2='Offer Statistics'!$AL$2:$AL$203),0)),INDEX('Offer Statistics'!AM$2:AM185,MATCH(1,($G28='Offer Statistics'!$AK$2:$AK$203)*($Y$2='Offer Statistics'!$AL$2:$AL$203),0))),"/")</f>
        <v>/</v>
      </c>
      <c r="AI28" s="295" t="str" cm="1">
        <f t="array" ref="AI28">IFERROR(IF(U28="2021年",INDEX('Offer Statistics'!AN$2:AN$203,MATCH(1,($A28='Offer Statistics'!$AK$2:$AK$203)*($Y$2='Offer Statistics'!$AL$2:$AL$203),0)),INDEX('Offer Statistics'!AN$2:AN185,MATCH(1,($G28='Offer Statistics'!$AK$2:$AK$203)*($Y$2='Offer Statistics'!$AL$2:$AL$203),0))),"/")</f>
        <v>/</v>
      </c>
      <c r="AJ28" s="295" t="str" cm="1">
        <f t="array" ref="AJ28">IFERROR(IF(V28="2021年",INDEX('Offer Statistics'!AO$2:AO$203,MATCH(1,($A28='Offer Statistics'!$AK$2:$AK$203)*($Y$2='Offer Statistics'!$AL$2:$AL$203),0)),INDEX('Offer Statistics'!AO$2:AO185,MATCH(1,($G28='Offer Statistics'!$AK$2:$AK$203)*($Y$2='Offer Statistics'!$AL$2:$AL$203),0))),"/")</f>
        <v>/</v>
      </c>
      <c r="AK28" s="295" t="str" cm="1">
        <f t="array" ref="AK28">IFERROR(IF(W28="2021年",INDEX('Offer Statistics'!AP$2:AP$203,MATCH(1,($A28='Offer Statistics'!$AK$2:$AK$203)*($Y$2='Offer Statistics'!$AL$2:$AL$203),0)),INDEX('Offer Statistics'!AP$2:AP185,MATCH(1,($G28='Offer Statistics'!$AK$2:$AK$203)*($Y$2='Offer Statistics'!$AL$2:$AL$203),0))),"/")</f>
        <v>/</v>
      </c>
      <c r="AL28" s="295" t="str" cm="1">
        <f t="array" ref="AL28">IFERROR(IF(X28="2021年",INDEX('Offer Statistics'!AQ$2:AQ$203,MATCH(1,($A28='Offer Statistics'!$AK$2:$AK$203)*($Y$2='Offer Statistics'!$AL$2:$AL$203),0)),INDEX('Offer Statistics'!AQ$2:AQ185,MATCH(1,($G28='Offer Statistics'!$AK$2:$AK$203)*($Y$2='Offer Statistics'!$AL$2:$AL$203),0))),"/")</f>
        <v>/</v>
      </c>
      <c r="AM28" s="284"/>
      <c r="AN28" s="313" t="str">
        <f t="shared" si="2"/>
        <v>JS3868</v>
      </c>
      <c r="AO28" s="294" t="str">
        <f t="shared" ref="AO28:AO34" si="7">A28</f>
        <v>JS3868</v>
      </c>
    </row>
    <row r="29" spans="1:41" s="296" customFormat="1" ht="18" customHeight="1" x14ac:dyDescent="0.3">
      <c r="A29" s="290" t="s">
        <v>614</v>
      </c>
      <c r="B29" s="290" t="s">
        <v>2585</v>
      </c>
      <c r="C29" s="290" t="s">
        <v>618</v>
      </c>
      <c r="D29" s="290" t="s">
        <v>615</v>
      </c>
      <c r="E29" s="305" t="str">
        <f>'Reference Score Calculation'!E119</f>
        <v>Best 5</v>
      </c>
      <c r="F29" s="323">
        <f>'Reference Score Calculation'!V119</f>
        <v>18.899999999999999</v>
      </c>
      <c r="G29" s="294" t="s">
        <v>614</v>
      </c>
      <c r="H29" s="290" t="s">
        <v>617</v>
      </c>
      <c r="I29" s="310" t="str">
        <f>'Reference Score Calculation'!P119</f>
        <v>Best 5</v>
      </c>
      <c r="J29" s="323">
        <f>'Reference Score Calculation'!W119</f>
        <v>18.899999999999999</v>
      </c>
      <c r="K29" s="326">
        <f>'Reference Score Calculation'!G119</f>
        <v>144.00000000120002</v>
      </c>
      <c r="L29" s="326">
        <f>'Reference Score Calculation'!H119</f>
        <v>132.00000000115</v>
      </c>
      <c r="M29" s="332">
        <f>計分版!H140</f>
        <v>1.6750000000000001E-8</v>
      </c>
      <c r="N29" s="292">
        <f>IF(N$1="差距(Median)",M29-K29,IF(N$1="差距(LQ)",M29-L29))</f>
        <v>-143.99999998445003</v>
      </c>
      <c r="O29" s="293">
        <f>IF(N$1="差距(Median)",(M29-K29)/M29,IF(N$1="差距(LQ)",(M29-L29)/M29))</f>
        <v>-8597014924.4447765</v>
      </c>
      <c r="P29" s="298">
        <f>入學要求!C128</f>
        <v>49</v>
      </c>
      <c r="Q29" s="301">
        <f>入學要求!R128</f>
        <v>0</v>
      </c>
      <c r="R29" s="304"/>
      <c r="S29" s="302">
        <f>入學要求!D128</f>
        <v>3</v>
      </c>
      <c r="T29" s="302">
        <f>入學要求!E128</f>
        <v>3</v>
      </c>
      <c r="U29" s="302">
        <f>入學要求!F128</f>
        <v>2</v>
      </c>
      <c r="V29" s="302">
        <f>入學要求!G128</f>
        <v>2</v>
      </c>
      <c r="W29" s="302">
        <f>入學要求!H128</f>
        <v>3</v>
      </c>
      <c r="X29" s="302">
        <f>入學要求!I128</f>
        <v>3</v>
      </c>
      <c r="Y29" s="576"/>
      <c r="Z29" s="298" cm="1">
        <f t="array" ref="Z29">IFERROR(IF(Y29="2021年",INDEX('Offer Statistics'!AZ$2:AZ$203,MATCH(1,($A29='Offer Statistics'!$AK$2:$AK$203)*($Y$2='Offer Statistics'!$AL$2:$AL$203),0)),INDEX('Offer Statistics'!AZ$2:AZ$203,MATCH(1,($G29='Offer Statistics'!$AK$2:$AK$203)*($Y$2='Offer Statistics'!$AL$2:$AL$203),0))),"/")</f>
        <v>39</v>
      </c>
      <c r="AA29" s="295" cm="1">
        <f t="array" ref="AA29">IFERROR(IF(T29="2021年",INDEX('Offer Statistics'!AU$2:AU$203,MATCH(1,($A29='Offer Statistics'!$AK$2:$AK$203)*($Y$2='Offer Statistics'!$AL$2:$AL$203),0)),INDEX('Offer Statistics'!AU$2:AU$203,MATCH(1,($G29='Offer Statistics'!$AK$2:$AK$203)*($Y$2='Offer Statistics'!$AL$2:$AL$203),0))),"/")</f>
        <v>31</v>
      </c>
      <c r="AB29" s="295" cm="1">
        <f t="array" ref="AB29">IFERROR(IF(U29="2021年",INDEX('Offer Statistics'!AV$2:AV$203,MATCH(1,($A29='Offer Statistics'!$AK$2:$AK$203)*($Y$2='Offer Statistics'!$AL$2:$AL$203),0)),INDEX('Offer Statistics'!AV$2:AV$203,MATCH(1,($G29='Offer Statistics'!$AK$2:$AK$203)*($Y$2='Offer Statistics'!$AL$2:$AL$203),0))),"/")</f>
        <v>7</v>
      </c>
      <c r="AC29" s="295" cm="1">
        <f t="array" ref="AC29">IFERROR(IF(V29="2021年",INDEX('Offer Statistics'!AW$2:AW$203,MATCH(1,($A29='Offer Statistics'!$AK$2:$AK$203)*($Y$2='Offer Statistics'!$AL$2:$AL$203),0)),INDEX('Offer Statistics'!AW$2:AW$203,MATCH(1,($G29='Offer Statistics'!$AK$2:$AK$203)*($Y$2='Offer Statistics'!$AL$2:$AL$203),0))),"/")</f>
        <v>0</v>
      </c>
      <c r="AD29" s="295" cm="1">
        <f t="array" ref="AD29">IFERROR(IF(W29="2021年",INDEX('Offer Statistics'!AX$2:AX$203,MATCH(1,($A29='Offer Statistics'!$AK$2:$AK$203)*($Y$2='Offer Statistics'!$AL$2:$AL$203),0)),INDEX('Offer Statistics'!AX$2:AX$203,MATCH(1,($G29='Offer Statistics'!$AK$2:$AK$203)*($Y$2='Offer Statistics'!$AL$2:$AL$203),0))),"/")</f>
        <v>1</v>
      </c>
      <c r="AE29" s="295" cm="1">
        <f t="array" ref="AE29">IFERROR(IF(X29="2021年",INDEX('Offer Statistics'!AY$2:AY$203,MATCH(1,($A29='Offer Statistics'!$AK$2:$AK$203)*($Y$2='Offer Statistics'!$AL$2:$AL$203),0)),INDEX('Offer Statistics'!AY$2:AY$203,MATCH(1,($G29='Offer Statistics'!$AK$2:$AK$203)*($Y$2='Offer Statistics'!$AL$2:$AL$203),0))),"/")</f>
        <v>0</v>
      </c>
      <c r="AF29" s="580"/>
      <c r="AG29" s="310" t="str" cm="1">
        <f t="array" ref="AG29">IFERROR(IF(Y29="2021年",INDEX('Offer Statistics'!AR$2:AR$203,MATCH(1,($A29='Offer Statistics'!$AK$2:$AK$203)*($Y$2='Offer Statistics'!$AL$2:$AL$203),0)),INDEX('Offer Statistics'!AR$2:AR186,MATCH(1,($G29='Offer Statistics'!$AK$2:$AK$203)*($Y$2='Offer Statistics'!$AL$2:$AL$203),0))),"/")</f>
        <v>/</v>
      </c>
      <c r="AH29" s="295" t="str" cm="1">
        <f t="array" ref="AH29">IFERROR(IF(T29="2021年",INDEX('Offer Statistics'!AM$2:AM$203,MATCH(1,($A29='Offer Statistics'!$AK$2:$AK$203)*($Y$2='Offer Statistics'!$AL$2:$AL$203),0)),INDEX('Offer Statistics'!AM$2:AM186,MATCH(1,($G29='Offer Statistics'!$AK$2:$AK$203)*($Y$2='Offer Statistics'!$AL$2:$AL$203),0))),"/")</f>
        <v>/</v>
      </c>
      <c r="AI29" s="295" t="str" cm="1">
        <f t="array" ref="AI29">IFERROR(IF(U29="2021年",INDEX('Offer Statistics'!AN$2:AN$203,MATCH(1,($A29='Offer Statistics'!$AK$2:$AK$203)*($Y$2='Offer Statistics'!$AL$2:$AL$203),0)),INDEX('Offer Statistics'!AN$2:AN186,MATCH(1,($G29='Offer Statistics'!$AK$2:$AK$203)*($Y$2='Offer Statistics'!$AL$2:$AL$203),0))),"/")</f>
        <v>/</v>
      </c>
      <c r="AJ29" s="295" t="str" cm="1">
        <f t="array" ref="AJ29">IFERROR(IF(V29="2021年",INDEX('Offer Statistics'!AO$2:AO$203,MATCH(1,($A29='Offer Statistics'!$AK$2:$AK$203)*($Y$2='Offer Statistics'!$AL$2:$AL$203),0)),INDEX('Offer Statistics'!AO$2:AO186,MATCH(1,($G29='Offer Statistics'!$AK$2:$AK$203)*($Y$2='Offer Statistics'!$AL$2:$AL$203),0))),"/")</f>
        <v>/</v>
      </c>
      <c r="AK29" s="295" t="str" cm="1">
        <f t="array" ref="AK29">IFERROR(IF(W29="2021年",INDEX('Offer Statistics'!AP$2:AP$203,MATCH(1,($A29='Offer Statistics'!$AK$2:$AK$203)*($Y$2='Offer Statistics'!$AL$2:$AL$203),0)),INDEX('Offer Statistics'!AP$2:AP186,MATCH(1,($G29='Offer Statistics'!$AK$2:$AK$203)*($Y$2='Offer Statistics'!$AL$2:$AL$203),0))),"/")</f>
        <v>/</v>
      </c>
      <c r="AL29" s="295" t="str" cm="1">
        <f t="array" ref="AL29">IFERROR(IF(X29="2021年",INDEX('Offer Statistics'!AQ$2:AQ$203,MATCH(1,($A29='Offer Statistics'!$AK$2:$AK$203)*($Y$2='Offer Statistics'!$AL$2:$AL$203),0)),INDEX('Offer Statistics'!AQ$2:AQ186,MATCH(1,($G29='Offer Statistics'!$AK$2:$AK$203)*($Y$2='Offer Statistics'!$AL$2:$AL$203),0))),"/")</f>
        <v>/</v>
      </c>
      <c r="AM29" s="284"/>
      <c r="AN29" s="302" t="str">
        <f t="shared" si="2"/>
        <v>JS3571</v>
      </c>
      <c r="AO29" s="294" t="str">
        <f t="shared" si="7"/>
        <v>JS3571</v>
      </c>
    </row>
    <row r="30" spans="1:41" s="296" customFormat="1" ht="18" customHeight="1" x14ac:dyDescent="0.3">
      <c r="A30" s="290" t="s">
        <v>603</v>
      </c>
      <c r="B30" s="290" t="s">
        <v>2585</v>
      </c>
      <c r="C30" s="290" t="s">
        <v>607</v>
      </c>
      <c r="D30" s="290" t="s">
        <v>604</v>
      </c>
      <c r="E30" s="305" t="str">
        <f>'Reference Score Calculation'!E120</f>
        <v>Best 5</v>
      </c>
      <c r="F30" s="323">
        <f>'Reference Score Calculation'!V120</f>
        <v>18.7</v>
      </c>
      <c r="G30" s="294" t="s">
        <v>603</v>
      </c>
      <c r="H30" s="290" t="s">
        <v>606</v>
      </c>
      <c r="I30" s="310" t="str">
        <f>'Reference Score Calculation'!P120</f>
        <v>Best 5</v>
      </c>
      <c r="J30" s="323">
        <f>'Reference Score Calculation'!W120</f>
        <v>18.7</v>
      </c>
      <c r="K30" s="326">
        <f>'Reference Score Calculation'!G120</f>
        <v>144.00000000120002</v>
      </c>
      <c r="L30" s="326">
        <f>'Reference Score Calculation'!H120</f>
        <v>134.00000000119999</v>
      </c>
      <c r="M30" s="332">
        <f>計分版!H141</f>
        <v>1.6750000000000001E-8</v>
      </c>
      <c r="N30" s="292">
        <f>IF(N$1="差距(Median)",M30-K30,IF(N$1="差距(LQ)",M30-L30))</f>
        <v>-143.99999998445003</v>
      </c>
      <c r="O30" s="293">
        <f>IF(N$1="差距(Median)",(M30-K30)/M30,IF(N$1="差距(LQ)",(M30-L30)/M30))</f>
        <v>-8597014924.4447765</v>
      </c>
      <c r="P30" s="298">
        <f>入學要求!C129</f>
        <v>53</v>
      </c>
      <c r="Q30" s="301">
        <f>入學要求!R129</f>
        <v>0</v>
      </c>
      <c r="R30" s="304"/>
      <c r="S30" s="302">
        <f>入學要求!D129</f>
        <v>3</v>
      </c>
      <c r="T30" s="302">
        <f>入學要求!E129</f>
        <v>3</v>
      </c>
      <c r="U30" s="302">
        <f>入學要求!F129</f>
        <v>2</v>
      </c>
      <c r="V30" s="302">
        <f>入學要求!G129</f>
        <v>2</v>
      </c>
      <c r="W30" s="302">
        <f>入學要求!H129</f>
        <v>3</v>
      </c>
      <c r="X30" s="302">
        <f>入學要求!I129</f>
        <v>3</v>
      </c>
      <c r="Y30" s="576"/>
      <c r="Z30" s="309" cm="1">
        <f t="array" ref="Z30">IFERROR(IF(Y30="2021年",INDEX('Offer Statistics'!AZ$2:AZ$203,MATCH(1,($A30='Offer Statistics'!$AK$2:$AK$203)*($Y$2='Offer Statistics'!$AL$2:$AL$203),0)),INDEX('Offer Statistics'!AZ$2:AZ$203,MATCH(1,($G30='Offer Statistics'!$AK$2:$AK$203)*($Y$2='Offer Statistics'!$AL$2:$AL$203),0))),"/")</f>
        <v>42</v>
      </c>
      <c r="AA30" s="295" cm="1">
        <f t="array" ref="AA30">IFERROR(IF(T30="2021年",INDEX('Offer Statistics'!AU$2:AU$203,MATCH(1,($A30='Offer Statistics'!$AK$2:$AK$203)*($Y$2='Offer Statistics'!$AL$2:$AL$203),0)),INDEX('Offer Statistics'!AU$2:AU$203,MATCH(1,($G30='Offer Statistics'!$AK$2:$AK$203)*($Y$2='Offer Statistics'!$AL$2:$AL$203),0))),"/")</f>
        <v>32</v>
      </c>
      <c r="AB30" s="295" cm="1">
        <f t="array" ref="AB30">IFERROR(IF(U30="2021年",INDEX('Offer Statistics'!AV$2:AV$203,MATCH(1,($A30='Offer Statistics'!$AK$2:$AK$203)*($Y$2='Offer Statistics'!$AL$2:$AL$203),0)),INDEX('Offer Statistics'!AV$2:AV$203,MATCH(1,($G30='Offer Statistics'!$AK$2:$AK$203)*($Y$2='Offer Statistics'!$AL$2:$AL$203),0))),"/")</f>
        <v>7</v>
      </c>
      <c r="AC30" s="295" cm="1">
        <f t="array" ref="AC30">IFERROR(IF(V30="2021年",INDEX('Offer Statistics'!AW$2:AW$203,MATCH(1,($A30='Offer Statistics'!$AK$2:$AK$203)*($Y$2='Offer Statistics'!$AL$2:$AL$203),0)),INDEX('Offer Statistics'!AW$2:AW$203,MATCH(1,($G30='Offer Statistics'!$AK$2:$AK$203)*($Y$2='Offer Statistics'!$AL$2:$AL$203),0))),"/")</f>
        <v>2</v>
      </c>
      <c r="AD30" s="295" cm="1">
        <f t="array" ref="AD30">IFERROR(IF(W30="2021年",INDEX('Offer Statistics'!AX$2:AX$203,MATCH(1,($A30='Offer Statistics'!$AK$2:$AK$203)*($Y$2='Offer Statistics'!$AL$2:$AL$203),0)),INDEX('Offer Statistics'!AX$2:AX$203,MATCH(1,($G30='Offer Statistics'!$AK$2:$AK$203)*($Y$2='Offer Statistics'!$AL$2:$AL$203),0))),"/")</f>
        <v>1</v>
      </c>
      <c r="AE30" s="295" cm="1">
        <f t="array" ref="AE30">IFERROR(IF(X30="2021年",INDEX('Offer Statistics'!AY$2:AY$203,MATCH(1,($A30='Offer Statistics'!$AK$2:$AK$203)*($Y$2='Offer Statistics'!$AL$2:$AL$203),0)),INDEX('Offer Statistics'!AY$2:AY$203,MATCH(1,($G30='Offer Statistics'!$AK$2:$AK$203)*($Y$2='Offer Statistics'!$AL$2:$AL$203),0))),"/")</f>
        <v>0</v>
      </c>
      <c r="AF30" s="580"/>
      <c r="AG30" s="310" t="str" cm="1">
        <f t="array" ref="AG30">IFERROR(IF(Y30="2021年",INDEX('Offer Statistics'!AR$2:AR$203,MATCH(1,($A30='Offer Statistics'!$AK$2:$AK$203)*($Y$2='Offer Statistics'!$AL$2:$AL$203),0)),INDEX('Offer Statistics'!AR$2:AR187,MATCH(1,($G30='Offer Statistics'!$AK$2:$AK$203)*($Y$2='Offer Statistics'!$AL$2:$AL$203),0))),"/")</f>
        <v>/</v>
      </c>
      <c r="AH30" s="295" t="str" cm="1">
        <f t="array" ref="AH30">IFERROR(IF(T30="2021年",INDEX('Offer Statistics'!AM$2:AM$203,MATCH(1,($A30='Offer Statistics'!$AK$2:$AK$203)*($Y$2='Offer Statistics'!$AL$2:$AL$203),0)),INDEX('Offer Statistics'!AM$2:AM187,MATCH(1,($G30='Offer Statistics'!$AK$2:$AK$203)*($Y$2='Offer Statistics'!$AL$2:$AL$203),0))),"/")</f>
        <v>/</v>
      </c>
      <c r="AI30" s="295" t="str" cm="1">
        <f t="array" ref="AI30">IFERROR(IF(U30="2021年",INDEX('Offer Statistics'!AN$2:AN$203,MATCH(1,($A30='Offer Statistics'!$AK$2:$AK$203)*($Y$2='Offer Statistics'!$AL$2:$AL$203),0)),INDEX('Offer Statistics'!AN$2:AN187,MATCH(1,($G30='Offer Statistics'!$AK$2:$AK$203)*($Y$2='Offer Statistics'!$AL$2:$AL$203),0))),"/")</f>
        <v>/</v>
      </c>
      <c r="AJ30" s="295" t="str" cm="1">
        <f t="array" ref="AJ30">IFERROR(IF(V30="2021年",INDEX('Offer Statistics'!AO$2:AO$203,MATCH(1,($A30='Offer Statistics'!$AK$2:$AK$203)*($Y$2='Offer Statistics'!$AL$2:$AL$203),0)),INDEX('Offer Statistics'!AO$2:AO187,MATCH(1,($G30='Offer Statistics'!$AK$2:$AK$203)*($Y$2='Offer Statistics'!$AL$2:$AL$203),0))),"/")</f>
        <v>/</v>
      </c>
      <c r="AK30" s="295" t="str" cm="1">
        <f t="array" ref="AK30">IFERROR(IF(W30="2021年",INDEX('Offer Statistics'!AP$2:AP$203,MATCH(1,($A30='Offer Statistics'!$AK$2:$AK$203)*($Y$2='Offer Statistics'!$AL$2:$AL$203),0)),INDEX('Offer Statistics'!AP$2:AP187,MATCH(1,($G30='Offer Statistics'!$AK$2:$AK$203)*($Y$2='Offer Statistics'!$AL$2:$AL$203),0))),"/")</f>
        <v>/</v>
      </c>
      <c r="AL30" s="295" t="str" cm="1">
        <f t="array" ref="AL30">IFERROR(IF(X30="2021年",INDEX('Offer Statistics'!AQ$2:AQ$203,MATCH(1,($A30='Offer Statistics'!$AK$2:$AK$203)*($Y$2='Offer Statistics'!$AL$2:$AL$203),0)),INDEX('Offer Statistics'!AQ$2:AQ187,MATCH(1,($G30='Offer Statistics'!$AK$2:$AK$203)*($Y$2='Offer Statistics'!$AL$2:$AL$203),0))),"/")</f>
        <v>/</v>
      </c>
      <c r="AM30" s="284"/>
      <c r="AN30" s="302" t="str">
        <f t="shared" si="2"/>
        <v>JS3557</v>
      </c>
      <c r="AO30" s="294" t="str">
        <f t="shared" si="7"/>
        <v>JS3557</v>
      </c>
    </row>
    <row r="31" spans="1:41" s="296" customFormat="1" ht="18" customHeight="1" x14ac:dyDescent="0.3">
      <c r="A31" s="290" t="s">
        <v>676</v>
      </c>
      <c r="B31" s="290" t="s">
        <v>2585</v>
      </c>
      <c r="C31" s="290" t="s">
        <v>680</v>
      </c>
      <c r="D31" s="290" t="s">
        <v>677</v>
      </c>
      <c r="E31" s="305" t="str">
        <f>'Reference Score Calculation'!E121</f>
        <v>Best 5</v>
      </c>
      <c r="F31" s="323">
        <f>'Reference Score Calculation'!V121</f>
        <v>19.7</v>
      </c>
      <c r="G31" s="294" t="s">
        <v>676</v>
      </c>
      <c r="H31" s="290" t="s">
        <v>679</v>
      </c>
      <c r="I31" s="310" t="str">
        <f>'Reference Score Calculation'!P121</f>
        <v>Best 5</v>
      </c>
      <c r="J31" s="323">
        <f>'Reference Score Calculation'!W121</f>
        <v>19.7</v>
      </c>
      <c r="K31" s="326">
        <f>'Reference Score Calculation'!G121</f>
        <v>178.00000000207999</v>
      </c>
      <c r="L31" s="326">
        <f>'Reference Score Calculation'!H121</f>
        <v>170.00000000260002</v>
      </c>
      <c r="M31" s="332">
        <f>計分版!H142</f>
        <v>2.175E-8</v>
      </c>
      <c r="N31" s="292">
        <f>IF(N$1="差距(Median)",M31-K31,IF(N$1="差距(LQ)",M31-L31))</f>
        <v>-177.99999998032999</v>
      </c>
      <c r="O31" s="293">
        <f>IF(N$1="差距(Median)",(M31-K31)/M31,IF(N$1="差距(LQ)",(M31-L31)/M31))</f>
        <v>-8183908045.0726433</v>
      </c>
      <c r="P31" s="298">
        <f>入學要求!C130</f>
        <v>60</v>
      </c>
      <c r="Q31" s="301">
        <f>入學要求!R130</f>
        <v>0</v>
      </c>
      <c r="R31" s="304"/>
      <c r="S31" s="302">
        <f>入學要求!D130</f>
        <v>3</v>
      </c>
      <c r="T31" s="302">
        <f>入學要求!E130</f>
        <v>3</v>
      </c>
      <c r="U31" s="302">
        <f>入學要求!F130</f>
        <v>2</v>
      </c>
      <c r="V31" s="302">
        <f>入學要求!G130</f>
        <v>2</v>
      </c>
      <c r="W31" s="302">
        <f>入學要求!H130</f>
        <v>3</v>
      </c>
      <c r="X31" s="302">
        <f>入學要求!I130</f>
        <v>3</v>
      </c>
      <c r="Y31" s="576"/>
      <c r="Z31" s="298" cm="1">
        <f t="array" ref="Z31">IFERROR(IF(Y31="2021年",INDEX('Offer Statistics'!AZ$2:AZ$203,MATCH(1,($A31='Offer Statistics'!$AK$2:$AK$203)*($Y$2='Offer Statistics'!$AL$2:$AL$203),0)),INDEX('Offer Statistics'!AZ$2:AZ$203,MATCH(1,($G31='Offer Statistics'!$AK$2:$AK$203)*($Y$2='Offer Statistics'!$AL$2:$AL$203),0))),"/")</f>
        <v>48</v>
      </c>
      <c r="AA31" s="295" cm="1">
        <f t="array" ref="AA31">IFERROR(IF(T31="2021年",INDEX('Offer Statistics'!AU$2:AU$203,MATCH(1,($A31='Offer Statistics'!$AK$2:$AK$203)*($Y$2='Offer Statistics'!$AL$2:$AL$203),0)),INDEX('Offer Statistics'!AU$2:AU$203,MATCH(1,($G31='Offer Statistics'!$AK$2:$AK$203)*($Y$2='Offer Statistics'!$AL$2:$AL$203),0))),"/")</f>
        <v>44</v>
      </c>
      <c r="AB31" s="295" cm="1">
        <f t="array" ref="AB31">IFERROR(IF(U31="2021年",INDEX('Offer Statistics'!AV$2:AV$203,MATCH(1,($A31='Offer Statistics'!$AK$2:$AK$203)*($Y$2='Offer Statistics'!$AL$2:$AL$203),0)),INDEX('Offer Statistics'!AV$2:AV$203,MATCH(1,($G31='Offer Statistics'!$AK$2:$AK$203)*($Y$2='Offer Statistics'!$AL$2:$AL$203),0))),"/")</f>
        <v>4</v>
      </c>
      <c r="AC31" s="295" cm="1">
        <f t="array" ref="AC31">IFERROR(IF(V31="2021年",INDEX('Offer Statistics'!AW$2:AW$203,MATCH(1,($A31='Offer Statistics'!$AK$2:$AK$203)*($Y$2='Offer Statistics'!$AL$2:$AL$203),0)),INDEX('Offer Statistics'!AW$2:AW$203,MATCH(1,($G31='Offer Statistics'!$AK$2:$AK$203)*($Y$2='Offer Statistics'!$AL$2:$AL$203),0))),"/")</f>
        <v>0</v>
      </c>
      <c r="AD31" s="295" cm="1">
        <f t="array" ref="AD31">IFERROR(IF(W31="2021年",INDEX('Offer Statistics'!AX$2:AX$203,MATCH(1,($A31='Offer Statistics'!$AK$2:$AK$203)*($Y$2='Offer Statistics'!$AL$2:$AL$203),0)),INDEX('Offer Statistics'!AX$2:AX$203,MATCH(1,($G31='Offer Statistics'!$AK$2:$AK$203)*($Y$2='Offer Statistics'!$AL$2:$AL$203),0))),"/")</f>
        <v>0</v>
      </c>
      <c r="AE31" s="295" cm="1">
        <f t="array" ref="AE31">IFERROR(IF(X31="2021年",INDEX('Offer Statistics'!AY$2:AY$203,MATCH(1,($A31='Offer Statistics'!$AK$2:$AK$203)*($Y$2='Offer Statistics'!$AL$2:$AL$203),0)),INDEX('Offer Statistics'!AY$2:AY$203,MATCH(1,($G31='Offer Statistics'!$AK$2:$AK$203)*($Y$2='Offer Statistics'!$AL$2:$AL$203),0))),"/")</f>
        <v>0</v>
      </c>
      <c r="AF31" s="580"/>
      <c r="AG31" s="310" t="str" cm="1">
        <f t="array" ref="AG31">IFERROR(IF(Y31="2021年",INDEX('Offer Statistics'!AR$2:AR$203,MATCH(1,($A31='Offer Statistics'!$AK$2:$AK$203)*($Y$2='Offer Statistics'!$AL$2:$AL$203),0)),INDEX('Offer Statistics'!AR$2:AR188,MATCH(1,($G31='Offer Statistics'!$AK$2:$AK$203)*($Y$2='Offer Statistics'!$AL$2:$AL$203),0))),"/")</f>
        <v>/</v>
      </c>
      <c r="AH31" s="295" t="str" cm="1">
        <f t="array" ref="AH31">IFERROR(IF(T31="2021年",INDEX('Offer Statistics'!AM$2:AM$203,MATCH(1,($A31='Offer Statistics'!$AK$2:$AK$203)*($Y$2='Offer Statistics'!$AL$2:$AL$203),0)),INDEX('Offer Statistics'!AM$2:AM188,MATCH(1,($G31='Offer Statistics'!$AK$2:$AK$203)*($Y$2='Offer Statistics'!$AL$2:$AL$203),0))),"/")</f>
        <v>/</v>
      </c>
      <c r="AI31" s="295" t="str" cm="1">
        <f t="array" ref="AI31">IFERROR(IF(U31="2021年",INDEX('Offer Statistics'!AN$2:AN$203,MATCH(1,($A31='Offer Statistics'!$AK$2:$AK$203)*($Y$2='Offer Statistics'!$AL$2:$AL$203),0)),INDEX('Offer Statistics'!AN$2:AN188,MATCH(1,($G31='Offer Statistics'!$AK$2:$AK$203)*($Y$2='Offer Statistics'!$AL$2:$AL$203),0))),"/")</f>
        <v>/</v>
      </c>
      <c r="AJ31" s="295" t="str" cm="1">
        <f t="array" ref="AJ31">IFERROR(IF(V31="2021年",INDEX('Offer Statistics'!AO$2:AO$203,MATCH(1,($A31='Offer Statistics'!$AK$2:$AK$203)*($Y$2='Offer Statistics'!$AL$2:$AL$203),0)),INDEX('Offer Statistics'!AO$2:AO188,MATCH(1,($G31='Offer Statistics'!$AK$2:$AK$203)*($Y$2='Offer Statistics'!$AL$2:$AL$203),0))),"/")</f>
        <v>/</v>
      </c>
      <c r="AK31" s="295" t="str" cm="1">
        <f t="array" ref="AK31">IFERROR(IF(W31="2021年",INDEX('Offer Statistics'!AP$2:AP$203,MATCH(1,($A31='Offer Statistics'!$AK$2:$AK$203)*($Y$2='Offer Statistics'!$AL$2:$AL$203),0)),INDEX('Offer Statistics'!AP$2:AP188,MATCH(1,($G31='Offer Statistics'!$AK$2:$AK$203)*($Y$2='Offer Statistics'!$AL$2:$AL$203),0))),"/")</f>
        <v>/</v>
      </c>
      <c r="AL31" s="295" t="str" cm="1">
        <f t="array" ref="AL31">IFERROR(IF(X31="2021年",INDEX('Offer Statistics'!AQ$2:AQ$203,MATCH(1,($A31='Offer Statistics'!$AK$2:$AK$203)*($Y$2='Offer Statistics'!$AL$2:$AL$203),0)),INDEX('Offer Statistics'!AQ$2:AQ188,MATCH(1,($G31='Offer Statistics'!$AK$2:$AK$203)*($Y$2='Offer Statistics'!$AL$2:$AL$203),0))),"/")</f>
        <v>/</v>
      </c>
      <c r="AM31" s="284"/>
      <c r="AN31" s="302" t="str">
        <f t="shared" si="2"/>
        <v>JS3741</v>
      </c>
      <c r="AO31" s="294" t="str">
        <f t="shared" si="7"/>
        <v>JS3741</v>
      </c>
    </row>
    <row r="32" spans="1:41" s="296" customFormat="1" ht="18" customHeight="1" x14ac:dyDescent="0.3">
      <c r="A32" s="290" t="s">
        <v>536</v>
      </c>
      <c r="B32" s="290" t="s">
        <v>2637</v>
      </c>
      <c r="C32" s="290" t="s">
        <v>539</v>
      </c>
      <c r="D32" s="290" t="s">
        <v>537</v>
      </c>
      <c r="E32" s="305" t="str">
        <f>'Reference Score Calculation'!E122</f>
        <v>中英Best3</v>
      </c>
      <c r="F32" s="323">
        <f>'Reference Score Calculation'!V122</f>
        <v>21.2</v>
      </c>
      <c r="G32" s="294" t="s">
        <v>705</v>
      </c>
      <c r="H32" s="290" t="s">
        <v>707</v>
      </c>
      <c r="I32" s="310" t="str">
        <f>'Reference Score Calculation'!P122</f>
        <v>中英Best3</v>
      </c>
      <c r="J32" s="323">
        <f>'Reference Score Calculation'!W122</f>
        <v>21.2</v>
      </c>
      <c r="K32" s="326">
        <f>'Reference Score Calculation'!G122</f>
        <v>166.50000000109</v>
      </c>
      <c r="L32" s="326">
        <f>'Reference Score Calculation'!H122</f>
        <v>149.00000000109</v>
      </c>
      <c r="M32" s="332">
        <f>計分版!H143</f>
        <v>1.625E-8</v>
      </c>
      <c r="N32" s="292">
        <f t="shared" si="3"/>
        <v>-166.49999998484</v>
      </c>
      <c r="O32" s="293">
        <f t="shared" si="4"/>
        <v>-10246153845.220922</v>
      </c>
      <c r="P32" s="298">
        <f>入學要求!C131</f>
        <v>37</v>
      </c>
      <c r="Q32" s="301">
        <f>入學要求!R131</f>
        <v>0</v>
      </c>
      <c r="R32" s="304"/>
      <c r="S32" s="302">
        <f>入學要求!D131</f>
        <v>3</v>
      </c>
      <c r="T32" s="302">
        <f>入學要求!E131</f>
        <v>3</v>
      </c>
      <c r="U32" s="302">
        <f>入學要求!F131</f>
        <v>2</v>
      </c>
      <c r="V32" s="302">
        <f>入學要求!G131</f>
        <v>2</v>
      </c>
      <c r="W32" s="302">
        <f>入學要求!H131</f>
        <v>3</v>
      </c>
      <c r="X32" s="302">
        <f>入學要求!I131</f>
        <v>3</v>
      </c>
      <c r="Y32" s="576"/>
      <c r="Z32" s="310" t="str" cm="1">
        <f t="array" ref="Z32">IFERROR(IF(Y32="2021年",INDEX('Offer Statistics'!AZ$2:AZ$203,MATCH(1,($A32='Offer Statistics'!$AK$2:$AK$203)*($Y$2='Offer Statistics'!$AL$2:$AL$203),0)),INDEX('Offer Statistics'!AZ$2:AZ$203,MATCH(1,($G32='Offer Statistics'!$AK$2:$AK$203)*($Y$2='Offer Statistics'!$AL$2:$AL$203),0))),"/")</f>
        <v>/</v>
      </c>
      <c r="AA32" s="295" t="str" cm="1">
        <f t="array" ref="AA32">IFERROR(IF(T32="2021年",INDEX('Offer Statistics'!AU$2:AU$203,MATCH(1,($A32='Offer Statistics'!$AK$2:$AK$203)*($Y$2='Offer Statistics'!$AL$2:$AL$203),0)),INDEX('Offer Statistics'!AU$2:AU$203,MATCH(1,($G32='Offer Statistics'!$AK$2:$AK$203)*($Y$2='Offer Statistics'!$AL$2:$AL$203),0))),"/")</f>
        <v>/</v>
      </c>
      <c r="AB32" s="295" t="str" cm="1">
        <f t="array" ref="AB32">IFERROR(IF(U32="2021年",INDEX('Offer Statistics'!AV$2:AV$203,MATCH(1,($A32='Offer Statistics'!$AK$2:$AK$203)*($Y$2='Offer Statistics'!$AL$2:$AL$203),0)),INDEX('Offer Statistics'!AV$2:AV$203,MATCH(1,($G32='Offer Statistics'!$AK$2:$AK$203)*($Y$2='Offer Statistics'!$AL$2:$AL$203),0))),"/")</f>
        <v>/</v>
      </c>
      <c r="AC32" s="295" t="str" cm="1">
        <f t="array" ref="AC32">IFERROR(IF(V32="2021年",INDEX('Offer Statistics'!AW$2:AW$203,MATCH(1,($A32='Offer Statistics'!$AK$2:$AK$203)*($Y$2='Offer Statistics'!$AL$2:$AL$203),0)),INDEX('Offer Statistics'!AW$2:AW$203,MATCH(1,($G32='Offer Statistics'!$AK$2:$AK$203)*($Y$2='Offer Statistics'!$AL$2:$AL$203),0))),"/")</f>
        <v>/</v>
      </c>
      <c r="AD32" s="295" t="str" cm="1">
        <f t="array" ref="AD32">IFERROR(IF(W32="2021年",INDEX('Offer Statistics'!AX$2:AX$203,MATCH(1,($A32='Offer Statistics'!$AK$2:$AK$203)*($Y$2='Offer Statistics'!$AL$2:$AL$203),0)),INDEX('Offer Statistics'!AX$2:AX$203,MATCH(1,($G32='Offer Statistics'!$AK$2:$AK$203)*($Y$2='Offer Statistics'!$AL$2:$AL$203),0))),"/")</f>
        <v>/</v>
      </c>
      <c r="AE32" s="295" t="str" cm="1">
        <f t="array" ref="AE32">IFERROR(IF(X32="2021年",INDEX('Offer Statistics'!AY$2:AY$203,MATCH(1,($A32='Offer Statistics'!$AK$2:$AK$203)*($Y$2='Offer Statistics'!$AL$2:$AL$203),0)),INDEX('Offer Statistics'!AY$2:AY$203,MATCH(1,($G32='Offer Statistics'!$AK$2:$AK$203)*($Y$2='Offer Statistics'!$AL$2:$AL$203),0))),"/")</f>
        <v>/</v>
      </c>
      <c r="AF32" s="580"/>
      <c r="AG32" s="310" t="str" cm="1">
        <f t="array" ref="AG32">IFERROR(IF(Y32="2021年",INDEX('Offer Statistics'!AR$2:AR$203,MATCH(1,($A32='Offer Statistics'!$AK$2:$AK$203)*($Y$2='Offer Statistics'!$AL$2:$AL$203),0)),INDEX('Offer Statistics'!AR$2:AR189,MATCH(1,($G32='Offer Statistics'!$AK$2:$AK$203)*($Y$2='Offer Statistics'!$AL$2:$AL$203),0))),"/")</f>
        <v>/</v>
      </c>
      <c r="AH32" s="295" t="str" cm="1">
        <f t="array" ref="AH32">IFERROR(IF(T32="2021年",INDEX('Offer Statistics'!AM$2:AM$203,MATCH(1,($A32='Offer Statistics'!$AK$2:$AK$203)*($Y$2='Offer Statistics'!$AL$2:$AL$203),0)),INDEX('Offer Statistics'!AM$2:AM189,MATCH(1,($G32='Offer Statistics'!$AK$2:$AK$203)*($Y$2='Offer Statistics'!$AL$2:$AL$203),0))),"/")</f>
        <v>/</v>
      </c>
      <c r="AI32" s="295" t="str" cm="1">
        <f t="array" ref="AI32">IFERROR(IF(U32="2021年",INDEX('Offer Statistics'!AN$2:AN$203,MATCH(1,($A32='Offer Statistics'!$AK$2:$AK$203)*($Y$2='Offer Statistics'!$AL$2:$AL$203),0)),INDEX('Offer Statistics'!AN$2:AN189,MATCH(1,($G32='Offer Statistics'!$AK$2:$AK$203)*($Y$2='Offer Statistics'!$AL$2:$AL$203),0))),"/")</f>
        <v>/</v>
      </c>
      <c r="AJ32" s="295" t="str" cm="1">
        <f t="array" ref="AJ32">IFERROR(IF(V32="2021年",INDEX('Offer Statistics'!AO$2:AO$203,MATCH(1,($A32='Offer Statistics'!$AK$2:$AK$203)*($Y$2='Offer Statistics'!$AL$2:$AL$203),0)),INDEX('Offer Statistics'!AO$2:AO189,MATCH(1,($G32='Offer Statistics'!$AK$2:$AK$203)*($Y$2='Offer Statistics'!$AL$2:$AL$203),0))),"/")</f>
        <v>/</v>
      </c>
      <c r="AK32" s="295" t="str" cm="1">
        <f t="array" ref="AK32">IFERROR(IF(W32="2021年",INDEX('Offer Statistics'!AP$2:AP$203,MATCH(1,($A32='Offer Statistics'!$AK$2:$AK$203)*($Y$2='Offer Statistics'!$AL$2:$AL$203),0)),INDEX('Offer Statistics'!AP$2:AP189,MATCH(1,($G32='Offer Statistics'!$AK$2:$AK$203)*($Y$2='Offer Statistics'!$AL$2:$AL$203),0))),"/")</f>
        <v>/</v>
      </c>
      <c r="AL32" s="295" t="str" cm="1">
        <f t="array" ref="AL32">IFERROR(IF(X32="2021年",INDEX('Offer Statistics'!AQ$2:AQ$203,MATCH(1,($A32='Offer Statistics'!$AK$2:$AK$203)*($Y$2='Offer Statistics'!$AL$2:$AL$203),0)),INDEX('Offer Statistics'!AQ$2:AQ189,MATCH(1,($G32='Offer Statistics'!$AK$2:$AK$203)*($Y$2='Offer Statistics'!$AL$2:$AL$203),0))),"/")</f>
        <v>/</v>
      </c>
      <c r="AM32" s="284"/>
      <c r="AN32" s="302" t="str">
        <f t="shared" si="2"/>
        <v>JS3818</v>
      </c>
      <c r="AO32" s="294" t="str">
        <f t="shared" si="7"/>
        <v>JS3230</v>
      </c>
    </row>
    <row r="33" spans="1:41" s="296" customFormat="1" ht="18" customHeight="1" x14ac:dyDescent="0.3">
      <c r="A33" s="290" t="s">
        <v>540</v>
      </c>
      <c r="B33" s="290" t="s">
        <v>2637</v>
      </c>
      <c r="C33" s="290" t="s">
        <v>543</v>
      </c>
      <c r="D33" s="290" t="s">
        <v>541</v>
      </c>
      <c r="E33" s="305" t="str">
        <f>'Reference Score Calculation'!E123</f>
        <v>中英Best3</v>
      </c>
      <c r="F33" s="323">
        <f>'Reference Score Calculation'!V123</f>
        <v>20.100000000000001</v>
      </c>
      <c r="G33" s="294" t="s">
        <v>712</v>
      </c>
      <c r="H33" s="290" t="s">
        <v>714</v>
      </c>
      <c r="I33" s="310" t="str">
        <f>'Reference Score Calculation'!P123</f>
        <v>中英Best3</v>
      </c>
      <c r="J33" s="323">
        <f>'Reference Score Calculation'!W123</f>
        <v>20.100000000000001</v>
      </c>
      <c r="K33" s="326">
        <f>'Reference Score Calculation'!G123</f>
        <v>139.50000000109</v>
      </c>
      <c r="L33" s="326">
        <f>'Reference Score Calculation'!H123</f>
        <v>149.00000000109</v>
      </c>
      <c r="M33" s="332">
        <f>計分版!H144</f>
        <v>1.625E-8</v>
      </c>
      <c r="N33" s="292">
        <f t="shared" ref="N33:N41" si="8">IF(N$1="差距(Median)",M33-K33,IF(N$1="差距(LQ)",M33-L33))</f>
        <v>-139.49999998484</v>
      </c>
      <c r="O33" s="293">
        <f t="shared" ref="O33:O41" si="9">IF(N$1="差距(Median)",(M33-K33)/M33,IF(N$1="差距(LQ)",(M33-L33)/M33))</f>
        <v>-8584615383.6824617</v>
      </c>
      <c r="P33" s="298">
        <f>入學要求!C132</f>
        <v>41</v>
      </c>
      <c r="Q33" s="301">
        <f>入學要求!R132</f>
        <v>0</v>
      </c>
      <c r="R33" s="294"/>
      <c r="S33" s="302">
        <f>入學要求!D132</f>
        <v>3</v>
      </c>
      <c r="T33" s="302">
        <f>入學要求!E132</f>
        <v>3</v>
      </c>
      <c r="U33" s="302">
        <f>入學要求!F132</f>
        <v>2</v>
      </c>
      <c r="V33" s="302">
        <f>入學要求!G132</f>
        <v>2</v>
      </c>
      <c r="W33" s="302">
        <f>入學要求!H132</f>
        <v>3</v>
      </c>
      <c r="X33" s="302">
        <f>入學要求!I132</f>
        <v>3</v>
      </c>
      <c r="Y33" s="576"/>
      <c r="Z33" s="309" t="str" cm="1">
        <f t="array" ref="Z33">IFERROR(IF(Y33="2021年",INDEX('Offer Statistics'!AZ$2:AZ$203,MATCH(1,($A33='Offer Statistics'!$AK$2:$AK$203)*($Y$2='Offer Statistics'!$AL$2:$AL$203),0)),INDEX('Offer Statistics'!AZ$2:AZ$203,MATCH(1,($G33='Offer Statistics'!$AK$2:$AK$203)*($Y$2='Offer Statistics'!$AL$2:$AL$203),0))),"/")</f>
        <v>/</v>
      </c>
      <c r="AA33" s="295" t="str" cm="1">
        <f t="array" ref="AA33">IFERROR(IF(T33="2021年",INDEX('Offer Statistics'!AU$2:AU$203,MATCH(1,($A33='Offer Statistics'!$AK$2:$AK$203)*($Y$2='Offer Statistics'!$AL$2:$AL$203),0)),INDEX('Offer Statistics'!AU$2:AU$203,MATCH(1,($G33='Offer Statistics'!$AK$2:$AK$203)*($Y$2='Offer Statistics'!$AL$2:$AL$203),0))),"/")</f>
        <v>/</v>
      </c>
      <c r="AB33" s="295" t="str" cm="1">
        <f t="array" ref="AB33">IFERROR(IF(U33="2021年",INDEX('Offer Statistics'!AV$2:AV$203,MATCH(1,($A33='Offer Statistics'!$AK$2:$AK$203)*($Y$2='Offer Statistics'!$AL$2:$AL$203),0)),INDEX('Offer Statistics'!AV$2:AV$203,MATCH(1,($G33='Offer Statistics'!$AK$2:$AK$203)*($Y$2='Offer Statistics'!$AL$2:$AL$203),0))),"/")</f>
        <v>/</v>
      </c>
      <c r="AC33" s="295" t="str" cm="1">
        <f t="array" ref="AC33">IFERROR(IF(V33="2021年",INDEX('Offer Statistics'!AW$2:AW$203,MATCH(1,($A33='Offer Statistics'!$AK$2:$AK$203)*($Y$2='Offer Statistics'!$AL$2:$AL$203),0)),INDEX('Offer Statistics'!AW$2:AW$203,MATCH(1,($G33='Offer Statistics'!$AK$2:$AK$203)*($Y$2='Offer Statistics'!$AL$2:$AL$203),0))),"/")</f>
        <v>/</v>
      </c>
      <c r="AD33" s="295" t="str" cm="1">
        <f t="array" ref="AD33">IFERROR(IF(W33="2021年",INDEX('Offer Statistics'!AX$2:AX$203,MATCH(1,($A33='Offer Statistics'!$AK$2:$AK$203)*($Y$2='Offer Statistics'!$AL$2:$AL$203),0)),INDEX('Offer Statistics'!AX$2:AX$203,MATCH(1,($G33='Offer Statistics'!$AK$2:$AK$203)*($Y$2='Offer Statistics'!$AL$2:$AL$203),0))),"/")</f>
        <v>/</v>
      </c>
      <c r="AE33" s="295" t="str" cm="1">
        <f t="array" ref="AE33">IFERROR(IF(X33="2021年",INDEX('Offer Statistics'!AY$2:AY$203,MATCH(1,($A33='Offer Statistics'!$AK$2:$AK$203)*($Y$2='Offer Statistics'!$AL$2:$AL$203),0)),INDEX('Offer Statistics'!AY$2:AY$203,MATCH(1,($G33='Offer Statistics'!$AK$2:$AK$203)*($Y$2='Offer Statistics'!$AL$2:$AL$203),0))),"/")</f>
        <v>/</v>
      </c>
      <c r="AF33" s="580"/>
      <c r="AG33" s="310" t="str" cm="1">
        <f t="array" ref="AG33">IFERROR(IF(Y33="2021年",INDEX('Offer Statistics'!AR$2:AR$203,MATCH(1,($A33='Offer Statistics'!$AK$2:$AK$203)*($Y$2='Offer Statistics'!$AL$2:$AL$203),0)),INDEX('Offer Statistics'!AR$2:AR190,MATCH(1,($G33='Offer Statistics'!$AK$2:$AK$203)*($Y$2='Offer Statistics'!$AL$2:$AL$203),0))),"/")</f>
        <v>/</v>
      </c>
      <c r="AH33" s="295" t="str" cm="1">
        <f t="array" ref="AH33">IFERROR(IF(T33="2021年",INDEX('Offer Statistics'!AM$2:AM$203,MATCH(1,($A33='Offer Statistics'!$AK$2:$AK$203)*($Y$2='Offer Statistics'!$AL$2:$AL$203),0)),INDEX('Offer Statistics'!AM$2:AM190,MATCH(1,($G33='Offer Statistics'!$AK$2:$AK$203)*($Y$2='Offer Statistics'!$AL$2:$AL$203),0))),"/")</f>
        <v>/</v>
      </c>
      <c r="AI33" s="295" t="str" cm="1">
        <f t="array" ref="AI33">IFERROR(IF(U33="2021年",INDEX('Offer Statistics'!AN$2:AN$203,MATCH(1,($A33='Offer Statistics'!$AK$2:$AK$203)*($Y$2='Offer Statistics'!$AL$2:$AL$203),0)),INDEX('Offer Statistics'!AN$2:AN190,MATCH(1,($G33='Offer Statistics'!$AK$2:$AK$203)*($Y$2='Offer Statistics'!$AL$2:$AL$203),0))),"/")</f>
        <v>/</v>
      </c>
      <c r="AJ33" s="295" t="str" cm="1">
        <f t="array" ref="AJ33">IFERROR(IF(V33="2021年",INDEX('Offer Statistics'!AO$2:AO$203,MATCH(1,($A33='Offer Statistics'!$AK$2:$AK$203)*($Y$2='Offer Statistics'!$AL$2:$AL$203),0)),INDEX('Offer Statistics'!AO$2:AO190,MATCH(1,($G33='Offer Statistics'!$AK$2:$AK$203)*($Y$2='Offer Statistics'!$AL$2:$AL$203),0))),"/")</f>
        <v>/</v>
      </c>
      <c r="AK33" s="295" t="str" cm="1">
        <f t="array" ref="AK33">IFERROR(IF(W33="2021年",INDEX('Offer Statistics'!AP$2:AP$203,MATCH(1,($A33='Offer Statistics'!$AK$2:$AK$203)*($Y$2='Offer Statistics'!$AL$2:$AL$203),0)),INDEX('Offer Statistics'!AP$2:AP190,MATCH(1,($G33='Offer Statistics'!$AK$2:$AK$203)*($Y$2='Offer Statistics'!$AL$2:$AL$203),0))),"/")</f>
        <v>/</v>
      </c>
      <c r="AL33" s="295" t="str" cm="1">
        <f t="array" ref="AL33">IFERROR(IF(X33="2021年",INDEX('Offer Statistics'!AQ$2:AQ$203,MATCH(1,($A33='Offer Statistics'!$AK$2:$AK$203)*($Y$2='Offer Statistics'!$AL$2:$AL$203),0)),INDEX('Offer Statistics'!AQ$2:AQ190,MATCH(1,($G33='Offer Statistics'!$AK$2:$AK$203)*($Y$2='Offer Statistics'!$AL$2:$AL$203),0))),"/")</f>
        <v>/</v>
      </c>
      <c r="AM33" s="284"/>
      <c r="AN33" s="313" t="str">
        <f t="shared" si="2"/>
        <v>JS3832</v>
      </c>
      <c r="AO33" s="294" t="str">
        <f t="shared" si="7"/>
        <v>JS3240</v>
      </c>
    </row>
    <row r="34" spans="1:41" ht="18" customHeight="1" x14ac:dyDescent="0.3">
      <c r="A34" s="252" t="s">
        <v>552</v>
      </c>
      <c r="B34" s="252" t="s">
        <v>2992</v>
      </c>
      <c r="C34" s="4" t="s">
        <v>555</v>
      </c>
      <c r="D34" s="252" t="s">
        <v>553</v>
      </c>
      <c r="E34" s="62" t="str">
        <f>'Reference Score Calculation'!E124</f>
        <v>Best 5</v>
      </c>
      <c r="F34" s="322">
        <f>'Reference Score Calculation'!V124</f>
        <v>21.5</v>
      </c>
      <c r="G34" s="256" t="s">
        <v>708</v>
      </c>
      <c r="H34" s="4" t="s">
        <v>711</v>
      </c>
      <c r="I34" s="309" t="str">
        <f>'Reference Score Calculation'!P124</f>
        <v>Best 5</v>
      </c>
      <c r="J34" s="322">
        <f>'Reference Score Calculation'!W124</f>
        <v>21.1</v>
      </c>
      <c r="K34" s="34">
        <f>'Reference Score Calculation'!G124</f>
        <v>147.50000000106002</v>
      </c>
      <c r="L34" s="34">
        <f>'Reference Score Calculation'!H124</f>
        <v>140.50000000106002</v>
      </c>
      <c r="M34" s="331">
        <f>計分版!H145</f>
        <v>1.9750000000000001E-8</v>
      </c>
      <c r="N34" s="25">
        <f t="shared" si="8"/>
        <v>-147.49999998131003</v>
      </c>
      <c r="O34" s="26">
        <f t="shared" si="9"/>
        <v>-7468354429.4334183</v>
      </c>
      <c r="P34" s="591">
        <f>入學要求!C133</f>
        <v>84</v>
      </c>
      <c r="Q34" s="590">
        <f>入學要求!R133</f>
        <v>0</v>
      </c>
      <c r="R34" s="101"/>
      <c r="S34" s="581">
        <f>入學要求!D133</f>
        <v>3</v>
      </c>
      <c r="T34" s="581">
        <f>入學要求!E133</f>
        <v>3</v>
      </c>
      <c r="U34" s="581">
        <f>入學要求!F133</f>
        <v>2</v>
      </c>
      <c r="V34" s="581">
        <f>入學要求!G133</f>
        <v>2</v>
      </c>
      <c r="W34" s="581">
        <f>入學要求!H133</f>
        <v>3</v>
      </c>
      <c r="X34" s="581">
        <f>入學要求!I133</f>
        <v>3</v>
      </c>
      <c r="Y34" s="576"/>
      <c r="Z34" s="318" t="str" cm="1">
        <f t="array" ref="Z34">IFERROR(IF(Y34="2021年",INDEX('Offer Statistics'!AZ$2:AZ$203,MATCH(1,($A34='Offer Statistics'!$AK$2:$AK$203)*($Y$2='Offer Statistics'!$AL$2:$AL$203),0)),INDEX('Offer Statistics'!AZ$2:AZ$203,MATCH(1,($G34='Offer Statistics'!$AK$2:$AK$203)*($Y$2='Offer Statistics'!$AL$2:$AL$203),0))),"/")</f>
        <v>/</v>
      </c>
      <c r="AA34" s="321" t="str" cm="1">
        <f t="array" ref="AA34">IFERROR(IF(T34="2021年",INDEX('Offer Statistics'!AU$2:AU$203,MATCH(1,($A34='Offer Statistics'!$AK$2:$AK$203)*($Y$2='Offer Statistics'!$AL$2:$AL$203),0)),INDEX('Offer Statistics'!AU$2:AU$203,MATCH(1,($G34='Offer Statistics'!$AK$2:$AK$203)*($Y$2='Offer Statistics'!$AL$2:$AL$203),0))),"/")</f>
        <v>/</v>
      </c>
      <c r="AB34" s="321" t="str" cm="1">
        <f t="array" ref="AB34">IFERROR(IF(U34="2021年",INDEX('Offer Statistics'!AV$2:AV$203,MATCH(1,($A34='Offer Statistics'!$AK$2:$AK$203)*($Y$2='Offer Statistics'!$AL$2:$AL$203),0)),INDEX('Offer Statistics'!AV$2:AV$203,MATCH(1,($G34='Offer Statistics'!$AK$2:$AK$203)*($Y$2='Offer Statistics'!$AL$2:$AL$203),0))),"/")</f>
        <v>/</v>
      </c>
      <c r="AC34" s="321" t="str" cm="1">
        <f t="array" ref="AC34">IFERROR(IF(V34="2021年",INDEX('Offer Statistics'!AW$2:AW$203,MATCH(1,($A34='Offer Statistics'!$AK$2:$AK$203)*($Y$2='Offer Statistics'!$AL$2:$AL$203),0)),INDEX('Offer Statistics'!AW$2:AW$203,MATCH(1,($G34='Offer Statistics'!$AK$2:$AK$203)*($Y$2='Offer Statistics'!$AL$2:$AL$203),0))),"/")</f>
        <v>/</v>
      </c>
      <c r="AD34" s="321" t="str" cm="1">
        <f t="array" ref="AD34">IFERROR(IF(W34="2021年",INDEX('Offer Statistics'!AX$2:AX$203,MATCH(1,($A34='Offer Statistics'!$AK$2:$AK$203)*($Y$2='Offer Statistics'!$AL$2:$AL$203),0)),INDEX('Offer Statistics'!AX$2:AX$203,MATCH(1,($G34='Offer Statistics'!$AK$2:$AK$203)*($Y$2='Offer Statistics'!$AL$2:$AL$203),0))),"/")</f>
        <v>/</v>
      </c>
      <c r="AE34" s="321" t="str" cm="1">
        <f t="array" ref="AE34">IFERROR(IF(X34="2021年",INDEX('Offer Statistics'!AY$2:AY$203,MATCH(1,($A34='Offer Statistics'!$AK$2:$AK$203)*($Y$2='Offer Statistics'!$AL$2:$AL$203),0)),INDEX('Offer Statistics'!AY$2:AY$203,MATCH(1,($G34='Offer Statistics'!$AK$2:$AK$203)*($Y$2='Offer Statistics'!$AL$2:$AL$203),0))),"/")</f>
        <v>/</v>
      </c>
      <c r="AF34" s="580"/>
      <c r="AG34" s="318" t="str" cm="1">
        <f t="array" ref="AG34">IFERROR(IF(Y34="2021年",INDEX('Offer Statistics'!AR$2:AR$203,MATCH(1,($A34='Offer Statistics'!$AK$2:$AK$203)*($Y$2='Offer Statistics'!$AL$2:$AL$203),0)),INDEX('Offer Statistics'!AR$2:AR191,MATCH(1,($G34='Offer Statistics'!$AK$2:$AK$203)*($Y$2='Offer Statistics'!$AL$2:$AL$203),0))),"/")</f>
        <v>/</v>
      </c>
      <c r="AH34" s="321" t="str" cm="1">
        <f t="array" ref="AH34">IFERROR(IF(T34="2021年",INDEX('Offer Statistics'!AM$2:AM$203,MATCH(1,($A34='Offer Statistics'!$AK$2:$AK$203)*($Y$2='Offer Statistics'!$AL$2:$AL$203),0)),INDEX('Offer Statistics'!AM$2:AM191,MATCH(1,($G34='Offer Statistics'!$AK$2:$AK$203)*($Y$2='Offer Statistics'!$AL$2:$AL$203),0))),"/")</f>
        <v>/</v>
      </c>
      <c r="AI34" s="321" t="str" cm="1">
        <f t="array" ref="AI34">IFERROR(IF(U34="2021年",INDEX('Offer Statistics'!AN$2:AN$203,MATCH(1,($A34='Offer Statistics'!$AK$2:$AK$203)*($Y$2='Offer Statistics'!$AL$2:$AL$203),0)),INDEX('Offer Statistics'!AN$2:AN191,MATCH(1,($G34='Offer Statistics'!$AK$2:$AK$203)*($Y$2='Offer Statistics'!$AL$2:$AL$203),0))),"/")</f>
        <v>/</v>
      </c>
      <c r="AJ34" s="321" t="str" cm="1">
        <f t="array" ref="AJ34">IFERROR(IF(V34="2021年",INDEX('Offer Statistics'!AO$2:AO$203,MATCH(1,($A34='Offer Statistics'!$AK$2:$AK$203)*($Y$2='Offer Statistics'!$AL$2:$AL$203),0)),INDEX('Offer Statistics'!AO$2:AO191,MATCH(1,($G34='Offer Statistics'!$AK$2:$AK$203)*($Y$2='Offer Statistics'!$AL$2:$AL$203),0))),"/")</f>
        <v>/</v>
      </c>
      <c r="AK34" s="321" t="str" cm="1">
        <f t="array" ref="AK34">IFERROR(IF(W34="2021年",INDEX('Offer Statistics'!AP$2:AP$203,MATCH(1,($A34='Offer Statistics'!$AK$2:$AK$203)*($Y$2='Offer Statistics'!$AL$2:$AL$203),0)),INDEX('Offer Statistics'!AP$2:AP191,MATCH(1,($G34='Offer Statistics'!$AK$2:$AK$203)*($Y$2='Offer Statistics'!$AL$2:$AL$203),0))),"/")</f>
        <v>/</v>
      </c>
      <c r="AL34" s="321" t="str" cm="1">
        <f t="array" ref="AL34">IFERROR(IF(X34="2021年",INDEX('Offer Statistics'!AQ$2:AQ$203,MATCH(1,($A34='Offer Statistics'!$AK$2:$AK$203)*($Y$2='Offer Statistics'!$AL$2:$AL$203),0)),INDEX('Offer Statistics'!AQ$2:AQ191,MATCH(1,($G34='Offer Statistics'!$AK$2:$AK$203)*($Y$2='Offer Statistics'!$AL$2:$AL$203),0))),"/")</f>
        <v>/</v>
      </c>
      <c r="AM34" s="284"/>
      <c r="AN34" s="319" t="str">
        <f t="shared" si="2"/>
        <v>JS3820</v>
      </c>
      <c r="AO34" s="15" t="str">
        <f t="shared" si="7"/>
        <v>JS3310</v>
      </c>
    </row>
    <row r="35" spans="1:41" s="296" customFormat="1" ht="18" customHeight="1" x14ac:dyDescent="0.3">
      <c r="A35" s="290"/>
      <c r="B35" s="290"/>
      <c r="C35" s="290"/>
      <c r="D35" s="290"/>
      <c r="E35" s="305" t="str">
        <f>'Reference Score Calculation'!E125</f>
        <v/>
      </c>
      <c r="F35" s="323" t="str">
        <f>'Reference Score Calculation'!V125</f>
        <v/>
      </c>
      <c r="G35" s="294" t="s">
        <v>726</v>
      </c>
      <c r="H35" s="290" t="s">
        <v>729</v>
      </c>
      <c r="I35" s="310" t="str">
        <f>'Reference Score Calculation'!P125</f>
        <v>Best 5</v>
      </c>
      <c r="J35" s="323">
        <f>'Reference Score Calculation'!W125</f>
        <v>21.8</v>
      </c>
      <c r="K35" s="326">
        <f>'Reference Score Calculation'!G125</f>
        <v>147.50000000111001</v>
      </c>
      <c r="L35" s="326">
        <f>'Reference Score Calculation'!H125</f>
        <v>144.50000000106002</v>
      </c>
      <c r="M35" s="332">
        <f>計分版!H146</f>
        <v>1.9750000000000001E-8</v>
      </c>
      <c r="N35" s="292">
        <f t="shared" si="8"/>
        <v>-147.49999998136002</v>
      </c>
      <c r="O35" s="293">
        <f t="shared" si="9"/>
        <v>-7468354429.4359503</v>
      </c>
      <c r="P35" s="584"/>
      <c r="Q35" s="589"/>
      <c r="R35" s="294"/>
      <c r="S35" s="582"/>
      <c r="T35" s="582"/>
      <c r="U35" s="582"/>
      <c r="V35" s="582"/>
      <c r="W35" s="582"/>
      <c r="X35" s="582"/>
      <c r="Y35" s="576"/>
      <c r="Z35" s="310" t="str" cm="1">
        <f t="array" ref="Z35">IFERROR(IF(Y35="2021年",INDEX('Offer Statistics'!AZ$2:AZ$203,MATCH(1,($A35='Offer Statistics'!$AK$2:$AK$203)*($Y$2='Offer Statistics'!$AL$2:$AL$203),0)),INDEX('Offer Statistics'!AZ$2:AZ$203,MATCH(1,($G35='Offer Statistics'!$AK$2:$AK$203)*($Y$2='Offer Statistics'!$AL$2:$AL$203),0))),"/")</f>
        <v>/</v>
      </c>
      <c r="AA35" s="295" t="str" cm="1">
        <f t="array" ref="AA35">IFERROR(IF(T35="2021年",INDEX('Offer Statistics'!AU$2:AU$203,MATCH(1,($A35='Offer Statistics'!$AK$2:$AK$203)*($Y$2='Offer Statistics'!$AL$2:$AL$203),0)),INDEX('Offer Statistics'!AU$2:AU$203,MATCH(1,($G35='Offer Statistics'!$AK$2:$AK$203)*($Y$2='Offer Statistics'!$AL$2:$AL$203),0))),"/")</f>
        <v>/</v>
      </c>
      <c r="AB35" s="295" t="str" cm="1">
        <f t="array" ref="AB35">IFERROR(IF(U35="2021年",INDEX('Offer Statistics'!AV$2:AV$203,MATCH(1,($A35='Offer Statistics'!$AK$2:$AK$203)*($Y$2='Offer Statistics'!$AL$2:$AL$203),0)),INDEX('Offer Statistics'!AV$2:AV$203,MATCH(1,($G35='Offer Statistics'!$AK$2:$AK$203)*($Y$2='Offer Statistics'!$AL$2:$AL$203),0))),"/")</f>
        <v>/</v>
      </c>
      <c r="AC35" s="295" t="str" cm="1">
        <f t="array" ref="AC35">IFERROR(IF(V35="2021年",INDEX('Offer Statistics'!AW$2:AW$203,MATCH(1,($A35='Offer Statistics'!$AK$2:$AK$203)*($Y$2='Offer Statistics'!$AL$2:$AL$203),0)),INDEX('Offer Statistics'!AW$2:AW$203,MATCH(1,($G35='Offer Statistics'!$AK$2:$AK$203)*($Y$2='Offer Statistics'!$AL$2:$AL$203),0))),"/")</f>
        <v>/</v>
      </c>
      <c r="AD35" s="295" t="str" cm="1">
        <f t="array" ref="AD35">IFERROR(IF(W35="2021年",INDEX('Offer Statistics'!AX$2:AX$203,MATCH(1,($A35='Offer Statistics'!$AK$2:$AK$203)*($Y$2='Offer Statistics'!$AL$2:$AL$203),0)),INDEX('Offer Statistics'!AX$2:AX$203,MATCH(1,($G35='Offer Statistics'!$AK$2:$AK$203)*($Y$2='Offer Statistics'!$AL$2:$AL$203),0))),"/")</f>
        <v>/</v>
      </c>
      <c r="AE35" s="295" t="str" cm="1">
        <f t="array" ref="AE35">IFERROR(IF(X35="2021年",INDEX('Offer Statistics'!AY$2:AY$203,MATCH(1,($A35='Offer Statistics'!$AK$2:$AK$203)*($Y$2='Offer Statistics'!$AL$2:$AL$203),0)),INDEX('Offer Statistics'!AY$2:AY$203,MATCH(1,($G35='Offer Statistics'!$AK$2:$AK$203)*($Y$2='Offer Statistics'!$AL$2:$AL$203),0))),"/")</f>
        <v>/</v>
      </c>
      <c r="AF35" s="580"/>
      <c r="AG35" s="310" t="str" cm="1">
        <f t="array" ref="AG35">IFERROR(IF(Y35="2021年",INDEX('Offer Statistics'!AR$2:AR$203,MATCH(1,($A35='Offer Statistics'!$AK$2:$AK$203)*($Y$2='Offer Statistics'!$AL$2:$AL$203),0)),INDEX('Offer Statistics'!AR$2:AR192,MATCH(1,($G35='Offer Statistics'!$AK$2:$AK$203)*($Y$2='Offer Statistics'!$AL$2:$AL$203),0))),"/")</f>
        <v>/</v>
      </c>
      <c r="AH35" s="295" t="str" cm="1">
        <f t="array" ref="AH35">IFERROR(IF(T35="2021年",INDEX('Offer Statistics'!AM$2:AM$203,MATCH(1,($A35='Offer Statistics'!$AK$2:$AK$203)*($Y$2='Offer Statistics'!$AL$2:$AL$203),0)),INDEX('Offer Statistics'!AM$2:AM192,MATCH(1,($G35='Offer Statistics'!$AK$2:$AK$203)*($Y$2='Offer Statistics'!$AL$2:$AL$203),0))),"/")</f>
        <v>/</v>
      </c>
      <c r="AI35" s="295" t="str" cm="1">
        <f t="array" ref="AI35">IFERROR(IF(U35="2021年",INDEX('Offer Statistics'!AN$2:AN$203,MATCH(1,($A35='Offer Statistics'!$AK$2:$AK$203)*($Y$2='Offer Statistics'!$AL$2:$AL$203),0)),INDEX('Offer Statistics'!AN$2:AN192,MATCH(1,($G35='Offer Statistics'!$AK$2:$AK$203)*($Y$2='Offer Statistics'!$AL$2:$AL$203),0))),"/")</f>
        <v>/</v>
      </c>
      <c r="AJ35" s="295" t="str" cm="1">
        <f t="array" ref="AJ35">IFERROR(IF(V35="2021年",INDEX('Offer Statistics'!AO$2:AO$203,MATCH(1,($A35='Offer Statistics'!$AK$2:$AK$203)*($Y$2='Offer Statistics'!$AL$2:$AL$203),0)),INDEX('Offer Statistics'!AO$2:AO192,MATCH(1,($G35='Offer Statistics'!$AK$2:$AK$203)*($Y$2='Offer Statistics'!$AL$2:$AL$203),0))),"/")</f>
        <v>/</v>
      </c>
      <c r="AK35" s="295" t="str" cm="1">
        <f t="array" ref="AK35">IFERROR(IF(W35="2021年",INDEX('Offer Statistics'!AP$2:AP$203,MATCH(1,($A35='Offer Statistics'!$AK$2:$AK$203)*($Y$2='Offer Statistics'!$AL$2:$AL$203),0)),INDEX('Offer Statistics'!AP$2:AP192,MATCH(1,($G35='Offer Statistics'!$AK$2:$AK$203)*($Y$2='Offer Statistics'!$AL$2:$AL$203),0))),"/")</f>
        <v>/</v>
      </c>
      <c r="AL35" s="295" t="str" cm="1">
        <f t="array" ref="AL35">IFERROR(IF(X35="2021年",INDEX('Offer Statistics'!AQ$2:AQ$203,MATCH(1,($A35='Offer Statistics'!$AK$2:$AK$203)*($Y$2='Offer Statistics'!$AL$2:$AL$203),0)),INDEX('Offer Statistics'!AQ$2:AQ192,MATCH(1,($G35='Offer Statistics'!$AK$2:$AK$203)*($Y$2='Offer Statistics'!$AL$2:$AL$203),0))),"/")</f>
        <v>/</v>
      </c>
      <c r="AM35" s="284"/>
      <c r="AN35" s="313" t="str">
        <f t="shared" si="2"/>
        <v>JS3882</v>
      </c>
      <c r="AO35" s="294"/>
    </row>
    <row r="36" spans="1:41" s="296" customFormat="1" ht="18" customHeight="1" x14ac:dyDescent="0.3">
      <c r="A36" s="290" t="s">
        <v>591</v>
      </c>
      <c r="B36" s="290" t="s">
        <v>2991</v>
      </c>
      <c r="C36" s="290" t="s">
        <v>595</v>
      </c>
      <c r="D36" s="290" t="s">
        <v>592</v>
      </c>
      <c r="E36" s="305" t="str">
        <f>'Reference Score Calculation'!E126</f>
        <v>Best 5</v>
      </c>
      <c r="F36" s="323">
        <f>'Reference Score Calculation'!V126</f>
        <v>20.399999999999999</v>
      </c>
      <c r="G36" s="294" t="s">
        <v>591</v>
      </c>
      <c r="H36" s="290" t="s">
        <v>594</v>
      </c>
      <c r="I36" s="310" t="str">
        <f>'Reference Score Calculation'!P126</f>
        <v>Best 5</v>
      </c>
      <c r="J36" s="323">
        <f>'Reference Score Calculation'!W126</f>
        <v>20.399999999999999</v>
      </c>
      <c r="K36" s="326">
        <f>'Reference Score Calculation'!G126</f>
        <v>176.00000000199</v>
      </c>
      <c r="L36" s="326">
        <f>'Reference Score Calculation'!H126</f>
        <v>166.00000000178002</v>
      </c>
      <c r="M36" s="332">
        <f>計分版!H147</f>
        <v>1.9750000000000001E-8</v>
      </c>
      <c r="N36" s="292">
        <f t="shared" si="8"/>
        <v>-175.99999998224001</v>
      </c>
      <c r="O36" s="293">
        <f t="shared" si="9"/>
        <v>-8911392404.1640511</v>
      </c>
      <c r="P36" s="298">
        <f>入學要求!C135</f>
        <v>93</v>
      </c>
      <c r="Q36" s="301">
        <f>入學要求!R135</f>
        <v>0</v>
      </c>
      <c r="R36" s="294"/>
      <c r="S36" s="302">
        <f>入學要求!D135</f>
        <v>3</v>
      </c>
      <c r="T36" s="302">
        <f>入學要求!E135</f>
        <v>3</v>
      </c>
      <c r="U36" s="302">
        <f>入學要求!F135</f>
        <v>2</v>
      </c>
      <c r="V36" s="302">
        <f>入學要求!G135</f>
        <v>2</v>
      </c>
      <c r="W36" s="302">
        <f>入學要求!H135</f>
        <v>3</v>
      </c>
      <c r="X36" s="302">
        <f>入學要求!I135</f>
        <v>3</v>
      </c>
      <c r="Y36" s="576"/>
      <c r="Z36" s="309" cm="1">
        <f t="array" ref="Z36">IFERROR(IF(Y36="2021年",INDEX('Offer Statistics'!AZ$2:AZ$203,MATCH(1,($A36='Offer Statistics'!$AK$2:$AK$203)*($Y$2='Offer Statistics'!$AL$2:$AL$203),0)),INDEX('Offer Statistics'!AZ$2:AZ$203,MATCH(1,($G36='Offer Statistics'!$AK$2:$AK$203)*($Y$2='Offer Statistics'!$AL$2:$AL$203),0))),"/")</f>
        <v>82</v>
      </c>
      <c r="AA36" s="295" cm="1">
        <f t="array" ref="AA36">IFERROR(IF(T36="2021年",INDEX('Offer Statistics'!AU$2:AU$203,MATCH(1,($A36='Offer Statistics'!$AK$2:$AK$203)*($Y$2='Offer Statistics'!$AL$2:$AL$203),0)),INDEX('Offer Statistics'!AU$2:AU$203,MATCH(1,($G36='Offer Statistics'!$AK$2:$AK$203)*($Y$2='Offer Statistics'!$AL$2:$AL$203),0))),"/")</f>
        <v>76</v>
      </c>
      <c r="AB36" s="295" cm="1">
        <f t="array" ref="AB36">IFERROR(IF(U36="2021年",INDEX('Offer Statistics'!AV$2:AV$203,MATCH(1,($A36='Offer Statistics'!$AK$2:$AK$203)*($Y$2='Offer Statistics'!$AL$2:$AL$203),0)),INDEX('Offer Statistics'!AV$2:AV$203,MATCH(1,($G36='Offer Statistics'!$AK$2:$AK$203)*($Y$2='Offer Statistics'!$AL$2:$AL$203),0))),"/")</f>
        <v>4</v>
      </c>
      <c r="AC36" s="295" cm="1">
        <f t="array" ref="AC36">IFERROR(IF(V36="2021年",INDEX('Offer Statistics'!AW$2:AW$203,MATCH(1,($A36='Offer Statistics'!$AK$2:$AK$203)*($Y$2='Offer Statistics'!$AL$2:$AL$203),0)),INDEX('Offer Statistics'!AW$2:AW$203,MATCH(1,($G36='Offer Statistics'!$AK$2:$AK$203)*($Y$2='Offer Statistics'!$AL$2:$AL$203),0))),"/")</f>
        <v>2</v>
      </c>
      <c r="AD36" s="295" cm="1">
        <f t="array" ref="AD36">IFERROR(IF(W36="2021年",INDEX('Offer Statistics'!AX$2:AX$203,MATCH(1,($A36='Offer Statistics'!$AK$2:$AK$203)*($Y$2='Offer Statistics'!$AL$2:$AL$203),0)),INDEX('Offer Statistics'!AX$2:AX$203,MATCH(1,($G36='Offer Statistics'!$AK$2:$AK$203)*($Y$2='Offer Statistics'!$AL$2:$AL$203),0))),"/")</f>
        <v>0</v>
      </c>
      <c r="AE36" s="295" cm="1">
        <f t="array" ref="AE36">IFERROR(IF(X36="2021年",INDEX('Offer Statistics'!AY$2:AY$203,MATCH(1,($A36='Offer Statistics'!$AK$2:$AK$203)*($Y$2='Offer Statistics'!$AL$2:$AL$203),0)),INDEX('Offer Statistics'!AY$2:AY$203,MATCH(1,($G36='Offer Statistics'!$AK$2:$AK$203)*($Y$2='Offer Statistics'!$AL$2:$AL$203),0))),"/")</f>
        <v>0</v>
      </c>
      <c r="AF36" s="580"/>
      <c r="AG36" s="310" t="str" cm="1">
        <f t="array" ref="AG36">IFERROR(IF(Y36="2021年",INDEX('Offer Statistics'!AR$2:AR$203,MATCH(1,($A36='Offer Statistics'!$AK$2:$AK$203)*($Y$2='Offer Statistics'!$AL$2:$AL$203),0)),INDEX('Offer Statistics'!AR$2:AR193,MATCH(1,($G36='Offer Statistics'!$AK$2:$AK$203)*($Y$2='Offer Statistics'!$AL$2:$AL$203),0))),"/")</f>
        <v>/</v>
      </c>
      <c r="AH36" s="295" t="str" cm="1">
        <f t="array" ref="AH36">IFERROR(IF(T36="2021年",INDEX('Offer Statistics'!AM$2:AM$203,MATCH(1,($A36='Offer Statistics'!$AK$2:$AK$203)*($Y$2='Offer Statistics'!$AL$2:$AL$203),0)),INDEX('Offer Statistics'!AM$2:AM193,MATCH(1,($G36='Offer Statistics'!$AK$2:$AK$203)*($Y$2='Offer Statistics'!$AL$2:$AL$203),0))),"/")</f>
        <v>/</v>
      </c>
      <c r="AI36" s="295" t="str" cm="1">
        <f t="array" ref="AI36">IFERROR(IF(U36="2021年",INDEX('Offer Statistics'!AN$2:AN$203,MATCH(1,($A36='Offer Statistics'!$AK$2:$AK$203)*($Y$2='Offer Statistics'!$AL$2:$AL$203),0)),INDEX('Offer Statistics'!AN$2:AN193,MATCH(1,($G36='Offer Statistics'!$AK$2:$AK$203)*($Y$2='Offer Statistics'!$AL$2:$AL$203),0))),"/")</f>
        <v>/</v>
      </c>
      <c r="AJ36" s="295" t="str" cm="1">
        <f t="array" ref="AJ36">IFERROR(IF(V36="2021年",INDEX('Offer Statistics'!AO$2:AO$203,MATCH(1,($A36='Offer Statistics'!$AK$2:$AK$203)*($Y$2='Offer Statistics'!$AL$2:$AL$203),0)),INDEX('Offer Statistics'!AO$2:AO193,MATCH(1,($G36='Offer Statistics'!$AK$2:$AK$203)*($Y$2='Offer Statistics'!$AL$2:$AL$203),0))),"/")</f>
        <v>/</v>
      </c>
      <c r="AK36" s="295" t="str" cm="1">
        <f t="array" ref="AK36">IFERROR(IF(W36="2021年",INDEX('Offer Statistics'!AP$2:AP$203,MATCH(1,($A36='Offer Statistics'!$AK$2:$AK$203)*($Y$2='Offer Statistics'!$AL$2:$AL$203),0)),INDEX('Offer Statistics'!AP$2:AP193,MATCH(1,($G36='Offer Statistics'!$AK$2:$AK$203)*($Y$2='Offer Statistics'!$AL$2:$AL$203),0))),"/")</f>
        <v>/</v>
      </c>
      <c r="AL36" s="295" t="str" cm="1">
        <f t="array" ref="AL36">IFERROR(IF(X36="2021年",INDEX('Offer Statistics'!AQ$2:AQ$203,MATCH(1,($A36='Offer Statistics'!$AK$2:$AK$203)*($Y$2='Offer Statistics'!$AL$2:$AL$203),0)),INDEX('Offer Statistics'!AQ$2:AQ193,MATCH(1,($G36='Offer Statistics'!$AK$2:$AK$203)*($Y$2='Offer Statistics'!$AL$2:$AL$203),0))),"/")</f>
        <v>/</v>
      </c>
      <c r="AM36" s="284"/>
      <c r="AN36" s="302" t="str">
        <f t="shared" si="2"/>
        <v>JS3492</v>
      </c>
      <c r="AO36" s="294" t="str">
        <f>A36</f>
        <v>JS3492</v>
      </c>
    </row>
    <row r="37" spans="1:41" s="296" customFormat="1" ht="18" customHeight="1" x14ac:dyDescent="0.3">
      <c r="A37" s="290" t="s">
        <v>608</v>
      </c>
      <c r="B37" s="290" t="s">
        <v>2370</v>
      </c>
      <c r="C37" s="290" t="s">
        <v>613</v>
      </c>
      <c r="D37" s="290" t="s">
        <v>609</v>
      </c>
      <c r="E37" s="305" t="str">
        <f>'Reference Score Calculation'!E127</f>
        <v>Best 5</v>
      </c>
      <c r="F37" s="323">
        <f>'Reference Score Calculation'!V127</f>
        <v>22.2</v>
      </c>
      <c r="G37" s="294" t="s">
        <v>608</v>
      </c>
      <c r="H37" s="290" t="s">
        <v>611</v>
      </c>
      <c r="I37" s="310" t="str">
        <f>'Reference Score Calculation'!P127</f>
        <v>Best 5</v>
      </c>
      <c r="J37" s="323">
        <f>'Reference Score Calculation'!W127</f>
        <v>22.2</v>
      </c>
      <c r="K37" s="326">
        <f>'Reference Score Calculation'!G127</f>
        <v>200.00000000219998</v>
      </c>
      <c r="L37" s="326">
        <f>'Reference Score Calculation'!H127</f>
        <v>215.00000000160003</v>
      </c>
      <c r="M37" s="332">
        <f>計分版!H148</f>
        <v>2.0750000000000001E-8</v>
      </c>
      <c r="N37" s="292">
        <f t="shared" si="8"/>
        <v>-199.99999998144997</v>
      </c>
      <c r="O37" s="293">
        <f t="shared" si="9"/>
        <v>-9638554215.9734917</v>
      </c>
      <c r="P37" s="298">
        <f>入學要求!C136</f>
        <v>81</v>
      </c>
      <c r="Q37" s="301">
        <f>入學要求!R136</f>
        <v>0</v>
      </c>
      <c r="R37" s="294"/>
      <c r="S37" s="302">
        <f>入學要求!D136</f>
        <v>3</v>
      </c>
      <c r="T37" s="302">
        <f>入學要求!E136</f>
        <v>3</v>
      </c>
      <c r="U37" s="302">
        <f>入學要求!F136</f>
        <v>2</v>
      </c>
      <c r="V37" s="302">
        <f>入學要求!G136</f>
        <v>2</v>
      </c>
      <c r="W37" s="302">
        <f>入學要求!H136</f>
        <v>3</v>
      </c>
      <c r="X37" s="302">
        <f>入學要求!I136</f>
        <v>3</v>
      </c>
      <c r="Y37" s="576"/>
      <c r="Z37" s="298" cm="1">
        <f t="array" ref="Z37">IFERROR(IF(Y37="2021年",INDEX('Offer Statistics'!AZ$2:AZ$203,MATCH(1,($A37='Offer Statistics'!$AK$2:$AK$203)*($Y$2='Offer Statistics'!$AL$2:$AL$203),0)),INDEX('Offer Statistics'!AZ$2:AZ$203,MATCH(1,($G37='Offer Statistics'!$AK$2:$AK$203)*($Y$2='Offer Statistics'!$AL$2:$AL$203),0))),"/")</f>
        <v>72</v>
      </c>
      <c r="AA37" s="295" cm="1">
        <f t="array" ref="AA37">IFERROR(IF(T37="2021年",INDEX('Offer Statistics'!AU$2:AU$203,MATCH(1,($A37='Offer Statistics'!$AK$2:$AK$203)*($Y$2='Offer Statistics'!$AL$2:$AL$203),0)),INDEX('Offer Statistics'!AU$2:AU$203,MATCH(1,($G37='Offer Statistics'!$AK$2:$AK$203)*($Y$2='Offer Statistics'!$AL$2:$AL$203),0))),"/")</f>
        <v>72</v>
      </c>
      <c r="AB37" s="295" cm="1">
        <f t="array" ref="AB37">IFERROR(IF(U37="2021年",INDEX('Offer Statistics'!AV$2:AV$203,MATCH(1,($A37='Offer Statistics'!$AK$2:$AK$203)*($Y$2='Offer Statistics'!$AL$2:$AL$203),0)),INDEX('Offer Statistics'!AV$2:AV$203,MATCH(1,($G37='Offer Statistics'!$AK$2:$AK$203)*($Y$2='Offer Statistics'!$AL$2:$AL$203),0))),"/")</f>
        <v>0</v>
      </c>
      <c r="AC37" s="295" cm="1">
        <f t="array" ref="AC37">IFERROR(IF(V37="2021年",INDEX('Offer Statistics'!AW$2:AW$203,MATCH(1,($A37='Offer Statistics'!$AK$2:$AK$203)*($Y$2='Offer Statistics'!$AL$2:$AL$203),0)),INDEX('Offer Statistics'!AW$2:AW$203,MATCH(1,($G37='Offer Statistics'!$AK$2:$AK$203)*($Y$2='Offer Statistics'!$AL$2:$AL$203),0))),"/")</f>
        <v>0</v>
      </c>
      <c r="AD37" s="295" cm="1">
        <f t="array" ref="AD37">IFERROR(IF(W37="2021年",INDEX('Offer Statistics'!AX$2:AX$203,MATCH(1,($A37='Offer Statistics'!$AK$2:$AK$203)*($Y$2='Offer Statistics'!$AL$2:$AL$203),0)),INDEX('Offer Statistics'!AX$2:AX$203,MATCH(1,($G37='Offer Statistics'!$AK$2:$AK$203)*($Y$2='Offer Statistics'!$AL$2:$AL$203),0))),"/")</f>
        <v>0</v>
      </c>
      <c r="AE37" s="295" cm="1">
        <f t="array" ref="AE37">IFERROR(IF(X37="2021年",INDEX('Offer Statistics'!AY$2:AY$203,MATCH(1,($A37='Offer Statistics'!$AK$2:$AK$203)*($Y$2='Offer Statistics'!$AL$2:$AL$203),0)),INDEX('Offer Statistics'!AY$2:AY$203,MATCH(1,($G37='Offer Statistics'!$AK$2:$AK$203)*($Y$2='Offer Statistics'!$AL$2:$AL$203),0))),"/")</f>
        <v>0</v>
      </c>
      <c r="AF37" s="580"/>
      <c r="AG37" s="310" t="str" cm="1">
        <f t="array" ref="AG37">IFERROR(IF(Y37="2021年",INDEX('Offer Statistics'!AR$2:AR$203,MATCH(1,($A37='Offer Statistics'!$AK$2:$AK$203)*($Y$2='Offer Statistics'!$AL$2:$AL$203),0)),INDEX('Offer Statistics'!AR$2:AR194,MATCH(1,($G37='Offer Statistics'!$AK$2:$AK$203)*($Y$2='Offer Statistics'!$AL$2:$AL$203),0))),"/")</f>
        <v>/</v>
      </c>
      <c r="AH37" s="295" t="str" cm="1">
        <f t="array" ref="AH37">IFERROR(IF(T37="2021年",INDEX('Offer Statistics'!AM$2:AM$203,MATCH(1,($A37='Offer Statistics'!$AK$2:$AK$203)*($Y$2='Offer Statistics'!$AL$2:$AL$203),0)),INDEX('Offer Statistics'!AM$2:AM194,MATCH(1,($G37='Offer Statistics'!$AK$2:$AK$203)*($Y$2='Offer Statistics'!$AL$2:$AL$203),0))),"/")</f>
        <v>/</v>
      </c>
      <c r="AI37" s="295" t="str" cm="1">
        <f t="array" ref="AI37">IFERROR(IF(U37="2021年",INDEX('Offer Statistics'!AN$2:AN$203,MATCH(1,($A37='Offer Statistics'!$AK$2:$AK$203)*($Y$2='Offer Statistics'!$AL$2:$AL$203),0)),INDEX('Offer Statistics'!AN$2:AN194,MATCH(1,($G37='Offer Statistics'!$AK$2:$AK$203)*($Y$2='Offer Statistics'!$AL$2:$AL$203),0))),"/")</f>
        <v>/</v>
      </c>
      <c r="AJ37" s="295" t="str" cm="1">
        <f t="array" ref="AJ37">IFERROR(IF(V37="2021年",INDEX('Offer Statistics'!AO$2:AO$203,MATCH(1,($A37='Offer Statistics'!$AK$2:$AK$203)*($Y$2='Offer Statistics'!$AL$2:$AL$203),0)),INDEX('Offer Statistics'!AO$2:AO194,MATCH(1,($G37='Offer Statistics'!$AK$2:$AK$203)*($Y$2='Offer Statistics'!$AL$2:$AL$203),0))),"/")</f>
        <v>/</v>
      </c>
      <c r="AK37" s="295" t="str" cm="1">
        <f t="array" ref="AK37">IFERROR(IF(W37="2021年",INDEX('Offer Statistics'!AP$2:AP$203,MATCH(1,($A37='Offer Statistics'!$AK$2:$AK$203)*($Y$2='Offer Statistics'!$AL$2:$AL$203),0)),INDEX('Offer Statistics'!AP$2:AP194,MATCH(1,($G37='Offer Statistics'!$AK$2:$AK$203)*($Y$2='Offer Statistics'!$AL$2:$AL$203),0))),"/")</f>
        <v>/</v>
      </c>
      <c r="AL37" s="295" t="str" cm="1">
        <f t="array" ref="AL37">IFERROR(IF(X37="2021年",INDEX('Offer Statistics'!AQ$2:AQ$203,MATCH(1,($A37='Offer Statistics'!$AK$2:$AK$203)*($Y$2='Offer Statistics'!$AL$2:$AL$203),0)),INDEX('Offer Statistics'!AQ$2:AQ194,MATCH(1,($G37='Offer Statistics'!$AK$2:$AK$203)*($Y$2='Offer Statistics'!$AL$2:$AL$203),0))),"/")</f>
        <v>/</v>
      </c>
      <c r="AM37" s="284"/>
      <c r="AN37" s="302" t="str">
        <f t="shared" si="2"/>
        <v>JS3569</v>
      </c>
      <c r="AO37" s="294" t="str">
        <f>A37</f>
        <v>JS3569</v>
      </c>
    </row>
    <row r="38" spans="1:41" ht="18" customHeight="1" x14ac:dyDescent="0.3">
      <c r="A38" s="252" t="s">
        <v>544</v>
      </c>
      <c r="B38" s="252" t="s">
        <v>2372</v>
      </c>
      <c r="C38" s="4" t="s">
        <v>547</v>
      </c>
      <c r="D38" s="252" t="s">
        <v>545</v>
      </c>
      <c r="E38" s="62" t="str">
        <f>'Reference Score Calculation'!E128</f>
        <v>4C2X</v>
      </c>
      <c r="F38" s="322">
        <f>'Reference Score Calculation'!V128</f>
        <v>26.2</v>
      </c>
      <c r="G38" s="256" t="s">
        <v>657</v>
      </c>
      <c r="H38" s="4" t="s">
        <v>660</v>
      </c>
      <c r="I38" s="309" t="str">
        <f>'Reference Score Calculation'!P128</f>
        <v>4C2X</v>
      </c>
      <c r="J38" s="322">
        <f>'Reference Score Calculation'!W128</f>
        <v>28</v>
      </c>
      <c r="K38" s="34">
        <f>'Reference Score Calculation'!G128</f>
        <v>176.50000000135003</v>
      </c>
      <c r="L38" s="34">
        <f>'Reference Score Calculation'!H128</f>
        <v>166.50000000134997</v>
      </c>
      <c r="M38" s="331">
        <f>計分版!H149</f>
        <v>1.625E-8</v>
      </c>
      <c r="N38" s="25">
        <f t="shared" si="8"/>
        <v>-176.49999998510003</v>
      </c>
      <c r="O38" s="26">
        <f t="shared" si="9"/>
        <v>-10861538460.62154</v>
      </c>
      <c r="P38" s="591">
        <f>入學要求!C137</f>
        <v>47</v>
      </c>
      <c r="Q38" s="590">
        <f>入學要求!R137</f>
        <v>0</v>
      </c>
      <c r="R38" s="278"/>
      <c r="S38" s="581">
        <f>入學要求!D137</f>
        <v>3</v>
      </c>
      <c r="T38" s="581">
        <f>入學要求!E137</f>
        <v>3</v>
      </c>
      <c r="U38" s="581">
        <f>入學要求!F137</f>
        <v>2</v>
      </c>
      <c r="V38" s="581">
        <f>入學要求!G137</f>
        <v>2</v>
      </c>
      <c r="W38" s="581">
        <f>入學要求!H137</f>
        <v>3</v>
      </c>
      <c r="X38" s="581">
        <f>入學要求!I137</f>
        <v>3</v>
      </c>
      <c r="Y38" s="576"/>
      <c r="Z38" s="318" t="str" cm="1">
        <f t="array" ref="Z38">IFERROR(IF(Y38="2021年",INDEX('Offer Statistics'!AZ$2:AZ$203,MATCH(1,($A38='Offer Statistics'!$AK$2:$AK$203)*($Y$2='Offer Statistics'!$AL$2:$AL$203),0)),INDEX('Offer Statistics'!AZ$2:AZ$203,MATCH(1,($G38='Offer Statistics'!$AK$2:$AK$203)*($Y$2='Offer Statistics'!$AL$2:$AL$203),0))),"/")</f>
        <v>/</v>
      </c>
      <c r="AA38" s="321" t="str" cm="1">
        <f t="array" ref="AA38">IFERROR(IF(T38="2021年",INDEX('Offer Statistics'!AU$2:AU$203,MATCH(1,($A38='Offer Statistics'!$AK$2:$AK$203)*($Y$2='Offer Statistics'!$AL$2:$AL$203),0)),INDEX('Offer Statistics'!AU$2:AU$203,MATCH(1,($G38='Offer Statistics'!$AK$2:$AK$203)*($Y$2='Offer Statistics'!$AL$2:$AL$203),0))),"/")</f>
        <v>/</v>
      </c>
      <c r="AB38" s="321" t="str" cm="1">
        <f t="array" ref="AB38">IFERROR(IF(U38="2021年",INDEX('Offer Statistics'!AV$2:AV$203,MATCH(1,($A38='Offer Statistics'!$AK$2:$AK$203)*($Y$2='Offer Statistics'!$AL$2:$AL$203),0)),INDEX('Offer Statistics'!AV$2:AV$203,MATCH(1,($G38='Offer Statistics'!$AK$2:$AK$203)*($Y$2='Offer Statistics'!$AL$2:$AL$203),0))),"/")</f>
        <v>/</v>
      </c>
      <c r="AC38" s="321" t="str" cm="1">
        <f t="array" ref="AC38">IFERROR(IF(V38="2021年",INDEX('Offer Statistics'!AW$2:AW$203,MATCH(1,($A38='Offer Statistics'!$AK$2:$AK$203)*($Y$2='Offer Statistics'!$AL$2:$AL$203),0)),INDEX('Offer Statistics'!AW$2:AW$203,MATCH(1,($G38='Offer Statistics'!$AK$2:$AK$203)*($Y$2='Offer Statistics'!$AL$2:$AL$203),0))),"/")</f>
        <v>/</v>
      </c>
      <c r="AD38" s="321" t="str" cm="1">
        <f t="array" ref="AD38">IFERROR(IF(W38="2021年",INDEX('Offer Statistics'!AX$2:AX$203,MATCH(1,($A38='Offer Statistics'!$AK$2:$AK$203)*($Y$2='Offer Statistics'!$AL$2:$AL$203),0)),INDEX('Offer Statistics'!AX$2:AX$203,MATCH(1,($G38='Offer Statistics'!$AK$2:$AK$203)*($Y$2='Offer Statistics'!$AL$2:$AL$203),0))),"/")</f>
        <v>/</v>
      </c>
      <c r="AE38" s="321" t="str" cm="1">
        <f t="array" ref="AE38">IFERROR(IF(X38="2021年",INDEX('Offer Statistics'!AY$2:AY$203,MATCH(1,($A38='Offer Statistics'!$AK$2:$AK$203)*($Y$2='Offer Statistics'!$AL$2:$AL$203),0)),INDEX('Offer Statistics'!AY$2:AY$203,MATCH(1,($G38='Offer Statistics'!$AK$2:$AK$203)*($Y$2='Offer Statistics'!$AL$2:$AL$203),0))),"/")</f>
        <v>/</v>
      </c>
      <c r="AF38" s="580"/>
      <c r="AG38" s="318" t="str" cm="1">
        <f t="array" ref="AG38">IFERROR(IF(Y38="2021年",INDEX('Offer Statistics'!AR$2:AR$203,MATCH(1,($A38='Offer Statistics'!$AK$2:$AK$203)*($Y$2='Offer Statistics'!$AL$2:$AL$203),0)),INDEX('Offer Statistics'!AR$2:AR195,MATCH(1,($G38='Offer Statistics'!$AK$2:$AK$203)*($Y$2='Offer Statistics'!$AL$2:$AL$203),0))),"/")</f>
        <v>/</v>
      </c>
      <c r="AH38" s="321" t="str" cm="1">
        <f t="array" ref="AH38">IFERROR(IF(T38="2021年",INDEX('Offer Statistics'!AM$2:AM$203,MATCH(1,($A38='Offer Statistics'!$AK$2:$AK$203)*($Y$2='Offer Statistics'!$AL$2:$AL$203),0)),INDEX('Offer Statistics'!AM$2:AM195,MATCH(1,($G38='Offer Statistics'!$AK$2:$AK$203)*($Y$2='Offer Statistics'!$AL$2:$AL$203),0))),"/")</f>
        <v>/</v>
      </c>
      <c r="AI38" s="321" t="str" cm="1">
        <f t="array" ref="AI38">IFERROR(IF(U38="2021年",INDEX('Offer Statistics'!AN$2:AN$203,MATCH(1,($A38='Offer Statistics'!$AK$2:$AK$203)*($Y$2='Offer Statistics'!$AL$2:$AL$203),0)),INDEX('Offer Statistics'!AN$2:AN195,MATCH(1,($G38='Offer Statistics'!$AK$2:$AK$203)*($Y$2='Offer Statistics'!$AL$2:$AL$203),0))),"/")</f>
        <v>/</v>
      </c>
      <c r="AJ38" s="321" t="str" cm="1">
        <f t="array" ref="AJ38">IFERROR(IF(V38="2021年",INDEX('Offer Statistics'!AO$2:AO$203,MATCH(1,($A38='Offer Statistics'!$AK$2:$AK$203)*($Y$2='Offer Statistics'!$AL$2:$AL$203),0)),INDEX('Offer Statistics'!AO$2:AO195,MATCH(1,($G38='Offer Statistics'!$AK$2:$AK$203)*($Y$2='Offer Statistics'!$AL$2:$AL$203),0))),"/")</f>
        <v>/</v>
      </c>
      <c r="AK38" s="321" t="str" cm="1">
        <f t="array" ref="AK38">IFERROR(IF(W38="2021年",INDEX('Offer Statistics'!AP$2:AP$203,MATCH(1,($A38='Offer Statistics'!$AK$2:$AK$203)*($Y$2='Offer Statistics'!$AL$2:$AL$203),0)),INDEX('Offer Statistics'!AP$2:AP195,MATCH(1,($G38='Offer Statistics'!$AK$2:$AK$203)*($Y$2='Offer Statistics'!$AL$2:$AL$203),0))),"/")</f>
        <v>/</v>
      </c>
      <c r="AL38" s="321" t="str" cm="1">
        <f t="array" ref="AL38">IFERROR(IF(X38="2021年",INDEX('Offer Statistics'!AQ$2:AQ$203,MATCH(1,($A38='Offer Statistics'!$AK$2:$AK$203)*($Y$2='Offer Statistics'!$AL$2:$AL$203),0)),INDEX('Offer Statistics'!AQ$2:AQ195,MATCH(1,($G38='Offer Statistics'!$AK$2:$AK$203)*($Y$2='Offer Statistics'!$AL$2:$AL$203),0))),"/")</f>
        <v>/</v>
      </c>
      <c r="AM38" s="284"/>
      <c r="AN38" s="313" t="str">
        <f t="shared" si="2"/>
        <v>JS3662</v>
      </c>
      <c r="AO38" s="15" t="str">
        <f>A38</f>
        <v>JS3250</v>
      </c>
    </row>
    <row r="39" spans="1:41" s="296" customFormat="1" ht="18" customHeight="1" x14ac:dyDescent="0.3">
      <c r="A39" s="290"/>
      <c r="B39" s="290"/>
      <c r="C39" s="290"/>
      <c r="D39" s="290"/>
      <c r="E39" s="305" t="str">
        <f>'Reference Score Calculation'!E129</f>
        <v/>
      </c>
      <c r="F39" s="323" t="str">
        <f>'Reference Score Calculation'!V129</f>
        <v/>
      </c>
      <c r="G39" s="294" t="s">
        <v>685</v>
      </c>
      <c r="H39" s="290" t="s">
        <v>688</v>
      </c>
      <c r="I39" s="310" t="str">
        <f>'Reference Score Calculation'!P129</f>
        <v>4C2X</v>
      </c>
      <c r="J39" s="323">
        <f>'Reference Score Calculation'!W129</f>
        <v>22</v>
      </c>
      <c r="K39" s="326">
        <f>'Reference Score Calculation'!G129</f>
        <v>133.00000000134997</v>
      </c>
      <c r="L39" s="326">
        <f>'Reference Score Calculation'!H129</f>
        <v>131.00000000134997</v>
      </c>
      <c r="M39" s="332">
        <f>計分版!H150</f>
        <v>1.625E-8</v>
      </c>
      <c r="N39" s="292">
        <f t="shared" si="8"/>
        <v>-132.99999998509998</v>
      </c>
      <c r="O39" s="293">
        <f t="shared" si="9"/>
        <v>-8184615383.6984596</v>
      </c>
      <c r="P39" s="584"/>
      <c r="Q39" s="589"/>
      <c r="R39" s="304"/>
      <c r="S39" s="582"/>
      <c r="T39" s="582"/>
      <c r="U39" s="582"/>
      <c r="V39" s="582"/>
      <c r="W39" s="582"/>
      <c r="X39" s="582"/>
      <c r="Y39" s="576"/>
      <c r="Z39" s="309" t="str" cm="1">
        <f t="array" ref="Z39">IFERROR(IF(Y39="2021年",INDEX('Offer Statistics'!AZ$2:AZ$203,MATCH(1,($A39='Offer Statistics'!$AK$2:$AK$203)*($Y$2='Offer Statistics'!$AL$2:$AL$203),0)),INDEX('Offer Statistics'!AZ$2:AZ$203,MATCH(1,($G39='Offer Statistics'!$AK$2:$AK$203)*($Y$2='Offer Statistics'!$AL$2:$AL$203),0))),"/")</f>
        <v>/</v>
      </c>
      <c r="AA39" s="295" t="str" cm="1">
        <f t="array" ref="AA39">IFERROR(IF(T39="2021年",INDEX('Offer Statistics'!AU$2:AU$203,MATCH(1,($A39='Offer Statistics'!$AK$2:$AK$203)*($Y$2='Offer Statistics'!$AL$2:$AL$203),0)),INDEX('Offer Statistics'!AU$2:AU$203,MATCH(1,($G39='Offer Statistics'!$AK$2:$AK$203)*($Y$2='Offer Statistics'!$AL$2:$AL$203),0))),"/")</f>
        <v>/</v>
      </c>
      <c r="AB39" s="295" t="str" cm="1">
        <f t="array" ref="AB39">IFERROR(IF(U39="2021年",INDEX('Offer Statistics'!AV$2:AV$203,MATCH(1,($A39='Offer Statistics'!$AK$2:$AK$203)*($Y$2='Offer Statistics'!$AL$2:$AL$203),0)),INDEX('Offer Statistics'!AV$2:AV$203,MATCH(1,($G39='Offer Statistics'!$AK$2:$AK$203)*($Y$2='Offer Statistics'!$AL$2:$AL$203),0))),"/")</f>
        <v>/</v>
      </c>
      <c r="AC39" s="295" t="str" cm="1">
        <f t="array" ref="AC39">IFERROR(IF(V39="2021年",INDEX('Offer Statistics'!AW$2:AW$203,MATCH(1,($A39='Offer Statistics'!$AK$2:$AK$203)*($Y$2='Offer Statistics'!$AL$2:$AL$203),0)),INDEX('Offer Statistics'!AW$2:AW$203,MATCH(1,($G39='Offer Statistics'!$AK$2:$AK$203)*($Y$2='Offer Statistics'!$AL$2:$AL$203),0))),"/")</f>
        <v>/</v>
      </c>
      <c r="AD39" s="295" t="str" cm="1">
        <f t="array" ref="AD39">IFERROR(IF(W39="2021年",INDEX('Offer Statistics'!AX$2:AX$203,MATCH(1,($A39='Offer Statistics'!$AK$2:$AK$203)*($Y$2='Offer Statistics'!$AL$2:$AL$203),0)),INDEX('Offer Statistics'!AX$2:AX$203,MATCH(1,($G39='Offer Statistics'!$AK$2:$AK$203)*($Y$2='Offer Statistics'!$AL$2:$AL$203),0))),"/")</f>
        <v>/</v>
      </c>
      <c r="AE39" s="295" t="str" cm="1">
        <f t="array" ref="AE39">IFERROR(IF(X39="2021年",INDEX('Offer Statistics'!AY$2:AY$203,MATCH(1,($A39='Offer Statistics'!$AK$2:$AK$203)*($Y$2='Offer Statistics'!$AL$2:$AL$203),0)),INDEX('Offer Statistics'!AY$2:AY$203,MATCH(1,($G39='Offer Statistics'!$AK$2:$AK$203)*($Y$2='Offer Statistics'!$AL$2:$AL$203),0))),"/")</f>
        <v>/</v>
      </c>
      <c r="AF39" s="580"/>
      <c r="AG39" s="310" t="str" cm="1">
        <f t="array" ref="AG39">IFERROR(IF(Y39="2021年",INDEX('Offer Statistics'!AR$2:AR$203,MATCH(1,($A39='Offer Statistics'!$AK$2:$AK$203)*($Y$2='Offer Statistics'!$AL$2:$AL$203),0)),INDEX('Offer Statistics'!AR$2:AR196,MATCH(1,($G39='Offer Statistics'!$AK$2:$AK$203)*($Y$2='Offer Statistics'!$AL$2:$AL$203),0))),"/")</f>
        <v>/</v>
      </c>
      <c r="AH39" s="295" t="str" cm="1">
        <f t="array" ref="AH39">IFERROR(IF(T39="2021年",INDEX('Offer Statistics'!AM$2:AM$203,MATCH(1,($A39='Offer Statistics'!$AK$2:$AK$203)*($Y$2='Offer Statistics'!$AL$2:$AL$203),0)),INDEX('Offer Statistics'!AM$2:AM196,MATCH(1,($G39='Offer Statistics'!$AK$2:$AK$203)*($Y$2='Offer Statistics'!$AL$2:$AL$203),0))),"/")</f>
        <v>/</v>
      </c>
      <c r="AI39" s="295" t="str" cm="1">
        <f t="array" ref="AI39">IFERROR(IF(U39="2021年",INDEX('Offer Statistics'!AN$2:AN$203,MATCH(1,($A39='Offer Statistics'!$AK$2:$AK$203)*($Y$2='Offer Statistics'!$AL$2:$AL$203),0)),INDEX('Offer Statistics'!AN$2:AN196,MATCH(1,($G39='Offer Statistics'!$AK$2:$AK$203)*($Y$2='Offer Statistics'!$AL$2:$AL$203),0))),"/")</f>
        <v>/</v>
      </c>
      <c r="AJ39" s="295" t="str" cm="1">
        <f t="array" ref="AJ39">IFERROR(IF(V39="2021年",INDEX('Offer Statistics'!AO$2:AO$203,MATCH(1,($A39='Offer Statistics'!$AK$2:$AK$203)*($Y$2='Offer Statistics'!$AL$2:$AL$203),0)),INDEX('Offer Statistics'!AO$2:AO196,MATCH(1,($G39='Offer Statistics'!$AK$2:$AK$203)*($Y$2='Offer Statistics'!$AL$2:$AL$203),0))),"/")</f>
        <v>/</v>
      </c>
      <c r="AK39" s="295" t="str" cm="1">
        <f t="array" ref="AK39">IFERROR(IF(W39="2021年",INDEX('Offer Statistics'!AP$2:AP$203,MATCH(1,($A39='Offer Statistics'!$AK$2:$AK$203)*($Y$2='Offer Statistics'!$AL$2:$AL$203),0)),INDEX('Offer Statistics'!AP$2:AP196,MATCH(1,($G39='Offer Statistics'!$AK$2:$AK$203)*($Y$2='Offer Statistics'!$AL$2:$AL$203),0))),"/")</f>
        <v>/</v>
      </c>
      <c r="AL39" s="295" t="str" cm="1">
        <f t="array" ref="AL39">IFERROR(IF(X39="2021年",INDEX('Offer Statistics'!AQ$2:AQ$203,MATCH(1,($A39='Offer Statistics'!$AK$2:$AK$203)*($Y$2='Offer Statistics'!$AL$2:$AL$203),0)),INDEX('Offer Statistics'!AQ$2:AQ196,MATCH(1,($G39='Offer Statistics'!$AK$2:$AK$203)*($Y$2='Offer Statistics'!$AL$2:$AL$203),0))),"/")</f>
        <v>/</v>
      </c>
      <c r="AM39" s="284"/>
      <c r="AN39" s="313" t="str">
        <f t="shared" si="2"/>
        <v>JS3765</v>
      </c>
      <c r="AO39" s="294"/>
    </row>
    <row r="40" spans="1:41" s="296" customFormat="1" ht="18" customHeight="1" x14ac:dyDescent="0.3">
      <c r="A40" s="290" t="s">
        <v>548</v>
      </c>
      <c r="B40" s="290" t="s">
        <v>2372</v>
      </c>
      <c r="C40" s="290" t="s">
        <v>551</v>
      </c>
      <c r="D40" s="290" t="s">
        <v>549</v>
      </c>
      <c r="E40" s="305" t="str">
        <f>'Reference Score Calculation'!E130</f>
        <v>Best 6</v>
      </c>
      <c r="F40" s="323">
        <f>'Reference Score Calculation'!V130</f>
        <v>35.299999999999997</v>
      </c>
      <c r="G40" s="294" t="s">
        <v>654</v>
      </c>
      <c r="H40" s="290" t="s">
        <v>656</v>
      </c>
      <c r="I40" s="310" t="str">
        <f>'Reference Score Calculation'!P130</f>
        <v>Best 6</v>
      </c>
      <c r="J40" s="323">
        <f>'Reference Score Calculation'!W130</f>
        <v>35.299999999999997</v>
      </c>
      <c r="K40" s="326">
        <f>'Reference Score Calculation'!G130</f>
        <v>324.00000000297007</v>
      </c>
      <c r="L40" s="326">
        <f>'Reference Score Calculation'!H130</f>
        <v>317.00000000214993</v>
      </c>
      <c r="M40" s="332">
        <f>計分版!H151</f>
        <v>2.175E-8</v>
      </c>
      <c r="N40" s="292">
        <f t="shared" si="8"/>
        <v>-323.99999998122007</v>
      </c>
      <c r="O40" s="293">
        <f t="shared" si="9"/>
        <v>-14896551723.274487</v>
      </c>
      <c r="P40" s="298">
        <f>入學要求!C139</f>
        <v>53</v>
      </c>
      <c r="Q40" s="301">
        <f>入學要求!R139</f>
        <v>0</v>
      </c>
      <c r="R40" s="294"/>
      <c r="S40" s="302">
        <f>入學要求!D139</f>
        <v>3</v>
      </c>
      <c r="T40" s="302">
        <f>入學要求!E139</f>
        <v>3</v>
      </c>
      <c r="U40" s="302">
        <f>入學要求!F139</f>
        <v>2</v>
      </c>
      <c r="V40" s="302">
        <f>入學要求!G139</f>
        <v>2</v>
      </c>
      <c r="W40" s="302">
        <f>入學要求!H139</f>
        <v>3</v>
      </c>
      <c r="X40" s="302">
        <f>入學要求!I139</f>
        <v>3</v>
      </c>
      <c r="Y40" s="576"/>
      <c r="Z40" s="298" t="str" cm="1">
        <f t="array" ref="Z40">IFERROR(IF(Y40="2021年",INDEX('Offer Statistics'!AZ$2:AZ$203,MATCH(1,($A40='Offer Statistics'!$AK$2:$AK$203)*($Y$2='Offer Statistics'!$AL$2:$AL$203),0)),INDEX('Offer Statistics'!AZ$2:AZ$203,MATCH(1,($G40='Offer Statistics'!$AK$2:$AK$203)*($Y$2='Offer Statistics'!$AL$2:$AL$203),0))),"/")</f>
        <v>/</v>
      </c>
      <c r="AA40" s="295" t="str" cm="1">
        <f t="array" ref="AA40">IFERROR(IF(T40="2021年",INDEX('Offer Statistics'!AU$2:AU$203,MATCH(1,($A40='Offer Statistics'!$AK$2:$AK$203)*($Y$2='Offer Statistics'!$AL$2:$AL$203),0)),INDEX('Offer Statistics'!AU$2:AU$203,MATCH(1,($G40='Offer Statistics'!$AK$2:$AK$203)*($Y$2='Offer Statistics'!$AL$2:$AL$203),0))),"/")</f>
        <v>/</v>
      </c>
      <c r="AB40" s="295" t="str" cm="1">
        <f t="array" ref="AB40">IFERROR(IF(U40="2021年",INDEX('Offer Statistics'!AV$2:AV$203,MATCH(1,($A40='Offer Statistics'!$AK$2:$AK$203)*($Y$2='Offer Statistics'!$AL$2:$AL$203),0)),INDEX('Offer Statistics'!AV$2:AV$203,MATCH(1,($G40='Offer Statistics'!$AK$2:$AK$203)*($Y$2='Offer Statistics'!$AL$2:$AL$203),0))),"/")</f>
        <v>/</v>
      </c>
      <c r="AC40" s="295" t="str" cm="1">
        <f t="array" ref="AC40">IFERROR(IF(V40="2021年",INDEX('Offer Statistics'!AW$2:AW$203,MATCH(1,($A40='Offer Statistics'!$AK$2:$AK$203)*($Y$2='Offer Statistics'!$AL$2:$AL$203),0)),INDEX('Offer Statistics'!AW$2:AW$203,MATCH(1,($G40='Offer Statistics'!$AK$2:$AK$203)*($Y$2='Offer Statistics'!$AL$2:$AL$203),0))),"/")</f>
        <v>/</v>
      </c>
      <c r="AD40" s="295" t="str" cm="1">
        <f t="array" ref="AD40">IFERROR(IF(W40="2021年",INDEX('Offer Statistics'!AX$2:AX$203,MATCH(1,($A40='Offer Statistics'!$AK$2:$AK$203)*($Y$2='Offer Statistics'!$AL$2:$AL$203),0)),INDEX('Offer Statistics'!AX$2:AX$203,MATCH(1,($G40='Offer Statistics'!$AK$2:$AK$203)*($Y$2='Offer Statistics'!$AL$2:$AL$203),0))),"/")</f>
        <v>/</v>
      </c>
      <c r="AE40" s="295" t="str" cm="1">
        <f t="array" ref="AE40">IFERROR(IF(X40="2021年",INDEX('Offer Statistics'!AY$2:AY$203,MATCH(1,($A40='Offer Statistics'!$AK$2:$AK$203)*($Y$2='Offer Statistics'!$AL$2:$AL$203),0)),INDEX('Offer Statistics'!AY$2:AY$203,MATCH(1,($G40='Offer Statistics'!$AK$2:$AK$203)*($Y$2='Offer Statistics'!$AL$2:$AL$203),0))),"/")</f>
        <v>/</v>
      </c>
      <c r="AF40" s="580"/>
      <c r="AG40" s="310" t="str" cm="1">
        <f t="array" ref="AG40">IFERROR(IF(Y40="2021年",INDEX('Offer Statistics'!AR$2:AR$203,MATCH(1,($A40='Offer Statistics'!$AK$2:$AK$203)*($Y$2='Offer Statistics'!$AL$2:$AL$203),0)),INDEX('Offer Statistics'!AR$2:AR197,MATCH(1,($G40='Offer Statistics'!$AK$2:$AK$203)*($Y$2='Offer Statistics'!$AL$2:$AL$203),0))),"/")</f>
        <v>/</v>
      </c>
      <c r="AH40" s="295" t="str" cm="1">
        <f t="array" ref="AH40">IFERROR(IF(T40="2021年",INDEX('Offer Statistics'!AM$2:AM$203,MATCH(1,($A40='Offer Statistics'!$AK$2:$AK$203)*($Y$2='Offer Statistics'!$AL$2:$AL$203),0)),INDEX('Offer Statistics'!AM$2:AM197,MATCH(1,($G40='Offer Statistics'!$AK$2:$AK$203)*($Y$2='Offer Statistics'!$AL$2:$AL$203),0))),"/")</f>
        <v>/</v>
      </c>
      <c r="AI40" s="295" t="str" cm="1">
        <f t="array" ref="AI40">IFERROR(IF(U40="2021年",INDEX('Offer Statistics'!AN$2:AN$203,MATCH(1,($A40='Offer Statistics'!$AK$2:$AK$203)*($Y$2='Offer Statistics'!$AL$2:$AL$203),0)),INDEX('Offer Statistics'!AN$2:AN197,MATCH(1,($G40='Offer Statistics'!$AK$2:$AK$203)*($Y$2='Offer Statistics'!$AL$2:$AL$203),0))),"/")</f>
        <v>/</v>
      </c>
      <c r="AJ40" s="295" t="str" cm="1">
        <f t="array" ref="AJ40">IFERROR(IF(V40="2021年",INDEX('Offer Statistics'!AO$2:AO$203,MATCH(1,($A40='Offer Statistics'!$AK$2:$AK$203)*($Y$2='Offer Statistics'!$AL$2:$AL$203),0)),INDEX('Offer Statistics'!AO$2:AO197,MATCH(1,($G40='Offer Statistics'!$AK$2:$AK$203)*($Y$2='Offer Statistics'!$AL$2:$AL$203),0))),"/")</f>
        <v>/</v>
      </c>
      <c r="AK40" s="295" t="str" cm="1">
        <f t="array" ref="AK40">IFERROR(IF(W40="2021年",INDEX('Offer Statistics'!AP$2:AP$203,MATCH(1,($A40='Offer Statistics'!$AK$2:$AK$203)*($Y$2='Offer Statistics'!$AL$2:$AL$203),0)),INDEX('Offer Statistics'!AP$2:AP197,MATCH(1,($G40='Offer Statistics'!$AK$2:$AK$203)*($Y$2='Offer Statistics'!$AL$2:$AL$203),0))),"/")</f>
        <v>/</v>
      </c>
      <c r="AL40" s="295" t="str" cm="1">
        <f t="array" ref="AL40">IFERROR(IF(X40="2021年",INDEX('Offer Statistics'!AQ$2:AQ$203,MATCH(1,($A40='Offer Statistics'!$AK$2:$AK$203)*($Y$2='Offer Statistics'!$AL$2:$AL$203),0)),INDEX('Offer Statistics'!AQ$2:AQ197,MATCH(1,($G40='Offer Statistics'!$AK$2:$AK$203)*($Y$2='Offer Statistics'!$AL$2:$AL$203),0))),"/")</f>
        <v>/</v>
      </c>
      <c r="AM40" s="284"/>
      <c r="AN40" s="302" t="str">
        <f t="shared" si="2"/>
        <v>JS3650</v>
      </c>
      <c r="AO40" s="294" t="str">
        <f t="shared" ref="AO40:AO46" si="10">A40</f>
        <v>JS3290</v>
      </c>
    </row>
    <row r="41" spans="1:41" s="296" customFormat="1" ht="18" customHeight="1" x14ac:dyDescent="0.3">
      <c r="A41" s="290" t="s">
        <v>556</v>
      </c>
      <c r="B41" s="290" t="s">
        <v>2372</v>
      </c>
      <c r="C41" s="290" t="s">
        <v>561</v>
      </c>
      <c r="D41" s="290" t="s">
        <v>557</v>
      </c>
      <c r="E41" s="305" t="str">
        <f>'Reference Score Calculation'!E131</f>
        <v>4C2X</v>
      </c>
      <c r="F41" s="323">
        <f>'Reference Score Calculation'!V131</f>
        <v>27</v>
      </c>
      <c r="G41" s="294" t="s">
        <v>556</v>
      </c>
      <c r="H41" s="290" t="s">
        <v>559</v>
      </c>
      <c r="I41" s="310" t="str">
        <f>'Reference Score Calculation'!P131</f>
        <v>4C2X</v>
      </c>
      <c r="J41" s="323">
        <f>'Reference Score Calculation'!W131</f>
        <v>27</v>
      </c>
      <c r="K41" s="326">
        <f>'Reference Score Calculation'!G131</f>
        <v>250.00000000195001</v>
      </c>
      <c r="L41" s="326">
        <f>'Reference Score Calculation'!H131</f>
        <v>235.00000000200004</v>
      </c>
      <c r="M41" s="332">
        <f>計分版!H152</f>
        <v>1.85E-8</v>
      </c>
      <c r="N41" s="292">
        <f t="shared" si="8"/>
        <v>-249.99999998345001</v>
      </c>
      <c r="O41" s="293">
        <f t="shared" si="9"/>
        <v>-13513513512.618919</v>
      </c>
      <c r="P41" s="298">
        <f>入學要求!C140</f>
        <v>70</v>
      </c>
      <c r="Q41" s="301">
        <f>入學要求!R140</f>
        <v>0</v>
      </c>
      <c r="R41" s="304"/>
      <c r="S41" s="302">
        <f>入學要求!D140</f>
        <v>3</v>
      </c>
      <c r="T41" s="302">
        <f>入學要求!E140</f>
        <v>3</v>
      </c>
      <c r="U41" s="302">
        <f>入學要求!F140</f>
        <v>2</v>
      </c>
      <c r="V41" s="302">
        <f>入學要求!G140</f>
        <v>2</v>
      </c>
      <c r="W41" s="302">
        <f>入學要求!H140</f>
        <v>3</v>
      </c>
      <c r="X41" s="302">
        <f>入學要求!I140</f>
        <v>3</v>
      </c>
      <c r="Y41" s="576"/>
      <c r="Z41" s="298" cm="1">
        <f t="array" ref="Z41">IFERROR(IF(Y41="2021年",INDEX('Offer Statistics'!AZ$2:AZ$203,MATCH(1,($A41='Offer Statistics'!$AK$2:$AK$203)*($Y$2='Offer Statistics'!$AL$2:$AL$203),0)),INDEX('Offer Statistics'!AZ$2:AZ$203,MATCH(1,($G41='Offer Statistics'!$AK$2:$AK$203)*($Y$2='Offer Statistics'!$AL$2:$AL$203),0))),"/")</f>
        <v>71</v>
      </c>
      <c r="AA41" s="295" cm="1">
        <f t="array" ref="AA41">IFERROR(IF(T41="2021年",INDEX('Offer Statistics'!AU$2:AU$203,MATCH(1,($A41='Offer Statistics'!$AK$2:$AK$203)*($Y$2='Offer Statistics'!$AL$2:$AL$203),0)),INDEX('Offer Statistics'!AU$2:AU$203,MATCH(1,($G41='Offer Statistics'!$AK$2:$AK$203)*($Y$2='Offer Statistics'!$AL$2:$AL$203),0))),"/")</f>
        <v>67</v>
      </c>
      <c r="AB41" s="295" cm="1">
        <f t="array" ref="AB41">IFERROR(IF(U41="2021年",INDEX('Offer Statistics'!AV$2:AV$203,MATCH(1,($A41='Offer Statistics'!$AK$2:$AK$203)*($Y$2='Offer Statistics'!$AL$2:$AL$203),0)),INDEX('Offer Statistics'!AV$2:AV$203,MATCH(1,($G41='Offer Statistics'!$AK$2:$AK$203)*($Y$2='Offer Statistics'!$AL$2:$AL$203),0))),"/")</f>
        <v>3</v>
      </c>
      <c r="AC41" s="295" cm="1">
        <f t="array" ref="AC41">IFERROR(IF(V41="2021年",INDEX('Offer Statistics'!AW$2:AW$203,MATCH(1,($A41='Offer Statistics'!$AK$2:$AK$203)*($Y$2='Offer Statistics'!$AL$2:$AL$203),0)),INDEX('Offer Statistics'!AW$2:AW$203,MATCH(1,($G41='Offer Statistics'!$AK$2:$AK$203)*($Y$2='Offer Statistics'!$AL$2:$AL$203),0))),"/")</f>
        <v>0</v>
      </c>
      <c r="AD41" s="295" cm="1">
        <f t="array" ref="AD41">IFERROR(IF(W41="2021年",INDEX('Offer Statistics'!AX$2:AX$203,MATCH(1,($A41='Offer Statistics'!$AK$2:$AK$203)*($Y$2='Offer Statistics'!$AL$2:$AL$203),0)),INDEX('Offer Statistics'!AX$2:AX$203,MATCH(1,($G41='Offer Statistics'!$AK$2:$AK$203)*($Y$2='Offer Statistics'!$AL$2:$AL$203),0))),"/")</f>
        <v>1</v>
      </c>
      <c r="AE41" s="295" cm="1">
        <f t="array" ref="AE41">IFERROR(IF(X41="2021年",INDEX('Offer Statistics'!AY$2:AY$203,MATCH(1,($A41='Offer Statistics'!$AK$2:$AK$203)*($Y$2='Offer Statistics'!$AL$2:$AL$203),0)),INDEX('Offer Statistics'!AY$2:AY$203,MATCH(1,($G41='Offer Statistics'!$AK$2:$AK$203)*($Y$2='Offer Statistics'!$AL$2:$AL$203),0))),"/")</f>
        <v>0</v>
      </c>
      <c r="AF41" s="580"/>
      <c r="AG41" s="310" cm="1">
        <f t="array" ref="AG41">IFERROR(IF(Y41="2021年",INDEX('Offer Statistics'!AR$2:AR$203,MATCH(1,($A41='Offer Statistics'!$AK$2:$AK$203)*($Y$2='Offer Statistics'!$AL$2:$AL$203),0)),INDEX('Offer Statistics'!AR$2:AR198,MATCH(1,($G41='Offer Statistics'!$AK$2:$AK$203)*($Y$2='Offer Statistics'!$AL$2:$AL$203),0))),"/")</f>
        <v>3129</v>
      </c>
      <c r="AH41" s="295" cm="1">
        <f t="array" ref="AH41">IFERROR(IF(T41="2021年",INDEX('Offer Statistics'!AM$2:AM$203,MATCH(1,($A41='Offer Statistics'!$AK$2:$AK$203)*($Y$2='Offer Statistics'!$AL$2:$AL$203),0)),INDEX('Offer Statistics'!AM$2:AM198,MATCH(1,($G41='Offer Statistics'!$AK$2:$AK$203)*($Y$2='Offer Statistics'!$AL$2:$AL$203),0))),"/")</f>
        <v>292</v>
      </c>
      <c r="AI41" s="295" cm="1">
        <f t="array" ref="AI41">IFERROR(IF(U41="2021年",INDEX('Offer Statistics'!AN$2:AN$203,MATCH(1,($A41='Offer Statistics'!$AK$2:$AK$203)*($Y$2='Offer Statistics'!$AL$2:$AL$203),0)),INDEX('Offer Statistics'!AN$2:AN198,MATCH(1,($G41='Offer Statistics'!$AK$2:$AK$203)*($Y$2='Offer Statistics'!$AL$2:$AL$203),0))),"/")</f>
        <v>575</v>
      </c>
      <c r="AJ41" s="295" cm="1">
        <f t="array" ref="AJ41">IFERROR(IF(V41="2021年",INDEX('Offer Statistics'!AO$2:AO$203,MATCH(1,($A41='Offer Statistics'!$AK$2:$AK$203)*($Y$2='Offer Statistics'!$AL$2:$AL$203),0)),INDEX('Offer Statistics'!AO$2:AO198,MATCH(1,($G41='Offer Statistics'!$AK$2:$AK$203)*($Y$2='Offer Statistics'!$AL$2:$AL$203),0))),"/")</f>
        <v>776</v>
      </c>
      <c r="AK41" s="295" cm="1">
        <f t="array" ref="AK41">IFERROR(IF(W41="2021年",INDEX('Offer Statistics'!AP$2:AP$203,MATCH(1,($A41='Offer Statistics'!$AK$2:$AK$203)*($Y$2='Offer Statistics'!$AL$2:$AL$203),0)),INDEX('Offer Statistics'!AP$2:AP198,MATCH(1,($G41='Offer Statistics'!$AK$2:$AK$203)*($Y$2='Offer Statistics'!$AL$2:$AL$203),0))),"/")</f>
        <v>860</v>
      </c>
      <c r="AL41" s="295" cm="1">
        <f t="array" ref="AL41">IFERROR(IF(X41="2021年",INDEX('Offer Statistics'!AQ$2:AQ$203,MATCH(1,($A41='Offer Statistics'!$AK$2:$AK$203)*($Y$2='Offer Statistics'!$AL$2:$AL$203),0)),INDEX('Offer Statistics'!AQ$2:AQ198,MATCH(1,($G41='Offer Statistics'!$AK$2:$AK$203)*($Y$2='Offer Statistics'!$AL$2:$AL$203),0))),"/")</f>
        <v>626</v>
      </c>
      <c r="AM41" s="284"/>
      <c r="AN41" s="302" t="str">
        <f t="shared" si="2"/>
        <v>JS3337</v>
      </c>
      <c r="AO41" s="294" t="str">
        <f t="shared" si="10"/>
        <v>JS3337</v>
      </c>
    </row>
    <row r="42" spans="1:41" s="296" customFormat="1" ht="18" customHeight="1" x14ac:dyDescent="0.3">
      <c r="A42" s="290" t="s">
        <v>585</v>
      </c>
      <c r="B42" s="290" t="s">
        <v>2372</v>
      </c>
      <c r="C42" s="290" t="s">
        <v>590</v>
      </c>
      <c r="D42" s="290" t="s">
        <v>586</v>
      </c>
      <c r="E42" s="305" t="str">
        <f>'Reference Score Calculation'!E132</f>
        <v>Best 6</v>
      </c>
      <c r="F42" s="323">
        <f>'Reference Score Calculation'!V132</f>
        <v>36.299999999999997</v>
      </c>
      <c r="G42" s="294" t="s">
        <v>585</v>
      </c>
      <c r="H42" s="290" t="s">
        <v>588</v>
      </c>
      <c r="I42" s="310" t="str">
        <f>'Reference Score Calculation'!P132</f>
        <v>Best 6</v>
      </c>
      <c r="J42" s="323">
        <f>'Reference Score Calculation'!W132</f>
        <v>36.299999999999997</v>
      </c>
      <c r="K42" s="326">
        <f>'Reference Score Calculation'!G132</f>
        <v>323.00000000258001</v>
      </c>
      <c r="L42" s="326">
        <f>'Reference Score Calculation'!H132</f>
        <v>312.00000000215005</v>
      </c>
      <c r="M42" s="332">
        <f>計分版!H153</f>
        <v>2.175E-8</v>
      </c>
      <c r="N42" s="292">
        <f t="shared" si="3"/>
        <v>-322.99999998083001</v>
      </c>
      <c r="O42" s="293">
        <f t="shared" si="4"/>
        <v>-14850574711.7623</v>
      </c>
      <c r="P42" s="298">
        <f>入學要求!C141</f>
        <v>60</v>
      </c>
      <c r="Q42" s="301">
        <f>入學要求!R141</f>
        <v>0</v>
      </c>
      <c r="R42" s="304"/>
      <c r="S42" s="302">
        <f>入學要求!D141</f>
        <v>3</v>
      </c>
      <c r="T42" s="302">
        <f>入學要求!E141</f>
        <v>3</v>
      </c>
      <c r="U42" s="302">
        <f>入學要求!F141</f>
        <v>2</v>
      </c>
      <c r="V42" s="302">
        <f>入學要求!G141</f>
        <v>2</v>
      </c>
      <c r="W42" s="302">
        <f>入學要求!H141</f>
        <v>3</v>
      </c>
      <c r="X42" s="302">
        <f>入學要求!I141</f>
        <v>3</v>
      </c>
      <c r="Y42" s="576"/>
      <c r="Z42" s="309" cm="1">
        <f t="array" ref="Z42">IFERROR(IF(Y42="2021年",INDEX('Offer Statistics'!AZ$2:AZ$203,MATCH(1,($A42='Offer Statistics'!$AK$2:$AK$203)*($Y$2='Offer Statistics'!$AL$2:$AL$203),0)),INDEX('Offer Statistics'!AZ$2:AZ$203,MATCH(1,($G42='Offer Statistics'!$AK$2:$AK$203)*($Y$2='Offer Statistics'!$AL$2:$AL$203),0))),"/")</f>
        <v>54</v>
      </c>
      <c r="AA42" s="295" cm="1">
        <f t="array" ref="AA42">IFERROR(IF(T42="2021年",INDEX('Offer Statistics'!AU$2:AU$203,MATCH(1,($A42='Offer Statistics'!$AK$2:$AK$203)*($Y$2='Offer Statistics'!$AL$2:$AL$203),0)),INDEX('Offer Statistics'!AU$2:AU$203,MATCH(1,($G42='Offer Statistics'!$AK$2:$AK$203)*($Y$2='Offer Statistics'!$AL$2:$AL$203),0))),"/")</f>
        <v>52</v>
      </c>
      <c r="AB42" s="295" cm="1">
        <f t="array" ref="AB42">IFERROR(IF(U42="2021年",INDEX('Offer Statistics'!AV$2:AV$203,MATCH(1,($A42='Offer Statistics'!$AK$2:$AK$203)*($Y$2='Offer Statistics'!$AL$2:$AL$203),0)),INDEX('Offer Statistics'!AV$2:AV$203,MATCH(1,($G42='Offer Statistics'!$AK$2:$AK$203)*($Y$2='Offer Statistics'!$AL$2:$AL$203),0))),"/")</f>
        <v>2</v>
      </c>
      <c r="AC42" s="295" cm="1">
        <f t="array" ref="AC42">IFERROR(IF(V42="2021年",INDEX('Offer Statistics'!AW$2:AW$203,MATCH(1,($A42='Offer Statistics'!$AK$2:$AK$203)*($Y$2='Offer Statistics'!$AL$2:$AL$203),0)),INDEX('Offer Statistics'!AW$2:AW$203,MATCH(1,($G42='Offer Statistics'!$AK$2:$AK$203)*($Y$2='Offer Statistics'!$AL$2:$AL$203),0))),"/")</f>
        <v>0</v>
      </c>
      <c r="AD42" s="295" cm="1">
        <f t="array" ref="AD42">IFERROR(IF(W42="2021年",INDEX('Offer Statistics'!AX$2:AX$203,MATCH(1,($A42='Offer Statistics'!$AK$2:$AK$203)*($Y$2='Offer Statistics'!$AL$2:$AL$203),0)),INDEX('Offer Statistics'!AX$2:AX$203,MATCH(1,($G42='Offer Statistics'!$AK$2:$AK$203)*($Y$2='Offer Statistics'!$AL$2:$AL$203),0))),"/")</f>
        <v>0</v>
      </c>
      <c r="AE42" s="295" cm="1">
        <f t="array" ref="AE42">IFERROR(IF(X42="2021年",INDEX('Offer Statistics'!AY$2:AY$203,MATCH(1,($A42='Offer Statistics'!$AK$2:$AK$203)*($Y$2='Offer Statistics'!$AL$2:$AL$203),0)),INDEX('Offer Statistics'!AY$2:AY$203,MATCH(1,($G42='Offer Statistics'!$AK$2:$AK$203)*($Y$2='Offer Statistics'!$AL$2:$AL$203),0))),"/")</f>
        <v>0</v>
      </c>
      <c r="AF42" s="580"/>
      <c r="AG42" s="310" cm="1">
        <f t="array" ref="AG42">IFERROR(IF(Y42="2021年",INDEX('Offer Statistics'!AR$2:AR$203,MATCH(1,($A42='Offer Statistics'!$AK$2:$AK$203)*($Y$2='Offer Statistics'!$AL$2:$AL$203),0)),INDEX('Offer Statistics'!AR$2:AR199,MATCH(1,($G42='Offer Statistics'!$AK$2:$AK$203)*($Y$2='Offer Statistics'!$AL$2:$AL$203),0))),"/")</f>
        <v>1837</v>
      </c>
      <c r="AH42" s="295" cm="1">
        <f t="array" ref="AH42">IFERROR(IF(T42="2021年",INDEX('Offer Statistics'!AM$2:AM$203,MATCH(1,($A42='Offer Statistics'!$AK$2:$AK$203)*($Y$2='Offer Statistics'!$AL$2:$AL$203),0)),INDEX('Offer Statistics'!AM$2:AM199,MATCH(1,($G42='Offer Statistics'!$AK$2:$AK$203)*($Y$2='Offer Statistics'!$AL$2:$AL$203),0))),"/")</f>
        <v>217</v>
      </c>
      <c r="AI42" s="295" cm="1">
        <f t="array" ref="AI42">IFERROR(IF(U42="2021年",INDEX('Offer Statistics'!AN$2:AN$203,MATCH(1,($A42='Offer Statistics'!$AK$2:$AK$203)*($Y$2='Offer Statistics'!$AL$2:$AL$203),0)),INDEX('Offer Statistics'!AN$2:AN199,MATCH(1,($G42='Offer Statistics'!$AK$2:$AK$203)*($Y$2='Offer Statistics'!$AL$2:$AL$203),0))),"/")</f>
        <v>224</v>
      </c>
      <c r="AJ42" s="295" cm="1">
        <f t="array" ref="AJ42">IFERROR(IF(V42="2021年",INDEX('Offer Statistics'!AO$2:AO$203,MATCH(1,($A42='Offer Statistics'!$AK$2:$AK$203)*($Y$2='Offer Statistics'!$AL$2:$AL$203),0)),INDEX('Offer Statistics'!AO$2:AO199,MATCH(1,($G42='Offer Statistics'!$AK$2:$AK$203)*($Y$2='Offer Statistics'!$AL$2:$AL$203),0))),"/")</f>
        <v>430</v>
      </c>
      <c r="AK42" s="295" cm="1">
        <f t="array" ref="AK42">IFERROR(IF(W42="2021年",INDEX('Offer Statistics'!AP$2:AP$203,MATCH(1,($A42='Offer Statistics'!$AK$2:$AK$203)*($Y$2='Offer Statistics'!$AL$2:$AL$203),0)),INDEX('Offer Statistics'!AP$2:AP199,MATCH(1,($G42='Offer Statistics'!$AK$2:$AK$203)*($Y$2='Offer Statistics'!$AL$2:$AL$203),0))),"/")</f>
        <v>495</v>
      </c>
      <c r="AL42" s="295" cm="1">
        <f t="array" ref="AL42">IFERROR(IF(X42="2021年",INDEX('Offer Statistics'!AQ$2:AQ$203,MATCH(1,($A42='Offer Statistics'!$AK$2:$AK$203)*($Y$2='Offer Statistics'!$AL$2:$AL$203),0)),INDEX('Offer Statistics'!AQ$2:AQ199,MATCH(1,($G42='Offer Statistics'!$AK$2:$AK$203)*($Y$2='Offer Statistics'!$AL$2:$AL$203),0))),"/")</f>
        <v>471</v>
      </c>
      <c r="AM42" s="284"/>
      <c r="AN42" s="302" t="str">
        <f t="shared" si="2"/>
        <v>JS3478</v>
      </c>
      <c r="AO42" s="294" t="str">
        <f t="shared" si="10"/>
        <v>JS3478</v>
      </c>
    </row>
    <row r="43" spans="1:41" s="296" customFormat="1" ht="18" customHeight="1" x14ac:dyDescent="0.3">
      <c r="A43" s="290" t="s">
        <v>630</v>
      </c>
      <c r="B43" s="290" t="s">
        <v>2372</v>
      </c>
      <c r="C43" s="290" t="s">
        <v>635</v>
      </c>
      <c r="D43" s="290" t="s">
        <v>631</v>
      </c>
      <c r="E43" s="305" t="str">
        <f>'Reference Score Calculation'!E133</f>
        <v>Best 6</v>
      </c>
      <c r="F43" s="323">
        <f>'Reference Score Calculation'!V133</f>
        <v>38.4</v>
      </c>
      <c r="G43" s="294" t="s">
        <v>630</v>
      </c>
      <c r="H43" s="290" t="s">
        <v>633</v>
      </c>
      <c r="I43" s="310" t="str">
        <f>'Reference Score Calculation'!P133</f>
        <v>Best 6</v>
      </c>
      <c r="J43" s="323">
        <f>'Reference Score Calculation'!W133</f>
        <v>38.4</v>
      </c>
      <c r="K43" s="326">
        <f>'Reference Score Calculation'!G133</f>
        <v>360.00000000270006</v>
      </c>
      <c r="L43" s="326">
        <f>'Reference Score Calculation'!H133</f>
        <v>345.00000000270006</v>
      </c>
      <c r="M43" s="332">
        <f>計分版!H154</f>
        <v>2.2749999999999999E-8</v>
      </c>
      <c r="N43" s="292">
        <f>IF(N$1="差距(Median)",M43-K43,IF(N$1="差距(LQ)",M43-L43))</f>
        <v>-359.99999997995008</v>
      </c>
      <c r="O43" s="293">
        <f>IF(N$1="差距(Median)",(M43-K43)/M43,IF(N$1="差距(LQ)",(M43-L43)/M43))</f>
        <v>-15824175823.29451</v>
      </c>
      <c r="P43" s="298">
        <f>入學要求!C142</f>
        <v>115</v>
      </c>
      <c r="Q43" s="301">
        <f>入學要求!R142</f>
        <v>0</v>
      </c>
      <c r="R43" s="304"/>
      <c r="S43" s="302">
        <f>入學要求!D142</f>
        <v>3</v>
      </c>
      <c r="T43" s="302">
        <f>入學要求!E142</f>
        <v>3</v>
      </c>
      <c r="U43" s="302">
        <f>入學要求!F142</f>
        <v>2</v>
      </c>
      <c r="V43" s="302">
        <f>入學要求!G142</f>
        <v>2</v>
      </c>
      <c r="W43" s="302">
        <f>入學要求!H142</f>
        <v>3</v>
      </c>
      <c r="X43" s="302">
        <f>入學要求!I142</f>
        <v>3</v>
      </c>
      <c r="Y43" s="576"/>
      <c r="Z43" s="298" cm="1">
        <f t="array" ref="Z43">IFERROR(IF(Y43="2021年",INDEX('Offer Statistics'!AZ$2:AZ$203,MATCH(1,($A43='Offer Statistics'!$AK$2:$AK$203)*($Y$2='Offer Statistics'!$AL$2:$AL$203),0)),INDEX('Offer Statistics'!AZ$2:AZ$203,MATCH(1,($G43='Offer Statistics'!$AK$2:$AK$203)*($Y$2='Offer Statistics'!$AL$2:$AL$203),0))),"/")</f>
        <v>104</v>
      </c>
      <c r="AA43" s="295" cm="1">
        <f t="array" ref="AA43">IFERROR(IF(T43="2021年",INDEX('Offer Statistics'!AU$2:AU$203,MATCH(1,($A43='Offer Statistics'!$AK$2:$AK$203)*($Y$2='Offer Statistics'!$AL$2:$AL$203),0)),INDEX('Offer Statistics'!AU$2:AU$203,MATCH(1,($G43='Offer Statistics'!$AK$2:$AK$203)*($Y$2='Offer Statistics'!$AL$2:$AL$203),0))),"/")</f>
        <v>102</v>
      </c>
      <c r="AB43" s="295" cm="1">
        <f t="array" ref="AB43">IFERROR(IF(U43="2021年",INDEX('Offer Statistics'!AV$2:AV$203,MATCH(1,($A43='Offer Statistics'!$AK$2:$AK$203)*($Y$2='Offer Statistics'!$AL$2:$AL$203),0)),INDEX('Offer Statistics'!AV$2:AV$203,MATCH(1,($G43='Offer Statistics'!$AK$2:$AK$203)*($Y$2='Offer Statistics'!$AL$2:$AL$203),0))),"/")</f>
        <v>2</v>
      </c>
      <c r="AC43" s="295" cm="1">
        <f t="array" ref="AC43">IFERROR(IF(V43="2021年",INDEX('Offer Statistics'!AW$2:AW$203,MATCH(1,($A43='Offer Statistics'!$AK$2:$AK$203)*($Y$2='Offer Statistics'!$AL$2:$AL$203),0)),INDEX('Offer Statistics'!AW$2:AW$203,MATCH(1,($G43='Offer Statistics'!$AK$2:$AK$203)*($Y$2='Offer Statistics'!$AL$2:$AL$203),0))),"/")</f>
        <v>0</v>
      </c>
      <c r="AD43" s="295" cm="1">
        <f t="array" ref="AD43">IFERROR(IF(W43="2021年",INDEX('Offer Statistics'!AX$2:AX$203,MATCH(1,($A43='Offer Statistics'!$AK$2:$AK$203)*($Y$2='Offer Statistics'!$AL$2:$AL$203),0)),INDEX('Offer Statistics'!AX$2:AX$203,MATCH(1,($G43='Offer Statistics'!$AK$2:$AK$203)*($Y$2='Offer Statistics'!$AL$2:$AL$203),0))),"/")</f>
        <v>0</v>
      </c>
      <c r="AE43" s="295" cm="1">
        <f t="array" ref="AE43">IFERROR(IF(X43="2021年",INDEX('Offer Statistics'!AY$2:AY$203,MATCH(1,($A43='Offer Statistics'!$AK$2:$AK$203)*($Y$2='Offer Statistics'!$AL$2:$AL$203),0)),INDEX('Offer Statistics'!AY$2:AY$203,MATCH(1,($G43='Offer Statistics'!$AK$2:$AK$203)*($Y$2='Offer Statistics'!$AL$2:$AL$203),0))),"/")</f>
        <v>0</v>
      </c>
      <c r="AF43" s="580"/>
      <c r="AG43" s="310" cm="1">
        <f t="array" ref="AG43">IFERROR(IF(Y43="2021年",INDEX('Offer Statistics'!AR$2:AR$203,MATCH(1,($A43='Offer Statistics'!$AK$2:$AK$203)*($Y$2='Offer Statistics'!$AL$2:$AL$203),0)),INDEX('Offer Statistics'!AR$2:AR200,MATCH(1,($G43='Offer Statistics'!$AK$2:$AK$203)*($Y$2='Offer Statistics'!$AL$2:$AL$203),0))),"/")</f>
        <v>2245</v>
      </c>
      <c r="AH43" s="295" cm="1">
        <f t="array" ref="AH43">IFERROR(IF(T43="2021年",INDEX('Offer Statistics'!AM$2:AM$203,MATCH(1,($A43='Offer Statistics'!$AK$2:$AK$203)*($Y$2='Offer Statistics'!$AL$2:$AL$203),0)),INDEX('Offer Statistics'!AM$2:AM200,MATCH(1,($G43='Offer Statistics'!$AK$2:$AK$203)*($Y$2='Offer Statistics'!$AL$2:$AL$203),0))),"/")</f>
        <v>602</v>
      </c>
      <c r="AI43" s="295" cm="1">
        <f t="array" ref="AI43">IFERROR(IF(U43="2021年",INDEX('Offer Statistics'!AN$2:AN$203,MATCH(1,($A43='Offer Statistics'!$AK$2:$AK$203)*($Y$2='Offer Statistics'!$AL$2:$AL$203),0)),INDEX('Offer Statistics'!AN$2:AN200,MATCH(1,($G43='Offer Statistics'!$AK$2:$AK$203)*($Y$2='Offer Statistics'!$AL$2:$AL$203),0))),"/")</f>
        <v>296</v>
      </c>
      <c r="AJ43" s="295" cm="1">
        <f t="array" ref="AJ43">IFERROR(IF(V43="2021年",INDEX('Offer Statistics'!AO$2:AO$203,MATCH(1,($A43='Offer Statistics'!$AK$2:$AK$203)*($Y$2='Offer Statistics'!$AL$2:$AL$203),0)),INDEX('Offer Statistics'!AO$2:AO200,MATCH(1,($G43='Offer Statistics'!$AK$2:$AK$203)*($Y$2='Offer Statistics'!$AL$2:$AL$203),0))),"/")</f>
        <v>381</v>
      </c>
      <c r="AK43" s="295" cm="1">
        <f t="array" ref="AK43">IFERROR(IF(W43="2021年",INDEX('Offer Statistics'!AP$2:AP$203,MATCH(1,($A43='Offer Statistics'!$AK$2:$AK$203)*($Y$2='Offer Statistics'!$AL$2:$AL$203),0)),INDEX('Offer Statistics'!AP$2:AP200,MATCH(1,($G43='Offer Statistics'!$AK$2:$AK$203)*($Y$2='Offer Statistics'!$AL$2:$AL$203),0))),"/")</f>
        <v>493</v>
      </c>
      <c r="AL43" s="295" cm="1">
        <f t="array" ref="AL43">IFERROR(IF(X43="2021年",INDEX('Offer Statistics'!AQ$2:AQ$203,MATCH(1,($A43='Offer Statistics'!$AK$2:$AK$203)*($Y$2='Offer Statistics'!$AL$2:$AL$203),0)),INDEX('Offer Statistics'!AQ$2:AQ200,MATCH(1,($G43='Offer Statistics'!$AK$2:$AK$203)*($Y$2='Offer Statistics'!$AL$2:$AL$203),0))),"/")</f>
        <v>473</v>
      </c>
      <c r="AM43" s="284"/>
      <c r="AN43" s="313" t="str">
        <f t="shared" si="2"/>
        <v>JS3612</v>
      </c>
      <c r="AO43" s="294" t="str">
        <f t="shared" si="10"/>
        <v>JS3612</v>
      </c>
    </row>
    <row r="44" spans="1:41" s="296" customFormat="1" ht="18" customHeight="1" x14ac:dyDescent="0.3">
      <c r="A44" s="290" t="s">
        <v>636</v>
      </c>
      <c r="B44" s="290" t="s">
        <v>2372</v>
      </c>
      <c r="C44" s="290" t="s">
        <v>641</v>
      </c>
      <c r="D44" s="290" t="s">
        <v>637</v>
      </c>
      <c r="E44" s="305" t="str">
        <f>'Reference Score Calculation'!E134</f>
        <v>Best 6</v>
      </c>
      <c r="F44" s="323">
        <f>'Reference Score Calculation'!V134</f>
        <v>37.799999999999997</v>
      </c>
      <c r="G44" s="294" t="s">
        <v>636</v>
      </c>
      <c r="H44" s="290" t="s">
        <v>639</v>
      </c>
      <c r="I44" s="310" t="str">
        <f>'Reference Score Calculation'!P134</f>
        <v>Best 6</v>
      </c>
      <c r="J44" s="323">
        <f>'Reference Score Calculation'!W134</f>
        <v>37.799999999999997</v>
      </c>
      <c r="K44" s="326">
        <f>'Reference Score Calculation'!G134</f>
        <v>333.00000000209002</v>
      </c>
      <c r="L44" s="326">
        <f>'Reference Score Calculation'!H134</f>
        <v>322.50000000209002</v>
      </c>
      <c r="M44" s="332">
        <f>計分版!H155</f>
        <v>2.255E-8</v>
      </c>
      <c r="N44" s="292">
        <f t="shared" si="3"/>
        <v>-332.99999997954001</v>
      </c>
      <c r="O44" s="293">
        <f t="shared" si="4"/>
        <v>-14767184034.569401</v>
      </c>
      <c r="P44" s="298">
        <f>入學要求!C143</f>
        <v>100</v>
      </c>
      <c r="Q44" s="301">
        <f>入學要求!R143</f>
        <v>0</v>
      </c>
      <c r="R44" s="294"/>
      <c r="S44" s="302">
        <f>入學要求!D143</f>
        <v>3</v>
      </c>
      <c r="T44" s="302">
        <f>入學要求!E143</f>
        <v>3</v>
      </c>
      <c r="U44" s="302">
        <f>入學要求!F143</f>
        <v>2</v>
      </c>
      <c r="V44" s="302">
        <f>入學要求!G143</f>
        <v>2</v>
      </c>
      <c r="W44" s="302">
        <f>入學要求!H143</f>
        <v>3</v>
      </c>
      <c r="X44" s="302">
        <f>入學要求!I143</f>
        <v>3</v>
      </c>
      <c r="Y44" s="576"/>
      <c r="Z44" s="310" cm="1">
        <f t="array" ref="Z44">IFERROR(IF(Y44="2021年",INDEX('Offer Statistics'!AZ$2:AZ$203,MATCH(1,($A44='Offer Statistics'!$AK$2:$AK$203)*($Y$2='Offer Statistics'!$AL$2:$AL$203),0)),INDEX('Offer Statistics'!AZ$2:AZ$203,MATCH(1,($G44='Offer Statistics'!$AK$2:$AK$203)*($Y$2='Offer Statistics'!$AL$2:$AL$203),0))),"/")</f>
        <v>98</v>
      </c>
      <c r="AA44" s="295" cm="1">
        <f t="array" ref="AA44">IFERROR(IF(T44="2021年",INDEX('Offer Statistics'!AU$2:AU$203,MATCH(1,($A44='Offer Statistics'!$AK$2:$AK$203)*($Y$2='Offer Statistics'!$AL$2:$AL$203),0)),INDEX('Offer Statistics'!AU$2:AU$203,MATCH(1,($G44='Offer Statistics'!$AK$2:$AK$203)*($Y$2='Offer Statistics'!$AL$2:$AL$203),0))),"/")</f>
        <v>96</v>
      </c>
      <c r="AB44" s="295" cm="1">
        <f t="array" ref="AB44">IFERROR(IF(U44="2021年",INDEX('Offer Statistics'!AV$2:AV$203,MATCH(1,($A44='Offer Statistics'!$AK$2:$AK$203)*($Y$2='Offer Statistics'!$AL$2:$AL$203),0)),INDEX('Offer Statistics'!AV$2:AV$203,MATCH(1,($G44='Offer Statistics'!$AK$2:$AK$203)*($Y$2='Offer Statistics'!$AL$2:$AL$203),0))),"/")</f>
        <v>2</v>
      </c>
      <c r="AC44" s="295" cm="1">
        <f t="array" ref="AC44">IFERROR(IF(V44="2021年",INDEX('Offer Statistics'!AW$2:AW$203,MATCH(1,($A44='Offer Statistics'!$AK$2:$AK$203)*($Y$2='Offer Statistics'!$AL$2:$AL$203),0)),INDEX('Offer Statistics'!AW$2:AW$203,MATCH(1,($G44='Offer Statistics'!$AK$2:$AK$203)*($Y$2='Offer Statistics'!$AL$2:$AL$203),0))),"/")</f>
        <v>0</v>
      </c>
      <c r="AD44" s="295" cm="1">
        <f t="array" ref="AD44">IFERROR(IF(W44="2021年",INDEX('Offer Statistics'!AX$2:AX$203,MATCH(1,($A44='Offer Statistics'!$AK$2:$AK$203)*($Y$2='Offer Statistics'!$AL$2:$AL$203),0)),INDEX('Offer Statistics'!AX$2:AX$203,MATCH(1,($G44='Offer Statistics'!$AK$2:$AK$203)*($Y$2='Offer Statistics'!$AL$2:$AL$203),0))),"/")</f>
        <v>0</v>
      </c>
      <c r="AE44" s="295" cm="1">
        <f t="array" ref="AE44">IFERROR(IF(X44="2021年",INDEX('Offer Statistics'!AY$2:AY$203,MATCH(1,($A44='Offer Statistics'!$AK$2:$AK$203)*($Y$2='Offer Statistics'!$AL$2:$AL$203),0)),INDEX('Offer Statistics'!AY$2:AY$203,MATCH(1,($G44='Offer Statistics'!$AK$2:$AK$203)*($Y$2='Offer Statistics'!$AL$2:$AL$203),0))),"/")</f>
        <v>0</v>
      </c>
      <c r="AF44" s="580"/>
      <c r="AG44" s="310" cm="1">
        <f t="array" ref="AG44">IFERROR(IF(Y44="2021年",INDEX('Offer Statistics'!AR$2:AR$203,MATCH(1,($A44='Offer Statistics'!$AK$2:$AK$203)*($Y$2='Offer Statistics'!$AL$2:$AL$203),0)),INDEX('Offer Statistics'!AR$2:AR201,MATCH(1,($G44='Offer Statistics'!$AK$2:$AK$203)*($Y$2='Offer Statistics'!$AL$2:$AL$203),0))),"/")</f>
        <v>1956</v>
      </c>
      <c r="AH44" s="295" cm="1">
        <f t="array" ref="AH44">IFERROR(IF(T44="2021年",INDEX('Offer Statistics'!AM$2:AM$203,MATCH(1,($A44='Offer Statistics'!$AK$2:$AK$203)*($Y$2='Offer Statistics'!$AL$2:$AL$203),0)),INDEX('Offer Statistics'!AM$2:AM201,MATCH(1,($G44='Offer Statistics'!$AK$2:$AK$203)*($Y$2='Offer Statistics'!$AL$2:$AL$203),0))),"/")</f>
        <v>315</v>
      </c>
      <c r="AI44" s="295" cm="1">
        <f t="array" ref="AI44">IFERROR(IF(U44="2021年",INDEX('Offer Statistics'!AN$2:AN$203,MATCH(1,($A44='Offer Statistics'!$AK$2:$AK$203)*($Y$2='Offer Statistics'!$AL$2:$AL$203),0)),INDEX('Offer Statistics'!AN$2:AN201,MATCH(1,($G44='Offer Statistics'!$AK$2:$AK$203)*($Y$2='Offer Statistics'!$AL$2:$AL$203),0))),"/")</f>
        <v>268</v>
      </c>
      <c r="AJ44" s="295" cm="1">
        <f t="array" ref="AJ44">IFERROR(IF(V44="2021年",INDEX('Offer Statistics'!AO$2:AO$203,MATCH(1,($A44='Offer Statistics'!$AK$2:$AK$203)*($Y$2='Offer Statistics'!$AL$2:$AL$203),0)),INDEX('Offer Statistics'!AO$2:AO201,MATCH(1,($G44='Offer Statistics'!$AK$2:$AK$203)*($Y$2='Offer Statistics'!$AL$2:$AL$203),0))),"/")</f>
        <v>411</v>
      </c>
      <c r="AK44" s="295" cm="1">
        <f t="array" ref="AK44">IFERROR(IF(W44="2021年",INDEX('Offer Statistics'!AP$2:AP$203,MATCH(1,($A44='Offer Statistics'!$AK$2:$AK$203)*($Y$2='Offer Statistics'!$AL$2:$AL$203),0)),INDEX('Offer Statistics'!AP$2:AP201,MATCH(1,($G44='Offer Statistics'!$AK$2:$AK$203)*($Y$2='Offer Statistics'!$AL$2:$AL$203),0))),"/")</f>
        <v>505</v>
      </c>
      <c r="AL44" s="295" cm="1">
        <f t="array" ref="AL44">IFERROR(IF(X44="2021年",INDEX('Offer Statistics'!AQ$2:AQ$203,MATCH(1,($A44='Offer Statistics'!$AK$2:$AK$203)*($Y$2='Offer Statistics'!$AL$2:$AL$203),0)),INDEX('Offer Statistics'!AQ$2:AQ201,MATCH(1,($G44='Offer Statistics'!$AK$2:$AK$203)*($Y$2='Offer Statistics'!$AL$2:$AL$203),0))),"/")</f>
        <v>457</v>
      </c>
      <c r="AM44" s="284"/>
      <c r="AN44" s="302" t="str">
        <f t="shared" si="2"/>
        <v>JS3624</v>
      </c>
      <c r="AO44" s="294" t="str">
        <f t="shared" si="10"/>
        <v>JS3624</v>
      </c>
    </row>
    <row r="45" spans="1:41" s="296" customFormat="1" ht="18" customHeight="1" x14ac:dyDescent="0.3">
      <c r="A45" s="290" t="s">
        <v>642</v>
      </c>
      <c r="B45" s="290" t="s">
        <v>2372</v>
      </c>
      <c r="C45" s="290" t="s">
        <v>2986</v>
      </c>
      <c r="D45" s="290" t="s">
        <v>643</v>
      </c>
      <c r="E45" s="305" t="str">
        <f>'Reference Score Calculation'!E135</f>
        <v>Best 6</v>
      </c>
      <c r="F45" s="323">
        <f>'Reference Score Calculation'!V135</f>
        <v>39.9</v>
      </c>
      <c r="G45" s="294" t="s">
        <v>642</v>
      </c>
      <c r="H45" s="290" t="s">
        <v>645</v>
      </c>
      <c r="I45" s="310" t="str">
        <f>'Reference Score Calculation'!P135</f>
        <v>Best 6</v>
      </c>
      <c r="J45" s="323">
        <f>'Reference Score Calculation'!W135</f>
        <v>39.9</v>
      </c>
      <c r="K45" s="326">
        <f>'Reference Score Calculation'!G135</f>
        <v>372.00000000209002</v>
      </c>
      <c r="L45" s="326">
        <f>'Reference Score Calculation'!H135</f>
        <v>348.00000000209002</v>
      </c>
      <c r="M45" s="332">
        <f>計分版!H156</f>
        <v>2.255E-8</v>
      </c>
      <c r="N45" s="292">
        <f t="shared" si="3"/>
        <v>-371.99999997954001</v>
      </c>
      <c r="O45" s="293">
        <f t="shared" si="4"/>
        <v>-16496674056.742352</v>
      </c>
      <c r="P45" s="298">
        <f>入學要求!C144</f>
        <v>150</v>
      </c>
      <c r="Q45" s="301">
        <f>入學要求!R144</f>
        <v>0</v>
      </c>
      <c r="R45" s="294"/>
      <c r="S45" s="302">
        <f>入學要求!D144</f>
        <v>3</v>
      </c>
      <c r="T45" s="302">
        <f>入學要求!E144</f>
        <v>3</v>
      </c>
      <c r="U45" s="302">
        <f>入學要求!F144</f>
        <v>2</v>
      </c>
      <c r="V45" s="302">
        <f>入學要求!G144</f>
        <v>2</v>
      </c>
      <c r="W45" s="302">
        <f>入學要求!H144</f>
        <v>3</v>
      </c>
      <c r="X45" s="302">
        <f>入學要求!I144</f>
        <v>3</v>
      </c>
      <c r="Y45" s="576"/>
      <c r="Z45" s="310" cm="1">
        <f t="array" ref="Z45">IFERROR(IF(Y45="2021年",INDEX('Offer Statistics'!AZ$2:AZ$203,MATCH(1,($A45='Offer Statistics'!$AK$2:$AK$203)*($Y$2='Offer Statistics'!$AL$2:$AL$203),0)),INDEX('Offer Statistics'!AZ$2:AZ$203,MATCH(1,($G45='Offer Statistics'!$AK$2:$AK$203)*($Y$2='Offer Statistics'!$AL$2:$AL$203),0))),"/")</f>
        <v>156</v>
      </c>
      <c r="AA45" s="295" cm="1">
        <f t="array" ref="AA45">IFERROR(IF(T45="2021年",INDEX('Offer Statistics'!AU$2:AU$203,MATCH(1,($A45='Offer Statistics'!$AK$2:$AK$203)*($Y$2='Offer Statistics'!$AL$2:$AL$203),0)),INDEX('Offer Statistics'!AU$2:AU$203,MATCH(1,($G45='Offer Statistics'!$AK$2:$AK$203)*($Y$2='Offer Statistics'!$AL$2:$AL$203),0))),"/")</f>
        <v>154</v>
      </c>
      <c r="AB45" s="295" cm="1">
        <f t="array" ref="AB45">IFERROR(IF(U45="2021年",INDEX('Offer Statistics'!AV$2:AV$203,MATCH(1,($A45='Offer Statistics'!$AK$2:$AK$203)*($Y$2='Offer Statistics'!$AL$2:$AL$203),0)),INDEX('Offer Statistics'!AV$2:AV$203,MATCH(1,($G45='Offer Statistics'!$AK$2:$AK$203)*($Y$2='Offer Statistics'!$AL$2:$AL$203),0))),"/")</f>
        <v>2</v>
      </c>
      <c r="AC45" s="295" cm="1">
        <f t="array" ref="AC45">IFERROR(IF(V45="2021年",INDEX('Offer Statistics'!AW$2:AW$203,MATCH(1,($A45='Offer Statistics'!$AK$2:$AK$203)*($Y$2='Offer Statistics'!$AL$2:$AL$203),0)),INDEX('Offer Statistics'!AW$2:AW$203,MATCH(1,($G45='Offer Statistics'!$AK$2:$AK$203)*($Y$2='Offer Statistics'!$AL$2:$AL$203),0))),"/")</f>
        <v>0</v>
      </c>
      <c r="AD45" s="295" cm="1">
        <f t="array" ref="AD45">IFERROR(IF(W45="2021年",INDEX('Offer Statistics'!AX$2:AX$203,MATCH(1,($A45='Offer Statistics'!$AK$2:$AK$203)*($Y$2='Offer Statistics'!$AL$2:$AL$203),0)),INDEX('Offer Statistics'!AX$2:AX$203,MATCH(1,($G45='Offer Statistics'!$AK$2:$AK$203)*($Y$2='Offer Statistics'!$AL$2:$AL$203),0))),"/")</f>
        <v>0</v>
      </c>
      <c r="AE45" s="295" cm="1">
        <f t="array" ref="AE45">IFERROR(IF(X45="2021年",INDEX('Offer Statistics'!AY$2:AY$203,MATCH(1,($A45='Offer Statistics'!$AK$2:$AK$203)*($Y$2='Offer Statistics'!$AL$2:$AL$203),0)),INDEX('Offer Statistics'!AY$2:AY$203,MATCH(1,($G45='Offer Statistics'!$AK$2:$AK$203)*($Y$2='Offer Statistics'!$AL$2:$AL$203),0))),"/")</f>
        <v>0</v>
      </c>
      <c r="AF45" s="580"/>
      <c r="AG45" s="310" cm="1">
        <f t="array" ref="AG45">IFERROR(IF(Y45="2021年",INDEX('Offer Statistics'!AR$2:AR$203,MATCH(1,($A45='Offer Statistics'!$AK$2:$AK$203)*($Y$2='Offer Statistics'!$AL$2:$AL$203),0)),INDEX('Offer Statistics'!AR$2:AR202,MATCH(1,($G45='Offer Statistics'!$AK$2:$AK$203)*($Y$2='Offer Statistics'!$AL$2:$AL$203),0))),"/")</f>
        <v>2403</v>
      </c>
      <c r="AH45" s="295" cm="1">
        <f t="array" ref="AH45">IFERROR(IF(T45="2021年",INDEX('Offer Statistics'!AM$2:AM$203,MATCH(1,($A45='Offer Statistics'!$AK$2:$AK$203)*($Y$2='Offer Statistics'!$AL$2:$AL$203),0)),INDEX('Offer Statistics'!AM$2:AM202,MATCH(1,($G45='Offer Statistics'!$AK$2:$AK$203)*($Y$2='Offer Statistics'!$AL$2:$AL$203),0))),"/")</f>
        <v>625</v>
      </c>
      <c r="AI45" s="295" cm="1">
        <f t="array" ref="AI45">IFERROR(IF(U45="2021年",INDEX('Offer Statistics'!AN$2:AN$203,MATCH(1,($A45='Offer Statistics'!$AK$2:$AK$203)*($Y$2='Offer Statistics'!$AL$2:$AL$203),0)),INDEX('Offer Statistics'!AN$2:AN202,MATCH(1,($G45='Offer Statistics'!$AK$2:$AK$203)*($Y$2='Offer Statistics'!$AL$2:$AL$203),0))),"/")</f>
        <v>310</v>
      </c>
      <c r="AJ45" s="295" cm="1">
        <f t="array" ref="AJ45">IFERROR(IF(V45="2021年",INDEX('Offer Statistics'!AO$2:AO$203,MATCH(1,($A45='Offer Statistics'!$AK$2:$AK$203)*($Y$2='Offer Statistics'!$AL$2:$AL$203),0)),INDEX('Offer Statistics'!AO$2:AO202,MATCH(1,($G45='Offer Statistics'!$AK$2:$AK$203)*($Y$2='Offer Statistics'!$AL$2:$AL$203),0))),"/")</f>
        <v>449</v>
      </c>
      <c r="AK45" s="295" cm="1">
        <f t="array" ref="AK45">IFERROR(IF(W45="2021年",INDEX('Offer Statistics'!AP$2:AP$203,MATCH(1,($A45='Offer Statistics'!$AK$2:$AK$203)*($Y$2='Offer Statistics'!$AL$2:$AL$203),0)),INDEX('Offer Statistics'!AP$2:AP202,MATCH(1,($G45='Offer Statistics'!$AK$2:$AK$203)*($Y$2='Offer Statistics'!$AL$2:$AL$203),0))),"/")</f>
        <v>524</v>
      </c>
      <c r="AL45" s="295" cm="1">
        <f t="array" ref="AL45">IFERROR(IF(X45="2021年",INDEX('Offer Statistics'!AQ$2:AQ$203,MATCH(1,($A45='Offer Statistics'!$AK$2:$AK$203)*($Y$2='Offer Statistics'!$AL$2:$AL$203),0)),INDEX('Offer Statistics'!AQ$2:AQ202,MATCH(1,($G45='Offer Statistics'!$AK$2:$AK$203)*($Y$2='Offer Statistics'!$AL$2:$AL$203),0))),"/")</f>
        <v>495</v>
      </c>
      <c r="AM45" s="284"/>
      <c r="AN45" s="313" t="str">
        <f t="shared" si="2"/>
        <v>JS3636</v>
      </c>
      <c r="AO45" s="294" t="str">
        <f t="shared" si="10"/>
        <v>JS3636</v>
      </c>
    </row>
    <row r="46" spans="1:41" s="296" customFormat="1" ht="18" customHeight="1" x14ac:dyDescent="0.3">
      <c r="A46" s="290" t="s">
        <v>648</v>
      </c>
      <c r="B46" s="290" t="s">
        <v>2372</v>
      </c>
      <c r="C46" s="290" t="s">
        <v>653</v>
      </c>
      <c r="D46" s="290" t="s">
        <v>649</v>
      </c>
      <c r="E46" s="305" t="str">
        <f>'Reference Score Calculation'!E136</f>
        <v>4C2X</v>
      </c>
      <c r="F46" s="323">
        <f>'Reference Score Calculation'!V136</f>
        <v>29.5</v>
      </c>
      <c r="G46" s="294" t="s">
        <v>648</v>
      </c>
      <c r="H46" s="290" t="s">
        <v>651</v>
      </c>
      <c r="I46" s="310" t="str">
        <f>'Reference Score Calculation'!P136</f>
        <v>4C2X</v>
      </c>
      <c r="J46" s="323">
        <f>'Reference Score Calculation'!W136</f>
        <v>29.5</v>
      </c>
      <c r="K46" s="326">
        <f>'Reference Score Calculation'!G136</f>
        <v>265.00000000200004</v>
      </c>
      <c r="L46" s="326">
        <f>'Reference Score Calculation'!H136</f>
        <v>265.00000000195001</v>
      </c>
      <c r="M46" s="332">
        <f>計分版!H157</f>
        <v>1.85E-8</v>
      </c>
      <c r="N46" s="292">
        <f>IF(N$1="差距(Median)",M46-K46,IF(N$1="差距(LQ)",M46-L46))</f>
        <v>-264.99999998350006</v>
      </c>
      <c r="O46" s="293">
        <f>IF(N$1="差距(Median)",(M46-K46)/M46,IF(N$1="差距(LQ)",(M46-L46)/M46))</f>
        <v>-14324324323.432436</v>
      </c>
      <c r="P46" s="298">
        <f>入學要求!C145</f>
        <v>193</v>
      </c>
      <c r="Q46" s="301">
        <f>入學要求!R145</f>
        <v>0</v>
      </c>
      <c r="R46" s="304"/>
      <c r="S46" s="302">
        <f>入學要求!D145</f>
        <v>3</v>
      </c>
      <c r="T46" s="302">
        <f>入學要求!E145</f>
        <v>3</v>
      </c>
      <c r="U46" s="302">
        <f>入學要求!F145</f>
        <v>2</v>
      </c>
      <c r="V46" s="302">
        <f>入學要求!G145</f>
        <v>2</v>
      </c>
      <c r="W46" s="302">
        <f>入學要求!H145</f>
        <v>3</v>
      </c>
      <c r="X46" s="302">
        <f>入學要求!I145</f>
        <v>3</v>
      </c>
      <c r="Y46" s="583"/>
      <c r="Z46" s="310" cm="1">
        <f t="array" ref="Z46">IFERROR(IF(Y46="2021年",INDEX('Offer Statistics'!AZ$2:AZ$203,MATCH(1,($A46='Offer Statistics'!$AK$2:$AK$203)*($Y$2='Offer Statistics'!$AL$2:$AL$203),0)),INDEX('Offer Statistics'!AZ$2:AZ$203,MATCH(1,($G46='Offer Statistics'!$AK$2:$AK$203)*($Y$2='Offer Statistics'!$AL$2:$AL$203),0))),"/")</f>
        <v>172</v>
      </c>
      <c r="AA46" s="295" cm="1">
        <f t="array" ref="AA46">IFERROR(IF(T46="2021年",INDEX('Offer Statistics'!AU$2:AU$203,MATCH(1,($A46='Offer Statistics'!$AK$2:$AK$203)*($Y$2='Offer Statistics'!$AL$2:$AL$203),0)),INDEX('Offer Statistics'!AU$2:AU$203,MATCH(1,($G46='Offer Statistics'!$AK$2:$AK$203)*($Y$2='Offer Statistics'!$AL$2:$AL$203),0))),"/")</f>
        <v>168</v>
      </c>
      <c r="AB46" s="295" cm="1">
        <f t="array" ref="AB46">IFERROR(IF(U46="2021年",INDEX('Offer Statistics'!AV$2:AV$203,MATCH(1,($A46='Offer Statistics'!$AK$2:$AK$203)*($Y$2='Offer Statistics'!$AL$2:$AL$203),0)),INDEX('Offer Statistics'!AV$2:AV$203,MATCH(1,($G46='Offer Statistics'!$AK$2:$AK$203)*($Y$2='Offer Statistics'!$AL$2:$AL$203),0))),"/")</f>
        <v>1</v>
      </c>
      <c r="AC46" s="295" cm="1">
        <f t="array" ref="AC46">IFERROR(IF(V46="2021年",INDEX('Offer Statistics'!AW$2:AW$203,MATCH(1,($A46='Offer Statistics'!$AK$2:$AK$203)*($Y$2='Offer Statistics'!$AL$2:$AL$203),0)),INDEX('Offer Statistics'!AW$2:AW$203,MATCH(1,($G46='Offer Statistics'!$AK$2:$AK$203)*($Y$2='Offer Statistics'!$AL$2:$AL$203),0))),"/")</f>
        <v>2</v>
      </c>
      <c r="AD46" s="295" cm="1">
        <f t="array" ref="AD46">IFERROR(IF(W46="2021年",INDEX('Offer Statistics'!AX$2:AX$203,MATCH(1,($A46='Offer Statistics'!$AK$2:$AK$203)*($Y$2='Offer Statistics'!$AL$2:$AL$203),0)),INDEX('Offer Statistics'!AX$2:AX$203,MATCH(1,($G46='Offer Statistics'!$AK$2:$AK$203)*($Y$2='Offer Statistics'!$AL$2:$AL$203),0))),"/")</f>
        <v>0</v>
      </c>
      <c r="AE46" s="295" cm="1">
        <f t="array" ref="AE46">IFERROR(IF(X46="2021年",INDEX('Offer Statistics'!AY$2:AY$203,MATCH(1,($A46='Offer Statistics'!$AK$2:$AK$203)*($Y$2='Offer Statistics'!$AL$2:$AL$203),0)),INDEX('Offer Statistics'!AY$2:AY$203,MATCH(1,($G46='Offer Statistics'!$AK$2:$AK$203)*($Y$2='Offer Statistics'!$AL$2:$AL$203),0))),"/")</f>
        <v>1</v>
      </c>
      <c r="AF46" s="584"/>
      <c r="AG46" s="291" cm="1">
        <f t="array" ref="AG46">IFERROR(IF(Y46="2021年",INDEX('Offer Statistics'!AR$2:AR$203,MATCH(1,($A46='Offer Statistics'!$AK$2:$AK$203)*($Y$2='Offer Statistics'!$AL$2:$AL$203),0)),INDEX('Offer Statistics'!AR$2:AR203,MATCH(1,($G46='Offer Statistics'!$AK$2:$AK$203)*($Y$2='Offer Statistics'!$AL$2:$AL$203),0))),"/")</f>
        <v>4589</v>
      </c>
      <c r="AH46" s="295" cm="1">
        <f t="array" ref="AH46">IFERROR(IF(T46="2021年",INDEX('Offer Statistics'!AM$2:AM$203,MATCH(1,($A46='Offer Statistics'!$AK$2:$AK$203)*($Y$2='Offer Statistics'!$AL$2:$AL$203),0)),INDEX('Offer Statistics'!AM$2:AM203,MATCH(1,($G46='Offer Statistics'!$AK$2:$AK$203)*($Y$2='Offer Statistics'!$AL$2:$AL$203),0))),"/")</f>
        <v>987</v>
      </c>
      <c r="AI46" s="295" cm="1">
        <f t="array" ref="AI46">IFERROR(IF(U46="2021年",INDEX('Offer Statistics'!AN$2:AN$203,MATCH(1,($A46='Offer Statistics'!$AK$2:$AK$203)*($Y$2='Offer Statistics'!$AL$2:$AL$203),0)),INDEX('Offer Statistics'!AN$2:AN203,MATCH(1,($G46='Offer Statistics'!$AK$2:$AK$203)*($Y$2='Offer Statistics'!$AL$2:$AL$203),0))),"/")</f>
        <v>890</v>
      </c>
      <c r="AJ46" s="295" cm="1">
        <f t="array" ref="AJ46">IFERROR(IF(V46="2021年",INDEX('Offer Statistics'!AO$2:AO$203,MATCH(1,($A46='Offer Statistics'!$AK$2:$AK$203)*($Y$2='Offer Statistics'!$AL$2:$AL$203),0)),INDEX('Offer Statistics'!AO$2:AO203,MATCH(1,($G46='Offer Statistics'!$AK$2:$AK$203)*($Y$2='Offer Statistics'!$AL$2:$AL$203),0))),"/")</f>
        <v>997</v>
      </c>
      <c r="AK46" s="295" cm="1">
        <f t="array" ref="AK46">IFERROR(IF(W46="2021年",INDEX('Offer Statistics'!AP$2:AP$203,MATCH(1,($A46='Offer Statistics'!$AK$2:$AK$203)*($Y$2='Offer Statistics'!$AL$2:$AL$203),0)),INDEX('Offer Statistics'!AP$2:AP203,MATCH(1,($G46='Offer Statistics'!$AK$2:$AK$203)*($Y$2='Offer Statistics'!$AL$2:$AL$203),0))),"/")</f>
        <v>978</v>
      </c>
      <c r="AL46" s="295" cm="1">
        <f t="array" ref="AL46">IFERROR(IF(X46="2021年",INDEX('Offer Statistics'!AQ$2:AQ$203,MATCH(1,($A46='Offer Statistics'!$AK$2:$AK$203)*($Y$2='Offer Statistics'!$AL$2:$AL$203),0)),INDEX('Offer Statistics'!AQ$2:AQ203,MATCH(1,($G46='Offer Statistics'!$AK$2:$AK$203)*($Y$2='Offer Statistics'!$AL$2:$AL$203),0))),"/")</f>
        <v>737</v>
      </c>
      <c r="AM46" s="284"/>
      <c r="AN46" s="302" t="str">
        <f t="shared" si="2"/>
        <v>JS3648</v>
      </c>
      <c r="AO46" s="294" t="str">
        <f t="shared" si="10"/>
        <v>JS3648</v>
      </c>
    </row>
    <row r="47" spans="1:41" ht="18" customHeight="1" x14ac:dyDescent="0.3">
      <c r="A47" s="29"/>
      <c r="B47" s="29"/>
      <c r="C47" s="29"/>
      <c r="D47" s="262"/>
      <c r="E47" s="264"/>
      <c r="F47" s="264"/>
      <c r="G47" s="264"/>
      <c r="H47" s="29"/>
      <c r="I47" s="35"/>
      <c r="J47" s="264"/>
      <c r="K47" s="29"/>
      <c r="L47" s="29"/>
      <c r="M47" s="35"/>
      <c r="N47" s="29"/>
      <c r="O47" s="29"/>
      <c r="P47" s="29"/>
      <c r="Q47" s="35"/>
      <c r="R47" s="35"/>
      <c r="S47" s="29"/>
      <c r="T47" s="29"/>
      <c r="U47" s="29"/>
      <c r="V47" s="29"/>
      <c r="W47" s="29"/>
      <c r="X47" s="29"/>
      <c r="Y47" s="29"/>
      <c r="Z47" s="29"/>
      <c r="AA47" s="29"/>
      <c r="AB47" s="29"/>
      <c r="AC47" s="29"/>
      <c r="AD47" s="29"/>
      <c r="AE47" s="29"/>
      <c r="AF47" s="29"/>
      <c r="AG47" s="29"/>
      <c r="AH47" s="29"/>
      <c r="AI47" s="29"/>
      <c r="AJ47" s="29"/>
      <c r="AK47" s="29"/>
      <c r="AL47" s="29"/>
      <c r="AM47" s="29"/>
      <c r="AN47" s="320"/>
      <c r="AO47" s="29"/>
    </row>
    <row r="48" spans="1:41" ht="18" customHeight="1" x14ac:dyDescent="0.3">
      <c r="A48" s="3" t="s">
        <v>3536</v>
      </c>
      <c r="B48" s="4"/>
      <c r="C48" s="4"/>
      <c r="D48" s="252"/>
      <c r="E48" s="309"/>
      <c r="F48" s="309"/>
      <c r="G48" s="256"/>
      <c r="H48" s="4"/>
      <c r="I48" s="37"/>
      <c r="J48" s="309"/>
      <c r="K48" s="15"/>
      <c r="L48" s="15"/>
      <c r="M48" s="15"/>
      <c r="N48" s="22"/>
      <c r="O48" s="23"/>
      <c r="P48" s="15"/>
      <c r="Q48" s="15"/>
      <c r="R48" s="15"/>
      <c r="S48" s="15"/>
      <c r="T48" s="15"/>
      <c r="U48" s="15"/>
      <c r="V48" s="15"/>
      <c r="W48" s="15"/>
      <c r="X48" s="15"/>
      <c r="Y48" s="29"/>
      <c r="Z48" s="29"/>
      <c r="AA48" s="29"/>
      <c r="AB48" s="29"/>
      <c r="AC48" s="29"/>
      <c r="AD48" s="29"/>
      <c r="AE48" s="29"/>
      <c r="AF48" s="29"/>
      <c r="AG48" s="29"/>
      <c r="AH48" s="29"/>
      <c r="AI48" s="29"/>
      <c r="AJ48" s="29"/>
      <c r="AK48" s="29"/>
      <c r="AL48" s="29"/>
      <c r="AM48" s="29"/>
      <c r="AN48" s="262"/>
      <c r="AO48" s="29"/>
    </row>
    <row r="49" spans="1:42" ht="18" customHeight="1" x14ac:dyDescent="0.3">
      <c r="A49" s="4" t="s">
        <v>2378</v>
      </c>
      <c r="B49" s="4"/>
      <c r="C49" s="4"/>
      <c r="D49" s="252"/>
      <c r="E49" s="309"/>
      <c r="F49" s="309"/>
      <c r="G49" s="256"/>
      <c r="H49" s="4"/>
      <c r="I49" s="37"/>
      <c r="J49" s="309"/>
      <c r="K49" s="15"/>
      <c r="L49" s="15"/>
      <c r="M49" s="15"/>
      <c r="N49" s="22"/>
      <c r="O49" s="23"/>
      <c r="P49" s="15"/>
      <c r="Q49" s="15"/>
      <c r="R49" s="15"/>
      <c r="S49" s="15"/>
      <c r="T49" s="15"/>
      <c r="U49" s="15"/>
      <c r="V49" s="15"/>
      <c r="W49" s="15"/>
      <c r="X49" s="15"/>
      <c r="Y49" s="29"/>
      <c r="Z49" s="29"/>
      <c r="AA49" s="29"/>
      <c r="AB49" s="29"/>
      <c r="AC49" s="29"/>
      <c r="AD49" s="29"/>
      <c r="AE49" s="29"/>
      <c r="AF49" s="29"/>
      <c r="AG49" s="29"/>
      <c r="AH49" s="29"/>
      <c r="AI49" s="29"/>
      <c r="AJ49" s="29"/>
      <c r="AK49" s="29"/>
      <c r="AL49" s="29"/>
      <c r="AM49" s="29"/>
      <c r="AN49" s="262"/>
      <c r="AO49" s="29"/>
    </row>
    <row r="50" spans="1:42" ht="18" customHeight="1" x14ac:dyDescent="0.3">
      <c r="A50" s="4" t="s">
        <v>2589</v>
      </c>
      <c r="B50" s="4"/>
      <c r="C50" s="4"/>
      <c r="D50" s="252"/>
      <c r="E50" s="309"/>
      <c r="F50" s="309"/>
      <c r="G50" s="256"/>
      <c r="H50" s="4"/>
      <c r="I50" s="37"/>
      <c r="J50" s="309"/>
      <c r="K50" s="15"/>
      <c r="L50" s="15"/>
      <c r="M50" s="15"/>
      <c r="N50" s="22"/>
      <c r="O50" s="23"/>
      <c r="P50" s="15"/>
      <c r="Q50" s="15"/>
      <c r="R50" s="15"/>
      <c r="S50" s="15"/>
      <c r="T50" s="15"/>
      <c r="U50" s="15"/>
      <c r="V50" s="15"/>
      <c r="W50" s="15"/>
      <c r="X50" s="15"/>
      <c r="Y50" s="29"/>
      <c r="Z50" s="29"/>
      <c r="AA50" s="29"/>
      <c r="AB50" s="29"/>
      <c r="AC50" s="29"/>
      <c r="AD50" s="29"/>
      <c r="AE50" s="29"/>
      <c r="AF50" s="29"/>
      <c r="AG50" s="29"/>
      <c r="AH50" s="29"/>
      <c r="AI50" s="29"/>
      <c r="AJ50" s="29"/>
      <c r="AK50" s="29"/>
      <c r="AL50" s="29"/>
      <c r="AM50" s="29"/>
      <c r="AN50" s="262"/>
      <c r="AO50" s="29"/>
    </row>
    <row r="51" spans="1:42" s="4" customFormat="1" ht="18" customHeight="1" x14ac:dyDescent="0.3">
      <c r="C51" s="23"/>
      <c r="D51" s="260"/>
      <c r="E51" s="313"/>
      <c r="F51" s="313"/>
      <c r="G51" s="256"/>
      <c r="I51" s="15"/>
      <c r="J51" s="313"/>
      <c r="M51" s="15"/>
      <c r="P51" s="37"/>
      <c r="Q51" s="15"/>
      <c r="V51" s="529" t="s">
        <v>3531</v>
      </c>
      <c r="AN51" s="252"/>
    </row>
    <row r="52" spans="1:42" s="4" customFormat="1" ht="18" customHeight="1" x14ac:dyDescent="0.3">
      <c r="A52" s="4" t="s">
        <v>1985</v>
      </c>
      <c r="D52" s="252"/>
      <c r="E52" s="309"/>
      <c r="F52" s="309"/>
      <c r="G52" s="256"/>
      <c r="I52" s="37"/>
      <c r="J52" s="309"/>
      <c r="K52" s="15"/>
      <c r="L52" s="15"/>
      <c r="M52" s="15"/>
      <c r="N52" s="15"/>
      <c r="O52" s="22"/>
      <c r="P52" s="23"/>
      <c r="Q52" s="15"/>
      <c r="S52" s="15"/>
      <c r="T52" s="15"/>
      <c r="U52" s="15"/>
      <c r="V52" s="15"/>
      <c r="W52" s="15"/>
      <c r="X52" s="15"/>
      <c r="Y52" s="15"/>
      <c r="Z52" s="15"/>
      <c r="AA52" s="15"/>
      <c r="AB52" s="15"/>
      <c r="AC52" s="15"/>
      <c r="AD52" s="15"/>
      <c r="AE52" s="15"/>
      <c r="AF52" s="15"/>
      <c r="AG52" s="15"/>
      <c r="AH52" s="15"/>
      <c r="AI52" s="15"/>
      <c r="AJ52" s="15"/>
      <c r="AK52" s="15"/>
      <c r="AL52" s="15"/>
      <c r="AM52" s="15"/>
      <c r="AN52" s="252"/>
      <c r="AP52" s="15"/>
    </row>
    <row r="53" spans="1:42" ht="18" customHeight="1" x14ac:dyDescent="0.3">
      <c r="A53" s="4"/>
      <c r="B53" s="4"/>
      <c r="C53" s="4"/>
      <c r="D53" s="252"/>
      <c r="E53" s="309"/>
      <c r="F53" s="309"/>
      <c r="G53" s="256"/>
      <c r="H53" s="4"/>
      <c r="I53" s="37"/>
      <c r="J53" s="309"/>
      <c r="K53" s="15"/>
      <c r="L53" s="15"/>
      <c r="M53" s="15"/>
      <c r="N53" s="22"/>
      <c r="O53" s="23"/>
      <c r="P53" s="15"/>
      <c r="Q53" s="15"/>
      <c r="R53" s="15"/>
      <c r="S53" s="15"/>
      <c r="T53" s="15"/>
      <c r="U53" s="15"/>
      <c r="V53" s="15"/>
      <c r="W53" s="15"/>
      <c r="X53" s="15"/>
      <c r="Y53" s="29"/>
      <c r="Z53" s="29"/>
      <c r="AA53" s="29"/>
      <c r="AB53" s="29"/>
      <c r="AC53" s="29"/>
      <c r="AD53" s="29"/>
      <c r="AE53" s="29"/>
      <c r="AF53" s="29"/>
      <c r="AG53" s="29"/>
      <c r="AH53" s="29"/>
      <c r="AI53" s="29"/>
      <c r="AJ53" s="29"/>
      <c r="AK53" s="29"/>
      <c r="AL53" s="29"/>
      <c r="AM53" s="29"/>
      <c r="AN53" s="262"/>
      <c r="AO53" s="29"/>
    </row>
    <row r="54" spans="1:42" ht="18" customHeight="1" x14ac:dyDescent="0.3">
      <c r="A54" s="3" t="s">
        <v>1986</v>
      </c>
      <c r="B54" s="4"/>
      <c r="C54" s="4"/>
      <c r="D54" s="252"/>
      <c r="E54" s="309"/>
      <c r="F54" s="309"/>
      <c r="G54" s="256"/>
      <c r="H54" s="4"/>
      <c r="I54" s="37"/>
      <c r="J54" s="309"/>
      <c r="K54" s="15"/>
      <c r="L54" s="15"/>
      <c r="M54" s="15"/>
      <c r="N54" s="22"/>
      <c r="O54" s="23"/>
      <c r="P54" s="15"/>
      <c r="Q54" s="15"/>
      <c r="R54" s="15"/>
      <c r="S54" s="15"/>
      <c r="T54" s="15"/>
      <c r="U54" s="15"/>
      <c r="V54" s="15"/>
      <c r="W54" s="15"/>
      <c r="X54" s="15"/>
      <c r="Y54" s="29"/>
      <c r="Z54" s="29"/>
      <c r="AA54" s="29"/>
      <c r="AB54" s="29"/>
      <c r="AC54" s="29"/>
      <c r="AD54" s="29"/>
      <c r="AE54" s="29"/>
      <c r="AF54" s="29"/>
      <c r="AG54" s="29"/>
      <c r="AH54" s="29"/>
      <c r="AI54" s="29"/>
      <c r="AJ54" s="29"/>
      <c r="AK54" s="29"/>
      <c r="AL54" s="29"/>
      <c r="AM54" s="29"/>
      <c r="AN54" s="262"/>
      <c r="AO54" s="29"/>
    </row>
    <row r="55" spans="1:42" ht="18" customHeight="1" x14ac:dyDescent="0.3">
      <c r="A55" s="4" t="s">
        <v>3529</v>
      </c>
      <c r="B55" s="4"/>
      <c r="C55" s="4"/>
      <c r="D55" s="252"/>
      <c r="E55" s="309"/>
      <c r="F55" s="309"/>
      <c r="G55" s="256"/>
      <c r="H55" s="4"/>
      <c r="I55" s="37"/>
      <c r="J55" s="309"/>
      <c r="K55" s="15"/>
      <c r="L55" s="15"/>
      <c r="M55" s="15"/>
      <c r="N55" s="22"/>
      <c r="O55" s="23"/>
      <c r="P55" s="15"/>
      <c r="Q55" s="15"/>
      <c r="R55" s="15"/>
      <c r="S55" s="15"/>
      <c r="T55" s="15"/>
      <c r="U55" s="15"/>
      <c r="V55" s="15"/>
      <c r="W55" s="15"/>
      <c r="X55" s="15"/>
      <c r="Y55" s="29"/>
      <c r="Z55" s="29"/>
      <c r="AA55" s="29"/>
      <c r="AB55" s="29"/>
      <c r="AC55" s="29"/>
      <c r="AD55" s="29"/>
      <c r="AE55" s="29"/>
      <c r="AF55" s="29"/>
      <c r="AG55" s="29"/>
      <c r="AH55" s="29"/>
      <c r="AI55" s="29"/>
      <c r="AJ55" s="29"/>
      <c r="AK55" s="29"/>
      <c r="AL55" s="29"/>
      <c r="AM55" s="29"/>
      <c r="AN55" s="262"/>
      <c r="AO55" s="29"/>
    </row>
    <row r="56" spans="1:42" ht="18" customHeight="1" x14ac:dyDescent="0.3">
      <c r="A56" s="2" t="s">
        <v>2379</v>
      </c>
      <c r="B56" s="4"/>
      <c r="C56" s="4"/>
      <c r="D56" s="252"/>
      <c r="E56" s="309"/>
      <c r="F56" s="309"/>
      <c r="G56" s="256"/>
      <c r="H56" s="4"/>
      <c r="I56" s="37"/>
      <c r="J56" s="309"/>
      <c r="K56" s="15"/>
      <c r="L56" s="15"/>
      <c r="M56" s="15"/>
      <c r="N56" s="22"/>
      <c r="O56" s="23"/>
      <c r="P56" s="15"/>
      <c r="Q56" s="15"/>
      <c r="R56" s="15"/>
      <c r="S56" s="15"/>
      <c r="T56" s="15"/>
      <c r="U56" s="15"/>
      <c r="V56" s="15"/>
      <c r="W56" s="15"/>
      <c r="X56" s="15"/>
      <c r="Y56" s="29"/>
      <c r="Z56" s="29"/>
      <c r="AA56" s="29"/>
      <c r="AB56" s="29"/>
      <c r="AC56" s="29"/>
      <c r="AD56" s="29"/>
      <c r="AE56" s="29"/>
      <c r="AF56" s="29"/>
      <c r="AG56" s="29"/>
      <c r="AH56" s="29"/>
      <c r="AI56" s="29"/>
      <c r="AJ56" s="29"/>
      <c r="AK56" s="29"/>
      <c r="AL56" s="29"/>
      <c r="AM56" s="29"/>
      <c r="AN56" s="262"/>
      <c r="AO56" s="29"/>
    </row>
    <row r="57" spans="1:42" ht="18" customHeight="1" x14ac:dyDescent="0.3">
      <c r="A57" s="4" t="s">
        <v>2380</v>
      </c>
      <c r="B57" s="4"/>
      <c r="C57" s="4"/>
      <c r="D57" s="252"/>
      <c r="E57" s="309"/>
      <c r="F57" s="309"/>
      <c r="G57" s="256"/>
      <c r="H57" s="4"/>
      <c r="I57" s="37"/>
      <c r="J57" s="309"/>
      <c r="K57" s="15"/>
      <c r="L57" s="15"/>
      <c r="M57" s="15"/>
      <c r="N57" s="22"/>
      <c r="O57" s="23"/>
      <c r="P57" s="15"/>
      <c r="Q57" s="15"/>
      <c r="R57" s="15"/>
      <c r="S57" s="15"/>
      <c r="T57" s="15"/>
      <c r="U57" s="15"/>
      <c r="V57" s="15"/>
      <c r="W57" s="15"/>
      <c r="X57" s="15"/>
      <c r="Y57" s="29"/>
      <c r="Z57" s="29"/>
      <c r="AA57" s="29"/>
      <c r="AB57" s="29"/>
      <c r="AC57" s="29"/>
      <c r="AD57" s="29"/>
      <c r="AE57" s="29"/>
      <c r="AF57" s="29"/>
      <c r="AG57" s="29"/>
      <c r="AH57" s="29"/>
      <c r="AI57" s="29"/>
      <c r="AJ57" s="29"/>
      <c r="AK57" s="29"/>
      <c r="AL57" s="29"/>
      <c r="AM57" s="29"/>
      <c r="AN57" s="262"/>
      <c r="AO57" s="29"/>
    </row>
    <row r="58" spans="1:42" ht="18" customHeight="1" x14ac:dyDescent="0.3">
      <c r="A58" s="4"/>
      <c r="B58" s="4" t="s">
        <v>2381</v>
      </c>
      <c r="C58" s="4"/>
      <c r="D58" s="252"/>
      <c r="E58" s="309"/>
      <c r="F58" s="309"/>
      <c r="G58" s="256"/>
      <c r="H58" s="4"/>
      <c r="I58" s="37"/>
      <c r="J58" s="309"/>
      <c r="K58" s="15"/>
      <c r="L58" s="15"/>
      <c r="M58" s="15"/>
      <c r="N58" s="22"/>
      <c r="O58" s="23"/>
      <c r="P58" s="15"/>
      <c r="Q58" s="15"/>
      <c r="R58" s="15"/>
      <c r="S58" s="15"/>
      <c r="T58" s="15"/>
      <c r="U58" s="15"/>
      <c r="V58" s="15"/>
      <c r="W58" s="15"/>
      <c r="X58" s="15"/>
      <c r="Y58" s="29"/>
      <c r="Z58" s="29"/>
      <c r="AA58" s="29"/>
      <c r="AB58" s="29"/>
      <c r="AC58" s="29"/>
      <c r="AD58" s="29"/>
      <c r="AE58" s="29"/>
      <c r="AF58" s="29"/>
      <c r="AG58" s="29"/>
      <c r="AH58" s="29"/>
      <c r="AI58" s="29"/>
      <c r="AJ58" s="29"/>
      <c r="AK58" s="29"/>
      <c r="AL58" s="29"/>
      <c r="AM58" s="29"/>
      <c r="AN58" s="262"/>
      <c r="AO58" s="29"/>
    </row>
    <row r="59" spans="1:42" ht="18" customHeight="1" x14ac:dyDescent="0.3">
      <c r="A59" s="4"/>
      <c r="B59" s="4"/>
      <c r="C59" s="4"/>
      <c r="D59" s="252"/>
      <c r="E59" s="309"/>
      <c r="F59" s="309"/>
      <c r="G59" s="256"/>
      <c r="H59" s="4"/>
      <c r="I59" s="37"/>
      <c r="J59" s="309"/>
      <c r="K59" s="15"/>
      <c r="L59" s="15"/>
      <c r="M59" s="15"/>
      <c r="N59" s="22"/>
      <c r="O59" s="23"/>
      <c r="P59" s="15"/>
      <c r="Q59" s="15"/>
      <c r="R59" s="15"/>
      <c r="S59" s="15"/>
      <c r="T59" s="15"/>
      <c r="U59" s="15"/>
      <c r="V59" s="15"/>
      <c r="W59" s="15"/>
      <c r="X59" s="15"/>
      <c r="Y59" s="29"/>
      <c r="Z59" s="29"/>
      <c r="AA59" s="29"/>
      <c r="AB59" s="29"/>
      <c r="AC59" s="29"/>
      <c r="AD59" s="29"/>
      <c r="AE59" s="29"/>
      <c r="AF59" s="29"/>
      <c r="AG59" s="29"/>
      <c r="AH59" s="29"/>
      <c r="AI59" s="29"/>
      <c r="AJ59" s="29"/>
      <c r="AK59" s="29"/>
      <c r="AL59" s="29"/>
      <c r="AM59" s="29"/>
      <c r="AN59" s="262"/>
      <c r="AO59" s="29"/>
    </row>
    <row r="60" spans="1:42" ht="18" customHeight="1" x14ac:dyDescent="0.3">
      <c r="A60" s="4" t="s">
        <v>3733</v>
      </c>
      <c r="B60" s="4"/>
      <c r="C60" s="4"/>
      <c r="D60" s="252"/>
      <c r="E60" s="309"/>
      <c r="F60" s="309"/>
      <c r="G60" s="256"/>
      <c r="H60" s="4"/>
      <c r="I60" s="37"/>
      <c r="J60" s="309"/>
      <c r="K60" s="15"/>
      <c r="L60" s="15"/>
      <c r="M60" s="15"/>
      <c r="N60" s="22"/>
      <c r="O60" s="23"/>
      <c r="P60" s="15"/>
      <c r="Q60" s="15"/>
      <c r="R60" s="15"/>
      <c r="S60" s="15"/>
      <c r="T60" s="15"/>
      <c r="U60" s="15"/>
      <c r="V60" s="15"/>
      <c r="W60" s="15"/>
      <c r="X60" s="15"/>
      <c r="Y60" s="29"/>
      <c r="Z60" s="29"/>
      <c r="AA60" s="29"/>
      <c r="AB60" s="29"/>
      <c r="AC60" s="29"/>
      <c r="AD60" s="29"/>
      <c r="AE60" s="29"/>
      <c r="AF60" s="29"/>
      <c r="AG60" s="29"/>
      <c r="AH60" s="29"/>
      <c r="AI60" s="29"/>
      <c r="AJ60" s="29"/>
      <c r="AK60" s="29"/>
      <c r="AL60" s="29"/>
      <c r="AM60" s="29"/>
      <c r="AN60" s="262"/>
      <c r="AO60" s="29"/>
    </row>
    <row r="61" spans="1:42" ht="18" customHeight="1" x14ac:dyDescent="0.3">
      <c r="A61" s="4"/>
      <c r="B61" s="4"/>
      <c r="C61" s="4"/>
      <c r="D61" s="252"/>
      <c r="E61" s="309"/>
      <c r="F61" s="309"/>
      <c r="G61" s="256"/>
      <c r="H61" s="4"/>
      <c r="I61" s="37"/>
      <c r="J61" s="309"/>
      <c r="K61" s="15"/>
      <c r="L61" s="15"/>
      <c r="M61" s="15"/>
      <c r="N61" s="22"/>
      <c r="O61" s="23"/>
      <c r="P61" s="15"/>
      <c r="Q61" s="15"/>
      <c r="R61" s="15"/>
      <c r="S61" s="15"/>
      <c r="T61" s="15"/>
      <c r="U61" s="15"/>
      <c r="V61" s="15"/>
      <c r="W61" s="15"/>
      <c r="X61" s="15"/>
      <c r="Y61" s="29"/>
      <c r="Z61" s="29"/>
      <c r="AA61" s="29"/>
      <c r="AB61" s="29"/>
      <c r="AC61" s="29"/>
      <c r="AD61" s="29"/>
      <c r="AE61" s="29"/>
      <c r="AF61" s="29"/>
      <c r="AG61" s="29"/>
      <c r="AH61" s="29"/>
      <c r="AI61" s="29"/>
      <c r="AJ61" s="29"/>
      <c r="AK61" s="29"/>
      <c r="AL61" s="29"/>
      <c r="AM61" s="29"/>
      <c r="AN61" s="262"/>
      <c r="AO61" s="29"/>
    </row>
    <row r="62" spans="1:42" ht="18" customHeight="1" x14ac:dyDescent="0.3">
      <c r="A62" s="4" t="s">
        <v>2382</v>
      </c>
      <c r="B62" s="4"/>
      <c r="C62" s="4"/>
      <c r="D62" s="252"/>
      <c r="E62" s="309"/>
      <c r="F62" s="309"/>
      <c r="G62" s="256"/>
      <c r="H62" s="4"/>
      <c r="I62" s="37"/>
      <c r="J62" s="309"/>
      <c r="K62" s="15"/>
      <c r="L62" s="15"/>
      <c r="M62" s="15"/>
      <c r="N62" s="22"/>
      <c r="O62" s="23"/>
      <c r="P62" s="15"/>
      <c r="Q62" s="15"/>
      <c r="R62" s="15"/>
      <c r="S62" s="15"/>
      <c r="T62" s="15"/>
      <c r="U62" s="15"/>
      <c r="V62" s="15"/>
      <c r="W62" s="15"/>
      <c r="X62" s="15"/>
      <c r="Y62" s="29"/>
      <c r="Z62" s="29"/>
      <c r="AA62" s="29"/>
      <c r="AB62" s="29"/>
      <c r="AC62" s="29"/>
      <c r="AD62" s="29"/>
      <c r="AE62" s="29"/>
      <c r="AF62" s="29"/>
      <c r="AG62" s="29"/>
      <c r="AH62" s="29"/>
      <c r="AI62" s="29"/>
      <c r="AJ62" s="29"/>
      <c r="AK62" s="29"/>
      <c r="AL62" s="29"/>
      <c r="AM62" s="29"/>
      <c r="AN62" s="262"/>
      <c r="AO62" s="29"/>
    </row>
    <row r="63" spans="1:42" ht="18" customHeight="1" x14ac:dyDescent="0.3">
      <c r="A63" s="4"/>
      <c r="B63" s="4"/>
      <c r="C63" s="4"/>
      <c r="D63" s="252"/>
      <c r="E63" s="309"/>
      <c r="F63" s="309"/>
      <c r="G63" s="256"/>
      <c r="H63" s="4"/>
      <c r="I63" s="37"/>
      <c r="J63" s="309"/>
      <c r="K63" s="15"/>
      <c r="L63" s="15"/>
      <c r="M63" s="15"/>
      <c r="N63" s="22"/>
      <c r="O63" s="23"/>
      <c r="P63" s="15"/>
      <c r="Q63" s="15"/>
      <c r="R63" s="15"/>
      <c r="S63" s="15"/>
      <c r="T63" s="15"/>
      <c r="U63" s="15"/>
      <c r="V63" s="15"/>
      <c r="W63" s="15"/>
      <c r="X63" s="15"/>
      <c r="Y63" s="29"/>
      <c r="Z63" s="29"/>
      <c r="AA63" s="29"/>
      <c r="AB63" s="29"/>
      <c r="AC63" s="29"/>
      <c r="AD63" s="29"/>
      <c r="AE63" s="29"/>
      <c r="AF63" s="29"/>
      <c r="AG63" s="29"/>
      <c r="AH63" s="29"/>
      <c r="AI63" s="29"/>
      <c r="AJ63" s="29"/>
      <c r="AK63" s="29"/>
      <c r="AL63" s="29"/>
      <c r="AM63" s="29"/>
      <c r="AN63" s="262"/>
      <c r="AO63" s="29"/>
    </row>
    <row r="64" spans="1:42" s="476" customFormat="1" ht="18" customHeight="1" x14ac:dyDescent="0.3">
      <c r="A64" s="253" t="s">
        <v>2383</v>
      </c>
      <c r="B64" s="253"/>
      <c r="C64" s="253"/>
      <c r="D64" s="253"/>
      <c r="E64" s="367"/>
      <c r="F64" s="367"/>
      <c r="G64" s="363"/>
      <c r="H64" s="253"/>
      <c r="I64" s="367"/>
      <c r="J64" s="367"/>
      <c r="K64" s="363"/>
      <c r="L64" s="363"/>
      <c r="M64" s="363"/>
      <c r="N64" s="473"/>
      <c r="O64" s="474"/>
      <c r="P64" s="363"/>
      <c r="Q64" s="363"/>
      <c r="R64" s="363"/>
      <c r="S64" s="363"/>
      <c r="T64" s="363"/>
      <c r="U64" s="363"/>
      <c r="V64" s="363"/>
      <c r="W64" s="363"/>
      <c r="X64" s="363"/>
      <c r="Y64" s="475"/>
      <c r="Z64" s="475"/>
      <c r="AA64" s="475"/>
      <c r="AB64" s="475"/>
      <c r="AC64" s="475"/>
      <c r="AD64" s="475"/>
      <c r="AE64" s="475"/>
      <c r="AF64" s="475"/>
      <c r="AG64" s="475"/>
      <c r="AH64" s="475"/>
      <c r="AI64" s="475"/>
      <c r="AJ64" s="475"/>
      <c r="AK64" s="475"/>
      <c r="AL64" s="475"/>
      <c r="AM64" s="475"/>
      <c r="AN64" s="475"/>
      <c r="AO64" s="475"/>
    </row>
    <row r="65" spans="1:41" s="476" customFormat="1" ht="18" customHeight="1" x14ac:dyDescent="0.3">
      <c r="A65" s="253"/>
      <c r="B65" s="253" t="s">
        <v>2384</v>
      </c>
      <c r="C65" s="253"/>
      <c r="D65" s="253"/>
      <c r="E65" s="367"/>
      <c r="F65" s="367"/>
      <c r="G65" s="363"/>
      <c r="H65" s="253"/>
      <c r="I65" s="367"/>
      <c r="J65" s="367"/>
      <c r="K65" s="363"/>
      <c r="L65" s="363"/>
      <c r="M65" s="363"/>
      <c r="N65" s="473"/>
      <c r="O65" s="474"/>
      <c r="P65" s="363"/>
      <c r="Q65" s="363"/>
      <c r="R65" s="363"/>
      <c r="S65" s="363"/>
      <c r="T65" s="363"/>
      <c r="U65" s="363"/>
      <c r="V65" s="363"/>
      <c r="W65" s="363"/>
      <c r="X65" s="363"/>
      <c r="Y65" s="475"/>
      <c r="Z65" s="475"/>
      <c r="AA65" s="475"/>
      <c r="AB65" s="475"/>
      <c r="AC65" s="475"/>
      <c r="AD65" s="475"/>
      <c r="AE65" s="475"/>
      <c r="AF65" s="475"/>
      <c r="AG65" s="475"/>
      <c r="AH65" s="475"/>
      <c r="AI65" s="475"/>
      <c r="AJ65" s="475"/>
      <c r="AK65" s="475"/>
      <c r="AL65" s="475"/>
      <c r="AM65" s="475"/>
      <c r="AN65" s="475"/>
      <c r="AO65" s="475"/>
    </row>
    <row r="66" spans="1:41" s="476" customFormat="1" ht="18" customHeight="1" x14ac:dyDescent="0.3">
      <c r="B66" s="253" t="s">
        <v>3526</v>
      </c>
      <c r="C66" s="253"/>
      <c r="D66" s="253"/>
      <c r="E66" s="367"/>
      <c r="F66" s="367"/>
      <c r="G66" s="363"/>
      <c r="H66" s="253"/>
      <c r="I66" s="367"/>
      <c r="J66" s="367"/>
      <c r="K66" s="363"/>
      <c r="L66" s="363"/>
      <c r="M66" s="363"/>
      <c r="N66" s="473"/>
      <c r="O66" s="474"/>
      <c r="P66" s="363"/>
      <c r="Q66" s="363"/>
      <c r="R66" s="363"/>
      <c r="S66" s="363"/>
      <c r="T66" s="363"/>
      <c r="U66" s="363"/>
      <c r="V66" s="363"/>
      <c r="W66" s="363"/>
      <c r="X66" s="363"/>
      <c r="Y66" s="475"/>
      <c r="Z66" s="475"/>
      <c r="AA66" s="475"/>
      <c r="AB66" s="475"/>
      <c r="AC66" s="475"/>
      <c r="AD66" s="475"/>
      <c r="AE66" s="475"/>
      <c r="AF66" s="475"/>
      <c r="AG66" s="475"/>
      <c r="AH66" s="475"/>
      <c r="AI66" s="475"/>
      <c r="AJ66" s="475"/>
      <c r="AK66" s="475"/>
      <c r="AL66" s="475"/>
      <c r="AM66" s="475"/>
      <c r="AN66" s="475"/>
      <c r="AO66" s="475"/>
    </row>
    <row r="67" spans="1:41" s="476" customFormat="1" ht="18" customHeight="1" x14ac:dyDescent="0.3">
      <c r="A67" s="253"/>
      <c r="B67" s="253" t="s">
        <v>3527</v>
      </c>
      <c r="C67" s="253"/>
      <c r="D67" s="253"/>
      <c r="E67" s="367"/>
      <c r="F67" s="367"/>
      <c r="G67" s="363"/>
      <c r="H67" s="253"/>
      <c r="I67" s="367"/>
      <c r="J67" s="367"/>
      <c r="K67" s="363"/>
      <c r="L67" s="363"/>
      <c r="M67" s="363"/>
      <c r="N67" s="473"/>
      <c r="O67" s="474"/>
      <c r="P67" s="363"/>
      <c r="Q67" s="363"/>
      <c r="R67" s="363"/>
      <c r="S67" s="363"/>
      <c r="T67" s="363"/>
      <c r="U67" s="363"/>
      <c r="V67" s="363"/>
      <c r="W67" s="363"/>
      <c r="X67" s="363"/>
      <c r="Y67" s="475"/>
      <c r="Z67" s="475"/>
      <c r="AA67" s="475"/>
      <c r="AB67" s="475"/>
      <c r="AC67" s="475"/>
      <c r="AD67" s="475"/>
      <c r="AE67" s="475"/>
      <c r="AF67" s="475"/>
      <c r="AG67" s="475"/>
      <c r="AH67" s="475"/>
      <c r="AI67" s="475"/>
      <c r="AJ67" s="475"/>
      <c r="AK67" s="475"/>
      <c r="AL67" s="475"/>
      <c r="AM67" s="475"/>
      <c r="AN67" s="475"/>
      <c r="AO67" s="475"/>
    </row>
    <row r="68" spans="1:41" s="476" customFormat="1" ht="18" customHeight="1" x14ac:dyDescent="0.3">
      <c r="A68" s="253"/>
      <c r="B68" s="253" t="s">
        <v>3528</v>
      </c>
      <c r="C68" s="253"/>
      <c r="D68" s="253"/>
      <c r="E68" s="367"/>
      <c r="F68" s="367"/>
      <c r="G68" s="363"/>
      <c r="H68" s="253"/>
      <c r="I68" s="367"/>
      <c r="J68" s="367"/>
      <c r="K68" s="363"/>
      <c r="L68" s="363"/>
      <c r="M68" s="363"/>
      <c r="N68" s="473"/>
      <c r="O68" s="474"/>
      <c r="P68" s="363"/>
      <c r="Q68" s="363"/>
      <c r="R68" s="363"/>
      <c r="S68" s="363"/>
      <c r="T68" s="363"/>
      <c r="U68" s="363"/>
      <c r="V68" s="363"/>
      <c r="W68" s="363"/>
      <c r="X68" s="363"/>
      <c r="Y68" s="475"/>
      <c r="Z68" s="475"/>
      <c r="AA68" s="475"/>
      <c r="AB68" s="475"/>
      <c r="AC68" s="475"/>
      <c r="AD68" s="475"/>
      <c r="AE68" s="475"/>
      <c r="AF68" s="475"/>
      <c r="AG68" s="475"/>
      <c r="AH68" s="475"/>
      <c r="AI68" s="475"/>
      <c r="AJ68" s="475"/>
      <c r="AK68" s="475"/>
      <c r="AL68" s="475"/>
      <c r="AM68" s="475"/>
      <c r="AN68" s="475"/>
      <c r="AO68" s="475"/>
    </row>
    <row r="69" spans="1:41" ht="18" customHeight="1" x14ac:dyDescent="0.3">
      <c r="A69" s="4"/>
      <c r="B69" s="4"/>
      <c r="C69" s="4"/>
      <c r="D69" s="252"/>
      <c r="E69" s="309"/>
      <c r="F69" s="309"/>
      <c r="G69" s="256"/>
      <c r="H69" s="4"/>
      <c r="I69" s="37"/>
      <c r="J69" s="309"/>
      <c r="K69" s="15"/>
      <c r="L69" s="15"/>
      <c r="M69" s="15"/>
      <c r="N69" s="22"/>
      <c r="O69" s="23"/>
      <c r="P69" s="15"/>
      <c r="Q69" s="15"/>
      <c r="R69" s="15"/>
      <c r="S69" s="15"/>
      <c r="T69" s="15"/>
      <c r="U69" s="15"/>
      <c r="V69" s="15"/>
      <c r="W69" s="15"/>
      <c r="X69" s="15"/>
      <c r="Y69" s="29"/>
      <c r="Z69" s="29"/>
      <c r="AA69" s="29"/>
      <c r="AB69" s="29"/>
      <c r="AC69" s="29"/>
      <c r="AD69" s="29"/>
      <c r="AE69" s="29"/>
      <c r="AF69" s="29"/>
      <c r="AG69" s="29"/>
      <c r="AH69" s="29"/>
      <c r="AI69" s="29"/>
      <c r="AJ69" s="29"/>
      <c r="AK69" s="29"/>
      <c r="AL69" s="29"/>
      <c r="AM69" s="29"/>
      <c r="AN69" s="262"/>
      <c r="AO69" s="29"/>
    </row>
    <row r="70" spans="1:41" ht="18" hidden="1" customHeight="1" x14ac:dyDescent="0.3">
      <c r="A70" s="341" t="s">
        <v>2385</v>
      </c>
      <c r="B70" s="341"/>
      <c r="C70" s="4"/>
      <c r="D70" s="252"/>
      <c r="E70" s="309"/>
      <c r="F70" s="309"/>
      <c r="G70" s="256"/>
      <c r="H70" s="4"/>
      <c r="I70" s="37"/>
      <c r="J70" s="309"/>
      <c r="K70" s="15"/>
      <c r="L70" s="15"/>
      <c r="M70" s="15"/>
      <c r="N70" s="22"/>
      <c r="O70" s="23"/>
      <c r="P70" s="15"/>
      <c r="Q70" s="15"/>
      <c r="R70" s="15"/>
      <c r="S70" s="15"/>
      <c r="T70" s="15"/>
      <c r="U70" s="15"/>
      <c r="V70" s="15"/>
      <c r="W70" s="15"/>
      <c r="X70" s="15"/>
      <c r="Y70" s="29"/>
      <c r="Z70" s="29"/>
      <c r="AA70" s="29"/>
      <c r="AB70" s="29"/>
      <c r="AC70" s="29"/>
      <c r="AD70" s="29"/>
      <c r="AE70" s="29"/>
      <c r="AF70" s="29"/>
      <c r="AG70" s="29"/>
      <c r="AH70" s="29"/>
      <c r="AI70" s="29"/>
      <c r="AJ70" s="29"/>
      <c r="AK70" s="29"/>
      <c r="AL70" s="29"/>
      <c r="AM70" s="29"/>
      <c r="AN70" s="262"/>
      <c r="AO70" s="29"/>
    </row>
    <row r="71" spans="1:41" ht="18" hidden="1" customHeight="1" x14ac:dyDescent="0.3">
      <c r="A71" s="341"/>
      <c r="B71" s="341" t="s">
        <v>2386</v>
      </c>
      <c r="C71" s="4"/>
      <c r="D71" s="252"/>
      <c r="E71" s="309"/>
      <c r="F71" s="309"/>
      <c r="G71" s="256"/>
      <c r="H71" s="4"/>
      <c r="I71" s="37"/>
      <c r="J71" s="309"/>
      <c r="K71" s="15"/>
      <c r="L71" s="15"/>
      <c r="M71" s="15"/>
      <c r="N71" s="22"/>
      <c r="O71" s="23"/>
      <c r="P71" s="15"/>
      <c r="Q71" s="15"/>
      <c r="R71" s="15"/>
      <c r="S71" s="15"/>
      <c r="T71" s="15"/>
      <c r="U71" s="15"/>
      <c r="V71" s="15"/>
      <c r="W71" s="15"/>
      <c r="X71" s="15"/>
      <c r="Y71" s="29"/>
      <c r="Z71" s="29"/>
      <c r="AA71" s="29"/>
      <c r="AB71" s="29"/>
      <c r="AC71" s="29"/>
      <c r="AD71" s="29"/>
      <c r="AE71" s="29"/>
      <c r="AF71" s="29"/>
      <c r="AG71" s="29"/>
      <c r="AH71" s="29"/>
      <c r="AI71" s="29"/>
      <c r="AJ71" s="29"/>
      <c r="AK71" s="29"/>
      <c r="AL71" s="29"/>
      <c r="AM71" s="29"/>
      <c r="AN71" s="262"/>
      <c r="AO71" s="29"/>
    </row>
    <row r="72" spans="1:41" ht="18" hidden="1" customHeight="1" x14ac:dyDescent="0.3">
      <c r="A72" s="54"/>
      <c r="B72" s="341" t="s">
        <v>2387</v>
      </c>
      <c r="C72" s="4"/>
      <c r="D72" s="252"/>
      <c r="E72" s="309"/>
      <c r="F72" s="309"/>
      <c r="G72" s="256"/>
      <c r="H72" s="4"/>
      <c r="I72" s="37"/>
      <c r="J72" s="309"/>
      <c r="K72" s="15"/>
      <c r="L72" s="15"/>
      <c r="M72" s="15"/>
      <c r="N72" s="22"/>
      <c r="O72" s="23"/>
      <c r="P72" s="15"/>
      <c r="Q72" s="15"/>
      <c r="R72" s="15"/>
      <c r="S72" s="15"/>
      <c r="T72" s="15"/>
      <c r="U72" s="15"/>
      <c r="V72" s="15"/>
      <c r="W72" s="15"/>
      <c r="X72" s="15"/>
      <c r="Y72" s="29"/>
      <c r="Z72" s="29"/>
      <c r="AA72" s="29"/>
      <c r="AB72" s="29"/>
      <c r="AC72" s="29"/>
      <c r="AD72" s="29"/>
      <c r="AE72" s="29"/>
      <c r="AF72" s="29"/>
      <c r="AG72" s="29"/>
      <c r="AH72" s="29"/>
      <c r="AI72" s="29"/>
      <c r="AJ72" s="29"/>
      <c r="AK72" s="29"/>
      <c r="AL72" s="29"/>
      <c r="AM72" s="29"/>
      <c r="AN72" s="262"/>
      <c r="AO72" s="29"/>
    </row>
    <row r="73" spans="1:41" ht="18" customHeight="1" x14ac:dyDescent="0.3">
      <c r="A73" s="4"/>
      <c r="B73" s="4"/>
      <c r="C73" s="4"/>
      <c r="D73" s="252"/>
      <c r="E73" s="309"/>
      <c r="F73" s="309"/>
      <c r="G73" s="256"/>
      <c r="H73" s="4"/>
      <c r="I73" s="37"/>
      <c r="J73" s="309"/>
      <c r="K73" s="15"/>
      <c r="L73" s="15"/>
      <c r="M73" s="15"/>
      <c r="N73" s="22"/>
      <c r="O73" s="23"/>
      <c r="P73" s="15"/>
      <c r="Q73" s="15"/>
      <c r="R73" s="15"/>
      <c r="S73" s="15"/>
      <c r="T73" s="15"/>
      <c r="U73" s="15"/>
      <c r="V73" s="15"/>
      <c r="W73" s="15"/>
      <c r="X73" s="15"/>
      <c r="Y73" s="29"/>
      <c r="Z73" s="29"/>
      <c r="AA73" s="29"/>
      <c r="AB73" s="29"/>
      <c r="AC73" s="29"/>
      <c r="AD73" s="29"/>
      <c r="AE73" s="29"/>
      <c r="AF73" s="29"/>
      <c r="AG73" s="29"/>
      <c r="AH73" s="29"/>
      <c r="AI73" s="29"/>
      <c r="AJ73" s="29"/>
      <c r="AK73" s="29"/>
      <c r="AL73" s="29"/>
      <c r="AM73" s="29"/>
      <c r="AN73" s="262"/>
      <c r="AO73" s="29"/>
    </row>
    <row r="74" spans="1:41" ht="18" hidden="1" customHeight="1" x14ac:dyDescent="0.3">
      <c r="A74" s="341" t="s">
        <v>2388</v>
      </c>
      <c r="B74" s="341"/>
      <c r="C74" s="341"/>
      <c r="D74" s="252"/>
      <c r="E74" s="309"/>
      <c r="F74" s="309"/>
      <c r="G74" s="256"/>
      <c r="H74" s="4"/>
      <c r="I74" s="37"/>
      <c r="J74" s="309"/>
      <c r="K74" s="15"/>
      <c r="L74" s="15"/>
      <c r="M74" s="15"/>
      <c r="N74" s="22"/>
      <c r="O74" s="23"/>
      <c r="P74" s="15"/>
      <c r="Q74" s="15"/>
      <c r="R74" s="15"/>
      <c r="S74" s="15"/>
      <c r="T74" s="15"/>
      <c r="U74" s="15"/>
      <c r="V74" s="15"/>
      <c r="W74" s="15"/>
      <c r="X74" s="15"/>
      <c r="Y74" s="29"/>
      <c r="Z74" s="29"/>
      <c r="AA74" s="29"/>
      <c r="AB74" s="29"/>
      <c r="AC74" s="29"/>
      <c r="AD74" s="29"/>
      <c r="AE74" s="29"/>
      <c r="AF74" s="29"/>
      <c r="AG74" s="29"/>
      <c r="AH74" s="29"/>
      <c r="AI74" s="29"/>
      <c r="AJ74" s="29"/>
      <c r="AK74" s="29"/>
      <c r="AL74" s="29"/>
      <c r="AM74" s="29"/>
      <c r="AN74" s="262"/>
      <c r="AO74" s="29"/>
    </row>
    <row r="75" spans="1:41" ht="18" hidden="1" customHeight="1" x14ac:dyDescent="0.3">
      <c r="A75" s="341"/>
      <c r="B75" s="341" t="s">
        <v>2389</v>
      </c>
      <c r="C75" s="341"/>
      <c r="D75" s="252"/>
      <c r="E75" s="309"/>
      <c r="F75" s="309"/>
      <c r="G75" s="256"/>
      <c r="H75" s="4"/>
      <c r="I75" s="37"/>
      <c r="J75" s="309"/>
      <c r="K75" s="15"/>
      <c r="L75" s="15"/>
      <c r="M75" s="15"/>
      <c r="N75" s="22"/>
      <c r="O75" s="23"/>
      <c r="P75" s="15"/>
      <c r="Q75" s="15"/>
      <c r="R75" s="15"/>
      <c r="S75" s="15"/>
      <c r="T75" s="15"/>
      <c r="U75" s="15"/>
      <c r="V75" s="15"/>
      <c r="W75" s="15"/>
      <c r="X75" s="15"/>
      <c r="Y75" s="29"/>
      <c r="Z75" s="29"/>
      <c r="AA75" s="29"/>
      <c r="AB75" s="29"/>
      <c r="AC75" s="29"/>
      <c r="AD75" s="29"/>
      <c r="AE75" s="29"/>
      <c r="AF75" s="29"/>
      <c r="AG75" s="29"/>
      <c r="AH75" s="29"/>
      <c r="AI75" s="29"/>
      <c r="AJ75" s="29"/>
      <c r="AK75" s="29"/>
      <c r="AL75" s="29"/>
      <c r="AM75" s="29"/>
      <c r="AN75" s="262"/>
      <c r="AO75" s="29"/>
    </row>
    <row r="76" spans="1:41" ht="18" hidden="1" customHeight="1" x14ac:dyDescent="0.3">
      <c r="A76" s="341"/>
      <c r="B76" s="341" t="s">
        <v>2390</v>
      </c>
      <c r="C76" s="341"/>
      <c r="D76" s="252"/>
      <c r="E76" s="309"/>
      <c r="F76" s="309"/>
      <c r="G76" s="256"/>
      <c r="H76" s="4"/>
      <c r="I76" s="37"/>
      <c r="J76" s="309"/>
      <c r="K76" s="15"/>
      <c r="L76" s="15"/>
      <c r="M76" s="15"/>
      <c r="N76" s="22"/>
      <c r="O76" s="23"/>
      <c r="P76" s="15"/>
      <c r="Q76" s="15"/>
      <c r="R76" s="15"/>
      <c r="S76" s="15"/>
      <c r="T76" s="15"/>
      <c r="U76" s="15"/>
      <c r="V76" s="15"/>
      <c r="W76" s="15"/>
      <c r="X76" s="15"/>
      <c r="Y76" s="29"/>
      <c r="Z76" s="29"/>
      <c r="AA76" s="29"/>
      <c r="AB76" s="29"/>
      <c r="AC76" s="29"/>
      <c r="AD76" s="29"/>
      <c r="AE76" s="29"/>
      <c r="AF76" s="29"/>
      <c r="AG76" s="29"/>
      <c r="AH76" s="29"/>
      <c r="AI76" s="29"/>
      <c r="AJ76" s="29"/>
      <c r="AK76" s="29"/>
      <c r="AL76" s="29"/>
      <c r="AM76" s="29"/>
      <c r="AN76" s="262"/>
      <c r="AO76" s="29"/>
    </row>
    <row r="77" spans="1:41" ht="18" hidden="1" customHeight="1" x14ac:dyDescent="0.3">
      <c r="A77" s="341"/>
      <c r="B77" s="341"/>
      <c r="C77" s="341" t="s">
        <v>2391</v>
      </c>
      <c r="D77" s="252"/>
      <c r="E77" s="309"/>
      <c r="F77" s="309"/>
      <c r="G77" s="256"/>
      <c r="H77" s="4"/>
      <c r="I77" s="37"/>
      <c r="J77" s="309"/>
      <c r="K77" s="15"/>
      <c r="L77" s="15"/>
      <c r="M77" s="15"/>
      <c r="N77" s="22"/>
      <c r="O77" s="23"/>
      <c r="P77" s="15"/>
      <c r="Q77" s="15"/>
      <c r="R77" s="15"/>
      <c r="S77" s="15"/>
      <c r="T77" s="15"/>
      <c r="U77" s="15"/>
      <c r="V77" s="15"/>
      <c r="W77" s="15"/>
      <c r="X77" s="15"/>
      <c r="Y77" s="29"/>
      <c r="Z77" s="29"/>
      <c r="AA77" s="29"/>
      <c r="AB77" s="29"/>
      <c r="AC77" s="29"/>
      <c r="AD77" s="29"/>
      <c r="AE77" s="29"/>
      <c r="AF77" s="29"/>
      <c r="AG77" s="29"/>
      <c r="AH77" s="29"/>
      <c r="AI77" s="29"/>
      <c r="AJ77" s="29"/>
      <c r="AK77" s="29"/>
      <c r="AL77" s="29"/>
      <c r="AM77" s="29"/>
      <c r="AN77" s="262"/>
      <c r="AO77" s="29"/>
    </row>
    <row r="78" spans="1:41" ht="18" hidden="1" customHeight="1" x14ac:dyDescent="0.3">
      <c r="A78" s="341"/>
      <c r="B78" s="341"/>
      <c r="C78" s="341" t="s">
        <v>2392</v>
      </c>
      <c r="D78" s="252"/>
      <c r="E78" s="309"/>
      <c r="F78" s="309"/>
      <c r="G78" s="256"/>
      <c r="H78" s="4"/>
      <c r="I78" s="37"/>
      <c r="J78" s="309"/>
      <c r="K78" s="15"/>
      <c r="L78" s="15"/>
      <c r="M78" s="15"/>
      <c r="N78" s="22"/>
      <c r="O78" s="23"/>
      <c r="P78" s="15"/>
      <c r="Q78" s="15"/>
      <c r="R78" s="15"/>
      <c r="S78" s="15"/>
      <c r="T78" s="15"/>
      <c r="U78" s="15"/>
      <c r="V78" s="15"/>
      <c r="W78" s="15"/>
      <c r="X78" s="15"/>
      <c r="Y78" s="29"/>
      <c r="Z78" s="29"/>
      <c r="AA78" s="29"/>
      <c r="AB78" s="29"/>
      <c r="AC78" s="29"/>
      <c r="AD78" s="29"/>
      <c r="AE78" s="29"/>
      <c r="AF78" s="29"/>
      <c r="AG78" s="29"/>
      <c r="AH78" s="29"/>
      <c r="AI78" s="29"/>
      <c r="AJ78" s="29"/>
      <c r="AK78" s="29"/>
      <c r="AL78" s="29"/>
      <c r="AM78" s="29"/>
      <c r="AN78" s="262"/>
      <c r="AO78" s="29"/>
    </row>
    <row r="79" spans="1:41" ht="18" hidden="1" customHeight="1" x14ac:dyDescent="0.3">
      <c r="A79" s="341"/>
      <c r="B79" s="341"/>
      <c r="C79" s="341" t="s">
        <v>2393</v>
      </c>
      <c r="D79" s="252"/>
      <c r="E79" s="309"/>
      <c r="F79" s="309"/>
      <c r="G79" s="256"/>
      <c r="H79" s="4"/>
      <c r="I79" s="37"/>
      <c r="J79" s="309"/>
      <c r="K79" s="15"/>
      <c r="L79" s="15"/>
      <c r="M79" s="15"/>
      <c r="N79" s="22"/>
      <c r="O79" s="23"/>
      <c r="P79" s="15"/>
      <c r="Q79" s="15"/>
      <c r="R79" s="15"/>
      <c r="S79" s="15"/>
      <c r="T79" s="15"/>
      <c r="U79" s="15"/>
      <c r="V79" s="15"/>
      <c r="W79" s="15"/>
      <c r="X79" s="15"/>
      <c r="Y79" s="29"/>
      <c r="Z79" s="29"/>
      <c r="AA79" s="29"/>
      <c r="AB79" s="29"/>
      <c r="AC79" s="29"/>
      <c r="AD79" s="29"/>
      <c r="AE79" s="29"/>
      <c r="AF79" s="29"/>
      <c r="AG79" s="29"/>
      <c r="AH79" s="29"/>
      <c r="AI79" s="29"/>
      <c r="AJ79" s="29"/>
      <c r="AK79" s="29"/>
      <c r="AL79" s="29"/>
      <c r="AM79" s="29"/>
      <c r="AN79" s="262"/>
      <c r="AO79" s="29"/>
    </row>
    <row r="80" spans="1:41" ht="18" hidden="1" customHeight="1" x14ac:dyDescent="0.3">
      <c r="A80" s="341"/>
      <c r="B80" s="341"/>
      <c r="C80" s="341" t="s">
        <v>2394</v>
      </c>
      <c r="D80" s="252"/>
      <c r="E80" s="309"/>
      <c r="F80" s="309"/>
      <c r="G80" s="256"/>
      <c r="H80" s="4"/>
      <c r="I80" s="37"/>
      <c r="J80" s="309"/>
      <c r="K80" s="15"/>
      <c r="L80" s="15"/>
      <c r="M80" s="15"/>
      <c r="N80" s="22"/>
      <c r="O80" s="23"/>
      <c r="P80" s="15"/>
      <c r="Q80" s="15"/>
      <c r="R80" s="15"/>
      <c r="S80" s="15"/>
      <c r="T80" s="15"/>
      <c r="U80" s="15"/>
      <c r="V80" s="15"/>
      <c r="W80" s="15"/>
      <c r="X80" s="15"/>
      <c r="Y80" s="29"/>
      <c r="Z80" s="29"/>
      <c r="AA80" s="29"/>
      <c r="AB80" s="29"/>
      <c r="AC80" s="29"/>
      <c r="AD80" s="29"/>
      <c r="AE80" s="29"/>
      <c r="AF80" s="29"/>
      <c r="AG80" s="29"/>
      <c r="AH80" s="29"/>
      <c r="AI80" s="29"/>
      <c r="AJ80" s="29"/>
      <c r="AK80" s="29"/>
      <c r="AL80" s="29"/>
      <c r="AM80" s="29"/>
      <c r="AN80" s="262"/>
      <c r="AO80" s="29"/>
    </row>
    <row r="81" spans="1:41" ht="18" hidden="1" customHeight="1" x14ac:dyDescent="0.3">
      <c r="A81" s="341"/>
      <c r="B81" s="341"/>
      <c r="C81" s="341" t="s">
        <v>2395</v>
      </c>
      <c r="D81" s="252"/>
      <c r="E81" s="309"/>
      <c r="F81" s="309"/>
      <c r="G81" s="256"/>
      <c r="H81" s="4"/>
      <c r="I81" s="37"/>
      <c r="J81" s="309"/>
      <c r="K81" s="15"/>
      <c r="L81" s="15"/>
      <c r="M81" s="15"/>
      <c r="N81" s="22"/>
      <c r="O81" s="23"/>
      <c r="P81" s="15"/>
      <c r="Q81" s="15"/>
      <c r="R81" s="15"/>
      <c r="S81" s="15"/>
      <c r="T81" s="15"/>
      <c r="U81" s="15"/>
      <c r="V81" s="15"/>
      <c r="W81" s="15"/>
      <c r="X81" s="15"/>
      <c r="Y81" s="29"/>
      <c r="Z81" s="29"/>
      <c r="AA81" s="29"/>
      <c r="AB81" s="29"/>
      <c r="AC81" s="29"/>
      <c r="AD81" s="29"/>
      <c r="AE81" s="29"/>
      <c r="AF81" s="29"/>
      <c r="AG81" s="29"/>
      <c r="AH81" s="29"/>
      <c r="AI81" s="29"/>
      <c r="AJ81" s="29"/>
      <c r="AK81" s="29"/>
      <c r="AL81" s="29"/>
      <c r="AM81" s="29"/>
      <c r="AN81" s="262"/>
      <c r="AO81" s="29"/>
    </row>
    <row r="82" spans="1:41" ht="18" hidden="1" customHeight="1" x14ac:dyDescent="0.3">
      <c r="A82" s="341"/>
      <c r="B82" s="341"/>
      <c r="C82" s="341" t="s">
        <v>2396</v>
      </c>
      <c r="D82" s="252"/>
      <c r="E82" s="309"/>
      <c r="F82" s="309"/>
      <c r="G82" s="256"/>
      <c r="H82" s="4"/>
      <c r="I82" s="37"/>
      <c r="J82" s="309"/>
      <c r="K82" s="15"/>
      <c r="L82" s="15"/>
      <c r="M82" s="15"/>
      <c r="N82" s="22"/>
      <c r="O82" s="23"/>
      <c r="P82" s="15"/>
      <c r="Q82" s="15"/>
      <c r="R82" s="15"/>
      <c r="S82" s="15"/>
      <c r="T82" s="15"/>
      <c r="U82" s="15"/>
      <c r="V82" s="15"/>
      <c r="W82" s="15"/>
      <c r="X82" s="15"/>
      <c r="Y82" s="29"/>
      <c r="Z82" s="29"/>
      <c r="AA82" s="29"/>
      <c r="AB82" s="29"/>
      <c r="AC82" s="29"/>
      <c r="AD82" s="29"/>
      <c r="AE82" s="29"/>
      <c r="AF82" s="29"/>
      <c r="AG82" s="29"/>
      <c r="AH82" s="29"/>
      <c r="AI82" s="29"/>
      <c r="AJ82" s="29"/>
      <c r="AK82" s="29"/>
      <c r="AL82" s="29"/>
      <c r="AM82" s="29"/>
      <c r="AN82" s="262"/>
      <c r="AO82" s="29"/>
    </row>
    <row r="83" spans="1:41" ht="18" hidden="1" customHeight="1" x14ac:dyDescent="0.3">
      <c r="A83" s="341"/>
      <c r="B83" s="341"/>
      <c r="C83" s="341" t="s">
        <v>2397</v>
      </c>
      <c r="D83" s="252"/>
      <c r="E83" s="309"/>
      <c r="F83" s="309"/>
      <c r="G83" s="256"/>
      <c r="H83" s="4"/>
      <c r="I83" s="37"/>
      <c r="J83" s="309"/>
      <c r="K83" s="15"/>
      <c r="L83" s="15"/>
      <c r="M83" s="15"/>
      <c r="N83" s="22"/>
      <c r="O83" s="23"/>
      <c r="P83" s="15"/>
      <c r="Q83" s="15"/>
      <c r="R83" s="15"/>
      <c r="S83" s="15"/>
      <c r="T83" s="15"/>
      <c r="U83" s="15"/>
      <c r="V83" s="15"/>
      <c r="W83" s="15"/>
      <c r="X83" s="15"/>
      <c r="Y83" s="29"/>
      <c r="Z83" s="29"/>
      <c r="AA83" s="29"/>
      <c r="AB83" s="29"/>
      <c r="AC83" s="29"/>
      <c r="AD83" s="29"/>
      <c r="AE83" s="29"/>
      <c r="AF83" s="29"/>
      <c r="AG83" s="29"/>
      <c r="AH83" s="29"/>
      <c r="AI83" s="29"/>
      <c r="AJ83" s="29"/>
      <c r="AK83" s="29"/>
      <c r="AL83" s="29"/>
      <c r="AM83" s="29"/>
      <c r="AN83" s="262"/>
      <c r="AO83" s="29"/>
    </row>
    <row r="84" spans="1:41" ht="18" customHeight="1" x14ac:dyDescent="0.3">
      <c r="A84" s="4"/>
      <c r="B84" s="4"/>
      <c r="C84" s="4"/>
      <c r="D84" s="252"/>
      <c r="E84" s="309"/>
      <c r="F84" s="309"/>
      <c r="G84" s="256"/>
      <c r="H84" s="4"/>
      <c r="I84" s="37"/>
      <c r="J84" s="309"/>
      <c r="K84" s="15"/>
      <c r="L84" s="15"/>
      <c r="M84" s="15"/>
      <c r="N84" s="22"/>
      <c r="O84" s="23"/>
      <c r="P84" s="15"/>
      <c r="Q84" s="15"/>
      <c r="R84" s="15"/>
      <c r="S84" s="15"/>
      <c r="T84" s="15"/>
      <c r="U84" s="15"/>
      <c r="V84" s="15"/>
      <c r="W84" s="15"/>
      <c r="X84" s="15"/>
      <c r="Y84" s="29"/>
      <c r="Z84" s="29"/>
      <c r="AA84" s="29"/>
      <c r="AB84" s="29"/>
      <c r="AC84" s="29"/>
      <c r="AD84" s="29"/>
      <c r="AE84" s="29"/>
      <c r="AF84" s="29"/>
      <c r="AG84" s="29"/>
      <c r="AH84" s="29"/>
      <c r="AI84" s="29"/>
      <c r="AJ84" s="29"/>
      <c r="AK84" s="29"/>
      <c r="AL84" s="29"/>
      <c r="AM84" s="29"/>
      <c r="AN84" s="262"/>
      <c r="AO84" s="29"/>
    </row>
    <row r="85" spans="1:41" ht="18" customHeight="1" x14ac:dyDescent="0.3">
      <c r="A85" s="4"/>
      <c r="B85" s="4"/>
      <c r="C85" s="4"/>
      <c r="D85" s="252"/>
      <c r="E85" s="309"/>
      <c r="F85" s="309"/>
      <c r="G85" s="256"/>
      <c r="H85" s="4"/>
      <c r="I85" s="37"/>
      <c r="J85" s="309"/>
      <c r="K85" s="15"/>
      <c r="L85" s="15"/>
      <c r="M85" s="15"/>
      <c r="N85" s="22"/>
      <c r="O85" s="23"/>
      <c r="P85" s="15"/>
      <c r="Q85" s="15"/>
      <c r="R85" s="15"/>
      <c r="S85" s="15"/>
      <c r="T85" s="15"/>
      <c r="U85" s="15"/>
      <c r="V85" s="15"/>
      <c r="W85" s="15"/>
      <c r="X85" s="15"/>
      <c r="Y85" s="29"/>
      <c r="Z85" s="29"/>
      <c r="AA85" s="29"/>
      <c r="AB85" s="29"/>
      <c r="AC85" s="29"/>
      <c r="AD85" s="29"/>
      <c r="AE85" s="29"/>
      <c r="AF85" s="29"/>
      <c r="AG85" s="29"/>
      <c r="AH85" s="29"/>
      <c r="AI85" s="29"/>
      <c r="AJ85" s="29"/>
      <c r="AK85" s="29"/>
      <c r="AL85" s="29"/>
      <c r="AM85" s="29"/>
      <c r="AN85" s="262"/>
      <c r="AO85" s="29"/>
    </row>
    <row r="86" spans="1:41" ht="18" customHeight="1" x14ac:dyDescent="0.3">
      <c r="A86" s="4" t="s">
        <v>2398</v>
      </c>
      <c r="B86" s="4"/>
      <c r="C86" s="4"/>
      <c r="D86" s="252"/>
      <c r="E86" s="309"/>
      <c r="F86" s="309"/>
      <c r="G86" s="256"/>
      <c r="H86" s="4"/>
      <c r="I86" s="37"/>
      <c r="J86" s="309"/>
      <c r="K86" s="15"/>
      <c r="L86" s="15"/>
      <c r="M86" s="15"/>
      <c r="N86" s="22"/>
      <c r="O86" s="23"/>
      <c r="P86" s="15"/>
      <c r="Q86" s="15"/>
      <c r="R86" s="15"/>
      <c r="S86" s="15"/>
      <c r="T86" s="15"/>
      <c r="U86" s="15"/>
      <c r="V86" s="15"/>
      <c r="W86" s="15"/>
      <c r="X86" s="15"/>
      <c r="Y86" s="29"/>
      <c r="Z86" s="29"/>
      <c r="AA86" s="29"/>
      <c r="AB86" s="29"/>
      <c r="AC86" s="29"/>
      <c r="AD86" s="29"/>
      <c r="AE86" s="29"/>
      <c r="AF86" s="29"/>
      <c r="AG86" s="29"/>
      <c r="AH86" s="29"/>
      <c r="AI86" s="29"/>
      <c r="AJ86" s="29"/>
      <c r="AK86" s="29"/>
      <c r="AL86" s="29"/>
      <c r="AM86" s="29"/>
      <c r="AN86" s="262"/>
      <c r="AO86" s="29"/>
    </row>
    <row r="87" spans="1:41" ht="18" customHeight="1" x14ac:dyDescent="0.3">
      <c r="A87" s="47"/>
      <c r="B87" s="4"/>
      <c r="C87" s="4"/>
      <c r="D87" s="252"/>
      <c r="E87" s="309"/>
      <c r="F87" s="309"/>
      <c r="G87" s="256"/>
      <c r="H87" s="4"/>
      <c r="I87" s="37"/>
      <c r="J87" s="309"/>
      <c r="K87" s="15"/>
      <c r="L87" s="15"/>
      <c r="M87" s="15"/>
      <c r="N87" s="22"/>
      <c r="O87" s="23"/>
      <c r="P87" s="15"/>
      <c r="Q87" s="15"/>
      <c r="R87" s="15"/>
      <c r="S87" s="15"/>
      <c r="T87" s="15"/>
      <c r="U87" s="15"/>
      <c r="V87" s="15"/>
      <c r="W87" s="15"/>
      <c r="X87" s="15"/>
      <c r="Y87" s="29"/>
      <c r="Z87" s="29"/>
      <c r="AA87" s="29"/>
      <c r="AB87" s="29"/>
      <c r="AC87" s="29"/>
      <c r="AD87" s="29"/>
      <c r="AE87" s="29"/>
      <c r="AF87" s="29"/>
      <c r="AG87" s="29"/>
      <c r="AH87" s="29"/>
      <c r="AI87" s="29"/>
      <c r="AJ87" s="29"/>
      <c r="AK87" s="29"/>
      <c r="AL87" s="29"/>
      <c r="AM87" s="29"/>
      <c r="AN87" s="262"/>
      <c r="AO87" s="29"/>
    </row>
    <row r="88" spans="1:41" ht="18" customHeight="1" x14ac:dyDescent="0.3">
      <c r="A88" s="3" t="s">
        <v>1988</v>
      </c>
      <c r="B88" s="4"/>
      <c r="C88" s="4"/>
      <c r="D88" s="252"/>
      <c r="E88" s="309"/>
      <c r="F88" s="309"/>
      <c r="G88" s="256"/>
      <c r="H88" s="4"/>
      <c r="I88" s="37"/>
      <c r="J88" s="309"/>
      <c r="K88" s="15"/>
      <c r="L88" s="15"/>
      <c r="M88" s="15"/>
      <c r="N88" s="22"/>
      <c r="O88" s="23"/>
      <c r="P88" s="15"/>
      <c r="Q88" s="15"/>
      <c r="R88" s="15"/>
      <c r="S88" s="15"/>
      <c r="T88" s="15"/>
      <c r="U88" s="15"/>
      <c r="V88" s="15"/>
      <c r="W88" s="15"/>
      <c r="X88" s="15"/>
      <c r="Y88" s="29"/>
      <c r="Z88" s="29"/>
      <c r="AA88" s="29"/>
      <c r="AB88" s="29"/>
      <c r="AC88" s="29"/>
      <c r="AD88" s="29"/>
      <c r="AE88" s="29"/>
      <c r="AF88" s="29"/>
      <c r="AG88" s="29"/>
      <c r="AH88" s="29"/>
      <c r="AI88" s="29"/>
      <c r="AJ88" s="29"/>
      <c r="AK88" s="29"/>
      <c r="AL88" s="29"/>
      <c r="AM88" s="29"/>
      <c r="AN88" s="262"/>
      <c r="AO88" s="29"/>
    </row>
    <row r="89" spans="1:41" ht="18" customHeight="1" x14ac:dyDescent="0.3">
      <c r="A89" s="47" t="s">
        <v>2399</v>
      </c>
      <c r="B89" s="4"/>
      <c r="C89" s="4"/>
      <c r="D89" s="252"/>
      <c r="E89" s="309"/>
      <c r="F89" s="309"/>
      <c r="G89" s="256"/>
      <c r="H89" s="4"/>
      <c r="I89" s="37"/>
      <c r="J89" s="309"/>
      <c r="K89" s="15"/>
      <c r="L89" s="15"/>
      <c r="M89" s="15"/>
      <c r="N89" s="22"/>
      <c r="O89" s="23"/>
      <c r="P89" s="15"/>
      <c r="Q89" s="15"/>
      <c r="R89" s="15"/>
      <c r="S89" s="15"/>
      <c r="T89" s="15"/>
      <c r="U89" s="15"/>
      <c r="V89" s="15"/>
      <c r="W89" s="15"/>
      <c r="X89" s="15"/>
      <c r="Y89" s="29"/>
      <c r="Z89" s="29"/>
      <c r="AA89" s="29"/>
      <c r="AB89" s="29"/>
      <c r="AC89" s="29"/>
      <c r="AD89" s="29"/>
      <c r="AE89" s="29"/>
      <c r="AF89" s="29"/>
      <c r="AG89" s="29"/>
      <c r="AH89" s="29"/>
      <c r="AI89" s="29"/>
      <c r="AJ89" s="29"/>
      <c r="AK89" s="29"/>
      <c r="AL89" s="29"/>
      <c r="AM89" s="29"/>
      <c r="AN89" s="262"/>
      <c r="AO89" s="29"/>
    </row>
    <row r="90" spans="1:41" ht="18" customHeight="1" x14ac:dyDescent="0.3">
      <c r="A90" s="47" t="s">
        <v>2400</v>
      </c>
      <c r="B90" s="4"/>
      <c r="C90" s="4"/>
      <c r="D90" s="252"/>
      <c r="E90" s="313"/>
      <c r="F90" s="313"/>
      <c r="G90" s="256"/>
      <c r="H90" s="4"/>
      <c r="I90" s="15"/>
      <c r="J90" s="313"/>
      <c r="K90" s="4"/>
      <c r="L90" s="4"/>
      <c r="M90" s="35"/>
      <c r="N90" s="29"/>
      <c r="O90" s="29"/>
      <c r="P90" s="29"/>
      <c r="Q90" s="35"/>
      <c r="R90" s="35"/>
      <c r="S90" s="29"/>
      <c r="T90" s="29"/>
      <c r="U90" s="29"/>
      <c r="V90" s="29"/>
      <c r="W90" s="29"/>
      <c r="X90" s="29"/>
      <c r="Y90" s="29"/>
      <c r="Z90" s="29"/>
      <c r="AA90" s="29"/>
      <c r="AB90" s="29"/>
      <c r="AC90" s="29"/>
      <c r="AD90" s="29"/>
      <c r="AE90" s="29"/>
      <c r="AF90" s="29"/>
      <c r="AG90" s="29"/>
      <c r="AH90" s="29"/>
      <c r="AI90" s="29"/>
      <c r="AJ90" s="29"/>
      <c r="AK90" s="29"/>
      <c r="AL90" s="29"/>
      <c r="AM90" s="29"/>
      <c r="AN90" s="262"/>
      <c r="AO90" s="29"/>
    </row>
    <row r="91" spans="1:41" ht="18" customHeight="1" x14ac:dyDescent="0.3">
      <c r="A91" s="47" t="s">
        <v>2401</v>
      </c>
      <c r="B91" s="4"/>
      <c r="C91" s="4"/>
      <c r="D91" s="252"/>
      <c r="E91" s="313"/>
      <c r="F91" s="313"/>
      <c r="G91" s="256"/>
      <c r="H91" s="4"/>
      <c r="I91" s="15"/>
      <c r="J91" s="313"/>
      <c r="K91" s="4"/>
      <c r="L91" s="4"/>
      <c r="M91" s="35"/>
      <c r="N91" s="29"/>
      <c r="O91" s="29"/>
      <c r="P91" s="29"/>
      <c r="Q91" s="35"/>
      <c r="R91" s="35"/>
      <c r="S91" s="29"/>
      <c r="T91" s="29"/>
      <c r="U91" s="29"/>
      <c r="V91" s="29"/>
      <c r="W91" s="29"/>
      <c r="X91" s="29"/>
      <c r="Y91" s="29"/>
      <c r="Z91" s="29"/>
      <c r="AA91" s="29"/>
      <c r="AB91" s="29"/>
      <c r="AC91" s="29"/>
      <c r="AD91" s="29"/>
      <c r="AE91" s="29"/>
      <c r="AF91" s="29"/>
      <c r="AG91" s="29"/>
      <c r="AH91" s="29"/>
      <c r="AI91" s="29"/>
      <c r="AJ91" s="29"/>
      <c r="AK91" s="29"/>
      <c r="AL91" s="29"/>
      <c r="AM91" s="29"/>
      <c r="AN91" s="262"/>
      <c r="AO91" s="29"/>
    </row>
    <row r="92" spans="1:41" ht="18" customHeight="1" x14ac:dyDescent="0.3">
      <c r="A92" s="47" t="s">
        <v>2402</v>
      </c>
      <c r="B92" s="4"/>
      <c r="C92" s="4"/>
      <c r="D92" s="252"/>
      <c r="E92" s="313"/>
      <c r="F92" s="313"/>
      <c r="G92" s="256"/>
      <c r="H92" s="4"/>
      <c r="I92" s="15"/>
      <c r="J92" s="313"/>
      <c r="K92" s="4"/>
      <c r="L92" s="4"/>
      <c r="M92" s="35"/>
      <c r="N92" s="29"/>
      <c r="O92" s="29"/>
      <c r="P92" s="29"/>
      <c r="Q92" s="35"/>
      <c r="R92" s="35"/>
      <c r="S92" s="29"/>
      <c r="T92" s="29"/>
      <c r="U92" s="29"/>
      <c r="V92" s="29"/>
      <c r="W92" s="29"/>
      <c r="X92" s="29"/>
      <c r="Y92" s="29"/>
      <c r="Z92" s="29"/>
      <c r="AA92" s="29"/>
      <c r="AB92" s="29"/>
      <c r="AC92" s="29"/>
      <c r="AD92" s="29"/>
      <c r="AE92" s="29"/>
      <c r="AF92" s="29"/>
      <c r="AG92" s="29"/>
      <c r="AH92" s="29"/>
      <c r="AI92" s="29"/>
      <c r="AJ92" s="29"/>
      <c r="AK92" s="29"/>
      <c r="AL92" s="29"/>
      <c r="AM92" s="29"/>
      <c r="AN92" s="262"/>
      <c r="AO92" s="29"/>
    </row>
    <row r="93" spans="1:41" s="262" customFormat="1" x14ac:dyDescent="0.3">
      <c r="E93" s="264"/>
      <c r="F93" s="264"/>
      <c r="G93" s="264"/>
      <c r="I93" s="264"/>
      <c r="J93" s="264"/>
      <c r="M93" s="264"/>
      <c r="Q93" s="264"/>
      <c r="R93" s="264"/>
    </row>
  </sheetData>
  <mergeCells count="83">
    <mergeCell ref="P2:P4"/>
    <mergeCell ref="N1:O1"/>
    <mergeCell ref="P7:P9"/>
    <mergeCell ref="P10:P11"/>
    <mergeCell ref="P38:P39"/>
    <mergeCell ref="P34:P35"/>
    <mergeCell ref="P26:P27"/>
    <mergeCell ref="P24:P25"/>
    <mergeCell ref="P18:P20"/>
    <mergeCell ref="P14:P16"/>
    <mergeCell ref="P12:P13"/>
    <mergeCell ref="Q2:Q4"/>
    <mergeCell ref="Q38:Q39"/>
    <mergeCell ref="Q34:Q35"/>
    <mergeCell ref="Q26:Q27"/>
    <mergeCell ref="Q24:Q25"/>
    <mergeCell ref="Q18:Q20"/>
    <mergeCell ref="Q14:Q16"/>
    <mergeCell ref="Q12:Q13"/>
    <mergeCell ref="Q10:Q11"/>
    <mergeCell ref="Q7:Q9"/>
    <mergeCell ref="S2:S4"/>
    <mergeCell ref="X2:X4"/>
    <mergeCell ref="W2:W4"/>
    <mergeCell ref="V2:V4"/>
    <mergeCell ref="U2:U4"/>
    <mergeCell ref="T2:T4"/>
    <mergeCell ref="S10:S11"/>
    <mergeCell ref="X7:X9"/>
    <mergeCell ref="W7:W9"/>
    <mergeCell ref="V7:V9"/>
    <mergeCell ref="U7:U9"/>
    <mergeCell ref="T7:T9"/>
    <mergeCell ref="S7:S9"/>
    <mergeCell ref="X10:X11"/>
    <mergeCell ref="W10:W11"/>
    <mergeCell ref="V10:V11"/>
    <mergeCell ref="U10:U11"/>
    <mergeCell ref="T10:T11"/>
    <mergeCell ref="S38:S39"/>
    <mergeCell ref="X34:X35"/>
    <mergeCell ref="W34:W35"/>
    <mergeCell ref="V34:V35"/>
    <mergeCell ref="U34:U35"/>
    <mergeCell ref="T34:T35"/>
    <mergeCell ref="S34:S35"/>
    <mergeCell ref="X38:X39"/>
    <mergeCell ref="W38:W39"/>
    <mergeCell ref="V38:V39"/>
    <mergeCell ref="U38:U39"/>
    <mergeCell ref="T38:T39"/>
    <mergeCell ref="X26:X27"/>
    <mergeCell ref="W26:W27"/>
    <mergeCell ref="V26:V27"/>
    <mergeCell ref="U26:U27"/>
    <mergeCell ref="T26:T27"/>
    <mergeCell ref="X24:X25"/>
    <mergeCell ref="W24:W25"/>
    <mergeCell ref="V24:V25"/>
    <mergeCell ref="U24:U25"/>
    <mergeCell ref="T24:T25"/>
    <mergeCell ref="W18:W20"/>
    <mergeCell ref="V18:V20"/>
    <mergeCell ref="U18:U20"/>
    <mergeCell ref="T18:T20"/>
    <mergeCell ref="S26:S27"/>
    <mergeCell ref="S24:S25"/>
    <mergeCell ref="S12:S13"/>
    <mergeCell ref="Y2:Y46"/>
    <mergeCell ref="AF2:AF46"/>
    <mergeCell ref="X12:X13"/>
    <mergeCell ref="W12:W13"/>
    <mergeCell ref="V12:V13"/>
    <mergeCell ref="U12:U13"/>
    <mergeCell ref="T12:T13"/>
    <mergeCell ref="S18:S20"/>
    <mergeCell ref="X14:X16"/>
    <mergeCell ref="W14:W16"/>
    <mergeCell ref="V14:V16"/>
    <mergeCell ref="U14:U16"/>
    <mergeCell ref="T14:T16"/>
    <mergeCell ref="S14:S16"/>
    <mergeCell ref="X18:X20"/>
  </mergeCells>
  <phoneticPr fontId="2" type="noConversion"/>
  <conditionalFormatting sqref="N2:O46">
    <cfRule type="cellIs" dxfId="268" priority="122" operator="equal">
      <formula>"/"</formula>
    </cfRule>
    <cfRule type="cellIs" dxfId="267" priority="124" operator="lessThan">
      <formula>0</formula>
    </cfRule>
    <cfRule type="cellIs" dxfId="266" priority="125" operator="greaterThan">
      <formula>0</formula>
    </cfRule>
  </conditionalFormatting>
  <conditionalFormatting sqref="Q2 Q5:Q7 Q40:Q46 Q36:Q38 Q28:Q34 Q26 Q21:Q24 Q17:Q18 Q14 Q12 Q10">
    <cfRule type="cellIs" dxfId="265" priority="105" operator="equal">
      <formula>2</formula>
    </cfRule>
    <cfRule type="cellIs" dxfId="264" priority="106" operator="equal">
      <formula>1</formula>
    </cfRule>
    <cfRule type="cellIs" dxfId="263" priority="107" operator="equal">
      <formula>0</formula>
    </cfRule>
  </conditionalFormatting>
  <conditionalFormatting sqref="A2:D46 AF2 Z3:Z46 AA2:AE46 AG2:AM46 AO2:AO46 N3:R4 N12:X12 N11:R11 N10:X10 N8:R9 N40:X46 N39:R39 N36:X38 N35:R35 N28:X34 N27:R27 N26:X26 N25:R25 N21:X24 N19:R20 N17:X18 N15:R16 N14:X14 N13:R13 G2:H46 N2:Z2 N5:X7">
    <cfRule type="expression" dxfId="262" priority="20291">
      <formula>MOD(ROW(),2)=1</formula>
    </cfRule>
  </conditionalFormatting>
  <conditionalFormatting sqref="AM2:AM46">
    <cfRule type="expression" dxfId="261" priority="47">
      <formula>TRUE</formula>
    </cfRule>
  </conditionalFormatting>
  <conditionalFormatting sqref="AN2:AN46">
    <cfRule type="expression" dxfId="260" priority="11">
      <formula>MOD(ROW(),2)=1</formula>
    </cfRule>
  </conditionalFormatting>
  <conditionalFormatting sqref="I2:I46">
    <cfRule type="expression" dxfId="259" priority="8">
      <formula>MOD(ROW(),2)=1</formula>
    </cfRule>
  </conditionalFormatting>
  <conditionalFormatting sqref="E2:E46">
    <cfRule type="expression" dxfId="258" priority="9">
      <formula>MOD(ROW(),2)=1</formula>
    </cfRule>
  </conditionalFormatting>
  <conditionalFormatting sqref="F2:F46">
    <cfRule type="expression" dxfId="257" priority="7">
      <formula>MOD(ROW(),2)=1</formula>
    </cfRule>
  </conditionalFormatting>
  <conditionalFormatting sqref="J2:J46">
    <cfRule type="expression" dxfId="256" priority="6">
      <formula>MOD(ROW(),2)=1</formula>
    </cfRule>
  </conditionalFormatting>
  <conditionalFormatting sqref="K2:K46">
    <cfRule type="expression" dxfId="255" priority="3">
      <formula>$N$1="差距(Median)"</formula>
    </cfRule>
    <cfRule type="expression" dxfId="254" priority="5">
      <formula>MOD(ROW(),2)=1</formula>
    </cfRule>
  </conditionalFormatting>
  <conditionalFormatting sqref="L2:L46">
    <cfRule type="expression" dxfId="253" priority="2">
      <formula>$N$1="差距(LQ)"</formula>
    </cfRule>
    <cfRule type="expression" dxfId="252" priority="4">
      <formula>MOD(ROW(),2)=1</formula>
    </cfRule>
  </conditionalFormatting>
  <conditionalFormatting sqref="M2:M46">
    <cfRule type="expression" dxfId="251" priority="1">
      <formula>MOD(ROW(),2)=1</formula>
    </cfRule>
  </conditionalFormatting>
  <hyperlinks>
    <hyperlink ref="A90" r:id="rId1" xr:uid="{00000000-0004-0000-0900-000000000000}"/>
    <hyperlink ref="A89" r:id="rId2" xr:uid="{00000000-0004-0000-0900-000001000000}"/>
    <hyperlink ref="A92" r:id="rId3" xr:uid="{00000000-0004-0000-0900-000002000000}"/>
    <hyperlink ref="A91" r:id="rId4" xr:uid="{00000000-0004-0000-0900-000003000000}"/>
  </hyperlinks>
  <pageMargins left="0.7" right="0.7" top="0.75" bottom="0.75" header="0.3" footer="0.3"/>
  <pageSetup paperSize="9" orientation="portrait" horizontalDpi="1200" verticalDpi="1200" r:id="rId5"/>
  <drawing r:id="rId6"/>
  <extLst>
    <ext xmlns:x14="http://schemas.microsoft.com/office/spreadsheetml/2009/9/main" uri="{78C0D931-6437-407d-A8EE-F0AAD7539E65}">
      <x14:conditionalFormattings>
        <x14:conditionalFormatting xmlns:xm="http://schemas.microsoft.com/office/excel/2006/main">
          <x14:cfRule type="expression" priority="20124" id="{B4012D41-6084-40AD-81C6-204342C59CB0}">
            <xm:f>入學要求!K101=0</xm:f>
            <x14:dxf>
              <font>
                <color rgb="FF9C0006"/>
              </font>
              <fill>
                <patternFill>
                  <bgColor rgb="FFFFC7CE"/>
                </patternFill>
              </fill>
            </x14:dxf>
          </x14:cfRule>
          <x14:cfRule type="expression" priority="20289" id="{A567C7BA-B852-4B65-9945-FBE8535FA66D}">
            <xm:f>入學要求!K101=2</xm:f>
            <x14:dxf>
              <font>
                <color rgb="FF9C5700"/>
              </font>
              <fill>
                <patternFill>
                  <bgColor rgb="FFFFEB9C"/>
                </patternFill>
              </fill>
            </x14:dxf>
          </x14:cfRule>
          <x14:cfRule type="expression" priority="20290" id="{E10EFC83-0DAD-42DB-9184-0927575C9F4A}">
            <xm:f>入學要求!K101=1</xm:f>
            <x14:dxf>
              <font>
                <color rgb="FF006100"/>
              </font>
              <fill>
                <patternFill>
                  <bgColor rgb="FFC6EFCE"/>
                </patternFill>
              </fill>
            </x14:dxf>
          </x14:cfRule>
          <xm:sqref>S2:X46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選單!$J$2:$J$3</xm:f>
          </x14:formula1>
          <xm:sqref>N1:O1</xm:sqref>
        </x14:dataValidation>
        <x14:dataValidation type="list" allowBlank="1" showInputMessage="1" showErrorMessage="1" xr:uid="{66D93053-CA76-4965-A161-92F5DF26E9AF}">
          <x14:formula1>
            <xm:f>選單!$I$1:$I$4</xm:f>
          </x14:formula1>
          <xm:sqref>Y2:Y46</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工作表8">
    <tabColor rgb="FF6600CC"/>
  </sheetPr>
  <dimension ref="A1:AQ116"/>
  <sheetViews>
    <sheetView zoomScaleNormal="100" workbookViewId="0">
      <pane ySplit="1" topLeftCell="A2" activePane="bottomLeft" state="frozen"/>
      <selection activeCell="B1" sqref="B1"/>
      <selection pane="bottomLeft" activeCell="J1" sqref="J1:K1"/>
    </sheetView>
  </sheetViews>
  <sheetFormatPr defaultColWidth="0" defaultRowHeight="13.8" zeroHeight="1" x14ac:dyDescent="0.3"/>
  <cols>
    <col min="1" max="1" width="7.109375" style="4" customWidth="1"/>
    <col min="2" max="2" width="9.109375" style="4" customWidth="1"/>
    <col min="3" max="3" width="25.77734375" style="4" customWidth="1"/>
    <col min="4" max="4" width="10.6640625" style="4" hidden="1" customWidth="1"/>
    <col min="5" max="5" width="7.77734375" style="37" customWidth="1"/>
    <col min="6" max="9" width="7.77734375" style="15" customWidth="1"/>
    <col min="10" max="11" width="7.6640625" style="15" customWidth="1"/>
    <col min="12" max="12" width="4.88671875" style="15" customWidth="1"/>
    <col min="13" max="13" width="4.6640625" style="15" customWidth="1"/>
    <col min="14" max="14" width="9.77734375" style="15" customWidth="1"/>
    <col min="15" max="20" width="2.21875" style="4" customWidth="1"/>
    <col min="21" max="21" width="8.88671875" style="15" customWidth="1"/>
    <col min="22" max="27" width="6.33203125" style="4" customWidth="1"/>
    <col min="28" max="28" width="8.88671875" style="4" customWidth="1"/>
    <col min="29" max="34" width="6.33203125" style="4" customWidth="1"/>
    <col min="35" max="35" width="5.21875" style="4" customWidth="1"/>
    <col min="36" max="36" width="8.109375" style="4" customWidth="1"/>
    <col min="37" max="43" width="1.21875" style="4" hidden="1" customWidth="1"/>
    <col min="44" max="16384" width="0" style="4" hidden="1"/>
  </cols>
  <sheetData>
    <row r="1" spans="1:36" s="33" customFormat="1" ht="18" customHeight="1" x14ac:dyDescent="0.3">
      <c r="A1" s="33" t="s">
        <v>1942</v>
      </c>
      <c r="B1" s="33" t="s">
        <v>1943</v>
      </c>
      <c r="C1" s="33" t="s">
        <v>1944</v>
      </c>
      <c r="E1" s="76" t="s">
        <v>1945</v>
      </c>
      <c r="F1" s="76" t="s">
        <v>2021</v>
      </c>
      <c r="G1" s="76" t="s">
        <v>1946</v>
      </c>
      <c r="H1" s="76" t="s">
        <v>1947</v>
      </c>
      <c r="I1" s="76" t="s">
        <v>1948</v>
      </c>
      <c r="J1" s="593" t="s">
        <v>1949</v>
      </c>
      <c r="K1" s="593"/>
      <c r="L1" s="76" t="s">
        <v>1950</v>
      </c>
      <c r="M1" s="76" t="s">
        <v>1951</v>
      </c>
      <c r="N1" s="76" t="s">
        <v>2027</v>
      </c>
      <c r="O1" s="33" t="s">
        <v>1953</v>
      </c>
      <c r="P1" s="33" t="s">
        <v>1954</v>
      </c>
      <c r="Q1" s="33" t="s">
        <v>1955</v>
      </c>
      <c r="R1" s="33" t="s">
        <v>1956</v>
      </c>
      <c r="S1" s="33" t="s">
        <v>1957</v>
      </c>
      <c r="T1" s="33" t="s">
        <v>1958</v>
      </c>
      <c r="U1" s="76" t="s">
        <v>1959</v>
      </c>
      <c r="V1" s="76" t="s">
        <v>1960</v>
      </c>
      <c r="W1" s="76" t="s">
        <v>1961</v>
      </c>
      <c r="X1" s="76" t="s">
        <v>1962</v>
      </c>
      <c r="Y1" s="76" t="s">
        <v>1963</v>
      </c>
      <c r="Z1" s="76" t="s">
        <v>1964</v>
      </c>
      <c r="AA1" s="76" t="s">
        <v>1965</v>
      </c>
      <c r="AB1" s="76" t="s">
        <v>2364</v>
      </c>
      <c r="AC1" s="76" t="s">
        <v>2363</v>
      </c>
      <c r="AD1" s="76" t="s">
        <v>1961</v>
      </c>
      <c r="AE1" s="76" t="s">
        <v>1962</v>
      </c>
      <c r="AF1" s="76" t="s">
        <v>1963</v>
      </c>
      <c r="AG1" s="76" t="s">
        <v>1964</v>
      </c>
      <c r="AH1" s="76" t="s">
        <v>1965</v>
      </c>
      <c r="AI1" s="76"/>
      <c r="AJ1" s="76"/>
    </row>
    <row r="2" spans="1:36" s="10" customFormat="1" ht="18" customHeight="1" x14ac:dyDescent="0.3">
      <c r="A2" s="4" t="str">
        <f>'Reference Score Calculation'!A139</f>
        <v>JS4006</v>
      </c>
      <c r="B2" s="4" t="str">
        <f>'Reference Score Calculation'!C139</f>
        <v>文學院</v>
      </c>
      <c r="C2" s="4" t="str">
        <f>'Reference Score Calculation'!D139</f>
        <v>人類學</v>
      </c>
      <c r="D2" s="4" t="s">
        <v>749</v>
      </c>
      <c r="E2" s="355" t="str">
        <f>'Reference Score Calculation'!E139</f>
        <v>Best 5</v>
      </c>
      <c r="F2" s="6">
        <f>'Reference Score Calculation'!F139</f>
        <v>24.500000000209997</v>
      </c>
      <c r="G2" s="347">
        <f>'Reference Score Calculation'!G139</f>
        <v>24.000000000209997</v>
      </c>
      <c r="H2" s="347">
        <f>'Reference Score Calculation'!H139</f>
        <v>23.000000000290001</v>
      </c>
      <c r="I2" s="46">
        <f>計分版!H160</f>
        <v>3.9500000000000006E-9</v>
      </c>
      <c r="J2" s="7">
        <f t="shared" ref="J2:J13" si="0">IF(J$1="差距(Median)",I2-G2,IF(J$1="差距(UQ)",I2-F2,IF(J$1="差距(LQ)",I2-H2)))</f>
        <v>-23.999999996259998</v>
      </c>
      <c r="K2" s="8">
        <f t="shared" ref="K2:K13" si="1">IF(J$1="差距(Median)",(I2-G2)/I2,IF(J$1="差距(UQ)",(I2-F2)/I2,IF(J$1="差距(LQ)",(I2-H2)/I2)))</f>
        <v>-6075949366.1417704</v>
      </c>
      <c r="L2" s="37">
        <f>入學要求!C148</f>
        <v>18</v>
      </c>
      <c r="M2" s="102">
        <f>入學要求!R148</f>
        <v>0</v>
      </c>
      <c r="N2" s="15"/>
      <c r="O2" s="421">
        <f>入學要求!D148</f>
        <v>3</v>
      </c>
      <c r="P2" s="421">
        <f>入學要求!E148</f>
        <v>3</v>
      </c>
      <c r="Q2" s="421">
        <f>入學要求!F148</f>
        <v>2</v>
      </c>
      <c r="R2" s="421">
        <f>入學要求!G148</f>
        <v>2</v>
      </c>
      <c r="S2" s="421">
        <f>入學要求!H148</f>
        <v>3</v>
      </c>
      <c r="T2" s="421">
        <f>入學要求!I148</f>
        <v>3</v>
      </c>
      <c r="U2" s="576" t="s">
        <v>2840</v>
      </c>
      <c r="V2" s="37" cm="1">
        <f t="array" ref="V2">IFERROR(INDEX('Offer Statistics'!$BQ$2:$BQ$400,MATCH(1,($A2='Offer Statistics'!$BB$2:$BB$400)*($U$2='Offer Statistics'!$BC$2:$BC$400),0)),"/")</f>
        <v>22</v>
      </c>
      <c r="W2" s="375" cm="1">
        <f t="array" ref="W2">IFERROR(INDEX('Offer Statistics'!BL$2:BL$400,MATCH(1,($A2='Offer Statistics'!$BB$2:$BB$400)*($U$2='Offer Statistics'!$BC$2:$BC$400),0)),"/")</f>
        <v>22</v>
      </c>
      <c r="X2" s="375" cm="1">
        <f t="array" ref="X2">IFERROR(INDEX('Offer Statistics'!BM$2:BM$400,MATCH(1,($A2='Offer Statistics'!$BB$2:$BB$400)*($U$2='Offer Statistics'!$BC$2:$BC$400),0)),"/")</f>
        <v>0</v>
      </c>
      <c r="Y2" s="375" cm="1">
        <f t="array" ref="Y2">IFERROR(INDEX('Offer Statistics'!BN$2:BN$400,MATCH(1,($A2='Offer Statistics'!$BB$2:$BB$400)*($U$2='Offer Statistics'!$BC$2:$BC$400),0)),"/")</f>
        <v>0</v>
      </c>
      <c r="Z2" s="375" cm="1">
        <f t="array" ref="Z2">IFERROR(INDEX('Offer Statistics'!BO$2:BO$400,MATCH(1,($A2='Offer Statistics'!$BB$2:$BB$400)*($U$2='Offer Statistics'!$BC$2:$BC$400),0)),"/")</f>
        <v>0</v>
      </c>
      <c r="AA2" s="375" cm="1">
        <f t="array" ref="AA2">IFERROR(INDEX('Offer Statistics'!BP$2:BP$400,MATCH(1,($A2='Offer Statistics'!$BB$2:$BB$400)*($U$2='Offer Statistics'!$BC$2:$BC$400),0)),"/")</f>
        <v>0</v>
      </c>
      <c r="AB2" s="580" t="str">
        <f>U2</f>
        <v>2021年</v>
      </c>
      <c r="AC2" s="365" cm="1">
        <f t="array" ref="AC2">IFERROR(INDEX('Offer Statistics'!$BI$2:$BI$400,MATCH(1,($A2='Offer Statistics'!$BB$2:$BB$400)*($U$2='Offer Statistics'!$BC$2:$BC$400),0)),"/")</f>
        <v>2049</v>
      </c>
      <c r="AD2" s="375" cm="1">
        <f t="array" ref="AD2">IFERROR(INDEX('Offer Statistics'!BD$2:BD$400,MATCH(1,($A2='Offer Statistics'!$BB$2:$BB$400)*($U$2='Offer Statistics'!$BC$2:$BC$400),0)),"/")</f>
        <v>250</v>
      </c>
      <c r="AE2" s="375" cm="1">
        <f t="array" ref="AE2">IFERROR(INDEX('Offer Statistics'!BE$2:BE$400,MATCH(1,($A2='Offer Statistics'!$BB$2:$BB$400)*($U$2='Offer Statistics'!$BC$2:$BC$400),0)),"/")</f>
        <v>235</v>
      </c>
      <c r="AF2" s="375" cm="1">
        <f t="array" ref="AF2">IFERROR(INDEX('Offer Statistics'!BF$2:BF$400,MATCH(1,($A2='Offer Statistics'!$BB$2:$BB$400)*($U$2='Offer Statistics'!$BC$2:$BC$400),0)),"/")</f>
        <v>422</v>
      </c>
      <c r="AG2" s="375" cm="1">
        <f t="array" ref="AG2">IFERROR(INDEX('Offer Statistics'!BG$2:BG$400,MATCH(1,($A2='Offer Statistics'!$BB$2:$BB$400)*($U$2='Offer Statistics'!$BC$2:$BC$400),0)),"/")</f>
        <v>576</v>
      </c>
      <c r="AH2" s="69" cm="1">
        <f t="array" ref="AH2">IFERROR(INDEX('Offer Statistics'!BH$2:BH$400,MATCH(1,($A2='Offer Statistics'!$BB$2:$BB$400)*($U$2='Offer Statistics'!$BC$2:$BC$400),0)),"/")</f>
        <v>566</v>
      </c>
      <c r="AI2" s="15"/>
      <c r="AJ2" s="15" t="str">
        <f>A2</f>
        <v>JS4006</v>
      </c>
    </row>
    <row r="3" spans="1:36" ht="18" customHeight="1" x14ac:dyDescent="0.3">
      <c r="A3" s="346" t="str">
        <f>'Reference Score Calculation'!A140</f>
        <v>JS4018</v>
      </c>
      <c r="B3" s="346" t="str">
        <f>'Reference Score Calculation'!C140</f>
        <v>文學院</v>
      </c>
      <c r="C3" s="346" t="str">
        <f>'Reference Score Calculation'!D140</f>
        <v>中國語言及文學</v>
      </c>
      <c r="D3" s="4" t="s">
        <v>2466</v>
      </c>
      <c r="E3" s="356" t="str">
        <f>'Reference Score Calculation'!E140</f>
        <v>Best 5</v>
      </c>
      <c r="F3" s="347">
        <f>'Reference Score Calculation'!F140</f>
        <v>35.250000000215003</v>
      </c>
      <c r="G3" s="347">
        <f>'Reference Score Calculation'!G140</f>
        <v>32.500000000205006</v>
      </c>
      <c r="H3" s="347">
        <f>'Reference Score Calculation'!H140</f>
        <v>31.000000000215</v>
      </c>
      <c r="I3" s="46">
        <f>計分版!H161</f>
        <v>3.9500000000000006E-9</v>
      </c>
      <c r="J3" s="7">
        <f t="shared" si="0"/>
        <v>-32.499999996255006</v>
      </c>
      <c r="K3" s="8">
        <f t="shared" si="1"/>
        <v>-8227848100.3177214</v>
      </c>
      <c r="L3" s="365">
        <f>入學要求!C149</f>
        <v>79</v>
      </c>
      <c r="M3" s="379">
        <f>入學要求!R149</f>
        <v>0</v>
      </c>
      <c r="O3" s="422">
        <f>入學要求!D149</f>
        <v>3</v>
      </c>
      <c r="P3" s="422">
        <f>入學要求!E149</f>
        <v>3</v>
      </c>
      <c r="Q3" s="422">
        <f>入學要求!F149</f>
        <v>2</v>
      </c>
      <c r="R3" s="422">
        <f>入學要求!G149</f>
        <v>2</v>
      </c>
      <c r="S3" s="422">
        <f>入學要求!H149</f>
        <v>3</v>
      </c>
      <c r="T3" s="422">
        <f>入學要求!I149</f>
        <v>3</v>
      </c>
      <c r="U3" s="576"/>
      <c r="V3" s="365" cm="1">
        <f t="array" ref="V3">IFERROR(INDEX('Offer Statistics'!$BQ$2:$BQ$400,MATCH(1,($A3='Offer Statistics'!$BB$2:$BB$400)*($U$2='Offer Statistics'!$BC$2:$BC$400),0)),"/")</f>
        <v>81</v>
      </c>
      <c r="W3" s="375" cm="1">
        <f t="array" ref="W3">IFERROR(INDEX('Offer Statistics'!BL$2:BL$400,MATCH(1,($A3='Offer Statistics'!$BB$2:$BB$400)*($U$2='Offer Statistics'!$BC$2:$BC$400),0)),"/")</f>
        <v>81</v>
      </c>
      <c r="X3" s="375" cm="1">
        <f t="array" ref="X3">IFERROR(INDEX('Offer Statistics'!BM$2:BM$400,MATCH(1,($A3='Offer Statistics'!$BB$2:$BB$400)*($U$2='Offer Statistics'!$BC$2:$BC$400),0)),"/")</f>
        <v>0</v>
      </c>
      <c r="Y3" s="375" cm="1">
        <f t="array" ref="Y3">IFERROR(INDEX('Offer Statistics'!BN$2:BN$400,MATCH(1,($A3='Offer Statistics'!$BB$2:$BB$400)*($U$2='Offer Statistics'!$BC$2:$BC$400),0)),"/")</f>
        <v>0</v>
      </c>
      <c r="Z3" s="375" cm="1">
        <f t="array" ref="Z3">IFERROR(INDEX('Offer Statistics'!BO$2:BO$400,MATCH(1,($A3='Offer Statistics'!$BB$2:$BB$400)*($U$2='Offer Statistics'!$BC$2:$BC$400),0)),"/")</f>
        <v>0</v>
      </c>
      <c r="AA3" s="375" cm="1">
        <f t="array" ref="AA3">IFERROR(INDEX('Offer Statistics'!BP$2:BP$400,MATCH(1,($A3='Offer Statistics'!$BB$2:$BB$400)*($U$2='Offer Statistics'!$BC$2:$BC$400),0)),"/")</f>
        <v>0</v>
      </c>
      <c r="AB3" s="580"/>
      <c r="AC3" s="365" cm="1">
        <f t="array" ref="AC3">IFERROR(INDEX('Offer Statistics'!$BI$2:$BI$400,MATCH(1,($A3='Offer Statistics'!$BB$2:$BB$400)*($U$2='Offer Statistics'!$BC$2:$BC$400),0)),"/")</f>
        <v>1829</v>
      </c>
      <c r="AD3" s="375" cm="1">
        <f t="array" ref="AD3">IFERROR(INDEX('Offer Statistics'!BD$2:BD$400,MATCH(1,($A3='Offer Statistics'!$BB$2:$BB$400)*($U$2='Offer Statistics'!$BC$2:$BC$400),0)),"/")</f>
        <v>398</v>
      </c>
      <c r="AE3" s="375" cm="1">
        <f t="array" ref="AE3">IFERROR(INDEX('Offer Statistics'!BE$2:BE$400,MATCH(1,($A3='Offer Statistics'!$BB$2:$BB$400)*($U$2='Offer Statistics'!$BC$2:$BC$400),0)),"/")</f>
        <v>251</v>
      </c>
      <c r="AF3" s="375" cm="1">
        <f t="array" ref="AF3">IFERROR(INDEX('Offer Statistics'!BF$2:BF$400,MATCH(1,($A3='Offer Statistics'!$BB$2:$BB$400)*($U$2='Offer Statistics'!$BC$2:$BC$400),0)),"/")</f>
        <v>376</v>
      </c>
      <c r="AG3" s="375" cm="1">
        <f t="array" ref="AG3">IFERROR(INDEX('Offer Statistics'!BG$2:BG$400,MATCH(1,($A3='Offer Statistics'!$BB$2:$BB$400)*($U$2='Offer Statistics'!$BC$2:$BC$400),0)),"/")</f>
        <v>419</v>
      </c>
      <c r="AH3" s="375" cm="1">
        <f t="array" ref="AH3">IFERROR(INDEX('Offer Statistics'!BH$2:BH$400,MATCH(1,($A3='Offer Statistics'!$BB$2:$BB$400)*($U$2='Offer Statistics'!$BC$2:$BC$400),0)),"/")</f>
        <v>385</v>
      </c>
      <c r="AI3" s="15"/>
      <c r="AJ3" s="354" t="str">
        <f t="shared" ref="AJ3:AJ66" si="2">A3</f>
        <v>JS4018</v>
      </c>
    </row>
    <row r="4" spans="1:36" s="10" customFormat="1" ht="18" customHeight="1" x14ac:dyDescent="0.3">
      <c r="A4" s="346" t="str">
        <f>'Reference Score Calculation'!A141</f>
        <v>JS4020</v>
      </c>
      <c r="B4" s="346" t="str">
        <f>'Reference Score Calculation'!C141</f>
        <v>文學院</v>
      </c>
      <c r="C4" s="346" t="str">
        <f>'Reference Score Calculation'!D141</f>
        <v>文化研究</v>
      </c>
      <c r="D4" s="4" t="s">
        <v>2467</v>
      </c>
      <c r="E4" s="355" t="str">
        <f>'Reference Score Calculation'!E141</f>
        <v>Best 5</v>
      </c>
      <c r="F4" s="347">
        <f>'Reference Score Calculation'!F141</f>
        <v>26.000000000220002</v>
      </c>
      <c r="G4" s="347">
        <f>'Reference Score Calculation'!G141</f>
        <v>25.000000000209997</v>
      </c>
      <c r="H4" s="347">
        <f>'Reference Score Calculation'!H141</f>
        <v>24.5000000002</v>
      </c>
      <c r="I4" s="46">
        <f>計分版!H162</f>
        <v>3.9500000000000006E-9</v>
      </c>
      <c r="J4" s="7">
        <f t="shared" si="0"/>
        <v>-24.999999996259998</v>
      </c>
      <c r="K4" s="8">
        <f t="shared" si="1"/>
        <v>-6329113923.103796</v>
      </c>
      <c r="L4" s="365">
        <f>入學要求!C150</f>
        <v>17</v>
      </c>
      <c r="M4" s="379">
        <f>入學要求!R150</f>
        <v>0</v>
      </c>
      <c r="N4" s="100"/>
      <c r="O4" s="422">
        <f>入學要求!D150</f>
        <v>3</v>
      </c>
      <c r="P4" s="422">
        <f>入學要求!E150</f>
        <v>3</v>
      </c>
      <c r="Q4" s="422">
        <f>入學要求!F150</f>
        <v>2</v>
      </c>
      <c r="R4" s="422">
        <f>入學要求!G150</f>
        <v>2</v>
      </c>
      <c r="S4" s="422">
        <f>入學要求!H150</f>
        <v>3</v>
      </c>
      <c r="T4" s="422">
        <f>入學要求!I150</f>
        <v>3</v>
      </c>
      <c r="U4" s="576"/>
      <c r="V4" s="365" cm="1">
        <f t="array" ref="V4">IFERROR(INDEX('Offer Statistics'!$BQ$2:$BQ$400,MATCH(1,($A4='Offer Statistics'!$BB$2:$BB$400)*($U$2='Offer Statistics'!$BC$2:$BC$400),0)),"/")</f>
        <v>14</v>
      </c>
      <c r="W4" s="375" cm="1">
        <f t="array" ref="W4">IFERROR(INDEX('Offer Statistics'!BL$2:BL$400,MATCH(1,($A4='Offer Statistics'!$BB$2:$BB$400)*($U$2='Offer Statistics'!$BC$2:$BC$400),0)),"/")</f>
        <v>14</v>
      </c>
      <c r="X4" s="375" cm="1">
        <f t="array" ref="X4">IFERROR(INDEX('Offer Statistics'!BM$2:BM$400,MATCH(1,($A4='Offer Statistics'!$BB$2:$BB$400)*($U$2='Offer Statistics'!$BC$2:$BC$400),0)),"/")</f>
        <v>0</v>
      </c>
      <c r="Y4" s="375" cm="1">
        <f t="array" ref="Y4">IFERROR(INDEX('Offer Statistics'!BN$2:BN$400,MATCH(1,($A4='Offer Statistics'!$BB$2:$BB$400)*($U$2='Offer Statistics'!$BC$2:$BC$400),0)),"/")</f>
        <v>0</v>
      </c>
      <c r="Z4" s="375" cm="1">
        <f t="array" ref="Z4">IFERROR(INDEX('Offer Statistics'!BO$2:BO$400,MATCH(1,($A4='Offer Statistics'!$BB$2:$BB$400)*($U$2='Offer Statistics'!$BC$2:$BC$400),0)),"/")</f>
        <v>0</v>
      </c>
      <c r="AA4" s="375" cm="1">
        <f t="array" ref="AA4">IFERROR(INDEX('Offer Statistics'!BP$2:BP$400,MATCH(1,($A4='Offer Statistics'!$BB$2:$BB$400)*($U$2='Offer Statistics'!$BC$2:$BC$400),0)),"/")</f>
        <v>0</v>
      </c>
      <c r="AB4" s="580"/>
      <c r="AC4" s="365" cm="1">
        <f t="array" ref="AC4">IFERROR(INDEX('Offer Statistics'!$BI$2:$BI$400,MATCH(1,($A4='Offer Statistics'!$BB$2:$BB$400)*($U$2='Offer Statistics'!$BC$2:$BC$400),0)),"/")</f>
        <v>2016</v>
      </c>
      <c r="AD4" s="375" cm="1">
        <f t="array" ref="AD4">IFERROR(INDEX('Offer Statistics'!BD$2:BD$400,MATCH(1,($A4='Offer Statistics'!$BB$2:$BB$400)*($U$2='Offer Statistics'!$BC$2:$BC$400),0)),"/")</f>
        <v>187</v>
      </c>
      <c r="AE4" s="375" cm="1">
        <f t="array" ref="AE4">IFERROR(INDEX('Offer Statistics'!BE$2:BE$400,MATCH(1,($A4='Offer Statistics'!$BB$2:$BB$400)*($U$2='Offer Statistics'!$BC$2:$BC$400),0)),"/")</f>
        <v>239</v>
      </c>
      <c r="AF4" s="375" cm="1">
        <f t="array" ref="AF4">IFERROR(INDEX('Offer Statistics'!BF$2:BF$400,MATCH(1,($A4='Offer Statistics'!$BB$2:$BB$400)*($U$2='Offer Statistics'!$BC$2:$BC$400),0)),"/")</f>
        <v>466</v>
      </c>
      <c r="AG4" s="375" cm="1">
        <f t="array" ref="AG4">IFERROR(INDEX('Offer Statistics'!BG$2:BG$400,MATCH(1,($A4='Offer Statistics'!$BB$2:$BB$400)*($U$2='Offer Statistics'!$BC$2:$BC$400),0)),"/")</f>
        <v>640</v>
      </c>
      <c r="AH4" s="375" cm="1">
        <f t="array" ref="AH4">IFERROR(INDEX('Offer Statistics'!BH$2:BH$400,MATCH(1,($A4='Offer Statistics'!$BB$2:$BB$400)*($U$2='Offer Statistics'!$BC$2:$BC$400),0)),"/")</f>
        <v>484</v>
      </c>
      <c r="AI4" s="15"/>
      <c r="AJ4" s="354" t="str">
        <f t="shared" si="2"/>
        <v>JS4020</v>
      </c>
    </row>
    <row r="5" spans="1:36" ht="18" customHeight="1" x14ac:dyDescent="0.3">
      <c r="A5" s="346" t="str">
        <f>'Reference Score Calculation'!A142</f>
        <v>JS4022</v>
      </c>
      <c r="B5" s="346" t="str">
        <f>'Reference Score Calculation'!C142</f>
        <v>文學院</v>
      </c>
      <c r="C5" s="346" t="str">
        <f>'Reference Score Calculation'!D142</f>
        <v>文化管理</v>
      </c>
      <c r="D5" s="4" t="s">
        <v>2468</v>
      </c>
      <c r="E5" s="355" t="str">
        <f>'Reference Score Calculation'!E142</f>
        <v>Best 5</v>
      </c>
      <c r="F5" s="347">
        <f>'Reference Score Calculation'!F142</f>
        <v>26.000000000220002</v>
      </c>
      <c r="G5" s="347">
        <f>'Reference Score Calculation'!G142</f>
        <v>24.5000000002</v>
      </c>
      <c r="H5" s="347">
        <f>'Reference Score Calculation'!H142</f>
        <v>24.500000000209997</v>
      </c>
      <c r="I5" s="46">
        <f>計分版!H163</f>
        <v>3.9500000000000006E-9</v>
      </c>
      <c r="J5" s="7">
        <f t="shared" si="0"/>
        <v>-24.499999996250001</v>
      </c>
      <c r="K5" s="8">
        <f t="shared" si="1"/>
        <v>-6202531644.6202526</v>
      </c>
      <c r="L5" s="365">
        <f>入學要求!C151</f>
        <v>20</v>
      </c>
      <c r="M5" s="379">
        <f>入學要求!R151</f>
        <v>0</v>
      </c>
      <c r="N5" s="27"/>
      <c r="O5" s="422">
        <f>入學要求!D151</f>
        <v>3</v>
      </c>
      <c r="P5" s="422">
        <f>入學要求!E151</f>
        <v>3</v>
      </c>
      <c r="Q5" s="422">
        <f>入學要求!F151</f>
        <v>2</v>
      </c>
      <c r="R5" s="422">
        <f>入學要求!G151</f>
        <v>2</v>
      </c>
      <c r="S5" s="422">
        <f>入學要求!H151</f>
        <v>3</v>
      </c>
      <c r="T5" s="422">
        <f>入學要求!I151</f>
        <v>3</v>
      </c>
      <c r="U5" s="576"/>
      <c r="V5" s="365" cm="1">
        <f t="array" ref="V5">IFERROR(INDEX('Offer Statistics'!$BQ$2:$BQ$400,MATCH(1,($A5='Offer Statistics'!$BB$2:$BB$400)*($U$2='Offer Statistics'!$BC$2:$BC$400),0)),"/")</f>
        <v>21</v>
      </c>
      <c r="W5" s="375" cm="1">
        <f t="array" ref="W5">IFERROR(INDEX('Offer Statistics'!BL$2:BL$400,MATCH(1,($A5='Offer Statistics'!$BB$2:$BB$400)*($U$2='Offer Statistics'!$BC$2:$BC$400),0)),"/")</f>
        <v>21</v>
      </c>
      <c r="X5" s="375" cm="1">
        <f t="array" ref="X5">IFERROR(INDEX('Offer Statistics'!BM$2:BM$400,MATCH(1,($A5='Offer Statistics'!$BB$2:$BB$400)*($U$2='Offer Statistics'!$BC$2:$BC$400),0)),"/")</f>
        <v>0</v>
      </c>
      <c r="Y5" s="375" cm="1">
        <f t="array" ref="Y5">IFERROR(INDEX('Offer Statistics'!BN$2:BN$400,MATCH(1,($A5='Offer Statistics'!$BB$2:$BB$400)*($U$2='Offer Statistics'!$BC$2:$BC$400),0)),"/")</f>
        <v>0</v>
      </c>
      <c r="Z5" s="375" cm="1">
        <f t="array" ref="Z5">IFERROR(INDEX('Offer Statistics'!BO$2:BO$400,MATCH(1,($A5='Offer Statistics'!$BB$2:$BB$400)*($U$2='Offer Statistics'!$BC$2:$BC$400),0)),"/")</f>
        <v>0</v>
      </c>
      <c r="AA5" s="375" cm="1">
        <f t="array" ref="AA5">IFERROR(INDEX('Offer Statistics'!BP$2:BP$400,MATCH(1,($A5='Offer Statistics'!$BB$2:$BB$400)*($U$2='Offer Statistics'!$BC$2:$BC$400),0)),"/")</f>
        <v>0</v>
      </c>
      <c r="AB5" s="580"/>
      <c r="AC5" s="365" cm="1">
        <f t="array" ref="AC5">IFERROR(INDEX('Offer Statistics'!$BI$2:$BI$400,MATCH(1,($A5='Offer Statistics'!$BB$2:$BB$400)*($U$2='Offer Statistics'!$BC$2:$BC$400),0)),"/")</f>
        <v>1386</v>
      </c>
      <c r="AD5" s="375" cm="1">
        <f t="array" ref="AD5">IFERROR(INDEX('Offer Statistics'!BD$2:BD$400,MATCH(1,($A5='Offer Statistics'!$BB$2:$BB$400)*($U$2='Offer Statistics'!$BC$2:$BC$400),0)),"/")</f>
        <v>155</v>
      </c>
      <c r="AE5" s="375" cm="1">
        <f t="array" ref="AE5">IFERROR(INDEX('Offer Statistics'!BE$2:BE$400,MATCH(1,($A5='Offer Statistics'!$BB$2:$BB$400)*($U$2='Offer Statistics'!$BC$2:$BC$400),0)),"/")</f>
        <v>151</v>
      </c>
      <c r="AF5" s="375" cm="1">
        <f t="array" ref="AF5">IFERROR(INDEX('Offer Statistics'!BF$2:BF$400,MATCH(1,($A5='Offer Statistics'!$BB$2:$BB$400)*($U$2='Offer Statistics'!$BC$2:$BC$400),0)),"/")</f>
        <v>295</v>
      </c>
      <c r="AG5" s="375" cm="1">
        <f t="array" ref="AG5">IFERROR(INDEX('Offer Statistics'!BG$2:BG$400,MATCH(1,($A5='Offer Statistics'!$BB$2:$BB$400)*($U$2='Offer Statistics'!$BC$2:$BC$400),0)),"/")</f>
        <v>400</v>
      </c>
      <c r="AH5" s="375" cm="1">
        <f t="array" ref="AH5">IFERROR(INDEX('Offer Statistics'!BH$2:BH$400,MATCH(1,($A5='Offer Statistics'!$BB$2:$BB$400)*($U$2='Offer Statistics'!$BC$2:$BC$400),0)),"/")</f>
        <v>385</v>
      </c>
      <c r="AI5" s="15"/>
      <c r="AJ5" s="354" t="str">
        <f t="shared" si="2"/>
        <v>JS4022</v>
      </c>
    </row>
    <row r="6" spans="1:36" s="10" customFormat="1" ht="18" customHeight="1" x14ac:dyDescent="0.3">
      <c r="A6" s="346" t="str">
        <f>'Reference Score Calculation'!A143</f>
        <v>JS4032</v>
      </c>
      <c r="B6" s="346" t="str">
        <f>'Reference Score Calculation'!C143</f>
        <v>文學院</v>
      </c>
      <c r="C6" s="346" t="str">
        <f>'Reference Score Calculation'!D143</f>
        <v>英文</v>
      </c>
      <c r="D6" s="4" t="s">
        <v>2469</v>
      </c>
      <c r="E6" s="356" t="str">
        <f>'Reference Score Calculation'!E143</f>
        <v>Best 5</v>
      </c>
      <c r="F6" s="347">
        <f>'Reference Score Calculation'!F143</f>
        <v>28.000000000229999</v>
      </c>
      <c r="G6" s="347">
        <f>'Reference Score Calculation'!G143</f>
        <v>26.500000000209997</v>
      </c>
      <c r="H6" s="347">
        <f>'Reference Score Calculation'!H143</f>
        <v>25.500000000250001</v>
      </c>
      <c r="I6" s="46">
        <f>計分版!H164</f>
        <v>3.9500000000000006E-9</v>
      </c>
      <c r="J6" s="7">
        <f t="shared" si="0"/>
        <v>-26.499999996259998</v>
      </c>
      <c r="K6" s="8">
        <f t="shared" si="1"/>
        <v>-6708860758.546834</v>
      </c>
      <c r="L6" s="365">
        <f>入學要求!C152</f>
        <v>55</v>
      </c>
      <c r="M6" s="379">
        <f>入學要求!R152</f>
        <v>0</v>
      </c>
      <c r="N6" s="27"/>
      <c r="O6" s="422">
        <f>入學要求!D152</f>
        <v>3</v>
      </c>
      <c r="P6" s="422">
        <f>入學要求!E152</f>
        <v>3</v>
      </c>
      <c r="Q6" s="422">
        <f>入學要求!F152</f>
        <v>2</v>
      </c>
      <c r="R6" s="422">
        <f>入學要求!G152</f>
        <v>2</v>
      </c>
      <c r="S6" s="422">
        <f>入學要求!H152</f>
        <v>3</v>
      </c>
      <c r="T6" s="422">
        <f>入學要求!I152</f>
        <v>3</v>
      </c>
      <c r="U6" s="576"/>
      <c r="V6" s="365" cm="1">
        <f t="array" ref="V6">IFERROR(INDEX('Offer Statistics'!$BQ$2:$BQ$400,MATCH(1,($A6='Offer Statistics'!$BB$2:$BB$400)*($U$2='Offer Statistics'!$BC$2:$BC$400),0)),"/")</f>
        <v>52</v>
      </c>
      <c r="W6" s="375" cm="1">
        <f t="array" ref="W6">IFERROR(INDEX('Offer Statistics'!BL$2:BL$400,MATCH(1,($A6='Offer Statistics'!$BB$2:$BB$400)*($U$2='Offer Statistics'!$BC$2:$BC$400),0)),"/")</f>
        <v>52</v>
      </c>
      <c r="X6" s="375" cm="1">
        <f t="array" ref="X6">IFERROR(INDEX('Offer Statistics'!BM$2:BM$400,MATCH(1,($A6='Offer Statistics'!$BB$2:$BB$400)*($U$2='Offer Statistics'!$BC$2:$BC$400),0)),"/")</f>
        <v>0</v>
      </c>
      <c r="Y6" s="375" cm="1">
        <f t="array" ref="Y6">IFERROR(INDEX('Offer Statistics'!BN$2:BN$400,MATCH(1,($A6='Offer Statistics'!$BB$2:$BB$400)*($U$2='Offer Statistics'!$BC$2:$BC$400),0)),"/")</f>
        <v>0</v>
      </c>
      <c r="Z6" s="375" cm="1">
        <f t="array" ref="Z6">IFERROR(INDEX('Offer Statistics'!BO$2:BO$400,MATCH(1,($A6='Offer Statistics'!$BB$2:$BB$400)*($U$2='Offer Statistics'!$BC$2:$BC$400),0)),"/")</f>
        <v>0</v>
      </c>
      <c r="AA6" s="375" cm="1">
        <f t="array" ref="AA6">IFERROR(INDEX('Offer Statistics'!BP$2:BP$400,MATCH(1,($A6='Offer Statistics'!$BB$2:$BB$400)*($U$2='Offer Statistics'!$BC$2:$BC$400),0)),"/")</f>
        <v>0</v>
      </c>
      <c r="AB6" s="580"/>
      <c r="AC6" s="365" cm="1">
        <f t="array" ref="AC6">IFERROR(INDEX('Offer Statistics'!$BI$2:$BI$400,MATCH(1,($A6='Offer Statistics'!$BB$2:$BB$400)*($U$2='Offer Statistics'!$BC$2:$BC$400),0)),"/")</f>
        <v>1345</v>
      </c>
      <c r="AD6" s="375" cm="1">
        <f t="array" ref="AD6">IFERROR(INDEX('Offer Statistics'!BD$2:BD$400,MATCH(1,($A6='Offer Statistics'!$BB$2:$BB$400)*($U$2='Offer Statistics'!$BC$2:$BC$400),0)),"/")</f>
        <v>247</v>
      </c>
      <c r="AE6" s="375" cm="1">
        <f t="array" ref="AE6">IFERROR(INDEX('Offer Statistics'!BE$2:BE$400,MATCH(1,($A6='Offer Statistics'!$BB$2:$BB$400)*($U$2='Offer Statistics'!$BC$2:$BC$400),0)),"/")</f>
        <v>242</v>
      </c>
      <c r="AF6" s="375" cm="1">
        <f t="array" ref="AF6">IFERROR(INDEX('Offer Statistics'!BF$2:BF$400,MATCH(1,($A6='Offer Statistics'!$BB$2:$BB$400)*($U$2='Offer Statistics'!$BC$2:$BC$400),0)),"/")</f>
        <v>286</v>
      </c>
      <c r="AG6" s="375" cm="1">
        <f t="array" ref="AG6">IFERROR(INDEX('Offer Statistics'!BG$2:BG$400,MATCH(1,($A6='Offer Statistics'!$BB$2:$BB$400)*($U$2='Offer Statistics'!$BC$2:$BC$400),0)),"/")</f>
        <v>316</v>
      </c>
      <c r="AH6" s="375" cm="1">
        <f t="array" ref="AH6">IFERROR(INDEX('Offer Statistics'!BH$2:BH$400,MATCH(1,($A6='Offer Statistics'!$BB$2:$BB$400)*($U$2='Offer Statistics'!$BC$2:$BC$400),0)),"/")</f>
        <v>254</v>
      </c>
      <c r="AI6" s="15"/>
      <c r="AJ6" s="354" t="str">
        <f t="shared" si="2"/>
        <v>JS4032</v>
      </c>
    </row>
    <row r="7" spans="1:36" ht="18" customHeight="1" x14ac:dyDescent="0.3">
      <c r="A7" s="346" t="str">
        <f>'Reference Score Calculation'!A144</f>
        <v>JS4044</v>
      </c>
      <c r="B7" s="346" t="str">
        <f>'Reference Score Calculation'!C144</f>
        <v>文學院</v>
      </c>
      <c r="C7" s="346" t="str">
        <f>'Reference Score Calculation'!D144</f>
        <v>藝術</v>
      </c>
      <c r="D7" s="4" t="s">
        <v>772</v>
      </c>
      <c r="E7" s="355" t="str">
        <f>'Reference Score Calculation'!E144</f>
        <v>Best 5</v>
      </c>
      <c r="F7" s="347">
        <f>'Reference Score Calculation'!F144</f>
        <v>30.50000000016</v>
      </c>
      <c r="G7" s="347">
        <f>'Reference Score Calculation'!G144</f>
        <v>25.000000000220002</v>
      </c>
      <c r="H7" s="347">
        <f>'Reference Score Calculation'!H144</f>
        <v>23.000000000220002</v>
      </c>
      <c r="I7" s="46">
        <f>計分版!H165</f>
        <v>3.9500000000000006E-9</v>
      </c>
      <c r="J7" s="7">
        <f t="shared" si="0"/>
        <v>-24.999999996270002</v>
      </c>
      <c r="K7" s="8">
        <f t="shared" si="1"/>
        <v>-6329113923.106329</v>
      </c>
      <c r="L7" s="365">
        <f>入學要求!C153</f>
        <v>19</v>
      </c>
      <c r="M7" s="379">
        <f>入學要求!R153</f>
        <v>0</v>
      </c>
      <c r="N7" s="100"/>
      <c r="O7" s="422">
        <f>入學要求!D153</f>
        <v>3</v>
      </c>
      <c r="P7" s="422">
        <f>入學要求!E153</f>
        <v>3</v>
      </c>
      <c r="Q7" s="422">
        <f>入學要求!F153</f>
        <v>2</v>
      </c>
      <c r="R7" s="422">
        <f>入學要求!G153</f>
        <v>2</v>
      </c>
      <c r="S7" s="422">
        <f>入學要求!H153</f>
        <v>3</v>
      </c>
      <c r="T7" s="422">
        <f>入學要求!I153</f>
        <v>3</v>
      </c>
      <c r="U7" s="576"/>
      <c r="V7" s="365" cm="1">
        <f t="array" ref="V7">IFERROR(INDEX('Offer Statistics'!$BQ$2:$BQ$400,MATCH(1,($A7='Offer Statistics'!$BB$2:$BB$400)*($U$2='Offer Statistics'!$BC$2:$BC$400),0)),"/")</f>
        <v>20</v>
      </c>
      <c r="W7" s="375" cm="1">
        <f t="array" ref="W7">IFERROR(INDEX('Offer Statistics'!BL$2:BL$400,MATCH(1,($A7='Offer Statistics'!$BB$2:$BB$400)*($U$2='Offer Statistics'!$BC$2:$BC$400),0)),"/")</f>
        <v>20</v>
      </c>
      <c r="X7" s="375" cm="1">
        <f t="array" ref="X7">IFERROR(INDEX('Offer Statistics'!BM$2:BM$400,MATCH(1,($A7='Offer Statistics'!$BB$2:$BB$400)*($U$2='Offer Statistics'!$BC$2:$BC$400),0)),"/")</f>
        <v>0</v>
      </c>
      <c r="Y7" s="375" cm="1">
        <f t="array" ref="Y7">IFERROR(INDEX('Offer Statistics'!BN$2:BN$400,MATCH(1,($A7='Offer Statistics'!$BB$2:$BB$400)*($U$2='Offer Statistics'!$BC$2:$BC$400),0)),"/")</f>
        <v>0</v>
      </c>
      <c r="Z7" s="375" cm="1">
        <f t="array" ref="Z7">IFERROR(INDEX('Offer Statistics'!BO$2:BO$400,MATCH(1,($A7='Offer Statistics'!$BB$2:$BB$400)*($U$2='Offer Statistics'!$BC$2:$BC$400),0)),"/")</f>
        <v>0</v>
      </c>
      <c r="AA7" s="375" cm="1">
        <f t="array" ref="AA7">IFERROR(INDEX('Offer Statistics'!BP$2:BP$400,MATCH(1,($A7='Offer Statistics'!$BB$2:$BB$400)*($U$2='Offer Statistics'!$BC$2:$BC$400),0)),"/")</f>
        <v>0</v>
      </c>
      <c r="AB7" s="580"/>
      <c r="AC7" s="365" cm="1">
        <f t="array" ref="AC7">IFERROR(INDEX('Offer Statistics'!$BI$2:$BI$400,MATCH(1,($A7='Offer Statistics'!$BB$2:$BB$400)*($U$2='Offer Statistics'!$BC$2:$BC$400),0)),"/")</f>
        <v>1468</v>
      </c>
      <c r="AD7" s="375" cm="1">
        <f t="array" ref="AD7">IFERROR(INDEX('Offer Statistics'!BD$2:BD$400,MATCH(1,($A7='Offer Statistics'!$BB$2:$BB$400)*($U$2='Offer Statistics'!$BC$2:$BC$400),0)),"/")</f>
        <v>309</v>
      </c>
      <c r="AE7" s="375" cm="1">
        <f t="array" ref="AE7">IFERROR(INDEX('Offer Statistics'!BE$2:BE$400,MATCH(1,($A7='Offer Statistics'!$BB$2:$BB$400)*($U$2='Offer Statistics'!$BC$2:$BC$400),0)),"/")</f>
        <v>226</v>
      </c>
      <c r="AF7" s="375" cm="1">
        <f t="array" ref="AF7">IFERROR(INDEX('Offer Statistics'!BF$2:BF$400,MATCH(1,($A7='Offer Statistics'!$BB$2:$BB$400)*($U$2='Offer Statistics'!$BC$2:$BC$400),0)),"/")</f>
        <v>322</v>
      </c>
      <c r="AG7" s="375" cm="1">
        <f t="array" ref="AG7">IFERROR(INDEX('Offer Statistics'!BG$2:BG$400,MATCH(1,($A7='Offer Statistics'!$BB$2:$BB$400)*($U$2='Offer Statistics'!$BC$2:$BC$400),0)),"/")</f>
        <v>341</v>
      </c>
      <c r="AH7" s="375" cm="1">
        <f t="array" ref="AH7">IFERROR(INDEX('Offer Statistics'!BH$2:BH$400,MATCH(1,($A7='Offer Statistics'!$BB$2:$BB$400)*($U$2='Offer Statistics'!$BC$2:$BC$400),0)),"/")</f>
        <v>270</v>
      </c>
      <c r="AI7" s="15"/>
      <c r="AJ7" s="354" t="str">
        <f t="shared" si="2"/>
        <v>JS4044</v>
      </c>
    </row>
    <row r="8" spans="1:36" s="10" customFormat="1" ht="18" customHeight="1" x14ac:dyDescent="0.3">
      <c r="A8" s="346" t="str">
        <f>'Reference Score Calculation'!A145</f>
        <v>JS4056</v>
      </c>
      <c r="B8" s="346" t="str">
        <f>'Reference Score Calculation'!C145</f>
        <v>文學院</v>
      </c>
      <c r="C8" s="346" t="str">
        <f>'Reference Score Calculation'!D145</f>
        <v>歷史</v>
      </c>
      <c r="D8" s="4" t="s">
        <v>777</v>
      </c>
      <c r="E8" s="355" t="str">
        <f>'Reference Score Calculation'!E145</f>
        <v>Best 5</v>
      </c>
      <c r="F8" s="347">
        <f>'Reference Score Calculation'!F145</f>
        <v>29.000000000209997</v>
      </c>
      <c r="G8" s="347">
        <f>'Reference Score Calculation'!G145</f>
        <v>27.500000000220002</v>
      </c>
      <c r="H8" s="347">
        <f>'Reference Score Calculation'!H145</f>
        <v>26.000000000209997</v>
      </c>
      <c r="I8" s="46">
        <f>計分版!H166</f>
        <v>3.9500000000000006E-9</v>
      </c>
      <c r="J8" s="7">
        <f t="shared" si="0"/>
        <v>-27.499999996270002</v>
      </c>
      <c r="K8" s="8">
        <f t="shared" si="1"/>
        <v>-6962025315.5113916</v>
      </c>
      <c r="L8" s="365">
        <f>入學要求!C154</f>
        <v>48</v>
      </c>
      <c r="M8" s="379">
        <f>入學要求!R154</f>
        <v>0</v>
      </c>
      <c r="N8" s="15"/>
      <c r="O8" s="422">
        <f>入學要求!D154</f>
        <v>3</v>
      </c>
      <c r="P8" s="422">
        <f>入學要求!E154</f>
        <v>3</v>
      </c>
      <c r="Q8" s="422">
        <f>入學要求!F154</f>
        <v>2</v>
      </c>
      <c r="R8" s="422">
        <f>入學要求!G154</f>
        <v>2</v>
      </c>
      <c r="S8" s="422">
        <f>入學要求!H154</f>
        <v>3</v>
      </c>
      <c r="T8" s="422">
        <f>入學要求!I154</f>
        <v>3</v>
      </c>
      <c r="U8" s="576"/>
      <c r="V8" s="365" cm="1">
        <f t="array" ref="V8">IFERROR(INDEX('Offer Statistics'!$BQ$2:$BQ$400,MATCH(1,($A8='Offer Statistics'!$BB$2:$BB$400)*($U$2='Offer Statistics'!$BC$2:$BC$400),0)),"/")</f>
        <v>49</v>
      </c>
      <c r="W8" s="375" cm="1">
        <f t="array" ref="W8">IFERROR(INDEX('Offer Statistics'!BL$2:BL$400,MATCH(1,($A8='Offer Statistics'!$BB$2:$BB$400)*($U$2='Offer Statistics'!$BC$2:$BC$400),0)),"/")</f>
        <v>49</v>
      </c>
      <c r="X8" s="375" cm="1">
        <f t="array" ref="X8">IFERROR(INDEX('Offer Statistics'!BM$2:BM$400,MATCH(1,($A8='Offer Statistics'!$BB$2:$BB$400)*($U$2='Offer Statistics'!$BC$2:$BC$400),0)),"/")</f>
        <v>0</v>
      </c>
      <c r="Y8" s="375" cm="1">
        <f t="array" ref="Y8">IFERROR(INDEX('Offer Statistics'!BN$2:BN$400,MATCH(1,($A8='Offer Statistics'!$BB$2:$BB$400)*($U$2='Offer Statistics'!$BC$2:$BC$400),0)),"/")</f>
        <v>0</v>
      </c>
      <c r="Z8" s="375" cm="1">
        <f t="array" ref="Z8">IFERROR(INDEX('Offer Statistics'!BO$2:BO$400,MATCH(1,($A8='Offer Statistics'!$BB$2:$BB$400)*($U$2='Offer Statistics'!$BC$2:$BC$400),0)),"/")</f>
        <v>0</v>
      </c>
      <c r="AA8" s="375" cm="1">
        <f t="array" ref="AA8">IFERROR(INDEX('Offer Statistics'!BP$2:BP$400,MATCH(1,($A8='Offer Statistics'!$BB$2:$BB$400)*($U$2='Offer Statistics'!$BC$2:$BC$400),0)),"/")</f>
        <v>0</v>
      </c>
      <c r="AB8" s="580"/>
      <c r="AC8" s="365" cm="1">
        <f t="array" ref="AC8">IFERROR(INDEX('Offer Statistics'!$BI$2:$BI$400,MATCH(1,($A8='Offer Statistics'!$BB$2:$BB$400)*($U$2='Offer Statistics'!$BC$2:$BC$400),0)),"/")</f>
        <v>2193</v>
      </c>
      <c r="AD8" s="375" cm="1">
        <f t="array" ref="AD8">IFERROR(INDEX('Offer Statistics'!BD$2:BD$400,MATCH(1,($A8='Offer Statistics'!$BB$2:$BB$400)*($U$2='Offer Statistics'!$BC$2:$BC$400),0)),"/")</f>
        <v>508</v>
      </c>
      <c r="AE8" s="375" cm="1">
        <f t="array" ref="AE8">IFERROR(INDEX('Offer Statistics'!BE$2:BE$400,MATCH(1,($A8='Offer Statistics'!$BB$2:$BB$400)*($U$2='Offer Statistics'!$BC$2:$BC$400),0)),"/")</f>
        <v>347</v>
      </c>
      <c r="AF8" s="375" cm="1">
        <f t="array" ref="AF8">IFERROR(INDEX('Offer Statistics'!BF$2:BF$400,MATCH(1,($A8='Offer Statistics'!$BB$2:$BB$400)*($U$2='Offer Statistics'!$BC$2:$BC$400),0)),"/")</f>
        <v>412</v>
      </c>
      <c r="AG8" s="375" cm="1">
        <f t="array" ref="AG8">IFERROR(INDEX('Offer Statistics'!BG$2:BG$400,MATCH(1,($A8='Offer Statistics'!$BB$2:$BB$400)*($U$2='Offer Statistics'!$BC$2:$BC$400),0)),"/")</f>
        <v>530</v>
      </c>
      <c r="AH8" s="375" cm="1">
        <f t="array" ref="AH8">IFERROR(INDEX('Offer Statistics'!BH$2:BH$400,MATCH(1,($A8='Offer Statistics'!$BB$2:$BB$400)*($U$2='Offer Statistics'!$BC$2:$BC$400),0)),"/")</f>
        <v>396</v>
      </c>
      <c r="AI8" s="15"/>
      <c r="AJ8" s="354" t="str">
        <f t="shared" si="2"/>
        <v>JS4056</v>
      </c>
    </row>
    <row r="9" spans="1:36" ht="18" customHeight="1" x14ac:dyDescent="0.3">
      <c r="A9" s="346" t="str">
        <f>'Reference Score Calculation'!A146</f>
        <v>JS4068</v>
      </c>
      <c r="B9" s="346" t="str">
        <f>'Reference Score Calculation'!C146</f>
        <v>文學院</v>
      </c>
      <c r="C9" s="346" t="str">
        <f>'Reference Score Calculation'!D146</f>
        <v>日本研究</v>
      </c>
      <c r="D9" s="4" t="s">
        <v>782</v>
      </c>
      <c r="E9" s="355" t="str">
        <f>'Reference Score Calculation'!E146</f>
        <v>Best 5</v>
      </c>
      <c r="F9" s="347">
        <f>'Reference Score Calculation'!F146</f>
        <v>29.500000000209997</v>
      </c>
      <c r="G9" s="347">
        <f>'Reference Score Calculation'!G146</f>
        <v>26.000000000260002</v>
      </c>
      <c r="H9" s="347">
        <f>'Reference Score Calculation'!H146</f>
        <v>24.500000000209997</v>
      </c>
      <c r="I9" s="46">
        <f>計分版!H167</f>
        <v>3.9500000000000006E-9</v>
      </c>
      <c r="J9" s="7">
        <f t="shared" si="0"/>
        <v>-25.999999996310002</v>
      </c>
      <c r="K9" s="8">
        <f t="shared" si="1"/>
        <v>-6582278480.0784807</v>
      </c>
      <c r="L9" s="365">
        <f>入學要求!C155</f>
        <v>22</v>
      </c>
      <c r="M9" s="379">
        <f>入學要求!R155</f>
        <v>0</v>
      </c>
      <c r="N9" s="100"/>
      <c r="O9" s="422">
        <f>入學要求!D155</f>
        <v>3</v>
      </c>
      <c r="P9" s="422">
        <f>入學要求!E155</f>
        <v>3</v>
      </c>
      <c r="Q9" s="422">
        <f>入學要求!F155</f>
        <v>2</v>
      </c>
      <c r="R9" s="422">
        <f>入學要求!G155</f>
        <v>2</v>
      </c>
      <c r="S9" s="422">
        <f>入學要求!H155</f>
        <v>3</v>
      </c>
      <c r="T9" s="422">
        <f>入學要求!I155</f>
        <v>3</v>
      </c>
      <c r="U9" s="576"/>
      <c r="V9" s="365" cm="1">
        <f t="array" ref="V9">IFERROR(INDEX('Offer Statistics'!$BQ$2:$BQ$400,MATCH(1,($A9='Offer Statistics'!$BB$2:$BB$400)*($U$2='Offer Statistics'!$BC$2:$BC$400),0)),"/")</f>
        <v>22</v>
      </c>
      <c r="W9" s="375" cm="1">
        <f t="array" ref="W9">IFERROR(INDEX('Offer Statistics'!BL$2:BL$400,MATCH(1,($A9='Offer Statistics'!$BB$2:$BB$400)*($U$2='Offer Statistics'!$BC$2:$BC$400),0)),"/")</f>
        <v>22</v>
      </c>
      <c r="X9" s="375" cm="1">
        <f t="array" ref="X9">IFERROR(INDEX('Offer Statistics'!BM$2:BM$400,MATCH(1,($A9='Offer Statistics'!$BB$2:$BB$400)*($U$2='Offer Statistics'!$BC$2:$BC$400),0)),"/")</f>
        <v>0</v>
      </c>
      <c r="Y9" s="375" cm="1">
        <f t="array" ref="Y9">IFERROR(INDEX('Offer Statistics'!BN$2:BN$400,MATCH(1,($A9='Offer Statistics'!$BB$2:$BB$400)*($U$2='Offer Statistics'!$BC$2:$BC$400),0)),"/")</f>
        <v>0</v>
      </c>
      <c r="Z9" s="375" cm="1">
        <f t="array" ref="Z9">IFERROR(INDEX('Offer Statistics'!BO$2:BO$400,MATCH(1,($A9='Offer Statistics'!$BB$2:$BB$400)*($U$2='Offer Statistics'!$BC$2:$BC$400),0)),"/")</f>
        <v>0</v>
      </c>
      <c r="AA9" s="375" cm="1">
        <f t="array" ref="AA9">IFERROR(INDEX('Offer Statistics'!BP$2:BP$400,MATCH(1,($A9='Offer Statistics'!$BB$2:$BB$400)*($U$2='Offer Statistics'!$BC$2:$BC$400),0)),"/")</f>
        <v>0</v>
      </c>
      <c r="AB9" s="580"/>
      <c r="AC9" s="365" cm="1">
        <f t="array" ref="AC9">IFERROR(INDEX('Offer Statistics'!$BI$2:$BI$400,MATCH(1,($A9='Offer Statistics'!$BB$2:$BB$400)*($U$2='Offer Statistics'!$BC$2:$BC$400),0)),"/")</f>
        <v>2715</v>
      </c>
      <c r="AD9" s="375" cm="1">
        <f t="array" ref="AD9">IFERROR(INDEX('Offer Statistics'!BD$2:BD$400,MATCH(1,($A9='Offer Statistics'!$BB$2:$BB$400)*($U$2='Offer Statistics'!$BC$2:$BC$400),0)),"/")</f>
        <v>583</v>
      </c>
      <c r="AE9" s="375" cm="1">
        <f t="array" ref="AE9">IFERROR(INDEX('Offer Statistics'!BE$2:BE$400,MATCH(1,($A9='Offer Statistics'!$BB$2:$BB$400)*($U$2='Offer Statistics'!$BC$2:$BC$400),0)),"/")</f>
        <v>398</v>
      </c>
      <c r="AF9" s="375" cm="1">
        <f t="array" ref="AF9">IFERROR(INDEX('Offer Statistics'!BF$2:BF$400,MATCH(1,($A9='Offer Statistics'!$BB$2:$BB$400)*($U$2='Offer Statistics'!$BC$2:$BC$400),0)),"/")</f>
        <v>546</v>
      </c>
      <c r="AG9" s="375" cm="1">
        <f t="array" ref="AG9">IFERROR(INDEX('Offer Statistics'!BG$2:BG$400,MATCH(1,($A9='Offer Statistics'!$BB$2:$BB$400)*($U$2='Offer Statistics'!$BC$2:$BC$400),0)),"/")</f>
        <v>645</v>
      </c>
      <c r="AH9" s="375" cm="1">
        <f t="array" ref="AH9">IFERROR(INDEX('Offer Statistics'!BH$2:BH$400,MATCH(1,($A9='Offer Statistics'!$BB$2:$BB$400)*($U$2='Offer Statistics'!$BC$2:$BC$400),0)),"/")</f>
        <v>543</v>
      </c>
      <c r="AI9" s="15"/>
      <c r="AJ9" s="354" t="str">
        <f t="shared" si="2"/>
        <v>JS4068</v>
      </c>
    </row>
    <row r="10" spans="1:36" s="10" customFormat="1" ht="18" customHeight="1" x14ac:dyDescent="0.3">
      <c r="A10" s="346" t="str">
        <f>'Reference Score Calculation'!A147</f>
        <v>JS4070</v>
      </c>
      <c r="B10" s="346" t="str">
        <f>'Reference Score Calculation'!C147</f>
        <v>文學院</v>
      </c>
      <c r="C10" s="346" t="str">
        <f>'Reference Score Calculation'!D147</f>
        <v>語言學</v>
      </c>
      <c r="D10" s="4" t="s">
        <v>2470</v>
      </c>
      <c r="E10" s="355" t="str">
        <f>'Reference Score Calculation'!E147</f>
        <v>Best 5</v>
      </c>
      <c r="F10" s="347">
        <f>'Reference Score Calculation'!F147</f>
        <v>27.5000000002</v>
      </c>
      <c r="G10" s="347">
        <f>'Reference Score Calculation'!G147</f>
        <v>26.0000000002</v>
      </c>
      <c r="H10" s="347">
        <f>'Reference Score Calculation'!H147</f>
        <v>23.00000000024</v>
      </c>
      <c r="I10" s="46">
        <f>計分版!H168</f>
        <v>3.9500000000000006E-9</v>
      </c>
      <c r="J10" s="7">
        <f t="shared" si="0"/>
        <v>-25.999999996250001</v>
      </c>
      <c r="K10" s="8">
        <f t="shared" si="1"/>
        <v>-6582278480.0632906</v>
      </c>
      <c r="L10" s="365">
        <f>入學要求!C156</f>
        <v>22</v>
      </c>
      <c r="M10" s="379">
        <f>入學要求!R156</f>
        <v>0</v>
      </c>
      <c r="N10" s="15"/>
      <c r="O10" s="422">
        <f>入學要求!D156</f>
        <v>3</v>
      </c>
      <c r="P10" s="422">
        <f>入學要求!E156</f>
        <v>3</v>
      </c>
      <c r="Q10" s="422">
        <f>入學要求!F156</f>
        <v>2</v>
      </c>
      <c r="R10" s="422">
        <f>入學要求!G156</f>
        <v>2</v>
      </c>
      <c r="S10" s="422">
        <f>入學要求!H156</f>
        <v>3</v>
      </c>
      <c r="T10" s="422">
        <f>入學要求!I156</f>
        <v>3</v>
      </c>
      <c r="U10" s="576"/>
      <c r="V10" s="365" cm="1">
        <f t="array" ref="V10">IFERROR(INDEX('Offer Statistics'!$BQ$2:$BQ$400,MATCH(1,($A10='Offer Statistics'!$BB$2:$BB$400)*($U$2='Offer Statistics'!$BC$2:$BC$400),0)),"/")</f>
        <v>20</v>
      </c>
      <c r="W10" s="375" cm="1">
        <f t="array" ref="W10">IFERROR(INDEX('Offer Statistics'!BL$2:BL$400,MATCH(1,($A10='Offer Statistics'!$BB$2:$BB$400)*($U$2='Offer Statistics'!$BC$2:$BC$400),0)),"/")</f>
        <v>20</v>
      </c>
      <c r="X10" s="375" cm="1">
        <f t="array" ref="X10">IFERROR(INDEX('Offer Statistics'!BM$2:BM$400,MATCH(1,($A10='Offer Statistics'!$BB$2:$BB$400)*($U$2='Offer Statistics'!$BC$2:$BC$400),0)),"/")</f>
        <v>0</v>
      </c>
      <c r="Y10" s="375" cm="1">
        <f t="array" ref="Y10">IFERROR(INDEX('Offer Statistics'!BN$2:BN$400,MATCH(1,($A10='Offer Statistics'!$BB$2:$BB$400)*($U$2='Offer Statistics'!$BC$2:$BC$400),0)),"/")</f>
        <v>0</v>
      </c>
      <c r="Z10" s="375" cm="1">
        <f t="array" ref="Z10">IFERROR(INDEX('Offer Statistics'!BO$2:BO$400,MATCH(1,($A10='Offer Statistics'!$BB$2:$BB$400)*($U$2='Offer Statistics'!$BC$2:$BC$400),0)),"/")</f>
        <v>0</v>
      </c>
      <c r="AA10" s="375" cm="1">
        <f t="array" ref="AA10">IFERROR(INDEX('Offer Statistics'!BP$2:BP$400,MATCH(1,($A10='Offer Statistics'!$BB$2:$BB$400)*($U$2='Offer Statistics'!$BC$2:$BC$400),0)),"/")</f>
        <v>0</v>
      </c>
      <c r="AB10" s="580"/>
      <c r="AC10" s="365" cm="1">
        <f t="array" ref="AC10">IFERROR(INDEX('Offer Statistics'!$BI$2:$BI$400,MATCH(1,($A10='Offer Statistics'!$BB$2:$BB$400)*($U$2='Offer Statistics'!$BC$2:$BC$400),0)),"/")</f>
        <v>1768</v>
      </c>
      <c r="AD10" s="375" cm="1">
        <f t="array" ref="AD10">IFERROR(INDEX('Offer Statistics'!BD$2:BD$400,MATCH(1,($A10='Offer Statistics'!$BB$2:$BB$400)*($U$2='Offer Statistics'!$BC$2:$BC$400),0)),"/")</f>
        <v>135</v>
      </c>
      <c r="AE10" s="375" cm="1">
        <f t="array" ref="AE10">IFERROR(INDEX('Offer Statistics'!BE$2:BE$400,MATCH(1,($A10='Offer Statistics'!$BB$2:$BB$400)*($U$2='Offer Statistics'!$BC$2:$BC$400),0)),"/")</f>
        <v>222</v>
      </c>
      <c r="AF10" s="375" cm="1">
        <f t="array" ref="AF10">IFERROR(INDEX('Offer Statistics'!BF$2:BF$400,MATCH(1,($A10='Offer Statistics'!$BB$2:$BB$400)*($U$2='Offer Statistics'!$BC$2:$BC$400),0)),"/")</f>
        <v>389</v>
      </c>
      <c r="AG10" s="375" cm="1">
        <f t="array" ref="AG10">IFERROR(INDEX('Offer Statistics'!BG$2:BG$400,MATCH(1,($A10='Offer Statistics'!$BB$2:$BB$400)*($U$2='Offer Statistics'!$BC$2:$BC$400),0)),"/")</f>
        <v>559</v>
      </c>
      <c r="AH10" s="375" cm="1">
        <f t="array" ref="AH10">IFERROR(INDEX('Offer Statistics'!BH$2:BH$400,MATCH(1,($A10='Offer Statistics'!$BB$2:$BB$400)*($U$2='Offer Statistics'!$BC$2:$BC$400),0)),"/")</f>
        <v>463</v>
      </c>
      <c r="AI10" s="15"/>
      <c r="AJ10" s="354" t="str">
        <f t="shared" si="2"/>
        <v>JS4070</v>
      </c>
    </row>
    <row r="11" spans="1:36" ht="18" customHeight="1" x14ac:dyDescent="0.3">
      <c r="A11" s="346" t="str">
        <f>'Reference Score Calculation'!A148</f>
        <v>JS4082</v>
      </c>
      <c r="B11" s="346" t="str">
        <f>'Reference Score Calculation'!C148</f>
        <v>文學院</v>
      </c>
      <c r="C11" s="346" t="str">
        <f>'Reference Score Calculation'!D148</f>
        <v>音樂</v>
      </c>
      <c r="D11" s="4" t="s">
        <v>2471</v>
      </c>
      <c r="E11" s="355" t="str">
        <f>'Reference Score Calculation'!E148</f>
        <v>Best 5</v>
      </c>
      <c r="F11" s="347">
        <f>'Reference Score Calculation'!F148</f>
        <v>27.500000000220002</v>
      </c>
      <c r="G11" s="347">
        <f>'Reference Score Calculation'!G148</f>
        <v>23.000000000260002</v>
      </c>
      <c r="H11" s="347">
        <f>'Reference Score Calculation'!H148</f>
        <v>20.00000000016</v>
      </c>
      <c r="I11" s="46">
        <f>計分版!H169</f>
        <v>3.9500000000000006E-9</v>
      </c>
      <c r="J11" s="7">
        <f t="shared" si="0"/>
        <v>-22.999999996310002</v>
      </c>
      <c r="K11" s="8">
        <f t="shared" si="1"/>
        <v>-5822784809.1924047</v>
      </c>
      <c r="L11" s="365">
        <f>入學要求!C157</f>
        <v>27</v>
      </c>
      <c r="M11" s="379">
        <f>入學要求!R157</f>
        <v>0</v>
      </c>
      <c r="O11" s="422">
        <f>入學要求!D157</f>
        <v>3</v>
      </c>
      <c r="P11" s="422">
        <f>入學要求!E157</f>
        <v>3</v>
      </c>
      <c r="Q11" s="422">
        <f>入學要求!F157</f>
        <v>2</v>
      </c>
      <c r="R11" s="422">
        <f>入學要求!G157</f>
        <v>2</v>
      </c>
      <c r="S11" s="422">
        <f>入學要求!H157</f>
        <v>3</v>
      </c>
      <c r="T11" s="422">
        <f>入學要求!I157</f>
        <v>3</v>
      </c>
      <c r="U11" s="576"/>
      <c r="V11" s="365" cm="1">
        <f t="array" ref="V11">IFERROR(INDEX('Offer Statistics'!$BQ$2:$BQ$400,MATCH(1,($A11='Offer Statistics'!$BB$2:$BB$400)*($U$2='Offer Statistics'!$BC$2:$BC$400),0)),"/")</f>
        <v>31</v>
      </c>
      <c r="W11" s="375" cm="1">
        <f t="array" ref="W11">IFERROR(INDEX('Offer Statistics'!BL$2:BL$400,MATCH(1,($A11='Offer Statistics'!$BB$2:$BB$400)*($U$2='Offer Statistics'!$BC$2:$BC$400),0)),"/")</f>
        <v>31</v>
      </c>
      <c r="X11" s="375" cm="1">
        <f t="array" ref="X11">IFERROR(INDEX('Offer Statistics'!BM$2:BM$400,MATCH(1,($A11='Offer Statistics'!$BB$2:$BB$400)*($U$2='Offer Statistics'!$BC$2:$BC$400),0)),"/")</f>
        <v>0</v>
      </c>
      <c r="Y11" s="375" cm="1">
        <f t="array" ref="Y11">IFERROR(INDEX('Offer Statistics'!BN$2:BN$400,MATCH(1,($A11='Offer Statistics'!$BB$2:$BB$400)*($U$2='Offer Statistics'!$BC$2:$BC$400),0)),"/")</f>
        <v>0</v>
      </c>
      <c r="Z11" s="375" cm="1">
        <f t="array" ref="Z11">IFERROR(INDEX('Offer Statistics'!BO$2:BO$400,MATCH(1,($A11='Offer Statistics'!$BB$2:$BB$400)*($U$2='Offer Statistics'!$BC$2:$BC$400),0)),"/")</f>
        <v>0</v>
      </c>
      <c r="AA11" s="375" cm="1">
        <f t="array" ref="AA11">IFERROR(INDEX('Offer Statistics'!BP$2:BP$400,MATCH(1,($A11='Offer Statistics'!$BB$2:$BB$400)*($U$2='Offer Statistics'!$BC$2:$BC$400),0)),"/")</f>
        <v>0</v>
      </c>
      <c r="AB11" s="580"/>
      <c r="AC11" s="365" cm="1">
        <f t="array" ref="AC11">IFERROR(INDEX('Offer Statistics'!$BI$2:$BI$400,MATCH(1,($A11='Offer Statistics'!$BB$2:$BB$400)*($U$2='Offer Statistics'!$BC$2:$BC$400),0)),"/")</f>
        <v>849</v>
      </c>
      <c r="AD11" s="375" cm="1">
        <f t="array" ref="AD11">IFERROR(INDEX('Offer Statistics'!BD$2:BD$400,MATCH(1,($A11='Offer Statistics'!$BB$2:$BB$400)*($U$2='Offer Statistics'!$BC$2:$BC$400),0)),"/")</f>
        <v>191</v>
      </c>
      <c r="AE11" s="375" cm="1">
        <f t="array" ref="AE11">IFERROR(INDEX('Offer Statistics'!BE$2:BE$400,MATCH(1,($A11='Offer Statistics'!$BB$2:$BB$400)*($U$2='Offer Statistics'!$BC$2:$BC$400),0)),"/")</f>
        <v>117</v>
      </c>
      <c r="AF11" s="375" cm="1">
        <f t="array" ref="AF11">IFERROR(INDEX('Offer Statistics'!BF$2:BF$400,MATCH(1,($A11='Offer Statistics'!$BB$2:$BB$400)*($U$2='Offer Statistics'!$BC$2:$BC$400),0)),"/")</f>
        <v>145</v>
      </c>
      <c r="AG11" s="375" cm="1">
        <f t="array" ref="AG11">IFERROR(INDEX('Offer Statistics'!BG$2:BG$400,MATCH(1,($A11='Offer Statistics'!$BB$2:$BB$400)*($U$2='Offer Statistics'!$BC$2:$BC$400),0)),"/")</f>
        <v>193</v>
      </c>
      <c r="AH11" s="375" cm="1">
        <f t="array" ref="AH11">IFERROR(INDEX('Offer Statistics'!BH$2:BH$400,MATCH(1,($A11='Offer Statistics'!$BB$2:$BB$400)*($U$2='Offer Statistics'!$BC$2:$BC$400),0)),"/")</f>
        <v>203</v>
      </c>
      <c r="AI11" s="15"/>
      <c r="AJ11" s="354" t="str">
        <f t="shared" si="2"/>
        <v>JS4082</v>
      </c>
    </row>
    <row r="12" spans="1:36" s="10" customFormat="1" ht="18" customHeight="1" x14ac:dyDescent="0.3">
      <c r="A12" s="346" t="str">
        <f>'Reference Score Calculation'!A149</f>
        <v>JS4094</v>
      </c>
      <c r="B12" s="346" t="str">
        <f>'Reference Score Calculation'!C149</f>
        <v>文學院</v>
      </c>
      <c r="C12" s="346" t="str">
        <f>'Reference Score Calculation'!D149</f>
        <v>哲學</v>
      </c>
      <c r="D12" s="4" t="s">
        <v>2472</v>
      </c>
      <c r="E12" s="355" t="str">
        <f>'Reference Score Calculation'!E149</f>
        <v>Best 5</v>
      </c>
      <c r="F12" s="347">
        <f>'Reference Score Calculation'!F149</f>
        <v>26.000000000250001</v>
      </c>
      <c r="G12" s="347">
        <f>'Reference Score Calculation'!G149</f>
        <v>26.000000000209997</v>
      </c>
      <c r="H12" s="347">
        <f>'Reference Score Calculation'!H149</f>
        <v>23.500000000209997</v>
      </c>
      <c r="I12" s="46">
        <f>計分版!H170</f>
        <v>2.9499999999999999E-9</v>
      </c>
      <c r="J12" s="7">
        <f t="shared" si="0"/>
        <v>-25.999999997259998</v>
      </c>
      <c r="K12" s="8">
        <f t="shared" si="1"/>
        <v>-8813559321.1050835</v>
      </c>
      <c r="L12" s="365">
        <f>入學要求!C158</f>
        <v>19</v>
      </c>
      <c r="M12" s="379">
        <f>入學要求!R158</f>
        <v>0</v>
      </c>
      <c r="N12" s="100"/>
      <c r="O12" s="422">
        <f>入學要求!D158</f>
        <v>3</v>
      </c>
      <c r="P12" s="422">
        <f>入學要求!E158</f>
        <v>3</v>
      </c>
      <c r="Q12" s="422">
        <f>入學要求!F158</f>
        <v>2</v>
      </c>
      <c r="R12" s="422">
        <f>入學要求!G158</f>
        <v>2</v>
      </c>
      <c r="S12" s="422">
        <f>入學要求!H158</f>
        <v>3</v>
      </c>
      <c r="T12" s="422">
        <f>入學要求!I158</f>
        <v>3</v>
      </c>
      <c r="U12" s="576"/>
      <c r="V12" s="365" cm="1">
        <f t="array" ref="V12">IFERROR(INDEX('Offer Statistics'!$BQ$2:$BQ$400,MATCH(1,($A12='Offer Statistics'!$BB$2:$BB$400)*($U$2='Offer Statistics'!$BC$2:$BC$400),0)),"/")</f>
        <v>22</v>
      </c>
      <c r="W12" s="375" cm="1">
        <f t="array" ref="W12">IFERROR(INDEX('Offer Statistics'!BL$2:BL$400,MATCH(1,($A12='Offer Statistics'!$BB$2:$BB$400)*($U$2='Offer Statistics'!$BC$2:$BC$400),0)),"/")</f>
        <v>22</v>
      </c>
      <c r="X12" s="375" cm="1">
        <f t="array" ref="X12">IFERROR(INDEX('Offer Statistics'!BM$2:BM$400,MATCH(1,($A12='Offer Statistics'!$BB$2:$BB$400)*($U$2='Offer Statistics'!$BC$2:$BC$400),0)),"/")</f>
        <v>0</v>
      </c>
      <c r="Y12" s="375" cm="1">
        <f t="array" ref="Y12">IFERROR(INDEX('Offer Statistics'!BN$2:BN$400,MATCH(1,($A12='Offer Statistics'!$BB$2:$BB$400)*($U$2='Offer Statistics'!$BC$2:$BC$400),0)),"/")</f>
        <v>0</v>
      </c>
      <c r="Z12" s="375" cm="1">
        <f t="array" ref="Z12">IFERROR(INDEX('Offer Statistics'!BO$2:BO$400,MATCH(1,($A12='Offer Statistics'!$BB$2:$BB$400)*($U$2='Offer Statistics'!$BC$2:$BC$400),0)),"/")</f>
        <v>0</v>
      </c>
      <c r="AA12" s="375" cm="1">
        <f t="array" ref="AA12">IFERROR(INDEX('Offer Statistics'!BP$2:BP$400,MATCH(1,($A12='Offer Statistics'!$BB$2:$BB$400)*($U$2='Offer Statistics'!$BC$2:$BC$400),0)),"/")</f>
        <v>0</v>
      </c>
      <c r="AB12" s="580"/>
      <c r="AC12" s="365" cm="1">
        <f t="array" ref="AC12">IFERROR(INDEX('Offer Statistics'!$BI$2:$BI$400,MATCH(1,($A12='Offer Statistics'!$BB$2:$BB$400)*($U$2='Offer Statistics'!$BC$2:$BC$400),0)),"/")</f>
        <v>2333</v>
      </c>
      <c r="AD12" s="375" cm="1">
        <f t="array" ref="AD12">IFERROR(INDEX('Offer Statistics'!BD$2:BD$400,MATCH(1,($A12='Offer Statistics'!$BB$2:$BB$400)*($U$2='Offer Statistics'!$BC$2:$BC$400),0)),"/")</f>
        <v>304</v>
      </c>
      <c r="AE12" s="375" cm="1">
        <f t="array" ref="AE12">IFERROR(INDEX('Offer Statistics'!BE$2:BE$400,MATCH(1,($A12='Offer Statistics'!$BB$2:$BB$400)*($U$2='Offer Statistics'!$BC$2:$BC$400),0)),"/")</f>
        <v>328</v>
      </c>
      <c r="AF12" s="375" cm="1">
        <f t="array" ref="AF12">IFERROR(INDEX('Offer Statistics'!BF$2:BF$400,MATCH(1,($A12='Offer Statistics'!$BB$2:$BB$400)*($U$2='Offer Statistics'!$BC$2:$BC$400),0)),"/")</f>
        <v>484</v>
      </c>
      <c r="AG12" s="375" cm="1">
        <f t="array" ref="AG12">IFERROR(INDEX('Offer Statistics'!BG$2:BG$400,MATCH(1,($A12='Offer Statistics'!$BB$2:$BB$400)*($U$2='Offer Statistics'!$BC$2:$BC$400),0)),"/")</f>
        <v>597</v>
      </c>
      <c r="AH12" s="375" cm="1">
        <f t="array" ref="AH12">IFERROR(INDEX('Offer Statistics'!BH$2:BH$400,MATCH(1,($A12='Offer Statistics'!$BB$2:$BB$400)*($U$2='Offer Statistics'!$BC$2:$BC$400),0)),"/")</f>
        <v>620</v>
      </c>
      <c r="AI12" s="15"/>
      <c r="AJ12" s="354" t="str">
        <f t="shared" si="2"/>
        <v>JS4094</v>
      </c>
    </row>
    <row r="13" spans="1:36" ht="18" customHeight="1" x14ac:dyDescent="0.3">
      <c r="A13" s="346" t="str">
        <f>'Reference Score Calculation'!A150</f>
        <v>JS4109</v>
      </c>
      <c r="B13" s="346" t="str">
        <f>'Reference Score Calculation'!C150</f>
        <v>文學院</v>
      </c>
      <c r="C13" s="346" t="str">
        <f>'Reference Score Calculation'!D150</f>
        <v>宗教研究</v>
      </c>
      <c r="D13" s="4" t="s">
        <v>2473</v>
      </c>
      <c r="E13" s="355" t="str">
        <f>'Reference Score Calculation'!E150</f>
        <v>Best 5</v>
      </c>
      <c r="F13" s="347">
        <f>'Reference Score Calculation'!F150</f>
        <v>22.0000000002</v>
      </c>
      <c r="G13" s="347">
        <f>'Reference Score Calculation'!G150</f>
        <v>21.500000000209997</v>
      </c>
      <c r="H13" s="347">
        <f>'Reference Score Calculation'!H150</f>
        <v>21.50000000016</v>
      </c>
      <c r="I13" s="46">
        <f>計分版!H171</f>
        <v>3.9500000000000006E-9</v>
      </c>
      <c r="J13" s="7">
        <f t="shared" si="0"/>
        <v>-21.499999996259998</v>
      </c>
      <c r="K13" s="8">
        <f t="shared" si="1"/>
        <v>-5443037973.7367077</v>
      </c>
      <c r="L13" s="580" t="str">
        <f>入學要求!C159</f>
        <v>18*</v>
      </c>
      <c r="M13" s="379">
        <f>入學要求!R159</f>
        <v>0</v>
      </c>
      <c r="N13" s="27"/>
      <c r="O13" s="422">
        <f>入學要求!D159</f>
        <v>3</v>
      </c>
      <c r="P13" s="422">
        <f>入學要求!E159</f>
        <v>3</v>
      </c>
      <c r="Q13" s="422">
        <f>入學要求!F159</f>
        <v>2</v>
      </c>
      <c r="R13" s="422">
        <f>入學要求!G159</f>
        <v>2</v>
      </c>
      <c r="S13" s="422">
        <f>入學要求!H159</f>
        <v>3</v>
      </c>
      <c r="T13" s="422">
        <f>入學要求!I159</f>
        <v>3</v>
      </c>
      <c r="U13" s="576"/>
      <c r="V13" s="365" cm="1">
        <f t="array" ref="V13">IFERROR(INDEX('Offer Statistics'!$BQ$2:$BQ$400,MATCH(1,($A13='Offer Statistics'!$BB$2:$BB$400)*($U$2='Offer Statistics'!$BC$2:$BC$400),0)),"/")</f>
        <v>17</v>
      </c>
      <c r="W13" s="375" cm="1">
        <f t="array" ref="W13">IFERROR(INDEX('Offer Statistics'!BL$2:BL$400,MATCH(1,($A13='Offer Statistics'!$BB$2:$BB$400)*($U$2='Offer Statistics'!$BC$2:$BC$400),0)),"/")</f>
        <v>17</v>
      </c>
      <c r="X13" s="375" cm="1">
        <f t="array" ref="X13">IFERROR(INDEX('Offer Statistics'!BM$2:BM$400,MATCH(1,($A13='Offer Statistics'!$BB$2:$BB$400)*($U$2='Offer Statistics'!$BC$2:$BC$400),0)),"/")</f>
        <v>0</v>
      </c>
      <c r="Y13" s="375" cm="1">
        <f t="array" ref="Y13">IFERROR(INDEX('Offer Statistics'!BN$2:BN$400,MATCH(1,($A13='Offer Statistics'!$BB$2:$BB$400)*($U$2='Offer Statistics'!$BC$2:$BC$400),0)),"/")</f>
        <v>0</v>
      </c>
      <c r="Z13" s="375" cm="1">
        <f t="array" ref="Z13">IFERROR(INDEX('Offer Statistics'!BO$2:BO$400,MATCH(1,($A13='Offer Statistics'!$BB$2:$BB$400)*($U$2='Offer Statistics'!$BC$2:$BC$400),0)),"/")</f>
        <v>0</v>
      </c>
      <c r="AA13" s="375" cm="1">
        <f t="array" ref="AA13">IFERROR(INDEX('Offer Statistics'!BP$2:BP$400,MATCH(1,($A13='Offer Statistics'!$BB$2:$BB$400)*($U$2='Offer Statistics'!$BC$2:$BC$400),0)),"/")</f>
        <v>0</v>
      </c>
      <c r="AB13" s="580"/>
      <c r="AC13" s="365" cm="1">
        <f t="array" ref="AC13">IFERROR(INDEX('Offer Statistics'!$BI$2:$BI$400,MATCH(1,($A13='Offer Statistics'!$BB$2:$BB$400)*($U$2='Offer Statistics'!$BC$2:$BC$400),0)),"/")</f>
        <v>850</v>
      </c>
      <c r="AD13" s="375" cm="1">
        <f t="array" ref="AD13">IFERROR(INDEX('Offer Statistics'!BD$2:BD$400,MATCH(1,($A13='Offer Statistics'!$BB$2:$BB$400)*($U$2='Offer Statistics'!$BC$2:$BC$400),0)),"/")</f>
        <v>156</v>
      </c>
      <c r="AE13" s="375" cm="1">
        <f t="array" ref="AE13">IFERROR(INDEX('Offer Statistics'!BE$2:BE$400,MATCH(1,($A13='Offer Statistics'!$BB$2:$BB$400)*($U$2='Offer Statistics'!$BC$2:$BC$400),0)),"/")</f>
        <v>94</v>
      </c>
      <c r="AF13" s="375" cm="1">
        <f t="array" ref="AF13">IFERROR(INDEX('Offer Statistics'!BF$2:BF$400,MATCH(1,($A13='Offer Statistics'!$BB$2:$BB$400)*($U$2='Offer Statistics'!$BC$2:$BC$400),0)),"/")</f>
        <v>157</v>
      </c>
      <c r="AG13" s="375" cm="1">
        <f t="array" ref="AG13">IFERROR(INDEX('Offer Statistics'!BG$2:BG$400,MATCH(1,($A13='Offer Statistics'!$BB$2:$BB$400)*($U$2='Offer Statistics'!$BC$2:$BC$400),0)),"/")</f>
        <v>206</v>
      </c>
      <c r="AH13" s="375" cm="1">
        <f t="array" ref="AH13">IFERROR(INDEX('Offer Statistics'!BH$2:BH$400,MATCH(1,($A13='Offer Statistics'!$BB$2:$BB$400)*($U$2='Offer Statistics'!$BC$2:$BC$400),0)),"/")</f>
        <v>237</v>
      </c>
      <c r="AI13" s="15"/>
      <c r="AJ13" s="354" t="str">
        <f t="shared" si="2"/>
        <v>JS4109</v>
      </c>
    </row>
    <row r="14" spans="1:36" s="10" customFormat="1" ht="18" customHeight="1" x14ac:dyDescent="0.3">
      <c r="A14" s="346" t="str">
        <f>'Reference Score Calculation'!A151</f>
        <v>JS4111</v>
      </c>
      <c r="B14" s="346" t="str">
        <f>'Reference Score Calculation'!C151</f>
        <v>文學院</v>
      </c>
      <c r="C14" s="346" t="str">
        <f>'Reference Score Calculation'!D151</f>
        <v>神學</v>
      </c>
      <c r="D14" s="4" t="s">
        <v>806</v>
      </c>
      <c r="E14" s="355" t="str">
        <f>'Reference Score Calculation'!E151</f>
        <v>Best 5</v>
      </c>
      <c r="F14" s="347" t="str">
        <f>'Reference Score Calculation'!F151</f>
        <v>/</v>
      </c>
      <c r="G14" s="347" t="str">
        <f>'Reference Score Calculation'!G151</f>
        <v>/</v>
      </c>
      <c r="H14" s="347" t="str">
        <f>'Reference Score Calculation'!H151</f>
        <v>/</v>
      </c>
      <c r="I14" s="46">
        <f>計分版!H172</f>
        <v>0</v>
      </c>
      <c r="J14" s="7" t="s">
        <v>1978</v>
      </c>
      <c r="K14" s="8" t="s">
        <v>1978</v>
      </c>
      <c r="L14" s="580"/>
      <c r="M14" s="379">
        <f>入學要求!R160</f>
        <v>0</v>
      </c>
      <c r="N14" s="100"/>
      <c r="O14" s="422">
        <f>入學要求!D160</f>
        <v>3</v>
      </c>
      <c r="P14" s="422">
        <f>入學要求!E160</f>
        <v>3</v>
      </c>
      <c r="Q14" s="422">
        <f>入學要求!F160</f>
        <v>2</v>
      </c>
      <c r="R14" s="422">
        <f>入學要求!G160</f>
        <v>2</v>
      </c>
      <c r="S14" s="422">
        <f>入學要求!H160</f>
        <v>3</v>
      </c>
      <c r="T14" s="422">
        <f>入學要求!I160</f>
        <v>3</v>
      </c>
      <c r="U14" s="576"/>
      <c r="V14" s="365" cm="1">
        <f t="array" ref="V14">IFERROR(INDEX('Offer Statistics'!$BQ$2:$BQ$400,MATCH(1,($A14='Offer Statistics'!$BB$2:$BB$400)*($U$2='Offer Statistics'!$BC$2:$BC$400),0)),"/")</f>
        <v>1</v>
      </c>
      <c r="W14" s="375" cm="1">
        <f t="array" ref="W14">IFERROR(INDEX('Offer Statistics'!BL$2:BL$400,MATCH(1,($A14='Offer Statistics'!$BB$2:$BB$400)*($U$2='Offer Statistics'!$BC$2:$BC$400),0)),"/")</f>
        <v>1</v>
      </c>
      <c r="X14" s="375" cm="1">
        <f t="array" ref="X14">IFERROR(INDEX('Offer Statistics'!BM$2:BM$400,MATCH(1,($A14='Offer Statistics'!$BB$2:$BB$400)*($U$2='Offer Statistics'!$BC$2:$BC$400),0)),"/")</f>
        <v>0</v>
      </c>
      <c r="Y14" s="375" cm="1">
        <f t="array" ref="Y14">IFERROR(INDEX('Offer Statistics'!BN$2:BN$400,MATCH(1,($A14='Offer Statistics'!$BB$2:$BB$400)*($U$2='Offer Statistics'!$BC$2:$BC$400),0)),"/")</f>
        <v>0</v>
      </c>
      <c r="Z14" s="375" cm="1">
        <f t="array" ref="Z14">IFERROR(INDEX('Offer Statistics'!BO$2:BO$400,MATCH(1,($A14='Offer Statistics'!$BB$2:$BB$400)*($U$2='Offer Statistics'!$BC$2:$BC$400),0)),"/")</f>
        <v>0</v>
      </c>
      <c r="AA14" s="375" cm="1">
        <f t="array" ref="AA14">IFERROR(INDEX('Offer Statistics'!BP$2:BP$400,MATCH(1,($A14='Offer Statistics'!$BB$2:$BB$400)*($U$2='Offer Statistics'!$BC$2:$BC$400),0)),"/")</f>
        <v>0</v>
      </c>
      <c r="AB14" s="580"/>
      <c r="AC14" s="365" cm="1">
        <f t="array" ref="AC14">IFERROR(INDEX('Offer Statistics'!$BI$2:$BI$400,MATCH(1,($A14='Offer Statistics'!$BB$2:$BB$400)*($U$2='Offer Statistics'!$BC$2:$BC$400),0)),"/")</f>
        <v>461</v>
      </c>
      <c r="AD14" s="375" cm="1">
        <f t="array" ref="AD14">IFERROR(INDEX('Offer Statistics'!BD$2:BD$400,MATCH(1,($A14='Offer Statistics'!$BB$2:$BB$400)*($U$2='Offer Statistics'!$BC$2:$BC$400),0)),"/")</f>
        <v>37</v>
      </c>
      <c r="AE14" s="375" cm="1">
        <f t="array" ref="AE14">IFERROR(INDEX('Offer Statistics'!BE$2:BE$400,MATCH(1,($A14='Offer Statistics'!$BB$2:$BB$400)*($U$2='Offer Statistics'!$BC$2:$BC$400),0)),"/")</f>
        <v>35</v>
      </c>
      <c r="AF14" s="375" cm="1">
        <f t="array" ref="AF14">IFERROR(INDEX('Offer Statistics'!BF$2:BF$400,MATCH(1,($A14='Offer Statistics'!$BB$2:$BB$400)*($U$2='Offer Statistics'!$BC$2:$BC$400),0)),"/")</f>
        <v>77</v>
      </c>
      <c r="AG14" s="375" cm="1">
        <f t="array" ref="AG14">IFERROR(INDEX('Offer Statistics'!BG$2:BG$400,MATCH(1,($A14='Offer Statistics'!$BB$2:$BB$400)*($U$2='Offer Statistics'!$BC$2:$BC$400),0)),"/")</f>
        <v>130</v>
      </c>
      <c r="AH14" s="375" cm="1">
        <f t="array" ref="AH14">IFERROR(INDEX('Offer Statistics'!BH$2:BH$400,MATCH(1,($A14='Offer Statistics'!$BB$2:$BB$400)*($U$2='Offer Statistics'!$BC$2:$BC$400),0)),"/")</f>
        <v>182</v>
      </c>
      <c r="AI14" s="15"/>
      <c r="AJ14" s="354" t="str">
        <f t="shared" si="2"/>
        <v>JS4111</v>
      </c>
    </row>
    <row r="15" spans="1:36" ht="18" customHeight="1" x14ac:dyDescent="0.3">
      <c r="A15" s="346" t="str">
        <f>'Reference Score Calculation'!A152</f>
        <v>JS4123</v>
      </c>
      <c r="B15" s="346" t="str">
        <f>'Reference Score Calculation'!C152</f>
        <v>文學院</v>
      </c>
      <c r="C15" s="346" t="str">
        <f>'Reference Score Calculation'!D152</f>
        <v>翻譯</v>
      </c>
      <c r="D15" s="4" t="s">
        <v>811</v>
      </c>
      <c r="E15" s="355" t="str">
        <f>'Reference Score Calculation'!E152</f>
        <v>Best 5</v>
      </c>
      <c r="F15" s="347">
        <f>'Reference Score Calculation'!F152</f>
        <v>32.000000000189999</v>
      </c>
      <c r="G15" s="347">
        <f>'Reference Score Calculation'!G152</f>
        <v>26.000000000259998</v>
      </c>
      <c r="H15" s="347">
        <f>'Reference Score Calculation'!H152</f>
        <v>24.5000000002</v>
      </c>
      <c r="I15" s="46">
        <f>計分版!H173</f>
        <v>3.9500000000000006E-9</v>
      </c>
      <c r="J15" s="7">
        <f t="shared" ref="J15:J62" si="3">IF(J$1="差距(Median)",I15-G15,IF(J$1="差距(UQ)",I15-F15,IF(J$1="差距(LQ)",I15-H15)))</f>
        <v>-25.999999996309999</v>
      </c>
      <c r="K15" s="8">
        <f t="shared" ref="K15:K62" si="4">IF(J$1="差距(Median)",(I15-G15)/I15,IF(J$1="差距(UQ)",(I15-F15)/I15,IF(J$1="差距(LQ)",(I15-H15)/I15)))</f>
        <v>-6582278480.0784798</v>
      </c>
      <c r="L15" s="365">
        <f>入學要求!C161</f>
        <v>32</v>
      </c>
      <c r="M15" s="379">
        <f>入學要求!R161</f>
        <v>0</v>
      </c>
      <c r="O15" s="422">
        <f>入學要求!D161</f>
        <v>3</v>
      </c>
      <c r="P15" s="422">
        <f>入學要求!E161</f>
        <v>3</v>
      </c>
      <c r="Q15" s="422">
        <f>入學要求!F161</f>
        <v>2</v>
      </c>
      <c r="R15" s="422">
        <f>入學要求!G161</f>
        <v>2</v>
      </c>
      <c r="S15" s="422">
        <f>入學要求!H161</f>
        <v>3</v>
      </c>
      <c r="T15" s="422">
        <f>入學要求!I161</f>
        <v>3</v>
      </c>
      <c r="U15" s="576"/>
      <c r="V15" s="365" cm="1">
        <f t="array" ref="V15">IFERROR(INDEX('Offer Statistics'!$BQ$2:$BQ$400,MATCH(1,($A15='Offer Statistics'!$BB$2:$BB$400)*($U$2='Offer Statistics'!$BC$2:$BC$400),0)),"/")</f>
        <v>30</v>
      </c>
      <c r="W15" s="375" cm="1">
        <f t="array" ref="W15">IFERROR(INDEX('Offer Statistics'!BL$2:BL$400,MATCH(1,($A15='Offer Statistics'!$BB$2:$BB$400)*($U$2='Offer Statistics'!$BC$2:$BC$400),0)),"/")</f>
        <v>30</v>
      </c>
      <c r="X15" s="375" cm="1">
        <f t="array" ref="X15">IFERROR(INDEX('Offer Statistics'!BM$2:BM$400,MATCH(1,($A15='Offer Statistics'!$BB$2:$BB$400)*($U$2='Offer Statistics'!$BC$2:$BC$400),0)),"/")</f>
        <v>0</v>
      </c>
      <c r="Y15" s="375" cm="1">
        <f t="array" ref="Y15">IFERROR(INDEX('Offer Statistics'!BN$2:BN$400,MATCH(1,($A15='Offer Statistics'!$BB$2:$BB$400)*($U$2='Offer Statistics'!$BC$2:$BC$400),0)),"/")</f>
        <v>0</v>
      </c>
      <c r="Z15" s="375" cm="1">
        <f t="array" ref="Z15">IFERROR(INDEX('Offer Statistics'!BO$2:BO$400,MATCH(1,($A15='Offer Statistics'!$BB$2:$BB$400)*($U$2='Offer Statistics'!$BC$2:$BC$400),0)),"/")</f>
        <v>0</v>
      </c>
      <c r="AA15" s="375" cm="1">
        <f t="array" ref="AA15">IFERROR(INDEX('Offer Statistics'!BP$2:BP$400,MATCH(1,($A15='Offer Statistics'!$BB$2:$BB$400)*($U$2='Offer Statistics'!$BC$2:$BC$400),0)),"/")</f>
        <v>0</v>
      </c>
      <c r="AB15" s="580"/>
      <c r="AC15" s="365" cm="1">
        <f t="array" ref="AC15">IFERROR(INDEX('Offer Statistics'!$BI$2:$BI$400,MATCH(1,($A15='Offer Statistics'!$BB$2:$BB$400)*($U$2='Offer Statistics'!$BC$2:$BC$400),0)),"/")</f>
        <v>1841</v>
      </c>
      <c r="AD15" s="375" cm="1">
        <f t="array" ref="AD15">IFERROR(INDEX('Offer Statistics'!BD$2:BD$400,MATCH(1,($A15='Offer Statistics'!$BB$2:$BB$400)*($U$2='Offer Statistics'!$BC$2:$BC$400),0)),"/")</f>
        <v>153</v>
      </c>
      <c r="AE15" s="375" cm="1">
        <f t="array" ref="AE15">IFERROR(INDEX('Offer Statistics'!BE$2:BE$400,MATCH(1,($A15='Offer Statistics'!$BB$2:$BB$400)*($U$2='Offer Statistics'!$BC$2:$BC$400),0)),"/")</f>
        <v>222</v>
      </c>
      <c r="AF15" s="375" cm="1">
        <f t="array" ref="AF15">IFERROR(INDEX('Offer Statistics'!BF$2:BF$400,MATCH(1,($A15='Offer Statistics'!$BB$2:$BB$400)*($U$2='Offer Statistics'!$BC$2:$BC$400),0)),"/")</f>
        <v>415</v>
      </c>
      <c r="AG15" s="375" cm="1">
        <f t="array" ref="AG15">IFERROR(INDEX('Offer Statistics'!BG$2:BG$400,MATCH(1,($A15='Offer Statistics'!$BB$2:$BB$400)*($U$2='Offer Statistics'!$BC$2:$BC$400),0)),"/")</f>
        <v>521</v>
      </c>
      <c r="AH15" s="375" cm="1">
        <f t="array" ref="AH15">IFERROR(INDEX('Offer Statistics'!BH$2:BH$400,MATCH(1,($A15='Offer Statistics'!$BB$2:$BB$400)*($U$2='Offer Statistics'!$BC$2:$BC$400),0)),"/")</f>
        <v>530</v>
      </c>
      <c r="AI15" s="15"/>
      <c r="AJ15" s="354" t="str">
        <f t="shared" si="2"/>
        <v>JS4123</v>
      </c>
    </row>
    <row r="16" spans="1:36" s="10" customFormat="1" ht="18" customHeight="1" x14ac:dyDescent="0.3">
      <c r="A16" s="346" t="str">
        <f>'Reference Score Calculation'!A153</f>
        <v>JS4136</v>
      </c>
      <c r="B16" s="346" t="str">
        <f>'Reference Score Calculation'!C153</f>
        <v>文學院</v>
      </c>
      <c r="C16" s="346" t="str">
        <f>'Reference Score Calculation'!D153</f>
        <v>中國研究</v>
      </c>
      <c r="D16" s="4" t="s">
        <v>2474</v>
      </c>
      <c r="E16" s="376" t="str">
        <f>'Reference Score Calculation'!E153</f>
        <v>Best 5</v>
      </c>
      <c r="F16" s="347">
        <f>'Reference Score Calculation'!F153</f>
        <v>22.000000000209997</v>
      </c>
      <c r="G16" s="347">
        <f>'Reference Score Calculation'!G153</f>
        <v>21.5000000002</v>
      </c>
      <c r="H16" s="347">
        <f>'Reference Score Calculation'!H153</f>
        <v>19.5000000002</v>
      </c>
      <c r="I16" s="46">
        <f>計分版!H174</f>
        <v>3.9500000000000006E-9</v>
      </c>
      <c r="J16" s="7">
        <f t="shared" si="3"/>
        <v>-21.499999996250001</v>
      </c>
      <c r="K16" s="8">
        <f t="shared" si="4"/>
        <v>-5443037973.7341766</v>
      </c>
      <c r="L16" s="365">
        <f>入學要求!C162</f>
        <v>10</v>
      </c>
      <c r="M16" s="379">
        <f>入學要求!R162</f>
        <v>0</v>
      </c>
      <c r="N16" s="27"/>
      <c r="O16" s="422">
        <f>入學要求!D162</f>
        <v>3</v>
      </c>
      <c r="P16" s="422">
        <f>入學要求!E162</f>
        <v>3</v>
      </c>
      <c r="Q16" s="422">
        <f>入學要求!F162</f>
        <v>2</v>
      </c>
      <c r="R16" s="422">
        <f>入學要求!G162</f>
        <v>2</v>
      </c>
      <c r="S16" s="422">
        <f>入學要求!H162</f>
        <v>3</v>
      </c>
      <c r="T16" s="422">
        <f>入學要求!I162</f>
        <v>3</v>
      </c>
      <c r="U16" s="576"/>
      <c r="V16" s="365" cm="1">
        <f t="array" ref="V16">IFERROR(INDEX('Offer Statistics'!$BQ$2:$BQ$400,MATCH(1,($A16='Offer Statistics'!$BB$2:$BB$400)*($U$2='Offer Statistics'!$BC$2:$BC$400),0)),"/")</f>
        <v>17</v>
      </c>
      <c r="W16" s="375" cm="1">
        <f t="array" ref="W16">IFERROR(INDEX('Offer Statistics'!BL$2:BL$400,MATCH(1,($A16='Offer Statistics'!$BB$2:$BB$400)*($U$2='Offer Statistics'!$BC$2:$BC$400),0)),"/")</f>
        <v>17</v>
      </c>
      <c r="X16" s="375" cm="1">
        <f t="array" ref="X16">IFERROR(INDEX('Offer Statistics'!BM$2:BM$400,MATCH(1,($A16='Offer Statistics'!$BB$2:$BB$400)*($U$2='Offer Statistics'!$BC$2:$BC$400),0)),"/")</f>
        <v>0</v>
      </c>
      <c r="Y16" s="375" cm="1">
        <f t="array" ref="Y16">IFERROR(INDEX('Offer Statistics'!BN$2:BN$400,MATCH(1,($A16='Offer Statistics'!$BB$2:$BB$400)*($U$2='Offer Statistics'!$BC$2:$BC$400),0)),"/")</f>
        <v>0</v>
      </c>
      <c r="Z16" s="375" cm="1">
        <f t="array" ref="Z16">IFERROR(INDEX('Offer Statistics'!BO$2:BO$400,MATCH(1,($A16='Offer Statistics'!$BB$2:$BB$400)*($U$2='Offer Statistics'!$BC$2:$BC$400),0)),"/")</f>
        <v>0</v>
      </c>
      <c r="AA16" s="375" cm="1">
        <f t="array" ref="AA16">IFERROR(INDEX('Offer Statistics'!BP$2:BP$400,MATCH(1,($A16='Offer Statistics'!$BB$2:$BB$400)*($U$2='Offer Statistics'!$BC$2:$BC$400),0)),"/")</f>
        <v>0</v>
      </c>
      <c r="AB16" s="580"/>
      <c r="AC16" s="365" cm="1">
        <f t="array" ref="AC16">IFERROR(INDEX('Offer Statistics'!$BI$2:$BI$400,MATCH(1,($A16='Offer Statistics'!$BB$2:$BB$400)*($U$2='Offer Statistics'!$BC$2:$BC$400),0)),"/")</f>
        <v>1218</v>
      </c>
      <c r="AD16" s="375" cm="1">
        <f t="array" ref="AD16">IFERROR(INDEX('Offer Statistics'!BD$2:BD$400,MATCH(1,($A16='Offer Statistics'!$BB$2:$BB$400)*($U$2='Offer Statistics'!$BC$2:$BC$400),0)),"/")</f>
        <v>112</v>
      </c>
      <c r="AE16" s="375" cm="1">
        <f t="array" ref="AE16">IFERROR(INDEX('Offer Statistics'!BE$2:BE$400,MATCH(1,($A16='Offer Statistics'!$BB$2:$BB$400)*($U$2='Offer Statistics'!$BC$2:$BC$400),0)),"/")</f>
        <v>148</v>
      </c>
      <c r="AF16" s="375" cm="1">
        <f t="array" ref="AF16">IFERROR(INDEX('Offer Statistics'!BF$2:BF$400,MATCH(1,($A16='Offer Statistics'!$BB$2:$BB$400)*($U$2='Offer Statistics'!$BC$2:$BC$400),0)),"/")</f>
        <v>288</v>
      </c>
      <c r="AG16" s="375" cm="1">
        <f t="array" ref="AG16">IFERROR(INDEX('Offer Statistics'!BG$2:BG$400,MATCH(1,($A16='Offer Statistics'!$BB$2:$BB$400)*($U$2='Offer Statistics'!$BC$2:$BC$400),0)),"/")</f>
        <v>367</v>
      </c>
      <c r="AH16" s="375" cm="1">
        <f t="array" ref="AH16">IFERROR(INDEX('Offer Statistics'!BH$2:BH$400,MATCH(1,($A16='Offer Statistics'!$BB$2:$BB$400)*($U$2='Offer Statistics'!$BC$2:$BC$400),0)),"/")</f>
        <v>303</v>
      </c>
      <c r="AI16" s="15"/>
      <c r="AJ16" s="354" t="str">
        <f t="shared" si="2"/>
        <v>JS4136</v>
      </c>
    </row>
    <row r="17" spans="1:36" ht="18" customHeight="1" x14ac:dyDescent="0.3">
      <c r="A17" s="346" t="str">
        <f>'Reference Score Calculation'!A154</f>
        <v>JS4202</v>
      </c>
      <c r="B17" s="346" t="str">
        <f>'Reference Score Calculation'!C154</f>
        <v>商學院</v>
      </c>
      <c r="C17" s="346" t="str">
        <f>'Reference Score Calculation'!D154</f>
        <v>工商管理學士綜合課程</v>
      </c>
      <c r="D17" s="4" t="s">
        <v>2475</v>
      </c>
      <c r="E17" s="355" t="str">
        <f>'Reference Score Calculation'!E154</f>
        <v>Best 5</v>
      </c>
      <c r="F17" s="347">
        <f>'Reference Score Calculation'!F154</f>
        <v>27.5000000002</v>
      </c>
      <c r="G17" s="347">
        <f>'Reference Score Calculation'!G154</f>
        <v>24.500000000229999</v>
      </c>
      <c r="H17" s="347">
        <f>'Reference Score Calculation'!H154</f>
        <v>24.5000000002</v>
      </c>
      <c r="I17" s="46">
        <f>計分版!H175</f>
        <v>3.9500000000000006E-9</v>
      </c>
      <c r="J17" s="7">
        <f t="shared" si="3"/>
        <v>-24.49999999628</v>
      </c>
      <c r="K17" s="8">
        <f t="shared" si="4"/>
        <v>-6202531644.6278467</v>
      </c>
      <c r="L17" s="365">
        <f>入學要求!C163</f>
        <v>222</v>
      </c>
      <c r="M17" s="379">
        <f>入學要求!R163</f>
        <v>0</v>
      </c>
      <c r="N17" s="27"/>
      <c r="O17" s="422">
        <f>入學要求!D163</f>
        <v>3</v>
      </c>
      <c r="P17" s="422">
        <f>入學要求!E163</f>
        <v>3</v>
      </c>
      <c r="Q17" s="422">
        <f>入學要求!F163</f>
        <v>2</v>
      </c>
      <c r="R17" s="422">
        <f>入學要求!G163</f>
        <v>2</v>
      </c>
      <c r="S17" s="422">
        <f>入學要求!H163</f>
        <v>3</v>
      </c>
      <c r="T17" s="422">
        <f>入學要求!I163</f>
        <v>3</v>
      </c>
      <c r="U17" s="576"/>
      <c r="V17" s="365" cm="1">
        <f t="array" ref="V17">IFERROR(INDEX('Offer Statistics'!$BQ$2:$BQ$400,MATCH(1,($A17='Offer Statistics'!$BB$2:$BB$400)*($U$2='Offer Statistics'!$BC$2:$BC$400),0)),"/")</f>
        <v>273</v>
      </c>
      <c r="W17" s="375" cm="1">
        <f t="array" ref="W17">IFERROR(INDEX('Offer Statistics'!BL$2:BL$400,MATCH(1,($A17='Offer Statistics'!$BB$2:$BB$400)*($U$2='Offer Statistics'!$BC$2:$BC$400),0)),"/")</f>
        <v>273</v>
      </c>
      <c r="X17" s="375" cm="1">
        <f t="array" ref="X17">IFERROR(INDEX('Offer Statistics'!BM$2:BM$400,MATCH(1,($A17='Offer Statistics'!$BB$2:$BB$400)*($U$2='Offer Statistics'!$BC$2:$BC$400),0)),"/")</f>
        <v>0</v>
      </c>
      <c r="Y17" s="375" cm="1">
        <f t="array" ref="Y17">IFERROR(INDEX('Offer Statistics'!BN$2:BN$400,MATCH(1,($A17='Offer Statistics'!$BB$2:$BB$400)*($U$2='Offer Statistics'!$BC$2:$BC$400),0)),"/")</f>
        <v>0</v>
      </c>
      <c r="Z17" s="375" cm="1">
        <f t="array" ref="Z17">IFERROR(INDEX('Offer Statistics'!BO$2:BO$400,MATCH(1,($A17='Offer Statistics'!$BB$2:$BB$400)*($U$2='Offer Statistics'!$BC$2:$BC$400),0)),"/")</f>
        <v>0</v>
      </c>
      <c r="AA17" s="375" cm="1">
        <f t="array" ref="AA17">IFERROR(INDEX('Offer Statistics'!BP$2:BP$400,MATCH(1,($A17='Offer Statistics'!$BB$2:$BB$400)*($U$2='Offer Statistics'!$BC$2:$BC$400),0)),"/")</f>
        <v>0</v>
      </c>
      <c r="AB17" s="580"/>
      <c r="AC17" s="365" cm="1">
        <f t="array" ref="AC17">IFERROR(INDEX('Offer Statistics'!$BI$2:$BI$400,MATCH(1,($A17='Offer Statistics'!$BB$2:$BB$400)*($U$2='Offer Statistics'!$BC$2:$BC$400),0)),"/")</f>
        <v>4566</v>
      </c>
      <c r="AD17" s="375" cm="1">
        <f t="array" ref="AD17">IFERROR(INDEX('Offer Statistics'!BD$2:BD$400,MATCH(1,($A17='Offer Statistics'!$BB$2:$BB$400)*($U$2='Offer Statistics'!$BC$2:$BC$400),0)),"/")</f>
        <v>1365</v>
      </c>
      <c r="AE17" s="375" cm="1">
        <f t="array" ref="AE17">IFERROR(INDEX('Offer Statistics'!BE$2:BE$400,MATCH(1,($A17='Offer Statistics'!$BB$2:$BB$400)*($U$2='Offer Statistics'!$BC$2:$BC$400),0)),"/")</f>
        <v>592</v>
      </c>
      <c r="AF17" s="375" cm="1">
        <f t="array" ref="AF17">IFERROR(INDEX('Offer Statistics'!BF$2:BF$400,MATCH(1,($A17='Offer Statistics'!$BB$2:$BB$400)*($U$2='Offer Statistics'!$BC$2:$BC$400),0)),"/")</f>
        <v>827</v>
      </c>
      <c r="AG17" s="375" cm="1">
        <f t="array" ref="AG17">IFERROR(INDEX('Offer Statistics'!BG$2:BG$400,MATCH(1,($A17='Offer Statistics'!$BB$2:$BB$400)*($U$2='Offer Statistics'!$BC$2:$BC$400),0)),"/")</f>
        <v>995</v>
      </c>
      <c r="AH17" s="375" cm="1">
        <f t="array" ref="AH17">IFERROR(INDEX('Offer Statistics'!BH$2:BH$400,MATCH(1,($A17='Offer Statistics'!$BB$2:$BB$400)*($U$2='Offer Statistics'!$BC$2:$BC$400),0)),"/")</f>
        <v>787</v>
      </c>
      <c r="AI17" s="15"/>
      <c r="AJ17" s="354" t="str">
        <f t="shared" si="2"/>
        <v>JS4202</v>
      </c>
    </row>
    <row r="18" spans="1:36" s="10" customFormat="1" ht="18" customHeight="1" x14ac:dyDescent="0.3">
      <c r="A18" s="346" t="str">
        <f>'Reference Score Calculation'!A155</f>
        <v>JS4214</v>
      </c>
      <c r="B18" s="346" t="str">
        <f>'Reference Score Calculation'!C155</f>
        <v>商學院</v>
      </c>
      <c r="C18" s="346" t="str">
        <f>'Reference Score Calculation'!D155</f>
        <v>環球商業學</v>
      </c>
      <c r="D18" s="4" t="s">
        <v>825</v>
      </c>
      <c r="E18" s="355" t="str">
        <f>'Reference Score Calculation'!E155</f>
        <v>4C2X</v>
      </c>
      <c r="F18" s="347">
        <f>'Reference Score Calculation'!F155</f>
        <v>49.500000000210001</v>
      </c>
      <c r="G18" s="347">
        <f>'Reference Score Calculation'!G155</f>
        <v>45.000000000230003</v>
      </c>
      <c r="H18" s="347">
        <f>'Reference Score Calculation'!H155</f>
        <v>43.500000000249997</v>
      </c>
      <c r="I18" s="46">
        <f>計分版!H176</f>
        <v>2.8499999999999999E-9</v>
      </c>
      <c r="J18" s="7">
        <f t="shared" si="3"/>
        <v>-44.999999997380002</v>
      </c>
      <c r="K18" s="8">
        <f t="shared" si="4"/>
        <v>-15789473683.291229</v>
      </c>
      <c r="L18" s="365">
        <f>入學要求!C164</f>
        <v>15</v>
      </c>
      <c r="M18" s="379">
        <f>入學要求!R164</f>
        <v>0</v>
      </c>
      <c r="N18" s="27"/>
      <c r="O18" s="422">
        <f>入學要求!D164</f>
        <v>4</v>
      </c>
      <c r="P18" s="422">
        <f>入學要求!E164</f>
        <v>5</v>
      </c>
      <c r="Q18" s="422">
        <f>入學要求!F164</f>
        <v>3</v>
      </c>
      <c r="R18" s="422">
        <f>入學要求!G164</f>
        <v>3</v>
      </c>
      <c r="S18" s="422">
        <f>入學要求!H164</f>
        <v>3</v>
      </c>
      <c r="T18" s="422">
        <f>入學要求!I164</f>
        <v>3</v>
      </c>
      <c r="U18" s="576"/>
      <c r="V18" s="365" cm="1">
        <f t="array" ref="V18">IFERROR(INDEX('Offer Statistics'!$BQ$2:$BQ$400,MATCH(1,($A18='Offer Statistics'!$BB$2:$BB$400)*($U$2='Offer Statistics'!$BC$2:$BC$400),0)),"/")</f>
        <v>10</v>
      </c>
      <c r="W18" s="375" cm="1">
        <f t="array" ref="W18">IFERROR(INDEX('Offer Statistics'!BL$2:BL$400,MATCH(1,($A18='Offer Statistics'!$BB$2:$BB$400)*($U$2='Offer Statistics'!$BC$2:$BC$400),0)),"/")</f>
        <v>10</v>
      </c>
      <c r="X18" s="375" cm="1">
        <f t="array" ref="X18">IFERROR(INDEX('Offer Statistics'!BM$2:BM$400,MATCH(1,($A18='Offer Statistics'!$BB$2:$BB$400)*($U$2='Offer Statistics'!$BC$2:$BC$400),0)),"/")</f>
        <v>0</v>
      </c>
      <c r="Y18" s="375" cm="1">
        <f t="array" ref="Y18">IFERROR(INDEX('Offer Statistics'!BN$2:BN$400,MATCH(1,($A18='Offer Statistics'!$BB$2:$BB$400)*($U$2='Offer Statistics'!$BC$2:$BC$400),0)),"/")</f>
        <v>0</v>
      </c>
      <c r="Z18" s="375" cm="1">
        <f t="array" ref="Z18">IFERROR(INDEX('Offer Statistics'!BO$2:BO$400,MATCH(1,($A18='Offer Statistics'!$BB$2:$BB$400)*($U$2='Offer Statistics'!$BC$2:$BC$400),0)),"/")</f>
        <v>0</v>
      </c>
      <c r="AA18" s="375" cm="1">
        <f t="array" ref="AA18">IFERROR(INDEX('Offer Statistics'!BP$2:BP$400,MATCH(1,($A18='Offer Statistics'!$BB$2:$BB$400)*($U$2='Offer Statistics'!$BC$2:$BC$400),0)),"/")</f>
        <v>0</v>
      </c>
      <c r="AB18" s="580"/>
      <c r="AC18" s="365" cm="1">
        <f t="array" ref="AC18">IFERROR(INDEX('Offer Statistics'!$BI$2:$BI$400,MATCH(1,($A18='Offer Statistics'!$BB$2:$BB$400)*($U$2='Offer Statistics'!$BC$2:$BC$400),0)),"/")</f>
        <v>513</v>
      </c>
      <c r="AD18" s="375" cm="1">
        <f t="array" ref="AD18">IFERROR(INDEX('Offer Statistics'!BD$2:BD$400,MATCH(1,($A18='Offer Statistics'!$BB$2:$BB$400)*($U$2='Offer Statistics'!$BC$2:$BC$400),0)),"/")</f>
        <v>42</v>
      </c>
      <c r="AE18" s="375" cm="1">
        <f t="array" ref="AE18">IFERROR(INDEX('Offer Statistics'!BE$2:BE$400,MATCH(1,($A18='Offer Statistics'!$BB$2:$BB$400)*($U$2='Offer Statistics'!$BC$2:$BC$400),0)),"/")</f>
        <v>40</v>
      </c>
      <c r="AF18" s="375" cm="1">
        <f t="array" ref="AF18">IFERROR(INDEX('Offer Statistics'!BF$2:BF$400,MATCH(1,($A18='Offer Statistics'!$BB$2:$BB$400)*($U$2='Offer Statistics'!$BC$2:$BC$400),0)),"/")</f>
        <v>96</v>
      </c>
      <c r="AG18" s="375" cm="1">
        <f t="array" ref="AG18">IFERROR(INDEX('Offer Statistics'!BG$2:BG$400,MATCH(1,($A18='Offer Statistics'!$BB$2:$BB$400)*($U$2='Offer Statistics'!$BC$2:$BC$400),0)),"/")</f>
        <v>129</v>
      </c>
      <c r="AH18" s="375" cm="1">
        <f t="array" ref="AH18">IFERROR(INDEX('Offer Statistics'!BH$2:BH$400,MATCH(1,($A18='Offer Statistics'!$BB$2:$BB$400)*($U$2='Offer Statistics'!$BC$2:$BC$400),0)),"/")</f>
        <v>206</v>
      </c>
      <c r="AI18" s="15"/>
      <c r="AJ18" s="354" t="str">
        <f t="shared" si="2"/>
        <v>JS4214</v>
      </c>
    </row>
    <row r="19" spans="1:36" ht="18" customHeight="1" x14ac:dyDescent="0.3">
      <c r="A19" s="346" t="str">
        <f>'Reference Score Calculation'!A156</f>
        <v>JS4226</v>
      </c>
      <c r="B19" s="346" t="str">
        <f>'Reference Score Calculation'!C156</f>
        <v>商學院</v>
      </c>
      <c r="C19" s="346" t="str">
        <f>'Reference Score Calculation'!D156</f>
        <v>酒店旅遊及房地產</v>
      </c>
      <c r="D19" s="9" t="s">
        <v>829</v>
      </c>
      <c r="E19" s="355" t="str">
        <f>'Reference Score Calculation'!E156</f>
        <v>Best 5</v>
      </c>
      <c r="F19" s="347">
        <f>'Reference Score Calculation'!F156</f>
        <v>24.5000000002</v>
      </c>
      <c r="G19" s="347">
        <f>'Reference Score Calculation'!G156</f>
        <v>23.000000000209997</v>
      </c>
      <c r="H19" s="347">
        <f>'Reference Score Calculation'!H156</f>
        <v>23.000000000220002</v>
      </c>
      <c r="I19" s="46">
        <f>計分版!H177</f>
        <v>3.9500000000000006E-9</v>
      </c>
      <c r="J19" s="7">
        <f t="shared" si="3"/>
        <v>-22.999999996259998</v>
      </c>
      <c r="K19" s="8">
        <f t="shared" si="4"/>
        <v>-5822784809.1797457</v>
      </c>
      <c r="L19" s="365">
        <f>入學要求!C165</f>
        <v>60</v>
      </c>
      <c r="M19" s="379">
        <f>入學要求!R165</f>
        <v>0</v>
      </c>
      <c r="N19" s="27"/>
      <c r="O19" s="422">
        <f>入學要求!D165</f>
        <v>3</v>
      </c>
      <c r="P19" s="422">
        <f>入學要求!E165</f>
        <v>3</v>
      </c>
      <c r="Q19" s="422">
        <f>入學要求!F165</f>
        <v>2</v>
      </c>
      <c r="R19" s="422">
        <f>入學要求!G165</f>
        <v>2</v>
      </c>
      <c r="S19" s="422">
        <f>入學要求!H165</f>
        <v>3</v>
      </c>
      <c r="T19" s="422">
        <f>入學要求!I165</f>
        <v>3</v>
      </c>
      <c r="U19" s="576"/>
      <c r="V19" s="365" cm="1">
        <f t="array" ref="V19">IFERROR(INDEX('Offer Statistics'!$BQ$2:$BQ$400,MATCH(1,($A19='Offer Statistics'!$BB$2:$BB$400)*($U$2='Offer Statistics'!$BC$2:$BC$400),0)),"/")</f>
        <v>34</v>
      </c>
      <c r="W19" s="375" cm="1">
        <f t="array" ref="W19">IFERROR(INDEX('Offer Statistics'!BL$2:BL$400,MATCH(1,($A19='Offer Statistics'!$BB$2:$BB$400)*($U$2='Offer Statistics'!$BC$2:$BC$400),0)),"/")</f>
        <v>34</v>
      </c>
      <c r="X19" s="375" cm="1">
        <f t="array" ref="X19">IFERROR(INDEX('Offer Statistics'!BM$2:BM$400,MATCH(1,($A19='Offer Statistics'!$BB$2:$BB$400)*($U$2='Offer Statistics'!$BC$2:$BC$400),0)),"/")</f>
        <v>0</v>
      </c>
      <c r="Y19" s="375" cm="1">
        <f t="array" ref="Y19">IFERROR(INDEX('Offer Statistics'!BN$2:BN$400,MATCH(1,($A19='Offer Statistics'!$BB$2:$BB$400)*($U$2='Offer Statistics'!$BC$2:$BC$400),0)),"/")</f>
        <v>0</v>
      </c>
      <c r="Z19" s="375" cm="1">
        <f t="array" ref="Z19">IFERROR(INDEX('Offer Statistics'!BO$2:BO$400,MATCH(1,($A19='Offer Statistics'!$BB$2:$BB$400)*($U$2='Offer Statistics'!$BC$2:$BC$400),0)),"/")</f>
        <v>0</v>
      </c>
      <c r="AA19" s="375" cm="1">
        <f t="array" ref="AA19">IFERROR(INDEX('Offer Statistics'!BP$2:BP$400,MATCH(1,($A19='Offer Statistics'!$BB$2:$BB$400)*($U$2='Offer Statistics'!$BC$2:$BC$400),0)),"/")</f>
        <v>0</v>
      </c>
      <c r="AB19" s="580"/>
      <c r="AC19" s="365" cm="1">
        <f t="array" ref="AC19">IFERROR(INDEX('Offer Statistics'!$BI$2:$BI$400,MATCH(1,($A19='Offer Statistics'!$BB$2:$BB$400)*($U$2='Offer Statistics'!$BC$2:$BC$400),0)),"/")</f>
        <v>3036</v>
      </c>
      <c r="AD19" s="375" cm="1">
        <f t="array" ref="AD19">IFERROR(INDEX('Offer Statistics'!BD$2:BD$400,MATCH(1,($A19='Offer Statistics'!$BB$2:$BB$400)*($U$2='Offer Statistics'!$BC$2:$BC$400),0)),"/")</f>
        <v>376</v>
      </c>
      <c r="AE19" s="375" cm="1">
        <f t="array" ref="AE19">IFERROR(INDEX('Offer Statistics'!BE$2:BE$400,MATCH(1,($A19='Offer Statistics'!$BB$2:$BB$400)*($U$2='Offer Statistics'!$BC$2:$BC$400),0)),"/")</f>
        <v>391</v>
      </c>
      <c r="AF19" s="375" cm="1">
        <f t="array" ref="AF19">IFERROR(INDEX('Offer Statistics'!BF$2:BF$400,MATCH(1,($A19='Offer Statistics'!$BB$2:$BB$400)*($U$2='Offer Statistics'!$BC$2:$BC$400),0)),"/")</f>
        <v>637</v>
      </c>
      <c r="AG19" s="375" cm="1">
        <f t="array" ref="AG19">IFERROR(INDEX('Offer Statistics'!BG$2:BG$400,MATCH(1,($A19='Offer Statistics'!$BB$2:$BB$400)*($U$2='Offer Statistics'!$BC$2:$BC$400),0)),"/")</f>
        <v>842</v>
      </c>
      <c r="AH19" s="375" cm="1">
        <f t="array" ref="AH19">IFERROR(INDEX('Offer Statistics'!BH$2:BH$400,MATCH(1,($A19='Offer Statistics'!$BB$2:$BB$400)*($U$2='Offer Statistics'!$BC$2:$BC$400),0)),"/")</f>
        <v>790</v>
      </c>
      <c r="AI19" s="15"/>
      <c r="AJ19" s="354" t="str">
        <f t="shared" si="2"/>
        <v>JS4226</v>
      </c>
    </row>
    <row r="20" spans="1:36" s="10" customFormat="1" ht="18" customHeight="1" x14ac:dyDescent="0.3">
      <c r="A20" s="346" t="str">
        <f>'Reference Score Calculation'!A157</f>
        <v>JS4238</v>
      </c>
      <c r="B20" s="346" t="str">
        <f>'Reference Score Calculation'!C157</f>
        <v>商學院</v>
      </c>
      <c r="C20" s="346" t="str">
        <f>'Reference Score Calculation'!D157</f>
        <v>保險、金融與精算學</v>
      </c>
      <c r="D20" s="9" t="s">
        <v>2476</v>
      </c>
      <c r="E20" s="355" t="str">
        <f>'Reference Score Calculation'!E157</f>
        <v>Best 5</v>
      </c>
      <c r="F20" s="347">
        <f>'Reference Score Calculation'!F157</f>
        <v>33.500000000290001</v>
      </c>
      <c r="G20" s="347">
        <f>'Reference Score Calculation'!G157</f>
        <v>30.500000000250001</v>
      </c>
      <c r="H20" s="347">
        <f>'Reference Score Calculation'!H157</f>
        <v>29.000000000229999</v>
      </c>
      <c r="I20" s="46">
        <f>計分版!H178</f>
        <v>3.3500000000000002E-9</v>
      </c>
      <c r="J20" s="7">
        <f t="shared" si="3"/>
        <v>-30.499999996900002</v>
      </c>
      <c r="K20" s="8">
        <f t="shared" si="4"/>
        <v>-9104477611.014925</v>
      </c>
      <c r="L20" s="365">
        <f>入學要求!C166</f>
        <v>45</v>
      </c>
      <c r="M20" s="379">
        <f>入學要求!R166</f>
        <v>0</v>
      </c>
      <c r="N20" s="27"/>
      <c r="O20" s="422">
        <f>入學要求!D166</f>
        <v>3</v>
      </c>
      <c r="P20" s="422">
        <f>入學要求!E166</f>
        <v>3</v>
      </c>
      <c r="Q20" s="422">
        <f>入學要求!F166</f>
        <v>5</v>
      </c>
      <c r="R20" s="422">
        <f>入學要求!G166</f>
        <v>2</v>
      </c>
      <c r="S20" s="422">
        <f>入學要求!H166</f>
        <v>3</v>
      </c>
      <c r="T20" s="422">
        <f>入學要求!I166</f>
        <v>3</v>
      </c>
      <c r="U20" s="576"/>
      <c r="V20" s="365" cm="1">
        <f t="array" ref="V20">IFERROR(INDEX('Offer Statistics'!$BQ$2:$BQ$400,MATCH(1,($A20='Offer Statistics'!$BB$2:$BB$400)*($U$2='Offer Statistics'!$BC$2:$BC$400),0)),"/")</f>
        <v>48</v>
      </c>
      <c r="W20" s="375" cm="1">
        <f t="array" ref="W20">IFERROR(INDEX('Offer Statistics'!BL$2:BL$400,MATCH(1,($A20='Offer Statistics'!$BB$2:$BB$400)*($U$2='Offer Statistics'!$BC$2:$BC$400),0)),"/")</f>
        <v>48</v>
      </c>
      <c r="X20" s="375" cm="1">
        <f t="array" ref="X20">IFERROR(INDEX('Offer Statistics'!BM$2:BM$400,MATCH(1,($A20='Offer Statistics'!$BB$2:$BB$400)*($U$2='Offer Statistics'!$BC$2:$BC$400),0)),"/")</f>
        <v>0</v>
      </c>
      <c r="Y20" s="375" cm="1">
        <f t="array" ref="Y20">IFERROR(INDEX('Offer Statistics'!BN$2:BN$400,MATCH(1,($A20='Offer Statistics'!$BB$2:$BB$400)*($U$2='Offer Statistics'!$BC$2:$BC$400),0)),"/")</f>
        <v>0</v>
      </c>
      <c r="Z20" s="375" cm="1">
        <f t="array" ref="Z20">IFERROR(INDEX('Offer Statistics'!BO$2:BO$400,MATCH(1,($A20='Offer Statistics'!$BB$2:$BB$400)*($U$2='Offer Statistics'!$BC$2:$BC$400),0)),"/")</f>
        <v>0</v>
      </c>
      <c r="AA20" s="375" cm="1">
        <f t="array" ref="AA20">IFERROR(INDEX('Offer Statistics'!BP$2:BP$400,MATCH(1,($A20='Offer Statistics'!$BB$2:$BB$400)*($U$2='Offer Statistics'!$BC$2:$BC$400),0)),"/")</f>
        <v>0</v>
      </c>
      <c r="AB20" s="580"/>
      <c r="AC20" s="365" cm="1">
        <f t="array" ref="AC20">IFERROR(INDEX('Offer Statistics'!$BI$2:$BI$400,MATCH(1,($A20='Offer Statistics'!$BB$2:$BB$400)*($U$2='Offer Statistics'!$BC$2:$BC$400),0)),"/")</f>
        <v>848</v>
      </c>
      <c r="AD20" s="375" cm="1">
        <f t="array" ref="AD20">IFERROR(INDEX('Offer Statistics'!BD$2:BD$400,MATCH(1,($A20='Offer Statistics'!$BB$2:$BB$400)*($U$2='Offer Statistics'!$BC$2:$BC$400),0)),"/")</f>
        <v>139</v>
      </c>
      <c r="AE20" s="375" cm="1">
        <f t="array" ref="AE20">IFERROR(INDEX('Offer Statistics'!BE$2:BE$400,MATCH(1,($A20='Offer Statistics'!$BB$2:$BB$400)*($U$2='Offer Statistics'!$BC$2:$BC$400),0)),"/")</f>
        <v>83</v>
      </c>
      <c r="AF20" s="375" cm="1">
        <f t="array" ref="AF20">IFERROR(INDEX('Offer Statistics'!BF$2:BF$400,MATCH(1,($A20='Offer Statistics'!$BB$2:$BB$400)*($U$2='Offer Statistics'!$BC$2:$BC$400),0)),"/")</f>
        <v>170</v>
      </c>
      <c r="AG20" s="375" cm="1">
        <f t="array" ref="AG20">IFERROR(INDEX('Offer Statistics'!BG$2:BG$400,MATCH(1,($A20='Offer Statistics'!$BB$2:$BB$400)*($U$2='Offer Statistics'!$BC$2:$BC$400),0)),"/")</f>
        <v>246</v>
      </c>
      <c r="AH20" s="375" cm="1">
        <f t="array" ref="AH20">IFERROR(INDEX('Offer Statistics'!BH$2:BH$400,MATCH(1,($A20='Offer Statistics'!$BB$2:$BB$400)*($U$2='Offer Statistics'!$BC$2:$BC$400),0)),"/")</f>
        <v>210</v>
      </c>
      <c r="AI20" s="15"/>
      <c r="AJ20" s="354" t="str">
        <f t="shared" si="2"/>
        <v>JS4238</v>
      </c>
    </row>
    <row r="21" spans="1:36" ht="18" customHeight="1" x14ac:dyDescent="0.3">
      <c r="A21" s="346" t="str">
        <f>'Reference Score Calculation'!A158</f>
        <v>JS4240</v>
      </c>
      <c r="B21" s="346" t="str">
        <f>'Reference Score Calculation'!C158</f>
        <v>商學院</v>
      </c>
      <c r="C21" s="346" t="str">
        <f>'Reference Score Calculation'!D158</f>
        <v>專業會計學</v>
      </c>
      <c r="D21" s="9" t="s">
        <v>2477</v>
      </c>
      <c r="E21" s="355" t="str">
        <f>'Reference Score Calculation'!E158</f>
        <v>Best 5</v>
      </c>
      <c r="F21" s="347">
        <f>'Reference Score Calculation'!F158</f>
        <v>28.000000000220002</v>
      </c>
      <c r="G21" s="347">
        <f>'Reference Score Calculation'!G158</f>
        <v>26.000000000250001</v>
      </c>
      <c r="H21" s="347">
        <f>'Reference Score Calculation'!H158</f>
        <v>25.00000000028</v>
      </c>
      <c r="I21" s="46">
        <f>計分版!H179</f>
        <v>3.9500000000000006E-9</v>
      </c>
      <c r="J21" s="7">
        <f t="shared" si="3"/>
        <v>-25.999999996300001</v>
      </c>
      <c r="K21" s="8">
        <f t="shared" si="4"/>
        <v>-6582278480.0759487</v>
      </c>
      <c r="L21" s="365">
        <f>入學要求!C167</f>
        <v>126</v>
      </c>
      <c r="M21" s="379">
        <f>入學要求!R167</f>
        <v>0</v>
      </c>
      <c r="N21" s="27"/>
      <c r="O21" s="422">
        <f>入學要求!D167</f>
        <v>3</v>
      </c>
      <c r="P21" s="422">
        <f>入學要求!E167</f>
        <v>3</v>
      </c>
      <c r="Q21" s="422">
        <f>入學要求!F167</f>
        <v>3</v>
      </c>
      <c r="R21" s="422">
        <f>入學要求!G167</f>
        <v>2</v>
      </c>
      <c r="S21" s="422">
        <f>入學要求!H167</f>
        <v>3</v>
      </c>
      <c r="T21" s="422">
        <f>入學要求!I167</f>
        <v>3</v>
      </c>
      <c r="U21" s="576"/>
      <c r="V21" s="365" cm="1">
        <f t="array" ref="V21">IFERROR(INDEX('Offer Statistics'!$BQ$2:$BQ$400,MATCH(1,($A21='Offer Statistics'!$BB$2:$BB$400)*($U$2='Offer Statistics'!$BC$2:$BC$400),0)),"/")</f>
        <v>141</v>
      </c>
      <c r="W21" s="375" cm="1">
        <f t="array" ref="W21">IFERROR(INDEX('Offer Statistics'!BL$2:BL$400,MATCH(1,($A21='Offer Statistics'!$BB$2:$BB$400)*($U$2='Offer Statistics'!$BC$2:$BC$400),0)),"/")</f>
        <v>141</v>
      </c>
      <c r="X21" s="375" cm="1">
        <f t="array" ref="X21">IFERROR(INDEX('Offer Statistics'!BM$2:BM$400,MATCH(1,($A21='Offer Statistics'!$BB$2:$BB$400)*($U$2='Offer Statistics'!$BC$2:$BC$400),0)),"/")</f>
        <v>0</v>
      </c>
      <c r="Y21" s="375" cm="1">
        <f t="array" ref="Y21">IFERROR(INDEX('Offer Statistics'!BN$2:BN$400,MATCH(1,($A21='Offer Statistics'!$BB$2:$BB$400)*($U$2='Offer Statistics'!$BC$2:$BC$400),0)),"/")</f>
        <v>0</v>
      </c>
      <c r="Z21" s="375" cm="1">
        <f t="array" ref="Z21">IFERROR(INDEX('Offer Statistics'!BO$2:BO$400,MATCH(1,($A21='Offer Statistics'!$BB$2:$BB$400)*($U$2='Offer Statistics'!$BC$2:$BC$400),0)),"/")</f>
        <v>0</v>
      </c>
      <c r="AA21" s="375" cm="1">
        <f t="array" ref="AA21">IFERROR(INDEX('Offer Statistics'!BP$2:BP$400,MATCH(1,($A21='Offer Statistics'!$BB$2:$BB$400)*($U$2='Offer Statistics'!$BC$2:$BC$400),0)),"/")</f>
        <v>0</v>
      </c>
      <c r="AB21" s="580"/>
      <c r="AC21" s="365" cm="1">
        <f t="array" ref="AC21">IFERROR(INDEX('Offer Statistics'!$BI$2:$BI$400,MATCH(1,($A21='Offer Statistics'!$BB$2:$BB$400)*($U$2='Offer Statistics'!$BC$2:$BC$400),0)),"/")</f>
        <v>2142</v>
      </c>
      <c r="AD21" s="375" cm="1">
        <f t="array" ref="AD21">IFERROR(INDEX('Offer Statistics'!BD$2:BD$400,MATCH(1,($A21='Offer Statistics'!$BB$2:$BB$400)*($U$2='Offer Statistics'!$BC$2:$BC$400),0)),"/")</f>
        <v>477</v>
      </c>
      <c r="AE21" s="375" cm="1">
        <f t="array" ref="AE21">IFERROR(INDEX('Offer Statistics'!BE$2:BE$400,MATCH(1,($A21='Offer Statistics'!$BB$2:$BB$400)*($U$2='Offer Statistics'!$BC$2:$BC$400),0)),"/")</f>
        <v>265</v>
      </c>
      <c r="AF21" s="375" cm="1">
        <f t="array" ref="AF21">IFERROR(INDEX('Offer Statistics'!BF$2:BF$400,MATCH(1,($A21='Offer Statistics'!$BB$2:$BB$400)*($U$2='Offer Statistics'!$BC$2:$BC$400),0)),"/")</f>
        <v>423</v>
      </c>
      <c r="AG21" s="375" cm="1">
        <f t="array" ref="AG21">IFERROR(INDEX('Offer Statistics'!BG$2:BG$400,MATCH(1,($A21='Offer Statistics'!$BB$2:$BB$400)*($U$2='Offer Statistics'!$BC$2:$BC$400),0)),"/")</f>
        <v>542</v>
      </c>
      <c r="AH21" s="375" cm="1">
        <f t="array" ref="AH21">IFERROR(INDEX('Offer Statistics'!BH$2:BH$400,MATCH(1,($A21='Offer Statistics'!$BB$2:$BB$400)*($U$2='Offer Statistics'!$BC$2:$BC$400),0)),"/")</f>
        <v>435</v>
      </c>
      <c r="AI21" s="15"/>
      <c r="AJ21" s="354" t="str">
        <f t="shared" si="2"/>
        <v>JS4240</v>
      </c>
    </row>
    <row r="22" spans="1:36" s="10" customFormat="1" ht="18" customHeight="1" x14ac:dyDescent="0.3">
      <c r="A22" s="346" t="str">
        <f>'Reference Score Calculation'!A159</f>
        <v>JS4252</v>
      </c>
      <c r="B22" s="346" t="str">
        <f>'Reference Score Calculation'!C159</f>
        <v>商學院</v>
      </c>
      <c r="C22" s="346" t="str">
        <f>'Reference Score Calculation'!D159</f>
        <v>計量金融學</v>
      </c>
      <c r="D22" s="9" t="s">
        <v>2478</v>
      </c>
      <c r="E22" s="356" t="str">
        <f>'Reference Score Calculation'!E159</f>
        <v>Best 5</v>
      </c>
      <c r="F22" s="347">
        <f>'Reference Score Calculation'!F159</f>
        <v>52.500000000325002</v>
      </c>
      <c r="G22" s="347">
        <f>'Reference Score Calculation'!G159</f>
        <v>51.000000000300005</v>
      </c>
      <c r="H22" s="347">
        <f>'Reference Score Calculation'!H159</f>
        <v>48.750000000305</v>
      </c>
      <c r="I22" s="46">
        <f>計分版!H180</f>
        <v>4.1000000000000003E-9</v>
      </c>
      <c r="J22" s="7">
        <f t="shared" si="3"/>
        <v>-50.999999996200003</v>
      </c>
      <c r="K22" s="8">
        <f t="shared" si="4"/>
        <v>-12439024389.317074</v>
      </c>
      <c r="L22" s="365">
        <f>入學要求!C168</f>
        <v>37</v>
      </c>
      <c r="M22" s="379">
        <f>入學要求!R168</f>
        <v>0</v>
      </c>
      <c r="N22" s="27"/>
      <c r="O22" s="422">
        <f>入學要求!D168</f>
        <v>3</v>
      </c>
      <c r="P22" s="422">
        <f>入學要求!E168</f>
        <v>3</v>
      </c>
      <c r="Q22" s="422">
        <f>入學要求!F168</f>
        <v>3</v>
      </c>
      <c r="R22" s="422">
        <f>入學要求!G168</f>
        <v>2</v>
      </c>
      <c r="S22" s="422">
        <f>入學要求!H168</f>
        <v>3</v>
      </c>
      <c r="T22" s="422">
        <f>入學要求!I168</f>
        <v>3</v>
      </c>
      <c r="U22" s="576"/>
      <c r="V22" s="365" cm="1">
        <f t="array" ref="V22">IFERROR(INDEX('Offer Statistics'!$BQ$2:$BQ$400,MATCH(1,($A22='Offer Statistics'!$BB$2:$BB$400)*($U$2='Offer Statistics'!$BC$2:$BC$400),0)),"/")</f>
        <v>33</v>
      </c>
      <c r="W22" s="375" cm="1">
        <f t="array" ref="W22">IFERROR(INDEX('Offer Statistics'!BL$2:BL$400,MATCH(1,($A22='Offer Statistics'!$BB$2:$BB$400)*($U$2='Offer Statistics'!$BC$2:$BC$400),0)),"/")</f>
        <v>33</v>
      </c>
      <c r="X22" s="375" cm="1">
        <f t="array" ref="X22">IFERROR(INDEX('Offer Statistics'!BM$2:BM$400,MATCH(1,($A22='Offer Statistics'!$BB$2:$BB$400)*($U$2='Offer Statistics'!$BC$2:$BC$400),0)),"/")</f>
        <v>0</v>
      </c>
      <c r="Y22" s="375" cm="1">
        <f t="array" ref="Y22">IFERROR(INDEX('Offer Statistics'!BN$2:BN$400,MATCH(1,($A22='Offer Statistics'!$BB$2:$BB$400)*($U$2='Offer Statistics'!$BC$2:$BC$400),0)),"/")</f>
        <v>0</v>
      </c>
      <c r="Z22" s="375" cm="1">
        <f t="array" ref="Z22">IFERROR(INDEX('Offer Statistics'!BO$2:BO$400,MATCH(1,($A22='Offer Statistics'!$BB$2:$BB$400)*($U$2='Offer Statistics'!$BC$2:$BC$400),0)),"/")</f>
        <v>0</v>
      </c>
      <c r="AA22" s="375" cm="1">
        <f t="array" ref="AA22">IFERROR(INDEX('Offer Statistics'!BP$2:BP$400,MATCH(1,($A22='Offer Statistics'!$BB$2:$BB$400)*($U$2='Offer Statistics'!$BC$2:$BC$400),0)),"/")</f>
        <v>0</v>
      </c>
      <c r="AB22" s="580"/>
      <c r="AC22" s="365" cm="1">
        <f t="array" ref="AC22">IFERROR(INDEX('Offer Statistics'!$BI$2:$BI$400,MATCH(1,($A22='Offer Statistics'!$BB$2:$BB$400)*($U$2='Offer Statistics'!$BC$2:$BC$400),0)),"/")</f>
        <v>681</v>
      </c>
      <c r="AD22" s="375" cm="1">
        <f t="array" ref="AD22">IFERROR(INDEX('Offer Statistics'!BD$2:BD$400,MATCH(1,($A22='Offer Statistics'!$BB$2:$BB$400)*($U$2='Offer Statistics'!$BC$2:$BC$400),0)),"/")</f>
        <v>145</v>
      </c>
      <c r="AE22" s="375" cm="1">
        <f t="array" ref="AE22">IFERROR(INDEX('Offer Statistics'!BE$2:BE$400,MATCH(1,($A22='Offer Statistics'!$BB$2:$BB$400)*($U$2='Offer Statistics'!$BC$2:$BC$400),0)),"/")</f>
        <v>61</v>
      </c>
      <c r="AF22" s="375" cm="1">
        <f t="array" ref="AF22">IFERROR(INDEX('Offer Statistics'!BF$2:BF$400,MATCH(1,($A22='Offer Statistics'!$BB$2:$BB$400)*($U$2='Offer Statistics'!$BC$2:$BC$400),0)),"/")</f>
        <v>142</v>
      </c>
      <c r="AG22" s="375" cm="1">
        <f t="array" ref="AG22">IFERROR(INDEX('Offer Statistics'!BG$2:BG$400,MATCH(1,($A22='Offer Statistics'!$BB$2:$BB$400)*($U$2='Offer Statistics'!$BC$2:$BC$400),0)),"/")</f>
        <v>156</v>
      </c>
      <c r="AH22" s="375" cm="1">
        <f t="array" ref="AH22">IFERROR(INDEX('Offer Statistics'!BH$2:BH$400,MATCH(1,($A22='Offer Statistics'!$BB$2:$BB$400)*($U$2='Offer Statistics'!$BC$2:$BC$400),0)),"/")</f>
        <v>177</v>
      </c>
      <c r="AI22" s="15"/>
      <c r="AJ22" s="354" t="str">
        <f t="shared" si="2"/>
        <v>JS4252</v>
      </c>
    </row>
    <row r="23" spans="1:36" ht="18" customHeight="1" x14ac:dyDescent="0.3">
      <c r="A23" s="346" t="str">
        <f>'Reference Score Calculation'!A160</f>
        <v>JS4254</v>
      </c>
      <c r="B23" s="346" t="str">
        <f>'Reference Score Calculation'!C160</f>
        <v>商學院/社會科學院</v>
      </c>
      <c r="C23" s="346" t="str">
        <f>'Reference Score Calculation'!D160</f>
        <v>環球經濟與金融跨學科主修課程</v>
      </c>
      <c r="D23" s="9" t="s">
        <v>849</v>
      </c>
      <c r="E23" s="356" t="str">
        <f>'Reference Score Calculation'!E160</f>
        <v>Best 5</v>
      </c>
      <c r="F23" s="347">
        <f>'Reference Score Calculation'!F160</f>
        <v>33.500000000260002</v>
      </c>
      <c r="G23" s="347">
        <f>'Reference Score Calculation'!G160</f>
        <v>32.000000000210001</v>
      </c>
      <c r="H23" s="347">
        <f>'Reference Score Calculation'!H160</f>
        <v>29.000000000239996</v>
      </c>
      <c r="I23" s="46">
        <f>計分版!H181</f>
        <v>3.9500000000000006E-9</v>
      </c>
      <c r="J23" s="7">
        <f t="shared" si="3"/>
        <v>-31.999999996260001</v>
      </c>
      <c r="K23" s="8">
        <f t="shared" si="4"/>
        <v>-8101265821.8379736</v>
      </c>
      <c r="L23" s="365">
        <f>入學要求!C169</f>
        <v>24</v>
      </c>
      <c r="M23" s="379">
        <f>入學要求!R169</f>
        <v>0</v>
      </c>
      <c r="N23" s="27"/>
      <c r="O23" s="422">
        <f>入學要求!D169</f>
        <v>4</v>
      </c>
      <c r="P23" s="422">
        <f>入學要求!E169</f>
        <v>5</v>
      </c>
      <c r="Q23" s="422">
        <f>入學要求!F169</f>
        <v>3</v>
      </c>
      <c r="R23" s="422">
        <f>入學要求!G169</f>
        <v>2</v>
      </c>
      <c r="S23" s="422">
        <f>入學要求!H169</f>
        <v>3</v>
      </c>
      <c r="T23" s="422">
        <f>入學要求!I169</f>
        <v>3</v>
      </c>
      <c r="U23" s="576"/>
      <c r="V23" s="365" cm="1">
        <f t="array" ref="V23">IFERROR(INDEX('Offer Statistics'!$BQ$2:$BQ$400,MATCH(1,($A23='Offer Statistics'!$BB$2:$BB$400)*($U$2='Offer Statistics'!$BC$2:$BC$400),0)),"/")</f>
        <v>17</v>
      </c>
      <c r="W23" s="375" cm="1">
        <f t="array" ref="W23">IFERROR(INDEX('Offer Statistics'!BL$2:BL$400,MATCH(1,($A23='Offer Statistics'!$BB$2:$BB$400)*($U$2='Offer Statistics'!$BC$2:$BC$400),0)),"/")</f>
        <v>17</v>
      </c>
      <c r="X23" s="375" cm="1">
        <f t="array" ref="X23">IFERROR(INDEX('Offer Statistics'!BM$2:BM$400,MATCH(1,($A23='Offer Statistics'!$BB$2:$BB$400)*($U$2='Offer Statistics'!$BC$2:$BC$400),0)),"/")</f>
        <v>0</v>
      </c>
      <c r="Y23" s="375" cm="1">
        <f t="array" ref="Y23">IFERROR(INDEX('Offer Statistics'!BN$2:BN$400,MATCH(1,($A23='Offer Statistics'!$BB$2:$BB$400)*($U$2='Offer Statistics'!$BC$2:$BC$400),0)),"/")</f>
        <v>0</v>
      </c>
      <c r="Z23" s="375" cm="1">
        <f t="array" ref="Z23">IFERROR(INDEX('Offer Statistics'!BO$2:BO$400,MATCH(1,($A23='Offer Statistics'!$BB$2:$BB$400)*($U$2='Offer Statistics'!$BC$2:$BC$400),0)),"/")</f>
        <v>0</v>
      </c>
      <c r="AA23" s="375" cm="1">
        <f t="array" ref="AA23">IFERROR(INDEX('Offer Statistics'!BP$2:BP$400,MATCH(1,($A23='Offer Statistics'!$BB$2:$BB$400)*($U$2='Offer Statistics'!$BC$2:$BC$400),0)),"/")</f>
        <v>0</v>
      </c>
      <c r="AB23" s="580"/>
      <c r="AC23" s="365" cm="1">
        <f t="array" ref="AC23">IFERROR(INDEX('Offer Statistics'!$BI$2:$BI$400,MATCH(1,($A23='Offer Statistics'!$BB$2:$BB$400)*($U$2='Offer Statistics'!$BC$2:$BC$400),0)),"/")</f>
        <v>472</v>
      </c>
      <c r="AD23" s="375" cm="1">
        <f t="array" ref="AD23">IFERROR(INDEX('Offer Statistics'!BD$2:BD$400,MATCH(1,($A23='Offer Statistics'!$BB$2:$BB$400)*($U$2='Offer Statistics'!$BC$2:$BC$400),0)),"/")</f>
        <v>42</v>
      </c>
      <c r="AE23" s="375" cm="1">
        <f t="array" ref="AE23">IFERROR(INDEX('Offer Statistics'!BE$2:BE$400,MATCH(1,($A23='Offer Statistics'!$BB$2:$BB$400)*($U$2='Offer Statistics'!$BC$2:$BC$400),0)),"/")</f>
        <v>52</v>
      </c>
      <c r="AF23" s="375" cm="1">
        <f t="array" ref="AF23">IFERROR(INDEX('Offer Statistics'!BF$2:BF$400,MATCH(1,($A23='Offer Statistics'!$BB$2:$BB$400)*($U$2='Offer Statistics'!$BC$2:$BC$400),0)),"/")</f>
        <v>104</v>
      </c>
      <c r="AG23" s="375" cm="1">
        <f t="array" ref="AG23">IFERROR(INDEX('Offer Statistics'!BG$2:BG$400,MATCH(1,($A23='Offer Statistics'!$BB$2:$BB$400)*($U$2='Offer Statistics'!$BC$2:$BC$400),0)),"/")</f>
        <v>162</v>
      </c>
      <c r="AH23" s="375" cm="1">
        <f t="array" ref="AH23">IFERROR(INDEX('Offer Statistics'!BH$2:BH$400,MATCH(1,($A23='Offer Statistics'!$BB$2:$BB$400)*($U$2='Offer Statistics'!$BC$2:$BC$400),0)),"/")</f>
        <v>112</v>
      </c>
      <c r="AI23" s="15"/>
      <c r="AJ23" s="354" t="str">
        <f t="shared" si="2"/>
        <v>JS4254</v>
      </c>
    </row>
    <row r="24" spans="1:36" s="10" customFormat="1" ht="18" customHeight="1" x14ac:dyDescent="0.3">
      <c r="A24" s="346" t="str">
        <f>'Reference Score Calculation'!A161</f>
        <v>JS4264</v>
      </c>
      <c r="B24" s="346" t="str">
        <f>'Reference Score Calculation'!C161</f>
        <v>商學院/法學院</v>
      </c>
      <c r="C24" s="346" t="str">
        <f>'Reference Score Calculation'!D161</f>
        <v>工商管理學士（工商管理學士綜合課程）及法律博士雙學位課程</v>
      </c>
      <c r="D24" s="9" t="s">
        <v>2481</v>
      </c>
      <c r="E24" s="356" t="str">
        <f>'Reference Score Calculation'!E161</f>
        <v>4C2X</v>
      </c>
      <c r="F24" s="347">
        <f>'Reference Score Calculation'!F161</f>
        <v>54.250000000305</v>
      </c>
      <c r="G24" s="347">
        <f>'Reference Score Calculation'!G161</f>
        <v>51.250000000295003</v>
      </c>
      <c r="H24" s="347">
        <f>'Reference Score Calculation'!H161</f>
        <v>49.000000000295003</v>
      </c>
      <c r="I24" s="46">
        <f>計分版!H182</f>
        <v>3.4999999999999999E-9</v>
      </c>
      <c r="J24" s="7">
        <f t="shared" si="3"/>
        <v>-51.249999996795005</v>
      </c>
      <c r="K24" s="8">
        <f t="shared" si="4"/>
        <v>-14642857141.941431</v>
      </c>
      <c r="L24" s="365">
        <f>入學要求!C170</f>
        <v>25</v>
      </c>
      <c r="M24" s="379">
        <f>入學要求!R170</f>
        <v>0</v>
      </c>
      <c r="N24" s="27"/>
      <c r="O24" s="422">
        <f>入學要求!D170</f>
        <v>4</v>
      </c>
      <c r="P24" s="422">
        <f>入學要求!E170</f>
        <v>5</v>
      </c>
      <c r="Q24" s="422">
        <f>入學要求!F170</f>
        <v>3</v>
      </c>
      <c r="R24" s="422">
        <f>入學要求!G170</f>
        <v>3</v>
      </c>
      <c r="S24" s="422">
        <f>入學要求!H170</f>
        <v>3</v>
      </c>
      <c r="T24" s="422">
        <f>入學要求!I170</f>
        <v>3</v>
      </c>
      <c r="U24" s="576"/>
      <c r="V24" s="365" cm="1">
        <f t="array" ref="V24">IFERROR(INDEX('Offer Statistics'!$BQ$2:$BQ$400,MATCH(1,($A24='Offer Statistics'!$BB$2:$BB$400)*($U$2='Offer Statistics'!$BC$2:$BC$400),0)),"/")</f>
        <v>19</v>
      </c>
      <c r="W24" s="375" cm="1">
        <f t="array" ref="W24">IFERROR(INDEX('Offer Statistics'!BL$2:BL$400,MATCH(1,($A24='Offer Statistics'!$BB$2:$BB$400)*($U$2='Offer Statistics'!$BC$2:$BC$400),0)),"/")</f>
        <v>19</v>
      </c>
      <c r="X24" s="375" cm="1">
        <f t="array" ref="X24">IFERROR(INDEX('Offer Statistics'!BM$2:BM$400,MATCH(1,($A24='Offer Statistics'!$BB$2:$BB$400)*($U$2='Offer Statistics'!$BC$2:$BC$400),0)),"/")</f>
        <v>0</v>
      </c>
      <c r="Y24" s="375" cm="1">
        <f t="array" ref="Y24">IFERROR(INDEX('Offer Statistics'!BN$2:BN$400,MATCH(1,($A24='Offer Statistics'!$BB$2:$BB$400)*($U$2='Offer Statistics'!$BC$2:$BC$400),0)),"/")</f>
        <v>0</v>
      </c>
      <c r="Z24" s="375" cm="1">
        <f t="array" ref="Z24">IFERROR(INDEX('Offer Statistics'!BO$2:BO$400,MATCH(1,($A24='Offer Statistics'!$BB$2:$BB$400)*($U$2='Offer Statistics'!$BC$2:$BC$400),0)),"/")</f>
        <v>0</v>
      </c>
      <c r="AA24" s="375" cm="1">
        <f t="array" ref="AA24">IFERROR(INDEX('Offer Statistics'!BP$2:BP$400,MATCH(1,($A24='Offer Statistics'!$BB$2:$BB$400)*($U$2='Offer Statistics'!$BC$2:$BC$400),0)),"/")</f>
        <v>0</v>
      </c>
      <c r="AB24" s="580"/>
      <c r="AC24" s="365" cm="1">
        <f t="array" ref="AC24">IFERROR(INDEX('Offer Statistics'!$BI$2:$BI$400,MATCH(1,($A24='Offer Statistics'!$BB$2:$BB$400)*($U$2='Offer Statistics'!$BC$2:$BC$400),0)),"/")</f>
        <v>498</v>
      </c>
      <c r="AD24" s="375" cm="1">
        <f t="array" ref="AD24">IFERROR(INDEX('Offer Statistics'!BD$2:BD$400,MATCH(1,($A24='Offer Statistics'!$BB$2:$BB$400)*($U$2='Offer Statistics'!$BC$2:$BC$400),0)),"/")</f>
        <v>60</v>
      </c>
      <c r="AE24" s="375" cm="1">
        <f t="array" ref="AE24">IFERROR(INDEX('Offer Statistics'!BE$2:BE$400,MATCH(1,($A24='Offer Statistics'!$BB$2:$BB$400)*($U$2='Offer Statistics'!$BC$2:$BC$400),0)),"/")</f>
        <v>58</v>
      </c>
      <c r="AF24" s="375" cm="1">
        <f t="array" ref="AF24">IFERROR(INDEX('Offer Statistics'!BF$2:BF$400,MATCH(1,($A24='Offer Statistics'!$BB$2:$BB$400)*($U$2='Offer Statistics'!$BC$2:$BC$400),0)),"/")</f>
        <v>109</v>
      </c>
      <c r="AG24" s="375" cm="1">
        <f t="array" ref="AG24">IFERROR(INDEX('Offer Statistics'!BG$2:BG$400,MATCH(1,($A24='Offer Statistics'!$BB$2:$BB$400)*($U$2='Offer Statistics'!$BC$2:$BC$400),0)),"/")</f>
        <v>132</v>
      </c>
      <c r="AH24" s="375" cm="1">
        <f t="array" ref="AH24">IFERROR(INDEX('Offer Statistics'!BH$2:BH$400,MATCH(1,($A24='Offer Statistics'!$BB$2:$BB$400)*($U$2='Offer Statistics'!$BC$2:$BC$400),0)),"/")</f>
        <v>139</v>
      </c>
      <c r="AI24" s="15"/>
      <c r="AJ24" s="354" t="str">
        <f t="shared" si="2"/>
        <v>JS4264</v>
      </c>
    </row>
    <row r="25" spans="1:36" ht="18" customHeight="1" x14ac:dyDescent="0.3">
      <c r="A25" s="346" t="str">
        <f>'Reference Score Calculation'!A162</f>
        <v>JS4276</v>
      </c>
      <c r="B25" s="346" t="str">
        <f>'Reference Score Calculation'!C162</f>
        <v>商學院/理學院</v>
      </c>
      <c r="C25" s="346" t="str">
        <f>'Reference Score Calculation'!D162</f>
        <v>計量金融學及風險管理科學</v>
      </c>
      <c r="D25" s="9" t="s">
        <v>2483</v>
      </c>
      <c r="E25" s="356" t="str">
        <f>'Reference Score Calculation'!E162</f>
        <v>Best 5</v>
      </c>
      <c r="F25" s="347">
        <f>'Reference Score Calculation'!F162</f>
        <v>57.750000000304993</v>
      </c>
      <c r="G25" s="347">
        <f>'Reference Score Calculation'!G162</f>
        <v>54.750000000340002</v>
      </c>
      <c r="H25" s="347">
        <f>'Reference Score Calculation'!H162</f>
        <v>53.250000000314991</v>
      </c>
      <c r="I25" s="46">
        <f>計分版!H183</f>
        <v>4.1000000000000003E-9</v>
      </c>
      <c r="J25" s="57">
        <f t="shared" si="3"/>
        <v>-54.74999999624</v>
      </c>
      <c r="K25" s="56">
        <f t="shared" si="4"/>
        <v>-13353658535.668291</v>
      </c>
      <c r="L25" s="365">
        <f>入學要求!C171</f>
        <v>20</v>
      </c>
      <c r="M25" s="379">
        <f>入學要求!R171</f>
        <v>0</v>
      </c>
      <c r="N25" s="27"/>
      <c r="O25" s="422">
        <f>入學要求!D171</f>
        <v>3</v>
      </c>
      <c r="P25" s="422">
        <f>入學要求!E171</f>
        <v>3</v>
      </c>
      <c r="Q25" s="422">
        <f>入學要求!F171</f>
        <v>3</v>
      </c>
      <c r="R25" s="422">
        <f>入學要求!G171</f>
        <v>2</v>
      </c>
      <c r="S25" s="422">
        <f>入學要求!H171</f>
        <v>3</v>
      </c>
      <c r="T25" s="422">
        <f>入學要求!I171</f>
        <v>3</v>
      </c>
      <c r="U25" s="576"/>
      <c r="V25" s="365" cm="1">
        <f t="array" ref="V25">IFERROR(INDEX('Offer Statistics'!$BQ$2:$BQ$400,MATCH(1,($A25='Offer Statistics'!$BB$2:$BB$400)*($U$2='Offer Statistics'!$BC$2:$BC$400),0)),"/")</f>
        <v>15</v>
      </c>
      <c r="W25" s="375" cm="1">
        <f t="array" ref="W25">IFERROR(INDEX('Offer Statistics'!BL$2:BL$400,MATCH(1,($A25='Offer Statistics'!$BB$2:$BB$400)*($U$2='Offer Statistics'!$BC$2:$BC$400),0)),"/")</f>
        <v>15</v>
      </c>
      <c r="X25" s="375" cm="1">
        <f t="array" ref="X25">IFERROR(INDEX('Offer Statistics'!BM$2:BM$400,MATCH(1,($A25='Offer Statistics'!$BB$2:$BB$400)*($U$2='Offer Statistics'!$BC$2:$BC$400),0)),"/")</f>
        <v>0</v>
      </c>
      <c r="Y25" s="375" cm="1">
        <f t="array" ref="Y25">IFERROR(INDEX('Offer Statistics'!BN$2:BN$400,MATCH(1,($A25='Offer Statistics'!$BB$2:$BB$400)*($U$2='Offer Statistics'!$BC$2:$BC$400),0)),"/")</f>
        <v>0</v>
      </c>
      <c r="Z25" s="375" cm="1">
        <f t="array" ref="Z25">IFERROR(INDEX('Offer Statistics'!BO$2:BO$400,MATCH(1,($A25='Offer Statistics'!$BB$2:$BB$400)*($U$2='Offer Statistics'!$BC$2:$BC$400),0)),"/")</f>
        <v>0</v>
      </c>
      <c r="AA25" s="375" cm="1">
        <f t="array" ref="AA25">IFERROR(INDEX('Offer Statistics'!BP$2:BP$400,MATCH(1,($A25='Offer Statistics'!$BB$2:$BB$400)*($U$2='Offer Statistics'!$BC$2:$BC$400),0)),"/")</f>
        <v>0</v>
      </c>
      <c r="AB25" s="580"/>
      <c r="AC25" s="365" cm="1">
        <f t="array" ref="AC25">IFERROR(INDEX('Offer Statistics'!$BI$2:$BI$400,MATCH(1,($A25='Offer Statistics'!$BB$2:$BB$400)*($U$2='Offer Statistics'!$BC$2:$BC$400),0)),"/")</f>
        <v>500</v>
      </c>
      <c r="AD25" s="375" cm="1">
        <f t="array" ref="AD25">IFERROR(INDEX('Offer Statistics'!BD$2:BD$400,MATCH(1,($A25='Offer Statistics'!$BB$2:$BB$400)*($U$2='Offer Statistics'!$BC$2:$BC$400),0)),"/")</f>
        <v>57</v>
      </c>
      <c r="AE25" s="375" cm="1">
        <f t="array" ref="AE25">IFERROR(INDEX('Offer Statistics'!BE$2:BE$400,MATCH(1,($A25='Offer Statistics'!$BB$2:$BB$400)*($U$2='Offer Statistics'!$BC$2:$BC$400),0)),"/")</f>
        <v>40</v>
      </c>
      <c r="AF25" s="375" cm="1">
        <f t="array" ref="AF25">IFERROR(INDEX('Offer Statistics'!BF$2:BF$400,MATCH(1,($A25='Offer Statistics'!$BB$2:$BB$400)*($U$2='Offer Statistics'!$BC$2:$BC$400),0)),"/")</f>
        <v>83</v>
      </c>
      <c r="AG25" s="375" cm="1">
        <f t="array" ref="AG25">IFERROR(INDEX('Offer Statistics'!BG$2:BG$400,MATCH(1,($A25='Offer Statistics'!$BB$2:$BB$400)*($U$2='Offer Statistics'!$BC$2:$BC$400),0)),"/")</f>
        <v>145</v>
      </c>
      <c r="AH25" s="375" cm="1">
        <f t="array" ref="AH25">IFERROR(INDEX('Offer Statistics'!BH$2:BH$400,MATCH(1,($A25='Offer Statistics'!$BB$2:$BB$400)*($U$2='Offer Statistics'!$BC$2:$BC$400),0)),"/")</f>
        <v>175</v>
      </c>
      <c r="AI25" s="15"/>
      <c r="AJ25" s="354" t="str">
        <f t="shared" si="2"/>
        <v>JS4276</v>
      </c>
    </row>
    <row r="26" spans="1:36" s="10" customFormat="1" ht="18" customHeight="1" x14ac:dyDescent="0.3">
      <c r="A26" s="346" t="str">
        <f>'Reference Score Calculation'!A163</f>
        <v>JS4329</v>
      </c>
      <c r="B26" s="346" t="str">
        <f>'Reference Score Calculation'!C163</f>
        <v>教育學院</v>
      </c>
      <c r="C26" s="346" t="str">
        <f>'Reference Score Calculation'!D163</f>
        <v>健康與體育運動科學</v>
      </c>
      <c r="D26" s="4" t="s">
        <v>2484</v>
      </c>
      <c r="E26" s="355" t="str">
        <f>'Reference Score Calculation'!E163</f>
        <v>Best 5</v>
      </c>
      <c r="F26" s="347">
        <f>'Reference Score Calculation'!F163</f>
        <v>30.500000000209997</v>
      </c>
      <c r="G26" s="347">
        <f>'Reference Score Calculation'!G163</f>
        <v>27.500000000259998</v>
      </c>
      <c r="H26" s="347">
        <f>'Reference Score Calculation'!H163</f>
        <v>26.000000000250001</v>
      </c>
      <c r="I26" s="46">
        <f>計分版!H184</f>
        <v>3.9500000000000006E-9</v>
      </c>
      <c r="J26" s="7">
        <f t="shared" si="3"/>
        <v>-27.499999996309999</v>
      </c>
      <c r="K26" s="8">
        <f t="shared" si="4"/>
        <v>-6962025315.5215178</v>
      </c>
      <c r="L26" s="365">
        <f>入學要求!C172</f>
        <v>17</v>
      </c>
      <c r="M26" s="379">
        <f>入學要求!R172</f>
        <v>0</v>
      </c>
      <c r="N26" s="100"/>
      <c r="O26" s="422">
        <f>入學要求!D172</f>
        <v>3</v>
      </c>
      <c r="P26" s="422">
        <f>入學要求!E172</f>
        <v>3</v>
      </c>
      <c r="Q26" s="422">
        <f>入學要求!F172</f>
        <v>2</v>
      </c>
      <c r="R26" s="422">
        <f>入學要求!G172</f>
        <v>2</v>
      </c>
      <c r="S26" s="422">
        <f>入學要求!H172</f>
        <v>3</v>
      </c>
      <c r="T26" s="422">
        <f>入學要求!I172</f>
        <v>3</v>
      </c>
      <c r="U26" s="576"/>
      <c r="V26" s="365" cm="1">
        <f t="array" ref="V26">IFERROR(INDEX('Offer Statistics'!$BQ$2:$BQ$400,MATCH(1,($A26='Offer Statistics'!$BB$2:$BB$400)*($U$2='Offer Statistics'!$BC$2:$BC$400),0)),"/")</f>
        <v>27</v>
      </c>
      <c r="W26" s="375" cm="1">
        <f t="array" ref="W26">IFERROR(INDEX('Offer Statistics'!BL$2:BL$400,MATCH(1,($A26='Offer Statistics'!$BB$2:$BB$400)*($U$2='Offer Statistics'!$BC$2:$BC$400),0)),"/")</f>
        <v>27</v>
      </c>
      <c r="X26" s="375" cm="1">
        <f t="array" ref="X26">IFERROR(INDEX('Offer Statistics'!BM$2:BM$400,MATCH(1,($A26='Offer Statistics'!$BB$2:$BB$400)*($U$2='Offer Statistics'!$BC$2:$BC$400),0)),"/")</f>
        <v>0</v>
      </c>
      <c r="Y26" s="375" cm="1">
        <f t="array" ref="Y26">IFERROR(INDEX('Offer Statistics'!BN$2:BN$400,MATCH(1,($A26='Offer Statistics'!$BB$2:$BB$400)*($U$2='Offer Statistics'!$BC$2:$BC$400),0)),"/")</f>
        <v>0</v>
      </c>
      <c r="Z26" s="375" cm="1">
        <f t="array" ref="Z26">IFERROR(INDEX('Offer Statistics'!BO$2:BO$400,MATCH(1,($A26='Offer Statistics'!$BB$2:$BB$400)*($U$2='Offer Statistics'!$BC$2:$BC$400),0)),"/")</f>
        <v>0</v>
      </c>
      <c r="AA26" s="375" cm="1">
        <f t="array" ref="AA26">IFERROR(INDEX('Offer Statistics'!BP$2:BP$400,MATCH(1,($A26='Offer Statistics'!$BB$2:$BB$400)*($U$2='Offer Statistics'!$BC$2:$BC$400),0)),"/")</f>
        <v>0</v>
      </c>
      <c r="AB26" s="580"/>
      <c r="AC26" s="365" cm="1">
        <f t="array" ref="AC26">IFERROR(INDEX('Offer Statistics'!$BI$2:$BI$400,MATCH(1,($A26='Offer Statistics'!$BB$2:$BB$400)*($U$2='Offer Statistics'!$BC$2:$BC$400),0)),"/")</f>
        <v>1926</v>
      </c>
      <c r="AD26" s="375" cm="1">
        <f t="array" ref="AD26">IFERROR(INDEX('Offer Statistics'!BD$2:BD$400,MATCH(1,($A26='Offer Statistics'!$BB$2:$BB$400)*($U$2='Offer Statistics'!$BC$2:$BC$400),0)),"/")</f>
        <v>501</v>
      </c>
      <c r="AE26" s="375" cm="1">
        <f t="array" ref="AE26">IFERROR(INDEX('Offer Statistics'!BE$2:BE$400,MATCH(1,($A26='Offer Statistics'!$BB$2:$BB$400)*($U$2='Offer Statistics'!$BC$2:$BC$400),0)),"/")</f>
        <v>311</v>
      </c>
      <c r="AF26" s="375" cm="1">
        <f t="array" ref="AF26">IFERROR(INDEX('Offer Statistics'!BF$2:BF$400,MATCH(1,($A26='Offer Statistics'!$BB$2:$BB$400)*($U$2='Offer Statistics'!$BC$2:$BC$400),0)),"/")</f>
        <v>370</v>
      </c>
      <c r="AG26" s="375" cm="1">
        <f t="array" ref="AG26">IFERROR(INDEX('Offer Statistics'!BG$2:BG$400,MATCH(1,($A26='Offer Statistics'!$BB$2:$BB$400)*($U$2='Offer Statistics'!$BC$2:$BC$400),0)),"/")</f>
        <v>418</v>
      </c>
      <c r="AH26" s="375" cm="1">
        <f t="array" ref="AH26">IFERROR(INDEX('Offer Statistics'!BH$2:BH$400,MATCH(1,($A26='Offer Statistics'!$BB$2:$BB$400)*($U$2='Offer Statistics'!$BC$2:$BC$400),0)),"/")</f>
        <v>326</v>
      </c>
      <c r="AI26" s="15"/>
      <c r="AJ26" s="354" t="str">
        <f t="shared" si="2"/>
        <v>JS4329</v>
      </c>
    </row>
    <row r="27" spans="1:36" ht="18" customHeight="1" x14ac:dyDescent="0.3">
      <c r="A27" s="346" t="str">
        <f>'Reference Score Calculation'!A164</f>
        <v>JS4331</v>
      </c>
      <c r="B27" s="346" t="str">
        <f>'Reference Score Calculation'!C164</f>
        <v>教育學院</v>
      </c>
      <c r="C27" s="346" t="str">
        <f>'Reference Score Calculation'!D164</f>
        <v>文學士 (中國語文研究) 及教育學士 (中國語文教育)</v>
      </c>
      <c r="D27" s="4" t="s">
        <v>2485</v>
      </c>
      <c r="E27" s="356" t="str">
        <f>'Reference Score Calculation'!E164</f>
        <v>Best 5</v>
      </c>
      <c r="F27" s="347">
        <f>'Reference Score Calculation'!F164</f>
        <v>38.500000000204999</v>
      </c>
      <c r="G27" s="347">
        <f>'Reference Score Calculation'!G164</f>
        <v>34.000000000265004</v>
      </c>
      <c r="H27" s="347">
        <f>'Reference Score Calculation'!H164</f>
        <v>32.500000000265004</v>
      </c>
      <c r="I27" s="46">
        <f>計分版!H185</f>
        <v>3.9500000000000006E-9</v>
      </c>
      <c r="J27" s="7">
        <f t="shared" si="3"/>
        <v>-33.999999996315005</v>
      </c>
      <c r="K27" s="8">
        <f t="shared" si="4"/>
        <v>-8607594935.7759495</v>
      </c>
      <c r="L27" s="365">
        <f>入學要求!C173</f>
        <v>12</v>
      </c>
      <c r="M27" s="379">
        <f>入學要求!R173</f>
        <v>0</v>
      </c>
      <c r="N27" s="100"/>
      <c r="O27" s="422">
        <f>入學要求!D173</f>
        <v>4</v>
      </c>
      <c r="P27" s="422">
        <f>入學要求!E173</f>
        <v>3</v>
      </c>
      <c r="Q27" s="422">
        <f>入學要求!F173</f>
        <v>2</v>
      </c>
      <c r="R27" s="422">
        <f>入學要求!G173</f>
        <v>2</v>
      </c>
      <c r="S27" s="422">
        <f>入學要求!H173</f>
        <v>3</v>
      </c>
      <c r="T27" s="422">
        <f>入學要求!I173</f>
        <v>3</v>
      </c>
      <c r="U27" s="576"/>
      <c r="V27" s="365" cm="1">
        <f t="array" ref="V27">IFERROR(INDEX('Offer Statistics'!$BQ$2:$BQ$400,MATCH(1,($A27='Offer Statistics'!$BB$2:$BB$400)*($U$2='Offer Statistics'!$BC$2:$BC$400),0)),"/")</f>
        <v>20</v>
      </c>
      <c r="W27" s="375" cm="1">
        <f t="array" ref="W27">IFERROR(INDEX('Offer Statistics'!BL$2:BL$400,MATCH(1,($A27='Offer Statistics'!$BB$2:$BB$400)*($U$2='Offer Statistics'!$BC$2:$BC$400),0)),"/")</f>
        <v>20</v>
      </c>
      <c r="X27" s="375" cm="1">
        <f t="array" ref="X27">IFERROR(INDEX('Offer Statistics'!BM$2:BM$400,MATCH(1,($A27='Offer Statistics'!$BB$2:$BB$400)*($U$2='Offer Statistics'!$BC$2:$BC$400),0)),"/")</f>
        <v>0</v>
      </c>
      <c r="Y27" s="375" cm="1">
        <f t="array" ref="Y27">IFERROR(INDEX('Offer Statistics'!BN$2:BN$400,MATCH(1,($A27='Offer Statistics'!$BB$2:$BB$400)*($U$2='Offer Statistics'!$BC$2:$BC$400),0)),"/")</f>
        <v>0</v>
      </c>
      <c r="Z27" s="375" cm="1">
        <f t="array" ref="Z27">IFERROR(INDEX('Offer Statistics'!BO$2:BO$400,MATCH(1,($A27='Offer Statistics'!$BB$2:$BB$400)*($U$2='Offer Statistics'!$BC$2:$BC$400),0)),"/")</f>
        <v>0</v>
      </c>
      <c r="AA27" s="375" cm="1">
        <f t="array" ref="AA27">IFERROR(INDEX('Offer Statistics'!BP$2:BP$400,MATCH(1,($A27='Offer Statistics'!$BB$2:$BB$400)*($U$2='Offer Statistics'!$BC$2:$BC$400),0)),"/")</f>
        <v>0</v>
      </c>
      <c r="AB27" s="580"/>
      <c r="AC27" s="365" cm="1">
        <f t="array" ref="AC27">IFERROR(INDEX('Offer Statistics'!$BI$2:$BI$400,MATCH(1,($A27='Offer Statistics'!$BB$2:$BB$400)*($U$2='Offer Statistics'!$BC$2:$BC$400),0)),"/")</f>
        <v>1399</v>
      </c>
      <c r="AD27" s="375" cm="1">
        <f t="array" ref="AD27">IFERROR(INDEX('Offer Statistics'!BD$2:BD$400,MATCH(1,($A27='Offer Statistics'!$BB$2:$BB$400)*($U$2='Offer Statistics'!$BC$2:$BC$400),0)),"/")</f>
        <v>216</v>
      </c>
      <c r="AE27" s="375" cm="1">
        <f t="array" ref="AE27">IFERROR(INDEX('Offer Statistics'!BE$2:BE$400,MATCH(1,($A27='Offer Statistics'!$BB$2:$BB$400)*($U$2='Offer Statistics'!$BC$2:$BC$400),0)),"/")</f>
        <v>178</v>
      </c>
      <c r="AF27" s="375" cm="1">
        <f t="array" ref="AF27">IFERROR(INDEX('Offer Statistics'!BF$2:BF$400,MATCH(1,($A27='Offer Statistics'!$BB$2:$BB$400)*($U$2='Offer Statistics'!$BC$2:$BC$400),0)),"/")</f>
        <v>307</v>
      </c>
      <c r="AG27" s="375" cm="1">
        <f t="array" ref="AG27">IFERROR(INDEX('Offer Statistics'!BG$2:BG$400,MATCH(1,($A27='Offer Statistics'!$BB$2:$BB$400)*($U$2='Offer Statistics'!$BC$2:$BC$400),0)),"/")</f>
        <v>392</v>
      </c>
      <c r="AH27" s="375" cm="1">
        <f t="array" ref="AH27">IFERROR(INDEX('Offer Statistics'!BH$2:BH$400,MATCH(1,($A27='Offer Statistics'!$BB$2:$BB$400)*($U$2='Offer Statistics'!$BC$2:$BC$400),0)),"/")</f>
        <v>306</v>
      </c>
      <c r="AI27" s="15"/>
      <c r="AJ27" s="354" t="str">
        <f t="shared" si="2"/>
        <v>JS4331</v>
      </c>
    </row>
    <row r="28" spans="1:36" s="10" customFormat="1" ht="18" customHeight="1" x14ac:dyDescent="0.3">
      <c r="A28" s="346" t="str">
        <f>'Reference Score Calculation'!A165</f>
        <v>JS4343</v>
      </c>
      <c r="B28" s="346" t="str">
        <f>'Reference Score Calculation'!C165</f>
        <v>教育學院</v>
      </c>
      <c r="C28" s="346" t="str">
        <f>'Reference Score Calculation'!D165</f>
        <v>文學士(英國語文研究)及教育學士(英國語文教育)</v>
      </c>
      <c r="D28" s="4" t="s">
        <v>2486</v>
      </c>
      <c r="E28" s="356" t="str">
        <f>'Reference Score Calculation'!E165</f>
        <v>Best 5</v>
      </c>
      <c r="F28" s="347">
        <f>'Reference Score Calculation'!F165</f>
        <v>36.250000000249997</v>
      </c>
      <c r="G28" s="347">
        <f>'Reference Score Calculation'!G165</f>
        <v>34.000000000210001</v>
      </c>
      <c r="H28" s="347">
        <f>'Reference Score Calculation'!H165</f>
        <v>31.75000000028</v>
      </c>
      <c r="I28" s="46">
        <f>計分版!H186</f>
        <v>3.9500000000000006E-9</v>
      </c>
      <c r="J28" s="7">
        <f t="shared" si="3"/>
        <v>-33.999999996260001</v>
      </c>
      <c r="K28" s="8">
        <f t="shared" si="4"/>
        <v>-8607594935.7620239</v>
      </c>
      <c r="L28" s="365">
        <f>入學要求!C174</f>
        <v>12</v>
      </c>
      <c r="M28" s="379">
        <f>入學要求!R174</f>
        <v>0</v>
      </c>
      <c r="N28" s="100"/>
      <c r="O28" s="422">
        <f>入學要求!D174</f>
        <v>3</v>
      </c>
      <c r="P28" s="422">
        <f>入學要求!E174</f>
        <v>4</v>
      </c>
      <c r="Q28" s="422">
        <f>入學要求!F174</f>
        <v>2</v>
      </c>
      <c r="R28" s="422">
        <f>入學要求!G174</f>
        <v>2</v>
      </c>
      <c r="S28" s="422">
        <f>入學要求!H174</f>
        <v>3</v>
      </c>
      <c r="T28" s="422">
        <f>入學要求!I174</f>
        <v>3</v>
      </c>
      <c r="U28" s="576"/>
      <c r="V28" s="365" cm="1">
        <f t="array" ref="V28">IFERROR(INDEX('Offer Statistics'!$BQ$2:$BQ$400,MATCH(1,($A28='Offer Statistics'!$BB$2:$BB$400)*($U$2='Offer Statistics'!$BC$2:$BC$400),0)),"/")</f>
        <v>11</v>
      </c>
      <c r="W28" s="375" cm="1">
        <f t="array" ref="W28">IFERROR(INDEX('Offer Statistics'!BL$2:BL$400,MATCH(1,($A28='Offer Statistics'!$BB$2:$BB$400)*($U$2='Offer Statistics'!$BC$2:$BC$400),0)),"/")</f>
        <v>11</v>
      </c>
      <c r="X28" s="375" cm="1">
        <f t="array" ref="X28">IFERROR(INDEX('Offer Statistics'!BM$2:BM$400,MATCH(1,($A28='Offer Statistics'!$BB$2:$BB$400)*($U$2='Offer Statistics'!$BC$2:$BC$400),0)),"/")</f>
        <v>0</v>
      </c>
      <c r="Y28" s="375" cm="1">
        <f t="array" ref="Y28">IFERROR(INDEX('Offer Statistics'!BN$2:BN$400,MATCH(1,($A28='Offer Statistics'!$BB$2:$BB$400)*($U$2='Offer Statistics'!$BC$2:$BC$400),0)),"/")</f>
        <v>0</v>
      </c>
      <c r="Z28" s="375" cm="1">
        <f t="array" ref="Z28">IFERROR(INDEX('Offer Statistics'!BO$2:BO$400,MATCH(1,($A28='Offer Statistics'!$BB$2:$BB$400)*($U$2='Offer Statistics'!$BC$2:$BC$400),0)),"/")</f>
        <v>0</v>
      </c>
      <c r="AA28" s="375" cm="1">
        <f t="array" ref="AA28">IFERROR(INDEX('Offer Statistics'!BP$2:BP$400,MATCH(1,($A28='Offer Statistics'!$BB$2:$BB$400)*($U$2='Offer Statistics'!$BC$2:$BC$400),0)),"/")</f>
        <v>0</v>
      </c>
      <c r="AB28" s="580"/>
      <c r="AC28" s="365" cm="1">
        <f t="array" ref="AC28">IFERROR(INDEX('Offer Statistics'!$BI$2:$BI$400,MATCH(1,($A28='Offer Statistics'!$BB$2:$BB$400)*($U$2='Offer Statistics'!$BC$2:$BC$400),0)),"/")</f>
        <v>843</v>
      </c>
      <c r="AD28" s="375" cm="1">
        <f t="array" ref="AD28">IFERROR(INDEX('Offer Statistics'!BD$2:BD$400,MATCH(1,($A28='Offer Statistics'!$BB$2:$BB$400)*($U$2='Offer Statistics'!$BC$2:$BC$400),0)),"/")</f>
        <v>110</v>
      </c>
      <c r="AE28" s="375" cm="1">
        <f t="array" ref="AE28">IFERROR(INDEX('Offer Statistics'!BE$2:BE$400,MATCH(1,($A28='Offer Statistics'!$BB$2:$BB$400)*($U$2='Offer Statistics'!$BC$2:$BC$400),0)),"/")</f>
        <v>103</v>
      </c>
      <c r="AF28" s="375" cm="1">
        <f t="array" ref="AF28">IFERROR(INDEX('Offer Statistics'!BF$2:BF$400,MATCH(1,($A28='Offer Statistics'!$BB$2:$BB$400)*($U$2='Offer Statistics'!$BC$2:$BC$400),0)),"/")</f>
        <v>206</v>
      </c>
      <c r="AG28" s="375" cm="1">
        <f t="array" ref="AG28">IFERROR(INDEX('Offer Statistics'!BG$2:BG$400,MATCH(1,($A28='Offer Statistics'!$BB$2:$BB$400)*($U$2='Offer Statistics'!$BC$2:$BC$400),0)),"/")</f>
        <v>250</v>
      </c>
      <c r="AH28" s="375" cm="1">
        <f t="array" ref="AH28">IFERROR(INDEX('Offer Statistics'!BH$2:BH$400,MATCH(1,($A28='Offer Statistics'!$BB$2:$BB$400)*($U$2='Offer Statistics'!$BC$2:$BC$400),0)),"/")</f>
        <v>174</v>
      </c>
      <c r="AI28" s="15"/>
      <c r="AJ28" s="354" t="str">
        <f t="shared" si="2"/>
        <v>JS4343</v>
      </c>
    </row>
    <row r="29" spans="1:36" ht="18" customHeight="1" x14ac:dyDescent="0.3">
      <c r="A29" s="346" t="str">
        <f>'Reference Score Calculation'!A166</f>
        <v>JS4361</v>
      </c>
      <c r="B29" s="346" t="str">
        <f>'Reference Score Calculation'!C166</f>
        <v>教育學院</v>
      </c>
      <c r="C29" s="346" t="str">
        <f>'Reference Score Calculation'!D166</f>
        <v>教育學士(數學及數學教育)</v>
      </c>
      <c r="D29" s="4" t="s">
        <v>876</v>
      </c>
      <c r="E29" s="356" t="str">
        <f>'Reference Score Calculation'!E166</f>
        <v>Best 5</v>
      </c>
      <c r="F29" s="347">
        <f>'Reference Score Calculation'!F166</f>
        <v>41.250000000264997</v>
      </c>
      <c r="G29" s="347">
        <f>'Reference Score Calculation'!G166</f>
        <v>47.500000000244995</v>
      </c>
      <c r="H29" s="347">
        <f>'Reference Score Calculation'!H166</f>
        <v>44.750000000284992</v>
      </c>
      <c r="I29" s="46">
        <f>計分版!H187</f>
        <v>4.1000000000000003E-9</v>
      </c>
      <c r="J29" s="7">
        <f t="shared" si="3"/>
        <v>-47.499999996144993</v>
      </c>
      <c r="K29" s="8">
        <f t="shared" si="4"/>
        <v>-11585365852.71829</v>
      </c>
      <c r="L29" s="365">
        <f>入學要求!C175</f>
        <v>12</v>
      </c>
      <c r="M29" s="379">
        <f>入學要求!R175</f>
        <v>0</v>
      </c>
      <c r="N29" s="100"/>
      <c r="O29" s="422">
        <f>入學要求!D175</f>
        <v>3</v>
      </c>
      <c r="P29" s="422">
        <f>入學要求!E175</f>
        <v>3</v>
      </c>
      <c r="Q29" s="422">
        <f>入學要求!F175</f>
        <v>4</v>
      </c>
      <c r="R29" s="422">
        <f>入學要求!G175</f>
        <v>2</v>
      </c>
      <c r="S29" s="422">
        <f>入學要求!H175</f>
        <v>3</v>
      </c>
      <c r="T29" s="422">
        <f>入學要求!I175</f>
        <v>3</v>
      </c>
      <c r="U29" s="576"/>
      <c r="V29" s="365" cm="1">
        <f t="array" ref="V29">IFERROR(INDEX('Offer Statistics'!$BQ$2:$BQ$400,MATCH(1,($A29='Offer Statistics'!$BB$2:$BB$400)*($U$2='Offer Statistics'!$BC$2:$BC$400),0)),"/")</f>
        <v>17</v>
      </c>
      <c r="W29" s="375" cm="1">
        <f t="array" ref="W29">IFERROR(INDEX('Offer Statistics'!BL$2:BL$400,MATCH(1,($A29='Offer Statistics'!$BB$2:$BB$400)*($U$2='Offer Statistics'!$BC$2:$BC$400),0)),"/")</f>
        <v>17</v>
      </c>
      <c r="X29" s="375" cm="1">
        <f t="array" ref="X29">IFERROR(INDEX('Offer Statistics'!BM$2:BM$400,MATCH(1,($A29='Offer Statistics'!$BB$2:$BB$400)*($U$2='Offer Statistics'!$BC$2:$BC$400),0)),"/")</f>
        <v>0</v>
      </c>
      <c r="Y29" s="375" cm="1">
        <f t="array" ref="Y29">IFERROR(INDEX('Offer Statistics'!BN$2:BN$400,MATCH(1,($A29='Offer Statistics'!$BB$2:$BB$400)*($U$2='Offer Statistics'!$BC$2:$BC$400),0)),"/")</f>
        <v>0</v>
      </c>
      <c r="Z29" s="375" cm="1">
        <f t="array" ref="Z29">IFERROR(INDEX('Offer Statistics'!BO$2:BO$400,MATCH(1,($A29='Offer Statistics'!$BB$2:$BB$400)*($U$2='Offer Statistics'!$BC$2:$BC$400),0)),"/")</f>
        <v>0</v>
      </c>
      <c r="AA29" s="375" cm="1">
        <f t="array" ref="AA29">IFERROR(INDEX('Offer Statistics'!BP$2:BP$400,MATCH(1,($A29='Offer Statistics'!$BB$2:$BB$400)*($U$2='Offer Statistics'!$BC$2:$BC$400),0)),"/")</f>
        <v>0</v>
      </c>
      <c r="AB29" s="580"/>
      <c r="AC29" s="365" cm="1">
        <f t="array" ref="AC29">IFERROR(INDEX('Offer Statistics'!$BI$2:$BI$400,MATCH(1,($A29='Offer Statistics'!$BB$2:$BB$400)*($U$2='Offer Statistics'!$BC$2:$BC$400),0)),"/")</f>
        <v>925</v>
      </c>
      <c r="AD29" s="375" cm="1">
        <f t="array" ref="AD29">IFERROR(INDEX('Offer Statistics'!BD$2:BD$400,MATCH(1,($A29='Offer Statistics'!$BB$2:$BB$400)*($U$2='Offer Statistics'!$BC$2:$BC$400),0)),"/")</f>
        <v>119</v>
      </c>
      <c r="AE29" s="375" cm="1">
        <f t="array" ref="AE29">IFERROR(INDEX('Offer Statistics'!BE$2:BE$400,MATCH(1,($A29='Offer Statistics'!$BB$2:$BB$400)*($U$2='Offer Statistics'!$BC$2:$BC$400),0)),"/")</f>
        <v>125</v>
      </c>
      <c r="AF29" s="375" cm="1">
        <f t="array" ref="AF29">IFERROR(INDEX('Offer Statistics'!BF$2:BF$400,MATCH(1,($A29='Offer Statistics'!$BB$2:$BB$400)*($U$2='Offer Statistics'!$BC$2:$BC$400),0)),"/")</f>
        <v>219</v>
      </c>
      <c r="AG29" s="375" cm="1">
        <f t="array" ref="AG29">IFERROR(INDEX('Offer Statistics'!BG$2:BG$400,MATCH(1,($A29='Offer Statistics'!$BB$2:$BB$400)*($U$2='Offer Statistics'!$BC$2:$BC$400),0)),"/")</f>
        <v>241</v>
      </c>
      <c r="AH29" s="375" cm="1">
        <f t="array" ref="AH29">IFERROR(INDEX('Offer Statistics'!BH$2:BH$400,MATCH(1,($A29='Offer Statistics'!$BB$2:$BB$400)*($U$2='Offer Statistics'!$BC$2:$BC$400),0)),"/")</f>
        <v>221</v>
      </c>
      <c r="AI29" s="15"/>
      <c r="AJ29" s="354" t="str">
        <f t="shared" si="2"/>
        <v>JS4361</v>
      </c>
    </row>
    <row r="30" spans="1:36" s="10" customFormat="1" ht="18" customHeight="1" x14ac:dyDescent="0.3">
      <c r="A30" s="346" t="str">
        <f>'Reference Score Calculation'!A167</f>
        <v>JS4372</v>
      </c>
      <c r="B30" s="346" t="str">
        <f>'Reference Score Calculation'!C167</f>
        <v>教育學院</v>
      </c>
      <c r="C30" s="346" t="str">
        <f>'Reference Score Calculation'!D167</f>
        <v>教育學士(幼兒教育)</v>
      </c>
      <c r="D30" s="4" t="s">
        <v>2487</v>
      </c>
      <c r="E30" s="355" t="str">
        <f>'Reference Score Calculation'!E167</f>
        <v>Best 5</v>
      </c>
      <c r="F30" s="347">
        <f>'Reference Score Calculation'!F167</f>
        <v>27.500000000229999</v>
      </c>
      <c r="G30" s="347">
        <f>'Reference Score Calculation'!G167</f>
        <v>24.5000000002</v>
      </c>
      <c r="H30" s="347">
        <f>'Reference Score Calculation'!H167</f>
        <v>23.000000000220002</v>
      </c>
      <c r="I30" s="46">
        <f>計分版!H188</f>
        <v>3.9500000000000006E-9</v>
      </c>
      <c r="J30" s="7">
        <f t="shared" si="3"/>
        <v>-24.499999996250001</v>
      </c>
      <c r="K30" s="8">
        <f t="shared" si="4"/>
        <v>-6202531644.6202526</v>
      </c>
      <c r="L30" s="365">
        <f>入學要求!C176</f>
        <v>21</v>
      </c>
      <c r="M30" s="379">
        <f>入學要求!R176</f>
        <v>0</v>
      </c>
      <c r="N30" s="100"/>
      <c r="O30" s="422">
        <f>入學要求!D176</f>
        <v>3</v>
      </c>
      <c r="P30" s="422">
        <f>入學要求!E176</f>
        <v>3</v>
      </c>
      <c r="Q30" s="422">
        <f>入學要求!F176</f>
        <v>2</v>
      </c>
      <c r="R30" s="422">
        <f>入學要求!G176</f>
        <v>2</v>
      </c>
      <c r="S30" s="422">
        <f>入學要求!H176</f>
        <v>3</v>
      </c>
      <c r="T30" s="422">
        <f>入學要求!I176</f>
        <v>3</v>
      </c>
      <c r="U30" s="576"/>
      <c r="V30" s="365" cm="1">
        <f t="array" ref="V30">IFERROR(INDEX('Offer Statistics'!$BQ$2:$BQ$400,MATCH(1,($A30='Offer Statistics'!$BB$2:$BB$400)*($U$2='Offer Statistics'!$BC$2:$BC$400),0)),"/")</f>
        <v>24</v>
      </c>
      <c r="W30" s="375" cm="1">
        <f t="array" ref="W30">IFERROR(INDEX('Offer Statistics'!BL$2:BL$400,MATCH(1,($A30='Offer Statistics'!$BB$2:$BB$400)*($U$2='Offer Statistics'!$BC$2:$BC$400),0)),"/")</f>
        <v>24</v>
      </c>
      <c r="X30" s="375" cm="1">
        <f t="array" ref="X30">IFERROR(INDEX('Offer Statistics'!BM$2:BM$400,MATCH(1,($A30='Offer Statistics'!$BB$2:$BB$400)*($U$2='Offer Statistics'!$BC$2:$BC$400),0)),"/")</f>
        <v>0</v>
      </c>
      <c r="Y30" s="375" cm="1">
        <f t="array" ref="Y30">IFERROR(INDEX('Offer Statistics'!BN$2:BN$400,MATCH(1,($A30='Offer Statistics'!$BB$2:$BB$400)*($U$2='Offer Statistics'!$BC$2:$BC$400),0)),"/")</f>
        <v>0</v>
      </c>
      <c r="Z30" s="375" cm="1">
        <f t="array" ref="Z30">IFERROR(INDEX('Offer Statistics'!BO$2:BO$400,MATCH(1,($A30='Offer Statistics'!$BB$2:$BB$400)*($U$2='Offer Statistics'!$BC$2:$BC$400),0)),"/")</f>
        <v>0</v>
      </c>
      <c r="AA30" s="375" cm="1">
        <f t="array" ref="AA30">IFERROR(INDEX('Offer Statistics'!BP$2:BP$400,MATCH(1,($A30='Offer Statistics'!$BB$2:$BB$400)*($U$2='Offer Statistics'!$BC$2:$BC$400),0)),"/")</f>
        <v>0</v>
      </c>
      <c r="AB30" s="580"/>
      <c r="AC30" s="365" cm="1">
        <f t="array" ref="AC30">IFERROR(INDEX('Offer Statistics'!$BI$2:$BI$400,MATCH(1,($A30='Offer Statistics'!$BB$2:$BB$400)*($U$2='Offer Statistics'!$BC$2:$BC$400),0)),"/")</f>
        <v>3725</v>
      </c>
      <c r="AD30" s="375" cm="1">
        <f t="array" ref="AD30">IFERROR(INDEX('Offer Statistics'!BD$2:BD$400,MATCH(1,($A30='Offer Statistics'!$BB$2:$BB$400)*($U$2='Offer Statistics'!$BC$2:$BC$400),0)),"/")</f>
        <v>444</v>
      </c>
      <c r="AE30" s="375" cm="1">
        <f t="array" ref="AE30">IFERROR(INDEX('Offer Statistics'!BE$2:BE$400,MATCH(1,($A30='Offer Statistics'!$BB$2:$BB$400)*($U$2='Offer Statistics'!$BC$2:$BC$400),0)),"/")</f>
        <v>540</v>
      </c>
      <c r="AF30" s="375" cm="1">
        <f t="array" ref="AF30">IFERROR(INDEX('Offer Statistics'!BF$2:BF$400,MATCH(1,($A30='Offer Statistics'!$BB$2:$BB$400)*($U$2='Offer Statistics'!$BC$2:$BC$400),0)),"/")</f>
        <v>854</v>
      </c>
      <c r="AG30" s="375" cm="1">
        <f t="array" ref="AG30">IFERROR(INDEX('Offer Statistics'!BG$2:BG$400,MATCH(1,($A30='Offer Statistics'!$BB$2:$BB$400)*($U$2='Offer Statistics'!$BC$2:$BC$400),0)),"/")</f>
        <v>1059</v>
      </c>
      <c r="AH30" s="375" cm="1">
        <f t="array" ref="AH30">IFERROR(INDEX('Offer Statistics'!BH$2:BH$400,MATCH(1,($A30='Offer Statistics'!$BB$2:$BB$400)*($U$2='Offer Statistics'!$BC$2:$BC$400),0)),"/")</f>
        <v>828</v>
      </c>
      <c r="AI30" s="15"/>
      <c r="AJ30" s="354" t="str">
        <f t="shared" si="2"/>
        <v>JS4372</v>
      </c>
    </row>
    <row r="31" spans="1:36" ht="18" customHeight="1" x14ac:dyDescent="0.3">
      <c r="A31" s="346" t="str">
        <f>'Reference Score Calculation'!A168</f>
        <v>JS4386</v>
      </c>
      <c r="B31" s="346" t="str">
        <f>'Reference Score Calculation'!C168</f>
        <v>教育學院/工程學院/理學院</v>
      </c>
      <c r="C31" s="346" t="str">
        <f>'Reference Score Calculation'!D168</f>
        <v>理學士（學習設計與科技）</v>
      </c>
      <c r="D31" s="4" t="s">
        <v>2488</v>
      </c>
      <c r="E31" s="376" t="str">
        <f>'Reference Score Calculation'!AD168</f>
        <v>Best 5</v>
      </c>
      <c r="F31" s="347" t="str">
        <f>'Reference Score Calculation'!F168</f>
        <v>/</v>
      </c>
      <c r="G31" s="347" t="str">
        <f>'Reference Score Calculation'!G168</f>
        <v>/</v>
      </c>
      <c r="H31" s="347" t="str">
        <f>'Reference Score Calculation'!H168</f>
        <v>/</v>
      </c>
      <c r="I31" s="46">
        <f>計分版!H189</f>
        <v>4.2250000000000006E-9</v>
      </c>
      <c r="J31" s="348" t="s">
        <v>1978</v>
      </c>
      <c r="K31" s="349" t="s">
        <v>1978</v>
      </c>
      <c r="L31" s="365">
        <f>入學要求!C177</f>
        <v>20</v>
      </c>
      <c r="M31" s="379">
        <f>入學要求!R177</f>
        <v>0</v>
      </c>
      <c r="N31" s="27"/>
      <c r="O31" s="422">
        <f>入學要求!D177</f>
        <v>3</v>
      </c>
      <c r="P31" s="422">
        <f>入學要求!E177</f>
        <v>3</v>
      </c>
      <c r="Q31" s="422">
        <f>入學要求!F177</f>
        <v>3</v>
      </c>
      <c r="R31" s="422">
        <f>入學要求!G177</f>
        <v>2</v>
      </c>
      <c r="S31" s="422">
        <f>入學要求!H177</f>
        <v>3</v>
      </c>
      <c r="T31" s="422">
        <f>入學要求!I177</f>
        <v>3</v>
      </c>
      <c r="U31" s="576"/>
      <c r="V31" s="365" t="str" cm="1">
        <f t="array" ref="V31">IFERROR(INDEX('Offer Statistics'!$BQ$2:$BQ$400,MATCH(1,($A31='Offer Statistics'!$BB$2:$BB$400)*($U$2='Offer Statistics'!$BC$2:$BC$400),0)),"/")</f>
        <v>/</v>
      </c>
      <c r="W31" s="375" t="str" cm="1">
        <f t="array" ref="W31">IFERROR(INDEX('Offer Statistics'!BL$2:BL$400,MATCH(1,($A31='Offer Statistics'!$BB$2:$BB$400)*($U$2='Offer Statistics'!$BC$2:$BC$400),0)),"/")</f>
        <v>/</v>
      </c>
      <c r="X31" s="375" t="str" cm="1">
        <f t="array" ref="X31">IFERROR(INDEX('Offer Statistics'!BM$2:BM$400,MATCH(1,($A31='Offer Statistics'!$BB$2:$BB$400)*($U$2='Offer Statistics'!$BC$2:$BC$400),0)),"/")</f>
        <v>/</v>
      </c>
      <c r="Y31" s="375" t="str" cm="1">
        <f t="array" ref="Y31">IFERROR(INDEX('Offer Statistics'!BN$2:BN$400,MATCH(1,($A31='Offer Statistics'!$BB$2:$BB$400)*($U$2='Offer Statistics'!$BC$2:$BC$400),0)),"/")</f>
        <v>/</v>
      </c>
      <c r="Z31" s="375" t="str" cm="1">
        <f t="array" ref="Z31">IFERROR(INDEX('Offer Statistics'!BO$2:BO$400,MATCH(1,($A31='Offer Statistics'!$BB$2:$BB$400)*($U$2='Offer Statistics'!$BC$2:$BC$400),0)),"/")</f>
        <v>/</v>
      </c>
      <c r="AA31" s="375" t="str" cm="1">
        <f t="array" ref="AA31">IFERROR(INDEX('Offer Statistics'!BP$2:BP$400,MATCH(1,($A31='Offer Statistics'!$BB$2:$BB$400)*($U$2='Offer Statistics'!$BC$2:$BC$400),0)),"/")</f>
        <v>/</v>
      </c>
      <c r="AB31" s="580"/>
      <c r="AC31" s="365" t="str" cm="1">
        <f t="array" ref="AC31">IFERROR(INDEX('Offer Statistics'!$BI$2:$BI$400,MATCH(1,($A31='Offer Statistics'!$BB$2:$BB$400)*($U$2='Offer Statistics'!$BC$2:$BC$400),0)),"/")</f>
        <v>/</v>
      </c>
      <c r="AD31" s="375" t="str" cm="1">
        <f t="array" ref="AD31">IFERROR(INDEX('Offer Statistics'!BD$2:BD$400,MATCH(1,($A31='Offer Statistics'!$BB$2:$BB$400)*($U$2='Offer Statistics'!$BC$2:$BC$400),0)),"/")</f>
        <v>/</v>
      </c>
      <c r="AE31" s="375" t="str" cm="1">
        <f t="array" ref="AE31">IFERROR(INDEX('Offer Statistics'!BE$2:BE$400,MATCH(1,($A31='Offer Statistics'!$BB$2:$BB$400)*($U$2='Offer Statistics'!$BC$2:$BC$400),0)),"/")</f>
        <v>/</v>
      </c>
      <c r="AF31" s="375" t="str" cm="1">
        <f t="array" ref="AF31">IFERROR(INDEX('Offer Statistics'!BF$2:BF$400,MATCH(1,($A31='Offer Statistics'!$BB$2:$BB$400)*($U$2='Offer Statistics'!$BC$2:$BC$400),0)),"/")</f>
        <v>/</v>
      </c>
      <c r="AG31" s="375" t="str" cm="1">
        <f t="array" ref="AG31">IFERROR(INDEX('Offer Statistics'!BG$2:BG$400,MATCH(1,($A31='Offer Statistics'!$BB$2:$BB$400)*($U$2='Offer Statistics'!$BC$2:$BC$400),0)),"/")</f>
        <v>/</v>
      </c>
      <c r="AH31" s="375" t="str" cm="1">
        <f t="array" ref="AH31">IFERROR(INDEX('Offer Statistics'!BH$2:BH$400,MATCH(1,($A31='Offer Statistics'!$BB$2:$BB$400)*($U$2='Offer Statistics'!$BC$2:$BC$400),0)),"/")</f>
        <v>/</v>
      </c>
      <c r="AI31" s="15"/>
      <c r="AJ31" s="354" t="str">
        <f t="shared" si="2"/>
        <v>JS4386</v>
      </c>
    </row>
    <row r="32" spans="1:36" s="10" customFormat="1" ht="18" customHeight="1" x14ac:dyDescent="0.3">
      <c r="A32" s="346" t="str">
        <f>'Reference Score Calculation'!A169</f>
        <v>JS4408</v>
      </c>
      <c r="B32" s="346" t="str">
        <f>'Reference Score Calculation'!C169</f>
        <v>工程學院</v>
      </c>
      <c r="C32" s="346" t="str">
        <f>'Reference Score Calculation'!D169</f>
        <v>機械與自動化工程學</v>
      </c>
      <c r="D32" s="4" t="s">
        <v>2489</v>
      </c>
      <c r="E32" s="376" t="str">
        <f>'Reference Score Calculation'!AD169</f>
        <v>Best 5</v>
      </c>
      <c r="F32" s="347" t="str">
        <f>'Reference Score Calculation'!F169</f>
        <v>/</v>
      </c>
      <c r="G32" s="347" t="str">
        <f>'Reference Score Calculation'!G169</f>
        <v>/</v>
      </c>
      <c r="H32" s="347" t="str">
        <f>'Reference Score Calculation'!H169</f>
        <v>/</v>
      </c>
      <c r="I32" s="46">
        <f>計分版!H190</f>
        <v>4.1000000000000003E-9</v>
      </c>
      <c r="J32" s="348" t="s">
        <v>1978</v>
      </c>
      <c r="K32" s="349" t="s">
        <v>1978</v>
      </c>
      <c r="L32" s="365">
        <f>入學要求!C178</f>
        <v>53</v>
      </c>
      <c r="M32" s="379">
        <f>入學要求!R178</f>
        <v>0</v>
      </c>
      <c r="N32" s="27"/>
      <c r="O32" s="422">
        <f>入學要求!D178</f>
        <v>3</v>
      </c>
      <c r="P32" s="422">
        <f>入學要求!E178</f>
        <v>3</v>
      </c>
      <c r="Q32" s="422">
        <f>入學要求!F178</f>
        <v>3</v>
      </c>
      <c r="R32" s="422">
        <f>入學要求!G178</f>
        <v>2</v>
      </c>
      <c r="S32" s="422">
        <f>入學要求!H178</f>
        <v>3</v>
      </c>
      <c r="T32" s="422">
        <f>入學要求!I178</f>
        <v>3</v>
      </c>
      <c r="U32" s="576"/>
      <c r="V32" s="365" t="str" cm="1">
        <f t="array" ref="V32">IFERROR(INDEX('Offer Statistics'!$BQ$2:$BQ$400,MATCH(1,($A32='Offer Statistics'!$BB$2:$BB$400)*($U$2='Offer Statistics'!$BC$2:$BC$400),0)),"/")</f>
        <v>/</v>
      </c>
      <c r="W32" s="375" t="str" cm="1">
        <f t="array" ref="W32">IFERROR(INDEX('Offer Statistics'!BL$2:BL$400,MATCH(1,($A32='Offer Statistics'!$BB$2:$BB$400)*($U$2='Offer Statistics'!$BC$2:$BC$400),0)),"/")</f>
        <v>/</v>
      </c>
      <c r="X32" s="375" t="str" cm="1">
        <f t="array" ref="X32">IFERROR(INDEX('Offer Statistics'!BM$2:BM$400,MATCH(1,($A32='Offer Statistics'!$BB$2:$BB$400)*($U$2='Offer Statistics'!$BC$2:$BC$400),0)),"/")</f>
        <v>/</v>
      </c>
      <c r="Y32" s="375" t="str" cm="1">
        <f t="array" ref="Y32">IFERROR(INDEX('Offer Statistics'!BN$2:BN$400,MATCH(1,($A32='Offer Statistics'!$BB$2:$BB$400)*($U$2='Offer Statistics'!$BC$2:$BC$400),0)),"/")</f>
        <v>/</v>
      </c>
      <c r="Z32" s="375" t="str" cm="1">
        <f t="array" ref="Z32">IFERROR(INDEX('Offer Statistics'!BO$2:BO$400,MATCH(1,($A32='Offer Statistics'!$BB$2:$BB$400)*($U$2='Offer Statistics'!$BC$2:$BC$400),0)),"/")</f>
        <v>/</v>
      </c>
      <c r="AA32" s="375" t="str" cm="1">
        <f t="array" ref="AA32">IFERROR(INDEX('Offer Statistics'!BP$2:BP$400,MATCH(1,($A32='Offer Statistics'!$BB$2:$BB$400)*($U$2='Offer Statistics'!$BC$2:$BC$400),0)),"/")</f>
        <v>/</v>
      </c>
      <c r="AB32" s="580"/>
      <c r="AC32" s="365" t="str" cm="1">
        <f t="array" ref="AC32">IFERROR(INDEX('Offer Statistics'!$BI$2:$BI$400,MATCH(1,($A32='Offer Statistics'!$BB$2:$BB$400)*($U$2='Offer Statistics'!$BC$2:$BC$400),0)),"/")</f>
        <v>/</v>
      </c>
      <c r="AD32" s="375" t="str" cm="1">
        <f t="array" ref="AD32">IFERROR(INDEX('Offer Statistics'!BD$2:BD$400,MATCH(1,($A32='Offer Statistics'!$BB$2:$BB$400)*($U$2='Offer Statistics'!$BC$2:$BC$400),0)),"/")</f>
        <v>/</v>
      </c>
      <c r="AE32" s="375" t="str" cm="1">
        <f t="array" ref="AE32">IFERROR(INDEX('Offer Statistics'!BE$2:BE$400,MATCH(1,($A32='Offer Statistics'!$BB$2:$BB$400)*($U$2='Offer Statistics'!$BC$2:$BC$400),0)),"/")</f>
        <v>/</v>
      </c>
      <c r="AF32" s="375" t="str" cm="1">
        <f t="array" ref="AF32">IFERROR(INDEX('Offer Statistics'!BF$2:BF$400,MATCH(1,($A32='Offer Statistics'!$BB$2:$BB$400)*($U$2='Offer Statistics'!$BC$2:$BC$400),0)),"/")</f>
        <v>/</v>
      </c>
      <c r="AG32" s="375" t="str" cm="1">
        <f t="array" ref="AG32">IFERROR(INDEX('Offer Statistics'!BG$2:BG$400,MATCH(1,($A32='Offer Statistics'!$BB$2:$BB$400)*($U$2='Offer Statistics'!$BC$2:$BC$400),0)),"/")</f>
        <v>/</v>
      </c>
      <c r="AH32" s="375" t="str" cm="1">
        <f t="array" ref="AH32">IFERROR(INDEX('Offer Statistics'!BH$2:BH$400,MATCH(1,($A32='Offer Statistics'!$BB$2:$BB$400)*($U$2='Offer Statistics'!$BC$2:$BC$400),0)),"/")</f>
        <v>/</v>
      </c>
      <c r="AI32" s="15"/>
      <c r="AJ32" s="354" t="str">
        <f t="shared" si="2"/>
        <v>JS4408</v>
      </c>
    </row>
    <row r="33" spans="1:36" ht="18" customHeight="1" x14ac:dyDescent="0.3">
      <c r="A33" s="346" t="str">
        <f>'Reference Score Calculation'!A170</f>
        <v>JS4412</v>
      </c>
      <c r="B33" s="346" t="str">
        <f>'Reference Score Calculation'!C170</f>
        <v>工程學院</v>
      </c>
      <c r="C33" s="346" t="str">
        <f>'Reference Score Calculation'!D170</f>
        <v>計算機科學與工程</v>
      </c>
      <c r="D33" s="4" t="s">
        <v>910</v>
      </c>
      <c r="E33" s="376" t="str">
        <f>'Reference Score Calculation'!AD170</f>
        <v>Best 5</v>
      </c>
      <c r="F33" s="347" t="str">
        <f>'Reference Score Calculation'!F170</f>
        <v>/</v>
      </c>
      <c r="G33" s="347" t="str">
        <f>'Reference Score Calculation'!G170</f>
        <v>/</v>
      </c>
      <c r="H33" s="347" t="str">
        <f>'Reference Score Calculation'!H170</f>
        <v>/</v>
      </c>
      <c r="I33" s="46">
        <f>計分版!H191</f>
        <v>4.2250000000000006E-9</v>
      </c>
      <c r="J33" s="348" t="s">
        <v>1978</v>
      </c>
      <c r="K33" s="349" t="s">
        <v>1978</v>
      </c>
      <c r="L33" s="365">
        <f>入學要求!C179</f>
        <v>107</v>
      </c>
      <c r="M33" s="379">
        <f>入學要求!R179</f>
        <v>0</v>
      </c>
      <c r="N33" s="27"/>
      <c r="O33" s="422">
        <f>入學要求!D179</f>
        <v>3</v>
      </c>
      <c r="P33" s="422">
        <f>入學要求!E179</f>
        <v>3</v>
      </c>
      <c r="Q33" s="422">
        <f>入學要求!F179</f>
        <v>4</v>
      </c>
      <c r="R33" s="422">
        <f>入學要求!G179</f>
        <v>2</v>
      </c>
      <c r="S33" s="422">
        <f>入學要求!H179</f>
        <v>3</v>
      </c>
      <c r="T33" s="422">
        <f>入學要求!I179</f>
        <v>3</v>
      </c>
      <c r="U33" s="576"/>
      <c r="V33" s="365" t="str" cm="1">
        <f t="array" ref="V33">IFERROR(INDEX('Offer Statistics'!$BQ$2:$BQ$400,MATCH(1,($A33='Offer Statistics'!$BB$2:$BB$400)*($U$2='Offer Statistics'!$BC$2:$BC$400),0)),"/")</f>
        <v>/</v>
      </c>
      <c r="W33" s="375" t="str" cm="1">
        <f t="array" ref="W33">IFERROR(INDEX('Offer Statistics'!BL$2:BL$400,MATCH(1,($A33='Offer Statistics'!$BB$2:$BB$400)*($U$2='Offer Statistics'!$BC$2:$BC$400),0)),"/")</f>
        <v>/</v>
      </c>
      <c r="X33" s="375" t="str" cm="1">
        <f t="array" ref="X33">IFERROR(INDEX('Offer Statistics'!BM$2:BM$400,MATCH(1,($A33='Offer Statistics'!$BB$2:$BB$400)*($U$2='Offer Statistics'!$BC$2:$BC$400),0)),"/")</f>
        <v>/</v>
      </c>
      <c r="Y33" s="375" t="str" cm="1">
        <f t="array" ref="Y33">IFERROR(INDEX('Offer Statistics'!BN$2:BN$400,MATCH(1,($A33='Offer Statistics'!$BB$2:$BB$400)*($U$2='Offer Statistics'!$BC$2:$BC$400),0)),"/")</f>
        <v>/</v>
      </c>
      <c r="Z33" s="375" t="str" cm="1">
        <f t="array" ref="Z33">IFERROR(INDEX('Offer Statistics'!BO$2:BO$400,MATCH(1,($A33='Offer Statistics'!$BB$2:$BB$400)*($U$2='Offer Statistics'!$BC$2:$BC$400),0)),"/")</f>
        <v>/</v>
      </c>
      <c r="AA33" s="375" t="str" cm="1">
        <f t="array" ref="AA33">IFERROR(INDEX('Offer Statistics'!BP$2:BP$400,MATCH(1,($A33='Offer Statistics'!$BB$2:$BB$400)*($U$2='Offer Statistics'!$BC$2:$BC$400),0)),"/")</f>
        <v>/</v>
      </c>
      <c r="AB33" s="580"/>
      <c r="AC33" s="365" t="str" cm="1">
        <f t="array" ref="AC33">IFERROR(INDEX('Offer Statistics'!$BI$2:$BI$400,MATCH(1,($A33='Offer Statistics'!$BB$2:$BB$400)*($U$2='Offer Statistics'!$BC$2:$BC$400),0)),"/")</f>
        <v>/</v>
      </c>
      <c r="AD33" s="375" t="str" cm="1">
        <f t="array" ref="AD33">IFERROR(INDEX('Offer Statistics'!BD$2:BD$400,MATCH(1,($A33='Offer Statistics'!$BB$2:$BB$400)*($U$2='Offer Statistics'!$BC$2:$BC$400),0)),"/")</f>
        <v>/</v>
      </c>
      <c r="AE33" s="375" t="str" cm="1">
        <f t="array" ref="AE33">IFERROR(INDEX('Offer Statistics'!BE$2:BE$400,MATCH(1,($A33='Offer Statistics'!$BB$2:$BB$400)*($U$2='Offer Statistics'!$BC$2:$BC$400),0)),"/")</f>
        <v>/</v>
      </c>
      <c r="AF33" s="375" t="str" cm="1">
        <f t="array" ref="AF33">IFERROR(INDEX('Offer Statistics'!BF$2:BF$400,MATCH(1,($A33='Offer Statistics'!$BB$2:$BB$400)*($U$2='Offer Statistics'!$BC$2:$BC$400),0)),"/")</f>
        <v>/</v>
      </c>
      <c r="AG33" s="375" t="str" cm="1">
        <f t="array" ref="AG33">IFERROR(INDEX('Offer Statistics'!BG$2:BG$400,MATCH(1,($A33='Offer Statistics'!$BB$2:$BB$400)*($U$2='Offer Statistics'!$BC$2:$BC$400),0)),"/")</f>
        <v>/</v>
      </c>
      <c r="AH33" s="375" t="str" cm="1">
        <f t="array" ref="AH33">IFERROR(INDEX('Offer Statistics'!BH$2:BH$400,MATCH(1,($A33='Offer Statistics'!$BB$2:$BB$400)*($U$2='Offer Statistics'!$BC$2:$BC$400),0)),"/")</f>
        <v>/</v>
      </c>
      <c r="AI33" s="15"/>
      <c r="AJ33" s="354" t="str">
        <f t="shared" si="2"/>
        <v>JS4412</v>
      </c>
    </row>
    <row r="34" spans="1:36" s="10" customFormat="1" ht="18" customHeight="1" x14ac:dyDescent="0.3">
      <c r="A34" s="346" t="str">
        <f>'Reference Score Calculation'!A171</f>
        <v>JS4416</v>
      </c>
      <c r="B34" s="346" t="str">
        <f>'Reference Score Calculation'!C171</f>
        <v>工程學院/理學院</v>
      </c>
      <c r="C34" s="346" t="str">
        <f>'Reference Score Calculation'!D171</f>
        <v>計算數據科學</v>
      </c>
      <c r="D34" s="4" t="s">
        <v>2490</v>
      </c>
      <c r="E34" s="376" t="str">
        <f>'Reference Score Calculation'!AD171</f>
        <v>Best 5</v>
      </c>
      <c r="F34" s="347" t="str">
        <f>'Reference Score Calculation'!F171</f>
        <v>/</v>
      </c>
      <c r="G34" s="347" t="str">
        <f>'Reference Score Calculation'!G171</f>
        <v>/</v>
      </c>
      <c r="H34" s="347" t="str">
        <f>'Reference Score Calculation'!H171</f>
        <v>/</v>
      </c>
      <c r="I34" s="46">
        <f>計分版!H192</f>
        <v>4.3500000000000001E-9</v>
      </c>
      <c r="J34" s="348" t="s">
        <v>1978</v>
      </c>
      <c r="K34" s="349" t="s">
        <v>1978</v>
      </c>
      <c r="L34" s="365">
        <f>入學要求!C180</f>
        <v>20</v>
      </c>
      <c r="M34" s="379">
        <f>入學要求!R180</f>
        <v>0</v>
      </c>
      <c r="N34" s="27"/>
      <c r="O34" s="422">
        <f>入學要求!D180</f>
        <v>3</v>
      </c>
      <c r="P34" s="422">
        <f>入學要求!E180</f>
        <v>4</v>
      </c>
      <c r="Q34" s="422">
        <f>入學要求!F180</f>
        <v>4</v>
      </c>
      <c r="R34" s="422">
        <f>入學要求!G180</f>
        <v>2</v>
      </c>
      <c r="S34" s="422">
        <f>入學要求!H180</f>
        <v>3</v>
      </c>
      <c r="T34" s="422">
        <f>入學要求!I180</f>
        <v>3</v>
      </c>
      <c r="U34" s="576"/>
      <c r="V34" s="365" t="str" cm="1">
        <f t="array" ref="V34">IFERROR(INDEX('Offer Statistics'!$BQ$2:$BQ$400,MATCH(1,($A34='Offer Statistics'!$BB$2:$BB$400)*($U$2='Offer Statistics'!$BC$2:$BC$400),0)),"/")</f>
        <v>/</v>
      </c>
      <c r="W34" s="375" t="str" cm="1">
        <f t="array" ref="W34">IFERROR(INDEX('Offer Statistics'!BL$2:BL$400,MATCH(1,($A34='Offer Statistics'!$BB$2:$BB$400)*($U$2='Offer Statistics'!$BC$2:$BC$400),0)),"/")</f>
        <v>/</v>
      </c>
      <c r="X34" s="375" t="str" cm="1">
        <f t="array" ref="X34">IFERROR(INDEX('Offer Statistics'!BM$2:BM$400,MATCH(1,($A34='Offer Statistics'!$BB$2:$BB$400)*($U$2='Offer Statistics'!$BC$2:$BC$400),0)),"/")</f>
        <v>/</v>
      </c>
      <c r="Y34" s="375" t="str" cm="1">
        <f t="array" ref="Y34">IFERROR(INDEX('Offer Statistics'!BN$2:BN$400,MATCH(1,($A34='Offer Statistics'!$BB$2:$BB$400)*($U$2='Offer Statistics'!$BC$2:$BC$400),0)),"/")</f>
        <v>/</v>
      </c>
      <c r="Z34" s="375" t="str" cm="1">
        <f t="array" ref="Z34">IFERROR(INDEX('Offer Statistics'!BO$2:BO$400,MATCH(1,($A34='Offer Statistics'!$BB$2:$BB$400)*($U$2='Offer Statistics'!$BC$2:$BC$400),0)),"/")</f>
        <v>/</v>
      </c>
      <c r="AA34" s="375" t="str" cm="1">
        <f t="array" ref="AA34">IFERROR(INDEX('Offer Statistics'!BP$2:BP$400,MATCH(1,($A34='Offer Statistics'!$BB$2:$BB$400)*($U$2='Offer Statistics'!$BC$2:$BC$400),0)),"/")</f>
        <v>/</v>
      </c>
      <c r="AB34" s="580"/>
      <c r="AC34" s="365" t="str" cm="1">
        <f t="array" ref="AC34">IFERROR(INDEX('Offer Statistics'!$BI$2:$BI$400,MATCH(1,($A34='Offer Statistics'!$BB$2:$BB$400)*($U$2='Offer Statistics'!$BC$2:$BC$400),0)),"/")</f>
        <v>/</v>
      </c>
      <c r="AD34" s="375" t="str" cm="1">
        <f t="array" ref="AD34">IFERROR(INDEX('Offer Statistics'!BD$2:BD$400,MATCH(1,($A34='Offer Statistics'!$BB$2:$BB$400)*($U$2='Offer Statistics'!$BC$2:$BC$400),0)),"/")</f>
        <v>/</v>
      </c>
      <c r="AE34" s="375" t="str" cm="1">
        <f t="array" ref="AE34">IFERROR(INDEX('Offer Statistics'!BE$2:BE$400,MATCH(1,($A34='Offer Statistics'!$BB$2:$BB$400)*($U$2='Offer Statistics'!$BC$2:$BC$400),0)),"/")</f>
        <v>/</v>
      </c>
      <c r="AF34" s="375" t="str" cm="1">
        <f t="array" ref="AF34">IFERROR(INDEX('Offer Statistics'!BF$2:BF$400,MATCH(1,($A34='Offer Statistics'!$BB$2:$BB$400)*($U$2='Offer Statistics'!$BC$2:$BC$400),0)),"/")</f>
        <v>/</v>
      </c>
      <c r="AG34" s="375" t="str" cm="1">
        <f t="array" ref="AG34">IFERROR(INDEX('Offer Statistics'!BG$2:BG$400,MATCH(1,($A34='Offer Statistics'!$BB$2:$BB$400)*($U$2='Offer Statistics'!$BC$2:$BC$400),0)),"/")</f>
        <v>/</v>
      </c>
      <c r="AH34" s="375" t="str" cm="1">
        <f t="array" ref="AH34">IFERROR(INDEX('Offer Statistics'!BH$2:BH$400,MATCH(1,($A34='Offer Statistics'!$BB$2:$BB$400)*($U$2='Offer Statistics'!$BC$2:$BC$400),0)),"/")</f>
        <v>/</v>
      </c>
      <c r="AI34" s="15"/>
      <c r="AJ34" s="354" t="str">
        <f t="shared" si="2"/>
        <v>JS4416</v>
      </c>
    </row>
    <row r="35" spans="1:36" ht="18" customHeight="1" x14ac:dyDescent="0.3">
      <c r="A35" s="346" t="str">
        <f>'Reference Score Calculation'!A172</f>
        <v>JS4428</v>
      </c>
      <c r="B35" s="346" t="str">
        <f>'Reference Score Calculation'!C172</f>
        <v>工程學院</v>
      </c>
      <c r="C35" s="346" t="str">
        <f>'Reference Score Calculation'!D172</f>
        <v>金融科技學</v>
      </c>
      <c r="D35" s="4" t="s">
        <v>928</v>
      </c>
      <c r="E35" s="356" t="str">
        <f>'Reference Score Calculation'!E172</f>
        <v>Best 5</v>
      </c>
      <c r="F35" s="347">
        <f>'Reference Score Calculation'!F172</f>
        <v>49.750000000360004</v>
      </c>
      <c r="G35" s="347">
        <f>'Reference Score Calculation'!G172</f>
        <v>46.125000000392504</v>
      </c>
      <c r="H35" s="347">
        <f>'Reference Score Calculation'!H172</f>
        <v>45.750000000379998</v>
      </c>
      <c r="I35" s="46">
        <f>計分版!H193</f>
        <v>4.2250000000000006E-9</v>
      </c>
      <c r="J35" s="7">
        <f t="shared" si="3"/>
        <v>-46.124999996167503</v>
      </c>
      <c r="K35" s="8">
        <f t="shared" si="4"/>
        <v>-10917159762.406507</v>
      </c>
      <c r="L35" s="365">
        <f>入學要求!C181</f>
        <v>35</v>
      </c>
      <c r="M35" s="379">
        <f>入學要求!R181</f>
        <v>0</v>
      </c>
      <c r="N35" s="27"/>
      <c r="O35" s="422">
        <f>入學要求!D181</f>
        <v>3</v>
      </c>
      <c r="P35" s="422">
        <f>入學要求!E181</f>
        <v>3</v>
      </c>
      <c r="Q35" s="422">
        <f>入學要求!F181</f>
        <v>4</v>
      </c>
      <c r="R35" s="422">
        <f>入學要求!G181</f>
        <v>3</v>
      </c>
      <c r="S35" s="422">
        <f>入學要求!H181</f>
        <v>3</v>
      </c>
      <c r="T35" s="422">
        <f>入學要求!I181</f>
        <v>3</v>
      </c>
      <c r="U35" s="576"/>
      <c r="V35" s="365" cm="1">
        <f t="array" ref="V35">IFERROR(INDEX('Offer Statistics'!$BQ$2:$BQ$400,MATCH(1,($A35='Offer Statistics'!$BB$2:$BB$400)*($U$2='Offer Statistics'!$BC$2:$BC$400),0)),"/")</f>
        <v>33</v>
      </c>
      <c r="W35" s="375" cm="1">
        <f t="array" ref="W35">IFERROR(INDEX('Offer Statistics'!BL$2:BL$400,MATCH(1,($A35='Offer Statistics'!$BB$2:$BB$400)*($U$2='Offer Statistics'!$BC$2:$BC$400),0)),"/")</f>
        <v>33</v>
      </c>
      <c r="X35" s="375" cm="1">
        <f t="array" ref="X35">IFERROR(INDEX('Offer Statistics'!BM$2:BM$400,MATCH(1,($A35='Offer Statistics'!$BB$2:$BB$400)*($U$2='Offer Statistics'!$BC$2:$BC$400),0)),"/")</f>
        <v>0</v>
      </c>
      <c r="Y35" s="375" cm="1">
        <f t="array" ref="Y35">IFERROR(INDEX('Offer Statistics'!BN$2:BN$400,MATCH(1,($A35='Offer Statistics'!$BB$2:$BB$400)*($U$2='Offer Statistics'!$BC$2:$BC$400),0)),"/")</f>
        <v>0</v>
      </c>
      <c r="Z35" s="375" cm="1">
        <f t="array" ref="Z35">IFERROR(INDEX('Offer Statistics'!BO$2:BO$400,MATCH(1,($A35='Offer Statistics'!$BB$2:$BB$400)*($U$2='Offer Statistics'!$BC$2:$BC$400),0)),"/")</f>
        <v>0</v>
      </c>
      <c r="AA35" s="375" cm="1">
        <f t="array" ref="AA35">IFERROR(INDEX('Offer Statistics'!BP$2:BP$400,MATCH(1,($A35='Offer Statistics'!$BB$2:$BB$400)*($U$2='Offer Statistics'!$BC$2:$BC$400),0)),"/")</f>
        <v>0</v>
      </c>
      <c r="AB35" s="580"/>
      <c r="AC35" s="365" cm="1">
        <f t="array" ref="AC35">IFERROR(INDEX('Offer Statistics'!$BI$2:$BI$400,MATCH(1,($A35='Offer Statistics'!$BB$2:$BB$400)*($U$2='Offer Statistics'!$BC$2:$BC$400),0)),"/")</f>
        <v>1045</v>
      </c>
      <c r="AD35" s="375" cm="1">
        <f t="array" ref="AD35">IFERROR(INDEX('Offer Statistics'!BD$2:BD$400,MATCH(1,($A35='Offer Statistics'!$BB$2:$BB$400)*($U$2='Offer Statistics'!$BC$2:$BC$400),0)),"/")</f>
        <v>194</v>
      </c>
      <c r="AE35" s="375" cm="1">
        <f t="array" ref="AE35">IFERROR(INDEX('Offer Statistics'!BE$2:BE$400,MATCH(1,($A35='Offer Statistics'!$BB$2:$BB$400)*($U$2='Offer Statistics'!$BC$2:$BC$400),0)),"/")</f>
        <v>137</v>
      </c>
      <c r="AF35" s="375" cm="1">
        <f t="array" ref="AF35">IFERROR(INDEX('Offer Statistics'!BF$2:BF$400,MATCH(1,($A35='Offer Statistics'!$BB$2:$BB$400)*($U$2='Offer Statistics'!$BC$2:$BC$400),0)),"/")</f>
        <v>226</v>
      </c>
      <c r="AG35" s="375" cm="1">
        <f t="array" ref="AG35">IFERROR(INDEX('Offer Statistics'!BG$2:BG$400,MATCH(1,($A35='Offer Statistics'!$BB$2:$BB$400)*($U$2='Offer Statistics'!$BC$2:$BC$400),0)),"/")</f>
        <v>274</v>
      </c>
      <c r="AH35" s="375" cm="1">
        <f t="array" ref="AH35">IFERROR(INDEX('Offer Statistics'!BH$2:BH$400,MATCH(1,($A35='Offer Statistics'!$BB$2:$BB$400)*($U$2='Offer Statistics'!$BC$2:$BC$400),0)),"/")</f>
        <v>214</v>
      </c>
      <c r="AI35" s="15"/>
      <c r="AJ35" s="354" t="str">
        <f t="shared" si="2"/>
        <v>JS4428</v>
      </c>
    </row>
    <row r="36" spans="1:36" s="10" customFormat="1" ht="18" customHeight="1" x14ac:dyDescent="0.3">
      <c r="A36" s="346" t="str">
        <f>'Reference Score Calculation'!A173</f>
        <v>JS4434</v>
      </c>
      <c r="B36" s="346" t="str">
        <f>'Reference Score Calculation'!C173</f>
        <v>工程學院</v>
      </c>
      <c r="C36" s="346" t="str">
        <f>'Reference Score Calculation'!D173</f>
        <v>電子工程學</v>
      </c>
      <c r="D36" s="4" t="s">
        <v>2491</v>
      </c>
      <c r="E36" s="356" t="str">
        <f>'Reference Score Calculation'!E173</f>
        <v>Best 5</v>
      </c>
      <c r="F36" s="347">
        <f>'Reference Score Calculation'!F173</f>
        <v>30.000000000324999</v>
      </c>
      <c r="G36" s="347">
        <f>'Reference Score Calculation'!G173</f>
        <v>27.750000000255</v>
      </c>
      <c r="H36" s="347">
        <f>'Reference Score Calculation'!H173</f>
        <v>26.250000000295</v>
      </c>
      <c r="I36" s="46">
        <f>計分版!H194</f>
        <v>4.1000000000000003E-9</v>
      </c>
      <c r="J36" s="7">
        <f t="shared" si="3"/>
        <v>-27.749999996155001</v>
      </c>
      <c r="K36" s="8">
        <f t="shared" si="4"/>
        <v>-6768292681.9890242</v>
      </c>
      <c r="L36" s="365">
        <f>入學要求!C182</f>
        <v>53</v>
      </c>
      <c r="M36" s="379">
        <f>入學要求!R182</f>
        <v>0</v>
      </c>
      <c r="N36" s="27"/>
      <c r="O36" s="422">
        <f>入學要求!D182</f>
        <v>3</v>
      </c>
      <c r="P36" s="422">
        <f>入學要求!E182</f>
        <v>3</v>
      </c>
      <c r="Q36" s="422">
        <f>入學要求!F182</f>
        <v>3</v>
      </c>
      <c r="R36" s="422">
        <f>入學要求!G182</f>
        <v>2</v>
      </c>
      <c r="S36" s="422">
        <f>入學要求!H182</f>
        <v>3</v>
      </c>
      <c r="T36" s="422">
        <f>入學要求!I182</f>
        <v>3</v>
      </c>
      <c r="U36" s="576"/>
      <c r="V36" s="365" cm="1">
        <f t="array" ref="V36">IFERROR(INDEX('Offer Statistics'!$BQ$2:$BQ$400,MATCH(1,($A36='Offer Statistics'!$BB$2:$BB$400)*($U$2='Offer Statistics'!$BC$2:$BC$400),0)),"/")</f>
        <v>32</v>
      </c>
      <c r="W36" s="375" cm="1">
        <f t="array" ref="W36">IFERROR(INDEX('Offer Statistics'!BL$2:BL$400,MATCH(1,($A36='Offer Statistics'!$BB$2:$BB$400)*($U$2='Offer Statistics'!$BC$2:$BC$400),0)),"/")</f>
        <v>32</v>
      </c>
      <c r="X36" s="375" cm="1">
        <f t="array" ref="X36">IFERROR(INDEX('Offer Statistics'!BM$2:BM$400,MATCH(1,($A36='Offer Statistics'!$BB$2:$BB$400)*($U$2='Offer Statistics'!$BC$2:$BC$400),0)),"/")</f>
        <v>0</v>
      </c>
      <c r="Y36" s="375" cm="1">
        <f t="array" ref="Y36">IFERROR(INDEX('Offer Statistics'!BN$2:BN$400,MATCH(1,($A36='Offer Statistics'!$BB$2:$BB$400)*($U$2='Offer Statistics'!$BC$2:$BC$400),0)),"/")</f>
        <v>0</v>
      </c>
      <c r="Z36" s="375" cm="1">
        <f t="array" ref="Z36">IFERROR(INDEX('Offer Statistics'!BO$2:BO$400,MATCH(1,($A36='Offer Statistics'!$BB$2:$BB$400)*($U$2='Offer Statistics'!$BC$2:$BC$400),0)),"/")</f>
        <v>0</v>
      </c>
      <c r="AA36" s="375" cm="1">
        <f t="array" ref="AA36">IFERROR(INDEX('Offer Statistics'!BP$2:BP$400,MATCH(1,($A36='Offer Statistics'!$BB$2:$BB$400)*($U$2='Offer Statistics'!$BC$2:$BC$400),0)),"/")</f>
        <v>0</v>
      </c>
      <c r="AB36" s="580"/>
      <c r="AC36" s="365" cm="1">
        <f t="array" ref="AC36">IFERROR(INDEX('Offer Statistics'!$BI$2:$BI$400,MATCH(1,($A36='Offer Statistics'!$BB$2:$BB$400)*($U$2='Offer Statistics'!$BC$2:$BC$400),0)),"/")</f>
        <v>2692</v>
      </c>
      <c r="AD36" s="375" cm="1">
        <f t="array" ref="AD36">IFERROR(INDEX('Offer Statistics'!BD$2:BD$400,MATCH(1,($A36='Offer Statistics'!$BB$2:$BB$400)*($U$2='Offer Statistics'!$BC$2:$BC$400),0)),"/")</f>
        <v>275</v>
      </c>
      <c r="AE36" s="375" cm="1">
        <f t="array" ref="AE36">IFERROR(INDEX('Offer Statistics'!BE$2:BE$400,MATCH(1,($A36='Offer Statistics'!$BB$2:$BB$400)*($U$2='Offer Statistics'!$BC$2:$BC$400),0)),"/")</f>
        <v>438</v>
      </c>
      <c r="AF36" s="375" cm="1">
        <f t="array" ref="AF36">IFERROR(INDEX('Offer Statistics'!BF$2:BF$400,MATCH(1,($A36='Offer Statistics'!$BB$2:$BB$400)*($U$2='Offer Statistics'!$BC$2:$BC$400),0)),"/")</f>
        <v>663</v>
      </c>
      <c r="AG36" s="375" cm="1">
        <f t="array" ref="AG36">IFERROR(INDEX('Offer Statistics'!BG$2:BG$400,MATCH(1,($A36='Offer Statistics'!$BB$2:$BB$400)*($U$2='Offer Statistics'!$BC$2:$BC$400),0)),"/")</f>
        <v>792</v>
      </c>
      <c r="AH36" s="375" cm="1">
        <f t="array" ref="AH36">IFERROR(INDEX('Offer Statistics'!BH$2:BH$400,MATCH(1,($A36='Offer Statistics'!$BB$2:$BB$400)*($U$2='Offer Statistics'!$BC$2:$BC$400),0)),"/")</f>
        <v>524</v>
      </c>
      <c r="AI36" s="15"/>
      <c r="AJ36" s="354" t="str">
        <f t="shared" si="2"/>
        <v>JS4434</v>
      </c>
    </row>
    <row r="37" spans="1:36" ht="18" customHeight="1" x14ac:dyDescent="0.3">
      <c r="A37" s="346" t="str">
        <f>'Reference Score Calculation'!A174</f>
        <v>JS4446</v>
      </c>
      <c r="B37" s="346" t="str">
        <f>'Reference Score Calculation'!C174</f>
        <v>工程學院</v>
      </c>
      <c r="C37" s="346" t="str">
        <f>'Reference Score Calculation'!D174</f>
        <v>信息工程學</v>
      </c>
      <c r="D37" s="4" t="s">
        <v>937</v>
      </c>
      <c r="E37" s="376" t="str">
        <f>'Reference Score Calculation'!AD174</f>
        <v>Best 5</v>
      </c>
      <c r="F37" s="347" t="str">
        <f>'Reference Score Calculation'!F174</f>
        <v>/</v>
      </c>
      <c r="G37" s="347" t="str">
        <f>'Reference Score Calculation'!G174</f>
        <v>/</v>
      </c>
      <c r="H37" s="347" t="str">
        <f>'Reference Score Calculation'!H174</f>
        <v>/</v>
      </c>
      <c r="I37" s="46">
        <f>計分版!H195</f>
        <v>4.2250000000000006E-9</v>
      </c>
      <c r="J37" s="348" t="s">
        <v>1978</v>
      </c>
      <c r="K37" s="349" t="s">
        <v>1978</v>
      </c>
      <c r="L37" s="365">
        <f>入學要求!C183</f>
        <v>75</v>
      </c>
      <c r="M37" s="379">
        <f>入學要求!R183</f>
        <v>0</v>
      </c>
      <c r="N37" s="27"/>
      <c r="O37" s="422">
        <f>入學要求!D183</f>
        <v>3</v>
      </c>
      <c r="P37" s="422">
        <f>入學要求!E183</f>
        <v>3</v>
      </c>
      <c r="Q37" s="422">
        <f>入學要求!F183</f>
        <v>4</v>
      </c>
      <c r="R37" s="422">
        <f>入學要求!G183</f>
        <v>2</v>
      </c>
      <c r="S37" s="422">
        <f>入學要求!H183</f>
        <v>3</v>
      </c>
      <c r="T37" s="422">
        <f>入學要求!I183</f>
        <v>3</v>
      </c>
      <c r="U37" s="576"/>
      <c r="V37" s="365" t="str" cm="1">
        <f t="array" ref="V37">IFERROR(INDEX('Offer Statistics'!$BQ$2:$BQ$400,MATCH(1,($A37='Offer Statistics'!$BB$2:$BB$400)*($U$2='Offer Statistics'!$BC$2:$BC$400),0)),"/")</f>
        <v>/</v>
      </c>
      <c r="W37" s="375" t="str" cm="1">
        <f t="array" ref="W37">IFERROR(INDEX('Offer Statistics'!BL$2:BL$400,MATCH(1,($A37='Offer Statistics'!$BB$2:$BB$400)*($U$2='Offer Statistics'!$BC$2:$BC$400),0)),"/")</f>
        <v>/</v>
      </c>
      <c r="X37" s="375" t="str" cm="1">
        <f t="array" ref="X37">IFERROR(INDEX('Offer Statistics'!BM$2:BM$400,MATCH(1,($A37='Offer Statistics'!$BB$2:$BB$400)*($U$2='Offer Statistics'!$BC$2:$BC$400),0)),"/")</f>
        <v>/</v>
      </c>
      <c r="Y37" s="375" t="str" cm="1">
        <f t="array" ref="Y37">IFERROR(INDEX('Offer Statistics'!BN$2:BN$400,MATCH(1,($A37='Offer Statistics'!$BB$2:$BB$400)*($U$2='Offer Statistics'!$BC$2:$BC$400),0)),"/")</f>
        <v>/</v>
      </c>
      <c r="Z37" s="375" t="str" cm="1">
        <f t="array" ref="Z37">IFERROR(INDEX('Offer Statistics'!BO$2:BO$400,MATCH(1,($A37='Offer Statistics'!$BB$2:$BB$400)*($U$2='Offer Statistics'!$BC$2:$BC$400),0)),"/")</f>
        <v>/</v>
      </c>
      <c r="AA37" s="375" t="str" cm="1">
        <f t="array" ref="AA37">IFERROR(INDEX('Offer Statistics'!BP$2:BP$400,MATCH(1,($A37='Offer Statistics'!$BB$2:$BB$400)*($U$2='Offer Statistics'!$BC$2:$BC$400),0)),"/")</f>
        <v>/</v>
      </c>
      <c r="AB37" s="580"/>
      <c r="AC37" s="365" t="str" cm="1">
        <f t="array" ref="AC37">IFERROR(INDEX('Offer Statistics'!$BI$2:$BI$400,MATCH(1,($A37='Offer Statistics'!$BB$2:$BB$400)*($U$2='Offer Statistics'!$BC$2:$BC$400),0)),"/")</f>
        <v>/</v>
      </c>
      <c r="AD37" s="375" t="str" cm="1">
        <f t="array" ref="AD37">IFERROR(INDEX('Offer Statistics'!BD$2:BD$400,MATCH(1,($A37='Offer Statistics'!$BB$2:$BB$400)*($U$2='Offer Statistics'!$BC$2:$BC$400),0)),"/")</f>
        <v>/</v>
      </c>
      <c r="AE37" s="375" t="str" cm="1">
        <f t="array" ref="AE37">IFERROR(INDEX('Offer Statistics'!BE$2:BE$400,MATCH(1,($A37='Offer Statistics'!$BB$2:$BB$400)*($U$2='Offer Statistics'!$BC$2:$BC$400),0)),"/")</f>
        <v>/</v>
      </c>
      <c r="AF37" s="375" t="str" cm="1">
        <f t="array" ref="AF37">IFERROR(INDEX('Offer Statistics'!BF$2:BF$400,MATCH(1,($A37='Offer Statistics'!$BB$2:$BB$400)*($U$2='Offer Statistics'!$BC$2:$BC$400),0)),"/")</f>
        <v>/</v>
      </c>
      <c r="AG37" s="375" t="str" cm="1">
        <f t="array" ref="AG37">IFERROR(INDEX('Offer Statistics'!BG$2:BG$400,MATCH(1,($A37='Offer Statistics'!$BB$2:$BB$400)*($U$2='Offer Statistics'!$BC$2:$BC$400),0)),"/")</f>
        <v>/</v>
      </c>
      <c r="AH37" s="375" t="str" cm="1">
        <f t="array" ref="AH37">IFERROR(INDEX('Offer Statistics'!BH$2:BH$400,MATCH(1,($A37='Offer Statistics'!$BB$2:$BB$400)*($U$2='Offer Statistics'!$BC$2:$BC$400),0)),"/")</f>
        <v>/</v>
      </c>
      <c r="AI37" s="15"/>
      <c r="AJ37" s="354" t="str">
        <f t="shared" si="2"/>
        <v>JS4446</v>
      </c>
    </row>
    <row r="38" spans="1:36" s="10" customFormat="1" ht="18" customHeight="1" x14ac:dyDescent="0.3">
      <c r="A38" s="346" t="str">
        <f>'Reference Score Calculation'!A175</f>
        <v>JS4458</v>
      </c>
      <c r="B38" s="346" t="str">
        <f>'Reference Score Calculation'!C175</f>
        <v>工程學院</v>
      </c>
      <c r="C38" s="346" t="str">
        <f>'Reference Score Calculation'!D175</f>
        <v>系統工程與工程管理</v>
      </c>
      <c r="D38" s="4" t="s">
        <v>941</v>
      </c>
      <c r="E38" s="376" t="str">
        <f>'Reference Score Calculation'!AD175</f>
        <v>Best 5</v>
      </c>
      <c r="F38" s="347" t="str">
        <f>'Reference Score Calculation'!F175</f>
        <v>/</v>
      </c>
      <c r="G38" s="347" t="str">
        <f>'Reference Score Calculation'!G175</f>
        <v>/</v>
      </c>
      <c r="H38" s="347" t="str">
        <f>'Reference Score Calculation'!H175</f>
        <v>/</v>
      </c>
      <c r="I38" s="46">
        <f>計分版!H196</f>
        <v>4.1000000000000003E-9</v>
      </c>
      <c r="J38" s="348" t="s">
        <v>1978</v>
      </c>
      <c r="K38" s="349" t="s">
        <v>1978</v>
      </c>
      <c r="L38" s="365">
        <f>入學要求!C184</f>
        <v>53</v>
      </c>
      <c r="M38" s="379">
        <f>入學要求!R184</f>
        <v>0</v>
      </c>
      <c r="N38" s="27"/>
      <c r="O38" s="422">
        <f>入學要求!D184</f>
        <v>3</v>
      </c>
      <c r="P38" s="422">
        <f>入學要求!E184</f>
        <v>3</v>
      </c>
      <c r="Q38" s="422">
        <f>入學要求!F184</f>
        <v>3</v>
      </c>
      <c r="R38" s="422">
        <f>入學要求!G184</f>
        <v>2</v>
      </c>
      <c r="S38" s="422">
        <f>入學要求!H184</f>
        <v>3</v>
      </c>
      <c r="T38" s="422">
        <f>入學要求!I184</f>
        <v>3</v>
      </c>
      <c r="U38" s="576"/>
      <c r="V38" s="365" t="str" cm="1">
        <f t="array" ref="V38">IFERROR(INDEX('Offer Statistics'!$BQ$2:$BQ$400,MATCH(1,($A38='Offer Statistics'!$BB$2:$BB$400)*($U$2='Offer Statistics'!$BC$2:$BC$400),0)),"/")</f>
        <v>/</v>
      </c>
      <c r="W38" s="375" t="str" cm="1">
        <f t="array" ref="W38">IFERROR(INDEX('Offer Statistics'!BL$2:BL$400,MATCH(1,($A38='Offer Statistics'!$BB$2:$BB$400)*($U$2='Offer Statistics'!$BC$2:$BC$400),0)),"/")</f>
        <v>/</v>
      </c>
      <c r="X38" s="375" t="str" cm="1">
        <f t="array" ref="X38">IFERROR(INDEX('Offer Statistics'!BM$2:BM$400,MATCH(1,($A38='Offer Statistics'!$BB$2:$BB$400)*($U$2='Offer Statistics'!$BC$2:$BC$400),0)),"/")</f>
        <v>/</v>
      </c>
      <c r="Y38" s="375" t="str" cm="1">
        <f t="array" ref="Y38">IFERROR(INDEX('Offer Statistics'!BN$2:BN$400,MATCH(1,($A38='Offer Statistics'!$BB$2:$BB$400)*($U$2='Offer Statistics'!$BC$2:$BC$400),0)),"/")</f>
        <v>/</v>
      </c>
      <c r="Z38" s="375" t="str" cm="1">
        <f t="array" ref="Z38">IFERROR(INDEX('Offer Statistics'!BO$2:BO$400,MATCH(1,($A38='Offer Statistics'!$BB$2:$BB$400)*($U$2='Offer Statistics'!$BC$2:$BC$400),0)),"/")</f>
        <v>/</v>
      </c>
      <c r="AA38" s="375" t="str" cm="1">
        <f t="array" ref="AA38">IFERROR(INDEX('Offer Statistics'!BP$2:BP$400,MATCH(1,($A38='Offer Statistics'!$BB$2:$BB$400)*($U$2='Offer Statistics'!$BC$2:$BC$400),0)),"/")</f>
        <v>/</v>
      </c>
      <c r="AB38" s="580"/>
      <c r="AC38" s="365" t="str" cm="1">
        <f t="array" ref="AC38">IFERROR(INDEX('Offer Statistics'!$BI$2:$BI$400,MATCH(1,($A38='Offer Statistics'!$BB$2:$BB$400)*($U$2='Offer Statistics'!$BC$2:$BC$400),0)),"/")</f>
        <v>/</v>
      </c>
      <c r="AD38" s="375" t="str" cm="1">
        <f t="array" ref="AD38">IFERROR(INDEX('Offer Statistics'!BD$2:BD$400,MATCH(1,($A38='Offer Statistics'!$BB$2:$BB$400)*($U$2='Offer Statistics'!$BC$2:$BC$400),0)),"/")</f>
        <v>/</v>
      </c>
      <c r="AE38" s="375" t="str" cm="1">
        <f t="array" ref="AE38">IFERROR(INDEX('Offer Statistics'!BE$2:BE$400,MATCH(1,($A38='Offer Statistics'!$BB$2:$BB$400)*($U$2='Offer Statistics'!$BC$2:$BC$400),0)),"/")</f>
        <v>/</v>
      </c>
      <c r="AF38" s="375" t="str" cm="1">
        <f t="array" ref="AF38">IFERROR(INDEX('Offer Statistics'!BF$2:BF$400,MATCH(1,($A38='Offer Statistics'!$BB$2:$BB$400)*($U$2='Offer Statistics'!$BC$2:$BC$400),0)),"/")</f>
        <v>/</v>
      </c>
      <c r="AG38" s="375" t="str" cm="1">
        <f t="array" ref="AG38">IFERROR(INDEX('Offer Statistics'!BG$2:BG$400,MATCH(1,($A38='Offer Statistics'!$BB$2:$BB$400)*($U$2='Offer Statistics'!$BC$2:$BC$400),0)),"/")</f>
        <v>/</v>
      </c>
      <c r="AH38" s="375" t="str" cm="1">
        <f t="array" ref="AH38">IFERROR(INDEX('Offer Statistics'!BH$2:BH$400,MATCH(1,($A38='Offer Statistics'!$BB$2:$BB$400)*($U$2='Offer Statistics'!$BC$2:$BC$400),0)),"/")</f>
        <v>/</v>
      </c>
      <c r="AI38" s="15"/>
      <c r="AJ38" s="354" t="str">
        <f t="shared" si="2"/>
        <v>JS4458</v>
      </c>
    </row>
    <row r="39" spans="1:36" ht="18" customHeight="1" x14ac:dyDescent="0.3">
      <c r="A39" s="346" t="str">
        <f>'Reference Score Calculation'!A176</f>
        <v>JS4460</v>
      </c>
      <c r="B39" s="346" t="str">
        <f>'Reference Score Calculation'!C176</f>
        <v>工程學院</v>
      </c>
      <c r="C39" s="346" t="str">
        <f>'Reference Score Calculation'!D176</f>
        <v>生物醫學工程學</v>
      </c>
      <c r="D39" s="4" t="s">
        <v>2371</v>
      </c>
      <c r="E39" s="356" t="str">
        <f>'Reference Score Calculation'!E176</f>
        <v>Best 5</v>
      </c>
      <c r="F39" s="347">
        <f>'Reference Score Calculation'!F176</f>
        <v>44.500000000409997</v>
      </c>
      <c r="G39" s="347">
        <f>'Reference Score Calculation'!G176</f>
        <v>39.000000000390003</v>
      </c>
      <c r="H39" s="347">
        <f>'Reference Score Calculation'!H176</f>
        <v>38.500000000409997</v>
      </c>
      <c r="I39" s="46">
        <f>計分版!H197</f>
        <v>3.9500000000000006E-9</v>
      </c>
      <c r="J39" s="7">
        <f t="shared" si="3"/>
        <v>-38.999999996440003</v>
      </c>
      <c r="K39" s="8">
        <f t="shared" si="4"/>
        <v>-9873417720.6177216</v>
      </c>
      <c r="L39" s="365">
        <f>入學要求!C185</f>
        <v>44</v>
      </c>
      <c r="M39" s="379">
        <f>入學要求!R185</f>
        <v>0</v>
      </c>
      <c r="N39" s="100"/>
      <c r="O39" s="422">
        <f>入學要求!D185</f>
        <v>3</v>
      </c>
      <c r="P39" s="422">
        <f>入學要求!E185</f>
        <v>3</v>
      </c>
      <c r="Q39" s="422">
        <f>入學要求!F185</f>
        <v>3</v>
      </c>
      <c r="R39" s="422">
        <f>入學要求!G185</f>
        <v>2</v>
      </c>
      <c r="S39" s="422">
        <f>入學要求!H185</f>
        <v>3</v>
      </c>
      <c r="T39" s="422">
        <f>入學要求!I185</f>
        <v>3</v>
      </c>
      <c r="U39" s="576"/>
      <c r="V39" s="365" cm="1">
        <f t="array" ref="V39">IFERROR(INDEX('Offer Statistics'!$BQ$2:$BQ$400,MATCH(1,($A39='Offer Statistics'!$BB$2:$BB$400)*($U$2='Offer Statistics'!$BC$2:$BC$400),0)),"/")</f>
        <v>30</v>
      </c>
      <c r="W39" s="375" cm="1">
        <f t="array" ref="W39">IFERROR(INDEX('Offer Statistics'!BL$2:BL$400,MATCH(1,($A39='Offer Statistics'!$BB$2:$BB$400)*($U$2='Offer Statistics'!$BC$2:$BC$400),0)),"/")</f>
        <v>30</v>
      </c>
      <c r="X39" s="375" cm="1">
        <f t="array" ref="X39">IFERROR(INDEX('Offer Statistics'!BM$2:BM$400,MATCH(1,($A39='Offer Statistics'!$BB$2:$BB$400)*($U$2='Offer Statistics'!$BC$2:$BC$400),0)),"/")</f>
        <v>0</v>
      </c>
      <c r="Y39" s="375" cm="1">
        <f t="array" ref="Y39">IFERROR(INDEX('Offer Statistics'!BN$2:BN$400,MATCH(1,($A39='Offer Statistics'!$BB$2:$BB$400)*($U$2='Offer Statistics'!$BC$2:$BC$400),0)),"/")</f>
        <v>0</v>
      </c>
      <c r="Z39" s="375" cm="1">
        <f t="array" ref="Z39">IFERROR(INDEX('Offer Statistics'!BO$2:BO$400,MATCH(1,($A39='Offer Statistics'!$BB$2:$BB$400)*($U$2='Offer Statistics'!$BC$2:$BC$400),0)),"/")</f>
        <v>0</v>
      </c>
      <c r="AA39" s="375" cm="1">
        <f t="array" ref="AA39">IFERROR(INDEX('Offer Statistics'!BP$2:BP$400,MATCH(1,($A39='Offer Statistics'!$BB$2:$BB$400)*($U$2='Offer Statistics'!$BC$2:$BC$400),0)),"/")</f>
        <v>0</v>
      </c>
      <c r="AB39" s="580"/>
      <c r="AC39" s="365" cm="1">
        <f t="array" ref="AC39">IFERROR(INDEX('Offer Statistics'!$BI$2:$BI$400,MATCH(1,($A39='Offer Statistics'!$BB$2:$BB$400)*($U$2='Offer Statistics'!$BC$2:$BC$400),0)),"/")</f>
        <v>1935</v>
      </c>
      <c r="AD39" s="375" cm="1">
        <f t="array" ref="AD39">IFERROR(INDEX('Offer Statistics'!BD$2:BD$400,MATCH(1,($A39='Offer Statistics'!$BB$2:$BB$400)*($U$2='Offer Statistics'!$BC$2:$BC$400),0)),"/")</f>
        <v>171</v>
      </c>
      <c r="AE39" s="375" cm="1">
        <f t="array" ref="AE39">IFERROR(INDEX('Offer Statistics'!BE$2:BE$400,MATCH(1,($A39='Offer Statistics'!$BB$2:$BB$400)*($U$2='Offer Statistics'!$BC$2:$BC$400),0)),"/")</f>
        <v>251</v>
      </c>
      <c r="AF39" s="375" cm="1">
        <f t="array" ref="AF39">IFERROR(INDEX('Offer Statistics'!BF$2:BF$400,MATCH(1,($A39='Offer Statistics'!$BB$2:$BB$400)*($U$2='Offer Statistics'!$BC$2:$BC$400),0)),"/")</f>
        <v>417</v>
      </c>
      <c r="AG39" s="375" cm="1">
        <f t="array" ref="AG39">IFERROR(INDEX('Offer Statistics'!BG$2:BG$400,MATCH(1,($A39='Offer Statistics'!$BB$2:$BB$400)*($U$2='Offer Statistics'!$BC$2:$BC$400),0)),"/")</f>
        <v>634</v>
      </c>
      <c r="AH39" s="375" cm="1">
        <f t="array" ref="AH39">IFERROR(INDEX('Offer Statistics'!BH$2:BH$400,MATCH(1,($A39='Offer Statistics'!$BB$2:$BB$400)*($U$2='Offer Statistics'!$BC$2:$BC$400),0)),"/")</f>
        <v>462</v>
      </c>
      <c r="AI39" s="15"/>
      <c r="AJ39" s="354" t="str">
        <f t="shared" si="2"/>
        <v>JS4460</v>
      </c>
    </row>
    <row r="40" spans="1:36" s="10" customFormat="1" ht="18" customHeight="1" x14ac:dyDescent="0.3">
      <c r="A40" s="346" t="str">
        <f>'Reference Score Calculation'!A177</f>
        <v>JS4462</v>
      </c>
      <c r="B40" s="346" t="str">
        <f>'Reference Score Calculation'!C177</f>
        <v>工程學院</v>
      </c>
      <c r="C40" s="346" t="str">
        <f>'Reference Score Calculation'!D177</f>
        <v>能源與環境工程學</v>
      </c>
      <c r="D40" s="4" t="s">
        <v>948</v>
      </c>
      <c r="E40" s="356" t="str">
        <f>'Reference Score Calculation'!E177</f>
        <v>Best 5</v>
      </c>
      <c r="F40" s="347">
        <f>'Reference Score Calculation'!F177</f>
        <v>30.250000000380002</v>
      </c>
      <c r="G40" s="347">
        <f>'Reference Score Calculation'!G177</f>
        <v>28.750000000380002</v>
      </c>
      <c r="H40" s="347">
        <f>'Reference Score Calculation'!H177</f>
        <v>27.250000000325002</v>
      </c>
      <c r="I40" s="46">
        <f>計分版!H198</f>
        <v>4.1000000000000003E-9</v>
      </c>
      <c r="J40" s="7">
        <f t="shared" si="3"/>
        <v>-28.749999996280003</v>
      </c>
      <c r="K40" s="8">
        <f t="shared" si="4"/>
        <v>-7012195121.0439024</v>
      </c>
      <c r="L40" s="365">
        <f>入學要求!C186</f>
        <v>28</v>
      </c>
      <c r="M40" s="379">
        <f>入學要求!R186</f>
        <v>0</v>
      </c>
      <c r="N40" s="27"/>
      <c r="O40" s="422">
        <f>入學要求!D186</f>
        <v>3</v>
      </c>
      <c r="P40" s="422">
        <f>入學要求!E186</f>
        <v>3</v>
      </c>
      <c r="Q40" s="422">
        <f>入學要求!F186</f>
        <v>3</v>
      </c>
      <c r="R40" s="422">
        <f>入學要求!G186</f>
        <v>2</v>
      </c>
      <c r="S40" s="422">
        <f>入學要求!H186</f>
        <v>3</v>
      </c>
      <c r="T40" s="422">
        <f>入學要求!I186</f>
        <v>3</v>
      </c>
      <c r="U40" s="576"/>
      <c r="V40" s="365" cm="1">
        <f t="array" ref="V40">IFERROR(INDEX('Offer Statistics'!$BQ$2:$BQ$400,MATCH(1,($A40='Offer Statistics'!$BB$2:$BB$400)*($U$2='Offer Statistics'!$BC$2:$BC$400),0)),"/")</f>
        <v>38</v>
      </c>
      <c r="W40" s="375" cm="1">
        <f t="array" ref="W40">IFERROR(INDEX('Offer Statistics'!BL$2:BL$400,MATCH(1,($A40='Offer Statistics'!$BB$2:$BB$400)*($U$2='Offer Statistics'!$BC$2:$BC$400),0)),"/")</f>
        <v>38</v>
      </c>
      <c r="X40" s="375" cm="1">
        <f t="array" ref="X40">IFERROR(INDEX('Offer Statistics'!BM$2:BM$400,MATCH(1,($A40='Offer Statistics'!$BB$2:$BB$400)*($U$2='Offer Statistics'!$BC$2:$BC$400),0)),"/")</f>
        <v>0</v>
      </c>
      <c r="Y40" s="375" cm="1">
        <f t="array" ref="Y40">IFERROR(INDEX('Offer Statistics'!BN$2:BN$400,MATCH(1,($A40='Offer Statistics'!$BB$2:$BB$400)*($U$2='Offer Statistics'!$BC$2:$BC$400),0)),"/")</f>
        <v>0</v>
      </c>
      <c r="Z40" s="375" cm="1">
        <f t="array" ref="Z40">IFERROR(INDEX('Offer Statistics'!BO$2:BO$400,MATCH(1,($A40='Offer Statistics'!$BB$2:$BB$400)*($U$2='Offer Statistics'!$BC$2:$BC$400),0)),"/")</f>
        <v>0</v>
      </c>
      <c r="AA40" s="375" cm="1">
        <f t="array" ref="AA40">IFERROR(INDEX('Offer Statistics'!BP$2:BP$400,MATCH(1,($A40='Offer Statistics'!$BB$2:$BB$400)*($U$2='Offer Statistics'!$BC$2:$BC$400),0)),"/")</f>
        <v>0</v>
      </c>
      <c r="AB40" s="580"/>
      <c r="AC40" s="365" cm="1">
        <f t="array" ref="AC40">IFERROR(INDEX('Offer Statistics'!$BI$2:$BI$400,MATCH(1,($A40='Offer Statistics'!$BB$2:$BB$400)*($U$2='Offer Statistics'!$BC$2:$BC$400),0)),"/")</f>
        <v>2424</v>
      </c>
      <c r="AD40" s="375" cm="1">
        <f t="array" ref="AD40">IFERROR(INDEX('Offer Statistics'!BD$2:BD$400,MATCH(1,($A40='Offer Statistics'!$BB$2:$BB$400)*($U$2='Offer Statistics'!$BC$2:$BC$400),0)),"/")</f>
        <v>260</v>
      </c>
      <c r="AE40" s="375" cm="1">
        <f t="array" ref="AE40">IFERROR(INDEX('Offer Statistics'!BE$2:BE$400,MATCH(1,($A40='Offer Statistics'!$BB$2:$BB$400)*($U$2='Offer Statistics'!$BC$2:$BC$400),0)),"/")</f>
        <v>335</v>
      </c>
      <c r="AF40" s="375" cm="1">
        <f t="array" ref="AF40">IFERROR(INDEX('Offer Statistics'!BF$2:BF$400,MATCH(1,($A40='Offer Statistics'!$BB$2:$BB$400)*($U$2='Offer Statistics'!$BC$2:$BC$400),0)),"/")</f>
        <v>527</v>
      </c>
      <c r="AG40" s="375" cm="1">
        <f t="array" ref="AG40">IFERROR(INDEX('Offer Statistics'!BG$2:BG$400,MATCH(1,($A40='Offer Statistics'!$BB$2:$BB$400)*($U$2='Offer Statistics'!$BC$2:$BC$400),0)),"/")</f>
        <v>735</v>
      </c>
      <c r="AH40" s="375" cm="1">
        <f t="array" ref="AH40">IFERROR(INDEX('Offer Statistics'!BH$2:BH$400,MATCH(1,($A40='Offer Statistics'!$BB$2:$BB$400)*($U$2='Offer Statistics'!$BC$2:$BC$400),0)),"/")</f>
        <v>567</v>
      </c>
      <c r="AI40" s="15"/>
      <c r="AJ40" s="354" t="str">
        <f t="shared" si="2"/>
        <v>JS4462</v>
      </c>
    </row>
    <row r="41" spans="1:36" ht="18" customHeight="1" x14ac:dyDescent="0.3">
      <c r="A41" s="346" t="str">
        <f>'Reference Score Calculation'!A178</f>
        <v>JS4468</v>
      </c>
      <c r="B41" s="346" t="str">
        <f>'Reference Score Calculation'!C178</f>
        <v>工程學院</v>
      </c>
      <c r="C41" s="346" t="str">
        <f>'Reference Score Calculation'!D178</f>
        <v>人工智能：系統與科技</v>
      </c>
      <c r="D41" s="4" t="s">
        <v>2492</v>
      </c>
      <c r="E41" s="356" t="str">
        <f>'Reference Score Calculation'!E178</f>
        <v>Best 5</v>
      </c>
      <c r="F41" s="347">
        <f>'Reference Score Calculation'!F178</f>
        <v>58.750000000390003</v>
      </c>
      <c r="G41" s="347">
        <f>'Reference Score Calculation'!G178</f>
        <v>56.750000000455003</v>
      </c>
      <c r="H41" s="347">
        <f>'Reference Score Calculation'!H178</f>
        <v>53.750000000455003</v>
      </c>
      <c r="I41" s="46">
        <f>計分版!H199</f>
        <v>4.2250000000000006E-9</v>
      </c>
      <c r="J41" s="7">
        <f t="shared" si="3"/>
        <v>-56.749999996230002</v>
      </c>
      <c r="K41" s="8">
        <f t="shared" si="4"/>
        <v>-13431952661.829584</v>
      </c>
      <c r="L41" s="365">
        <f>入學要求!C187</f>
        <v>30</v>
      </c>
      <c r="M41" s="379">
        <f>入學要求!R187</f>
        <v>0</v>
      </c>
      <c r="O41" s="422">
        <f>入學要求!D187</f>
        <v>3</v>
      </c>
      <c r="P41" s="422">
        <f>入學要求!E187</f>
        <v>4</v>
      </c>
      <c r="Q41" s="422">
        <f>入學要求!F187</f>
        <v>5</v>
      </c>
      <c r="R41" s="422">
        <f>入學要求!G187</f>
        <v>3</v>
      </c>
      <c r="S41" s="422">
        <f>入學要求!H187</f>
        <v>3</v>
      </c>
      <c r="T41" s="422">
        <f>入學要求!I187</f>
        <v>3</v>
      </c>
      <c r="U41" s="576"/>
      <c r="V41" s="365" cm="1">
        <f t="array" ref="V41">IFERROR(INDEX('Offer Statistics'!$BQ$2:$BQ$400,MATCH(1,($A41='Offer Statistics'!$BB$2:$BB$400)*($U$2='Offer Statistics'!$BC$2:$BC$400),0)),"/")</f>
        <v>34</v>
      </c>
      <c r="W41" s="375" cm="1">
        <f t="array" ref="W41">IFERROR(INDEX('Offer Statistics'!BL$2:BL$400,MATCH(1,($A41='Offer Statistics'!$BB$2:$BB$400)*($U$2='Offer Statistics'!$BC$2:$BC$400),0)),"/")</f>
        <v>34</v>
      </c>
      <c r="X41" s="375" cm="1">
        <f t="array" ref="X41">IFERROR(INDEX('Offer Statistics'!BM$2:BM$400,MATCH(1,($A41='Offer Statistics'!$BB$2:$BB$400)*($U$2='Offer Statistics'!$BC$2:$BC$400),0)),"/")</f>
        <v>0</v>
      </c>
      <c r="Y41" s="375" cm="1">
        <f t="array" ref="Y41">IFERROR(INDEX('Offer Statistics'!BN$2:BN$400,MATCH(1,($A41='Offer Statistics'!$BB$2:$BB$400)*($U$2='Offer Statistics'!$BC$2:$BC$400),0)),"/")</f>
        <v>0</v>
      </c>
      <c r="Z41" s="375" cm="1">
        <f t="array" ref="Z41">IFERROR(INDEX('Offer Statistics'!BO$2:BO$400,MATCH(1,($A41='Offer Statistics'!$BB$2:$BB$400)*($U$2='Offer Statistics'!$BC$2:$BC$400),0)),"/")</f>
        <v>0</v>
      </c>
      <c r="AA41" s="375" cm="1">
        <f t="array" ref="AA41">IFERROR(INDEX('Offer Statistics'!BP$2:BP$400,MATCH(1,($A41='Offer Statistics'!$BB$2:$BB$400)*($U$2='Offer Statistics'!$BC$2:$BC$400),0)),"/")</f>
        <v>0</v>
      </c>
      <c r="AB41" s="580"/>
      <c r="AC41" s="365" cm="1">
        <f t="array" ref="AC41">IFERROR(INDEX('Offer Statistics'!$BI$2:$BI$400,MATCH(1,($A41='Offer Statistics'!$BB$2:$BB$400)*($U$2='Offer Statistics'!$BC$2:$BC$400),0)),"/")</f>
        <v>1448</v>
      </c>
      <c r="AD41" s="375" cm="1">
        <f t="array" ref="AD41">IFERROR(INDEX('Offer Statistics'!BD$2:BD$400,MATCH(1,($A41='Offer Statistics'!$BB$2:$BB$400)*($U$2='Offer Statistics'!$BC$2:$BC$400),0)),"/")</f>
        <v>186</v>
      </c>
      <c r="AE41" s="375" cm="1">
        <f t="array" ref="AE41">IFERROR(INDEX('Offer Statistics'!BE$2:BE$400,MATCH(1,($A41='Offer Statistics'!$BB$2:$BB$400)*($U$2='Offer Statistics'!$BC$2:$BC$400),0)),"/")</f>
        <v>200</v>
      </c>
      <c r="AF41" s="375" cm="1">
        <f t="array" ref="AF41">IFERROR(INDEX('Offer Statistics'!BF$2:BF$400,MATCH(1,($A41='Offer Statistics'!$BB$2:$BB$400)*($U$2='Offer Statistics'!$BC$2:$BC$400),0)),"/")</f>
        <v>331</v>
      </c>
      <c r="AG41" s="375" cm="1">
        <f t="array" ref="AG41">IFERROR(INDEX('Offer Statistics'!BG$2:BG$400,MATCH(1,($A41='Offer Statistics'!$BB$2:$BB$400)*($U$2='Offer Statistics'!$BC$2:$BC$400),0)),"/")</f>
        <v>413</v>
      </c>
      <c r="AH41" s="375" cm="1">
        <f t="array" ref="AH41">IFERROR(INDEX('Offer Statistics'!BH$2:BH$400,MATCH(1,($A41='Offer Statistics'!$BB$2:$BB$400)*($U$2='Offer Statistics'!$BC$2:$BC$400),0)),"/")</f>
        <v>318</v>
      </c>
      <c r="AI41" s="15"/>
      <c r="AJ41" s="354" t="str">
        <f t="shared" si="2"/>
        <v>JS4468</v>
      </c>
    </row>
    <row r="42" spans="1:36" s="10" customFormat="1" ht="18" customHeight="1" x14ac:dyDescent="0.3">
      <c r="A42" s="346" t="str">
        <f>'Reference Score Calculation'!A179</f>
        <v>JS4501</v>
      </c>
      <c r="B42" s="346" t="str">
        <f>'Reference Score Calculation'!C179</f>
        <v>醫學院</v>
      </c>
      <c r="C42" s="346" t="str">
        <f>'Reference Score Calculation'!D179</f>
        <v>內外全科醫學士課程</v>
      </c>
      <c r="D42" s="4" t="s">
        <v>958</v>
      </c>
      <c r="E42" s="355" t="str">
        <f>'Reference Score Calculation'!E179</f>
        <v>4C3X</v>
      </c>
      <c r="F42" s="347">
        <f>'Reference Score Calculation'!F179</f>
        <v>44.000000000310003</v>
      </c>
      <c r="G42" s="347">
        <f>'Reference Score Calculation'!G179</f>
        <v>42.000000000310003</v>
      </c>
      <c r="H42" s="347">
        <f>'Reference Score Calculation'!H179</f>
        <v>41.000000000310003</v>
      </c>
      <c r="I42" s="46">
        <f>計分版!H200</f>
        <v>3.6500000000000004E-9</v>
      </c>
      <c r="J42" s="7">
        <f t="shared" si="3"/>
        <v>-41.999999996660002</v>
      </c>
      <c r="K42" s="8">
        <f t="shared" si="4"/>
        <v>-11506849314.153423</v>
      </c>
      <c r="L42" s="365" t="str">
        <f>入學要求!C188</f>
        <v>295*</v>
      </c>
      <c r="M42" s="379">
        <f>入學要求!R188</f>
        <v>0</v>
      </c>
      <c r="N42" s="27"/>
      <c r="O42" s="422">
        <f>入學要求!D188</f>
        <v>3</v>
      </c>
      <c r="P42" s="422">
        <f>入學要求!E188</f>
        <v>4</v>
      </c>
      <c r="Q42" s="422">
        <f>入學要求!F188</f>
        <v>3</v>
      </c>
      <c r="R42" s="422">
        <f>入學要求!G188</f>
        <v>3</v>
      </c>
      <c r="S42" s="422">
        <f>入學要求!H188</f>
        <v>3</v>
      </c>
      <c r="T42" s="422">
        <f>入學要求!I188</f>
        <v>3</v>
      </c>
      <c r="U42" s="576"/>
      <c r="V42" s="365" cm="1">
        <f t="array" ref="V42">IFERROR(INDEX('Offer Statistics'!$BQ$2:$BQ$400,MATCH(1,($A42='Offer Statistics'!$BB$2:$BB$400)*($U$2='Offer Statistics'!$BC$2:$BC$400),0)),"/")</f>
        <v>153</v>
      </c>
      <c r="W42" s="375" cm="1">
        <f t="array" ref="W42">IFERROR(INDEX('Offer Statistics'!BL$2:BL$400,MATCH(1,($A42='Offer Statistics'!$BB$2:$BB$400)*($U$2='Offer Statistics'!$BC$2:$BC$400),0)),"/")</f>
        <v>153</v>
      </c>
      <c r="X42" s="375" cm="1">
        <f t="array" ref="X42">IFERROR(INDEX('Offer Statistics'!BM$2:BM$400,MATCH(1,($A42='Offer Statistics'!$BB$2:$BB$400)*($U$2='Offer Statistics'!$BC$2:$BC$400),0)),"/")</f>
        <v>0</v>
      </c>
      <c r="Y42" s="375" cm="1">
        <f t="array" ref="Y42">IFERROR(INDEX('Offer Statistics'!BN$2:BN$400,MATCH(1,($A42='Offer Statistics'!$BB$2:$BB$400)*($U$2='Offer Statistics'!$BC$2:$BC$400),0)),"/")</f>
        <v>0</v>
      </c>
      <c r="Z42" s="375" cm="1">
        <f t="array" ref="Z42">IFERROR(INDEX('Offer Statistics'!BO$2:BO$400,MATCH(1,($A42='Offer Statistics'!$BB$2:$BB$400)*($U$2='Offer Statistics'!$BC$2:$BC$400),0)),"/")</f>
        <v>0</v>
      </c>
      <c r="AA42" s="375" cm="1">
        <f t="array" ref="AA42">IFERROR(INDEX('Offer Statistics'!BP$2:BP$400,MATCH(1,($A42='Offer Statistics'!$BB$2:$BB$400)*($U$2='Offer Statistics'!$BC$2:$BC$400),0)),"/")</f>
        <v>0</v>
      </c>
      <c r="AB42" s="580"/>
      <c r="AC42" s="365" cm="1">
        <f t="array" ref="AC42">IFERROR(INDEX('Offer Statistics'!$BI$2:$BI$400,MATCH(1,($A42='Offer Statistics'!$BB$2:$BB$400)*($U$2='Offer Statistics'!$BC$2:$BC$400),0)),"/")</f>
        <v>1073</v>
      </c>
      <c r="AD42" s="375" cm="1">
        <f t="array" ref="AD42">IFERROR(INDEX('Offer Statistics'!BD$2:BD$400,MATCH(1,($A42='Offer Statistics'!$BB$2:$BB$400)*($U$2='Offer Statistics'!$BC$2:$BC$400),0)),"/")</f>
        <v>486</v>
      </c>
      <c r="AE42" s="375" cm="1">
        <f t="array" ref="AE42">IFERROR(INDEX('Offer Statistics'!BE$2:BE$400,MATCH(1,($A42='Offer Statistics'!$BB$2:$BB$400)*($U$2='Offer Statistics'!$BC$2:$BC$400),0)),"/")</f>
        <v>63</v>
      </c>
      <c r="AF42" s="375" cm="1">
        <f t="array" ref="AF42">IFERROR(INDEX('Offer Statistics'!BF$2:BF$400,MATCH(1,($A42='Offer Statistics'!$BB$2:$BB$400)*($U$2='Offer Statistics'!$BC$2:$BC$400),0)),"/")</f>
        <v>125</v>
      </c>
      <c r="AG42" s="375" cm="1">
        <f t="array" ref="AG42">IFERROR(INDEX('Offer Statistics'!BG$2:BG$400,MATCH(1,($A42='Offer Statistics'!$BB$2:$BB$400)*($U$2='Offer Statistics'!$BC$2:$BC$400),0)),"/")</f>
        <v>147</v>
      </c>
      <c r="AH42" s="375" cm="1">
        <f t="array" ref="AH42">IFERROR(INDEX('Offer Statistics'!BH$2:BH$400,MATCH(1,($A42='Offer Statistics'!$BB$2:$BB$400)*($U$2='Offer Statistics'!$BC$2:$BC$400),0)),"/")</f>
        <v>252</v>
      </c>
      <c r="AI42" s="15"/>
      <c r="AJ42" s="354" t="str">
        <f t="shared" si="2"/>
        <v>JS4501</v>
      </c>
    </row>
    <row r="43" spans="1:36" ht="18" customHeight="1" x14ac:dyDescent="0.3">
      <c r="A43" s="346" t="str">
        <f>'Reference Score Calculation'!A180</f>
        <v>JS4502</v>
      </c>
      <c r="B43" s="346" t="str">
        <f>'Reference Score Calculation'!C180</f>
        <v>醫學院</v>
      </c>
      <c r="C43" s="346" t="str">
        <f>'Reference Score Calculation'!D180</f>
        <v>內外全科醫學士課程環球醫學領袖培訓專修組別</v>
      </c>
      <c r="D43" s="4" t="s">
        <v>2493</v>
      </c>
      <c r="E43" s="355" t="str">
        <f>'Reference Score Calculation'!E180</f>
        <v>4C3X</v>
      </c>
      <c r="F43" s="347">
        <f>'Reference Score Calculation'!F180</f>
        <v>47.000000000310003</v>
      </c>
      <c r="G43" s="347">
        <f>'Reference Score Calculation'!G180</f>
        <v>47.000000000310003</v>
      </c>
      <c r="H43" s="347">
        <f>'Reference Score Calculation'!H180</f>
        <v>46.000000000310003</v>
      </c>
      <c r="I43" s="46">
        <f>計分版!H201</f>
        <v>3.6500000000000004E-9</v>
      </c>
      <c r="J43" s="7">
        <f t="shared" si="3"/>
        <v>-46.999999996660002</v>
      </c>
      <c r="K43" s="8">
        <f t="shared" si="4"/>
        <v>-12876712327.852055</v>
      </c>
      <c r="L43" s="365" t="str">
        <f>入學要求!C189</f>
        <v>30*</v>
      </c>
      <c r="M43" s="379">
        <f>入學要求!R189</f>
        <v>0</v>
      </c>
      <c r="N43" s="100"/>
      <c r="O43" s="422">
        <f>入學要求!D189</f>
        <v>3</v>
      </c>
      <c r="P43" s="422">
        <f>入學要求!E189</f>
        <v>4</v>
      </c>
      <c r="Q43" s="422">
        <f>入學要求!F189</f>
        <v>3</v>
      </c>
      <c r="R43" s="422">
        <f>入學要求!G189</f>
        <v>3</v>
      </c>
      <c r="S43" s="422">
        <f>入學要求!H189</f>
        <v>3</v>
      </c>
      <c r="T43" s="422">
        <f>入學要求!I189</f>
        <v>3</v>
      </c>
      <c r="U43" s="576"/>
      <c r="V43" s="365" cm="1">
        <f t="array" ref="V43">IFERROR(INDEX('Offer Statistics'!$BQ$2:$BQ$400,MATCH(1,($A43='Offer Statistics'!$BB$2:$BB$400)*($U$2='Offer Statistics'!$BC$2:$BC$400),0)),"/")</f>
        <v>33</v>
      </c>
      <c r="W43" s="375" cm="1">
        <f t="array" ref="W43">IFERROR(INDEX('Offer Statistics'!BL$2:BL$400,MATCH(1,($A43='Offer Statistics'!$BB$2:$BB$400)*($U$2='Offer Statistics'!$BC$2:$BC$400),0)),"/")</f>
        <v>33</v>
      </c>
      <c r="X43" s="375" cm="1">
        <f t="array" ref="X43">IFERROR(INDEX('Offer Statistics'!BM$2:BM$400,MATCH(1,($A43='Offer Statistics'!$BB$2:$BB$400)*($U$2='Offer Statistics'!$BC$2:$BC$400),0)),"/")</f>
        <v>0</v>
      </c>
      <c r="Y43" s="375" cm="1">
        <f t="array" ref="Y43">IFERROR(INDEX('Offer Statistics'!BN$2:BN$400,MATCH(1,($A43='Offer Statistics'!$BB$2:$BB$400)*($U$2='Offer Statistics'!$BC$2:$BC$400),0)),"/")</f>
        <v>0</v>
      </c>
      <c r="Z43" s="375" cm="1">
        <f t="array" ref="Z43">IFERROR(INDEX('Offer Statistics'!BO$2:BO$400,MATCH(1,($A43='Offer Statistics'!$BB$2:$BB$400)*($U$2='Offer Statistics'!$BC$2:$BC$400),0)),"/")</f>
        <v>0</v>
      </c>
      <c r="AA43" s="375" cm="1">
        <f t="array" ref="AA43">IFERROR(INDEX('Offer Statistics'!BP$2:BP$400,MATCH(1,($A43='Offer Statistics'!$BB$2:$BB$400)*($U$2='Offer Statistics'!$BC$2:$BC$400),0)),"/")</f>
        <v>0</v>
      </c>
      <c r="AB43" s="580"/>
      <c r="AC43" s="365" cm="1">
        <f t="array" ref="AC43">IFERROR(INDEX('Offer Statistics'!$BI$2:$BI$400,MATCH(1,($A43='Offer Statistics'!$BB$2:$BB$400)*($U$2='Offer Statistics'!$BC$2:$BC$400),0)),"/")</f>
        <v>286</v>
      </c>
      <c r="AD43" s="375" cm="1">
        <f t="array" ref="AD43">IFERROR(INDEX('Offer Statistics'!BD$2:BD$400,MATCH(1,($A43='Offer Statistics'!$BB$2:$BB$400)*($U$2='Offer Statistics'!$BC$2:$BC$400),0)),"/")</f>
        <v>69</v>
      </c>
      <c r="AE43" s="375" cm="1">
        <f t="array" ref="AE43">IFERROR(INDEX('Offer Statistics'!BE$2:BE$400,MATCH(1,($A43='Offer Statistics'!$BB$2:$BB$400)*($U$2='Offer Statistics'!$BC$2:$BC$400),0)),"/")</f>
        <v>27</v>
      </c>
      <c r="AF43" s="375" cm="1">
        <f t="array" ref="AF43">IFERROR(INDEX('Offer Statistics'!BF$2:BF$400,MATCH(1,($A43='Offer Statistics'!$BB$2:$BB$400)*($U$2='Offer Statistics'!$BC$2:$BC$400),0)),"/")</f>
        <v>36</v>
      </c>
      <c r="AG43" s="375" cm="1">
        <f t="array" ref="AG43">IFERROR(INDEX('Offer Statistics'!BG$2:BG$400,MATCH(1,($A43='Offer Statistics'!$BB$2:$BB$400)*($U$2='Offer Statistics'!$BC$2:$BC$400),0)),"/")</f>
        <v>46</v>
      </c>
      <c r="AH43" s="375" cm="1">
        <f t="array" ref="AH43">IFERROR(INDEX('Offer Statistics'!BH$2:BH$400,MATCH(1,($A43='Offer Statistics'!$BB$2:$BB$400)*($U$2='Offer Statistics'!$BC$2:$BC$400),0)),"/")</f>
        <v>108</v>
      </c>
      <c r="AI43" s="15"/>
      <c r="AJ43" s="354" t="str">
        <f t="shared" si="2"/>
        <v>JS4502</v>
      </c>
    </row>
    <row r="44" spans="1:36" s="10" customFormat="1" ht="18" customHeight="1" x14ac:dyDescent="0.3">
      <c r="A44" s="346" t="str">
        <f>'Reference Score Calculation'!A181</f>
        <v>JS4513</v>
      </c>
      <c r="B44" s="346" t="str">
        <f>'Reference Score Calculation'!C181</f>
        <v>醫學院</v>
      </c>
      <c r="C44" s="346" t="str">
        <f>'Reference Score Calculation'!D181</f>
        <v>護理學</v>
      </c>
      <c r="D44" s="4" t="s">
        <v>2494</v>
      </c>
      <c r="E44" s="376" t="str">
        <f>'Reference Score Calculation'!E181</f>
        <v>4C2X</v>
      </c>
      <c r="F44" s="347">
        <f>'Reference Score Calculation'!F181</f>
        <v>39.750000000309996</v>
      </c>
      <c r="G44" s="347">
        <f>'Reference Score Calculation'!G181</f>
        <v>37.750000000309996</v>
      </c>
      <c r="H44" s="347">
        <f>'Reference Score Calculation'!H181</f>
        <v>36.250000000295003</v>
      </c>
      <c r="I44" s="46">
        <f>計分版!H202</f>
        <v>2.8499999999999999E-9</v>
      </c>
      <c r="J44" s="7">
        <f t="shared" si="3"/>
        <v>-37.749999997459994</v>
      </c>
      <c r="K44" s="8">
        <f t="shared" si="4"/>
        <v>-13245614034.196489</v>
      </c>
      <c r="L44" s="365">
        <f>入學要求!C190</f>
        <v>217</v>
      </c>
      <c r="M44" s="379">
        <f>入學要求!R190</f>
        <v>0</v>
      </c>
      <c r="N44" s="27"/>
      <c r="O44" s="422">
        <f>入學要求!D190</f>
        <v>3</v>
      </c>
      <c r="P44" s="422">
        <f>入學要求!E190</f>
        <v>3</v>
      </c>
      <c r="Q44" s="422">
        <f>入學要求!F190</f>
        <v>2</v>
      </c>
      <c r="R44" s="422">
        <f>入學要求!G190</f>
        <v>2</v>
      </c>
      <c r="S44" s="422">
        <f>入學要求!H190</f>
        <v>3</v>
      </c>
      <c r="T44" s="422">
        <f>入學要求!I190</f>
        <v>3</v>
      </c>
      <c r="U44" s="576"/>
      <c r="V44" s="365" cm="1">
        <f t="array" ref="V44">IFERROR(INDEX('Offer Statistics'!$BQ$2:$BQ$400,MATCH(1,($A44='Offer Statistics'!$BB$2:$BB$400)*($U$2='Offer Statistics'!$BC$2:$BC$400),0)),"/")</f>
        <v>208</v>
      </c>
      <c r="W44" s="375" cm="1">
        <f t="array" ref="W44">IFERROR(INDEX('Offer Statistics'!BL$2:BL$400,MATCH(1,($A44='Offer Statistics'!$BB$2:$BB$400)*($U$2='Offer Statistics'!$BC$2:$BC$400),0)),"/")</f>
        <v>208</v>
      </c>
      <c r="X44" s="375" cm="1">
        <f t="array" ref="X44">IFERROR(INDEX('Offer Statistics'!BM$2:BM$400,MATCH(1,($A44='Offer Statistics'!$BB$2:$BB$400)*($U$2='Offer Statistics'!$BC$2:$BC$400),0)),"/")</f>
        <v>0</v>
      </c>
      <c r="Y44" s="375" cm="1">
        <f t="array" ref="Y44">IFERROR(INDEX('Offer Statistics'!BN$2:BN$400,MATCH(1,($A44='Offer Statistics'!$BB$2:$BB$400)*($U$2='Offer Statistics'!$BC$2:$BC$400),0)),"/")</f>
        <v>0</v>
      </c>
      <c r="Z44" s="375" cm="1">
        <f t="array" ref="Z44">IFERROR(INDEX('Offer Statistics'!BO$2:BO$400,MATCH(1,($A44='Offer Statistics'!$BB$2:$BB$400)*($U$2='Offer Statistics'!$BC$2:$BC$400),0)),"/")</f>
        <v>0</v>
      </c>
      <c r="AA44" s="375" cm="1">
        <f t="array" ref="AA44">IFERROR(INDEX('Offer Statistics'!BP$2:BP$400,MATCH(1,($A44='Offer Statistics'!$BB$2:$BB$400)*($U$2='Offer Statistics'!$BC$2:$BC$400),0)),"/")</f>
        <v>0</v>
      </c>
      <c r="AB44" s="580"/>
      <c r="AC44" s="365" cm="1">
        <f t="array" ref="AC44">IFERROR(INDEX('Offer Statistics'!$BI$2:$BI$400,MATCH(1,($A44='Offer Statistics'!$BB$2:$BB$400)*($U$2='Offer Statistics'!$BC$2:$BC$400),0)),"/")</f>
        <v>4157</v>
      </c>
      <c r="AD44" s="375" cm="1">
        <f t="array" ref="AD44">IFERROR(INDEX('Offer Statistics'!BD$2:BD$400,MATCH(1,($A44='Offer Statistics'!$BB$2:$BB$400)*($U$2='Offer Statistics'!$BC$2:$BC$400),0)),"/")</f>
        <v>934</v>
      </c>
      <c r="AE44" s="375" cm="1">
        <f t="array" ref="AE44">IFERROR(INDEX('Offer Statistics'!BE$2:BE$400,MATCH(1,($A44='Offer Statistics'!$BB$2:$BB$400)*($U$2='Offer Statistics'!$BC$2:$BC$400),0)),"/")</f>
        <v>671</v>
      </c>
      <c r="AF44" s="375" cm="1">
        <f t="array" ref="AF44">IFERROR(INDEX('Offer Statistics'!BF$2:BF$400,MATCH(1,($A44='Offer Statistics'!$BB$2:$BB$400)*($U$2='Offer Statistics'!$BC$2:$BC$400),0)),"/")</f>
        <v>954</v>
      </c>
      <c r="AG44" s="375" cm="1">
        <f t="array" ref="AG44">IFERROR(INDEX('Offer Statistics'!BG$2:BG$400,MATCH(1,($A44='Offer Statistics'!$BB$2:$BB$400)*($U$2='Offer Statistics'!$BC$2:$BC$400),0)),"/")</f>
        <v>859</v>
      </c>
      <c r="AH44" s="375" cm="1">
        <f t="array" ref="AH44">IFERROR(INDEX('Offer Statistics'!BH$2:BH$400,MATCH(1,($A44='Offer Statistics'!$BB$2:$BB$400)*($U$2='Offer Statistics'!$BC$2:$BC$400),0)),"/")</f>
        <v>739</v>
      </c>
      <c r="AI44" s="15"/>
      <c r="AJ44" s="354" t="str">
        <f t="shared" si="2"/>
        <v>JS4513</v>
      </c>
    </row>
    <row r="45" spans="1:36" ht="18" customHeight="1" x14ac:dyDescent="0.3">
      <c r="A45" s="346" t="str">
        <f>'Reference Score Calculation'!A182</f>
        <v>JS4525</v>
      </c>
      <c r="B45" s="346" t="str">
        <f>'Reference Score Calculation'!C182</f>
        <v>醫學院</v>
      </c>
      <c r="C45" s="346" t="str">
        <f>'Reference Score Calculation'!D182</f>
        <v>藥劑學</v>
      </c>
      <c r="D45" s="9" t="s">
        <v>2495</v>
      </c>
      <c r="E45" s="355" t="str">
        <f>'Reference Score Calculation'!E182</f>
        <v>4C2X</v>
      </c>
      <c r="F45" s="347">
        <f>'Reference Score Calculation'!F182</f>
        <v>37.500000000230003</v>
      </c>
      <c r="G45" s="347">
        <f>'Reference Score Calculation'!G182</f>
        <v>36.000000000230003</v>
      </c>
      <c r="H45" s="347">
        <f>'Reference Score Calculation'!H182</f>
        <v>34.500000000230003</v>
      </c>
      <c r="I45" s="46">
        <f>計分版!H203</f>
        <v>2.8499999999999999E-9</v>
      </c>
      <c r="J45" s="57">
        <f t="shared" si="3"/>
        <v>-35.999999997380002</v>
      </c>
      <c r="K45" s="56">
        <f t="shared" si="4"/>
        <v>-12631578946.449123</v>
      </c>
      <c r="L45" s="365">
        <f>入學要求!C191</f>
        <v>59</v>
      </c>
      <c r="M45" s="379">
        <f>入學要求!R191</f>
        <v>0</v>
      </c>
      <c r="N45" s="27"/>
      <c r="O45" s="422">
        <f>入學要求!D191</f>
        <v>3</v>
      </c>
      <c r="P45" s="422">
        <f>入學要求!E191</f>
        <v>3</v>
      </c>
      <c r="Q45" s="422">
        <f>入學要求!F191</f>
        <v>3</v>
      </c>
      <c r="R45" s="422">
        <f>入學要求!G191</f>
        <v>3</v>
      </c>
      <c r="S45" s="422">
        <f>入學要求!H191</f>
        <v>3</v>
      </c>
      <c r="T45" s="422">
        <f>入學要求!I191</f>
        <v>3</v>
      </c>
      <c r="U45" s="576"/>
      <c r="V45" s="365" cm="1">
        <f t="array" ref="V45">IFERROR(INDEX('Offer Statistics'!$BQ$2:$BQ$400,MATCH(1,($A45='Offer Statistics'!$BB$2:$BB$400)*($U$2='Offer Statistics'!$BC$2:$BC$400),0)),"/")</f>
        <v>52</v>
      </c>
      <c r="W45" s="375" cm="1">
        <f t="array" ref="W45">IFERROR(INDEX('Offer Statistics'!BL$2:BL$400,MATCH(1,($A45='Offer Statistics'!$BB$2:$BB$400)*($U$2='Offer Statistics'!$BC$2:$BC$400),0)),"/")</f>
        <v>52</v>
      </c>
      <c r="X45" s="375" cm="1">
        <f t="array" ref="X45">IFERROR(INDEX('Offer Statistics'!BM$2:BM$400,MATCH(1,($A45='Offer Statistics'!$BB$2:$BB$400)*($U$2='Offer Statistics'!$BC$2:$BC$400),0)),"/")</f>
        <v>0</v>
      </c>
      <c r="Y45" s="375" cm="1">
        <f t="array" ref="Y45">IFERROR(INDEX('Offer Statistics'!BN$2:BN$400,MATCH(1,($A45='Offer Statistics'!$BB$2:$BB$400)*($U$2='Offer Statistics'!$BC$2:$BC$400),0)),"/")</f>
        <v>0</v>
      </c>
      <c r="Z45" s="375" cm="1">
        <f t="array" ref="Z45">IFERROR(INDEX('Offer Statistics'!BO$2:BO$400,MATCH(1,($A45='Offer Statistics'!$BB$2:$BB$400)*($U$2='Offer Statistics'!$BC$2:$BC$400),0)),"/")</f>
        <v>0</v>
      </c>
      <c r="AA45" s="375" cm="1">
        <f t="array" ref="AA45">IFERROR(INDEX('Offer Statistics'!BP$2:BP$400,MATCH(1,($A45='Offer Statistics'!$BB$2:$BB$400)*($U$2='Offer Statistics'!$BC$2:$BC$400),0)),"/")</f>
        <v>0</v>
      </c>
      <c r="AB45" s="580"/>
      <c r="AC45" s="365" cm="1">
        <f t="array" ref="AC45">IFERROR(INDEX('Offer Statistics'!$BI$2:$BI$400,MATCH(1,($A45='Offer Statistics'!$BB$2:$BB$400)*($U$2='Offer Statistics'!$BC$2:$BC$400),0)),"/")</f>
        <v>1511</v>
      </c>
      <c r="AD45" s="375" cm="1">
        <f t="array" ref="AD45">IFERROR(INDEX('Offer Statistics'!BD$2:BD$400,MATCH(1,($A45='Offer Statistics'!$BB$2:$BB$400)*($U$2='Offer Statistics'!$BC$2:$BC$400),0)),"/")</f>
        <v>205</v>
      </c>
      <c r="AE45" s="375" cm="1">
        <f t="array" ref="AE45">IFERROR(INDEX('Offer Statistics'!BE$2:BE$400,MATCH(1,($A45='Offer Statistics'!$BB$2:$BB$400)*($U$2='Offer Statistics'!$BC$2:$BC$400),0)),"/")</f>
        <v>142</v>
      </c>
      <c r="AF45" s="375" cm="1">
        <f t="array" ref="AF45">IFERROR(INDEX('Offer Statistics'!BF$2:BF$400,MATCH(1,($A45='Offer Statistics'!$BB$2:$BB$400)*($U$2='Offer Statistics'!$BC$2:$BC$400),0)),"/")</f>
        <v>338</v>
      </c>
      <c r="AG45" s="375" cm="1">
        <f t="array" ref="AG45">IFERROR(INDEX('Offer Statistics'!BG$2:BG$400,MATCH(1,($A45='Offer Statistics'!$BB$2:$BB$400)*($U$2='Offer Statistics'!$BC$2:$BC$400),0)),"/")</f>
        <v>431</v>
      </c>
      <c r="AH45" s="375" cm="1">
        <f t="array" ref="AH45">IFERROR(INDEX('Offer Statistics'!BH$2:BH$400,MATCH(1,($A45='Offer Statistics'!$BB$2:$BB$400)*($U$2='Offer Statistics'!$BC$2:$BC$400),0)),"/")</f>
        <v>395</v>
      </c>
      <c r="AI45" s="15"/>
      <c r="AJ45" s="354" t="str">
        <f t="shared" si="2"/>
        <v>JS4525</v>
      </c>
    </row>
    <row r="46" spans="1:36" s="10" customFormat="1" ht="18" customHeight="1" x14ac:dyDescent="0.3">
      <c r="A46" s="346" t="str">
        <f>'Reference Score Calculation'!A183</f>
        <v>JS4537</v>
      </c>
      <c r="B46" s="346" t="str">
        <f>'Reference Score Calculation'!C183</f>
        <v>醫學院</v>
      </c>
      <c r="C46" s="346" t="str">
        <f>'Reference Score Calculation'!D183</f>
        <v>公共衞生</v>
      </c>
      <c r="D46" s="4" t="s">
        <v>2497</v>
      </c>
      <c r="E46" s="355" t="str">
        <f>'Reference Score Calculation'!E183</f>
        <v>Best 5</v>
      </c>
      <c r="F46" s="347">
        <f>'Reference Score Calculation'!F183</f>
        <v>27.500000000289997</v>
      </c>
      <c r="G46" s="347">
        <f>'Reference Score Calculation'!G183</f>
        <v>24.500000000250001</v>
      </c>
      <c r="H46" s="347">
        <f>'Reference Score Calculation'!H183</f>
        <v>23.500000000209997</v>
      </c>
      <c r="I46" s="46">
        <f>計分版!H204</f>
        <v>3.9500000000000006E-9</v>
      </c>
      <c r="J46" s="7">
        <f t="shared" si="3"/>
        <v>-24.499999996300001</v>
      </c>
      <c r="K46" s="8">
        <f t="shared" si="4"/>
        <v>-6202531644.6329107</v>
      </c>
      <c r="L46" s="365">
        <f>入學要求!C192</f>
        <v>31</v>
      </c>
      <c r="M46" s="379">
        <f>入學要求!R192</f>
        <v>0</v>
      </c>
      <c r="N46" s="27"/>
      <c r="O46" s="422">
        <f>入學要求!D192</f>
        <v>3</v>
      </c>
      <c r="P46" s="422">
        <f>入學要求!E192</f>
        <v>3</v>
      </c>
      <c r="Q46" s="422">
        <f>入學要求!F192</f>
        <v>2</v>
      </c>
      <c r="R46" s="422">
        <f>入學要求!G192</f>
        <v>2</v>
      </c>
      <c r="S46" s="422">
        <f>入學要求!H192</f>
        <v>3</v>
      </c>
      <c r="T46" s="422">
        <f>入學要求!I192</f>
        <v>3</v>
      </c>
      <c r="U46" s="576"/>
      <c r="V46" s="365" cm="1">
        <f t="array" ref="V46">IFERROR(INDEX('Offer Statistics'!$BQ$2:$BQ$400,MATCH(1,($A46='Offer Statistics'!$BB$2:$BB$400)*($U$2='Offer Statistics'!$BC$2:$BC$400),0)),"/")</f>
        <v>19</v>
      </c>
      <c r="W46" s="375" cm="1">
        <f t="array" ref="W46">IFERROR(INDEX('Offer Statistics'!BL$2:BL$400,MATCH(1,($A46='Offer Statistics'!$BB$2:$BB$400)*($U$2='Offer Statistics'!$BC$2:$BC$400),0)),"/")</f>
        <v>19</v>
      </c>
      <c r="X46" s="375" cm="1">
        <f t="array" ref="X46">IFERROR(INDEX('Offer Statistics'!BM$2:BM$400,MATCH(1,($A46='Offer Statistics'!$BB$2:$BB$400)*($U$2='Offer Statistics'!$BC$2:$BC$400),0)),"/")</f>
        <v>0</v>
      </c>
      <c r="Y46" s="375" cm="1">
        <f t="array" ref="Y46">IFERROR(INDEX('Offer Statistics'!BN$2:BN$400,MATCH(1,($A46='Offer Statistics'!$BB$2:$BB$400)*($U$2='Offer Statistics'!$BC$2:$BC$400),0)),"/")</f>
        <v>0</v>
      </c>
      <c r="Z46" s="375" cm="1">
        <f t="array" ref="Z46">IFERROR(INDEX('Offer Statistics'!BO$2:BO$400,MATCH(1,($A46='Offer Statistics'!$BB$2:$BB$400)*($U$2='Offer Statistics'!$BC$2:$BC$400),0)),"/")</f>
        <v>0</v>
      </c>
      <c r="AA46" s="375" cm="1">
        <f t="array" ref="AA46">IFERROR(INDEX('Offer Statistics'!BP$2:BP$400,MATCH(1,($A46='Offer Statistics'!$BB$2:$BB$400)*($U$2='Offer Statistics'!$BC$2:$BC$400),0)),"/")</f>
        <v>0</v>
      </c>
      <c r="AB46" s="580"/>
      <c r="AC46" s="365" cm="1">
        <f t="array" ref="AC46">IFERROR(INDEX('Offer Statistics'!$BI$2:$BI$400,MATCH(1,($A46='Offer Statistics'!$BB$2:$BB$400)*($U$2='Offer Statistics'!$BC$2:$BC$400),0)),"/")</f>
        <v>3002</v>
      </c>
      <c r="AD46" s="375" cm="1">
        <f t="array" ref="AD46">IFERROR(INDEX('Offer Statistics'!BD$2:BD$400,MATCH(1,($A46='Offer Statistics'!$BB$2:$BB$400)*($U$2='Offer Statistics'!$BC$2:$BC$400),0)),"/")</f>
        <v>238</v>
      </c>
      <c r="AE46" s="375" cm="1">
        <f t="array" ref="AE46">IFERROR(INDEX('Offer Statistics'!BE$2:BE$400,MATCH(1,($A46='Offer Statistics'!$BB$2:$BB$400)*($U$2='Offer Statistics'!$BC$2:$BC$400),0)),"/")</f>
        <v>394</v>
      </c>
      <c r="AF46" s="375" cm="1">
        <f t="array" ref="AF46">IFERROR(INDEX('Offer Statistics'!BF$2:BF$400,MATCH(1,($A46='Offer Statistics'!$BB$2:$BB$400)*($U$2='Offer Statistics'!$BC$2:$BC$400),0)),"/")</f>
        <v>675</v>
      </c>
      <c r="AG46" s="375" cm="1">
        <f t="array" ref="AG46">IFERROR(INDEX('Offer Statistics'!BG$2:BG$400,MATCH(1,($A46='Offer Statistics'!$BB$2:$BB$400)*($U$2='Offer Statistics'!$BC$2:$BC$400),0)),"/")</f>
        <v>895</v>
      </c>
      <c r="AH46" s="375" cm="1">
        <f t="array" ref="AH46">IFERROR(INDEX('Offer Statistics'!BH$2:BH$400,MATCH(1,($A46='Offer Statistics'!$BB$2:$BB$400)*($U$2='Offer Statistics'!$BC$2:$BC$400),0)),"/")</f>
        <v>800</v>
      </c>
      <c r="AI46" s="15"/>
      <c r="AJ46" s="354" t="str">
        <f t="shared" si="2"/>
        <v>JS4537</v>
      </c>
    </row>
    <row r="47" spans="1:36" ht="18" customHeight="1" x14ac:dyDescent="0.3">
      <c r="A47" s="346" t="str">
        <f>'Reference Score Calculation'!A184</f>
        <v>JS4542</v>
      </c>
      <c r="B47" s="346" t="str">
        <f>'Reference Score Calculation'!C184</f>
        <v>醫學院</v>
      </c>
      <c r="C47" s="346" t="str">
        <f>'Reference Score Calculation'!D184</f>
        <v>中醫學</v>
      </c>
      <c r="D47" s="4" t="s">
        <v>2498</v>
      </c>
      <c r="E47" s="355" t="str">
        <f>'Reference Score Calculation'!E184</f>
        <v>4C2X</v>
      </c>
      <c r="F47" s="347">
        <f>'Reference Score Calculation'!F184</f>
        <v>36.000000000230003</v>
      </c>
      <c r="G47" s="347">
        <f>'Reference Score Calculation'!G184</f>
        <v>33.00000000024</v>
      </c>
      <c r="H47" s="347">
        <f>'Reference Score Calculation'!H184</f>
        <v>31.500000000229999</v>
      </c>
      <c r="I47" s="46">
        <f>計分版!H205</f>
        <v>2.8499999999999999E-9</v>
      </c>
      <c r="J47" s="7">
        <f t="shared" si="3"/>
        <v>-32.999999997389999</v>
      </c>
      <c r="K47" s="8">
        <f t="shared" si="4"/>
        <v>-11578947367.505262</v>
      </c>
      <c r="L47" s="365">
        <f>入學要求!C193</f>
        <v>20</v>
      </c>
      <c r="M47" s="379">
        <f>入學要求!R193</f>
        <v>0</v>
      </c>
      <c r="N47" s="27"/>
      <c r="O47" s="422">
        <f>入學要求!D193</f>
        <v>3</v>
      </c>
      <c r="P47" s="422">
        <f>入學要求!E193</f>
        <v>3</v>
      </c>
      <c r="Q47" s="422">
        <f>入學要求!F193</f>
        <v>2</v>
      </c>
      <c r="R47" s="422">
        <f>入學要求!G193</f>
        <v>2</v>
      </c>
      <c r="S47" s="422">
        <f>入學要求!H193</f>
        <v>3</v>
      </c>
      <c r="T47" s="422">
        <f>入學要求!I193</f>
        <v>3</v>
      </c>
      <c r="U47" s="576"/>
      <c r="V47" s="365" cm="1">
        <f t="array" ref="V47">IFERROR(INDEX('Offer Statistics'!$BQ$2:$BQ$400,MATCH(1,($A47='Offer Statistics'!$BB$2:$BB$400)*($U$2='Offer Statistics'!$BC$2:$BC$400),0)),"/")</f>
        <v>23</v>
      </c>
      <c r="W47" s="375" cm="1">
        <f t="array" ref="W47">IFERROR(INDEX('Offer Statistics'!BL$2:BL$400,MATCH(1,($A47='Offer Statistics'!$BB$2:$BB$400)*($U$2='Offer Statistics'!$BC$2:$BC$400),0)),"/")</f>
        <v>23</v>
      </c>
      <c r="X47" s="375" cm="1">
        <f t="array" ref="X47">IFERROR(INDEX('Offer Statistics'!BM$2:BM$400,MATCH(1,($A47='Offer Statistics'!$BB$2:$BB$400)*($U$2='Offer Statistics'!$BC$2:$BC$400),0)),"/")</f>
        <v>0</v>
      </c>
      <c r="Y47" s="375" cm="1">
        <f t="array" ref="Y47">IFERROR(INDEX('Offer Statistics'!BN$2:BN$400,MATCH(1,($A47='Offer Statistics'!$BB$2:$BB$400)*($U$2='Offer Statistics'!$BC$2:$BC$400),0)),"/")</f>
        <v>0</v>
      </c>
      <c r="Z47" s="375" cm="1">
        <f t="array" ref="Z47">IFERROR(INDEX('Offer Statistics'!BO$2:BO$400,MATCH(1,($A47='Offer Statistics'!$BB$2:$BB$400)*($U$2='Offer Statistics'!$BC$2:$BC$400),0)),"/")</f>
        <v>0</v>
      </c>
      <c r="AA47" s="375" cm="1">
        <f t="array" ref="AA47">IFERROR(INDEX('Offer Statistics'!BP$2:BP$400,MATCH(1,($A47='Offer Statistics'!$BB$2:$BB$400)*($U$2='Offer Statistics'!$BC$2:$BC$400),0)),"/")</f>
        <v>0</v>
      </c>
      <c r="AB47" s="580"/>
      <c r="AC47" s="365" cm="1">
        <f t="array" ref="AC47">IFERROR(INDEX('Offer Statistics'!$BI$2:$BI$400,MATCH(1,($A47='Offer Statistics'!$BB$2:$BB$400)*($U$2='Offer Statistics'!$BC$2:$BC$400),0)),"/")</f>
        <v>1137</v>
      </c>
      <c r="AD47" s="375" cm="1">
        <f t="array" ref="AD47">IFERROR(INDEX('Offer Statistics'!BD$2:BD$400,MATCH(1,($A47='Offer Statistics'!$BB$2:$BB$400)*($U$2='Offer Statistics'!$BC$2:$BC$400),0)),"/")</f>
        <v>154</v>
      </c>
      <c r="AE47" s="375" cm="1">
        <f t="array" ref="AE47">IFERROR(INDEX('Offer Statistics'!BE$2:BE$400,MATCH(1,($A47='Offer Statistics'!$BB$2:$BB$400)*($U$2='Offer Statistics'!$BC$2:$BC$400),0)),"/")</f>
        <v>124</v>
      </c>
      <c r="AF47" s="375" cm="1">
        <f t="array" ref="AF47">IFERROR(INDEX('Offer Statistics'!BF$2:BF$400,MATCH(1,($A47='Offer Statistics'!$BB$2:$BB$400)*($U$2='Offer Statistics'!$BC$2:$BC$400),0)),"/")</f>
        <v>259</v>
      </c>
      <c r="AG47" s="375" cm="1">
        <f t="array" ref="AG47">IFERROR(INDEX('Offer Statistics'!BG$2:BG$400,MATCH(1,($A47='Offer Statistics'!$BB$2:$BB$400)*($U$2='Offer Statistics'!$BC$2:$BC$400),0)),"/")</f>
        <v>304</v>
      </c>
      <c r="AH47" s="375" cm="1">
        <f t="array" ref="AH47">IFERROR(INDEX('Offer Statistics'!BH$2:BH$400,MATCH(1,($A47='Offer Statistics'!$BB$2:$BB$400)*($U$2='Offer Statistics'!$BC$2:$BC$400),0)),"/")</f>
        <v>296</v>
      </c>
      <c r="AI47" s="15"/>
      <c r="AJ47" s="354" t="str">
        <f t="shared" si="2"/>
        <v>JS4542</v>
      </c>
    </row>
    <row r="48" spans="1:36" s="10" customFormat="1" ht="18" customHeight="1" x14ac:dyDescent="0.3">
      <c r="A48" s="346" t="str">
        <f>'Reference Score Calculation'!A185</f>
        <v>JS4550</v>
      </c>
      <c r="B48" s="346" t="str">
        <f>'Reference Score Calculation'!C185</f>
        <v>醫學院</v>
      </c>
      <c r="C48" s="346" t="str">
        <f>'Reference Score Calculation'!D185</f>
        <v>生物醫學</v>
      </c>
      <c r="D48" s="4" t="s">
        <v>2499</v>
      </c>
      <c r="E48" s="355" t="str">
        <f>'Reference Score Calculation'!E185</f>
        <v>4C2X</v>
      </c>
      <c r="F48" s="347">
        <f>'Reference Score Calculation'!F185</f>
        <v>37.500000000230003</v>
      </c>
      <c r="G48" s="347">
        <f>'Reference Score Calculation'!G185</f>
        <v>37.500000000230003</v>
      </c>
      <c r="H48" s="347">
        <f>'Reference Score Calculation'!H185</f>
        <v>36.500000000219998</v>
      </c>
      <c r="I48" s="46">
        <f>計分版!H206</f>
        <v>2.7000000000000002E-9</v>
      </c>
      <c r="J48" s="7">
        <f t="shared" si="3"/>
        <v>-37.499999997530004</v>
      </c>
      <c r="K48" s="8">
        <f t="shared" si="4"/>
        <v>-13888888887.974075</v>
      </c>
      <c r="L48" s="365">
        <f>入學要求!C194</f>
        <v>19</v>
      </c>
      <c r="M48" s="379">
        <f>入學要求!R194</f>
        <v>0</v>
      </c>
      <c r="N48" s="27"/>
      <c r="O48" s="422">
        <f>入學要求!D194</f>
        <v>3</v>
      </c>
      <c r="P48" s="422">
        <f>入學要求!E194</f>
        <v>3</v>
      </c>
      <c r="Q48" s="422">
        <f>入學要求!F194</f>
        <v>3</v>
      </c>
      <c r="R48" s="422">
        <f>入學要求!G194</f>
        <v>2</v>
      </c>
      <c r="S48" s="422">
        <f>入學要求!H194</f>
        <v>3</v>
      </c>
      <c r="T48" s="422">
        <f>入學要求!I194</f>
        <v>3</v>
      </c>
      <c r="U48" s="576"/>
      <c r="V48" s="365" cm="1">
        <f t="array" ref="V48">IFERROR(INDEX('Offer Statistics'!$BQ$2:$BQ$400,MATCH(1,($A48='Offer Statistics'!$BB$2:$BB$400)*($U$2='Offer Statistics'!$BC$2:$BC$400),0)),"/")</f>
        <v>22</v>
      </c>
      <c r="W48" s="375" cm="1">
        <f t="array" ref="W48">IFERROR(INDEX('Offer Statistics'!BL$2:BL$400,MATCH(1,($A48='Offer Statistics'!$BB$2:$BB$400)*($U$2='Offer Statistics'!$BC$2:$BC$400),0)),"/")</f>
        <v>22</v>
      </c>
      <c r="X48" s="375" cm="1">
        <f t="array" ref="X48">IFERROR(INDEX('Offer Statistics'!BM$2:BM$400,MATCH(1,($A48='Offer Statistics'!$BB$2:$BB$400)*($U$2='Offer Statistics'!$BC$2:$BC$400),0)),"/")</f>
        <v>0</v>
      </c>
      <c r="Y48" s="375" cm="1">
        <f t="array" ref="Y48">IFERROR(INDEX('Offer Statistics'!BN$2:BN$400,MATCH(1,($A48='Offer Statistics'!$BB$2:$BB$400)*($U$2='Offer Statistics'!$BC$2:$BC$400),0)),"/")</f>
        <v>0</v>
      </c>
      <c r="Z48" s="375" cm="1">
        <f t="array" ref="Z48">IFERROR(INDEX('Offer Statistics'!BO$2:BO$400,MATCH(1,($A48='Offer Statistics'!$BB$2:$BB$400)*($U$2='Offer Statistics'!$BC$2:$BC$400),0)),"/")</f>
        <v>0</v>
      </c>
      <c r="AA48" s="375" cm="1">
        <f t="array" ref="AA48">IFERROR(INDEX('Offer Statistics'!BP$2:BP$400,MATCH(1,($A48='Offer Statistics'!$BB$2:$BB$400)*($U$2='Offer Statistics'!$BC$2:$BC$400),0)),"/")</f>
        <v>0</v>
      </c>
      <c r="AB48" s="580"/>
      <c r="AC48" s="365" cm="1">
        <f t="array" ref="AC48">IFERROR(INDEX('Offer Statistics'!$BI$2:$BI$400,MATCH(1,($A48='Offer Statistics'!$BB$2:$BB$400)*($U$2='Offer Statistics'!$BC$2:$BC$400),0)),"/")</f>
        <v>1680</v>
      </c>
      <c r="AD48" s="375" cm="1">
        <f t="array" ref="AD48">IFERROR(INDEX('Offer Statistics'!BD$2:BD$400,MATCH(1,($A48='Offer Statistics'!$BB$2:$BB$400)*($U$2='Offer Statistics'!$BC$2:$BC$400),0)),"/")</f>
        <v>178</v>
      </c>
      <c r="AE48" s="375" cm="1">
        <f t="array" ref="AE48">IFERROR(INDEX('Offer Statistics'!BE$2:BE$400,MATCH(1,($A48='Offer Statistics'!$BB$2:$BB$400)*($U$2='Offer Statistics'!$BC$2:$BC$400),0)),"/")</f>
        <v>212</v>
      </c>
      <c r="AF48" s="375" cm="1">
        <f t="array" ref="AF48">IFERROR(INDEX('Offer Statistics'!BF$2:BF$400,MATCH(1,($A48='Offer Statistics'!$BB$2:$BB$400)*($U$2='Offer Statistics'!$BC$2:$BC$400),0)),"/")</f>
        <v>374</v>
      </c>
      <c r="AG48" s="375" cm="1">
        <f t="array" ref="AG48">IFERROR(INDEX('Offer Statistics'!BG$2:BG$400,MATCH(1,($A48='Offer Statistics'!$BB$2:$BB$400)*($U$2='Offer Statistics'!$BC$2:$BC$400),0)),"/")</f>
        <v>523</v>
      </c>
      <c r="AH48" s="375" cm="1">
        <f t="array" ref="AH48">IFERROR(INDEX('Offer Statistics'!BH$2:BH$400,MATCH(1,($A48='Offer Statistics'!$BB$2:$BB$400)*($U$2='Offer Statistics'!$BC$2:$BC$400),0)),"/")</f>
        <v>393</v>
      </c>
      <c r="AI48" s="15"/>
      <c r="AJ48" s="354" t="str">
        <f t="shared" si="2"/>
        <v>JS4550</v>
      </c>
    </row>
    <row r="49" spans="1:36" ht="18" customHeight="1" x14ac:dyDescent="0.3">
      <c r="A49" s="346" t="str">
        <f>'Reference Score Calculation'!A186</f>
        <v>JS4601</v>
      </c>
      <c r="B49" s="346" t="str">
        <f>'Reference Score Calculation'!C186</f>
        <v>理學院</v>
      </c>
      <c r="C49" s="346" t="str">
        <f>'Reference Score Calculation'!D186</f>
        <v>理學</v>
      </c>
      <c r="D49" s="4" t="s">
        <v>1002</v>
      </c>
      <c r="E49" s="356" t="str">
        <f>'Reference Score Calculation'!E186</f>
        <v>Best 5</v>
      </c>
      <c r="F49" s="347">
        <f>'Reference Score Calculation'!F186</f>
        <v>44.000000000349992</v>
      </c>
      <c r="G49" s="347">
        <f>'Reference Score Calculation'!G186</f>
        <v>42.750000000359996</v>
      </c>
      <c r="H49" s="347">
        <f>'Reference Score Calculation'!H186</f>
        <v>38.000000000370001</v>
      </c>
      <c r="I49" s="46">
        <f>計分版!H207</f>
        <v>3.3999999999999998E-9</v>
      </c>
      <c r="J49" s="7">
        <f t="shared" si="3"/>
        <v>-42.74999999696</v>
      </c>
      <c r="K49" s="8">
        <f t="shared" si="4"/>
        <v>-12573529410.870588</v>
      </c>
      <c r="L49" s="365">
        <f>入學要求!C195</f>
        <v>352</v>
      </c>
      <c r="M49" s="379">
        <f>入學要求!R195</f>
        <v>0</v>
      </c>
      <c r="N49" s="100"/>
      <c r="O49" s="422">
        <f>入學要求!D195</f>
        <v>3</v>
      </c>
      <c r="P49" s="422">
        <f>入學要求!E195</f>
        <v>3</v>
      </c>
      <c r="Q49" s="422">
        <f>入學要求!F195</f>
        <v>2</v>
      </c>
      <c r="R49" s="422">
        <f>入學要求!G195</f>
        <v>2</v>
      </c>
      <c r="S49" s="422">
        <f>入學要求!H195</f>
        <v>3</v>
      </c>
      <c r="T49" s="422">
        <f>入學要求!I195</f>
        <v>3</v>
      </c>
      <c r="U49" s="576"/>
      <c r="V49" s="365" cm="1">
        <f t="array" ref="V49">IFERROR(INDEX('Offer Statistics'!$BQ$2:$BQ$400,MATCH(1,($A49='Offer Statistics'!$BB$2:$BB$400)*($U$2='Offer Statistics'!$BC$2:$BC$400),0)),"/")</f>
        <v>400</v>
      </c>
      <c r="W49" s="375" cm="1">
        <f t="array" ref="W49">IFERROR(INDEX('Offer Statistics'!BL$2:BL$400,MATCH(1,($A49='Offer Statistics'!$BB$2:$BB$400)*($U$2='Offer Statistics'!$BC$2:$BC$400),0)),"/")</f>
        <v>400</v>
      </c>
      <c r="X49" s="375" cm="1">
        <f t="array" ref="X49">IFERROR(INDEX('Offer Statistics'!BM$2:BM$400,MATCH(1,($A49='Offer Statistics'!$BB$2:$BB$400)*($U$2='Offer Statistics'!$BC$2:$BC$400),0)),"/")</f>
        <v>0</v>
      </c>
      <c r="Y49" s="375" cm="1">
        <f t="array" ref="Y49">IFERROR(INDEX('Offer Statistics'!BN$2:BN$400,MATCH(1,($A49='Offer Statistics'!$BB$2:$BB$400)*($U$2='Offer Statistics'!$BC$2:$BC$400),0)),"/")</f>
        <v>0</v>
      </c>
      <c r="Z49" s="375" cm="1">
        <f t="array" ref="Z49">IFERROR(INDEX('Offer Statistics'!BO$2:BO$400,MATCH(1,($A49='Offer Statistics'!$BB$2:$BB$400)*($U$2='Offer Statistics'!$BC$2:$BC$400),0)),"/")</f>
        <v>0</v>
      </c>
      <c r="AA49" s="375" cm="1">
        <f t="array" ref="AA49">IFERROR(INDEX('Offer Statistics'!BP$2:BP$400,MATCH(1,($A49='Offer Statistics'!$BB$2:$BB$400)*($U$2='Offer Statistics'!$BC$2:$BC$400),0)),"/")</f>
        <v>0</v>
      </c>
      <c r="AB49" s="580"/>
      <c r="AC49" s="365" cm="1">
        <f t="array" ref="AC49">IFERROR(INDEX('Offer Statistics'!$BI$2:$BI$400,MATCH(1,($A49='Offer Statistics'!$BB$2:$BB$400)*($U$2='Offer Statistics'!$BC$2:$BC$400),0)),"/")</f>
        <v>5379</v>
      </c>
      <c r="AD49" s="375" cm="1">
        <f t="array" ref="AD49">IFERROR(INDEX('Offer Statistics'!BD$2:BD$400,MATCH(1,($A49='Offer Statistics'!$BB$2:$BB$400)*($U$2='Offer Statistics'!$BC$2:$BC$400),0)),"/")</f>
        <v>1527</v>
      </c>
      <c r="AE49" s="375" cm="1">
        <f t="array" ref="AE49">IFERROR(INDEX('Offer Statistics'!BE$2:BE$400,MATCH(1,($A49='Offer Statistics'!$BB$2:$BB$400)*($U$2='Offer Statistics'!$BC$2:$BC$400),0)),"/")</f>
        <v>972</v>
      </c>
      <c r="AF49" s="375" cm="1">
        <f t="array" ref="AF49">IFERROR(INDEX('Offer Statistics'!BF$2:BF$400,MATCH(1,($A49='Offer Statistics'!$BB$2:$BB$400)*($U$2='Offer Statistics'!$BC$2:$BC$400),0)),"/")</f>
        <v>1014</v>
      </c>
      <c r="AG49" s="375" cm="1">
        <f t="array" ref="AG49">IFERROR(INDEX('Offer Statistics'!BG$2:BG$400,MATCH(1,($A49='Offer Statistics'!$BB$2:$BB$400)*($U$2='Offer Statistics'!$BC$2:$BC$400),0)),"/")</f>
        <v>1098</v>
      </c>
      <c r="AH49" s="375" cm="1">
        <f t="array" ref="AH49">IFERROR(INDEX('Offer Statistics'!BH$2:BH$400,MATCH(1,($A49='Offer Statistics'!$BB$2:$BB$400)*($U$2='Offer Statistics'!$BC$2:$BC$400),0)),"/")</f>
        <v>768</v>
      </c>
      <c r="AI49" s="15"/>
      <c r="AJ49" s="354" t="str">
        <f t="shared" si="2"/>
        <v>JS4601</v>
      </c>
    </row>
    <row r="50" spans="1:36" s="10" customFormat="1" ht="18" customHeight="1" x14ac:dyDescent="0.3">
      <c r="A50" s="346" t="str">
        <f>'Reference Score Calculation'!A187</f>
        <v>JS4648</v>
      </c>
      <c r="B50" s="346" t="str">
        <f>'Reference Score Calculation'!C187</f>
        <v>理學院</v>
      </c>
      <c r="C50" s="346" t="str">
        <f>'Reference Score Calculation'!D187</f>
        <v>地球與環境科學</v>
      </c>
      <c r="D50" s="4" t="s">
        <v>2500</v>
      </c>
      <c r="E50" s="376" t="str">
        <f>'Reference Score Calculation'!AD187</f>
        <v>Best 5</v>
      </c>
      <c r="F50" s="347" t="str">
        <f>'Reference Score Calculation'!F187</f>
        <v>/</v>
      </c>
      <c r="G50" s="347" t="str">
        <f>'Reference Score Calculation'!G187</f>
        <v>/</v>
      </c>
      <c r="H50" s="347" t="str">
        <f>'Reference Score Calculation'!H187</f>
        <v>/</v>
      </c>
      <c r="I50" s="46">
        <f>計分版!H208</f>
        <v>3.7500000000000005E-9</v>
      </c>
      <c r="J50" s="348" t="s">
        <v>1978</v>
      </c>
      <c r="K50" s="349" t="s">
        <v>1978</v>
      </c>
      <c r="L50" s="365">
        <f>入學要求!C196</f>
        <v>35</v>
      </c>
      <c r="M50" s="379">
        <f>入學要求!R196</f>
        <v>0</v>
      </c>
      <c r="N50" s="15"/>
      <c r="O50" s="422">
        <f>入學要求!D196</f>
        <v>3</v>
      </c>
      <c r="P50" s="422">
        <f>入學要求!E196</f>
        <v>3</v>
      </c>
      <c r="Q50" s="422">
        <f>入學要求!F196</f>
        <v>3</v>
      </c>
      <c r="R50" s="422">
        <f>入學要求!G196</f>
        <v>2</v>
      </c>
      <c r="S50" s="422">
        <f>入學要求!H196</f>
        <v>4</v>
      </c>
      <c r="T50" s="422">
        <f>入學要求!I196</f>
        <v>3</v>
      </c>
      <c r="U50" s="576"/>
      <c r="V50" s="365" t="str" cm="1">
        <f t="array" ref="V50">IFERROR(INDEX('Offer Statistics'!$BQ$2:$BQ$400,MATCH(1,($A50='Offer Statistics'!$BB$2:$BB$400)*($U$2='Offer Statistics'!$BC$2:$BC$400),0)),"/")</f>
        <v>/</v>
      </c>
      <c r="W50" s="375" t="str" cm="1">
        <f t="array" ref="W50">IFERROR(INDEX('Offer Statistics'!BL$2:BL$400,MATCH(1,($A50='Offer Statistics'!$BB$2:$BB$400)*($U$2='Offer Statistics'!$BC$2:$BC$400),0)),"/")</f>
        <v>/</v>
      </c>
      <c r="X50" s="375" t="str" cm="1">
        <f t="array" ref="X50">IFERROR(INDEX('Offer Statistics'!BM$2:BM$400,MATCH(1,($A50='Offer Statistics'!$BB$2:$BB$400)*($U$2='Offer Statistics'!$BC$2:$BC$400),0)),"/")</f>
        <v>/</v>
      </c>
      <c r="Y50" s="375" t="str" cm="1">
        <f t="array" ref="Y50">IFERROR(INDEX('Offer Statistics'!BN$2:BN$400,MATCH(1,($A50='Offer Statistics'!$BB$2:$BB$400)*($U$2='Offer Statistics'!$BC$2:$BC$400),0)),"/")</f>
        <v>/</v>
      </c>
      <c r="Z50" s="375" t="str" cm="1">
        <f t="array" ref="Z50">IFERROR(INDEX('Offer Statistics'!BO$2:BO$400,MATCH(1,($A50='Offer Statistics'!$BB$2:$BB$400)*($U$2='Offer Statistics'!$BC$2:$BC$400),0)),"/")</f>
        <v>/</v>
      </c>
      <c r="AA50" s="375" t="str" cm="1">
        <f t="array" ref="AA50">IFERROR(INDEX('Offer Statistics'!BP$2:BP$400,MATCH(1,($A50='Offer Statistics'!$BB$2:$BB$400)*($U$2='Offer Statistics'!$BC$2:$BC$400),0)),"/")</f>
        <v>/</v>
      </c>
      <c r="AB50" s="580"/>
      <c r="AC50" s="365" t="str" cm="1">
        <f t="array" ref="AC50">IFERROR(INDEX('Offer Statistics'!$BI$2:$BI$400,MATCH(1,($A50='Offer Statistics'!$BB$2:$BB$400)*($U$2='Offer Statistics'!$BC$2:$BC$400),0)),"/")</f>
        <v>/</v>
      </c>
      <c r="AD50" s="375" t="str" cm="1">
        <f t="array" ref="AD50">IFERROR(INDEX('Offer Statistics'!BD$2:BD$400,MATCH(1,($A50='Offer Statistics'!$BB$2:$BB$400)*($U$2='Offer Statistics'!$BC$2:$BC$400),0)),"/")</f>
        <v>/</v>
      </c>
      <c r="AE50" s="375" t="str" cm="1">
        <f t="array" ref="AE50">IFERROR(INDEX('Offer Statistics'!BE$2:BE$400,MATCH(1,($A50='Offer Statistics'!$BB$2:$BB$400)*($U$2='Offer Statistics'!$BC$2:$BC$400),0)),"/")</f>
        <v>/</v>
      </c>
      <c r="AF50" s="375" t="str" cm="1">
        <f t="array" ref="AF50">IFERROR(INDEX('Offer Statistics'!BF$2:BF$400,MATCH(1,($A50='Offer Statistics'!$BB$2:$BB$400)*($U$2='Offer Statistics'!$BC$2:$BC$400),0)),"/")</f>
        <v>/</v>
      </c>
      <c r="AG50" s="375" t="str" cm="1">
        <f t="array" ref="AG50">IFERROR(INDEX('Offer Statistics'!BG$2:BG$400,MATCH(1,($A50='Offer Statistics'!$BB$2:$BB$400)*($U$2='Offer Statistics'!$BC$2:$BC$400),0)),"/")</f>
        <v>/</v>
      </c>
      <c r="AH50" s="375" t="str" cm="1">
        <f t="array" ref="AH50">IFERROR(INDEX('Offer Statistics'!BH$2:BH$400,MATCH(1,($A50='Offer Statistics'!$BB$2:$BB$400)*($U$2='Offer Statistics'!$BC$2:$BC$400),0)),"/")</f>
        <v>/</v>
      </c>
      <c r="AI50" s="15"/>
      <c r="AJ50" s="354" t="str">
        <f t="shared" si="2"/>
        <v>JS4648</v>
      </c>
    </row>
    <row r="51" spans="1:36" ht="18" customHeight="1" x14ac:dyDescent="0.3">
      <c r="A51" s="346" t="str">
        <f>'Reference Score Calculation'!A188</f>
        <v>JS4682</v>
      </c>
      <c r="B51" s="346" t="str">
        <f>'Reference Score Calculation'!C188</f>
        <v>理學院</v>
      </c>
      <c r="C51" s="346" t="str">
        <f>'Reference Score Calculation'!D188</f>
        <v>數學精研</v>
      </c>
      <c r="D51" s="4" t="s">
        <v>2501</v>
      </c>
      <c r="E51" s="356" t="str">
        <f>'Reference Score Calculation'!E188</f>
        <v>Best 5</v>
      </c>
      <c r="F51" s="347">
        <f>'Reference Score Calculation'!F188</f>
        <v>45.000000000299998</v>
      </c>
      <c r="G51" s="347">
        <f>'Reference Score Calculation'!G188</f>
        <v>42.000000000340002</v>
      </c>
      <c r="H51" s="347">
        <f>'Reference Score Calculation'!H188</f>
        <v>40.500000000280004</v>
      </c>
      <c r="I51" s="46">
        <f>計分版!H209</f>
        <v>4.3500000000000001E-9</v>
      </c>
      <c r="J51" s="7">
        <f t="shared" si="3"/>
        <v>-41.999999995990002</v>
      </c>
      <c r="K51" s="8">
        <f t="shared" si="4"/>
        <v>-9655172412.8712654</v>
      </c>
      <c r="L51" s="365">
        <f>入學要求!C197</f>
        <v>27</v>
      </c>
      <c r="M51" s="379">
        <f>入學要求!R197</f>
        <v>0</v>
      </c>
      <c r="N51" s="27"/>
      <c r="O51" s="422">
        <f>入學要求!D197</f>
        <v>3</v>
      </c>
      <c r="P51" s="422">
        <f>入學要求!E197</f>
        <v>3</v>
      </c>
      <c r="Q51" s="422">
        <f>入學要求!F197</f>
        <v>4</v>
      </c>
      <c r="R51" s="422">
        <f>入學要求!G197</f>
        <v>2</v>
      </c>
      <c r="S51" s="422">
        <f>入學要求!H197</f>
        <v>3</v>
      </c>
      <c r="T51" s="422">
        <f>入學要求!I197</f>
        <v>4</v>
      </c>
      <c r="U51" s="576"/>
      <c r="V51" s="365" cm="1">
        <f t="array" ref="V51">IFERROR(INDEX('Offer Statistics'!$BQ$2:$BQ$400,MATCH(1,($A51='Offer Statistics'!$BB$2:$BB$400)*($U$2='Offer Statistics'!$BC$2:$BC$400),0)),"/")</f>
        <v>32</v>
      </c>
      <c r="W51" s="375" cm="1">
        <f t="array" ref="W51">IFERROR(INDEX('Offer Statistics'!BL$2:BL$400,MATCH(1,($A51='Offer Statistics'!$BB$2:$BB$400)*($U$2='Offer Statistics'!$BC$2:$BC$400),0)),"/")</f>
        <v>32</v>
      </c>
      <c r="X51" s="375" cm="1">
        <f t="array" ref="X51">IFERROR(INDEX('Offer Statistics'!BM$2:BM$400,MATCH(1,($A51='Offer Statistics'!$BB$2:$BB$400)*($U$2='Offer Statistics'!$BC$2:$BC$400),0)),"/")</f>
        <v>0</v>
      </c>
      <c r="Y51" s="375" cm="1">
        <f t="array" ref="Y51">IFERROR(INDEX('Offer Statistics'!BN$2:BN$400,MATCH(1,($A51='Offer Statistics'!$BB$2:$BB$400)*($U$2='Offer Statistics'!$BC$2:$BC$400),0)),"/")</f>
        <v>0</v>
      </c>
      <c r="Z51" s="375" cm="1">
        <f t="array" ref="Z51">IFERROR(INDEX('Offer Statistics'!BO$2:BO$400,MATCH(1,($A51='Offer Statistics'!$BB$2:$BB$400)*($U$2='Offer Statistics'!$BC$2:$BC$400),0)),"/")</f>
        <v>0</v>
      </c>
      <c r="AA51" s="375" cm="1">
        <f t="array" ref="AA51">IFERROR(INDEX('Offer Statistics'!BP$2:BP$400,MATCH(1,($A51='Offer Statistics'!$BB$2:$BB$400)*($U$2='Offer Statistics'!$BC$2:$BC$400),0)),"/")</f>
        <v>0</v>
      </c>
      <c r="AB51" s="580"/>
      <c r="AC51" s="365" cm="1">
        <f t="array" ref="AC51">IFERROR(INDEX('Offer Statistics'!$BI$2:$BI$400,MATCH(1,($A51='Offer Statistics'!$BB$2:$BB$400)*($U$2='Offer Statistics'!$BC$2:$BC$400),0)),"/")</f>
        <v>563</v>
      </c>
      <c r="AD51" s="375" cm="1">
        <f t="array" ref="AD51">IFERROR(INDEX('Offer Statistics'!BD$2:BD$400,MATCH(1,($A51='Offer Statistics'!$BB$2:$BB$400)*($U$2='Offer Statistics'!$BC$2:$BC$400),0)),"/")</f>
        <v>101</v>
      </c>
      <c r="AE51" s="375" cm="1">
        <f t="array" ref="AE51">IFERROR(INDEX('Offer Statistics'!BE$2:BE$400,MATCH(1,($A51='Offer Statistics'!$BB$2:$BB$400)*($U$2='Offer Statistics'!$BC$2:$BC$400),0)),"/")</f>
        <v>72</v>
      </c>
      <c r="AF51" s="375" cm="1">
        <f t="array" ref="AF51">IFERROR(INDEX('Offer Statistics'!BF$2:BF$400,MATCH(1,($A51='Offer Statistics'!$BB$2:$BB$400)*($U$2='Offer Statistics'!$BC$2:$BC$400),0)),"/")</f>
        <v>111</v>
      </c>
      <c r="AG51" s="375" cm="1">
        <f t="array" ref="AG51">IFERROR(INDEX('Offer Statistics'!BG$2:BG$400,MATCH(1,($A51='Offer Statistics'!$BB$2:$BB$400)*($U$2='Offer Statistics'!$BC$2:$BC$400),0)),"/")</f>
        <v>149</v>
      </c>
      <c r="AH51" s="375" cm="1">
        <f t="array" ref="AH51">IFERROR(INDEX('Offer Statistics'!BH$2:BH$400,MATCH(1,($A51='Offer Statistics'!$BB$2:$BB$400)*($U$2='Offer Statistics'!$BC$2:$BC$400),0)),"/")</f>
        <v>130</v>
      </c>
      <c r="AI51" s="15"/>
      <c r="AJ51" s="354" t="str">
        <f t="shared" si="2"/>
        <v>JS4682</v>
      </c>
    </row>
    <row r="52" spans="1:36" s="10" customFormat="1" ht="18" customHeight="1" x14ac:dyDescent="0.3">
      <c r="A52" s="346" t="str">
        <f>'Reference Score Calculation'!A189</f>
        <v>JS4690</v>
      </c>
      <c r="B52" s="346" t="str">
        <f>'Reference Score Calculation'!C189</f>
        <v>理學院</v>
      </c>
      <c r="C52" s="346" t="str">
        <f>'Reference Score Calculation'!D189</f>
        <v>理論物理精研</v>
      </c>
      <c r="D52" s="4" t="s">
        <v>1016</v>
      </c>
      <c r="E52" s="356" t="str">
        <f>'Reference Score Calculation'!E189</f>
        <v>Best 5</v>
      </c>
      <c r="F52" s="347">
        <f>'Reference Score Calculation'!F189</f>
        <v>47.750000000290001</v>
      </c>
      <c r="G52" s="347">
        <f>'Reference Score Calculation'!G189</f>
        <v>44.750000000359996</v>
      </c>
      <c r="H52" s="347">
        <f>'Reference Score Calculation'!H189</f>
        <v>38.75000000032</v>
      </c>
      <c r="I52" s="46">
        <f>計分版!H210</f>
        <v>4.1000000000000003E-9</v>
      </c>
      <c r="J52" s="7">
        <f t="shared" si="3"/>
        <v>-44.749999996259994</v>
      </c>
      <c r="K52" s="8">
        <f t="shared" si="4"/>
        <v>-10914634145.429266</v>
      </c>
      <c r="L52" s="365">
        <f>入學要求!C198</f>
        <v>20</v>
      </c>
      <c r="M52" s="379">
        <f>入學要求!R198</f>
        <v>0</v>
      </c>
      <c r="N52" s="27"/>
      <c r="O52" s="422">
        <f>入學要求!D198</f>
        <v>3</v>
      </c>
      <c r="P52" s="422">
        <f>入學要求!E198</f>
        <v>3</v>
      </c>
      <c r="Q52" s="422">
        <f>入學要求!F198</f>
        <v>2</v>
      </c>
      <c r="R52" s="422">
        <f>入學要求!G198</f>
        <v>2</v>
      </c>
      <c r="S52" s="422">
        <f>入學要求!H198</f>
        <v>4</v>
      </c>
      <c r="T52" s="422">
        <f>入學要求!I198</f>
        <v>3</v>
      </c>
      <c r="U52" s="576"/>
      <c r="V52" s="365" cm="1">
        <f t="array" ref="V52">IFERROR(INDEX('Offer Statistics'!$BQ$2:$BQ$400,MATCH(1,($A52='Offer Statistics'!$BB$2:$BB$400)*($U$2='Offer Statistics'!$BC$2:$BC$400),0)),"/")</f>
        <v>25</v>
      </c>
      <c r="W52" s="375" cm="1">
        <f t="array" ref="W52">IFERROR(INDEX('Offer Statistics'!BL$2:BL$400,MATCH(1,($A52='Offer Statistics'!$BB$2:$BB$400)*($U$2='Offer Statistics'!$BC$2:$BC$400),0)),"/")</f>
        <v>25</v>
      </c>
      <c r="X52" s="375" cm="1">
        <f t="array" ref="X52">IFERROR(INDEX('Offer Statistics'!BM$2:BM$400,MATCH(1,($A52='Offer Statistics'!$BB$2:$BB$400)*($U$2='Offer Statistics'!$BC$2:$BC$400),0)),"/")</f>
        <v>0</v>
      </c>
      <c r="Y52" s="375" cm="1">
        <f t="array" ref="Y52">IFERROR(INDEX('Offer Statistics'!BN$2:BN$400,MATCH(1,($A52='Offer Statistics'!$BB$2:$BB$400)*($U$2='Offer Statistics'!$BC$2:$BC$400),0)),"/")</f>
        <v>0</v>
      </c>
      <c r="Z52" s="375" cm="1">
        <f t="array" ref="Z52">IFERROR(INDEX('Offer Statistics'!BO$2:BO$400,MATCH(1,($A52='Offer Statistics'!$BB$2:$BB$400)*($U$2='Offer Statistics'!$BC$2:$BC$400),0)),"/")</f>
        <v>0</v>
      </c>
      <c r="AA52" s="375" cm="1">
        <f t="array" ref="AA52">IFERROR(INDEX('Offer Statistics'!BP$2:BP$400,MATCH(1,($A52='Offer Statistics'!$BB$2:$BB$400)*($U$2='Offer Statistics'!$BC$2:$BC$400),0)),"/")</f>
        <v>0</v>
      </c>
      <c r="AB52" s="580"/>
      <c r="AC52" s="365" cm="1">
        <f t="array" ref="AC52">IFERROR(INDEX('Offer Statistics'!$BI$2:$BI$400,MATCH(1,($A52='Offer Statistics'!$BB$2:$BB$400)*($U$2='Offer Statistics'!$BC$2:$BC$400),0)),"/")</f>
        <v>350</v>
      </c>
      <c r="AD52" s="375" cm="1">
        <f t="array" ref="AD52">IFERROR(INDEX('Offer Statistics'!BD$2:BD$400,MATCH(1,($A52='Offer Statistics'!$BB$2:$BB$400)*($U$2='Offer Statistics'!$BC$2:$BC$400),0)),"/")</f>
        <v>80</v>
      </c>
      <c r="AE52" s="375" cm="1">
        <f t="array" ref="AE52">IFERROR(INDEX('Offer Statistics'!BE$2:BE$400,MATCH(1,($A52='Offer Statistics'!$BB$2:$BB$400)*($U$2='Offer Statistics'!$BC$2:$BC$400),0)),"/")</f>
        <v>40</v>
      </c>
      <c r="AF52" s="375" cm="1">
        <f t="array" ref="AF52">IFERROR(INDEX('Offer Statistics'!BF$2:BF$400,MATCH(1,($A52='Offer Statistics'!$BB$2:$BB$400)*($U$2='Offer Statistics'!$BC$2:$BC$400),0)),"/")</f>
        <v>68</v>
      </c>
      <c r="AG52" s="375" cm="1">
        <f t="array" ref="AG52">IFERROR(INDEX('Offer Statistics'!BG$2:BG$400,MATCH(1,($A52='Offer Statistics'!$BB$2:$BB$400)*($U$2='Offer Statistics'!$BC$2:$BC$400),0)),"/")</f>
        <v>88</v>
      </c>
      <c r="AH52" s="375" cm="1">
        <f t="array" ref="AH52">IFERROR(INDEX('Offer Statistics'!BH$2:BH$400,MATCH(1,($A52='Offer Statistics'!$BB$2:$BB$400)*($U$2='Offer Statistics'!$BC$2:$BC$400),0)),"/")</f>
        <v>74</v>
      </c>
      <c r="AI52" s="15"/>
      <c r="AJ52" s="354" t="str">
        <f t="shared" si="2"/>
        <v>JS4690</v>
      </c>
    </row>
    <row r="53" spans="1:36" ht="18" customHeight="1" x14ac:dyDescent="0.3">
      <c r="A53" s="346" t="str">
        <f>'Reference Score Calculation'!A190</f>
        <v>JS4719</v>
      </c>
      <c r="B53" s="346" t="str">
        <f>'Reference Score Calculation'!C190</f>
        <v>理學院</v>
      </c>
      <c r="C53" s="346" t="str">
        <f>'Reference Score Calculation'!D190</f>
        <v>風險管理科學</v>
      </c>
      <c r="D53" s="4" t="s">
        <v>2502</v>
      </c>
      <c r="E53" s="356" t="str">
        <f>'Reference Score Calculation'!E190</f>
        <v>Best 5</v>
      </c>
      <c r="F53" s="347">
        <f>'Reference Score Calculation'!F190</f>
        <v>44.500000000329997</v>
      </c>
      <c r="G53" s="347">
        <f>'Reference Score Calculation'!G190</f>
        <v>43.000000000330004</v>
      </c>
      <c r="H53" s="347">
        <f>'Reference Score Calculation'!H190</f>
        <v>41.500000000330004</v>
      </c>
      <c r="I53" s="46">
        <f>計分版!H211</f>
        <v>4.3500000000000001E-9</v>
      </c>
      <c r="J53" s="7">
        <f t="shared" si="3"/>
        <v>-42.999999995980005</v>
      </c>
      <c r="K53" s="8">
        <f t="shared" si="4"/>
        <v>-9885057470.3402309</v>
      </c>
      <c r="L53" s="365">
        <f>入學要求!C199</f>
        <v>25</v>
      </c>
      <c r="M53" s="379">
        <f>入學要求!R199</f>
        <v>0</v>
      </c>
      <c r="N53" s="27"/>
      <c r="O53" s="422">
        <f>入學要求!D199</f>
        <v>3</v>
      </c>
      <c r="P53" s="422">
        <f>入學要求!E199</f>
        <v>3</v>
      </c>
      <c r="Q53" s="422">
        <f>入學要求!F199</f>
        <v>2</v>
      </c>
      <c r="R53" s="422">
        <f>入學要求!G199</f>
        <v>2</v>
      </c>
      <c r="S53" s="422">
        <f>入學要求!H199</f>
        <v>3</v>
      </c>
      <c r="T53" s="422">
        <f>入學要求!I199</f>
        <v>3</v>
      </c>
      <c r="U53" s="576"/>
      <c r="V53" s="365" cm="1">
        <f t="array" ref="V53">IFERROR(INDEX('Offer Statistics'!$BQ$2:$BQ$400,MATCH(1,($A53='Offer Statistics'!$BB$2:$BB$400)*($U$2='Offer Statistics'!$BC$2:$BC$400),0)),"/")</f>
        <v>26</v>
      </c>
      <c r="W53" s="375" cm="1">
        <f t="array" ref="W53">IFERROR(INDEX('Offer Statistics'!BL$2:BL$400,MATCH(1,($A53='Offer Statistics'!$BB$2:$BB$400)*($U$2='Offer Statistics'!$BC$2:$BC$400),0)),"/")</f>
        <v>26</v>
      </c>
      <c r="X53" s="375" cm="1">
        <f t="array" ref="X53">IFERROR(INDEX('Offer Statistics'!BM$2:BM$400,MATCH(1,($A53='Offer Statistics'!$BB$2:$BB$400)*($U$2='Offer Statistics'!$BC$2:$BC$400),0)),"/")</f>
        <v>0</v>
      </c>
      <c r="Y53" s="375" cm="1">
        <f t="array" ref="Y53">IFERROR(INDEX('Offer Statistics'!BN$2:BN$400,MATCH(1,($A53='Offer Statistics'!$BB$2:$BB$400)*($U$2='Offer Statistics'!$BC$2:$BC$400),0)),"/")</f>
        <v>0</v>
      </c>
      <c r="Z53" s="375" cm="1">
        <f t="array" ref="Z53">IFERROR(INDEX('Offer Statistics'!BO$2:BO$400,MATCH(1,($A53='Offer Statistics'!$BB$2:$BB$400)*($U$2='Offer Statistics'!$BC$2:$BC$400),0)),"/")</f>
        <v>0</v>
      </c>
      <c r="AA53" s="375" cm="1">
        <f t="array" ref="AA53">IFERROR(INDEX('Offer Statistics'!BP$2:BP$400,MATCH(1,($A53='Offer Statistics'!$BB$2:$BB$400)*($U$2='Offer Statistics'!$BC$2:$BC$400),0)),"/")</f>
        <v>0</v>
      </c>
      <c r="AB53" s="580"/>
      <c r="AC53" s="365" cm="1">
        <f t="array" ref="AC53">IFERROR(INDEX('Offer Statistics'!$BI$2:$BI$400,MATCH(1,($A53='Offer Statistics'!$BB$2:$BB$400)*($U$2='Offer Statistics'!$BC$2:$BC$400),0)),"/")</f>
        <v>714</v>
      </c>
      <c r="AD53" s="375" cm="1">
        <f t="array" ref="AD53">IFERROR(INDEX('Offer Statistics'!BD$2:BD$400,MATCH(1,($A53='Offer Statistics'!$BB$2:$BB$400)*($U$2='Offer Statistics'!$BC$2:$BC$400),0)),"/")</f>
        <v>97</v>
      </c>
      <c r="AE53" s="375" cm="1">
        <f t="array" ref="AE53">IFERROR(INDEX('Offer Statistics'!BE$2:BE$400,MATCH(1,($A53='Offer Statistics'!$BB$2:$BB$400)*($U$2='Offer Statistics'!$BC$2:$BC$400),0)),"/")</f>
        <v>67</v>
      </c>
      <c r="AF53" s="375" cm="1">
        <f t="array" ref="AF53">IFERROR(INDEX('Offer Statistics'!BF$2:BF$400,MATCH(1,($A53='Offer Statistics'!$BB$2:$BB$400)*($U$2='Offer Statistics'!$BC$2:$BC$400),0)),"/")</f>
        <v>115</v>
      </c>
      <c r="AG53" s="375" cm="1">
        <f t="array" ref="AG53">IFERROR(INDEX('Offer Statistics'!BG$2:BG$400,MATCH(1,($A53='Offer Statistics'!$BB$2:$BB$400)*($U$2='Offer Statistics'!$BC$2:$BC$400),0)),"/")</f>
        <v>230</v>
      </c>
      <c r="AH53" s="375" cm="1">
        <f t="array" ref="AH53">IFERROR(INDEX('Offer Statistics'!BH$2:BH$400,MATCH(1,($A53='Offer Statistics'!$BB$2:$BB$400)*($U$2='Offer Statistics'!$BC$2:$BC$400),0)),"/")</f>
        <v>205</v>
      </c>
      <c r="AI53" s="15"/>
      <c r="AJ53" s="354" t="str">
        <f t="shared" si="2"/>
        <v>JS4719</v>
      </c>
    </row>
    <row r="54" spans="1:36" s="10" customFormat="1" ht="18" customHeight="1" x14ac:dyDescent="0.3">
      <c r="A54" s="346" t="str">
        <f>'Reference Score Calculation'!A191</f>
        <v>JS4725</v>
      </c>
      <c r="B54" s="346" t="str">
        <f>'Reference Score Calculation'!C191</f>
        <v>理學院/商學院</v>
      </c>
      <c r="C54" s="346" t="str">
        <f>'Reference Score Calculation'!D191</f>
        <v>生物科技、創業與醫療管理</v>
      </c>
      <c r="D54" s="4" t="s">
        <v>2503</v>
      </c>
      <c r="E54" s="355" t="str">
        <f>'Reference Score Calculation'!AD191</f>
        <v>Best 5</v>
      </c>
      <c r="F54" s="347" t="str">
        <f>'Reference Score Calculation'!F191</f>
        <v>/</v>
      </c>
      <c r="G54" s="347" t="str">
        <f>'Reference Score Calculation'!G191</f>
        <v>/</v>
      </c>
      <c r="H54" s="347" t="str">
        <f>'Reference Score Calculation'!H191</f>
        <v>/</v>
      </c>
      <c r="I54" s="46">
        <f>計分版!H212</f>
        <v>3.9500000000000006E-9</v>
      </c>
      <c r="J54" s="348" t="s">
        <v>1978</v>
      </c>
      <c r="K54" s="349" t="s">
        <v>1978</v>
      </c>
      <c r="L54" s="365">
        <f>入學要求!C200</f>
        <v>15</v>
      </c>
      <c r="M54" s="379">
        <f>入學要求!R200</f>
        <v>0</v>
      </c>
      <c r="N54" s="27"/>
      <c r="O54" s="422">
        <f>入學要求!D200</f>
        <v>3</v>
      </c>
      <c r="P54" s="422">
        <f>入學要求!E200</f>
        <v>4</v>
      </c>
      <c r="Q54" s="422">
        <f>入學要求!F200</f>
        <v>3</v>
      </c>
      <c r="R54" s="422">
        <f>入學要求!G200</f>
        <v>2</v>
      </c>
      <c r="S54" s="422">
        <f>入學要求!H200</f>
        <v>3</v>
      </c>
      <c r="T54" s="422">
        <f>入學要求!I200</f>
        <v>3</v>
      </c>
      <c r="U54" s="576"/>
      <c r="V54" s="365" t="str" cm="1">
        <f t="array" ref="V54">IFERROR(INDEX('Offer Statistics'!$BQ$2:$BQ$400,MATCH(1,($A54='Offer Statistics'!$BB$2:$BB$400)*($U$2='Offer Statistics'!$BC$2:$BC$400),0)),"/")</f>
        <v>/</v>
      </c>
      <c r="W54" s="375" t="str" cm="1">
        <f t="array" ref="W54">IFERROR(INDEX('Offer Statistics'!BL$2:BL$400,MATCH(1,($A54='Offer Statistics'!$BB$2:$BB$400)*($U$2='Offer Statistics'!$BC$2:$BC$400),0)),"/")</f>
        <v>/</v>
      </c>
      <c r="X54" s="375" t="str" cm="1">
        <f t="array" ref="X54">IFERROR(INDEX('Offer Statistics'!BM$2:BM$400,MATCH(1,($A54='Offer Statistics'!$BB$2:$BB$400)*($U$2='Offer Statistics'!$BC$2:$BC$400),0)),"/")</f>
        <v>/</v>
      </c>
      <c r="Y54" s="375" t="str" cm="1">
        <f t="array" ref="Y54">IFERROR(INDEX('Offer Statistics'!BN$2:BN$400,MATCH(1,($A54='Offer Statistics'!$BB$2:$BB$400)*($U$2='Offer Statistics'!$BC$2:$BC$400),0)),"/")</f>
        <v>/</v>
      </c>
      <c r="Z54" s="375" t="str" cm="1">
        <f t="array" ref="Z54">IFERROR(INDEX('Offer Statistics'!BO$2:BO$400,MATCH(1,($A54='Offer Statistics'!$BB$2:$BB$400)*($U$2='Offer Statistics'!$BC$2:$BC$400),0)),"/")</f>
        <v>/</v>
      </c>
      <c r="AA54" s="375" t="str" cm="1">
        <f t="array" ref="AA54">IFERROR(INDEX('Offer Statistics'!BP$2:BP$400,MATCH(1,($A54='Offer Statistics'!$BB$2:$BB$400)*($U$2='Offer Statistics'!$BC$2:$BC$400),0)),"/")</f>
        <v>/</v>
      </c>
      <c r="AB54" s="580"/>
      <c r="AC54" s="365" t="str" cm="1">
        <f t="array" ref="AC54">IFERROR(INDEX('Offer Statistics'!$BI$2:$BI$400,MATCH(1,($A54='Offer Statistics'!$BB$2:$BB$400)*($U$2='Offer Statistics'!$BC$2:$BC$400),0)),"/")</f>
        <v>/</v>
      </c>
      <c r="AD54" s="375" t="str" cm="1">
        <f t="array" ref="AD54">IFERROR(INDEX('Offer Statistics'!BD$2:BD$400,MATCH(1,($A54='Offer Statistics'!$BB$2:$BB$400)*($U$2='Offer Statistics'!$BC$2:$BC$400),0)),"/")</f>
        <v>/</v>
      </c>
      <c r="AE54" s="375" t="str" cm="1">
        <f t="array" ref="AE54">IFERROR(INDEX('Offer Statistics'!BE$2:BE$400,MATCH(1,($A54='Offer Statistics'!$BB$2:$BB$400)*($U$2='Offer Statistics'!$BC$2:$BC$400),0)),"/")</f>
        <v>/</v>
      </c>
      <c r="AF54" s="375" t="str" cm="1">
        <f t="array" ref="AF54">IFERROR(INDEX('Offer Statistics'!BF$2:BF$400,MATCH(1,($A54='Offer Statistics'!$BB$2:$BB$400)*($U$2='Offer Statistics'!$BC$2:$BC$400),0)),"/")</f>
        <v>/</v>
      </c>
      <c r="AG54" s="375" t="str" cm="1">
        <f t="array" ref="AG54">IFERROR(INDEX('Offer Statistics'!BG$2:BG$400,MATCH(1,($A54='Offer Statistics'!$BB$2:$BB$400)*($U$2='Offer Statistics'!$BC$2:$BC$400),0)),"/")</f>
        <v>/</v>
      </c>
      <c r="AH54" s="375" t="str" cm="1">
        <f t="array" ref="AH54">IFERROR(INDEX('Offer Statistics'!BH$2:BH$400,MATCH(1,($A54='Offer Statistics'!$BB$2:$BB$400)*($U$2='Offer Statistics'!$BC$2:$BC$400),0)),"/")</f>
        <v>/</v>
      </c>
      <c r="AI54" s="15"/>
      <c r="AJ54" s="354" t="str">
        <f t="shared" si="2"/>
        <v>JS4725</v>
      </c>
    </row>
    <row r="55" spans="1:36" ht="18" customHeight="1" x14ac:dyDescent="0.3">
      <c r="A55" s="346" t="str">
        <f>'Reference Score Calculation'!A192</f>
        <v>JS4733</v>
      </c>
      <c r="B55" s="346" t="str">
        <f>'Reference Score Calculation'!C192</f>
        <v>理學院/工程學院</v>
      </c>
      <c r="C55" s="346" t="str">
        <f>'Reference Score Calculation'!D192</f>
        <v>數學與信息工程學</v>
      </c>
      <c r="D55" s="4" t="s">
        <v>1031</v>
      </c>
      <c r="E55" s="382" t="str">
        <f>'Reference Score Calculation'!AD192</f>
        <v>4C2X</v>
      </c>
      <c r="F55" s="347" t="str">
        <f>'Reference Score Calculation'!F192</f>
        <v>/</v>
      </c>
      <c r="G55" s="347" t="str">
        <f>'Reference Score Calculation'!G192</f>
        <v>/</v>
      </c>
      <c r="H55" s="347" t="str">
        <f>'Reference Score Calculation'!H192</f>
        <v>/</v>
      </c>
      <c r="I55" s="46">
        <f>計分版!H213</f>
        <v>3.05E-9</v>
      </c>
      <c r="J55" s="348" t="s">
        <v>1978</v>
      </c>
      <c r="K55" s="349" t="s">
        <v>1978</v>
      </c>
      <c r="L55" s="365">
        <f>入學要求!C201</f>
        <v>13</v>
      </c>
      <c r="M55" s="379">
        <f>入學要求!R201</f>
        <v>0</v>
      </c>
      <c r="O55" s="422">
        <f>入學要求!D201</f>
        <v>3</v>
      </c>
      <c r="P55" s="422">
        <f>入學要求!E201</f>
        <v>4</v>
      </c>
      <c r="Q55" s="422">
        <f>入學要求!F201</f>
        <v>5</v>
      </c>
      <c r="R55" s="422">
        <f>入學要求!G201</f>
        <v>3</v>
      </c>
      <c r="S55" s="422">
        <f>入學要求!H201</f>
        <v>5</v>
      </c>
      <c r="T55" s="422">
        <f>入學要求!I201</f>
        <v>4</v>
      </c>
      <c r="U55" s="576"/>
      <c r="V55" s="365" t="str" cm="1">
        <f t="array" ref="V55">IFERROR(INDEX('Offer Statistics'!$BQ$2:$BQ$400,MATCH(1,($A55='Offer Statistics'!$BB$2:$BB$400)*($U$2='Offer Statistics'!$BC$2:$BC$400),0)),"/")</f>
        <v>/</v>
      </c>
      <c r="W55" s="375" t="str" cm="1">
        <f t="array" ref="W55">IFERROR(INDEX('Offer Statistics'!BL$2:BL$400,MATCH(1,($A55='Offer Statistics'!$BB$2:$BB$400)*($U$2='Offer Statistics'!$BC$2:$BC$400),0)),"/")</f>
        <v>/</v>
      </c>
      <c r="X55" s="375" t="str" cm="1">
        <f t="array" ref="X55">IFERROR(INDEX('Offer Statistics'!BM$2:BM$400,MATCH(1,($A55='Offer Statistics'!$BB$2:$BB$400)*($U$2='Offer Statistics'!$BC$2:$BC$400),0)),"/")</f>
        <v>/</v>
      </c>
      <c r="Y55" s="375" t="str" cm="1">
        <f t="array" ref="Y55">IFERROR(INDEX('Offer Statistics'!BN$2:BN$400,MATCH(1,($A55='Offer Statistics'!$BB$2:$BB$400)*($U$2='Offer Statistics'!$BC$2:$BC$400),0)),"/")</f>
        <v>/</v>
      </c>
      <c r="Z55" s="375" t="str" cm="1">
        <f t="array" ref="Z55">IFERROR(INDEX('Offer Statistics'!BO$2:BO$400,MATCH(1,($A55='Offer Statistics'!$BB$2:$BB$400)*($U$2='Offer Statistics'!$BC$2:$BC$400),0)),"/")</f>
        <v>/</v>
      </c>
      <c r="AA55" s="375" t="str" cm="1">
        <f t="array" ref="AA55">IFERROR(INDEX('Offer Statistics'!BP$2:BP$400,MATCH(1,($A55='Offer Statistics'!$BB$2:$BB$400)*($U$2='Offer Statistics'!$BC$2:$BC$400),0)),"/")</f>
        <v>/</v>
      </c>
      <c r="AB55" s="580"/>
      <c r="AC55" s="365" t="str" cm="1">
        <f t="array" ref="AC55">IFERROR(INDEX('Offer Statistics'!$BI$2:$BI$400,MATCH(1,($A55='Offer Statistics'!$BB$2:$BB$400)*($U$2='Offer Statistics'!$BC$2:$BC$400),0)),"/")</f>
        <v>/</v>
      </c>
      <c r="AD55" s="375" t="str" cm="1">
        <f t="array" ref="AD55">IFERROR(INDEX('Offer Statistics'!BD$2:BD$400,MATCH(1,($A55='Offer Statistics'!$BB$2:$BB$400)*($U$2='Offer Statistics'!$BC$2:$BC$400),0)),"/")</f>
        <v>/</v>
      </c>
      <c r="AE55" s="375" t="str" cm="1">
        <f t="array" ref="AE55">IFERROR(INDEX('Offer Statistics'!BE$2:BE$400,MATCH(1,($A55='Offer Statistics'!$BB$2:$BB$400)*($U$2='Offer Statistics'!$BC$2:$BC$400),0)),"/")</f>
        <v>/</v>
      </c>
      <c r="AF55" s="375" t="str" cm="1">
        <f t="array" ref="AF55">IFERROR(INDEX('Offer Statistics'!BF$2:BF$400,MATCH(1,($A55='Offer Statistics'!$BB$2:$BB$400)*($U$2='Offer Statistics'!$BC$2:$BC$400),0)),"/")</f>
        <v>/</v>
      </c>
      <c r="AG55" s="375" t="str" cm="1">
        <f t="array" ref="AG55">IFERROR(INDEX('Offer Statistics'!BG$2:BG$400,MATCH(1,($A55='Offer Statistics'!$BB$2:$BB$400)*($U$2='Offer Statistics'!$BC$2:$BC$400),0)),"/")</f>
        <v>/</v>
      </c>
      <c r="AH55" s="375" t="str" cm="1">
        <f t="array" ref="AH55">IFERROR(INDEX('Offer Statistics'!BH$2:BH$400,MATCH(1,($A55='Offer Statistics'!$BB$2:$BB$400)*($U$2='Offer Statistics'!$BC$2:$BC$400),0)),"/")</f>
        <v>/</v>
      </c>
      <c r="AI55" s="15"/>
      <c r="AJ55" s="354" t="str">
        <f t="shared" si="2"/>
        <v>JS4733</v>
      </c>
    </row>
    <row r="56" spans="1:36" s="10" customFormat="1" ht="18" customHeight="1" x14ac:dyDescent="0.3">
      <c r="A56" s="346" t="str">
        <f>'Reference Score Calculation'!A193</f>
        <v>JS4801</v>
      </c>
      <c r="B56" s="346" t="str">
        <f>'Reference Score Calculation'!C193</f>
        <v>社會科學院</v>
      </c>
      <c r="C56" s="346" t="str">
        <f>'Reference Score Calculation'!D193</f>
        <v>社會科學</v>
      </c>
      <c r="D56" s="4" t="s">
        <v>2504</v>
      </c>
      <c r="E56" s="355" t="str">
        <f>'Reference Score Calculation'!E193</f>
        <v>Best 5</v>
      </c>
      <c r="F56" s="347">
        <f>'Reference Score Calculation'!F193</f>
        <v>30.400000000205996</v>
      </c>
      <c r="G56" s="347">
        <f>'Reference Score Calculation'!G193</f>
        <v>28.700000000226002</v>
      </c>
      <c r="H56" s="347">
        <f>'Reference Score Calculation'!H193</f>
        <v>28.100000000235998</v>
      </c>
      <c r="I56" s="46">
        <f>計分版!H214</f>
        <v>3.9500000000000006E-9</v>
      </c>
      <c r="J56" s="7">
        <f t="shared" si="3"/>
        <v>-28.699999996276002</v>
      </c>
      <c r="K56" s="8">
        <f t="shared" si="4"/>
        <v>-7265822783.867341</v>
      </c>
      <c r="L56" s="365">
        <f>入學要求!C202</f>
        <v>63</v>
      </c>
      <c r="M56" s="379">
        <f>入學要求!R202</f>
        <v>0</v>
      </c>
      <c r="N56" s="15"/>
      <c r="O56" s="422">
        <f>入學要求!D202</f>
        <v>3</v>
      </c>
      <c r="P56" s="422">
        <f>入學要求!E202</f>
        <v>3</v>
      </c>
      <c r="Q56" s="422">
        <f>入學要求!F202</f>
        <v>2</v>
      </c>
      <c r="R56" s="422">
        <f>入學要求!G202</f>
        <v>2</v>
      </c>
      <c r="S56" s="422">
        <f>入學要求!H202</f>
        <v>3</v>
      </c>
      <c r="T56" s="422">
        <f>入學要求!I202</f>
        <v>3</v>
      </c>
      <c r="U56" s="576"/>
      <c r="V56" s="365" cm="1">
        <f t="array" ref="V56">IFERROR(INDEX('Offer Statistics'!$BQ$2:$BQ$400,MATCH(1,($A56='Offer Statistics'!$BB$2:$BB$400)*($U$2='Offer Statistics'!$BC$2:$BC$400),0)),"/")</f>
        <v>66</v>
      </c>
      <c r="W56" s="375" cm="1">
        <f t="array" ref="W56">IFERROR(INDEX('Offer Statistics'!BL$2:BL$400,MATCH(1,($A56='Offer Statistics'!$BB$2:$BB$400)*($U$2='Offer Statistics'!$BC$2:$BC$400),0)),"/")</f>
        <v>66</v>
      </c>
      <c r="X56" s="375" cm="1">
        <f t="array" ref="X56">IFERROR(INDEX('Offer Statistics'!BM$2:BM$400,MATCH(1,($A56='Offer Statistics'!$BB$2:$BB$400)*($U$2='Offer Statistics'!$BC$2:$BC$400),0)),"/")</f>
        <v>0</v>
      </c>
      <c r="Y56" s="375" cm="1">
        <f t="array" ref="Y56">IFERROR(INDEX('Offer Statistics'!BN$2:BN$400,MATCH(1,($A56='Offer Statistics'!$BB$2:$BB$400)*($U$2='Offer Statistics'!$BC$2:$BC$400),0)),"/")</f>
        <v>0</v>
      </c>
      <c r="Z56" s="375" cm="1">
        <f t="array" ref="Z56">IFERROR(INDEX('Offer Statistics'!BO$2:BO$400,MATCH(1,($A56='Offer Statistics'!$BB$2:$BB$400)*($U$2='Offer Statistics'!$BC$2:$BC$400),0)),"/")</f>
        <v>0</v>
      </c>
      <c r="AA56" s="375" cm="1">
        <f t="array" ref="AA56">IFERROR(INDEX('Offer Statistics'!BP$2:BP$400,MATCH(1,($A56='Offer Statistics'!$BB$2:$BB$400)*($U$2='Offer Statistics'!$BC$2:$BC$400),0)),"/")</f>
        <v>0</v>
      </c>
      <c r="AB56" s="580"/>
      <c r="AC56" s="365" cm="1">
        <f t="array" ref="AC56">IFERROR(INDEX('Offer Statistics'!$BI$2:$BI$400,MATCH(1,($A56='Offer Statistics'!$BB$2:$BB$400)*($U$2='Offer Statistics'!$BC$2:$BC$400),0)),"/")</f>
        <v>4073</v>
      </c>
      <c r="AD56" s="375" cm="1">
        <f t="array" ref="AD56">IFERROR(INDEX('Offer Statistics'!BD$2:BD$400,MATCH(1,($A56='Offer Statistics'!$BB$2:$BB$400)*($U$2='Offer Statistics'!$BC$2:$BC$400),0)),"/")</f>
        <v>498</v>
      </c>
      <c r="AE56" s="375" cm="1">
        <f t="array" ref="AE56">IFERROR(INDEX('Offer Statistics'!BE$2:BE$400,MATCH(1,($A56='Offer Statistics'!$BB$2:$BB$400)*($U$2='Offer Statistics'!$BC$2:$BC$400),0)),"/")</f>
        <v>455</v>
      </c>
      <c r="AF56" s="375" cm="1">
        <f t="array" ref="AF56">IFERROR(INDEX('Offer Statistics'!BF$2:BF$400,MATCH(1,($A56='Offer Statistics'!$BB$2:$BB$400)*($U$2='Offer Statistics'!$BC$2:$BC$400),0)),"/")</f>
        <v>844</v>
      </c>
      <c r="AG56" s="375" cm="1">
        <f t="array" ref="AG56">IFERROR(INDEX('Offer Statistics'!BG$2:BG$400,MATCH(1,($A56='Offer Statistics'!$BB$2:$BB$400)*($U$2='Offer Statistics'!$BC$2:$BC$400),0)),"/")</f>
        <v>1204</v>
      </c>
      <c r="AH56" s="375" cm="1">
        <f t="array" ref="AH56">IFERROR(INDEX('Offer Statistics'!BH$2:BH$400,MATCH(1,($A56='Offer Statistics'!$BB$2:$BB$400)*($U$2='Offer Statistics'!$BC$2:$BC$400),0)),"/")</f>
        <v>1072</v>
      </c>
      <c r="AI56" s="15"/>
      <c r="AJ56" s="354" t="str">
        <f t="shared" si="2"/>
        <v>JS4801</v>
      </c>
    </row>
    <row r="57" spans="1:36" ht="18" customHeight="1" x14ac:dyDescent="0.3">
      <c r="A57" s="346" t="str">
        <f>'Reference Score Calculation'!A194</f>
        <v>JS4812</v>
      </c>
      <c r="B57" s="346" t="str">
        <f>'Reference Score Calculation'!C194</f>
        <v>社會科學院</v>
      </c>
      <c r="C57" s="346" t="str">
        <f>'Reference Score Calculation'!D194</f>
        <v>建築學</v>
      </c>
      <c r="D57" s="4" t="s">
        <v>1039</v>
      </c>
      <c r="E57" s="355" t="str">
        <f>'Reference Score Calculation'!E194</f>
        <v>Best 5</v>
      </c>
      <c r="F57" s="347">
        <f>'Reference Score Calculation'!F194</f>
        <v>32.500000000250004</v>
      </c>
      <c r="G57" s="347">
        <f>'Reference Score Calculation'!G194</f>
        <v>31.000000000250001</v>
      </c>
      <c r="H57" s="347">
        <f>'Reference Score Calculation'!H194</f>
        <v>29.500000000239996</v>
      </c>
      <c r="I57" s="46">
        <f>計分版!H215</f>
        <v>3.9500000000000006E-9</v>
      </c>
      <c r="J57" s="7">
        <f t="shared" si="3"/>
        <v>-30.999999996300001</v>
      </c>
      <c r="K57" s="8">
        <f t="shared" si="4"/>
        <v>-7848101264.886075</v>
      </c>
      <c r="L57" s="365">
        <f>入學要求!C203</f>
        <v>31</v>
      </c>
      <c r="M57" s="379">
        <f>入學要求!R203</f>
        <v>0</v>
      </c>
      <c r="O57" s="422">
        <f>入學要求!D203</f>
        <v>3</v>
      </c>
      <c r="P57" s="422">
        <f>入學要求!E203</f>
        <v>3</v>
      </c>
      <c r="Q57" s="422">
        <f>入學要求!F203</f>
        <v>3</v>
      </c>
      <c r="R57" s="422">
        <f>入學要求!G203</f>
        <v>2</v>
      </c>
      <c r="S57" s="422">
        <f>入學要求!H203</f>
        <v>3</v>
      </c>
      <c r="T57" s="422">
        <f>入學要求!I203</f>
        <v>3</v>
      </c>
      <c r="U57" s="576"/>
      <c r="V57" s="365" cm="1">
        <f t="array" ref="V57">IFERROR(INDEX('Offer Statistics'!$BQ$2:$BQ$400,MATCH(1,($A57='Offer Statistics'!$BB$2:$BB$400)*($U$2='Offer Statistics'!$BC$2:$BC$400),0)),"/")</f>
        <v>38</v>
      </c>
      <c r="W57" s="375" cm="1">
        <f t="array" ref="W57">IFERROR(INDEX('Offer Statistics'!BL$2:BL$400,MATCH(1,($A57='Offer Statistics'!$BB$2:$BB$400)*($U$2='Offer Statistics'!$BC$2:$BC$400),0)),"/")</f>
        <v>38</v>
      </c>
      <c r="X57" s="375" cm="1">
        <f t="array" ref="X57">IFERROR(INDEX('Offer Statistics'!BM$2:BM$400,MATCH(1,($A57='Offer Statistics'!$BB$2:$BB$400)*($U$2='Offer Statistics'!$BC$2:$BC$400),0)),"/")</f>
        <v>0</v>
      </c>
      <c r="Y57" s="375" cm="1">
        <f t="array" ref="Y57">IFERROR(INDEX('Offer Statistics'!BN$2:BN$400,MATCH(1,($A57='Offer Statistics'!$BB$2:$BB$400)*($U$2='Offer Statistics'!$BC$2:$BC$400),0)),"/")</f>
        <v>0</v>
      </c>
      <c r="Z57" s="375" cm="1">
        <f t="array" ref="Z57">IFERROR(INDEX('Offer Statistics'!BO$2:BO$400,MATCH(1,($A57='Offer Statistics'!$BB$2:$BB$400)*($U$2='Offer Statistics'!$BC$2:$BC$400),0)),"/")</f>
        <v>0</v>
      </c>
      <c r="AA57" s="375" cm="1">
        <f t="array" ref="AA57">IFERROR(INDEX('Offer Statistics'!BP$2:BP$400,MATCH(1,($A57='Offer Statistics'!$BB$2:$BB$400)*($U$2='Offer Statistics'!$BC$2:$BC$400),0)),"/")</f>
        <v>0</v>
      </c>
      <c r="AB57" s="580"/>
      <c r="AC57" s="365" cm="1">
        <f t="array" ref="AC57">IFERROR(INDEX('Offer Statistics'!$BI$2:$BI$400,MATCH(1,($A57='Offer Statistics'!$BB$2:$BB$400)*($U$2='Offer Statistics'!$BC$2:$BC$400),0)),"/")</f>
        <v>969</v>
      </c>
      <c r="AD57" s="375" cm="1">
        <f t="array" ref="AD57">IFERROR(INDEX('Offer Statistics'!BD$2:BD$400,MATCH(1,($A57='Offer Statistics'!$BB$2:$BB$400)*($U$2='Offer Statistics'!$BC$2:$BC$400),0)),"/")</f>
        <v>154</v>
      </c>
      <c r="AE57" s="375" cm="1">
        <f t="array" ref="AE57">IFERROR(INDEX('Offer Statistics'!BE$2:BE$400,MATCH(1,($A57='Offer Statistics'!$BB$2:$BB$400)*($U$2='Offer Statistics'!$BC$2:$BC$400),0)),"/")</f>
        <v>88</v>
      </c>
      <c r="AF57" s="375" cm="1">
        <f t="array" ref="AF57">IFERROR(INDEX('Offer Statistics'!BF$2:BF$400,MATCH(1,($A57='Offer Statistics'!$BB$2:$BB$400)*($U$2='Offer Statistics'!$BC$2:$BC$400),0)),"/")</f>
        <v>166</v>
      </c>
      <c r="AG57" s="375" cm="1">
        <f t="array" ref="AG57">IFERROR(INDEX('Offer Statistics'!BG$2:BG$400,MATCH(1,($A57='Offer Statistics'!$BB$2:$BB$400)*($U$2='Offer Statistics'!$BC$2:$BC$400),0)),"/")</f>
        <v>288</v>
      </c>
      <c r="AH57" s="375" cm="1">
        <f t="array" ref="AH57">IFERROR(INDEX('Offer Statistics'!BH$2:BH$400,MATCH(1,($A57='Offer Statistics'!$BB$2:$BB$400)*($U$2='Offer Statistics'!$BC$2:$BC$400),0)),"/")</f>
        <v>273</v>
      </c>
      <c r="AI57" s="15"/>
      <c r="AJ57" s="354" t="str">
        <f t="shared" si="2"/>
        <v>JS4812</v>
      </c>
    </row>
    <row r="58" spans="1:36" s="10" customFormat="1" ht="18" customHeight="1" x14ac:dyDescent="0.3">
      <c r="A58" s="346" t="str">
        <f>'Reference Score Calculation'!A195</f>
        <v>JS4824</v>
      </c>
      <c r="B58" s="346" t="str">
        <f>'Reference Score Calculation'!C195</f>
        <v>社會科學院</v>
      </c>
      <c r="C58" s="346" t="str">
        <f>'Reference Score Calculation'!D195</f>
        <v>經濟學</v>
      </c>
      <c r="D58" s="4" t="s">
        <v>2373</v>
      </c>
      <c r="E58" s="355" t="str">
        <f>'Reference Score Calculation'!E195</f>
        <v>Best 5</v>
      </c>
      <c r="F58" s="347">
        <f>'Reference Score Calculation'!F195</f>
        <v>30.000000000305</v>
      </c>
      <c r="G58" s="347">
        <f>'Reference Score Calculation'!G195</f>
        <v>29.250000000255</v>
      </c>
      <c r="H58" s="347">
        <f>'Reference Score Calculation'!H195</f>
        <v>28.500000000265</v>
      </c>
      <c r="I58" s="46">
        <f>計分版!H216</f>
        <v>4.1000000000000003E-9</v>
      </c>
      <c r="J58" s="7">
        <f t="shared" si="3"/>
        <v>-29.249999996155001</v>
      </c>
      <c r="K58" s="8">
        <f t="shared" si="4"/>
        <v>-7134146340.525609</v>
      </c>
      <c r="L58" s="365">
        <f>入學要求!C204</f>
        <v>65</v>
      </c>
      <c r="M58" s="379">
        <f>入學要求!R204</f>
        <v>0</v>
      </c>
      <c r="N58" s="27"/>
      <c r="O58" s="422">
        <f>入學要求!D204</f>
        <v>3</v>
      </c>
      <c r="P58" s="422">
        <f>入學要求!E204</f>
        <v>3</v>
      </c>
      <c r="Q58" s="422">
        <f>入學要求!F204</f>
        <v>3</v>
      </c>
      <c r="R58" s="422">
        <f>入學要求!G204</f>
        <v>2</v>
      </c>
      <c r="S58" s="422">
        <f>入學要求!H204</f>
        <v>3</v>
      </c>
      <c r="T58" s="422">
        <f>入學要求!I204</f>
        <v>3</v>
      </c>
      <c r="U58" s="576"/>
      <c r="V58" s="365" cm="1">
        <f t="array" ref="V58">IFERROR(INDEX('Offer Statistics'!$BQ$2:$BQ$400,MATCH(1,($A58='Offer Statistics'!$BB$2:$BB$400)*($U$2='Offer Statistics'!$BC$2:$BC$400),0)),"/")</f>
        <v>59</v>
      </c>
      <c r="W58" s="375" cm="1">
        <f t="array" ref="W58">IFERROR(INDEX('Offer Statistics'!BL$2:BL$400,MATCH(1,($A58='Offer Statistics'!$BB$2:$BB$400)*($U$2='Offer Statistics'!$BC$2:$BC$400),0)),"/")</f>
        <v>59</v>
      </c>
      <c r="X58" s="375" cm="1">
        <f t="array" ref="X58">IFERROR(INDEX('Offer Statistics'!BM$2:BM$400,MATCH(1,($A58='Offer Statistics'!$BB$2:$BB$400)*($U$2='Offer Statistics'!$BC$2:$BC$400),0)),"/")</f>
        <v>0</v>
      </c>
      <c r="Y58" s="375" cm="1">
        <f t="array" ref="Y58">IFERROR(INDEX('Offer Statistics'!BN$2:BN$400,MATCH(1,($A58='Offer Statistics'!$BB$2:$BB$400)*($U$2='Offer Statistics'!$BC$2:$BC$400),0)),"/")</f>
        <v>0</v>
      </c>
      <c r="Z58" s="375" cm="1">
        <f t="array" ref="Z58">IFERROR(INDEX('Offer Statistics'!BO$2:BO$400,MATCH(1,($A58='Offer Statistics'!$BB$2:$BB$400)*($U$2='Offer Statistics'!$BC$2:$BC$400),0)),"/")</f>
        <v>0</v>
      </c>
      <c r="AA58" s="375" cm="1">
        <f t="array" ref="AA58">IFERROR(INDEX('Offer Statistics'!BP$2:BP$400,MATCH(1,($A58='Offer Statistics'!$BB$2:$BB$400)*($U$2='Offer Statistics'!$BC$2:$BC$400),0)),"/")</f>
        <v>0</v>
      </c>
      <c r="AB58" s="580"/>
      <c r="AC58" s="365" cm="1">
        <f t="array" ref="AC58">IFERROR(INDEX('Offer Statistics'!$BI$2:$BI$400,MATCH(1,($A58='Offer Statistics'!$BB$2:$BB$400)*($U$2='Offer Statistics'!$BC$2:$BC$400),0)),"/")</f>
        <v>2578</v>
      </c>
      <c r="AD58" s="375" cm="1">
        <f t="array" ref="AD58">IFERROR(INDEX('Offer Statistics'!BD$2:BD$400,MATCH(1,($A58='Offer Statistics'!$BB$2:$BB$400)*($U$2='Offer Statistics'!$BC$2:$BC$400),0)),"/")</f>
        <v>442</v>
      </c>
      <c r="AE58" s="375" cm="1">
        <f t="array" ref="AE58">IFERROR(INDEX('Offer Statistics'!BE$2:BE$400,MATCH(1,($A58='Offer Statistics'!$BB$2:$BB$400)*($U$2='Offer Statistics'!$BC$2:$BC$400),0)),"/")</f>
        <v>339</v>
      </c>
      <c r="AF58" s="375" cm="1">
        <f t="array" ref="AF58">IFERROR(INDEX('Offer Statistics'!BF$2:BF$400,MATCH(1,($A58='Offer Statistics'!$BB$2:$BB$400)*($U$2='Offer Statistics'!$BC$2:$BC$400),0)),"/")</f>
        <v>514</v>
      </c>
      <c r="AG58" s="375" cm="1">
        <f t="array" ref="AG58">IFERROR(INDEX('Offer Statistics'!BG$2:BG$400,MATCH(1,($A58='Offer Statistics'!$BB$2:$BB$400)*($U$2='Offer Statistics'!$BC$2:$BC$400),0)),"/")</f>
        <v>689</v>
      </c>
      <c r="AH58" s="375" cm="1">
        <f t="array" ref="AH58">IFERROR(INDEX('Offer Statistics'!BH$2:BH$400,MATCH(1,($A58='Offer Statistics'!$BB$2:$BB$400)*($U$2='Offer Statistics'!$BC$2:$BC$400),0)),"/")</f>
        <v>594</v>
      </c>
      <c r="AI58" s="15"/>
      <c r="AJ58" s="354" t="str">
        <f t="shared" si="2"/>
        <v>JS4824</v>
      </c>
    </row>
    <row r="59" spans="1:36" ht="18" customHeight="1" x14ac:dyDescent="0.3">
      <c r="A59" s="346" t="str">
        <f>'Reference Score Calculation'!A196</f>
        <v>JS4836</v>
      </c>
      <c r="B59" s="346" t="str">
        <f>'Reference Score Calculation'!C196</f>
        <v>社會科學院</v>
      </c>
      <c r="C59" s="346" t="str">
        <f>'Reference Score Calculation'!D196</f>
        <v>地理與資源管理學</v>
      </c>
      <c r="D59" s="4" t="s">
        <v>2505</v>
      </c>
      <c r="E59" s="376" t="str">
        <f>'Reference Score Calculation'!E196</f>
        <v>Best 5</v>
      </c>
      <c r="F59" s="347">
        <f>'Reference Score Calculation'!F196</f>
        <v>29.500000000250001</v>
      </c>
      <c r="G59" s="347">
        <f>'Reference Score Calculation'!G196</f>
        <v>28.000000000175998</v>
      </c>
      <c r="H59" s="347">
        <f>'Reference Score Calculation'!H196</f>
        <v>26.500000000229999</v>
      </c>
      <c r="I59" s="46">
        <f>計分版!H217</f>
        <v>3.9500000000000006E-9</v>
      </c>
      <c r="J59" s="7">
        <f t="shared" si="3"/>
        <v>-27.999999996225998</v>
      </c>
      <c r="K59" s="8">
        <f t="shared" si="4"/>
        <v>-7088607593.9812641</v>
      </c>
      <c r="L59" s="365">
        <f>入學要求!C205</f>
        <v>39</v>
      </c>
      <c r="M59" s="379">
        <f>入學要求!R205</f>
        <v>0</v>
      </c>
      <c r="N59" s="27"/>
      <c r="O59" s="422">
        <f>入學要求!D205</f>
        <v>3</v>
      </c>
      <c r="P59" s="422">
        <f>入學要求!E205</f>
        <v>3</v>
      </c>
      <c r="Q59" s="422">
        <f>入學要求!F205</f>
        <v>2</v>
      </c>
      <c r="R59" s="422">
        <f>入學要求!G205</f>
        <v>2</v>
      </c>
      <c r="S59" s="422">
        <f>入學要求!H205</f>
        <v>3</v>
      </c>
      <c r="T59" s="422">
        <f>入學要求!I205</f>
        <v>3</v>
      </c>
      <c r="U59" s="576"/>
      <c r="V59" s="365" cm="1">
        <f t="array" ref="V59">IFERROR(INDEX('Offer Statistics'!$BQ$2:$BQ$400,MATCH(1,($A59='Offer Statistics'!$BB$2:$BB$400)*($U$2='Offer Statistics'!$BC$2:$BC$400),0)),"/")</f>
        <v>42</v>
      </c>
      <c r="W59" s="375" cm="1">
        <f t="array" ref="W59">IFERROR(INDEX('Offer Statistics'!BL$2:BL$400,MATCH(1,($A59='Offer Statistics'!$BB$2:$BB$400)*($U$2='Offer Statistics'!$BC$2:$BC$400),0)),"/")</f>
        <v>42</v>
      </c>
      <c r="X59" s="375" cm="1">
        <f t="array" ref="X59">IFERROR(INDEX('Offer Statistics'!BM$2:BM$400,MATCH(1,($A59='Offer Statistics'!$BB$2:$BB$400)*($U$2='Offer Statistics'!$BC$2:$BC$400),0)),"/")</f>
        <v>0</v>
      </c>
      <c r="Y59" s="375" cm="1">
        <f t="array" ref="Y59">IFERROR(INDEX('Offer Statistics'!BN$2:BN$400,MATCH(1,($A59='Offer Statistics'!$BB$2:$BB$400)*($U$2='Offer Statistics'!$BC$2:$BC$400),0)),"/")</f>
        <v>0</v>
      </c>
      <c r="Z59" s="375" cm="1">
        <f t="array" ref="Z59">IFERROR(INDEX('Offer Statistics'!BO$2:BO$400,MATCH(1,($A59='Offer Statistics'!$BB$2:$BB$400)*($U$2='Offer Statistics'!$BC$2:$BC$400),0)),"/")</f>
        <v>0</v>
      </c>
      <c r="AA59" s="375" cm="1">
        <f t="array" ref="AA59">IFERROR(INDEX('Offer Statistics'!BP$2:BP$400,MATCH(1,($A59='Offer Statistics'!$BB$2:$BB$400)*($U$2='Offer Statistics'!$BC$2:$BC$400),0)),"/")</f>
        <v>0</v>
      </c>
      <c r="AB59" s="580"/>
      <c r="AC59" s="365" cm="1">
        <f t="array" ref="AC59">IFERROR(INDEX('Offer Statistics'!$BI$2:$BI$400,MATCH(1,($A59='Offer Statistics'!$BB$2:$BB$400)*($U$2='Offer Statistics'!$BC$2:$BC$400),0)),"/")</f>
        <v>1728</v>
      </c>
      <c r="AD59" s="375" cm="1">
        <f t="array" ref="AD59">IFERROR(INDEX('Offer Statistics'!BD$2:BD$400,MATCH(1,($A59='Offer Statistics'!$BB$2:$BB$400)*($U$2='Offer Statistics'!$BC$2:$BC$400),0)),"/")</f>
        <v>289</v>
      </c>
      <c r="AE59" s="375" cm="1">
        <f t="array" ref="AE59">IFERROR(INDEX('Offer Statistics'!BE$2:BE$400,MATCH(1,($A59='Offer Statistics'!$BB$2:$BB$400)*($U$2='Offer Statistics'!$BC$2:$BC$400),0)),"/")</f>
        <v>215</v>
      </c>
      <c r="AF59" s="375" cm="1">
        <f t="array" ref="AF59">IFERROR(INDEX('Offer Statistics'!BF$2:BF$400,MATCH(1,($A59='Offer Statistics'!$BB$2:$BB$400)*($U$2='Offer Statistics'!$BC$2:$BC$400),0)),"/")</f>
        <v>359</v>
      </c>
      <c r="AG59" s="375" cm="1">
        <f t="array" ref="AG59">IFERROR(INDEX('Offer Statistics'!BG$2:BG$400,MATCH(1,($A59='Offer Statistics'!$BB$2:$BB$400)*($U$2='Offer Statistics'!$BC$2:$BC$400),0)),"/")</f>
        <v>453</v>
      </c>
      <c r="AH59" s="375" cm="1">
        <f t="array" ref="AH59">IFERROR(INDEX('Offer Statistics'!BH$2:BH$400,MATCH(1,($A59='Offer Statistics'!$BB$2:$BB$400)*($U$2='Offer Statistics'!$BC$2:$BC$400),0)),"/")</f>
        <v>412</v>
      </c>
      <c r="AI59" s="15"/>
      <c r="AJ59" s="354" t="str">
        <f t="shared" si="2"/>
        <v>JS4836</v>
      </c>
    </row>
    <row r="60" spans="1:36" s="10" customFormat="1" ht="18" customHeight="1" x14ac:dyDescent="0.3">
      <c r="A60" s="346" t="str">
        <f>'Reference Score Calculation'!A197</f>
        <v>JS4838</v>
      </c>
      <c r="B60" s="346" t="str">
        <f>'Reference Score Calculation'!C197</f>
        <v>社會科學院</v>
      </c>
      <c r="C60" s="346" t="str">
        <f>'Reference Score Calculation'!D197</f>
        <v>城市研究</v>
      </c>
      <c r="D60" s="4" t="s">
        <v>1053</v>
      </c>
      <c r="E60" s="355" t="str">
        <f>'Reference Score Calculation'!E197</f>
        <v>Best 5</v>
      </c>
      <c r="F60" s="347">
        <f>'Reference Score Calculation'!F197</f>
        <v>29.000000000220002</v>
      </c>
      <c r="G60" s="347">
        <f>'Reference Score Calculation'!G197</f>
        <v>27.500000000269999</v>
      </c>
      <c r="H60" s="347">
        <f>'Reference Score Calculation'!H197</f>
        <v>24.500000000250001</v>
      </c>
      <c r="I60" s="46">
        <f>計分版!H218</f>
        <v>3.9500000000000006E-9</v>
      </c>
      <c r="J60" s="7">
        <f t="shared" si="3"/>
        <v>-27.49999999632</v>
      </c>
      <c r="K60" s="8">
        <f t="shared" si="4"/>
        <v>-6962025315.5240498</v>
      </c>
      <c r="L60" s="365">
        <f>入學要求!C206</f>
        <v>19</v>
      </c>
      <c r="M60" s="379">
        <f>入學要求!R206</f>
        <v>0</v>
      </c>
      <c r="N60" s="27"/>
      <c r="O60" s="422">
        <f>入學要求!D206</f>
        <v>3</v>
      </c>
      <c r="P60" s="422">
        <f>入學要求!E206</f>
        <v>3</v>
      </c>
      <c r="Q60" s="422">
        <f>入學要求!F206</f>
        <v>2</v>
      </c>
      <c r="R60" s="422">
        <f>入學要求!G206</f>
        <v>2</v>
      </c>
      <c r="S60" s="422">
        <f>入學要求!H206</f>
        <v>3</v>
      </c>
      <c r="T60" s="422">
        <f>入學要求!I206</f>
        <v>3</v>
      </c>
      <c r="U60" s="576"/>
      <c r="V60" s="365" cm="1">
        <f t="array" ref="V60">IFERROR(INDEX('Offer Statistics'!$BQ$2:$BQ$400,MATCH(1,($A60='Offer Statistics'!$BB$2:$BB$400)*($U$2='Offer Statistics'!$BC$2:$BC$400),0)),"/")</f>
        <v>25</v>
      </c>
      <c r="W60" s="375" cm="1">
        <f t="array" ref="W60">IFERROR(INDEX('Offer Statistics'!BL$2:BL$400,MATCH(1,($A60='Offer Statistics'!$BB$2:$BB$400)*($U$2='Offer Statistics'!$BC$2:$BC$400),0)),"/")</f>
        <v>25</v>
      </c>
      <c r="X60" s="375" cm="1">
        <f t="array" ref="X60">IFERROR(INDEX('Offer Statistics'!BM$2:BM$400,MATCH(1,($A60='Offer Statistics'!$BB$2:$BB$400)*($U$2='Offer Statistics'!$BC$2:$BC$400),0)),"/")</f>
        <v>0</v>
      </c>
      <c r="Y60" s="375" cm="1">
        <f t="array" ref="Y60">IFERROR(INDEX('Offer Statistics'!BN$2:BN$400,MATCH(1,($A60='Offer Statistics'!$BB$2:$BB$400)*($U$2='Offer Statistics'!$BC$2:$BC$400),0)),"/")</f>
        <v>0</v>
      </c>
      <c r="Z60" s="375" cm="1">
        <f t="array" ref="Z60">IFERROR(INDEX('Offer Statistics'!BO$2:BO$400,MATCH(1,($A60='Offer Statistics'!$BB$2:$BB$400)*($U$2='Offer Statistics'!$BC$2:$BC$400),0)),"/")</f>
        <v>0</v>
      </c>
      <c r="AA60" s="375" cm="1">
        <f t="array" ref="AA60">IFERROR(INDEX('Offer Statistics'!BP$2:BP$400,MATCH(1,($A60='Offer Statistics'!$BB$2:$BB$400)*($U$2='Offer Statistics'!$BC$2:$BC$400),0)),"/")</f>
        <v>0</v>
      </c>
      <c r="AB60" s="580"/>
      <c r="AC60" s="365" cm="1">
        <f t="array" ref="AC60">IFERROR(INDEX('Offer Statistics'!$BI$2:$BI$400,MATCH(1,($A60='Offer Statistics'!$BB$2:$BB$400)*($U$2='Offer Statistics'!$BC$2:$BC$400),0)),"/")</f>
        <v>1407</v>
      </c>
      <c r="AD60" s="375" cm="1">
        <f t="array" ref="AD60">IFERROR(INDEX('Offer Statistics'!BD$2:BD$400,MATCH(1,($A60='Offer Statistics'!$BB$2:$BB$400)*($U$2='Offer Statistics'!$BC$2:$BC$400),0)),"/")</f>
        <v>141</v>
      </c>
      <c r="AE60" s="375" cm="1">
        <f t="array" ref="AE60">IFERROR(INDEX('Offer Statistics'!BE$2:BE$400,MATCH(1,($A60='Offer Statistics'!$BB$2:$BB$400)*($U$2='Offer Statistics'!$BC$2:$BC$400),0)),"/")</f>
        <v>138</v>
      </c>
      <c r="AF60" s="375" cm="1">
        <f t="array" ref="AF60">IFERROR(INDEX('Offer Statistics'!BF$2:BF$400,MATCH(1,($A60='Offer Statistics'!$BB$2:$BB$400)*($U$2='Offer Statistics'!$BC$2:$BC$400),0)),"/")</f>
        <v>267</v>
      </c>
      <c r="AG60" s="375" cm="1">
        <f t="array" ref="AG60">IFERROR(INDEX('Offer Statistics'!BG$2:BG$400,MATCH(1,($A60='Offer Statistics'!$BB$2:$BB$400)*($U$2='Offer Statistics'!$BC$2:$BC$400),0)),"/")</f>
        <v>427</v>
      </c>
      <c r="AH60" s="375" cm="1">
        <f t="array" ref="AH60">IFERROR(INDEX('Offer Statistics'!BH$2:BH$400,MATCH(1,($A60='Offer Statistics'!$BB$2:$BB$400)*($U$2='Offer Statistics'!$BC$2:$BC$400),0)),"/")</f>
        <v>434</v>
      </c>
      <c r="AI60" s="15"/>
      <c r="AJ60" s="354" t="str">
        <f t="shared" si="2"/>
        <v>JS4838</v>
      </c>
    </row>
    <row r="61" spans="1:36" ht="18" customHeight="1" x14ac:dyDescent="0.3">
      <c r="A61" s="346" t="str">
        <f>'Reference Score Calculation'!A198</f>
        <v>JS4848</v>
      </c>
      <c r="B61" s="346" t="str">
        <f>'Reference Score Calculation'!C198</f>
        <v>社會科學院</v>
      </c>
      <c r="C61" s="346" t="str">
        <f>'Reference Score Calculation'!D198</f>
        <v>政治與行政學</v>
      </c>
      <c r="D61" s="4" t="s">
        <v>2506</v>
      </c>
      <c r="E61" s="376" t="str">
        <f>'Reference Score Calculation'!E198</f>
        <v>4C2X</v>
      </c>
      <c r="F61" s="347">
        <f>'Reference Score Calculation'!F198</f>
        <v>38.000000000252506</v>
      </c>
      <c r="G61" s="347">
        <f>'Reference Score Calculation'!G198</f>
        <v>29.500000000252502</v>
      </c>
      <c r="H61" s="347">
        <f>'Reference Score Calculation'!H198</f>
        <v>27.250000000252502</v>
      </c>
      <c r="I61" s="416">
        <f>計分版!H219</f>
        <v>3.0750000000000002E-9</v>
      </c>
      <c r="J61" s="7">
        <f t="shared" si="3"/>
        <v>-29.4999999971775</v>
      </c>
      <c r="K61" s="8">
        <f t="shared" si="4"/>
        <v>-9593495934.0414619</v>
      </c>
      <c r="L61" s="365">
        <f>入學要求!C207</f>
        <v>37</v>
      </c>
      <c r="M61" s="379">
        <f>入學要求!R207</f>
        <v>0</v>
      </c>
      <c r="N61" s="27"/>
      <c r="O61" s="422">
        <f>入學要求!D207</f>
        <v>3</v>
      </c>
      <c r="P61" s="422">
        <f>入學要求!E207</f>
        <v>3</v>
      </c>
      <c r="Q61" s="422">
        <f>入學要求!F207</f>
        <v>2</v>
      </c>
      <c r="R61" s="422">
        <f>入學要求!G207</f>
        <v>2</v>
      </c>
      <c r="S61" s="422">
        <f>入學要求!H207</f>
        <v>3</v>
      </c>
      <c r="T61" s="422">
        <f>入學要求!I207</f>
        <v>3</v>
      </c>
      <c r="U61" s="576"/>
      <c r="V61" s="365" cm="1">
        <f t="array" ref="V61">IFERROR(INDEX('Offer Statistics'!$BQ$2:$BQ$400,MATCH(1,($A61='Offer Statistics'!$BB$2:$BB$400)*($U$2='Offer Statistics'!$BC$2:$BC$400),0)),"/")</f>
        <v>25</v>
      </c>
      <c r="W61" s="375" cm="1">
        <f t="array" ref="W61">IFERROR(INDEX('Offer Statistics'!BL$2:BL$400,MATCH(1,($A61='Offer Statistics'!$BB$2:$BB$400)*($U$2='Offer Statistics'!$BC$2:$BC$400),0)),"/")</f>
        <v>14</v>
      </c>
      <c r="X61" s="375" cm="1">
        <f t="array" ref="X61">IFERROR(INDEX('Offer Statistics'!BM$2:BM$400,MATCH(1,($A61='Offer Statistics'!$BB$2:$BB$400)*($U$2='Offer Statistics'!$BC$2:$BC$400),0)),"/")</f>
        <v>6</v>
      </c>
      <c r="Y61" s="375" cm="1">
        <f t="array" ref="Y61">IFERROR(INDEX('Offer Statistics'!BN$2:BN$400,MATCH(1,($A61='Offer Statistics'!$BB$2:$BB$400)*($U$2='Offer Statistics'!$BC$2:$BC$400),0)),"/")</f>
        <v>5</v>
      </c>
      <c r="Z61" s="375" cm="1">
        <f t="array" ref="Z61">IFERROR(INDEX('Offer Statistics'!BO$2:BO$400,MATCH(1,($A61='Offer Statistics'!$BB$2:$BB$400)*($U$2='Offer Statistics'!$BC$2:$BC$400),0)),"/")</f>
        <v>0</v>
      </c>
      <c r="AA61" s="375" cm="1">
        <f t="array" ref="AA61">IFERROR(INDEX('Offer Statistics'!BP$2:BP$400,MATCH(1,($A61='Offer Statistics'!$BB$2:$BB$400)*($U$2='Offer Statistics'!$BC$2:$BC$400),0)),"/")</f>
        <v>0</v>
      </c>
      <c r="AB61" s="580"/>
      <c r="AC61" s="365" cm="1">
        <f t="array" ref="AC61">IFERROR(INDEX('Offer Statistics'!$BI$2:$BI$400,MATCH(1,($A61='Offer Statistics'!$BB$2:$BB$400)*($U$2='Offer Statistics'!$BC$2:$BC$400),0)),"/")</f>
        <v>876</v>
      </c>
      <c r="AD61" s="375" cm="1">
        <f t="array" ref="AD61">IFERROR(INDEX('Offer Statistics'!BD$2:BD$400,MATCH(1,($A61='Offer Statistics'!$BB$2:$BB$400)*($U$2='Offer Statistics'!$BC$2:$BC$400),0)),"/")</f>
        <v>89</v>
      </c>
      <c r="AE61" s="375" cm="1">
        <f t="array" ref="AE61">IFERROR(INDEX('Offer Statistics'!BE$2:BE$400,MATCH(1,($A61='Offer Statistics'!$BB$2:$BB$400)*($U$2='Offer Statistics'!$BC$2:$BC$400),0)),"/")</f>
        <v>95</v>
      </c>
      <c r="AF61" s="375" cm="1">
        <f t="array" ref="AF61">IFERROR(INDEX('Offer Statistics'!BF$2:BF$400,MATCH(1,($A61='Offer Statistics'!$BB$2:$BB$400)*($U$2='Offer Statistics'!$BC$2:$BC$400),0)),"/")</f>
        <v>201</v>
      </c>
      <c r="AG61" s="375" cm="1">
        <f t="array" ref="AG61">IFERROR(INDEX('Offer Statistics'!BG$2:BG$400,MATCH(1,($A61='Offer Statistics'!$BB$2:$BB$400)*($U$2='Offer Statistics'!$BC$2:$BC$400),0)),"/")</f>
        <v>261</v>
      </c>
      <c r="AH61" s="375" cm="1">
        <f t="array" ref="AH61">IFERROR(INDEX('Offer Statistics'!BH$2:BH$400,MATCH(1,($A61='Offer Statistics'!$BB$2:$BB$400)*($U$2='Offer Statistics'!$BC$2:$BC$400),0)),"/")</f>
        <v>230</v>
      </c>
      <c r="AI61" s="15"/>
      <c r="AJ61" s="354" t="str">
        <f t="shared" si="2"/>
        <v>JS4848</v>
      </c>
    </row>
    <row r="62" spans="1:36" s="10" customFormat="1" ht="18" customHeight="1" x14ac:dyDescent="0.3">
      <c r="A62" s="346" t="str">
        <f>'Reference Score Calculation'!A199</f>
        <v>JS4850</v>
      </c>
      <c r="B62" s="346" t="str">
        <f>'Reference Score Calculation'!C199</f>
        <v>社會科學院</v>
      </c>
      <c r="C62" s="346" t="str">
        <f>'Reference Score Calculation'!D199</f>
        <v>新聞與傳播學</v>
      </c>
      <c r="D62" s="4" t="s">
        <v>2206</v>
      </c>
      <c r="E62" s="355" t="str">
        <f>'Reference Score Calculation'!E199</f>
        <v>Best 5</v>
      </c>
      <c r="F62" s="347">
        <f>'Reference Score Calculation'!F199</f>
        <v>35.300000000169</v>
      </c>
      <c r="G62" s="347">
        <f>'Reference Score Calculation'!G199</f>
        <v>32.300000000199006</v>
      </c>
      <c r="H62" s="347">
        <f>'Reference Score Calculation'!H199</f>
        <v>30.650000000266001</v>
      </c>
      <c r="I62" s="416">
        <f>計分版!H220</f>
        <v>3.9500000000000006E-9</v>
      </c>
      <c r="J62" s="7">
        <f t="shared" si="3"/>
        <v>-32.299999996249007</v>
      </c>
      <c r="K62" s="8">
        <f t="shared" si="4"/>
        <v>-8177215188.9237976</v>
      </c>
      <c r="L62" s="365">
        <f>入學要求!C208</f>
        <v>43</v>
      </c>
      <c r="M62" s="379">
        <f>入學要求!R208</f>
        <v>0</v>
      </c>
      <c r="N62" s="27"/>
      <c r="O62" s="422">
        <f>入學要求!D208</f>
        <v>3</v>
      </c>
      <c r="P62" s="422">
        <f>入學要求!E208</f>
        <v>3</v>
      </c>
      <c r="Q62" s="422">
        <f>入學要求!F208</f>
        <v>2</v>
      </c>
      <c r="R62" s="422">
        <f>入學要求!G208</f>
        <v>2</v>
      </c>
      <c r="S62" s="422">
        <f>入學要求!H208</f>
        <v>3</v>
      </c>
      <c r="T62" s="422">
        <f>入學要求!I208</f>
        <v>3</v>
      </c>
      <c r="U62" s="576"/>
      <c r="V62" s="365" cm="1">
        <f t="array" ref="V62">IFERROR(INDEX('Offer Statistics'!$BQ$2:$BQ$400,MATCH(1,($A62='Offer Statistics'!$BB$2:$BB$400)*($U$2='Offer Statistics'!$BC$2:$BC$400),0)),"/")</f>
        <v>46</v>
      </c>
      <c r="W62" s="375" cm="1">
        <f t="array" ref="W62">IFERROR(INDEX('Offer Statistics'!BL$2:BL$400,MATCH(1,($A62='Offer Statistics'!$BB$2:$BB$400)*($U$2='Offer Statistics'!$BC$2:$BC$400),0)),"/")</f>
        <v>46</v>
      </c>
      <c r="X62" s="375" cm="1">
        <f t="array" ref="X62">IFERROR(INDEX('Offer Statistics'!BM$2:BM$400,MATCH(1,($A62='Offer Statistics'!$BB$2:$BB$400)*($U$2='Offer Statistics'!$BC$2:$BC$400),0)),"/")</f>
        <v>0</v>
      </c>
      <c r="Y62" s="375" cm="1">
        <f t="array" ref="Y62">IFERROR(INDEX('Offer Statistics'!BN$2:BN$400,MATCH(1,($A62='Offer Statistics'!$BB$2:$BB$400)*($U$2='Offer Statistics'!$BC$2:$BC$400),0)),"/")</f>
        <v>0</v>
      </c>
      <c r="Z62" s="375" cm="1">
        <f t="array" ref="Z62">IFERROR(INDEX('Offer Statistics'!BO$2:BO$400,MATCH(1,($A62='Offer Statistics'!$BB$2:$BB$400)*($U$2='Offer Statistics'!$BC$2:$BC$400),0)),"/")</f>
        <v>0</v>
      </c>
      <c r="AA62" s="375" cm="1">
        <f t="array" ref="AA62">IFERROR(INDEX('Offer Statistics'!BP$2:BP$400,MATCH(1,($A62='Offer Statistics'!$BB$2:$BB$400)*($U$2='Offer Statistics'!$BC$2:$BC$400),0)),"/")</f>
        <v>0</v>
      </c>
      <c r="AB62" s="580"/>
      <c r="AC62" s="365" cm="1">
        <f t="array" ref="AC62">IFERROR(INDEX('Offer Statistics'!$BI$2:$BI$400,MATCH(1,($A62='Offer Statistics'!$BB$2:$BB$400)*($U$2='Offer Statistics'!$BC$2:$BC$400),0)),"/")</f>
        <v>1541</v>
      </c>
      <c r="AD62" s="375" cm="1">
        <f t="array" ref="AD62">IFERROR(INDEX('Offer Statistics'!BD$2:BD$400,MATCH(1,($A62='Offer Statistics'!$BB$2:$BB$400)*($U$2='Offer Statistics'!$BC$2:$BC$400),0)),"/")</f>
        <v>147</v>
      </c>
      <c r="AE62" s="375" cm="1">
        <f t="array" ref="AE62">IFERROR(INDEX('Offer Statistics'!BE$2:BE$400,MATCH(1,($A62='Offer Statistics'!$BB$2:$BB$400)*($U$2='Offer Statistics'!$BC$2:$BC$400),0)),"/")</f>
        <v>160</v>
      </c>
      <c r="AF62" s="375" cm="1">
        <f t="array" ref="AF62">IFERROR(INDEX('Offer Statistics'!BF$2:BF$400,MATCH(1,($A62='Offer Statistics'!$BB$2:$BB$400)*($U$2='Offer Statistics'!$BC$2:$BC$400),0)),"/")</f>
        <v>299</v>
      </c>
      <c r="AG62" s="375" cm="1">
        <f t="array" ref="AG62">IFERROR(INDEX('Offer Statistics'!BG$2:BG$400,MATCH(1,($A62='Offer Statistics'!$BB$2:$BB$400)*($U$2='Offer Statistics'!$BC$2:$BC$400),0)),"/")</f>
        <v>515</v>
      </c>
      <c r="AH62" s="375" cm="1">
        <f t="array" ref="AH62">IFERROR(INDEX('Offer Statistics'!BH$2:BH$400,MATCH(1,($A62='Offer Statistics'!$BB$2:$BB$400)*($U$2='Offer Statistics'!$BC$2:$BC$400),0)),"/")</f>
        <v>420</v>
      </c>
      <c r="AI62" s="15"/>
      <c r="AJ62" s="354" t="str">
        <f t="shared" si="2"/>
        <v>JS4850</v>
      </c>
    </row>
    <row r="63" spans="1:36" s="350" customFormat="1" ht="18" customHeight="1" x14ac:dyDescent="0.3">
      <c r="A63" s="346" t="str">
        <f>'Reference Score Calculation'!A200</f>
        <v>JS4858</v>
      </c>
      <c r="B63" s="346" t="str">
        <f>'Reference Score Calculation'!C200</f>
        <v>社會科學院</v>
      </c>
      <c r="C63" s="346" t="str">
        <f>'Reference Score Calculation'!D200</f>
        <v>全球傳播</v>
      </c>
      <c r="D63" s="346"/>
      <c r="E63" s="355" t="str">
        <f>'Reference Score Calculation'!E200</f>
        <v>Best 5</v>
      </c>
      <c r="F63" s="347">
        <f>'Reference Score Calculation'!F200</f>
        <v>32.150000000205999</v>
      </c>
      <c r="G63" s="347">
        <f>'Reference Score Calculation'!G200</f>
        <v>31.100000000226</v>
      </c>
      <c r="H63" s="347">
        <f>'Reference Score Calculation'!H200</f>
        <v>28.100000000226</v>
      </c>
      <c r="I63" s="416">
        <f>計分版!H221</f>
        <v>3.9500000000000006E-9</v>
      </c>
      <c r="J63" s="348">
        <f>IF(J$1="差距(Median)",I63-G63,IF(J$1="差距(UQ)",I63-F63,IF(J$1="差距(LQ)",I63-H63)))</f>
        <v>-31.099999996276001</v>
      </c>
      <c r="K63" s="349">
        <f t="shared" ref="K63:K69" si="5">IF(J$1="差距(Median)",(I63-G63)/I63,IF(J$1="差距(UQ)",(I63-F63)/I63,IF(J$1="差距(LQ)",(I63-H63)/I63)))</f>
        <v>-7873417720.5762014</v>
      </c>
      <c r="L63" s="365">
        <f>入學要求!C209</f>
        <v>9</v>
      </c>
      <c r="M63" s="379">
        <f>入學要求!R209</f>
        <v>0</v>
      </c>
      <c r="N63" s="363"/>
      <c r="O63" s="422">
        <f>入學要求!D209</f>
        <v>3</v>
      </c>
      <c r="P63" s="422">
        <f>入學要求!E209</f>
        <v>4</v>
      </c>
      <c r="Q63" s="422">
        <f>入學要求!F209</f>
        <v>2</v>
      </c>
      <c r="R63" s="422">
        <f>入學要求!G209</f>
        <v>2</v>
      </c>
      <c r="S63" s="422">
        <f>入學要求!H209</f>
        <v>3</v>
      </c>
      <c r="T63" s="422">
        <f>入學要求!I209</f>
        <v>3</v>
      </c>
      <c r="U63" s="576"/>
      <c r="V63" s="365" cm="1">
        <f t="array" ref="V63">IFERROR(INDEX('Offer Statistics'!$BQ$2:$BQ$400,MATCH(1,($A63='Offer Statistics'!$BB$2:$BB$400)*($U$2='Offer Statistics'!$BC$2:$BC$400),0)),"/")</f>
        <v>12</v>
      </c>
      <c r="W63" s="375" cm="1">
        <f t="array" ref="W63">IFERROR(INDEX('Offer Statistics'!BL$2:BL$400,MATCH(1,($A63='Offer Statistics'!$BB$2:$BB$400)*($U$2='Offer Statistics'!$BC$2:$BC$400),0)),"/")</f>
        <v>12</v>
      </c>
      <c r="X63" s="375" cm="1">
        <f t="array" ref="X63">IFERROR(INDEX('Offer Statistics'!BM$2:BM$400,MATCH(1,($A63='Offer Statistics'!$BB$2:$BB$400)*($U$2='Offer Statistics'!$BC$2:$BC$400),0)),"/")</f>
        <v>0</v>
      </c>
      <c r="Y63" s="375" cm="1">
        <f t="array" ref="Y63">IFERROR(INDEX('Offer Statistics'!BN$2:BN$400,MATCH(1,($A63='Offer Statistics'!$BB$2:$BB$400)*($U$2='Offer Statistics'!$BC$2:$BC$400),0)),"/")</f>
        <v>0</v>
      </c>
      <c r="Z63" s="375" cm="1">
        <f t="array" ref="Z63">IFERROR(INDEX('Offer Statistics'!BO$2:BO$400,MATCH(1,($A63='Offer Statistics'!$BB$2:$BB$400)*($U$2='Offer Statistics'!$BC$2:$BC$400),0)),"/")</f>
        <v>0</v>
      </c>
      <c r="AA63" s="375" cm="1">
        <f t="array" ref="AA63">IFERROR(INDEX('Offer Statistics'!BP$2:BP$400,MATCH(1,($A63='Offer Statistics'!$BB$2:$BB$400)*($U$2='Offer Statistics'!$BC$2:$BC$400),0)),"/")</f>
        <v>0</v>
      </c>
      <c r="AB63" s="580"/>
      <c r="AC63" s="365" cm="1">
        <f t="array" ref="AC63">IFERROR(INDEX('Offer Statistics'!$BI$2:$BI$400,MATCH(1,($A63='Offer Statistics'!$BB$2:$BB$400)*($U$2='Offer Statistics'!$BC$2:$BC$400),0)),"/")</f>
        <v>617</v>
      </c>
      <c r="AD63" s="375" cm="1">
        <f t="array" ref="AD63">IFERROR(INDEX('Offer Statistics'!BD$2:BD$400,MATCH(1,($A63='Offer Statistics'!$BB$2:$BB$400)*($U$2='Offer Statistics'!$BC$2:$BC$400),0)),"/")</f>
        <v>45</v>
      </c>
      <c r="AE63" s="375" cm="1">
        <f t="array" ref="AE63">IFERROR(INDEX('Offer Statistics'!BE$2:BE$400,MATCH(1,($A63='Offer Statistics'!$BB$2:$BB$400)*($U$2='Offer Statistics'!$BC$2:$BC$400),0)),"/")</f>
        <v>61</v>
      </c>
      <c r="AF63" s="375" cm="1">
        <f t="array" ref="AF63">IFERROR(INDEX('Offer Statistics'!BF$2:BF$400,MATCH(1,($A63='Offer Statistics'!$BB$2:$BB$400)*($U$2='Offer Statistics'!$BC$2:$BC$400),0)),"/")</f>
        <v>109</v>
      </c>
      <c r="AG63" s="375" cm="1">
        <f t="array" ref="AG63">IFERROR(INDEX('Offer Statistics'!BG$2:BG$400,MATCH(1,($A63='Offer Statistics'!$BB$2:$BB$400)*($U$2='Offer Statistics'!$BC$2:$BC$400),0)),"/")</f>
        <v>183</v>
      </c>
      <c r="AH63" s="375" cm="1">
        <f t="array" ref="AH63">IFERROR(INDEX('Offer Statistics'!BH$2:BH$400,MATCH(1,($A63='Offer Statistics'!$BB$2:$BB$400)*($U$2='Offer Statistics'!$BC$2:$BC$400),0)),"/")</f>
        <v>219</v>
      </c>
      <c r="AI63" s="354"/>
      <c r="AJ63" s="354" t="str">
        <f t="shared" si="2"/>
        <v>JS4858</v>
      </c>
    </row>
    <row r="64" spans="1:36" s="350" customFormat="1" ht="18" customHeight="1" x14ac:dyDescent="0.3">
      <c r="A64" s="346" t="str">
        <f>'Reference Score Calculation'!A201</f>
        <v>JS4862</v>
      </c>
      <c r="B64" s="346" t="str">
        <f>'Reference Score Calculation'!C201</f>
        <v>社會科學院</v>
      </c>
      <c r="C64" s="346" t="str">
        <f>'Reference Score Calculation'!D201</f>
        <v>心理學</v>
      </c>
      <c r="D64" s="346"/>
      <c r="E64" s="355" t="str">
        <f>'Reference Score Calculation'!E201</f>
        <v>Best 5</v>
      </c>
      <c r="F64" s="347">
        <f>'Reference Score Calculation'!F201</f>
        <v>37.500000000245002</v>
      </c>
      <c r="G64" s="347">
        <f>'Reference Score Calculation'!G201</f>
        <v>35.250000000215003</v>
      </c>
      <c r="H64" s="347">
        <f>'Reference Score Calculation'!H201</f>
        <v>33.000000000284999</v>
      </c>
      <c r="I64" s="416">
        <f>計分版!H222</f>
        <v>3.9500000000000006E-9</v>
      </c>
      <c r="J64" s="348">
        <f t="shared" ref="J64:J69" si="6">IF(J$1="差距(Median)",I64-G64,IF(J$1="差距(UQ)",I64-F64,IF(J$1="差距(LQ)",I64-H64)))</f>
        <v>-35.249999996265004</v>
      </c>
      <c r="K64" s="349">
        <f t="shared" si="5"/>
        <v>-8924050631.9658222</v>
      </c>
      <c r="L64" s="365">
        <f>入學要求!C210</f>
        <v>56</v>
      </c>
      <c r="M64" s="379">
        <f>入學要求!R210</f>
        <v>0</v>
      </c>
      <c r="N64" s="363"/>
      <c r="O64" s="422">
        <f>入學要求!D210</f>
        <v>3</v>
      </c>
      <c r="P64" s="422">
        <f>入學要求!E210</f>
        <v>3</v>
      </c>
      <c r="Q64" s="422">
        <f>入學要求!F210</f>
        <v>2</v>
      </c>
      <c r="R64" s="422">
        <f>入學要求!G210</f>
        <v>2</v>
      </c>
      <c r="S64" s="422">
        <f>入學要求!H210</f>
        <v>3</v>
      </c>
      <c r="T64" s="422">
        <f>入學要求!I210</f>
        <v>3</v>
      </c>
      <c r="U64" s="576"/>
      <c r="V64" s="365" cm="1">
        <f t="array" ref="V64">IFERROR(INDEX('Offer Statistics'!$BQ$2:$BQ$400,MATCH(1,($A64='Offer Statistics'!$BB$2:$BB$400)*($U$2='Offer Statistics'!$BC$2:$BC$400),0)),"/")</f>
        <v>62</v>
      </c>
      <c r="W64" s="375" cm="1">
        <f t="array" ref="W64">IFERROR(INDEX('Offer Statistics'!BL$2:BL$400,MATCH(1,($A64='Offer Statistics'!$BB$2:$BB$400)*($U$2='Offer Statistics'!$BC$2:$BC$400),0)),"/")</f>
        <v>62</v>
      </c>
      <c r="X64" s="375" cm="1">
        <f t="array" ref="X64">IFERROR(INDEX('Offer Statistics'!BM$2:BM$400,MATCH(1,($A64='Offer Statistics'!$BB$2:$BB$400)*($U$2='Offer Statistics'!$BC$2:$BC$400),0)),"/")</f>
        <v>0</v>
      </c>
      <c r="Y64" s="375" cm="1">
        <f t="array" ref="Y64">IFERROR(INDEX('Offer Statistics'!BN$2:BN$400,MATCH(1,($A64='Offer Statistics'!$BB$2:$BB$400)*($U$2='Offer Statistics'!$BC$2:$BC$400),0)),"/")</f>
        <v>0</v>
      </c>
      <c r="Z64" s="375" cm="1">
        <f t="array" ref="Z64">IFERROR(INDEX('Offer Statistics'!BO$2:BO$400,MATCH(1,($A64='Offer Statistics'!$BB$2:$BB$400)*($U$2='Offer Statistics'!$BC$2:$BC$400),0)),"/")</f>
        <v>0</v>
      </c>
      <c r="AA64" s="375" cm="1">
        <f t="array" ref="AA64">IFERROR(INDEX('Offer Statistics'!BP$2:BP$400,MATCH(1,($A64='Offer Statistics'!$BB$2:$BB$400)*($U$2='Offer Statistics'!$BC$2:$BC$400),0)),"/")</f>
        <v>0</v>
      </c>
      <c r="AB64" s="580"/>
      <c r="AC64" s="365" cm="1">
        <f t="array" ref="AC64">IFERROR(INDEX('Offer Statistics'!$BI$2:$BI$400,MATCH(1,($A64='Offer Statistics'!$BB$2:$BB$400)*($U$2='Offer Statistics'!$BC$2:$BC$400),0)),"/")</f>
        <v>4538</v>
      </c>
      <c r="AD64" s="375" cm="1">
        <f t="array" ref="AD64">IFERROR(INDEX('Offer Statistics'!BD$2:BD$400,MATCH(1,($A64='Offer Statistics'!$BB$2:$BB$400)*($U$2='Offer Statistics'!$BC$2:$BC$400),0)),"/")</f>
        <v>454</v>
      </c>
      <c r="AE64" s="375" cm="1">
        <f t="array" ref="AE64">IFERROR(INDEX('Offer Statistics'!BE$2:BE$400,MATCH(1,($A64='Offer Statistics'!$BB$2:$BB$400)*($U$2='Offer Statistics'!$BC$2:$BC$400),0)),"/")</f>
        <v>530</v>
      </c>
      <c r="AF64" s="375" cm="1">
        <f t="array" ref="AF64">IFERROR(INDEX('Offer Statistics'!BF$2:BF$400,MATCH(1,($A64='Offer Statistics'!$BB$2:$BB$400)*($U$2='Offer Statistics'!$BC$2:$BC$400),0)),"/")</f>
        <v>987</v>
      </c>
      <c r="AG64" s="375" cm="1">
        <f t="array" ref="AG64">IFERROR(INDEX('Offer Statistics'!BG$2:BG$400,MATCH(1,($A64='Offer Statistics'!$BB$2:$BB$400)*($U$2='Offer Statistics'!$BC$2:$BC$400),0)),"/")</f>
        <v>1335</v>
      </c>
      <c r="AH64" s="375" cm="1">
        <f t="array" ref="AH64">IFERROR(INDEX('Offer Statistics'!BH$2:BH$400,MATCH(1,($A64='Offer Statistics'!$BB$2:$BB$400)*($U$2='Offer Statistics'!$BC$2:$BC$400),0)),"/")</f>
        <v>1232</v>
      </c>
      <c r="AI64" s="354"/>
      <c r="AJ64" s="354" t="str">
        <f t="shared" si="2"/>
        <v>JS4862</v>
      </c>
    </row>
    <row r="65" spans="1:36" s="350" customFormat="1" ht="18" customHeight="1" x14ac:dyDescent="0.3">
      <c r="A65" s="346" t="str">
        <f>'Reference Score Calculation'!A202</f>
        <v>JS4874</v>
      </c>
      <c r="B65" s="346" t="str">
        <f>'Reference Score Calculation'!C202</f>
        <v>社會科學院</v>
      </c>
      <c r="C65" s="346" t="str">
        <f>'Reference Score Calculation'!D202</f>
        <v>社會工作</v>
      </c>
      <c r="D65" s="346"/>
      <c r="E65" s="355" t="str">
        <f>'Reference Score Calculation'!E202</f>
        <v>Best 5</v>
      </c>
      <c r="F65" s="347">
        <f>'Reference Score Calculation'!F202</f>
        <v>30.500000000259998</v>
      </c>
      <c r="G65" s="347">
        <f>'Reference Score Calculation'!G202</f>
        <v>29.000000000259998</v>
      </c>
      <c r="H65" s="347">
        <f>'Reference Score Calculation'!H202</f>
        <v>27.50000000028</v>
      </c>
      <c r="I65" s="416">
        <f>計分版!H223</f>
        <v>3.9500000000000006E-9</v>
      </c>
      <c r="J65" s="348">
        <f t="shared" si="6"/>
        <v>-28.999999996309999</v>
      </c>
      <c r="K65" s="349">
        <f t="shared" si="5"/>
        <v>-7341772150.9645557</v>
      </c>
      <c r="L65" s="365">
        <f>入學要求!C211</f>
        <v>45</v>
      </c>
      <c r="M65" s="379">
        <f>入學要求!R211</f>
        <v>0</v>
      </c>
      <c r="N65" s="363"/>
      <c r="O65" s="422">
        <f>入學要求!D211</f>
        <v>3</v>
      </c>
      <c r="P65" s="422">
        <f>入學要求!E211</f>
        <v>3</v>
      </c>
      <c r="Q65" s="422">
        <f>入學要求!F211</f>
        <v>2</v>
      </c>
      <c r="R65" s="422">
        <f>入學要求!G211</f>
        <v>2</v>
      </c>
      <c r="S65" s="422">
        <f>入學要求!H211</f>
        <v>3</v>
      </c>
      <c r="T65" s="422">
        <f>入學要求!I211</f>
        <v>3</v>
      </c>
      <c r="U65" s="576"/>
      <c r="V65" s="365" cm="1">
        <f t="array" ref="V65">IFERROR(INDEX('Offer Statistics'!$BQ$2:$BQ$400,MATCH(1,($A65='Offer Statistics'!$BB$2:$BB$400)*($U$2='Offer Statistics'!$BC$2:$BC$400),0)),"/")</f>
        <v>40</v>
      </c>
      <c r="W65" s="375" cm="1">
        <f t="array" ref="W65">IFERROR(INDEX('Offer Statistics'!BL$2:BL$400,MATCH(1,($A65='Offer Statistics'!$BB$2:$BB$400)*($U$2='Offer Statistics'!$BC$2:$BC$400),0)),"/")</f>
        <v>40</v>
      </c>
      <c r="X65" s="375" cm="1">
        <f t="array" ref="X65">IFERROR(INDEX('Offer Statistics'!BM$2:BM$400,MATCH(1,($A65='Offer Statistics'!$BB$2:$BB$400)*($U$2='Offer Statistics'!$BC$2:$BC$400),0)),"/")</f>
        <v>0</v>
      </c>
      <c r="Y65" s="375" cm="1">
        <f t="array" ref="Y65">IFERROR(INDEX('Offer Statistics'!BN$2:BN$400,MATCH(1,($A65='Offer Statistics'!$BB$2:$BB$400)*($U$2='Offer Statistics'!$BC$2:$BC$400),0)),"/")</f>
        <v>0</v>
      </c>
      <c r="Z65" s="375" cm="1">
        <f t="array" ref="Z65">IFERROR(INDEX('Offer Statistics'!BO$2:BO$400,MATCH(1,($A65='Offer Statistics'!$BB$2:$BB$400)*($U$2='Offer Statistics'!$BC$2:$BC$400),0)),"/")</f>
        <v>0</v>
      </c>
      <c r="AA65" s="375" cm="1">
        <f t="array" ref="AA65">IFERROR(INDEX('Offer Statistics'!BP$2:BP$400,MATCH(1,($A65='Offer Statistics'!$BB$2:$BB$400)*($U$2='Offer Statistics'!$BC$2:$BC$400),0)),"/")</f>
        <v>0</v>
      </c>
      <c r="AB65" s="580"/>
      <c r="AC65" s="365" cm="1">
        <f t="array" ref="AC65">IFERROR(INDEX('Offer Statistics'!$BI$2:$BI$400,MATCH(1,($A65='Offer Statistics'!$BB$2:$BB$400)*($U$2='Offer Statistics'!$BC$2:$BC$400),0)),"/")</f>
        <v>3175</v>
      </c>
      <c r="AD65" s="375" cm="1">
        <f t="array" ref="AD65">IFERROR(INDEX('Offer Statistics'!BD$2:BD$400,MATCH(1,($A65='Offer Statistics'!$BB$2:$BB$400)*($U$2='Offer Statistics'!$BC$2:$BC$400),0)),"/")</f>
        <v>361</v>
      </c>
      <c r="AE65" s="375" cm="1">
        <f t="array" ref="AE65">IFERROR(INDEX('Offer Statistics'!BE$2:BE$400,MATCH(1,($A65='Offer Statistics'!$BB$2:$BB$400)*($U$2='Offer Statistics'!$BC$2:$BC$400),0)),"/")</f>
        <v>378</v>
      </c>
      <c r="AF65" s="375" cm="1">
        <f t="array" ref="AF65">IFERROR(INDEX('Offer Statistics'!BF$2:BF$400,MATCH(1,($A65='Offer Statistics'!$BB$2:$BB$400)*($U$2='Offer Statistics'!$BC$2:$BC$400),0)),"/")</f>
        <v>693</v>
      </c>
      <c r="AG65" s="375" cm="1">
        <f t="array" ref="AG65">IFERROR(INDEX('Offer Statistics'!BG$2:BG$400,MATCH(1,($A65='Offer Statistics'!$BB$2:$BB$400)*($U$2='Offer Statistics'!$BC$2:$BC$400),0)),"/")</f>
        <v>915</v>
      </c>
      <c r="AH65" s="375" cm="1">
        <f t="array" ref="AH65">IFERROR(INDEX('Offer Statistics'!BH$2:BH$400,MATCH(1,($A65='Offer Statistics'!$BB$2:$BB$400)*($U$2='Offer Statistics'!$BC$2:$BC$400),0)),"/")</f>
        <v>828</v>
      </c>
      <c r="AI65" s="354"/>
      <c r="AJ65" s="354" t="str">
        <f t="shared" si="2"/>
        <v>JS4874</v>
      </c>
    </row>
    <row r="66" spans="1:36" s="350" customFormat="1" ht="18" customHeight="1" x14ac:dyDescent="0.3">
      <c r="A66" s="346" t="str">
        <f>'Reference Score Calculation'!A203</f>
        <v>JS4886</v>
      </c>
      <c r="B66" s="346" t="str">
        <f>'Reference Score Calculation'!C203</f>
        <v>社會科學院</v>
      </c>
      <c r="C66" s="346" t="str">
        <f>'Reference Score Calculation'!D203</f>
        <v>社會學</v>
      </c>
      <c r="D66" s="346"/>
      <c r="E66" s="355" t="str">
        <f>'Reference Score Calculation'!E203</f>
        <v>Best 5</v>
      </c>
      <c r="F66" s="347">
        <f>'Reference Score Calculation'!F203</f>
        <v>30.000000000229999</v>
      </c>
      <c r="G66" s="347">
        <f>'Reference Score Calculation'!G203</f>
        <v>29.250000000229999</v>
      </c>
      <c r="H66" s="347">
        <f>'Reference Score Calculation'!H203</f>
        <v>28.250000000229999</v>
      </c>
      <c r="I66" s="416">
        <f>計分版!H224</f>
        <v>3.3500000000000002E-9</v>
      </c>
      <c r="J66" s="348">
        <f t="shared" si="6"/>
        <v>-29.24999999688</v>
      </c>
      <c r="K66" s="349">
        <f t="shared" si="5"/>
        <v>-8731343282.6507454</v>
      </c>
      <c r="L66" s="365">
        <f>入學要求!C212</f>
        <v>38</v>
      </c>
      <c r="M66" s="379">
        <f>入學要求!R212</f>
        <v>0</v>
      </c>
      <c r="N66" s="363"/>
      <c r="O66" s="422">
        <f>入學要求!D212</f>
        <v>3</v>
      </c>
      <c r="P66" s="422">
        <f>入學要求!E212</f>
        <v>3</v>
      </c>
      <c r="Q66" s="422">
        <f>入學要求!F212</f>
        <v>2</v>
      </c>
      <c r="R66" s="422">
        <f>入學要求!G212</f>
        <v>2</v>
      </c>
      <c r="S66" s="422">
        <f>入學要求!H212</f>
        <v>3</v>
      </c>
      <c r="T66" s="422">
        <f>入學要求!I212</f>
        <v>3</v>
      </c>
      <c r="U66" s="576"/>
      <c r="V66" s="365" cm="1">
        <f t="array" ref="V66">IFERROR(INDEX('Offer Statistics'!$BQ$2:$BQ$400,MATCH(1,($A66='Offer Statistics'!$BB$2:$BB$400)*($U$2='Offer Statistics'!$BC$2:$BC$400),0)),"/")</f>
        <v>38</v>
      </c>
      <c r="W66" s="375" cm="1">
        <f t="array" ref="W66">IFERROR(INDEX('Offer Statistics'!BL$2:BL$400,MATCH(1,($A66='Offer Statistics'!$BB$2:$BB$400)*($U$2='Offer Statistics'!$BC$2:$BC$400),0)),"/")</f>
        <v>36</v>
      </c>
      <c r="X66" s="375" cm="1">
        <f t="array" ref="X66">IFERROR(INDEX('Offer Statistics'!BM$2:BM$400,MATCH(1,($A66='Offer Statistics'!$BB$2:$BB$400)*($U$2='Offer Statistics'!$BC$2:$BC$400),0)),"/")</f>
        <v>2</v>
      </c>
      <c r="Y66" s="375" cm="1">
        <f t="array" ref="Y66">IFERROR(INDEX('Offer Statistics'!BN$2:BN$400,MATCH(1,($A66='Offer Statistics'!$BB$2:$BB$400)*($U$2='Offer Statistics'!$BC$2:$BC$400),0)),"/")</f>
        <v>0</v>
      </c>
      <c r="Z66" s="375" cm="1">
        <f t="array" ref="Z66">IFERROR(INDEX('Offer Statistics'!BO$2:BO$400,MATCH(1,($A66='Offer Statistics'!$BB$2:$BB$400)*($U$2='Offer Statistics'!$BC$2:$BC$400),0)),"/")</f>
        <v>0</v>
      </c>
      <c r="AA66" s="375" cm="1">
        <f t="array" ref="AA66">IFERROR(INDEX('Offer Statistics'!BP$2:BP$400,MATCH(1,($A66='Offer Statistics'!$BB$2:$BB$400)*($U$2='Offer Statistics'!$BC$2:$BC$400),0)),"/")</f>
        <v>0</v>
      </c>
      <c r="AB66" s="580"/>
      <c r="AC66" s="365" cm="1">
        <f t="array" ref="AC66">IFERROR(INDEX('Offer Statistics'!$BI$2:$BI$400,MATCH(1,($A66='Offer Statistics'!$BB$2:$BB$400)*($U$2='Offer Statistics'!$BC$2:$BC$400),0)),"/")</f>
        <v>2763</v>
      </c>
      <c r="AD66" s="375" cm="1">
        <f t="array" ref="AD66">IFERROR(INDEX('Offer Statistics'!BD$2:BD$400,MATCH(1,($A66='Offer Statistics'!$BB$2:$BB$400)*($U$2='Offer Statistics'!$BC$2:$BC$400),0)),"/")</f>
        <v>276</v>
      </c>
      <c r="AE66" s="375" cm="1">
        <f t="array" ref="AE66">IFERROR(INDEX('Offer Statistics'!BE$2:BE$400,MATCH(1,($A66='Offer Statistics'!$BB$2:$BB$400)*($U$2='Offer Statistics'!$BC$2:$BC$400),0)),"/")</f>
        <v>359</v>
      </c>
      <c r="AF66" s="375" cm="1">
        <f t="array" ref="AF66">IFERROR(INDEX('Offer Statistics'!BF$2:BF$400,MATCH(1,($A66='Offer Statistics'!$BB$2:$BB$400)*($U$2='Offer Statistics'!$BC$2:$BC$400),0)),"/")</f>
        <v>574</v>
      </c>
      <c r="AG66" s="375" cm="1">
        <f t="array" ref="AG66">IFERROR(INDEX('Offer Statistics'!BG$2:BG$400,MATCH(1,($A66='Offer Statistics'!$BB$2:$BB$400)*($U$2='Offer Statistics'!$BC$2:$BC$400),0)),"/")</f>
        <v>855</v>
      </c>
      <c r="AH66" s="375" cm="1">
        <f t="array" ref="AH66">IFERROR(INDEX('Offer Statistics'!BH$2:BH$400,MATCH(1,($A66='Offer Statistics'!$BB$2:$BB$400)*($U$2='Offer Statistics'!$BC$2:$BC$400),0)),"/")</f>
        <v>699</v>
      </c>
      <c r="AI66" s="354"/>
      <c r="AJ66" s="354" t="str">
        <f t="shared" si="2"/>
        <v>JS4886</v>
      </c>
    </row>
    <row r="67" spans="1:36" s="350" customFormat="1" ht="18" customHeight="1" x14ac:dyDescent="0.3">
      <c r="A67" s="346" t="str">
        <f>'Reference Score Calculation'!A204</f>
        <v>JS4892</v>
      </c>
      <c r="B67" s="346" t="str">
        <f>'Reference Score Calculation'!C204</f>
        <v>社會科學院</v>
      </c>
      <c r="C67" s="346" t="str">
        <f>'Reference Score Calculation'!D204</f>
        <v>全球研究</v>
      </c>
      <c r="D67" s="346"/>
      <c r="E67" s="355" t="str">
        <f>'Reference Score Calculation'!E204</f>
        <v>Best 5</v>
      </c>
      <c r="F67" s="347">
        <f>'Reference Score Calculation'!F204</f>
        <v>32.500000000230003</v>
      </c>
      <c r="G67" s="347">
        <f>'Reference Score Calculation'!G204</f>
        <v>29.500000000209997</v>
      </c>
      <c r="H67" s="347">
        <f>'Reference Score Calculation'!H204</f>
        <v>25.000000000209997</v>
      </c>
      <c r="I67" s="416">
        <f>計分版!H225</f>
        <v>3.9500000000000006E-9</v>
      </c>
      <c r="J67" s="348">
        <f t="shared" si="6"/>
        <v>-29.499999996259998</v>
      </c>
      <c r="K67" s="349">
        <f t="shared" si="5"/>
        <v>-7468354429.43291</v>
      </c>
      <c r="L67" s="365">
        <f>入學要求!C213</f>
        <v>19</v>
      </c>
      <c r="M67" s="379">
        <f>入學要求!R213</f>
        <v>0</v>
      </c>
      <c r="N67" s="363"/>
      <c r="O67" s="422">
        <f>入學要求!D213</f>
        <v>3</v>
      </c>
      <c r="P67" s="422">
        <f>入學要求!E213</f>
        <v>3</v>
      </c>
      <c r="Q67" s="422">
        <f>入學要求!F213</f>
        <v>2</v>
      </c>
      <c r="R67" s="422">
        <f>入學要求!G213</f>
        <v>2</v>
      </c>
      <c r="S67" s="422">
        <f>入學要求!H213</f>
        <v>3</v>
      </c>
      <c r="T67" s="422">
        <f>入學要求!I213</f>
        <v>3</v>
      </c>
      <c r="U67" s="576"/>
      <c r="V67" s="365" cm="1">
        <f t="array" ref="V67">IFERROR(INDEX('Offer Statistics'!$BQ$2:$BQ$400,MATCH(1,($A67='Offer Statistics'!$BB$2:$BB$400)*($U$2='Offer Statistics'!$BC$2:$BC$400),0)),"/")</f>
        <v>19</v>
      </c>
      <c r="W67" s="375" cm="1">
        <f t="array" ref="W67">IFERROR(INDEX('Offer Statistics'!BL$2:BL$400,MATCH(1,($A67='Offer Statistics'!$BB$2:$BB$400)*($U$2='Offer Statistics'!$BC$2:$BC$400),0)),"/")</f>
        <v>19</v>
      </c>
      <c r="X67" s="375" cm="1">
        <f t="array" ref="X67">IFERROR(INDEX('Offer Statistics'!BM$2:BM$400,MATCH(1,($A67='Offer Statistics'!$BB$2:$BB$400)*($U$2='Offer Statistics'!$BC$2:$BC$400),0)),"/")</f>
        <v>0</v>
      </c>
      <c r="Y67" s="375" cm="1">
        <f t="array" ref="Y67">IFERROR(INDEX('Offer Statistics'!BN$2:BN$400,MATCH(1,($A67='Offer Statistics'!$BB$2:$BB$400)*($U$2='Offer Statistics'!$BC$2:$BC$400),0)),"/")</f>
        <v>0</v>
      </c>
      <c r="Z67" s="375" cm="1">
        <f t="array" ref="Z67">IFERROR(INDEX('Offer Statistics'!BO$2:BO$400,MATCH(1,($A67='Offer Statistics'!$BB$2:$BB$400)*($U$2='Offer Statistics'!$BC$2:$BC$400),0)),"/")</f>
        <v>0</v>
      </c>
      <c r="AA67" s="375" cm="1">
        <f t="array" ref="AA67">IFERROR(INDEX('Offer Statistics'!BP$2:BP$400,MATCH(1,($A67='Offer Statistics'!$BB$2:$BB$400)*($U$2='Offer Statistics'!$BC$2:$BC$400),0)),"/")</f>
        <v>0</v>
      </c>
      <c r="AB67" s="580"/>
      <c r="AC67" s="365" cm="1">
        <f t="array" ref="AC67">IFERROR(INDEX('Offer Statistics'!$BI$2:$BI$400,MATCH(1,($A67='Offer Statistics'!$BB$2:$BB$400)*($U$2='Offer Statistics'!$BC$2:$BC$400),0)),"/")</f>
        <v>907</v>
      </c>
      <c r="AD67" s="375" cm="1">
        <f t="array" ref="AD67">IFERROR(INDEX('Offer Statistics'!BD$2:BD$400,MATCH(1,($A67='Offer Statistics'!$BB$2:$BB$400)*($U$2='Offer Statistics'!$BC$2:$BC$400),0)),"/")</f>
        <v>58</v>
      </c>
      <c r="AE67" s="375" cm="1">
        <f t="array" ref="AE67">IFERROR(INDEX('Offer Statistics'!BE$2:BE$400,MATCH(1,($A67='Offer Statistics'!$BB$2:$BB$400)*($U$2='Offer Statistics'!$BC$2:$BC$400),0)),"/")</f>
        <v>94</v>
      </c>
      <c r="AF67" s="375" cm="1">
        <f t="array" ref="AF67">IFERROR(INDEX('Offer Statistics'!BF$2:BF$400,MATCH(1,($A67='Offer Statistics'!$BB$2:$BB$400)*($U$2='Offer Statistics'!$BC$2:$BC$400),0)),"/")</f>
        <v>165</v>
      </c>
      <c r="AG67" s="375" cm="1">
        <f t="array" ref="AG67">IFERROR(INDEX('Offer Statistics'!BG$2:BG$400,MATCH(1,($A67='Offer Statistics'!$BB$2:$BB$400)*($U$2='Offer Statistics'!$BC$2:$BC$400),0)),"/")</f>
        <v>308</v>
      </c>
      <c r="AH67" s="375" cm="1">
        <f t="array" ref="AH67">IFERROR(INDEX('Offer Statistics'!BH$2:BH$400,MATCH(1,($A67='Offer Statistics'!$BB$2:$BB$400)*($U$2='Offer Statistics'!$BC$2:$BC$400),0)),"/")</f>
        <v>282</v>
      </c>
      <c r="AI67" s="354"/>
      <c r="AJ67" s="354" t="str">
        <f t="shared" ref="AJ67:AJ69" si="7">A67</f>
        <v>JS4892</v>
      </c>
    </row>
    <row r="68" spans="1:36" s="350" customFormat="1" ht="18" customHeight="1" x14ac:dyDescent="0.3">
      <c r="A68" s="346" t="str">
        <f>'Reference Score Calculation'!A205</f>
        <v>JS4893</v>
      </c>
      <c r="B68" s="346" t="str">
        <f>'Reference Score Calculation'!C205</f>
        <v>社會科學院</v>
      </c>
      <c r="C68" s="346" t="str">
        <f>'Reference Score Calculation'!D205</f>
        <v>數據科學與政策研究</v>
      </c>
      <c r="D68" s="346"/>
      <c r="E68" s="355" t="str">
        <f>'Reference Score Calculation'!E205</f>
        <v>Best 5</v>
      </c>
      <c r="F68" s="347">
        <f>'Reference Score Calculation'!F205</f>
        <v>27.500000000250001</v>
      </c>
      <c r="G68" s="347">
        <f>'Reference Score Calculation'!G205</f>
        <v>26.000000000250001</v>
      </c>
      <c r="H68" s="347">
        <f>'Reference Score Calculation'!H205</f>
        <v>25.000000000250001</v>
      </c>
      <c r="I68" s="416">
        <f>計分版!H226</f>
        <v>3.9500000000000006E-9</v>
      </c>
      <c r="J68" s="348">
        <f t="shared" si="6"/>
        <v>-25.999999996300001</v>
      </c>
      <c r="K68" s="349">
        <f t="shared" si="5"/>
        <v>-6582278480.0759487</v>
      </c>
      <c r="L68" s="365">
        <f>入學要求!C214</f>
        <v>19</v>
      </c>
      <c r="M68" s="379">
        <f>入學要求!R214</f>
        <v>0</v>
      </c>
      <c r="N68" s="363"/>
      <c r="O68" s="422">
        <f>入學要求!D214</f>
        <v>3</v>
      </c>
      <c r="P68" s="422">
        <f>入學要求!E214</f>
        <v>3</v>
      </c>
      <c r="Q68" s="422">
        <f>入學要求!F214</f>
        <v>3</v>
      </c>
      <c r="R68" s="422">
        <f>入學要求!G214</f>
        <v>2</v>
      </c>
      <c r="S68" s="422">
        <f>入學要求!H214</f>
        <v>3</v>
      </c>
      <c r="T68" s="422">
        <f>入學要求!I214</f>
        <v>3</v>
      </c>
      <c r="U68" s="576"/>
      <c r="V68" s="365" cm="1">
        <f t="array" ref="V68">IFERROR(INDEX('Offer Statistics'!$BQ$2:$BQ$400,MATCH(1,($A68='Offer Statistics'!$BB$2:$BB$400)*($U$2='Offer Statistics'!$BC$2:$BC$400),0)),"/")</f>
        <v>18</v>
      </c>
      <c r="W68" s="375" cm="1">
        <f t="array" ref="W68">IFERROR(INDEX('Offer Statistics'!BL$2:BL$400,MATCH(1,($A68='Offer Statistics'!$BB$2:$BB$400)*($U$2='Offer Statistics'!$BC$2:$BC$400),0)),"/")</f>
        <v>18</v>
      </c>
      <c r="X68" s="375" cm="1">
        <f t="array" ref="X68">IFERROR(INDEX('Offer Statistics'!BM$2:BM$400,MATCH(1,($A68='Offer Statistics'!$BB$2:$BB$400)*($U$2='Offer Statistics'!$BC$2:$BC$400),0)),"/")</f>
        <v>0</v>
      </c>
      <c r="Y68" s="375" cm="1">
        <f t="array" ref="Y68">IFERROR(INDEX('Offer Statistics'!BN$2:BN$400,MATCH(1,($A68='Offer Statistics'!$BB$2:$BB$400)*($U$2='Offer Statistics'!$BC$2:$BC$400),0)),"/")</f>
        <v>0</v>
      </c>
      <c r="Z68" s="375" cm="1">
        <f t="array" ref="Z68">IFERROR(INDEX('Offer Statistics'!BO$2:BO$400,MATCH(1,($A68='Offer Statistics'!$BB$2:$BB$400)*($U$2='Offer Statistics'!$BC$2:$BC$400),0)),"/")</f>
        <v>0</v>
      </c>
      <c r="AA68" s="375" cm="1">
        <f t="array" ref="AA68">IFERROR(INDEX('Offer Statistics'!BP$2:BP$400,MATCH(1,($A68='Offer Statistics'!$BB$2:$BB$400)*($U$2='Offer Statistics'!$BC$2:$BC$400),0)),"/")</f>
        <v>0</v>
      </c>
      <c r="AB68" s="580"/>
      <c r="AC68" s="365" cm="1">
        <f t="array" ref="AC68">IFERROR(INDEX('Offer Statistics'!$BI$2:$BI$400,MATCH(1,($A68='Offer Statistics'!$BB$2:$BB$400)*($U$2='Offer Statistics'!$BC$2:$BC$400),0)),"/")</f>
        <v>718</v>
      </c>
      <c r="AD68" s="375" cm="1">
        <f t="array" ref="AD68">IFERROR(INDEX('Offer Statistics'!BD$2:BD$400,MATCH(1,($A68='Offer Statistics'!$BB$2:$BB$400)*($U$2='Offer Statistics'!$BC$2:$BC$400),0)),"/")</f>
        <v>56</v>
      </c>
      <c r="AE68" s="375" cm="1">
        <f t="array" ref="AE68">IFERROR(INDEX('Offer Statistics'!BE$2:BE$400,MATCH(1,($A68='Offer Statistics'!$BB$2:$BB$400)*($U$2='Offer Statistics'!$BC$2:$BC$400),0)),"/")</f>
        <v>62</v>
      </c>
      <c r="AF68" s="375" cm="1">
        <f t="array" ref="AF68">IFERROR(INDEX('Offer Statistics'!BF$2:BF$400,MATCH(1,($A68='Offer Statistics'!$BB$2:$BB$400)*($U$2='Offer Statistics'!$BC$2:$BC$400),0)),"/")</f>
        <v>150</v>
      </c>
      <c r="AG68" s="375" cm="1">
        <f t="array" ref="AG68">IFERROR(INDEX('Offer Statistics'!BG$2:BG$400,MATCH(1,($A68='Offer Statistics'!$BB$2:$BB$400)*($U$2='Offer Statistics'!$BC$2:$BC$400),0)),"/")</f>
        <v>243</v>
      </c>
      <c r="AH68" s="375" cm="1">
        <f t="array" ref="AH68">IFERROR(INDEX('Offer Statistics'!BH$2:BH$400,MATCH(1,($A68='Offer Statistics'!$BB$2:$BB$400)*($U$2='Offer Statistics'!$BC$2:$BC$400),0)),"/")</f>
        <v>207</v>
      </c>
      <c r="AI68" s="354"/>
      <c r="AJ68" s="354" t="str">
        <f t="shared" si="7"/>
        <v>JS4893</v>
      </c>
    </row>
    <row r="69" spans="1:36" s="350" customFormat="1" ht="18" customHeight="1" x14ac:dyDescent="0.3">
      <c r="A69" s="346" t="str">
        <f>'Reference Score Calculation'!A206</f>
        <v>JS4903</v>
      </c>
      <c r="B69" s="346" t="str">
        <f>'Reference Score Calculation'!C206</f>
        <v>法學院</v>
      </c>
      <c r="C69" s="346" t="str">
        <f>'Reference Score Calculation'!D206</f>
        <v>法學士</v>
      </c>
      <c r="D69" s="346"/>
      <c r="E69" s="355" t="str">
        <f>'Reference Score Calculation'!E206</f>
        <v>4C2X</v>
      </c>
      <c r="F69" s="347">
        <f>'Reference Score Calculation'!F206</f>
        <v>49.750000000295003</v>
      </c>
      <c r="G69" s="347">
        <f>'Reference Score Calculation'!G206</f>
        <v>46.000000000295003</v>
      </c>
      <c r="H69" s="347">
        <f>'Reference Score Calculation'!H206</f>
        <v>44.500000000305</v>
      </c>
      <c r="I69" s="420">
        <f>計分版!H227</f>
        <v>3.4999999999999999E-9</v>
      </c>
      <c r="J69" s="348">
        <f t="shared" si="6"/>
        <v>-45.999999996795005</v>
      </c>
      <c r="K69" s="349">
        <f t="shared" si="5"/>
        <v>-13142857141.941431</v>
      </c>
      <c r="L69" s="365">
        <f>入學要求!C215</f>
        <v>73</v>
      </c>
      <c r="M69" s="379">
        <f>入學要求!R215</f>
        <v>0</v>
      </c>
      <c r="N69" s="363"/>
      <c r="O69" s="423">
        <f>入學要求!D215</f>
        <v>4</v>
      </c>
      <c r="P69" s="423">
        <f>入學要求!E215</f>
        <v>5</v>
      </c>
      <c r="Q69" s="423">
        <f>入學要求!F215</f>
        <v>3</v>
      </c>
      <c r="R69" s="423">
        <f>入學要求!G215</f>
        <v>3</v>
      </c>
      <c r="S69" s="423">
        <f>入學要求!H215</f>
        <v>3</v>
      </c>
      <c r="T69" s="423">
        <f>入學要求!I215</f>
        <v>3</v>
      </c>
      <c r="U69" s="576"/>
      <c r="V69" s="365" cm="1">
        <f t="array" ref="V69">IFERROR(INDEX('Offer Statistics'!$BQ$2:$BQ$400,MATCH(1,($A69='Offer Statistics'!$BB$2:$BB$400)*($U$2='Offer Statistics'!$BC$2:$BC$400),0)),"/")</f>
        <v>57</v>
      </c>
      <c r="W69" s="375" cm="1">
        <f t="array" ref="W69">IFERROR(INDEX('Offer Statistics'!BL$2:BL$400,MATCH(1,($A69='Offer Statistics'!$BB$2:$BB$400)*($U$2='Offer Statistics'!$BC$2:$BC$400),0)),"/")</f>
        <v>57</v>
      </c>
      <c r="X69" s="375" cm="1">
        <f t="array" ref="X69">IFERROR(INDEX('Offer Statistics'!BM$2:BM$400,MATCH(1,($A69='Offer Statistics'!$BB$2:$BB$400)*($U$2='Offer Statistics'!$BC$2:$BC$400),0)),"/")</f>
        <v>0</v>
      </c>
      <c r="Y69" s="375" cm="1">
        <f t="array" ref="Y69">IFERROR(INDEX('Offer Statistics'!BN$2:BN$400,MATCH(1,($A69='Offer Statistics'!$BB$2:$BB$400)*($U$2='Offer Statistics'!$BC$2:$BC$400),0)),"/")</f>
        <v>0</v>
      </c>
      <c r="Z69" s="375" cm="1">
        <f t="array" ref="Z69">IFERROR(INDEX('Offer Statistics'!BO$2:BO$400,MATCH(1,($A69='Offer Statistics'!$BB$2:$BB$400)*($U$2='Offer Statistics'!$BC$2:$BC$400),0)),"/")</f>
        <v>0</v>
      </c>
      <c r="AA69" s="375" cm="1">
        <f t="array" ref="AA69">IFERROR(INDEX('Offer Statistics'!BP$2:BP$400,MATCH(1,($A69='Offer Statistics'!$BB$2:$BB$400)*($U$2='Offer Statistics'!$BC$2:$BC$400),0)),"/")</f>
        <v>0</v>
      </c>
      <c r="AB69" s="580"/>
      <c r="AC69" s="365" cm="1">
        <f t="array" ref="AC69">IFERROR(INDEX('Offer Statistics'!$BI$2:$BI$400,MATCH(1,($A69='Offer Statistics'!$BB$2:$BB$400)*($U$2='Offer Statistics'!$BC$2:$BC$400),0)),"/")</f>
        <v>782</v>
      </c>
      <c r="AD69" s="375" cm="1">
        <f t="array" ref="AD69">IFERROR(INDEX('Offer Statistics'!BD$2:BD$400,MATCH(1,($A69='Offer Statistics'!$BB$2:$BB$400)*($U$2='Offer Statistics'!$BC$2:$BC$400),0)),"/")</f>
        <v>200</v>
      </c>
      <c r="AE69" s="375" cm="1">
        <f t="array" ref="AE69">IFERROR(INDEX('Offer Statistics'!BE$2:BE$400,MATCH(1,($A69='Offer Statistics'!$BB$2:$BB$400)*($U$2='Offer Statistics'!$BC$2:$BC$400),0)),"/")</f>
        <v>101</v>
      </c>
      <c r="AF69" s="375" cm="1">
        <f t="array" ref="AF69">IFERROR(INDEX('Offer Statistics'!BF$2:BF$400,MATCH(1,($A69='Offer Statistics'!$BB$2:$BB$400)*($U$2='Offer Statistics'!$BC$2:$BC$400),0)),"/")</f>
        <v>116</v>
      </c>
      <c r="AG69" s="375" cm="1">
        <f t="array" ref="AG69">IFERROR(INDEX('Offer Statistics'!BG$2:BG$400,MATCH(1,($A69='Offer Statistics'!$BB$2:$BB$400)*($U$2='Offer Statistics'!$BC$2:$BC$400),0)),"/")</f>
        <v>156</v>
      </c>
      <c r="AH69" s="375" cm="1">
        <f t="array" ref="AH69">IFERROR(INDEX('Offer Statistics'!BH$2:BH$400,MATCH(1,($A69='Offer Statistics'!$BB$2:$BB$400)*($U$2='Offer Statistics'!$BC$2:$BC$400),0)),"/")</f>
        <v>209</v>
      </c>
      <c r="AI69" s="354"/>
      <c r="AJ69" s="354" t="str">
        <f t="shared" si="7"/>
        <v>JS4903</v>
      </c>
    </row>
    <row r="70" spans="1:36" ht="18" customHeight="1" x14ac:dyDescent="0.3"/>
    <row r="71" spans="1:36" ht="18" customHeight="1" x14ac:dyDescent="0.3">
      <c r="A71" s="3" t="s">
        <v>3535</v>
      </c>
    </row>
    <row r="72" spans="1:36" ht="18" customHeight="1" x14ac:dyDescent="0.3">
      <c r="A72" s="4" t="s">
        <v>2508</v>
      </c>
      <c r="W72" s="346"/>
    </row>
    <row r="73" spans="1:36" ht="18" customHeight="1" x14ac:dyDescent="0.3">
      <c r="A73" s="4" t="s">
        <v>2589</v>
      </c>
    </row>
    <row r="74" spans="1:36" ht="18" customHeight="1" x14ac:dyDescent="0.3">
      <c r="A74" s="4" t="s">
        <v>2509</v>
      </c>
      <c r="J74" s="529"/>
      <c r="W74" s="529" t="s">
        <v>3531</v>
      </c>
    </row>
    <row r="75" spans="1:36" ht="18" customHeight="1" x14ac:dyDescent="0.3">
      <c r="C75" s="23"/>
      <c r="E75" s="15"/>
      <c r="F75" s="4"/>
      <c r="G75" s="4"/>
      <c r="I75" s="4"/>
      <c r="J75" s="4"/>
      <c r="K75" s="37"/>
      <c r="M75" s="4"/>
      <c r="N75" s="4"/>
      <c r="U75" s="4"/>
    </row>
    <row r="76" spans="1:36" ht="18" customHeight="1" x14ac:dyDescent="0.3">
      <c r="A76" s="4" t="s">
        <v>3191</v>
      </c>
      <c r="J76" s="22"/>
      <c r="K76" s="23"/>
      <c r="M76" s="4"/>
      <c r="O76" s="15"/>
      <c r="P76" s="15"/>
      <c r="Q76" s="15"/>
      <c r="R76" s="15"/>
      <c r="S76" s="15"/>
      <c r="T76" s="15"/>
      <c r="V76" s="15"/>
      <c r="W76" s="15"/>
      <c r="X76" s="15"/>
      <c r="Y76" s="15"/>
      <c r="Z76" s="15"/>
      <c r="AA76" s="15"/>
      <c r="AB76" s="15"/>
      <c r="AC76" s="15"/>
      <c r="AD76" s="15"/>
      <c r="AE76" s="15"/>
      <c r="AF76" s="15"/>
      <c r="AG76" s="15"/>
      <c r="AH76" s="15"/>
      <c r="AJ76" s="15"/>
    </row>
    <row r="77" spans="1:36" ht="18" customHeight="1" x14ac:dyDescent="0.3"/>
    <row r="78" spans="1:36" ht="18" customHeight="1" x14ac:dyDescent="0.3">
      <c r="A78" s="3" t="s">
        <v>1986</v>
      </c>
    </row>
    <row r="79" spans="1:36" ht="18" customHeight="1" x14ac:dyDescent="0.3">
      <c r="A79" s="4" t="s">
        <v>2510</v>
      </c>
    </row>
    <row r="80" spans="1:36" ht="18" customHeight="1" x14ac:dyDescent="0.3">
      <c r="A80" s="4" t="s">
        <v>2511</v>
      </c>
    </row>
    <row r="81" spans="1:21" ht="18" customHeight="1" x14ac:dyDescent="0.3"/>
    <row r="82" spans="1:21" ht="18" customHeight="1" x14ac:dyDescent="0.3">
      <c r="A82" s="4" t="s">
        <v>2512</v>
      </c>
    </row>
    <row r="83" spans="1:21" ht="18" customHeight="1" x14ac:dyDescent="0.3">
      <c r="A83" s="4" t="s">
        <v>2513</v>
      </c>
    </row>
    <row r="84" spans="1:21" ht="18" customHeight="1" x14ac:dyDescent="0.3"/>
    <row r="85" spans="1:21" ht="18" customHeight="1" x14ac:dyDescent="0.3">
      <c r="A85" s="4" t="s">
        <v>2514</v>
      </c>
    </row>
    <row r="86" spans="1:21" ht="18" customHeight="1" x14ac:dyDescent="0.3">
      <c r="B86" s="4" t="s">
        <v>2515</v>
      </c>
    </row>
    <row r="87" spans="1:21" ht="18" customHeight="1" x14ac:dyDescent="0.3">
      <c r="A87" s="13"/>
      <c r="B87" s="4" t="s">
        <v>2516</v>
      </c>
    </row>
    <row r="88" spans="1:21" ht="18" customHeight="1" x14ac:dyDescent="0.3">
      <c r="B88" s="4" t="s">
        <v>2517</v>
      </c>
    </row>
    <row r="89" spans="1:21" ht="18" customHeight="1" x14ac:dyDescent="0.3">
      <c r="B89" s="4" t="s">
        <v>2518</v>
      </c>
    </row>
    <row r="90" spans="1:21" ht="18" customHeight="1" x14ac:dyDescent="0.3"/>
    <row r="91" spans="1:21" ht="18" customHeight="1" x14ac:dyDescent="0.3">
      <c r="A91" s="4" t="s">
        <v>2519</v>
      </c>
    </row>
    <row r="92" spans="1:21" s="346" customFormat="1" ht="18" customHeight="1" x14ac:dyDescent="0.3">
      <c r="E92" s="530"/>
      <c r="F92" s="531"/>
      <c r="G92" s="531"/>
      <c r="H92" s="531"/>
      <c r="I92" s="531"/>
      <c r="J92" s="531"/>
      <c r="K92" s="531"/>
      <c r="L92" s="531"/>
      <c r="M92" s="531"/>
      <c r="N92" s="531"/>
      <c r="U92" s="531"/>
    </row>
    <row r="93" spans="1:21" s="346" customFormat="1" ht="18" customHeight="1" x14ac:dyDescent="0.3">
      <c r="A93" s="345" t="s">
        <v>2961</v>
      </c>
      <c r="E93" s="531"/>
      <c r="K93" s="530"/>
      <c r="L93" s="531"/>
      <c r="M93" s="531"/>
    </row>
    <row r="94" spans="1:21" s="346" customFormat="1" ht="18" customHeight="1" x14ac:dyDescent="0.3">
      <c r="A94" s="107" t="s">
        <v>2963</v>
      </c>
      <c r="B94" s="346" t="s">
        <v>3552</v>
      </c>
      <c r="E94" s="531"/>
      <c r="K94" s="530"/>
      <c r="L94" s="531"/>
      <c r="M94" s="531"/>
    </row>
    <row r="95" spans="1:21" s="346" customFormat="1" ht="18" customHeight="1" x14ac:dyDescent="0.3">
      <c r="A95" s="107" t="s">
        <v>2964</v>
      </c>
      <c r="B95" s="346" t="s">
        <v>3550</v>
      </c>
      <c r="E95" s="531"/>
      <c r="K95" s="530"/>
      <c r="L95" s="531"/>
      <c r="M95" s="531"/>
    </row>
    <row r="96" spans="1:21" s="346" customFormat="1" ht="18" customHeight="1" x14ac:dyDescent="0.3">
      <c r="A96" s="107"/>
      <c r="B96" s="346" t="s">
        <v>3551</v>
      </c>
      <c r="E96" s="531"/>
      <c r="K96" s="530"/>
      <c r="L96" s="531"/>
      <c r="M96" s="531"/>
    </row>
    <row r="97" spans="1:13" s="346" customFormat="1" ht="18" customHeight="1" x14ac:dyDescent="0.3">
      <c r="A97" s="107"/>
      <c r="E97" s="531"/>
      <c r="K97" s="530"/>
      <c r="L97" s="531"/>
      <c r="M97" s="531"/>
    </row>
    <row r="98" spans="1:13" s="346" customFormat="1" ht="18" customHeight="1" x14ac:dyDescent="0.3">
      <c r="A98" s="107"/>
      <c r="B98" s="346" t="s">
        <v>3548</v>
      </c>
      <c r="E98" s="531"/>
      <c r="K98" s="530"/>
      <c r="L98" s="531"/>
      <c r="M98" s="531"/>
    </row>
    <row r="99" spans="1:13" s="346" customFormat="1" ht="18" customHeight="1" x14ac:dyDescent="0.3">
      <c r="A99" s="345"/>
      <c r="B99" s="346" t="s">
        <v>3549</v>
      </c>
      <c r="E99" s="531"/>
      <c r="K99" s="530"/>
      <c r="L99" s="531"/>
      <c r="M99" s="531"/>
    </row>
    <row r="100" spans="1:13" s="346" customFormat="1" ht="18" customHeight="1" x14ac:dyDescent="0.3">
      <c r="A100" s="345"/>
      <c r="E100" s="531"/>
      <c r="K100" s="530"/>
      <c r="L100" s="531"/>
      <c r="M100" s="531"/>
    </row>
    <row r="101" spans="1:13" ht="18" customHeight="1" x14ac:dyDescent="0.3">
      <c r="A101" s="47"/>
    </row>
    <row r="102" spans="1:13" ht="18" customHeight="1" x14ac:dyDescent="0.3">
      <c r="A102" s="345" t="s">
        <v>1988</v>
      </c>
    </row>
    <row r="103" spans="1:13" ht="18" customHeight="1" x14ac:dyDescent="0.3">
      <c r="A103" s="369" t="s">
        <v>3192</v>
      </c>
    </row>
    <row r="104" spans="1:13" ht="18" customHeight="1" x14ac:dyDescent="0.3">
      <c r="A104" s="369" t="s">
        <v>3193</v>
      </c>
    </row>
    <row r="105" spans="1:13" ht="18" customHeight="1" x14ac:dyDescent="0.3">
      <c r="A105" s="424" t="s">
        <v>2629</v>
      </c>
    </row>
    <row r="106" spans="1:13" ht="18" customHeight="1" x14ac:dyDescent="0.3">
      <c r="A106" s="369" t="s">
        <v>3194</v>
      </c>
    </row>
    <row r="107" spans="1:13" ht="18" customHeight="1" x14ac:dyDescent="0.3">
      <c r="A107" s="346"/>
    </row>
    <row r="108" spans="1:13" ht="18" hidden="1" customHeight="1" x14ac:dyDescent="0.3"/>
    <row r="109" spans="1:13" ht="18" hidden="1" customHeight="1" x14ac:dyDescent="0.3"/>
    <row r="110" spans="1:13" ht="18" hidden="1" customHeight="1" x14ac:dyDescent="0.3"/>
    <row r="111" spans="1:13" x14ac:dyDescent="0.3"/>
    <row r="112" spans="1:13" x14ac:dyDescent="0.3"/>
    <row r="113" x14ac:dyDescent="0.3"/>
    <row r="114" x14ac:dyDescent="0.3"/>
    <row r="115" x14ac:dyDescent="0.3"/>
    <row r="116" x14ac:dyDescent="0.3"/>
  </sheetData>
  <mergeCells count="4">
    <mergeCell ref="J1:K1"/>
    <mergeCell ref="L13:L14"/>
    <mergeCell ref="U2:U69"/>
    <mergeCell ref="AB2:AB69"/>
  </mergeCells>
  <phoneticPr fontId="2" type="noConversion"/>
  <conditionalFormatting sqref="J2:J69">
    <cfRule type="cellIs" dxfId="247" priority="133" operator="equal">
      <formula>"/"</formula>
    </cfRule>
    <cfRule type="cellIs" dxfId="246" priority="134" operator="lessThan">
      <formula>0</formula>
    </cfRule>
    <cfRule type="cellIs" dxfId="245" priority="135" operator="greaterThan">
      <formula>0</formula>
    </cfRule>
  </conditionalFormatting>
  <conditionalFormatting sqref="K2:K69">
    <cfRule type="cellIs" dxfId="244" priority="130" operator="equal">
      <formula>"/"</formula>
    </cfRule>
    <cfRule type="cellIs" dxfId="243" priority="131" operator="lessThan">
      <formula>0</formula>
    </cfRule>
    <cfRule type="cellIs" dxfId="242" priority="132" operator="greaterThan">
      <formula>0</formula>
    </cfRule>
  </conditionalFormatting>
  <conditionalFormatting sqref="F2:H69">
    <cfRule type="expression" dxfId="241" priority="129">
      <formula>$J$1="差距(UQ)"</formula>
    </cfRule>
  </conditionalFormatting>
  <conditionalFormatting sqref="G2:G69">
    <cfRule type="expression" dxfId="240" priority="128">
      <formula>$J$1="差距(Median)"</formula>
    </cfRule>
  </conditionalFormatting>
  <conditionalFormatting sqref="H2:H69">
    <cfRule type="expression" dxfId="239" priority="127">
      <formula>$J$1="差距(LQ)"</formula>
    </cfRule>
  </conditionalFormatting>
  <conditionalFormatting sqref="M2:M69">
    <cfRule type="cellIs" dxfId="238" priority="124" operator="equal">
      <formula>2</formula>
    </cfRule>
    <cfRule type="cellIs" dxfId="237" priority="125" operator="equal">
      <formula>1</formula>
    </cfRule>
    <cfRule type="cellIs" dxfId="236" priority="126" operator="equal">
      <formula>0</formula>
    </cfRule>
  </conditionalFormatting>
  <conditionalFormatting sqref="M14:U14 A2:AJ2 I3:U13 I14:K14 A3:H69 V3:AJ69 I15:U69">
    <cfRule type="expression" dxfId="235" priority="136">
      <formula>MOD(ROW(),2)=0</formula>
    </cfRule>
  </conditionalFormatting>
  <conditionalFormatting sqref="U2 AB2 AI2:AI69">
    <cfRule type="expression" dxfId="234" priority="61">
      <formula>TRUE</formula>
    </cfRule>
  </conditionalFormatting>
  <hyperlinks>
    <hyperlink ref="A106" r:id="rId1" xr:uid="{00000000-0004-0000-0A00-000000000000}"/>
    <hyperlink ref="A105" r:id="rId2" xr:uid="{00000000-0004-0000-0A00-000001000000}"/>
    <hyperlink ref="A104" r:id="rId3" xr:uid="{00000000-0004-0000-0A00-000002000000}"/>
    <hyperlink ref="A103" r:id="rId4" xr:uid="{00000000-0004-0000-0A00-000003000000}"/>
  </hyperlinks>
  <pageMargins left="0.7" right="0.7" top="0.75" bottom="0.75" header="0.3" footer="0.3"/>
  <pageSetup paperSize="9" orientation="portrait" r:id="rId5"/>
  <drawing r:id="rId6"/>
  <legacyDrawing r:id="rId7"/>
  <extLst>
    <ext xmlns:x14="http://schemas.microsoft.com/office/spreadsheetml/2009/9/main" uri="{78C0D931-6437-407d-A8EE-F0AAD7539E65}">
      <x14:conditionalFormattings>
        <x14:conditionalFormatting xmlns:xm="http://schemas.microsoft.com/office/excel/2006/main">
          <x14:cfRule type="expression" priority="1" id="{AC901B07-DB6D-4A26-9393-09BA887390AC}">
            <xm:f>入學要求!K148=0</xm:f>
            <x14:dxf>
              <font>
                <color rgb="FF9C0006"/>
              </font>
              <fill>
                <patternFill>
                  <bgColor rgb="FFFFC7CE"/>
                </patternFill>
              </fill>
            </x14:dxf>
          </x14:cfRule>
          <x14:cfRule type="expression" priority="2" id="{454DBB8D-0D46-4E1B-B9CB-F2CE79BB10AF}">
            <xm:f>入學要求!K148=2</xm:f>
            <x14:dxf>
              <font>
                <color rgb="FF9C5700"/>
              </font>
              <fill>
                <patternFill>
                  <bgColor rgb="FFFFEB9C"/>
                </patternFill>
              </fill>
            </x14:dxf>
          </x14:cfRule>
          <x14:cfRule type="expression" priority="3" id="{A016018A-2B1F-431D-AFF5-6205EE593A66}">
            <xm:f>入學要求!K148=1</xm:f>
            <x14:dxf>
              <font>
                <color rgb="FF006100"/>
              </font>
              <fill>
                <patternFill>
                  <bgColor rgb="FFC6EFCE"/>
                </patternFill>
              </fill>
            </x14:dxf>
          </x14:cfRule>
          <xm:sqref>O2:T69</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A00-000000000000}">
          <x14:formula1>
            <xm:f>選單!$J$1:$J$3</xm:f>
          </x14:formula1>
          <xm:sqref>J1:K1</xm:sqref>
        </x14:dataValidation>
        <x14:dataValidation type="list" allowBlank="1" showInputMessage="1" showErrorMessage="1" xr:uid="{794EA0E5-6CB4-4713-837A-0AE484514FF8}">
          <x14:formula1>
            <xm:f>選單!$I$1:$I$4</xm:f>
          </x14:formula1>
          <xm:sqref>U2:U69</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工作表9">
    <tabColor theme="4" tint="0.59999389629810485"/>
  </sheetPr>
  <dimension ref="A1:AO46"/>
  <sheetViews>
    <sheetView zoomScaleNormal="100" workbookViewId="0">
      <pane ySplit="1" topLeftCell="A2" activePane="bottomLeft" state="frozen"/>
      <selection pane="bottomLeft" activeCell="I1" sqref="I1:J1"/>
    </sheetView>
  </sheetViews>
  <sheetFormatPr defaultColWidth="0" defaultRowHeight="13.8" zeroHeight="1" x14ac:dyDescent="0.3"/>
  <cols>
    <col min="1" max="1" width="7.109375" style="4" customWidth="1"/>
    <col min="2" max="2" width="9.109375" style="4" customWidth="1"/>
    <col min="3" max="3" width="25.77734375" style="4" customWidth="1"/>
    <col min="4" max="4" width="10.6640625" style="4" hidden="1" customWidth="1"/>
    <col min="5" max="5" width="9.77734375" style="99" customWidth="1"/>
    <col min="6" max="8" width="7.77734375" style="15" customWidth="1"/>
    <col min="9" max="9" width="7.6640625" style="22" customWidth="1"/>
    <col min="10" max="10" width="7.6640625" style="23" customWidth="1"/>
    <col min="11" max="11" width="4.88671875" style="15" customWidth="1"/>
    <col min="12" max="12" width="4.6640625" style="15" customWidth="1"/>
    <col min="13" max="13" width="9.77734375" style="15" customWidth="1"/>
    <col min="14" max="19" width="2.21875" style="15" customWidth="1"/>
    <col min="20" max="20" width="8.88671875" style="4" customWidth="1"/>
    <col min="21" max="26" width="6.33203125" style="4" customWidth="1"/>
    <col min="27" max="27" width="8.88671875" style="4" customWidth="1"/>
    <col min="28" max="33" width="6.33203125" style="4" customWidth="1"/>
    <col min="34" max="34" width="3.109375" style="4" customWidth="1"/>
    <col min="35" max="35" width="8.109375" style="15" customWidth="1"/>
    <col min="36" max="41" width="0" style="4" hidden="1" customWidth="1"/>
    <col min="42" max="16384" width="9" style="4" hidden="1"/>
  </cols>
  <sheetData>
    <row r="1" spans="1:35" s="31" customFormat="1" ht="18" customHeight="1" x14ac:dyDescent="0.3">
      <c r="A1" s="31" t="s">
        <v>1942</v>
      </c>
      <c r="B1" s="31" t="s">
        <v>1943</v>
      </c>
      <c r="C1" s="31" t="s">
        <v>1944</v>
      </c>
      <c r="E1" s="98" t="s">
        <v>1945</v>
      </c>
      <c r="F1" s="81" t="s">
        <v>1946</v>
      </c>
      <c r="G1" s="81" t="s">
        <v>1947</v>
      </c>
      <c r="H1" s="32" t="s">
        <v>1948</v>
      </c>
      <c r="I1" s="594" t="s">
        <v>1949</v>
      </c>
      <c r="J1" s="594"/>
      <c r="K1" s="32" t="s">
        <v>1950</v>
      </c>
      <c r="L1" s="32" t="s">
        <v>1951</v>
      </c>
      <c r="M1" s="32" t="s">
        <v>2027</v>
      </c>
      <c r="N1" s="32" t="s">
        <v>1953</v>
      </c>
      <c r="O1" s="32" t="s">
        <v>1954</v>
      </c>
      <c r="P1" s="32" t="s">
        <v>1955</v>
      </c>
      <c r="Q1" s="32" t="s">
        <v>1956</v>
      </c>
      <c r="R1" s="32" t="s">
        <v>1957</v>
      </c>
      <c r="S1" s="32" t="s">
        <v>1958</v>
      </c>
      <c r="T1" s="32" t="s">
        <v>1959</v>
      </c>
      <c r="U1" s="32" t="s">
        <v>2363</v>
      </c>
      <c r="V1" s="32" t="s">
        <v>1961</v>
      </c>
      <c r="W1" s="32" t="s">
        <v>1962</v>
      </c>
      <c r="X1" s="32" t="s">
        <v>1963</v>
      </c>
      <c r="Y1" s="32" t="s">
        <v>1964</v>
      </c>
      <c r="Z1" s="32" t="s">
        <v>1965</v>
      </c>
      <c r="AA1" s="32" t="s">
        <v>2364</v>
      </c>
      <c r="AB1" s="32" t="s">
        <v>2363</v>
      </c>
      <c r="AC1" s="32" t="s">
        <v>1961</v>
      </c>
      <c r="AD1" s="32" t="s">
        <v>1962</v>
      </c>
      <c r="AE1" s="32" t="s">
        <v>1963</v>
      </c>
      <c r="AF1" s="32" t="s">
        <v>1964</v>
      </c>
      <c r="AG1" s="32" t="s">
        <v>1965</v>
      </c>
      <c r="AI1" s="32"/>
    </row>
    <row r="2" spans="1:35" s="10" customFormat="1" ht="18" customHeight="1" x14ac:dyDescent="0.3">
      <c r="A2" s="4" t="str">
        <f>'Reference Score Calculation'!A209</f>
        <v>JS5101</v>
      </c>
      <c r="B2" s="346" t="str">
        <f>'Reference Score Calculation'!C209</f>
        <v>理學院</v>
      </c>
      <c r="C2" s="4" t="str">
        <f>'Reference Score Calculation'!D209</f>
        <v>國際科研</v>
      </c>
      <c r="D2" s="4" t="s">
        <v>1066</v>
      </c>
      <c r="E2" s="99" t="s">
        <v>2340</v>
      </c>
      <c r="F2" s="6">
        <f>'Reference Score Calculation'!G209</f>
        <v>36.5</v>
      </c>
      <c r="G2" s="6">
        <f>'Reference Score Calculation'!H209</f>
        <v>35</v>
      </c>
      <c r="H2" s="46">
        <f>計分版!H230</f>
        <v>1.6000000000000001E-9</v>
      </c>
      <c r="I2" s="437">
        <f>IF(I$1="差距(Median)",H2-F2,IF(I$1="差距(UQ)",H2-#REF!,IF(I$1="差距(LQ)",H2-G2)))</f>
        <v>-36.4999999984</v>
      </c>
      <c r="J2" s="438">
        <f>IF(I$1="差距(Median)",(H2-F2)/H2,IF(I$1="差距(UQ)",(H2-#REF!)/H2,IF(I$1="差距(LQ)",(H2-G2)/H2)))</f>
        <v>-22812499999</v>
      </c>
      <c r="K2" s="365">
        <f>入學要求!C218</f>
        <v>21</v>
      </c>
      <c r="L2" s="102">
        <f>入學要求!R218</f>
        <v>0</v>
      </c>
      <c r="M2" s="62" t="s">
        <v>2366</v>
      </c>
      <c r="N2" s="419">
        <f>入學要求!D218</f>
        <v>3</v>
      </c>
      <c r="O2" s="419">
        <f>入學要求!E218</f>
        <v>3</v>
      </c>
      <c r="P2" s="419">
        <f>入學要求!F218</f>
        <v>2</v>
      </c>
      <c r="Q2" s="419">
        <f>入學要求!G218</f>
        <v>2</v>
      </c>
      <c r="R2" s="419">
        <f>入學要求!H218</f>
        <v>3</v>
      </c>
      <c r="S2" s="419">
        <f>入學要求!I218</f>
        <v>3</v>
      </c>
      <c r="T2" s="576" t="s">
        <v>2840</v>
      </c>
      <c r="U2" s="37" cm="1">
        <f t="array" ref="U2">IFERROR(INDEX('Offer Statistics'!CH$2:CH$105,MATCH(1,($A2='Offer Statistics'!$BS$2:$BS$105)*($T$2='Offer Statistics'!$BT$2:$BT$105),0)),"/")</f>
        <v>23</v>
      </c>
      <c r="V2" s="375" cm="1">
        <f t="array" ref="V2">IFERROR(INDEX('Offer Statistics'!CC$2:CC$105,MATCH(1,($A2='Offer Statistics'!$BS$2:$BS$105)*($T$2='Offer Statistics'!$BT$2:$BT$105),0)),"/")</f>
        <v>23</v>
      </c>
      <c r="W2" s="375" cm="1">
        <f t="array" ref="W2">IFERROR(INDEX('Offer Statistics'!CD$2:CD$105,MATCH(1,($A2='Offer Statistics'!$BS$2:$BS$105)*($T$2='Offer Statistics'!$BT$2:$BT$105),0)),"/")</f>
        <v>0</v>
      </c>
      <c r="X2" s="375" cm="1">
        <f t="array" ref="X2">IFERROR(INDEX('Offer Statistics'!CE$2:CE$105,MATCH(1,($A2='Offer Statistics'!$BS$2:$BS$105)*($T$2='Offer Statistics'!$BT$2:$BT$105),0)),"/")</f>
        <v>0</v>
      </c>
      <c r="Y2" s="375" cm="1">
        <f t="array" ref="Y2">IFERROR(INDEX('Offer Statistics'!CF$2:CF$105,MATCH(1,($A2='Offer Statistics'!$BS$2:$BS$105)*($T$2='Offer Statistics'!$BT$2:$BT$105),0)),"/")</f>
        <v>0</v>
      </c>
      <c r="Z2" s="375" cm="1">
        <f t="array" ref="Z2">IFERROR(INDEX('Offer Statistics'!CG$2:CG$105,MATCH(1,($A2='Offer Statistics'!$BS$2:$BS$105)*($T$2='Offer Statistics'!$BT$2:$BT$105),0)),"/")</f>
        <v>0</v>
      </c>
      <c r="AA2" s="580" t="str">
        <f>T2</f>
        <v>2021年</v>
      </c>
      <c r="AB2" s="365" cm="1">
        <f t="array" ref="AB2">IFERROR(INDEX('Offer Statistics'!BZ$2:BZ$105,MATCH(1,($A2='Offer Statistics'!$BS$2:$BS$105)*($T$2='Offer Statistics'!$BT$2:$BT$105),0)),"/")</f>
        <v>490</v>
      </c>
      <c r="AC2" s="375" cm="1">
        <f t="array" ref="AC2">IFERROR(INDEX('Offer Statistics'!BU$2:BU$105,MATCH(1,($A2='Offer Statistics'!$BS$2:$BS$105)*($T$2='Offer Statistics'!$BT$2:$BT$105),0)),"/")</f>
        <v>126</v>
      </c>
      <c r="AD2" s="375" cm="1">
        <f t="array" ref="AD2">IFERROR(INDEX('Offer Statistics'!BV$2:BV$105,MATCH(1,($A2='Offer Statistics'!$BS$2:$BS$105)*($T$2='Offer Statistics'!$BT$2:$BT$105),0)),"/")</f>
        <v>77</v>
      </c>
      <c r="AE2" s="375" cm="1">
        <f t="array" ref="AE2">IFERROR(INDEX('Offer Statistics'!BW$2:BW$105,MATCH(1,($A2='Offer Statistics'!$BS$2:$BS$105)*($T$2='Offer Statistics'!$BT$2:$BT$105),0)),"/")</f>
        <v>82</v>
      </c>
      <c r="AF2" s="375" cm="1">
        <f t="array" ref="AF2">IFERROR(INDEX('Offer Statistics'!BX$2:BX$105,MATCH(1,($A2='Offer Statistics'!$BS$2:$BS$105)*($T$2='Offer Statistics'!$BT$2:$BT$105),0)),"/")</f>
        <v>98</v>
      </c>
      <c r="AG2" s="375" cm="1">
        <f t="array" ref="AG2">IFERROR(INDEX('Offer Statistics'!BY$2:BY$105,MATCH(1,($A2='Offer Statistics'!$BS$2:$BS$105)*($T$2='Offer Statistics'!$BT$2:$BT$105),0)),"/")</f>
        <v>107</v>
      </c>
      <c r="AH2" s="4"/>
      <c r="AI2" s="15" t="str">
        <f>A2</f>
        <v>JS5101</v>
      </c>
    </row>
    <row r="3" spans="1:35" ht="18" customHeight="1" x14ac:dyDescent="0.3">
      <c r="A3" s="346" t="str">
        <f>'Reference Score Calculation'!A210</f>
        <v>JS5102</v>
      </c>
      <c r="B3" s="346" t="str">
        <f>'Reference Score Calculation'!C210</f>
        <v>理學院</v>
      </c>
      <c r="C3" s="346" t="str">
        <f>'Reference Score Calculation'!D210</f>
        <v>理學Ａ組</v>
      </c>
      <c r="D3" s="4" t="s">
        <v>1070</v>
      </c>
      <c r="E3" s="99" t="s">
        <v>2252</v>
      </c>
      <c r="F3" s="347">
        <f>'Reference Score Calculation'!G210</f>
        <v>28.5</v>
      </c>
      <c r="G3" s="347">
        <f>'Reference Score Calculation'!H210</f>
        <v>27.5</v>
      </c>
      <c r="H3" s="368">
        <f>計分版!H231</f>
        <v>2.5000000000000001E-9</v>
      </c>
      <c r="I3" s="439">
        <f>IF(I$1="差距(Median)",H3-F3,IF(I$1="差距(UQ)",H3-#REF!,IF(I$1="差距(LQ)",H3-G3)))</f>
        <v>-28.499999997500002</v>
      </c>
      <c r="J3" s="440">
        <f>IF(I$1="差距(Median)",(H3-F3)/H3,IF(I$1="差距(UQ)",(H3-#REF!)/H3,IF(I$1="差距(LQ)",(H3-G3)/H3)))</f>
        <v>-11399999999</v>
      </c>
      <c r="K3" s="580" t="str">
        <f>入學要求!C219</f>
        <v>431*</v>
      </c>
      <c r="L3" s="379">
        <f>入學要求!R219</f>
        <v>0</v>
      </c>
      <c r="M3" s="15" t="s">
        <v>2369</v>
      </c>
      <c r="N3" s="435">
        <f>入學要求!D219</f>
        <v>3</v>
      </c>
      <c r="O3" s="435">
        <f>入學要求!E219</f>
        <v>3</v>
      </c>
      <c r="P3" s="435">
        <f>入學要求!F219</f>
        <v>2</v>
      </c>
      <c r="Q3" s="435">
        <f>入學要求!G219</f>
        <v>2</v>
      </c>
      <c r="R3" s="435">
        <f>入學要求!H219</f>
        <v>3</v>
      </c>
      <c r="S3" s="435">
        <f>入學要求!I219</f>
        <v>3</v>
      </c>
      <c r="T3" s="576"/>
      <c r="U3" s="365" cm="1">
        <f t="array" ref="U3">IFERROR(INDEX('Offer Statistics'!CH$2:CH$105,MATCH(1,($A3='Offer Statistics'!$BS$2:$BS$105)*($T$2='Offer Statistics'!$BT$2:$BT$105),0)),"/")</f>
        <v>159</v>
      </c>
      <c r="V3" s="375" cm="1">
        <f t="array" ref="V3">IFERROR(INDEX('Offer Statistics'!CC$2:CC$105,MATCH(1,($A3='Offer Statistics'!$BS$2:$BS$105)*($T$2='Offer Statistics'!$BT$2:$BT$105),0)),"/")</f>
        <v>156</v>
      </c>
      <c r="W3" s="375" cm="1">
        <f t="array" ref="W3">IFERROR(INDEX('Offer Statistics'!CD$2:CD$105,MATCH(1,($A3='Offer Statistics'!$BS$2:$BS$105)*($T$2='Offer Statistics'!$BT$2:$BT$105),0)),"/")</f>
        <v>3</v>
      </c>
      <c r="X3" s="375" cm="1">
        <f t="array" ref="X3">IFERROR(INDEX('Offer Statistics'!CE$2:CE$105,MATCH(1,($A3='Offer Statistics'!$BS$2:$BS$105)*($T$2='Offer Statistics'!$BT$2:$BT$105),0)),"/")</f>
        <v>0</v>
      </c>
      <c r="Y3" s="375" cm="1">
        <f t="array" ref="Y3">IFERROR(INDEX('Offer Statistics'!CF$2:CF$105,MATCH(1,($A3='Offer Statistics'!$BS$2:$BS$105)*($T$2='Offer Statistics'!$BT$2:$BT$105),0)),"/")</f>
        <v>0</v>
      </c>
      <c r="Z3" s="375" cm="1">
        <f t="array" ref="Z3">IFERROR(INDEX('Offer Statistics'!CG$2:CG$105,MATCH(1,($A3='Offer Statistics'!$BS$2:$BS$105)*($T$2='Offer Statistics'!$BT$2:$BT$105),0)),"/")</f>
        <v>0</v>
      </c>
      <c r="AA3" s="580"/>
      <c r="AB3" s="365" cm="1">
        <f t="array" ref="AB3">IFERROR(INDEX('Offer Statistics'!BZ$2:BZ$105,MATCH(1,($A3='Offer Statistics'!$BS$2:$BS$105)*($T$2='Offer Statistics'!$BT$2:$BT$105),0)),"/")</f>
        <v>3227</v>
      </c>
      <c r="AC3" s="375" cm="1">
        <f t="array" ref="AC3">IFERROR(INDEX('Offer Statistics'!BU$2:BU$105,MATCH(1,($A3='Offer Statistics'!$BS$2:$BS$105)*($T$2='Offer Statistics'!$BT$2:$BT$105),0)),"/")</f>
        <v>903</v>
      </c>
      <c r="AD3" s="375" cm="1">
        <f t="array" ref="AD3">IFERROR(INDEX('Offer Statistics'!BV$2:BV$105,MATCH(1,($A3='Offer Statistics'!$BS$2:$BS$105)*($T$2='Offer Statistics'!$BT$2:$BT$105),0)),"/")</f>
        <v>761</v>
      </c>
      <c r="AE3" s="375" cm="1">
        <f t="array" ref="AE3">IFERROR(INDEX('Offer Statistics'!BW$2:BW$105,MATCH(1,($A3='Offer Statistics'!$BS$2:$BS$105)*($T$2='Offer Statistics'!$BT$2:$BT$105),0)),"/")</f>
        <v>671</v>
      </c>
      <c r="AF3" s="375" cm="1">
        <f t="array" ref="AF3">IFERROR(INDEX('Offer Statistics'!BX$2:BX$105,MATCH(1,($A3='Offer Statistics'!$BS$2:$BS$105)*($T$2='Offer Statistics'!$BT$2:$BT$105),0)),"/")</f>
        <v>545</v>
      </c>
      <c r="AG3" s="375" cm="1">
        <f t="array" ref="AG3">IFERROR(INDEX('Offer Statistics'!BY$2:BY$105,MATCH(1,($A3='Offer Statistics'!$BS$2:$BS$105)*($T$2='Offer Statistics'!$BT$2:$BT$105),0)),"/")</f>
        <v>347</v>
      </c>
      <c r="AI3" s="15" t="str">
        <f t="shared" ref="AI3:AI27" si="0">A3</f>
        <v>JS5102</v>
      </c>
    </row>
    <row r="4" spans="1:35" s="10" customFormat="1" ht="18" customHeight="1" x14ac:dyDescent="0.3">
      <c r="A4" s="346" t="str">
        <f>'Reference Score Calculation'!A211</f>
        <v>JS5103</v>
      </c>
      <c r="B4" s="346" t="str">
        <f>'Reference Score Calculation'!C211</f>
        <v>理學院</v>
      </c>
      <c r="C4" s="346" t="str">
        <f>'Reference Score Calculation'!D211</f>
        <v>理學Ｂ組</v>
      </c>
      <c r="D4" s="4" t="s">
        <v>1074</v>
      </c>
      <c r="E4" s="99" t="s">
        <v>2252</v>
      </c>
      <c r="F4" s="347">
        <f>'Reference Score Calculation'!G211</f>
        <v>30</v>
      </c>
      <c r="G4" s="347">
        <f>'Reference Score Calculation'!H211</f>
        <v>28.5</v>
      </c>
      <c r="H4" s="368">
        <f>計分版!H232</f>
        <v>2.2500000000000003E-9</v>
      </c>
      <c r="I4" s="439">
        <f>IF(I$1="差距(Median)",H4-F4,IF(I$1="差距(UQ)",H4-#REF!,IF(I$1="差距(LQ)",H4-G4)))</f>
        <v>-29.999999997749999</v>
      </c>
      <c r="J4" s="440">
        <f>IF(I$1="差距(Median)",(H4-F4)/H4,IF(I$1="差距(UQ)",(H4-#REF!)/H4,IF(I$1="差距(LQ)",(H4-G4)/H4)))</f>
        <v>-13333333332.33333</v>
      </c>
      <c r="K4" s="580"/>
      <c r="L4" s="379">
        <f>入學要求!R220</f>
        <v>0</v>
      </c>
      <c r="M4" s="15" t="s">
        <v>2369</v>
      </c>
      <c r="N4" s="435">
        <f>入學要求!D220</f>
        <v>3</v>
      </c>
      <c r="O4" s="435">
        <f>入學要求!E220</f>
        <v>3</v>
      </c>
      <c r="P4" s="435">
        <f>入學要求!F220</f>
        <v>2</v>
      </c>
      <c r="Q4" s="435">
        <f>入學要求!G220</f>
        <v>2</v>
      </c>
      <c r="R4" s="435">
        <f>入學要求!H220</f>
        <v>3</v>
      </c>
      <c r="S4" s="435">
        <f>入學要求!I220</f>
        <v>3</v>
      </c>
      <c r="T4" s="576"/>
      <c r="U4" s="365" cm="1">
        <f t="array" ref="U4">IFERROR(INDEX('Offer Statistics'!CH$2:CH$105,MATCH(1,($A4='Offer Statistics'!$BS$2:$BS$105)*($T$2='Offer Statistics'!$BT$2:$BT$105),0)),"/")</f>
        <v>268</v>
      </c>
      <c r="V4" s="375" cm="1">
        <f t="array" ref="V4">IFERROR(INDEX('Offer Statistics'!CC$2:CC$105,MATCH(1,($A4='Offer Statistics'!$BS$2:$BS$105)*($T$2='Offer Statistics'!$BT$2:$BT$105),0)),"/")</f>
        <v>260</v>
      </c>
      <c r="W4" s="375" cm="1">
        <f t="array" ref="W4">IFERROR(INDEX('Offer Statistics'!CD$2:CD$105,MATCH(1,($A4='Offer Statistics'!$BS$2:$BS$105)*($T$2='Offer Statistics'!$BT$2:$BT$105),0)),"/")</f>
        <v>8</v>
      </c>
      <c r="X4" s="375" cm="1">
        <f t="array" ref="X4">IFERROR(INDEX('Offer Statistics'!CE$2:CE$105,MATCH(1,($A4='Offer Statistics'!$BS$2:$BS$105)*($T$2='Offer Statistics'!$BT$2:$BT$105),0)),"/")</f>
        <v>0</v>
      </c>
      <c r="Y4" s="375" cm="1">
        <f t="array" ref="Y4">IFERROR(INDEX('Offer Statistics'!CF$2:CF$105,MATCH(1,($A4='Offer Statistics'!$BS$2:$BS$105)*($T$2='Offer Statistics'!$BT$2:$BT$105),0)),"/")</f>
        <v>0</v>
      </c>
      <c r="Z4" s="375" cm="1">
        <f t="array" ref="Z4">IFERROR(INDEX('Offer Statistics'!CG$2:CG$105,MATCH(1,($A4='Offer Statistics'!$BS$2:$BS$105)*($T$2='Offer Statistics'!$BT$2:$BT$105),0)),"/")</f>
        <v>0</v>
      </c>
      <c r="AA4" s="580"/>
      <c r="AB4" s="365" cm="1">
        <f t="array" ref="AB4">IFERROR(INDEX('Offer Statistics'!BZ$2:BZ$105,MATCH(1,($A4='Offer Statistics'!$BS$2:$BS$105)*($T$2='Offer Statistics'!$BT$2:$BT$105),0)),"/")</f>
        <v>3615</v>
      </c>
      <c r="AC4" s="375" cm="1">
        <f t="array" ref="AC4">IFERROR(INDEX('Offer Statistics'!BU$2:BU$105,MATCH(1,($A4='Offer Statistics'!$BS$2:$BS$105)*($T$2='Offer Statistics'!$BT$2:$BT$105),0)),"/")</f>
        <v>1048</v>
      </c>
      <c r="AD4" s="375" cm="1">
        <f t="array" ref="AD4">IFERROR(INDEX('Offer Statistics'!BV$2:BV$105,MATCH(1,($A4='Offer Statistics'!$BS$2:$BS$105)*($T$2='Offer Statistics'!$BT$2:$BT$105),0)),"/")</f>
        <v>870</v>
      </c>
      <c r="AE4" s="375" cm="1">
        <f t="array" ref="AE4">IFERROR(INDEX('Offer Statistics'!BW$2:BW$105,MATCH(1,($A4='Offer Statistics'!$BS$2:$BS$105)*($T$2='Offer Statistics'!$BT$2:$BT$105),0)),"/")</f>
        <v>727</v>
      </c>
      <c r="AF4" s="375" cm="1">
        <f t="array" ref="AF4">IFERROR(INDEX('Offer Statistics'!BX$2:BX$105,MATCH(1,($A4='Offer Statistics'!$BS$2:$BS$105)*($T$2='Offer Statistics'!$BT$2:$BT$105),0)),"/")</f>
        <v>589</v>
      </c>
      <c r="AG4" s="375" cm="1">
        <f t="array" ref="AG4">IFERROR(INDEX('Offer Statistics'!BY$2:BY$105,MATCH(1,($A4='Offer Statistics'!$BS$2:$BS$105)*($T$2='Offer Statistics'!$BT$2:$BT$105),0)),"/")</f>
        <v>381</v>
      </c>
      <c r="AH4" s="4"/>
      <c r="AI4" s="15" t="str">
        <f t="shared" si="0"/>
        <v>JS5103</v>
      </c>
    </row>
    <row r="5" spans="1:35" s="10" customFormat="1" ht="18" customHeight="1" x14ac:dyDescent="0.3">
      <c r="A5" s="346" t="str">
        <f>'Reference Score Calculation'!A212</f>
        <v>JS5181</v>
      </c>
      <c r="B5" s="346" t="str">
        <f>'Reference Score Calculation'!C212</f>
        <v>理學院</v>
      </c>
      <c r="C5" s="346" t="str">
        <f>'Reference Score Calculation'!D212</f>
        <v>理學Ａ組– 延伸主修人工智能</v>
      </c>
      <c r="D5" s="4" t="s">
        <v>1078</v>
      </c>
      <c r="E5" s="378" t="s">
        <v>2252</v>
      </c>
      <c r="F5" s="347">
        <f>'Reference Score Calculation'!G212</f>
        <v>36.75</v>
      </c>
      <c r="G5" s="347">
        <f>'Reference Score Calculation'!H212</f>
        <v>33.75</v>
      </c>
      <c r="H5" s="368">
        <f>計分版!H233</f>
        <v>2.5000000000000001E-9</v>
      </c>
      <c r="I5" s="439">
        <f>IF(I$1="差距(Median)",H5-F5,IF(I$1="差距(UQ)",H5-#REF!,IF(I$1="差距(LQ)",H5-G5)))</f>
        <v>-36.749999997499998</v>
      </c>
      <c r="J5" s="440">
        <f>IF(I$1="差距(Median)",(H5-F5)/H5,IF(I$1="差距(UQ)",(H5-#REF!)/H5,IF(I$1="差距(LQ)",(H5-G5)/H5)))</f>
        <v>-14699999998.999998</v>
      </c>
      <c r="K5" s="365">
        <f>入學要求!C221</f>
        <v>41</v>
      </c>
      <c r="L5" s="379">
        <f>入學要求!R221</f>
        <v>0</v>
      </c>
      <c r="M5" s="15" t="s">
        <v>2369</v>
      </c>
      <c r="N5" s="435">
        <f>入學要求!D221</f>
        <v>3</v>
      </c>
      <c r="O5" s="435">
        <f>入學要求!E221</f>
        <v>3</v>
      </c>
      <c r="P5" s="435">
        <f>入學要求!F221</f>
        <v>3</v>
      </c>
      <c r="Q5" s="435">
        <f>入學要求!G221</f>
        <v>2</v>
      </c>
      <c r="R5" s="435">
        <f>入學要求!H221</f>
        <v>3</v>
      </c>
      <c r="S5" s="435">
        <f>入學要求!I221</f>
        <v>3</v>
      </c>
      <c r="T5" s="576"/>
      <c r="U5" s="365" cm="1">
        <f t="array" ref="U5">IFERROR(INDEX('Offer Statistics'!CH$2:CH$105,MATCH(1,($A5='Offer Statistics'!$BS$2:$BS$105)*($T$2='Offer Statistics'!$BT$2:$BT$105),0)),"/")</f>
        <v>41</v>
      </c>
      <c r="V5" s="375" cm="1">
        <f t="array" ref="V5">IFERROR(INDEX('Offer Statistics'!CC$2:CC$105,MATCH(1,($A5='Offer Statistics'!$BS$2:$BS$105)*($T$2='Offer Statistics'!$BT$2:$BT$105),0)),"/")</f>
        <v>41</v>
      </c>
      <c r="W5" s="375" cm="1">
        <f t="array" ref="W5">IFERROR(INDEX('Offer Statistics'!CD$2:CD$105,MATCH(1,($A5='Offer Statistics'!$BS$2:$BS$105)*($T$2='Offer Statistics'!$BT$2:$BT$105),0)),"/")</f>
        <v>0</v>
      </c>
      <c r="X5" s="375" cm="1">
        <f t="array" ref="X5">IFERROR(INDEX('Offer Statistics'!CE$2:CE$105,MATCH(1,($A5='Offer Statistics'!$BS$2:$BS$105)*($T$2='Offer Statistics'!$BT$2:$BT$105),0)),"/")</f>
        <v>0</v>
      </c>
      <c r="Y5" s="375" cm="1">
        <f t="array" ref="Y5">IFERROR(INDEX('Offer Statistics'!CF$2:CF$105,MATCH(1,($A5='Offer Statistics'!$BS$2:$BS$105)*($T$2='Offer Statistics'!$BT$2:$BT$105),0)),"/")</f>
        <v>0</v>
      </c>
      <c r="Z5" s="375" cm="1">
        <f t="array" ref="Z5">IFERROR(INDEX('Offer Statistics'!CG$2:CG$105,MATCH(1,($A5='Offer Statistics'!$BS$2:$BS$105)*($T$2='Offer Statistics'!$BT$2:$BT$105),0)),"/")</f>
        <v>0</v>
      </c>
      <c r="AA5" s="580"/>
      <c r="AB5" s="365" cm="1">
        <f t="array" ref="AB5">IFERROR(INDEX('Offer Statistics'!BZ$2:BZ$105,MATCH(1,($A5='Offer Statistics'!$BS$2:$BS$105)*($T$2='Offer Statistics'!$BT$2:$BT$105),0)),"/")</f>
        <v>1329</v>
      </c>
      <c r="AC5" s="375" cm="1">
        <f t="array" ref="AC5">IFERROR(INDEX('Offer Statistics'!BU$2:BU$105,MATCH(1,($A5='Offer Statistics'!$BS$2:$BS$105)*($T$2='Offer Statistics'!$BT$2:$BT$105),0)),"/")</f>
        <v>197</v>
      </c>
      <c r="AD5" s="375" cm="1">
        <f t="array" ref="AD5">IFERROR(INDEX('Offer Statistics'!BV$2:BV$105,MATCH(1,($A5='Offer Statistics'!$BS$2:$BS$105)*($T$2='Offer Statistics'!$BT$2:$BT$105),0)),"/")</f>
        <v>287</v>
      </c>
      <c r="AE5" s="375" cm="1">
        <f t="array" ref="AE5">IFERROR(INDEX('Offer Statistics'!BW$2:BW$105,MATCH(1,($A5='Offer Statistics'!$BS$2:$BS$105)*($T$2='Offer Statistics'!$BT$2:$BT$105),0)),"/")</f>
        <v>318</v>
      </c>
      <c r="AF5" s="375" cm="1">
        <f t="array" ref="AF5">IFERROR(INDEX('Offer Statistics'!BX$2:BX$105,MATCH(1,($A5='Offer Statistics'!$BS$2:$BS$105)*($T$2='Offer Statistics'!$BT$2:$BT$105),0)),"/")</f>
        <v>293</v>
      </c>
      <c r="AG5" s="375" cm="1">
        <f t="array" ref="AG5">IFERROR(INDEX('Offer Statistics'!BY$2:BY$105,MATCH(1,($A5='Offer Statistics'!$BS$2:$BS$105)*($T$2='Offer Statistics'!$BT$2:$BT$105),0)),"/")</f>
        <v>234</v>
      </c>
      <c r="AH5" s="4"/>
      <c r="AI5" s="15" t="str">
        <f t="shared" si="0"/>
        <v>JS5181</v>
      </c>
    </row>
    <row r="6" spans="1:35" ht="18" customHeight="1" x14ac:dyDescent="0.3">
      <c r="A6" s="346" t="str">
        <f>'Reference Score Calculation'!A213</f>
        <v>JS5200</v>
      </c>
      <c r="B6" s="346" t="str">
        <f>'Reference Score Calculation'!C213</f>
        <v>工學院</v>
      </c>
      <c r="C6" s="346" t="str">
        <f>'Reference Score Calculation'!D213</f>
        <v>工程學</v>
      </c>
      <c r="D6" s="4" t="s">
        <v>1083</v>
      </c>
      <c r="E6" s="99" t="s">
        <v>2252</v>
      </c>
      <c r="F6" s="347">
        <f>'Reference Score Calculation'!G213</f>
        <v>38</v>
      </c>
      <c r="G6" s="347">
        <f>'Reference Score Calculation'!H213</f>
        <v>35.5</v>
      </c>
      <c r="H6" s="368">
        <f>計分版!H234</f>
        <v>2.5000000000000001E-9</v>
      </c>
      <c r="I6" s="439">
        <f>IF(I$1="差距(Median)",H6-F6,IF(I$1="差距(UQ)",H6-#REF!,IF(I$1="差距(LQ)",H6-G6)))</f>
        <v>-37.999999997499998</v>
      </c>
      <c r="J6" s="440">
        <f>IF(I$1="差距(Median)",(H6-F6)/H6,IF(I$1="差距(UQ)",(H6-#REF!)/H6,IF(I$1="差距(LQ)",(H6-G6)/H6)))</f>
        <v>-15199999998.999998</v>
      </c>
      <c r="K6" s="365">
        <f>入學要求!C222</f>
        <v>532</v>
      </c>
      <c r="L6" s="379">
        <f>入學要求!R222</f>
        <v>0</v>
      </c>
      <c r="M6" s="15" t="s">
        <v>2369</v>
      </c>
      <c r="N6" s="435">
        <f>入學要求!D222</f>
        <v>3</v>
      </c>
      <c r="O6" s="435">
        <f>入學要求!E222</f>
        <v>3</v>
      </c>
      <c r="P6" s="435">
        <f>入學要求!F222</f>
        <v>3</v>
      </c>
      <c r="Q6" s="435">
        <f>入學要求!G222</f>
        <v>2</v>
      </c>
      <c r="R6" s="435">
        <f>入學要求!H222</f>
        <v>3</v>
      </c>
      <c r="S6" s="435">
        <f>入學要求!I222</f>
        <v>3</v>
      </c>
      <c r="T6" s="576"/>
      <c r="U6" s="365" cm="1">
        <f t="array" ref="U6">IFERROR(INDEX('Offer Statistics'!CH$2:CH$105,MATCH(1,($A6='Offer Statistics'!$BS$2:$BS$105)*($T$2='Offer Statistics'!$BT$2:$BT$105),0)),"/")</f>
        <v>390</v>
      </c>
      <c r="V6" s="375" cm="1">
        <f t="array" ref="V6">IFERROR(INDEX('Offer Statistics'!CC$2:CC$105,MATCH(1,($A6='Offer Statistics'!$BS$2:$BS$105)*($T$2='Offer Statistics'!$BT$2:$BT$105),0)),"/")</f>
        <v>386</v>
      </c>
      <c r="W6" s="375" cm="1">
        <f t="array" ref="W6">IFERROR(INDEX('Offer Statistics'!CD$2:CD$105,MATCH(1,($A6='Offer Statistics'!$BS$2:$BS$105)*($T$2='Offer Statistics'!$BT$2:$BT$105),0)),"/")</f>
        <v>4</v>
      </c>
      <c r="X6" s="375" cm="1">
        <f t="array" ref="X6">IFERROR(INDEX('Offer Statistics'!CE$2:CE$105,MATCH(1,($A6='Offer Statistics'!$BS$2:$BS$105)*($T$2='Offer Statistics'!$BT$2:$BT$105),0)),"/")</f>
        <v>0</v>
      </c>
      <c r="Y6" s="375" cm="1">
        <f t="array" ref="Y6">IFERROR(INDEX('Offer Statistics'!CF$2:CF$105,MATCH(1,($A6='Offer Statistics'!$BS$2:$BS$105)*($T$2='Offer Statistics'!$BT$2:$BT$105),0)),"/")</f>
        <v>0</v>
      </c>
      <c r="Z6" s="375" cm="1">
        <f t="array" ref="Z6">IFERROR(INDEX('Offer Statistics'!CG$2:CG$105,MATCH(1,($A6='Offer Statistics'!$BS$2:$BS$105)*($T$2='Offer Statistics'!$BT$2:$BT$105),0)),"/")</f>
        <v>0</v>
      </c>
      <c r="AA6" s="580"/>
      <c r="AB6" s="365" cm="1">
        <f t="array" ref="AB6">IFERROR(INDEX('Offer Statistics'!BZ$2:BZ$105,MATCH(1,($A6='Offer Statistics'!$BS$2:$BS$105)*($T$2='Offer Statistics'!$BT$2:$BT$105),0)),"/")</f>
        <v>4617</v>
      </c>
      <c r="AC6" s="375" cm="1">
        <f t="array" ref="AC6">IFERROR(INDEX('Offer Statistics'!BU$2:BU$105,MATCH(1,($A6='Offer Statistics'!$BS$2:$BS$105)*($T$2='Offer Statistics'!$BT$2:$BT$105),0)),"/")</f>
        <v>1662</v>
      </c>
      <c r="AD6" s="375" cm="1">
        <f t="array" ref="AD6">IFERROR(INDEX('Offer Statistics'!BV$2:BV$105,MATCH(1,($A6='Offer Statistics'!$BS$2:$BS$105)*($T$2='Offer Statistics'!$BT$2:$BT$105),0)),"/")</f>
        <v>866</v>
      </c>
      <c r="AE6" s="375" cm="1">
        <f t="array" ref="AE6">IFERROR(INDEX('Offer Statistics'!BW$2:BW$105,MATCH(1,($A6='Offer Statistics'!$BS$2:$BS$105)*($T$2='Offer Statistics'!$BT$2:$BT$105),0)),"/")</f>
        <v>845</v>
      </c>
      <c r="AF6" s="375" cm="1">
        <f t="array" ref="AF6">IFERROR(INDEX('Offer Statistics'!BX$2:BX$105,MATCH(1,($A6='Offer Statistics'!$BS$2:$BS$105)*($T$2='Offer Statistics'!$BT$2:$BT$105),0)),"/")</f>
        <v>684</v>
      </c>
      <c r="AG6" s="375" cm="1">
        <f t="array" ref="AG6">IFERROR(INDEX('Offer Statistics'!BY$2:BY$105,MATCH(1,($A6='Offer Statistics'!$BS$2:$BS$105)*($T$2='Offer Statistics'!$BT$2:$BT$105),0)),"/")</f>
        <v>560</v>
      </c>
      <c r="AI6" s="15" t="str">
        <f t="shared" si="0"/>
        <v>JS5200</v>
      </c>
    </row>
    <row r="7" spans="1:35" s="10" customFormat="1" ht="18" customHeight="1" x14ac:dyDescent="0.3">
      <c r="A7" s="346" t="str">
        <f>'Reference Score Calculation'!A214</f>
        <v>JS5211</v>
      </c>
      <c r="B7" s="346" t="str">
        <f>'Reference Score Calculation'!C214</f>
        <v>工學院</v>
      </c>
      <c r="C7" s="346" t="str">
        <f>'Reference Score Calculation'!D214</f>
        <v>理學士（綜合系統與設計）</v>
      </c>
      <c r="D7" s="4" t="s">
        <v>1086</v>
      </c>
      <c r="E7" s="99" t="s">
        <v>2252</v>
      </c>
      <c r="F7" s="347">
        <f>'Reference Score Calculation'!G214</f>
        <v>38.5</v>
      </c>
      <c r="G7" s="347">
        <f>'Reference Score Calculation'!H214</f>
        <v>34.5</v>
      </c>
      <c r="H7" s="368">
        <f>計分版!H235</f>
        <v>2.5000000000000001E-9</v>
      </c>
      <c r="I7" s="439">
        <f>IF(I$1="差距(Median)",H7-F7,IF(I$1="差距(UQ)",H7-#REF!,IF(I$1="差距(LQ)",H7-G7)))</f>
        <v>-38.499999997499998</v>
      </c>
      <c r="J7" s="440">
        <f>IF(I$1="差距(Median)",(H7-F7)/H7,IF(I$1="差距(UQ)",(H7-#REF!)/H7,IF(I$1="差距(LQ)",(H7-G7)/H7)))</f>
        <v>-15399999998.999998</v>
      </c>
      <c r="K7" s="365">
        <f>入學要求!C223</f>
        <v>25</v>
      </c>
      <c r="L7" s="379">
        <f>入學要求!R223</f>
        <v>0</v>
      </c>
      <c r="M7" s="37" t="s">
        <v>2367</v>
      </c>
      <c r="N7" s="435">
        <f>入學要求!D223</f>
        <v>3</v>
      </c>
      <c r="O7" s="435">
        <f>入學要求!E223</f>
        <v>3</v>
      </c>
      <c r="P7" s="435">
        <f>入學要求!F223</f>
        <v>3</v>
      </c>
      <c r="Q7" s="435">
        <f>入學要求!G223</f>
        <v>2</v>
      </c>
      <c r="R7" s="435">
        <f>入學要求!H223</f>
        <v>3</v>
      </c>
      <c r="S7" s="435">
        <f>入學要求!I223</f>
        <v>3</v>
      </c>
      <c r="T7" s="576"/>
      <c r="U7" s="365" cm="1">
        <f t="array" ref="U7">IFERROR(INDEX('Offer Statistics'!CH$2:CH$105,MATCH(1,($A7='Offer Statistics'!$BS$2:$BS$105)*($T$2='Offer Statistics'!$BT$2:$BT$105),0)),"/")</f>
        <v>10</v>
      </c>
      <c r="V7" s="375" cm="1">
        <f t="array" ref="V7">IFERROR(INDEX('Offer Statistics'!CC$2:CC$105,MATCH(1,($A7='Offer Statistics'!$BS$2:$BS$105)*($T$2='Offer Statistics'!$BT$2:$BT$105),0)),"/")</f>
        <v>10</v>
      </c>
      <c r="W7" s="375" cm="1">
        <f t="array" ref="W7">IFERROR(INDEX('Offer Statistics'!CD$2:CD$105,MATCH(1,($A7='Offer Statistics'!$BS$2:$BS$105)*($T$2='Offer Statistics'!$BT$2:$BT$105),0)),"/")</f>
        <v>0</v>
      </c>
      <c r="X7" s="375" cm="1">
        <f t="array" ref="X7">IFERROR(INDEX('Offer Statistics'!CE$2:CE$105,MATCH(1,($A7='Offer Statistics'!$BS$2:$BS$105)*($T$2='Offer Statistics'!$BT$2:$BT$105),0)),"/")</f>
        <v>0</v>
      </c>
      <c r="Y7" s="375" cm="1">
        <f t="array" ref="Y7">IFERROR(INDEX('Offer Statistics'!CF$2:CF$105,MATCH(1,($A7='Offer Statistics'!$BS$2:$BS$105)*($T$2='Offer Statistics'!$BT$2:$BT$105),0)),"/")</f>
        <v>0</v>
      </c>
      <c r="Z7" s="375" cm="1">
        <f t="array" ref="Z7">IFERROR(INDEX('Offer Statistics'!CG$2:CG$105,MATCH(1,($A7='Offer Statistics'!$BS$2:$BS$105)*($T$2='Offer Statistics'!$BT$2:$BT$105),0)),"/")</f>
        <v>0</v>
      </c>
      <c r="AA7" s="580"/>
      <c r="AB7" s="365" cm="1">
        <f t="array" ref="AB7">IFERROR(INDEX('Offer Statistics'!BZ$2:BZ$105,MATCH(1,($A7='Offer Statistics'!$BS$2:$BS$105)*($T$2='Offer Statistics'!$BT$2:$BT$105),0)),"/")</f>
        <v>365</v>
      </c>
      <c r="AC7" s="375" cm="1">
        <f t="array" ref="AC7">IFERROR(INDEX('Offer Statistics'!BU$2:BU$105,MATCH(1,($A7='Offer Statistics'!$BS$2:$BS$105)*($T$2='Offer Statistics'!$BT$2:$BT$105),0)),"/")</f>
        <v>36</v>
      </c>
      <c r="AD7" s="375" cm="1">
        <f t="array" ref="AD7">IFERROR(INDEX('Offer Statistics'!BV$2:BV$105,MATCH(1,($A7='Offer Statistics'!$BS$2:$BS$105)*($T$2='Offer Statistics'!$BT$2:$BT$105),0)),"/")</f>
        <v>38</v>
      </c>
      <c r="AE7" s="375" cm="1">
        <f t="array" ref="AE7">IFERROR(INDEX('Offer Statistics'!BW$2:BW$105,MATCH(1,($A7='Offer Statistics'!$BS$2:$BS$105)*($T$2='Offer Statistics'!$BT$2:$BT$105),0)),"/")</f>
        <v>66</v>
      </c>
      <c r="AF7" s="375" cm="1">
        <f t="array" ref="AF7">IFERROR(INDEX('Offer Statistics'!BX$2:BX$105,MATCH(1,($A7='Offer Statistics'!$BS$2:$BS$105)*($T$2='Offer Statistics'!$BT$2:$BT$105),0)),"/")</f>
        <v>114</v>
      </c>
      <c r="AG7" s="375" cm="1">
        <f t="array" ref="AG7">IFERROR(INDEX('Offer Statistics'!BY$2:BY$105,MATCH(1,($A7='Offer Statistics'!$BS$2:$BS$105)*($T$2='Offer Statistics'!$BT$2:$BT$105),0)),"/")</f>
        <v>111</v>
      </c>
      <c r="AH7" s="4"/>
      <c r="AI7" s="15" t="str">
        <f t="shared" si="0"/>
        <v>JS5211</v>
      </c>
    </row>
    <row r="8" spans="1:35" s="10" customFormat="1" ht="18" customHeight="1" x14ac:dyDescent="0.3">
      <c r="A8" s="346" t="str">
        <f>'Reference Score Calculation'!A215</f>
        <v>JS5282</v>
      </c>
      <c r="B8" s="346" t="str">
        <f>'Reference Score Calculation'!C215</f>
        <v>工學院</v>
      </c>
      <c r="C8" s="346" t="str">
        <f>'Reference Score Calculation'!D215</f>
        <v>工程學– 延伸主修人工智能</v>
      </c>
      <c r="D8" s="4" t="s">
        <v>1091</v>
      </c>
      <c r="E8" s="378" t="s">
        <v>2252</v>
      </c>
      <c r="F8" s="347">
        <f>'Reference Score Calculation'!G215</f>
        <v>47</v>
      </c>
      <c r="G8" s="347">
        <f>'Reference Score Calculation'!H215</f>
        <v>44.5</v>
      </c>
      <c r="H8" s="368">
        <f>計分版!H236</f>
        <v>2.5000000000000001E-9</v>
      </c>
      <c r="I8" s="439">
        <f>IF(I$1="差距(Median)",H8-F8,IF(I$1="差距(UQ)",H8-#REF!,IF(I$1="差距(LQ)",H8-G8)))</f>
        <v>-46.999999997499998</v>
      </c>
      <c r="J8" s="440">
        <f>IF(I$1="差距(Median)",(H8-F8)/H8,IF(I$1="差距(UQ)",(H8-#REF!)/H8,IF(I$1="差距(LQ)",(H8-G8)/H8)))</f>
        <v>-18799999999</v>
      </c>
      <c r="K8" s="365">
        <f>入學要求!C224</f>
        <v>152</v>
      </c>
      <c r="L8" s="379">
        <f>入學要求!R224</f>
        <v>0</v>
      </c>
      <c r="M8" s="15" t="s">
        <v>2369</v>
      </c>
      <c r="N8" s="435">
        <f>入學要求!D224</f>
        <v>3</v>
      </c>
      <c r="O8" s="435">
        <f>入學要求!E224</f>
        <v>3</v>
      </c>
      <c r="P8" s="435">
        <f>入學要求!F224</f>
        <v>3</v>
      </c>
      <c r="Q8" s="435">
        <f>入學要求!G224</f>
        <v>2</v>
      </c>
      <c r="R8" s="435">
        <f>入學要求!H224</f>
        <v>3</v>
      </c>
      <c r="S8" s="435">
        <f>入學要求!I224</f>
        <v>3</v>
      </c>
      <c r="T8" s="576"/>
      <c r="U8" s="365" cm="1">
        <f t="array" ref="U8">IFERROR(INDEX('Offer Statistics'!CH$2:CH$105,MATCH(1,($A8='Offer Statistics'!$BS$2:$BS$105)*($T$2='Offer Statistics'!$BT$2:$BT$105),0)),"/")</f>
        <v>182</v>
      </c>
      <c r="V8" s="375" cm="1">
        <f t="array" ref="V8">IFERROR(INDEX('Offer Statistics'!CC$2:CC$105,MATCH(1,($A8='Offer Statistics'!$BS$2:$BS$105)*($T$2='Offer Statistics'!$BT$2:$BT$105),0)),"/")</f>
        <v>181</v>
      </c>
      <c r="W8" s="375" cm="1">
        <f t="array" ref="W8">IFERROR(INDEX('Offer Statistics'!CD$2:CD$105,MATCH(1,($A8='Offer Statistics'!$BS$2:$BS$105)*($T$2='Offer Statistics'!$BT$2:$BT$105),0)),"/")</f>
        <v>1</v>
      </c>
      <c r="X8" s="375" cm="1">
        <f t="array" ref="X8">IFERROR(INDEX('Offer Statistics'!CE$2:CE$105,MATCH(1,($A8='Offer Statistics'!$BS$2:$BS$105)*($T$2='Offer Statistics'!$BT$2:$BT$105),0)),"/")</f>
        <v>0</v>
      </c>
      <c r="Y8" s="375" cm="1">
        <f t="array" ref="Y8">IFERROR(INDEX('Offer Statistics'!CF$2:CF$105,MATCH(1,($A8='Offer Statistics'!$BS$2:$BS$105)*($T$2='Offer Statistics'!$BT$2:$BT$105),0)),"/")</f>
        <v>0</v>
      </c>
      <c r="Z8" s="375" cm="1">
        <f t="array" ref="Z8">IFERROR(INDEX('Offer Statistics'!CG$2:CG$105,MATCH(1,($A8='Offer Statistics'!$BS$2:$BS$105)*($T$2='Offer Statistics'!$BT$2:$BT$105),0)),"/")</f>
        <v>0</v>
      </c>
      <c r="AA8" s="580"/>
      <c r="AB8" s="365" cm="1">
        <f t="array" ref="AB8">IFERROR(INDEX('Offer Statistics'!BZ$2:BZ$105,MATCH(1,($A8='Offer Statistics'!$BS$2:$BS$105)*($T$2='Offer Statistics'!$BT$2:$BT$105),0)),"/")</f>
        <v>2063</v>
      </c>
      <c r="AC8" s="375" cm="1">
        <f t="array" ref="AC8">IFERROR(INDEX('Offer Statistics'!BU$2:BU$105,MATCH(1,($A8='Offer Statistics'!$BS$2:$BS$105)*($T$2='Offer Statistics'!$BT$2:$BT$105),0)),"/")</f>
        <v>671</v>
      </c>
      <c r="AD8" s="375" cm="1">
        <f t="array" ref="AD8">IFERROR(INDEX('Offer Statistics'!BV$2:BV$105,MATCH(1,($A8='Offer Statistics'!$BS$2:$BS$105)*($T$2='Offer Statistics'!$BT$2:$BT$105),0)),"/")</f>
        <v>346</v>
      </c>
      <c r="AE8" s="375" cm="1">
        <f t="array" ref="AE8">IFERROR(INDEX('Offer Statistics'!BW$2:BW$105,MATCH(1,($A8='Offer Statistics'!$BS$2:$BS$105)*($T$2='Offer Statistics'!$BT$2:$BT$105),0)),"/")</f>
        <v>378</v>
      </c>
      <c r="AF8" s="375" cm="1">
        <f t="array" ref="AF8">IFERROR(INDEX('Offer Statistics'!BX$2:BX$105,MATCH(1,($A8='Offer Statistics'!$BS$2:$BS$105)*($T$2='Offer Statistics'!$BT$2:$BT$105),0)),"/")</f>
        <v>364</v>
      </c>
      <c r="AG8" s="375" cm="1">
        <f t="array" ref="AG8">IFERROR(INDEX('Offer Statistics'!BY$2:BY$105,MATCH(1,($A8='Offer Statistics'!$BS$2:$BS$105)*($T$2='Offer Statistics'!$BT$2:$BT$105),0)),"/")</f>
        <v>304</v>
      </c>
      <c r="AH8" s="4"/>
      <c r="AI8" s="15" t="str">
        <f t="shared" si="0"/>
        <v>JS5282</v>
      </c>
    </row>
    <row r="9" spans="1:35" ht="18" customHeight="1" x14ac:dyDescent="0.3">
      <c r="A9" s="346" t="str">
        <f>'Reference Score Calculation'!A216</f>
        <v>JS5300</v>
      </c>
      <c r="B9" s="346" t="str">
        <f>'Reference Score Calculation'!C216</f>
        <v>商學院</v>
      </c>
      <c r="C9" s="346" t="str">
        <f>'Reference Score Calculation'!D216</f>
        <v>工商管理</v>
      </c>
      <c r="D9" s="4" t="s">
        <v>1096</v>
      </c>
      <c r="E9" s="99" t="s">
        <v>2255</v>
      </c>
      <c r="F9" s="347">
        <f>'Reference Score Calculation'!G216</f>
        <v>35</v>
      </c>
      <c r="G9" s="347">
        <f>'Reference Score Calculation'!H216</f>
        <v>34.5</v>
      </c>
      <c r="H9" s="368">
        <f>計分版!H237</f>
        <v>4.0000000000000002E-9</v>
      </c>
      <c r="I9" s="439">
        <f>IF(I$1="差距(Median)",H9-F9,IF(I$1="差距(UQ)",H9-#REF!,IF(I$1="差距(LQ)",H9-G9)))</f>
        <v>-34.999999996</v>
      </c>
      <c r="J9" s="440">
        <f>IF(I$1="差距(Median)",(H9-F9)/H9,IF(I$1="差距(UQ)",(H9-#REF!)/H9,IF(I$1="差距(LQ)",(H9-G9)/H9)))</f>
        <v>-8749999999</v>
      </c>
      <c r="K9" s="365">
        <f>入學要求!C225</f>
        <v>377</v>
      </c>
      <c r="L9" s="379">
        <f>入學要求!R225</f>
        <v>0</v>
      </c>
      <c r="M9" s="15" t="s">
        <v>2369</v>
      </c>
      <c r="N9" s="435">
        <f>入學要求!D225</f>
        <v>3</v>
      </c>
      <c r="O9" s="435">
        <f>入學要求!E225</f>
        <v>4</v>
      </c>
      <c r="P9" s="435">
        <f>入學要求!F225</f>
        <v>3</v>
      </c>
      <c r="Q9" s="435">
        <f>入學要求!G225</f>
        <v>2</v>
      </c>
      <c r="R9" s="435">
        <f>入學要求!H225</f>
        <v>3</v>
      </c>
      <c r="S9" s="435">
        <f>入學要求!I225</f>
        <v>3</v>
      </c>
      <c r="T9" s="576"/>
      <c r="U9" s="365" cm="1">
        <f t="array" ref="U9">IFERROR(INDEX('Offer Statistics'!CH$2:CH$105,MATCH(1,($A9='Offer Statistics'!$BS$2:$BS$105)*($T$2='Offer Statistics'!$BT$2:$BT$105),0)),"/")</f>
        <v>340</v>
      </c>
      <c r="V9" s="375" cm="1">
        <f t="array" ref="V9">IFERROR(INDEX('Offer Statistics'!CC$2:CC$105,MATCH(1,($A9='Offer Statistics'!$BS$2:$BS$105)*($T$2='Offer Statistics'!$BT$2:$BT$105),0)),"/")</f>
        <v>340</v>
      </c>
      <c r="W9" s="375" cm="1">
        <f t="array" ref="W9">IFERROR(INDEX('Offer Statistics'!CD$2:CD$105,MATCH(1,($A9='Offer Statistics'!$BS$2:$BS$105)*($T$2='Offer Statistics'!$BT$2:$BT$105),0)),"/")</f>
        <v>0</v>
      </c>
      <c r="X9" s="375" cm="1">
        <f t="array" ref="X9">IFERROR(INDEX('Offer Statistics'!CE$2:CE$105,MATCH(1,($A9='Offer Statistics'!$BS$2:$BS$105)*($T$2='Offer Statistics'!$BT$2:$BT$105),0)),"/")</f>
        <v>0</v>
      </c>
      <c r="Y9" s="375" cm="1">
        <f t="array" ref="Y9">IFERROR(INDEX('Offer Statistics'!CF$2:CF$105,MATCH(1,($A9='Offer Statistics'!$BS$2:$BS$105)*($T$2='Offer Statistics'!$BT$2:$BT$105),0)),"/")</f>
        <v>0</v>
      </c>
      <c r="Z9" s="375" cm="1">
        <f t="array" ref="Z9">IFERROR(INDEX('Offer Statistics'!CG$2:CG$105,MATCH(1,($A9='Offer Statistics'!$BS$2:$BS$105)*($T$2='Offer Statistics'!$BT$2:$BT$105),0)),"/")</f>
        <v>0</v>
      </c>
      <c r="AA9" s="580"/>
      <c r="AB9" s="365" cm="1">
        <f t="array" ref="AB9">IFERROR(INDEX('Offer Statistics'!BZ$2:BZ$105,MATCH(1,($A9='Offer Statistics'!$BS$2:$BS$105)*($T$2='Offer Statistics'!$BT$2:$BT$105),0)),"/")</f>
        <v>3363</v>
      </c>
      <c r="AC9" s="375" cm="1">
        <f t="array" ref="AC9">IFERROR(INDEX('Offer Statistics'!BU$2:BU$105,MATCH(1,($A9='Offer Statistics'!$BS$2:$BS$105)*($T$2='Offer Statistics'!$BT$2:$BT$105),0)),"/")</f>
        <v>1176</v>
      </c>
      <c r="AD9" s="375" cm="1">
        <f t="array" ref="AD9">IFERROR(INDEX('Offer Statistics'!BV$2:BV$105,MATCH(1,($A9='Offer Statistics'!$BS$2:$BS$105)*($T$2='Offer Statistics'!$BT$2:$BT$105),0)),"/")</f>
        <v>479</v>
      </c>
      <c r="AE9" s="375" cm="1">
        <f t="array" ref="AE9">IFERROR(INDEX('Offer Statistics'!BW$2:BW$105,MATCH(1,($A9='Offer Statistics'!$BS$2:$BS$105)*($T$2='Offer Statistics'!$BT$2:$BT$105),0)),"/")</f>
        <v>477</v>
      </c>
      <c r="AF9" s="375" cm="1">
        <f t="array" ref="AF9">IFERROR(INDEX('Offer Statistics'!BX$2:BX$105,MATCH(1,($A9='Offer Statistics'!$BS$2:$BS$105)*($T$2='Offer Statistics'!$BT$2:$BT$105),0)),"/")</f>
        <v>685</v>
      </c>
      <c r="AG9" s="375" cm="1">
        <f t="array" ref="AG9">IFERROR(INDEX('Offer Statistics'!BY$2:BY$105,MATCH(1,($A9='Offer Statistics'!$BS$2:$BS$105)*($T$2='Offer Statistics'!$BT$2:$BT$105),0)),"/")</f>
        <v>546</v>
      </c>
      <c r="AI9" s="15" t="str">
        <f t="shared" si="0"/>
        <v>JS5300</v>
      </c>
    </row>
    <row r="10" spans="1:35" s="10" customFormat="1" ht="18" customHeight="1" x14ac:dyDescent="0.3">
      <c r="A10" s="346" t="str">
        <f>'Reference Score Calculation'!A217</f>
        <v>JS5311</v>
      </c>
      <c r="B10" s="346" t="str">
        <f>'Reference Score Calculation'!C217</f>
        <v>商學院</v>
      </c>
      <c r="C10" s="346" t="str">
        <f>'Reference Score Calculation'!D217</f>
        <v>工商管理學士（經濟學）</v>
      </c>
      <c r="D10" s="4" t="s">
        <v>1101</v>
      </c>
      <c r="E10" s="99" t="s">
        <v>2255</v>
      </c>
      <c r="F10" s="347">
        <f>'Reference Score Calculation'!G217</f>
        <v>38</v>
      </c>
      <c r="G10" s="347">
        <f>'Reference Score Calculation'!H217</f>
        <v>36</v>
      </c>
      <c r="H10" s="368">
        <f>計分版!H238</f>
        <v>4.0000000000000002E-9</v>
      </c>
      <c r="I10" s="439">
        <f>IF(I$1="差距(Median)",H10-F10,IF(I$1="差距(UQ)",H10-#REF!,IF(I$1="差距(LQ)",H10-G10)))</f>
        <v>-37.999999996</v>
      </c>
      <c r="J10" s="440">
        <f>IF(I$1="差距(Median)",(H10-F10)/H10,IF(I$1="差距(UQ)",(H10-#REF!)/H10,IF(I$1="差距(LQ)",(H10-G10)/H10)))</f>
        <v>-9499999999</v>
      </c>
      <c r="K10" s="365" t="str">
        <f>入學要求!C226</f>
        <v>125*</v>
      </c>
      <c r="L10" s="379">
        <f>入學要求!R226</f>
        <v>0</v>
      </c>
      <c r="M10" s="15" t="s">
        <v>2369</v>
      </c>
      <c r="N10" s="435">
        <f>入學要求!D226</f>
        <v>3</v>
      </c>
      <c r="O10" s="435">
        <f>入學要求!E226</f>
        <v>4</v>
      </c>
      <c r="P10" s="435">
        <f>入學要求!F226</f>
        <v>3</v>
      </c>
      <c r="Q10" s="435">
        <f>入學要求!G226</f>
        <v>2</v>
      </c>
      <c r="R10" s="435">
        <f>入學要求!H226</f>
        <v>3</v>
      </c>
      <c r="S10" s="435">
        <f>入學要求!I226</f>
        <v>3</v>
      </c>
      <c r="T10" s="576"/>
      <c r="U10" s="365" cm="1">
        <f t="array" ref="U10">IFERROR(INDEX('Offer Statistics'!CH$2:CH$105,MATCH(1,($A10='Offer Statistics'!$BS$2:$BS$105)*($T$2='Offer Statistics'!$BT$2:$BT$105),0)),"/")</f>
        <v>35</v>
      </c>
      <c r="V10" s="375" cm="1">
        <f t="array" ref="V10">IFERROR(INDEX('Offer Statistics'!CC$2:CC$105,MATCH(1,($A10='Offer Statistics'!$BS$2:$BS$105)*($T$2='Offer Statistics'!$BT$2:$BT$105),0)),"/")</f>
        <v>35</v>
      </c>
      <c r="W10" s="375" cm="1">
        <f t="array" ref="W10">IFERROR(INDEX('Offer Statistics'!CD$2:CD$105,MATCH(1,($A10='Offer Statistics'!$BS$2:$BS$105)*($T$2='Offer Statistics'!$BT$2:$BT$105),0)),"/")</f>
        <v>0</v>
      </c>
      <c r="X10" s="375" cm="1">
        <f t="array" ref="X10">IFERROR(INDEX('Offer Statistics'!CE$2:CE$105,MATCH(1,($A10='Offer Statistics'!$BS$2:$BS$105)*($T$2='Offer Statistics'!$BT$2:$BT$105),0)),"/")</f>
        <v>0</v>
      </c>
      <c r="Y10" s="375" cm="1">
        <f t="array" ref="Y10">IFERROR(INDEX('Offer Statistics'!CF$2:CF$105,MATCH(1,($A10='Offer Statistics'!$BS$2:$BS$105)*($T$2='Offer Statistics'!$BT$2:$BT$105),0)),"/")</f>
        <v>0</v>
      </c>
      <c r="Z10" s="375" cm="1">
        <f t="array" ref="Z10">IFERROR(INDEX('Offer Statistics'!CG$2:CG$105,MATCH(1,($A10='Offer Statistics'!$BS$2:$BS$105)*($T$2='Offer Statistics'!$BT$2:$BT$105),0)),"/")</f>
        <v>0</v>
      </c>
      <c r="AA10" s="580"/>
      <c r="AB10" s="365" cm="1">
        <f t="array" ref="AB10">IFERROR(INDEX('Offer Statistics'!BZ$2:BZ$105,MATCH(1,($A10='Offer Statistics'!$BS$2:$BS$105)*($T$2='Offer Statistics'!$BT$2:$BT$105),0)),"/")</f>
        <v>1232</v>
      </c>
      <c r="AC10" s="375" cm="1">
        <f t="array" ref="AC10">IFERROR(INDEX('Offer Statistics'!BU$2:BU$105,MATCH(1,($A10='Offer Statistics'!$BS$2:$BS$105)*($T$2='Offer Statistics'!$BT$2:$BT$105),0)),"/")</f>
        <v>130</v>
      </c>
      <c r="AD10" s="375" cm="1">
        <f t="array" ref="AD10">IFERROR(INDEX('Offer Statistics'!BV$2:BV$105,MATCH(1,($A10='Offer Statistics'!$BS$2:$BS$105)*($T$2='Offer Statistics'!$BT$2:$BT$105),0)),"/")</f>
        <v>133</v>
      </c>
      <c r="AE10" s="375" cm="1">
        <f t="array" ref="AE10">IFERROR(INDEX('Offer Statistics'!BW$2:BW$105,MATCH(1,($A10='Offer Statistics'!$BS$2:$BS$105)*($T$2='Offer Statistics'!$BT$2:$BT$105),0)),"/")</f>
        <v>285</v>
      </c>
      <c r="AF10" s="375" cm="1">
        <f t="array" ref="AF10">IFERROR(INDEX('Offer Statistics'!BX$2:BX$105,MATCH(1,($A10='Offer Statistics'!$BS$2:$BS$105)*($T$2='Offer Statistics'!$BT$2:$BT$105),0)),"/")</f>
        <v>384</v>
      </c>
      <c r="AG10" s="375" cm="1">
        <f t="array" ref="AG10">IFERROR(INDEX('Offer Statistics'!BY$2:BY$105,MATCH(1,($A10='Offer Statistics'!$BS$2:$BS$105)*($T$2='Offer Statistics'!$BT$2:$BT$105),0)),"/")</f>
        <v>300</v>
      </c>
      <c r="AH10" s="4"/>
      <c r="AI10" s="15" t="str">
        <f t="shared" si="0"/>
        <v>JS5311</v>
      </c>
    </row>
    <row r="11" spans="1:35" ht="18" customHeight="1" x14ac:dyDescent="0.3">
      <c r="A11" s="346" t="str">
        <f>'Reference Score Calculation'!A218</f>
        <v>JS5312</v>
      </c>
      <c r="B11" s="346" t="str">
        <f>'Reference Score Calculation'!C218</f>
        <v>商學院</v>
      </c>
      <c r="C11" s="346" t="str">
        <f>'Reference Score Calculation'!D218</f>
        <v>工商管理學士（金融學）</v>
      </c>
      <c r="D11" s="4" t="s">
        <v>1105</v>
      </c>
      <c r="E11" s="99" t="s">
        <v>2256</v>
      </c>
      <c r="F11" s="347">
        <f>'Reference Score Calculation'!G218</f>
        <v>49.75</v>
      </c>
      <c r="G11" s="347">
        <f>'Reference Score Calculation'!H218</f>
        <v>48.25</v>
      </c>
      <c r="H11" s="368">
        <f>計分版!H239</f>
        <v>3.3999999999999998E-9</v>
      </c>
      <c r="I11" s="439">
        <f>IF(I$1="差距(Median)",H11-F11,IF(I$1="差距(UQ)",H11-#REF!,IF(I$1="差距(LQ)",H11-G11)))</f>
        <v>-49.749999996600003</v>
      </c>
      <c r="J11" s="440">
        <f>IF(I$1="差距(Median)",(H11-F11)/H11,IF(I$1="差距(UQ)",(H11-#REF!)/H11,IF(I$1="差距(LQ)",(H11-G11)/H11)))</f>
        <v>-14632352940.176472</v>
      </c>
      <c r="K11" s="365">
        <f>入學要求!C227</f>
        <v>30</v>
      </c>
      <c r="L11" s="379">
        <f>入學要求!R227</f>
        <v>0</v>
      </c>
      <c r="M11" s="15" t="s">
        <v>2369</v>
      </c>
      <c r="N11" s="435">
        <f>入學要求!D227</f>
        <v>3</v>
      </c>
      <c r="O11" s="435">
        <f>入學要求!E227</f>
        <v>4</v>
      </c>
      <c r="P11" s="435">
        <f>入學要求!F227</f>
        <v>3</v>
      </c>
      <c r="Q11" s="435">
        <f>入學要求!G227</f>
        <v>2</v>
      </c>
      <c r="R11" s="435">
        <f>入學要求!H227</f>
        <v>3</v>
      </c>
      <c r="S11" s="435">
        <f>入學要求!I227</f>
        <v>3</v>
      </c>
      <c r="T11" s="576"/>
      <c r="U11" s="365" cm="1">
        <f t="array" ref="U11">IFERROR(INDEX('Offer Statistics'!CH$2:CH$105,MATCH(1,($A11='Offer Statistics'!$BS$2:$BS$105)*($T$2='Offer Statistics'!$BT$2:$BT$105),0)),"/")</f>
        <v>45</v>
      </c>
      <c r="V11" s="375" cm="1">
        <f t="array" ref="V11">IFERROR(INDEX('Offer Statistics'!CC$2:CC$105,MATCH(1,($A11='Offer Statistics'!$BS$2:$BS$105)*($T$2='Offer Statistics'!$BT$2:$BT$105),0)),"/")</f>
        <v>45</v>
      </c>
      <c r="W11" s="375" cm="1">
        <f t="array" ref="W11">IFERROR(INDEX('Offer Statistics'!CD$2:CD$105,MATCH(1,($A11='Offer Statistics'!$BS$2:$BS$105)*($T$2='Offer Statistics'!$BT$2:$BT$105),0)),"/")</f>
        <v>0</v>
      </c>
      <c r="X11" s="375" cm="1">
        <f t="array" ref="X11">IFERROR(INDEX('Offer Statistics'!CE$2:CE$105,MATCH(1,($A11='Offer Statistics'!$BS$2:$BS$105)*($T$2='Offer Statistics'!$BT$2:$BT$105),0)),"/")</f>
        <v>0</v>
      </c>
      <c r="Y11" s="375" cm="1">
        <f t="array" ref="Y11">IFERROR(INDEX('Offer Statistics'!CF$2:CF$105,MATCH(1,($A11='Offer Statistics'!$BS$2:$BS$105)*($T$2='Offer Statistics'!$BT$2:$BT$105),0)),"/")</f>
        <v>0</v>
      </c>
      <c r="Z11" s="375" cm="1">
        <f t="array" ref="Z11">IFERROR(INDEX('Offer Statistics'!CG$2:CG$105,MATCH(1,($A11='Offer Statistics'!$BS$2:$BS$105)*($T$2='Offer Statistics'!$BT$2:$BT$105),0)),"/")</f>
        <v>0</v>
      </c>
      <c r="AA11" s="580"/>
      <c r="AB11" s="365" cm="1">
        <f t="array" ref="AB11">IFERROR(INDEX('Offer Statistics'!BZ$2:BZ$105,MATCH(1,($A11='Offer Statistics'!$BS$2:$BS$105)*($T$2='Offer Statistics'!$BT$2:$BT$105),0)),"/")</f>
        <v>1097</v>
      </c>
      <c r="AC11" s="375" cm="1">
        <f t="array" ref="AC11">IFERROR(INDEX('Offer Statistics'!BU$2:BU$105,MATCH(1,($A11='Offer Statistics'!$BS$2:$BS$105)*($T$2='Offer Statistics'!$BT$2:$BT$105),0)),"/")</f>
        <v>185</v>
      </c>
      <c r="AD11" s="375" cm="1">
        <f t="array" ref="AD11">IFERROR(INDEX('Offer Statistics'!BV$2:BV$105,MATCH(1,($A11='Offer Statistics'!$BS$2:$BS$105)*($T$2='Offer Statistics'!$BT$2:$BT$105),0)),"/")</f>
        <v>147</v>
      </c>
      <c r="AE11" s="375" cm="1">
        <f t="array" ref="AE11">IFERROR(INDEX('Offer Statistics'!BW$2:BW$105,MATCH(1,($A11='Offer Statistics'!$BS$2:$BS$105)*($T$2='Offer Statistics'!$BT$2:$BT$105),0)),"/")</f>
        <v>206</v>
      </c>
      <c r="AF11" s="375" cm="1">
        <f t="array" ref="AF11">IFERROR(INDEX('Offer Statistics'!BX$2:BX$105,MATCH(1,($A11='Offer Statistics'!$BS$2:$BS$105)*($T$2='Offer Statistics'!$BT$2:$BT$105),0)),"/")</f>
        <v>300</v>
      </c>
      <c r="AG11" s="375" cm="1">
        <f t="array" ref="AG11">IFERROR(INDEX('Offer Statistics'!BY$2:BY$105,MATCH(1,($A11='Offer Statistics'!$BS$2:$BS$105)*($T$2='Offer Statistics'!$BT$2:$BT$105),0)),"/")</f>
        <v>259</v>
      </c>
      <c r="AI11" s="15" t="str">
        <f t="shared" si="0"/>
        <v>JS5312</v>
      </c>
    </row>
    <row r="12" spans="1:35" s="10" customFormat="1" ht="18" customHeight="1" x14ac:dyDescent="0.3">
      <c r="A12" s="346" t="str">
        <f>'Reference Score Calculation'!A219</f>
        <v>JS5313</v>
      </c>
      <c r="B12" s="346" t="str">
        <f>'Reference Score Calculation'!C219</f>
        <v>商學院</v>
      </c>
      <c r="C12" s="346" t="str">
        <f>'Reference Score Calculation'!D219</f>
        <v>工商管理學士（環球商業管理）</v>
      </c>
      <c r="D12" s="4" t="s">
        <v>1109</v>
      </c>
      <c r="E12" s="99" t="s">
        <v>2255</v>
      </c>
      <c r="F12" s="347">
        <f>'Reference Score Calculation'!G219</f>
        <v>60.5</v>
      </c>
      <c r="G12" s="347">
        <f>'Reference Score Calculation'!H219</f>
        <v>56</v>
      </c>
      <c r="H12" s="368">
        <f>計分版!H240</f>
        <v>4.0000000000000002E-9</v>
      </c>
      <c r="I12" s="439">
        <f>IF(I$1="差距(Median)",H12-F12,IF(I$1="差距(UQ)",H12-#REF!,IF(I$1="差距(LQ)",H12-G12)))</f>
        <v>-60.499999996</v>
      </c>
      <c r="J12" s="440">
        <f>IF(I$1="差距(Median)",(H12-F12)/H12,IF(I$1="差距(UQ)",(H12-#REF!)/H12,IF(I$1="差距(LQ)",(H12-G12)/H12)))</f>
        <v>-15124999998.999998</v>
      </c>
      <c r="K12" s="365">
        <f>入學要求!C228</f>
        <v>26</v>
      </c>
      <c r="L12" s="379">
        <f>入學要求!R228</f>
        <v>0</v>
      </c>
      <c r="M12" s="37" t="s">
        <v>2367</v>
      </c>
      <c r="N12" s="435">
        <f>入學要求!D228</f>
        <v>3</v>
      </c>
      <c r="O12" s="435">
        <f>入學要求!E228</f>
        <v>4</v>
      </c>
      <c r="P12" s="435">
        <f>入學要求!F228</f>
        <v>3</v>
      </c>
      <c r="Q12" s="435">
        <f>入學要求!G228</f>
        <v>2</v>
      </c>
      <c r="R12" s="435">
        <f>入學要求!H228</f>
        <v>3</v>
      </c>
      <c r="S12" s="435">
        <f>入學要求!I228</f>
        <v>3</v>
      </c>
      <c r="T12" s="576"/>
      <c r="U12" s="365" cm="1">
        <f t="array" ref="U12">IFERROR(INDEX('Offer Statistics'!CH$2:CH$105,MATCH(1,($A12='Offer Statistics'!$BS$2:$BS$105)*($T$2='Offer Statistics'!$BT$2:$BT$105),0)),"/")</f>
        <v>20</v>
      </c>
      <c r="V12" s="375" cm="1">
        <f t="array" ref="V12">IFERROR(INDEX('Offer Statistics'!CC$2:CC$105,MATCH(1,($A12='Offer Statistics'!$BS$2:$BS$105)*($T$2='Offer Statistics'!$BT$2:$BT$105),0)),"/")</f>
        <v>20</v>
      </c>
      <c r="W12" s="375" cm="1">
        <f t="array" ref="W12">IFERROR(INDEX('Offer Statistics'!CD$2:CD$105,MATCH(1,($A12='Offer Statistics'!$BS$2:$BS$105)*($T$2='Offer Statistics'!$BT$2:$BT$105),0)),"/")</f>
        <v>0</v>
      </c>
      <c r="X12" s="375" cm="1">
        <f t="array" ref="X12">IFERROR(INDEX('Offer Statistics'!CE$2:CE$105,MATCH(1,($A12='Offer Statistics'!$BS$2:$BS$105)*($T$2='Offer Statistics'!$BT$2:$BT$105),0)),"/")</f>
        <v>0</v>
      </c>
      <c r="Y12" s="375" cm="1">
        <f t="array" ref="Y12">IFERROR(INDEX('Offer Statistics'!CF$2:CF$105,MATCH(1,($A12='Offer Statistics'!$BS$2:$BS$105)*($T$2='Offer Statistics'!$BT$2:$BT$105),0)),"/")</f>
        <v>0</v>
      </c>
      <c r="Z12" s="375" cm="1">
        <f t="array" ref="Z12">IFERROR(INDEX('Offer Statistics'!CG$2:CG$105,MATCH(1,($A12='Offer Statistics'!$BS$2:$BS$105)*($T$2='Offer Statistics'!$BT$2:$BT$105),0)),"/")</f>
        <v>0</v>
      </c>
      <c r="AA12" s="580"/>
      <c r="AB12" s="365" cm="1">
        <f t="array" ref="AB12">IFERROR(INDEX('Offer Statistics'!BZ$2:BZ$105,MATCH(1,($A12='Offer Statistics'!$BS$2:$BS$105)*($T$2='Offer Statistics'!$BT$2:$BT$105),0)),"/")</f>
        <v>640</v>
      </c>
      <c r="AC12" s="375" cm="1">
        <f t="array" ref="AC12">IFERROR(INDEX('Offer Statistics'!BU$2:BU$105,MATCH(1,($A12='Offer Statistics'!$BS$2:$BS$105)*($T$2='Offer Statistics'!$BT$2:$BT$105),0)),"/")</f>
        <v>119</v>
      </c>
      <c r="AD12" s="375" cm="1">
        <f t="array" ref="AD12">IFERROR(INDEX('Offer Statistics'!BV$2:BV$105,MATCH(1,($A12='Offer Statistics'!$BS$2:$BS$105)*($T$2='Offer Statistics'!$BT$2:$BT$105),0)),"/")</f>
        <v>48</v>
      </c>
      <c r="AE12" s="375" cm="1">
        <f t="array" ref="AE12">IFERROR(INDEX('Offer Statistics'!BW$2:BW$105,MATCH(1,($A12='Offer Statistics'!$BS$2:$BS$105)*($T$2='Offer Statistics'!$BT$2:$BT$105),0)),"/")</f>
        <v>91</v>
      </c>
      <c r="AF12" s="375" cm="1">
        <f t="array" ref="AF12">IFERROR(INDEX('Offer Statistics'!BX$2:BX$105,MATCH(1,($A12='Offer Statistics'!$BS$2:$BS$105)*($T$2='Offer Statistics'!$BT$2:$BT$105),0)),"/")</f>
        <v>171</v>
      </c>
      <c r="AG12" s="375" cm="1">
        <f t="array" ref="AG12">IFERROR(INDEX('Offer Statistics'!BY$2:BY$105,MATCH(1,($A12='Offer Statistics'!$BS$2:$BS$105)*($T$2='Offer Statistics'!$BT$2:$BT$105),0)),"/")</f>
        <v>211</v>
      </c>
      <c r="AH12" s="4"/>
      <c r="AI12" s="15" t="str">
        <f t="shared" si="0"/>
        <v>JS5313</v>
      </c>
    </row>
    <row r="13" spans="1:35" ht="18" customHeight="1" x14ac:dyDescent="0.3">
      <c r="A13" s="346" t="str">
        <f>'Reference Score Calculation'!A220</f>
        <v>JS5314</v>
      </c>
      <c r="B13" s="346" t="str">
        <f>'Reference Score Calculation'!C220</f>
        <v>商學院</v>
      </c>
      <c r="C13" s="346" t="str">
        <f>'Reference Score Calculation'!D220</f>
        <v>工商管理學士（資訊系統學）</v>
      </c>
      <c r="D13" s="4" t="s">
        <v>40</v>
      </c>
      <c r="E13" s="99" t="s">
        <v>2255</v>
      </c>
      <c r="F13" s="347">
        <f>'Reference Score Calculation'!G220</f>
        <v>39.5</v>
      </c>
      <c r="G13" s="347">
        <f>'Reference Score Calculation'!H220</f>
        <v>38</v>
      </c>
      <c r="H13" s="368">
        <f>計分版!H241</f>
        <v>4.0000000000000002E-9</v>
      </c>
      <c r="I13" s="439">
        <f>IF(I$1="差距(Median)",H13-F13,IF(I$1="差距(UQ)",H13-#REF!,IF(I$1="差距(LQ)",H13-G13)))</f>
        <v>-39.499999996</v>
      </c>
      <c r="J13" s="440">
        <f>IF(I$1="差距(Median)",(H13-F13)/H13,IF(I$1="差距(UQ)",(H13-#REF!)/H13,IF(I$1="差距(LQ)",(H13-G13)/H13)))</f>
        <v>-9874999999</v>
      </c>
      <c r="K13" s="580" t="str">
        <f>入學要求!C229</f>
        <v>125*</v>
      </c>
      <c r="L13" s="379">
        <f>入學要求!R229</f>
        <v>0</v>
      </c>
      <c r="M13" s="15" t="s">
        <v>2369</v>
      </c>
      <c r="N13" s="435">
        <f>入學要求!D229</f>
        <v>3</v>
      </c>
      <c r="O13" s="435">
        <f>入學要求!E229</f>
        <v>4</v>
      </c>
      <c r="P13" s="435">
        <f>入學要求!F229</f>
        <v>3</v>
      </c>
      <c r="Q13" s="435">
        <f>入學要求!G229</f>
        <v>2</v>
      </c>
      <c r="R13" s="435">
        <f>入學要求!H229</f>
        <v>3</v>
      </c>
      <c r="S13" s="435">
        <f>入學要求!I229</f>
        <v>3</v>
      </c>
      <c r="T13" s="576"/>
      <c r="U13" s="365" cm="1">
        <f t="array" ref="U13">IFERROR(INDEX('Offer Statistics'!CH$2:CH$105,MATCH(1,($A13='Offer Statistics'!$BS$2:$BS$105)*($T$2='Offer Statistics'!$BT$2:$BT$105),0)),"/")</f>
        <v>40</v>
      </c>
      <c r="V13" s="375" cm="1">
        <f t="array" ref="V13">IFERROR(INDEX('Offer Statistics'!CC$2:CC$105,MATCH(1,($A13='Offer Statistics'!$BS$2:$BS$105)*($T$2='Offer Statistics'!$BT$2:$BT$105),0)),"/")</f>
        <v>40</v>
      </c>
      <c r="W13" s="375" cm="1">
        <f t="array" ref="W13">IFERROR(INDEX('Offer Statistics'!CD$2:CD$105,MATCH(1,($A13='Offer Statistics'!$BS$2:$BS$105)*($T$2='Offer Statistics'!$BT$2:$BT$105),0)),"/")</f>
        <v>0</v>
      </c>
      <c r="X13" s="375" cm="1">
        <f t="array" ref="X13">IFERROR(INDEX('Offer Statistics'!CE$2:CE$105,MATCH(1,($A13='Offer Statistics'!$BS$2:$BS$105)*($T$2='Offer Statistics'!$BT$2:$BT$105),0)),"/")</f>
        <v>0</v>
      </c>
      <c r="Y13" s="375" cm="1">
        <f t="array" ref="Y13">IFERROR(INDEX('Offer Statistics'!CF$2:CF$105,MATCH(1,($A13='Offer Statistics'!$BS$2:$BS$105)*($T$2='Offer Statistics'!$BT$2:$BT$105),0)),"/")</f>
        <v>0</v>
      </c>
      <c r="Z13" s="375" cm="1">
        <f t="array" ref="Z13">IFERROR(INDEX('Offer Statistics'!CG$2:CG$105,MATCH(1,($A13='Offer Statistics'!$BS$2:$BS$105)*($T$2='Offer Statistics'!$BT$2:$BT$105),0)),"/")</f>
        <v>0</v>
      </c>
      <c r="AA13" s="580"/>
      <c r="AB13" s="365" cm="1">
        <f t="array" ref="AB13">IFERROR(INDEX('Offer Statistics'!BZ$2:BZ$105,MATCH(1,($A13='Offer Statistics'!$BS$2:$BS$105)*($T$2='Offer Statistics'!$BT$2:$BT$105),0)),"/")</f>
        <v>847</v>
      </c>
      <c r="AC13" s="375" cm="1">
        <f t="array" ref="AC13">IFERROR(INDEX('Offer Statistics'!BU$2:BU$105,MATCH(1,($A13='Offer Statistics'!$BS$2:$BS$105)*($T$2='Offer Statistics'!$BT$2:$BT$105),0)),"/")</f>
        <v>129</v>
      </c>
      <c r="AD13" s="375" cm="1">
        <f t="array" ref="AD13">IFERROR(INDEX('Offer Statistics'!BV$2:BV$105,MATCH(1,($A13='Offer Statistics'!$BS$2:$BS$105)*($T$2='Offer Statistics'!$BT$2:$BT$105),0)),"/")</f>
        <v>103</v>
      </c>
      <c r="AE13" s="375" cm="1">
        <f t="array" ref="AE13">IFERROR(INDEX('Offer Statistics'!BW$2:BW$105,MATCH(1,($A13='Offer Statistics'!$BS$2:$BS$105)*($T$2='Offer Statistics'!$BT$2:$BT$105),0)),"/")</f>
        <v>189</v>
      </c>
      <c r="AF13" s="375" cm="1">
        <f t="array" ref="AF13">IFERROR(INDEX('Offer Statistics'!BX$2:BX$105,MATCH(1,($A13='Offer Statistics'!$BS$2:$BS$105)*($T$2='Offer Statistics'!$BT$2:$BT$105),0)),"/")</f>
        <v>217</v>
      </c>
      <c r="AG13" s="375" cm="1">
        <f t="array" ref="AG13">IFERROR(INDEX('Offer Statistics'!BY$2:BY$105,MATCH(1,($A13='Offer Statistics'!$BS$2:$BS$105)*($T$2='Offer Statistics'!$BT$2:$BT$105),0)),"/")</f>
        <v>209</v>
      </c>
      <c r="AI13" s="15" t="str">
        <f t="shared" si="0"/>
        <v>JS5314</v>
      </c>
    </row>
    <row r="14" spans="1:35" s="10" customFormat="1" ht="18" customHeight="1" x14ac:dyDescent="0.3">
      <c r="A14" s="346" t="str">
        <f>'Reference Score Calculation'!A221</f>
        <v>JS5315</v>
      </c>
      <c r="B14" s="346" t="str">
        <f>'Reference Score Calculation'!C221</f>
        <v>商學院</v>
      </c>
      <c r="C14" s="346" t="str">
        <f>'Reference Score Calculation'!D221</f>
        <v>工商管理學士（管理學）</v>
      </c>
      <c r="D14" s="4" t="s">
        <v>1116</v>
      </c>
      <c r="E14" s="99" t="s">
        <v>2255</v>
      </c>
      <c r="F14" s="347">
        <f>'Reference Score Calculation'!G221</f>
        <v>37</v>
      </c>
      <c r="G14" s="347">
        <f>'Reference Score Calculation'!H221</f>
        <v>35</v>
      </c>
      <c r="H14" s="368">
        <f>計分版!H242</f>
        <v>4.0000000000000002E-9</v>
      </c>
      <c r="I14" s="439">
        <f>IF(I$1="差距(Median)",H14-F14,IF(I$1="差距(UQ)",H14-#REF!,IF(I$1="差距(LQ)",H14-G14)))</f>
        <v>-36.999999996</v>
      </c>
      <c r="J14" s="440">
        <f>IF(I$1="差距(Median)",(H14-F14)/H14,IF(I$1="差距(UQ)",(H14-#REF!)/H14,IF(I$1="差距(LQ)",(H14-G14)/H14)))</f>
        <v>-9249999999</v>
      </c>
      <c r="K14" s="580"/>
      <c r="L14" s="379">
        <f>入學要求!R230</f>
        <v>0</v>
      </c>
      <c r="M14" s="15" t="s">
        <v>2369</v>
      </c>
      <c r="N14" s="435">
        <f>入學要求!D230</f>
        <v>3</v>
      </c>
      <c r="O14" s="435">
        <f>入學要求!E230</f>
        <v>4</v>
      </c>
      <c r="P14" s="435">
        <f>入學要求!F230</f>
        <v>3</v>
      </c>
      <c r="Q14" s="435">
        <f>入學要求!G230</f>
        <v>2</v>
      </c>
      <c r="R14" s="435">
        <f>入學要求!H230</f>
        <v>3</v>
      </c>
      <c r="S14" s="435">
        <f>入學要求!I230</f>
        <v>3</v>
      </c>
      <c r="T14" s="576"/>
      <c r="U14" s="365" cm="1">
        <f t="array" ref="U14">IFERROR(INDEX('Offer Statistics'!CH$2:CH$105,MATCH(1,($A14='Offer Statistics'!$BS$2:$BS$105)*($T$2='Offer Statistics'!$BT$2:$BT$105),0)),"/")</f>
        <v>24</v>
      </c>
      <c r="V14" s="375" cm="1">
        <f t="array" ref="V14">IFERROR(INDEX('Offer Statistics'!CC$2:CC$105,MATCH(1,($A14='Offer Statistics'!$BS$2:$BS$105)*($T$2='Offer Statistics'!$BT$2:$BT$105),0)),"/")</f>
        <v>24</v>
      </c>
      <c r="W14" s="375" cm="1">
        <f t="array" ref="W14">IFERROR(INDEX('Offer Statistics'!CD$2:CD$105,MATCH(1,($A14='Offer Statistics'!$BS$2:$BS$105)*($T$2='Offer Statistics'!$BT$2:$BT$105),0)),"/")</f>
        <v>0</v>
      </c>
      <c r="X14" s="375" cm="1">
        <f t="array" ref="X14">IFERROR(INDEX('Offer Statistics'!CE$2:CE$105,MATCH(1,($A14='Offer Statistics'!$BS$2:$BS$105)*($T$2='Offer Statistics'!$BT$2:$BT$105),0)),"/")</f>
        <v>0</v>
      </c>
      <c r="Y14" s="375" cm="1">
        <f t="array" ref="Y14">IFERROR(INDEX('Offer Statistics'!CF$2:CF$105,MATCH(1,($A14='Offer Statistics'!$BS$2:$BS$105)*($T$2='Offer Statistics'!$BT$2:$BT$105),0)),"/")</f>
        <v>0</v>
      </c>
      <c r="Z14" s="375" cm="1">
        <f t="array" ref="Z14">IFERROR(INDEX('Offer Statistics'!CG$2:CG$105,MATCH(1,($A14='Offer Statistics'!$BS$2:$BS$105)*($T$2='Offer Statistics'!$BT$2:$BT$105),0)),"/")</f>
        <v>0</v>
      </c>
      <c r="AA14" s="580"/>
      <c r="AB14" s="365" cm="1">
        <f t="array" ref="AB14">IFERROR(INDEX('Offer Statistics'!BZ$2:BZ$105,MATCH(1,($A14='Offer Statistics'!$BS$2:$BS$105)*($T$2='Offer Statistics'!$BT$2:$BT$105),0)),"/")</f>
        <v>1625</v>
      </c>
      <c r="AC14" s="375" cm="1">
        <f t="array" ref="AC14">IFERROR(INDEX('Offer Statistics'!BU$2:BU$105,MATCH(1,($A14='Offer Statistics'!$BS$2:$BS$105)*($T$2='Offer Statistics'!$BT$2:$BT$105),0)),"/")</f>
        <v>107</v>
      </c>
      <c r="AD14" s="375" cm="1">
        <f t="array" ref="AD14">IFERROR(INDEX('Offer Statistics'!BV$2:BV$105,MATCH(1,($A14='Offer Statistics'!$BS$2:$BS$105)*($T$2='Offer Statistics'!$BT$2:$BT$105),0)),"/")</f>
        <v>161</v>
      </c>
      <c r="AE14" s="375" cm="1">
        <f t="array" ref="AE14">IFERROR(INDEX('Offer Statistics'!BW$2:BW$105,MATCH(1,($A14='Offer Statistics'!$BS$2:$BS$105)*($T$2='Offer Statistics'!$BT$2:$BT$105),0)),"/")</f>
        <v>359</v>
      </c>
      <c r="AF14" s="375" cm="1">
        <f t="array" ref="AF14">IFERROR(INDEX('Offer Statistics'!BX$2:BX$105,MATCH(1,($A14='Offer Statistics'!$BS$2:$BS$105)*($T$2='Offer Statistics'!$BT$2:$BT$105),0)),"/")</f>
        <v>525</v>
      </c>
      <c r="AG14" s="375" cm="1">
        <f t="array" ref="AG14">IFERROR(INDEX('Offer Statistics'!BY$2:BY$105,MATCH(1,($A14='Offer Statistics'!$BS$2:$BS$105)*($T$2='Offer Statistics'!$BT$2:$BT$105),0)),"/")</f>
        <v>473</v>
      </c>
      <c r="AH14" s="4"/>
      <c r="AI14" s="15" t="str">
        <f t="shared" si="0"/>
        <v>JS5315</v>
      </c>
    </row>
    <row r="15" spans="1:35" ht="18" customHeight="1" x14ac:dyDescent="0.3">
      <c r="A15" s="346" t="str">
        <f>'Reference Score Calculation'!A222</f>
        <v>JS5316</v>
      </c>
      <c r="B15" s="346" t="str">
        <f>'Reference Score Calculation'!C222</f>
        <v>商學院</v>
      </c>
      <c r="C15" s="346" t="str">
        <f>'Reference Score Calculation'!D222</f>
        <v>工商管理學士（市場學）</v>
      </c>
      <c r="D15" s="4" t="s">
        <v>1120</v>
      </c>
      <c r="E15" s="99" t="s">
        <v>2255</v>
      </c>
      <c r="F15" s="347">
        <f>'Reference Score Calculation'!G222</f>
        <v>38</v>
      </c>
      <c r="G15" s="347">
        <f>'Reference Score Calculation'!H222</f>
        <v>34</v>
      </c>
      <c r="H15" s="368">
        <f>計分版!H243</f>
        <v>4.0000000000000002E-9</v>
      </c>
      <c r="I15" s="439">
        <f>IF(I$1="差距(Median)",H15-F15,IF(I$1="差距(UQ)",H15-#REF!,IF(I$1="差距(LQ)",H15-G15)))</f>
        <v>-37.999999996</v>
      </c>
      <c r="J15" s="440">
        <f>IF(I$1="差距(Median)",(H15-F15)/H15,IF(I$1="差距(UQ)",(H15-#REF!)/H15,IF(I$1="差距(LQ)",(H15-G15)/H15)))</f>
        <v>-9499999999</v>
      </c>
      <c r="K15" s="580"/>
      <c r="L15" s="379">
        <f>入學要求!R231</f>
        <v>0</v>
      </c>
      <c r="M15" s="15" t="s">
        <v>2369</v>
      </c>
      <c r="N15" s="435">
        <f>入學要求!D231</f>
        <v>3</v>
      </c>
      <c r="O15" s="435">
        <f>入學要求!E231</f>
        <v>4</v>
      </c>
      <c r="P15" s="435">
        <f>入學要求!F231</f>
        <v>3</v>
      </c>
      <c r="Q15" s="435">
        <f>入學要求!G231</f>
        <v>2</v>
      </c>
      <c r="R15" s="435">
        <f>入學要求!H231</f>
        <v>3</v>
      </c>
      <c r="S15" s="435">
        <f>入學要求!I231</f>
        <v>3</v>
      </c>
      <c r="T15" s="576"/>
      <c r="U15" s="365" cm="1">
        <f t="array" ref="U15">IFERROR(INDEX('Offer Statistics'!CH$2:CH$105,MATCH(1,($A15='Offer Statistics'!$BS$2:$BS$105)*($T$2='Offer Statistics'!$BT$2:$BT$105),0)),"/")</f>
        <v>25</v>
      </c>
      <c r="V15" s="375" cm="1">
        <f t="array" ref="V15">IFERROR(INDEX('Offer Statistics'!CC$2:CC$105,MATCH(1,($A15='Offer Statistics'!$BS$2:$BS$105)*($T$2='Offer Statistics'!$BT$2:$BT$105),0)),"/")</f>
        <v>25</v>
      </c>
      <c r="W15" s="375" cm="1">
        <f t="array" ref="W15">IFERROR(INDEX('Offer Statistics'!CD$2:CD$105,MATCH(1,($A15='Offer Statistics'!$BS$2:$BS$105)*($T$2='Offer Statistics'!$BT$2:$BT$105),0)),"/")</f>
        <v>0</v>
      </c>
      <c r="X15" s="375" cm="1">
        <f t="array" ref="X15">IFERROR(INDEX('Offer Statistics'!CE$2:CE$105,MATCH(1,($A15='Offer Statistics'!$BS$2:$BS$105)*($T$2='Offer Statistics'!$BT$2:$BT$105),0)),"/")</f>
        <v>0</v>
      </c>
      <c r="Y15" s="375" cm="1">
        <f t="array" ref="Y15">IFERROR(INDEX('Offer Statistics'!CF$2:CF$105,MATCH(1,($A15='Offer Statistics'!$BS$2:$BS$105)*($T$2='Offer Statistics'!$BT$2:$BT$105),0)),"/")</f>
        <v>0</v>
      </c>
      <c r="Z15" s="375" cm="1">
        <f t="array" ref="Z15">IFERROR(INDEX('Offer Statistics'!CG$2:CG$105,MATCH(1,($A15='Offer Statistics'!$BS$2:$BS$105)*($T$2='Offer Statistics'!$BT$2:$BT$105),0)),"/")</f>
        <v>0</v>
      </c>
      <c r="AA15" s="580"/>
      <c r="AB15" s="365" cm="1">
        <f t="array" ref="AB15">IFERROR(INDEX('Offer Statistics'!BZ$2:BZ$105,MATCH(1,($A15='Offer Statistics'!$BS$2:$BS$105)*($T$2='Offer Statistics'!$BT$2:$BT$105),0)),"/")</f>
        <v>1776</v>
      </c>
      <c r="AC15" s="375" cm="1">
        <f t="array" ref="AC15">IFERROR(INDEX('Offer Statistics'!BU$2:BU$105,MATCH(1,($A15='Offer Statistics'!$BS$2:$BS$105)*($T$2='Offer Statistics'!$BT$2:$BT$105),0)),"/")</f>
        <v>138</v>
      </c>
      <c r="AD15" s="375" cm="1">
        <f t="array" ref="AD15">IFERROR(INDEX('Offer Statistics'!BV$2:BV$105,MATCH(1,($A15='Offer Statistics'!$BS$2:$BS$105)*($T$2='Offer Statistics'!$BT$2:$BT$105),0)),"/")</f>
        <v>218</v>
      </c>
      <c r="AE15" s="375" cm="1">
        <f t="array" ref="AE15">IFERROR(INDEX('Offer Statistics'!BW$2:BW$105,MATCH(1,($A15='Offer Statistics'!$BS$2:$BS$105)*($T$2='Offer Statistics'!$BT$2:$BT$105),0)),"/")</f>
        <v>387</v>
      </c>
      <c r="AF15" s="375" cm="1">
        <f t="array" ref="AF15">IFERROR(INDEX('Offer Statistics'!BX$2:BX$105,MATCH(1,($A15='Offer Statistics'!$BS$2:$BS$105)*($T$2='Offer Statistics'!$BT$2:$BT$105),0)),"/")</f>
        <v>535</v>
      </c>
      <c r="AG15" s="375" cm="1">
        <f t="array" ref="AG15">IFERROR(INDEX('Offer Statistics'!BY$2:BY$105,MATCH(1,($A15='Offer Statistics'!$BS$2:$BS$105)*($T$2='Offer Statistics'!$BT$2:$BT$105),0)),"/")</f>
        <v>498</v>
      </c>
      <c r="AI15" s="15" t="str">
        <f t="shared" si="0"/>
        <v>JS5316</v>
      </c>
    </row>
    <row r="16" spans="1:35" s="10" customFormat="1" ht="18" customHeight="1" x14ac:dyDescent="0.3">
      <c r="A16" s="346" t="str">
        <f>'Reference Score Calculation'!A223</f>
        <v>JS5317</v>
      </c>
      <c r="B16" s="346" t="str">
        <f>'Reference Score Calculation'!C223</f>
        <v>商學院</v>
      </c>
      <c r="C16" s="346" t="str">
        <f>'Reference Score Calculation'!D223</f>
        <v>工商管理學士（營運管理學）</v>
      </c>
      <c r="D16" s="4" t="s">
        <v>1124</v>
      </c>
      <c r="E16" s="99" t="s">
        <v>2255</v>
      </c>
      <c r="F16" s="347" t="str">
        <f>'Reference Score Calculation'!G223</f>
        <v>/</v>
      </c>
      <c r="G16" s="347" t="str">
        <f>'Reference Score Calculation'!H223</f>
        <v>/</v>
      </c>
      <c r="H16" s="368">
        <f>計分版!H244</f>
        <v>4.0000000000000002E-9</v>
      </c>
      <c r="I16" s="441" t="s">
        <v>1978</v>
      </c>
      <c r="J16" s="442" t="s">
        <v>1978</v>
      </c>
      <c r="K16" s="580"/>
      <c r="L16" s="379">
        <f>入學要求!R232</f>
        <v>0</v>
      </c>
      <c r="M16" s="15" t="s">
        <v>2369</v>
      </c>
      <c r="N16" s="435">
        <f>入學要求!D232</f>
        <v>3</v>
      </c>
      <c r="O16" s="435">
        <f>入學要求!E232</f>
        <v>4</v>
      </c>
      <c r="P16" s="435">
        <f>入學要求!F232</f>
        <v>3</v>
      </c>
      <c r="Q16" s="435">
        <f>入學要求!G232</f>
        <v>2</v>
      </c>
      <c r="R16" s="435">
        <f>入學要求!H232</f>
        <v>3</v>
      </c>
      <c r="S16" s="435">
        <f>入學要求!I232</f>
        <v>3</v>
      </c>
      <c r="T16" s="576"/>
      <c r="U16" s="365" cm="1">
        <f t="array" ref="U16">IFERROR(INDEX('Offer Statistics'!CH$2:CH$105,MATCH(1,($A16='Offer Statistics'!$BS$2:$BS$105)*($T$2='Offer Statistics'!$BT$2:$BT$105),0)),"/")</f>
        <v>4</v>
      </c>
      <c r="V16" s="375" cm="1">
        <f t="array" ref="V16">IFERROR(INDEX('Offer Statistics'!CC$2:CC$105,MATCH(1,($A16='Offer Statistics'!$BS$2:$BS$105)*($T$2='Offer Statistics'!$BT$2:$BT$105),0)),"/")</f>
        <v>4</v>
      </c>
      <c r="W16" s="375" cm="1">
        <f t="array" ref="W16">IFERROR(INDEX('Offer Statistics'!CD$2:CD$105,MATCH(1,($A16='Offer Statistics'!$BS$2:$BS$105)*($T$2='Offer Statistics'!$BT$2:$BT$105),0)),"/")</f>
        <v>0</v>
      </c>
      <c r="X16" s="375" cm="1">
        <f t="array" ref="X16">IFERROR(INDEX('Offer Statistics'!CE$2:CE$105,MATCH(1,($A16='Offer Statistics'!$BS$2:$BS$105)*($T$2='Offer Statistics'!$BT$2:$BT$105),0)),"/")</f>
        <v>0</v>
      </c>
      <c r="Y16" s="375" cm="1">
        <f t="array" ref="Y16">IFERROR(INDEX('Offer Statistics'!CF$2:CF$105,MATCH(1,($A16='Offer Statistics'!$BS$2:$BS$105)*($T$2='Offer Statistics'!$BT$2:$BT$105),0)),"/")</f>
        <v>0</v>
      </c>
      <c r="Z16" s="375" cm="1">
        <f t="array" ref="Z16">IFERROR(INDEX('Offer Statistics'!CG$2:CG$105,MATCH(1,($A16='Offer Statistics'!$BS$2:$BS$105)*($T$2='Offer Statistics'!$BT$2:$BT$105),0)),"/")</f>
        <v>0</v>
      </c>
      <c r="AA16" s="580"/>
      <c r="AB16" s="365" cm="1">
        <f t="array" ref="AB16">IFERROR(INDEX('Offer Statistics'!BZ$2:BZ$105,MATCH(1,($A16='Offer Statistics'!$BS$2:$BS$105)*($T$2='Offer Statistics'!$BT$2:$BT$105),0)),"/")</f>
        <v>885</v>
      </c>
      <c r="AC16" s="375" cm="1">
        <f t="array" ref="AC16">IFERROR(INDEX('Offer Statistics'!BU$2:BU$105,MATCH(1,($A16='Offer Statistics'!$BS$2:$BS$105)*($T$2='Offer Statistics'!$BT$2:$BT$105),0)),"/")</f>
        <v>31</v>
      </c>
      <c r="AD16" s="375" cm="1">
        <f t="array" ref="AD16">IFERROR(INDEX('Offer Statistics'!BV$2:BV$105,MATCH(1,($A16='Offer Statistics'!$BS$2:$BS$105)*($T$2='Offer Statistics'!$BT$2:$BT$105),0)),"/")</f>
        <v>85</v>
      </c>
      <c r="AE16" s="375" cm="1">
        <f t="array" ref="AE16">IFERROR(INDEX('Offer Statistics'!BW$2:BW$105,MATCH(1,($A16='Offer Statistics'!$BS$2:$BS$105)*($T$2='Offer Statistics'!$BT$2:$BT$105),0)),"/")</f>
        <v>181</v>
      </c>
      <c r="AF16" s="375" cm="1">
        <f t="array" ref="AF16">IFERROR(INDEX('Offer Statistics'!BX$2:BX$105,MATCH(1,($A16='Offer Statistics'!$BS$2:$BS$105)*($T$2='Offer Statistics'!$BT$2:$BT$105),0)),"/")</f>
        <v>305</v>
      </c>
      <c r="AG16" s="375" cm="1">
        <f t="array" ref="AG16">IFERROR(INDEX('Offer Statistics'!BY$2:BY$105,MATCH(1,($A16='Offer Statistics'!$BS$2:$BS$105)*($T$2='Offer Statistics'!$BT$2:$BT$105),0)),"/")</f>
        <v>283</v>
      </c>
      <c r="AH16" s="4"/>
      <c r="AI16" s="15" t="str">
        <f t="shared" si="0"/>
        <v>JS5317</v>
      </c>
    </row>
    <row r="17" spans="1:35" ht="18" customHeight="1" x14ac:dyDescent="0.3">
      <c r="A17" s="346" t="str">
        <f>'Reference Score Calculation'!A224</f>
        <v>JS5318</v>
      </c>
      <c r="B17" s="346" t="str">
        <f>'Reference Score Calculation'!C224</f>
        <v>商學院</v>
      </c>
      <c r="C17" s="346" t="str">
        <f>'Reference Score Calculation'!D224</f>
        <v>工商管理學士（專業會計學）</v>
      </c>
      <c r="D17" s="4" t="s">
        <v>1128</v>
      </c>
      <c r="E17" s="99" t="s">
        <v>2255</v>
      </c>
      <c r="F17" s="347">
        <f>'Reference Score Calculation'!G224</f>
        <v>39.5</v>
      </c>
      <c r="G17" s="347">
        <f>'Reference Score Calculation'!H224</f>
        <v>38</v>
      </c>
      <c r="H17" s="368">
        <f>計分版!H245</f>
        <v>4.0000000000000002E-9</v>
      </c>
      <c r="I17" s="439">
        <f>IF(I$1="差距(Median)",H17-F17,IF(I$1="差距(UQ)",H17-#REF!,IF(I$1="差距(LQ)",H17-G17)))</f>
        <v>-39.499999996</v>
      </c>
      <c r="J17" s="440">
        <f>IF(I$1="差距(Median)",(H17-F17)/H17,IF(I$1="差距(UQ)",(H17-#REF!)/H17,IF(I$1="差距(LQ)",(H17-G17)/H17)))</f>
        <v>-9874999999</v>
      </c>
      <c r="K17" s="365">
        <f>入學要求!C233</f>
        <v>60</v>
      </c>
      <c r="L17" s="379">
        <f>入學要求!R233</f>
        <v>0</v>
      </c>
      <c r="M17" s="15" t="s">
        <v>2369</v>
      </c>
      <c r="N17" s="435">
        <f>入學要求!D233</f>
        <v>3</v>
      </c>
      <c r="O17" s="435">
        <f>入學要求!E233</f>
        <v>4</v>
      </c>
      <c r="P17" s="435">
        <f>入學要求!F233</f>
        <v>3</v>
      </c>
      <c r="Q17" s="435">
        <f>入學要求!G233</f>
        <v>2</v>
      </c>
      <c r="R17" s="435">
        <f>入學要求!H233</f>
        <v>3</v>
      </c>
      <c r="S17" s="435">
        <f>入學要求!I233</f>
        <v>3</v>
      </c>
      <c r="T17" s="576"/>
      <c r="U17" s="365" cm="1">
        <f t="array" ref="U17">IFERROR(INDEX('Offer Statistics'!CH$2:CH$105,MATCH(1,($A17='Offer Statistics'!$BS$2:$BS$105)*($T$2='Offer Statistics'!$BT$2:$BT$105),0)),"/")</f>
        <v>70</v>
      </c>
      <c r="V17" s="375" cm="1">
        <f t="array" ref="V17">IFERROR(INDEX('Offer Statistics'!CC$2:CC$105,MATCH(1,($A17='Offer Statistics'!$BS$2:$BS$105)*($T$2='Offer Statistics'!$BT$2:$BT$105),0)),"/")</f>
        <v>70</v>
      </c>
      <c r="W17" s="375" cm="1">
        <f t="array" ref="W17">IFERROR(INDEX('Offer Statistics'!CD$2:CD$105,MATCH(1,($A17='Offer Statistics'!$BS$2:$BS$105)*($T$2='Offer Statistics'!$BT$2:$BT$105),0)),"/")</f>
        <v>0</v>
      </c>
      <c r="X17" s="375" cm="1">
        <f t="array" ref="X17">IFERROR(INDEX('Offer Statistics'!CE$2:CE$105,MATCH(1,($A17='Offer Statistics'!$BS$2:$BS$105)*($T$2='Offer Statistics'!$BT$2:$BT$105),0)),"/")</f>
        <v>0</v>
      </c>
      <c r="Y17" s="375" cm="1">
        <f t="array" ref="Y17">IFERROR(INDEX('Offer Statistics'!CF$2:CF$105,MATCH(1,($A17='Offer Statistics'!$BS$2:$BS$105)*($T$2='Offer Statistics'!$BT$2:$BT$105),0)),"/")</f>
        <v>0</v>
      </c>
      <c r="Z17" s="375" cm="1">
        <f t="array" ref="Z17">IFERROR(INDEX('Offer Statistics'!CG$2:CG$105,MATCH(1,($A17='Offer Statistics'!$BS$2:$BS$105)*($T$2='Offer Statistics'!$BT$2:$BT$105),0)),"/")</f>
        <v>0</v>
      </c>
      <c r="AA17" s="580"/>
      <c r="AB17" s="365" cm="1">
        <f t="array" ref="AB17">IFERROR(INDEX('Offer Statistics'!BZ$2:BZ$105,MATCH(1,($A17='Offer Statistics'!$BS$2:$BS$105)*($T$2='Offer Statistics'!$BT$2:$BT$105),0)),"/")</f>
        <v>1314</v>
      </c>
      <c r="AC17" s="375" cm="1">
        <f t="array" ref="AC17">IFERROR(INDEX('Offer Statistics'!BU$2:BU$105,MATCH(1,($A17='Offer Statistics'!$BS$2:$BS$105)*($T$2='Offer Statistics'!$BT$2:$BT$105),0)),"/")</f>
        <v>233</v>
      </c>
      <c r="AD17" s="375" cm="1">
        <f t="array" ref="AD17">IFERROR(INDEX('Offer Statistics'!BV$2:BV$105,MATCH(1,($A17='Offer Statistics'!$BS$2:$BS$105)*($T$2='Offer Statistics'!$BT$2:$BT$105),0)),"/")</f>
        <v>158</v>
      </c>
      <c r="AE17" s="375" cm="1">
        <f t="array" ref="AE17">IFERROR(INDEX('Offer Statistics'!BW$2:BW$105,MATCH(1,($A17='Offer Statistics'!$BS$2:$BS$105)*($T$2='Offer Statistics'!$BT$2:$BT$105),0)),"/")</f>
        <v>288</v>
      </c>
      <c r="AF17" s="375" cm="1">
        <f t="array" ref="AF17">IFERROR(INDEX('Offer Statistics'!BX$2:BX$105,MATCH(1,($A17='Offer Statistics'!$BS$2:$BS$105)*($T$2='Offer Statistics'!$BT$2:$BT$105),0)),"/")</f>
        <v>328</v>
      </c>
      <c r="AG17" s="375" cm="1">
        <f t="array" ref="AG17">IFERROR(INDEX('Offer Statistics'!BY$2:BY$105,MATCH(1,($A17='Offer Statistics'!$BS$2:$BS$105)*($T$2='Offer Statistics'!$BT$2:$BT$105),0)),"/")</f>
        <v>307</v>
      </c>
      <c r="AI17" s="15" t="str">
        <f t="shared" si="0"/>
        <v>JS5318</v>
      </c>
    </row>
    <row r="18" spans="1:35" s="10" customFormat="1" ht="18" customHeight="1" x14ac:dyDescent="0.3">
      <c r="A18" s="346" t="str">
        <f>'Reference Score Calculation'!A225</f>
        <v>JS5331</v>
      </c>
      <c r="B18" s="346" t="str">
        <f>'Reference Score Calculation'!C225</f>
        <v>商學院</v>
      </c>
      <c r="C18" s="346" t="str">
        <f>'Reference Score Calculation'!D225</f>
        <v>理學士（經濟及金融學）</v>
      </c>
      <c r="D18" s="4" t="s">
        <v>1132</v>
      </c>
      <c r="E18" s="99" t="s">
        <v>2256</v>
      </c>
      <c r="F18" s="347">
        <f>'Reference Score Calculation'!G225</f>
        <v>52.75</v>
      </c>
      <c r="G18" s="347">
        <f>'Reference Score Calculation'!H225</f>
        <v>52</v>
      </c>
      <c r="H18" s="368">
        <f>計分版!H246</f>
        <v>3.3999999999999998E-9</v>
      </c>
      <c r="I18" s="439">
        <f>IF(I$1="差距(Median)",H18-F18,IF(I$1="差距(UQ)",H18-#REF!,IF(I$1="差距(LQ)",H18-G18)))</f>
        <v>-52.749999996600003</v>
      </c>
      <c r="J18" s="440">
        <f>IF(I$1="差距(Median)",(H18-F18)/H18,IF(I$1="差距(UQ)",(H18-#REF!)/H18,IF(I$1="差距(LQ)",(H18-G18)/H18)))</f>
        <v>-15514705881.352943</v>
      </c>
      <c r="K18" s="365">
        <f>入學要求!C234</f>
        <v>26</v>
      </c>
      <c r="L18" s="379">
        <f>入學要求!R234</f>
        <v>0</v>
      </c>
      <c r="M18" s="37" t="s">
        <v>2367</v>
      </c>
      <c r="N18" s="435">
        <f>入學要求!D234</f>
        <v>3</v>
      </c>
      <c r="O18" s="435">
        <f>入學要求!E234</f>
        <v>4</v>
      </c>
      <c r="P18" s="435">
        <f>入學要求!F234</f>
        <v>3</v>
      </c>
      <c r="Q18" s="435">
        <f>入學要求!G234</f>
        <v>2</v>
      </c>
      <c r="R18" s="435">
        <f>入學要求!H234</f>
        <v>3</v>
      </c>
      <c r="S18" s="435">
        <f>入學要求!I234</f>
        <v>3</v>
      </c>
      <c r="T18" s="576"/>
      <c r="U18" s="365" cm="1">
        <f t="array" ref="U18">IFERROR(INDEX('Offer Statistics'!CH$2:CH$105,MATCH(1,($A18='Offer Statistics'!$BS$2:$BS$105)*($T$2='Offer Statistics'!$BT$2:$BT$105),0)),"/")</f>
        <v>27</v>
      </c>
      <c r="V18" s="375" cm="1">
        <f t="array" ref="V18">IFERROR(INDEX('Offer Statistics'!CC$2:CC$105,MATCH(1,($A18='Offer Statistics'!$BS$2:$BS$105)*($T$2='Offer Statistics'!$BT$2:$BT$105),0)),"/")</f>
        <v>27</v>
      </c>
      <c r="W18" s="375" cm="1">
        <f t="array" ref="W18">IFERROR(INDEX('Offer Statistics'!CD$2:CD$105,MATCH(1,($A18='Offer Statistics'!$BS$2:$BS$105)*($T$2='Offer Statistics'!$BT$2:$BT$105),0)),"/")</f>
        <v>0</v>
      </c>
      <c r="X18" s="375" cm="1">
        <f t="array" ref="X18">IFERROR(INDEX('Offer Statistics'!CE$2:CE$105,MATCH(1,($A18='Offer Statistics'!$BS$2:$BS$105)*($T$2='Offer Statistics'!$BT$2:$BT$105),0)),"/")</f>
        <v>0</v>
      </c>
      <c r="Y18" s="375" cm="1">
        <f t="array" ref="Y18">IFERROR(INDEX('Offer Statistics'!CF$2:CF$105,MATCH(1,($A18='Offer Statistics'!$BS$2:$BS$105)*($T$2='Offer Statistics'!$BT$2:$BT$105),0)),"/")</f>
        <v>0</v>
      </c>
      <c r="Z18" s="375" cm="1">
        <f t="array" ref="Z18">IFERROR(INDEX('Offer Statistics'!CG$2:CG$105,MATCH(1,($A18='Offer Statistics'!$BS$2:$BS$105)*($T$2='Offer Statistics'!$BT$2:$BT$105),0)),"/")</f>
        <v>0</v>
      </c>
      <c r="AA18" s="580"/>
      <c r="AB18" s="365" cm="1">
        <f t="array" ref="AB18">IFERROR(INDEX('Offer Statistics'!BZ$2:BZ$105,MATCH(1,($A18='Offer Statistics'!$BS$2:$BS$105)*($T$2='Offer Statistics'!$BT$2:$BT$105),0)),"/")</f>
        <v>839</v>
      </c>
      <c r="AC18" s="375" cm="1">
        <f t="array" ref="AC18">IFERROR(INDEX('Offer Statistics'!BU$2:BU$105,MATCH(1,($A18='Offer Statistics'!$BS$2:$BS$105)*($T$2='Offer Statistics'!$BT$2:$BT$105),0)),"/")</f>
        <v>144</v>
      </c>
      <c r="AD18" s="375" cm="1">
        <f t="array" ref="AD18">IFERROR(INDEX('Offer Statistics'!BV$2:BV$105,MATCH(1,($A18='Offer Statistics'!$BS$2:$BS$105)*($T$2='Offer Statistics'!$BT$2:$BT$105),0)),"/")</f>
        <v>114</v>
      </c>
      <c r="AE18" s="375" cm="1">
        <f t="array" ref="AE18">IFERROR(INDEX('Offer Statistics'!BW$2:BW$105,MATCH(1,($A18='Offer Statistics'!$BS$2:$BS$105)*($T$2='Offer Statistics'!$BT$2:$BT$105),0)),"/")</f>
        <v>170</v>
      </c>
      <c r="AF18" s="375" cm="1">
        <f t="array" ref="AF18">IFERROR(INDEX('Offer Statistics'!BX$2:BX$105,MATCH(1,($A18='Offer Statistics'!$BS$2:$BS$105)*($T$2='Offer Statistics'!$BT$2:$BT$105),0)),"/")</f>
        <v>205</v>
      </c>
      <c r="AG18" s="375" cm="1">
        <f t="array" ref="AG18">IFERROR(INDEX('Offer Statistics'!BY$2:BY$105,MATCH(1,($A18='Offer Statistics'!$BS$2:$BS$105)*($T$2='Offer Statistics'!$BT$2:$BT$105),0)),"/")</f>
        <v>206</v>
      </c>
      <c r="AH18" s="4"/>
      <c r="AI18" s="15" t="str">
        <f t="shared" si="0"/>
        <v>JS5331</v>
      </c>
    </row>
    <row r="19" spans="1:35" ht="18" customHeight="1" x14ac:dyDescent="0.3">
      <c r="A19" s="346" t="str">
        <f>'Reference Score Calculation'!A226</f>
        <v>JS5332</v>
      </c>
      <c r="B19" s="346" t="str">
        <f>'Reference Score Calculation'!C226</f>
        <v>商學院</v>
      </c>
      <c r="C19" s="346" t="str">
        <f>'Reference Score Calculation'!D226</f>
        <v>理學士（量化金融學）</v>
      </c>
      <c r="D19" s="4" t="s">
        <v>843</v>
      </c>
      <c r="E19" s="99" t="s">
        <v>2256</v>
      </c>
      <c r="F19" s="347">
        <f>'Reference Score Calculation'!G226</f>
        <v>63.25</v>
      </c>
      <c r="G19" s="347">
        <f>'Reference Score Calculation'!H226</f>
        <v>60.25</v>
      </c>
      <c r="H19" s="368">
        <f>計分版!H247</f>
        <v>3.3999999999999998E-9</v>
      </c>
      <c r="I19" s="439">
        <f>IF(I$1="差距(Median)",H19-F19,IF(I$1="差距(UQ)",H19-#REF!,IF(I$1="差距(LQ)",H19-G19)))</f>
        <v>-63.249999996600003</v>
      </c>
      <c r="J19" s="440">
        <f>IF(I$1="差距(Median)",(H19-F19)/H19,IF(I$1="差距(UQ)",(H19-#REF!)/H19,IF(I$1="差距(LQ)",(H19-G19)/H19)))</f>
        <v>-18602941175.470589</v>
      </c>
      <c r="K19" s="365">
        <f>入學要求!C235</f>
        <v>20</v>
      </c>
      <c r="L19" s="379">
        <f>入學要求!R235</f>
        <v>0</v>
      </c>
      <c r="M19" s="37" t="s">
        <v>2367</v>
      </c>
      <c r="N19" s="435">
        <f>入學要求!D235</f>
        <v>3</v>
      </c>
      <c r="O19" s="435">
        <f>入學要求!E235</f>
        <v>4</v>
      </c>
      <c r="P19" s="435">
        <f>入學要求!F235</f>
        <v>3</v>
      </c>
      <c r="Q19" s="435">
        <f>入學要求!G235</f>
        <v>2</v>
      </c>
      <c r="R19" s="435">
        <f>入學要求!H235</f>
        <v>3</v>
      </c>
      <c r="S19" s="435">
        <f>入學要求!I235</f>
        <v>3</v>
      </c>
      <c r="T19" s="576"/>
      <c r="U19" s="365" cm="1">
        <f t="array" ref="U19">IFERROR(INDEX('Offer Statistics'!CH$2:CH$105,MATCH(1,($A19='Offer Statistics'!$BS$2:$BS$105)*($T$2='Offer Statistics'!$BT$2:$BT$105),0)),"/")</f>
        <v>20</v>
      </c>
      <c r="V19" s="375" cm="1">
        <f t="array" ref="V19">IFERROR(INDEX('Offer Statistics'!CC$2:CC$105,MATCH(1,($A19='Offer Statistics'!$BS$2:$BS$105)*($T$2='Offer Statistics'!$BT$2:$BT$105),0)),"/")</f>
        <v>20</v>
      </c>
      <c r="W19" s="375" cm="1">
        <f t="array" ref="W19">IFERROR(INDEX('Offer Statistics'!CD$2:CD$105,MATCH(1,($A19='Offer Statistics'!$BS$2:$BS$105)*($T$2='Offer Statistics'!$BT$2:$BT$105),0)),"/")</f>
        <v>0</v>
      </c>
      <c r="X19" s="375" cm="1">
        <f t="array" ref="X19">IFERROR(INDEX('Offer Statistics'!CE$2:CE$105,MATCH(1,($A19='Offer Statistics'!$BS$2:$BS$105)*($T$2='Offer Statistics'!$BT$2:$BT$105),0)),"/")</f>
        <v>0</v>
      </c>
      <c r="Y19" s="375" cm="1">
        <f t="array" ref="Y19">IFERROR(INDEX('Offer Statistics'!CF$2:CF$105,MATCH(1,($A19='Offer Statistics'!$BS$2:$BS$105)*($T$2='Offer Statistics'!$BT$2:$BT$105),0)),"/")</f>
        <v>0</v>
      </c>
      <c r="Z19" s="375" cm="1">
        <f t="array" ref="Z19">IFERROR(INDEX('Offer Statistics'!CG$2:CG$105,MATCH(1,($A19='Offer Statistics'!$BS$2:$BS$105)*($T$2='Offer Statistics'!$BT$2:$BT$105),0)),"/")</f>
        <v>0</v>
      </c>
      <c r="AA19" s="580"/>
      <c r="AB19" s="365" cm="1">
        <f t="array" ref="AB19">IFERROR(INDEX('Offer Statistics'!BZ$2:BZ$105,MATCH(1,($A19='Offer Statistics'!$BS$2:$BS$105)*($T$2='Offer Statistics'!$BT$2:$BT$105),0)),"/")</f>
        <v>411</v>
      </c>
      <c r="AC19" s="375" cm="1">
        <f t="array" ref="AC19">IFERROR(INDEX('Offer Statistics'!BU$2:BU$105,MATCH(1,($A19='Offer Statistics'!$BS$2:$BS$105)*($T$2='Offer Statistics'!$BT$2:$BT$105),0)),"/")</f>
        <v>104</v>
      </c>
      <c r="AD19" s="375" cm="1">
        <f t="array" ref="AD19">IFERROR(INDEX('Offer Statistics'!BV$2:BV$105,MATCH(1,($A19='Offer Statistics'!$BS$2:$BS$105)*($T$2='Offer Statistics'!$BT$2:$BT$105),0)),"/")</f>
        <v>36</v>
      </c>
      <c r="AE19" s="375" cm="1">
        <f t="array" ref="AE19">IFERROR(INDEX('Offer Statistics'!BW$2:BW$105,MATCH(1,($A19='Offer Statistics'!$BS$2:$BS$105)*($T$2='Offer Statistics'!$BT$2:$BT$105),0)),"/")</f>
        <v>73</v>
      </c>
      <c r="AF19" s="375" cm="1">
        <f t="array" ref="AF19">IFERROR(INDEX('Offer Statistics'!BX$2:BX$105,MATCH(1,($A19='Offer Statistics'!$BS$2:$BS$105)*($T$2='Offer Statistics'!$BT$2:$BT$105),0)),"/")</f>
        <v>94</v>
      </c>
      <c r="AG19" s="375" cm="1">
        <f t="array" ref="AG19">IFERROR(INDEX('Offer Statistics'!BY$2:BY$105,MATCH(1,($A19='Offer Statistics'!$BS$2:$BS$105)*($T$2='Offer Statistics'!$BT$2:$BT$105),0)),"/")</f>
        <v>104</v>
      </c>
      <c r="AI19" s="15" t="str">
        <f t="shared" si="0"/>
        <v>JS5332</v>
      </c>
    </row>
    <row r="20" spans="1:35" s="10" customFormat="1" ht="18" customHeight="1" x14ac:dyDescent="0.3">
      <c r="A20" s="346" t="str">
        <f>'Reference Score Calculation'!A227</f>
        <v>JS5411</v>
      </c>
      <c r="B20" s="346" t="str">
        <f>'Reference Score Calculation'!C227</f>
        <v>人文社會科學學院</v>
      </c>
      <c r="C20" s="346" t="str">
        <f>'Reference Score Calculation'!D227</f>
        <v>理學士（環球中國研究）</v>
      </c>
      <c r="D20" s="4" t="s">
        <v>1139</v>
      </c>
      <c r="E20" s="99" t="s">
        <v>2257</v>
      </c>
      <c r="F20" s="347">
        <f>'Reference Score Calculation'!G227</f>
        <v>30</v>
      </c>
      <c r="G20" s="347">
        <f>'Reference Score Calculation'!H227</f>
        <v>28.5</v>
      </c>
      <c r="H20" s="368">
        <f>計分版!H248</f>
        <v>3.5500000000000004E-9</v>
      </c>
      <c r="I20" s="439">
        <f>IF(I$1="差距(Median)",H20-F20,IF(I$1="差距(UQ)",H20-#REF!,IF(I$1="差距(LQ)",H20-G20)))</f>
        <v>-29.999999996450001</v>
      </c>
      <c r="J20" s="440">
        <f>IF(I$1="差距(Median)",(H20-F20)/H20,IF(I$1="差距(UQ)",(H20-#REF!)/H20,IF(I$1="差距(LQ)",(H20-G20)/H20)))</f>
        <v>-8450704224.3521118</v>
      </c>
      <c r="K20" s="365">
        <f>入學要求!C236</f>
        <v>50</v>
      </c>
      <c r="L20" s="379">
        <f>入學要求!R236</f>
        <v>0</v>
      </c>
      <c r="M20" s="15" t="s">
        <v>2369</v>
      </c>
      <c r="N20" s="435">
        <f>入學要求!D236</f>
        <v>3</v>
      </c>
      <c r="O20" s="435">
        <f>入學要求!E236</f>
        <v>3</v>
      </c>
      <c r="P20" s="435">
        <f>入學要求!F236</f>
        <v>2</v>
      </c>
      <c r="Q20" s="435">
        <f>入學要求!G236</f>
        <v>2</v>
      </c>
      <c r="R20" s="435">
        <f>入學要求!H236</f>
        <v>3</v>
      </c>
      <c r="S20" s="435">
        <f>入學要求!I236</f>
        <v>3</v>
      </c>
      <c r="T20" s="576"/>
      <c r="U20" s="365" cm="1">
        <f t="array" ref="U20">IFERROR(INDEX('Offer Statistics'!CH$2:CH$105,MATCH(1,($A20='Offer Statistics'!$BS$2:$BS$105)*($T$2='Offer Statistics'!$BT$2:$BT$105),0)),"/")</f>
        <v>56</v>
      </c>
      <c r="V20" s="375" cm="1">
        <f t="array" ref="V20">IFERROR(INDEX('Offer Statistics'!CC$2:CC$105,MATCH(1,($A20='Offer Statistics'!$BS$2:$BS$105)*($T$2='Offer Statistics'!$BT$2:$BT$105),0)),"/")</f>
        <v>50</v>
      </c>
      <c r="W20" s="375" cm="1">
        <f t="array" ref="W20">IFERROR(INDEX('Offer Statistics'!CD$2:CD$105,MATCH(1,($A20='Offer Statistics'!$BS$2:$BS$105)*($T$2='Offer Statistics'!$BT$2:$BT$105),0)),"/")</f>
        <v>2</v>
      </c>
      <c r="X20" s="375" cm="1">
        <f t="array" ref="X20">IFERROR(INDEX('Offer Statistics'!CE$2:CE$105,MATCH(1,($A20='Offer Statistics'!$BS$2:$BS$105)*($T$2='Offer Statistics'!$BT$2:$BT$105),0)),"/")</f>
        <v>2</v>
      </c>
      <c r="Y20" s="375" cm="1">
        <f t="array" ref="Y20">IFERROR(INDEX('Offer Statistics'!CF$2:CF$105,MATCH(1,($A20='Offer Statistics'!$BS$2:$BS$105)*($T$2='Offer Statistics'!$BT$2:$BT$105),0)),"/")</f>
        <v>1</v>
      </c>
      <c r="Z20" s="375" cm="1">
        <f t="array" ref="Z20">IFERROR(INDEX('Offer Statistics'!CG$2:CG$105,MATCH(1,($A20='Offer Statistics'!$BS$2:$BS$105)*($T$2='Offer Statistics'!$BT$2:$BT$105),0)),"/")</f>
        <v>1</v>
      </c>
      <c r="AA20" s="580"/>
      <c r="AB20" s="365" cm="1">
        <f t="array" ref="AB20">IFERROR(INDEX('Offer Statistics'!BZ$2:BZ$105,MATCH(1,($A20='Offer Statistics'!$BS$2:$BS$105)*($T$2='Offer Statistics'!$BT$2:$BT$105),0)),"/")</f>
        <v>466</v>
      </c>
      <c r="AC20" s="375" cm="1">
        <f t="array" ref="AC20">IFERROR(INDEX('Offer Statistics'!BU$2:BU$105,MATCH(1,($A20='Offer Statistics'!$BS$2:$BS$105)*($T$2='Offer Statistics'!$BT$2:$BT$105),0)),"/")</f>
        <v>110</v>
      </c>
      <c r="AD20" s="375" cm="1">
        <f t="array" ref="AD20">IFERROR(INDEX('Offer Statistics'!BV$2:BV$105,MATCH(1,($A20='Offer Statistics'!$BS$2:$BS$105)*($T$2='Offer Statistics'!$BT$2:$BT$105),0)),"/")</f>
        <v>69</v>
      </c>
      <c r="AE20" s="375" cm="1">
        <f t="array" ref="AE20">IFERROR(INDEX('Offer Statistics'!BW$2:BW$105,MATCH(1,($A20='Offer Statistics'!$BS$2:$BS$105)*($T$2='Offer Statistics'!$BT$2:$BT$105),0)),"/")</f>
        <v>79</v>
      </c>
      <c r="AF20" s="375" cm="1">
        <f t="array" ref="AF20">IFERROR(INDEX('Offer Statistics'!BX$2:BX$105,MATCH(1,($A20='Offer Statistics'!$BS$2:$BS$105)*($T$2='Offer Statistics'!$BT$2:$BT$105),0)),"/")</f>
        <v>95</v>
      </c>
      <c r="AG20" s="375" cm="1">
        <f t="array" ref="AG20">IFERROR(INDEX('Offer Statistics'!BY$2:BY$105,MATCH(1,($A20='Offer Statistics'!$BS$2:$BS$105)*($T$2='Offer Statistics'!$BT$2:$BT$105),0)),"/")</f>
        <v>113</v>
      </c>
      <c r="AH20" s="4"/>
      <c r="AI20" s="15" t="str">
        <f t="shared" si="0"/>
        <v>JS5411</v>
      </c>
    </row>
    <row r="21" spans="1:35" ht="18" customHeight="1" x14ac:dyDescent="0.3">
      <c r="A21" s="346" t="str">
        <f>'Reference Score Calculation'!A228</f>
        <v>JS5412</v>
      </c>
      <c r="B21" s="346" t="str">
        <f>'Reference Score Calculation'!C228</f>
        <v>人文社會科學學院</v>
      </c>
      <c r="C21" s="346" t="str">
        <f>'Reference Score Calculation'!D228</f>
        <v>理學士（定量社會數據分析）</v>
      </c>
      <c r="D21" s="4" t="s">
        <v>1143</v>
      </c>
      <c r="E21" s="99" t="s">
        <v>2255</v>
      </c>
      <c r="F21" s="347">
        <f>'Reference Score Calculation'!G228</f>
        <v>34</v>
      </c>
      <c r="G21" s="347">
        <f>'Reference Score Calculation'!H228</f>
        <v>32</v>
      </c>
      <c r="H21" s="368">
        <f>計分版!H249</f>
        <v>4.1499999999999999E-9</v>
      </c>
      <c r="I21" s="439">
        <f>IF(I$1="差距(Median)",H21-F21,IF(I$1="差距(UQ)",H21-#REF!,IF(I$1="差距(LQ)",H21-G21)))</f>
        <v>-33.999999995849997</v>
      </c>
      <c r="J21" s="440">
        <f>IF(I$1="差距(Median)",(H21-F21)/H21,IF(I$1="差距(UQ)",(H21-#REF!)/H21,IF(I$1="差距(LQ)",(H21-G21)/H21)))</f>
        <v>-8192771083.3373489</v>
      </c>
      <c r="K21" s="365">
        <f>入學要求!C237</f>
        <v>28</v>
      </c>
      <c r="L21" s="379">
        <f>入學要求!R237</f>
        <v>0</v>
      </c>
      <c r="M21" s="15" t="s">
        <v>2369</v>
      </c>
      <c r="N21" s="435">
        <f>入學要求!D237</f>
        <v>3</v>
      </c>
      <c r="O21" s="435">
        <f>入學要求!E237</f>
        <v>3</v>
      </c>
      <c r="P21" s="435">
        <f>入學要求!F237</f>
        <v>3</v>
      </c>
      <c r="Q21" s="435">
        <f>入學要求!G237</f>
        <v>2</v>
      </c>
      <c r="R21" s="435">
        <f>入學要求!H237</f>
        <v>3</v>
      </c>
      <c r="S21" s="435">
        <f>入學要求!I237</f>
        <v>3</v>
      </c>
      <c r="T21" s="576"/>
      <c r="U21" s="365" cm="1">
        <f t="array" ref="U21">IFERROR(INDEX('Offer Statistics'!CH$2:CH$105,MATCH(1,($A21='Offer Statistics'!$BS$2:$BS$105)*($T$2='Offer Statistics'!$BT$2:$BT$105),0)),"/")</f>
        <v>25</v>
      </c>
      <c r="V21" s="375" cm="1">
        <f t="array" ref="V21">IFERROR(INDEX('Offer Statistics'!CC$2:CC$105,MATCH(1,($A21='Offer Statistics'!$BS$2:$BS$105)*($T$2='Offer Statistics'!$BT$2:$BT$105),0)),"/")</f>
        <v>25</v>
      </c>
      <c r="W21" s="375" cm="1">
        <f t="array" ref="W21">IFERROR(INDEX('Offer Statistics'!CD$2:CD$105,MATCH(1,($A21='Offer Statistics'!$BS$2:$BS$105)*($T$2='Offer Statistics'!$BT$2:$BT$105),0)),"/")</f>
        <v>0</v>
      </c>
      <c r="X21" s="375" cm="1">
        <f t="array" ref="X21">IFERROR(INDEX('Offer Statistics'!CE$2:CE$105,MATCH(1,($A21='Offer Statistics'!$BS$2:$BS$105)*($T$2='Offer Statistics'!$BT$2:$BT$105),0)),"/")</f>
        <v>0</v>
      </c>
      <c r="Y21" s="375" cm="1">
        <f t="array" ref="Y21">IFERROR(INDEX('Offer Statistics'!CF$2:CF$105,MATCH(1,($A21='Offer Statistics'!$BS$2:$BS$105)*($T$2='Offer Statistics'!$BT$2:$BT$105),0)),"/")</f>
        <v>0</v>
      </c>
      <c r="Z21" s="375" cm="1">
        <f t="array" ref="Z21">IFERROR(INDEX('Offer Statistics'!CG$2:CG$105,MATCH(1,($A21='Offer Statistics'!$BS$2:$BS$105)*($T$2='Offer Statistics'!$BT$2:$BT$105),0)),"/")</f>
        <v>0</v>
      </c>
      <c r="AA21" s="580"/>
      <c r="AB21" s="365" cm="1">
        <f t="array" ref="AB21">IFERROR(INDEX('Offer Statistics'!BZ$2:BZ$105,MATCH(1,($A21='Offer Statistics'!$BS$2:$BS$105)*($T$2='Offer Statistics'!$BT$2:$BT$105),0)),"/")</f>
        <v>402</v>
      </c>
      <c r="AC21" s="375" cm="1">
        <f t="array" ref="AC21">IFERROR(INDEX('Offer Statistics'!BU$2:BU$105,MATCH(1,($A21='Offer Statistics'!$BS$2:$BS$105)*($T$2='Offer Statistics'!$BT$2:$BT$105),0)),"/")</f>
        <v>55</v>
      </c>
      <c r="AD21" s="375" cm="1">
        <f t="array" ref="AD21">IFERROR(INDEX('Offer Statistics'!BV$2:BV$105,MATCH(1,($A21='Offer Statistics'!$BS$2:$BS$105)*($T$2='Offer Statistics'!$BT$2:$BT$105),0)),"/")</f>
        <v>60</v>
      </c>
      <c r="AE21" s="375" cm="1">
        <f t="array" ref="AE21">IFERROR(INDEX('Offer Statistics'!BW$2:BW$105,MATCH(1,($A21='Offer Statistics'!$BS$2:$BS$105)*($T$2='Offer Statistics'!$BT$2:$BT$105),0)),"/")</f>
        <v>86</v>
      </c>
      <c r="AF21" s="375" cm="1">
        <f t="array" ref="AF21">IFERROR(INDEX('Offer Statistics'!BX$2:BX$105,MATCH(1,($A21='Offer Statistics'!$BS$2:$BS$105)*($T$2='Offer Statistics'!$BT$2:$BT$105),0)),"/")</f>
        <v>94</v>
      </c>
      <c r="AG21" s="375" cm="1">
        <f t="array" ref="AG21">IFERROR(INDEX('Offer Statistics'!BY$2:BY$105,MATCH(1,($A21='Offer Statistics'!$BS$2:$BS$105)*($T$2='Offer Statistics'!$BT$2:$BT$105),0)),"/")</f>
        <v>107</v>
      </c>
      <c r="AI21" s="15" t="str">
        <f t="shared" si="0"/>
        <v>JS5412</v>
      </c>
    </row>
    <row r="22" spans="1:35" s="10" customFormat="1" ht="18" customHeight="1" x14ac:dyDescent="0.3">
      <c r="A22" s="346" t="str">
        <f>'Reference Score Calculation'!A229</f>
        <v>JS5811</v>
      </c>
      <c r="B22" s="346" t="str">
        <f>'Reference Score Calculation'!C229</f>
        <v>跨學科課程</v>
      </c>
      <c r="C22" s="346" t="str">
        <f>'Reference Score Calculation'!D229</f>
        <v>理學士（生物科技及商學）</v>
      </c>
      <c r="D22" s="4" t="s">
        <v>1147</v>
      </c>
      <c r="E22" s="99" t="s">
        <v>2255</v>
      </c>
      <c r="F22" s="347">
        <f>'Reference Score Calculation'!G229</f>
        <v>48</v>
      </c>
      <c r="G22" s="347">
        <f>'Reference Score Calculation'!H229</f>
        <v>46.75</v>
      </c>
      <c r="H22" s="368">
        <f>計分版!H250</f>
        <v>3.2999999999999998E-9</v>
      </c>
      <c r="I22" s="439">
        <f>IF(I$1="差距(Median)",H22-F22,IF(I$1="差距(UQ)",H22-#REF!,IF(I$1="差距(LQ)",H22-G22)))</f>
        <v>-47.999999996699998</v>
      </c>
      <c r="J22" s="440">
        <f>IF(I$1="差距(Median)",(H22-F22)/H22,IF(I$1="差距(UQ)",(H22-#REF!)/H22,IF(I$1="差距(LQ)",(H22-G22)/H22)))</f>
        <v>-14545454544.454546</v>
      </c>
      <c r="K22" s="365">
        <f>入學要求!C238</f>
        <v>26</v>
      </c>
      <c r="L22" s="379">
        <f>入學要求!R238</f>
        <v>0</v>
      </c>
      <c r="M22" s="15" t="s">
        <v>2369</v>
      </c>
      <c r="N22" s="435">
        <f>入學要求!D238</f>
        <v>3</v>
      </c>
      <c r="O22" s="435">
        <f>入學要求!E238</f>
        <v>4</v>
      </c>
      <c r="P22" s="435">
        <f>入學要求!F238</f>
        <v>3</v>
      </c>
      <c r="Q22" s="435">
        <f>入學要求!G238</f>
        <v>2</v>
      </c>
      <c r="R22" s="435">
        <f>入學要求!H238</f>
        <v>3</v>
      </c>
      <c r="S22" s="435">
        <f>入學要求!I238</f>
        <v>3</v>
      </c>
      <c r="T22" s="576"/>
      <c r="U22" s="365" cm="1">
        <f t="array" ref="U22">IFERROR(INDEX('Offer Statistics'!CH$2:CH$105,MATCH(1,($A22='Offer Statistics'!$BS$2:$BS$105)*($T$2='Offer Statistics'!$BT$2:$BT$105),0)),"/")</f>
        <v>25</v>
      </c>
      <c r="V22" s="375" cm="1">
        <f t="array" ref="V22">IFERROR(INDEX('Offer Statistics'!CC$2:CC$105,MATCH(1,($A22='Offer Statistics'!$BS$2:$BS$105)*($T$2='Offer Statistics'!$BT$2:$BT$105),0)),"/")</f>
        <v>25</v>
      </c>
      <c r="W22" s="375" cm="1">
        <f t="array" ref="W22">IFERROR(INDEX('Offer Statistics'!CD$2:CD$105,MATCH(1,($A22='Offer Statistics'!$BS$2:$BS$105)*($T$2='Offer Statistics'!$BT$2:$BT$105),0)),"/")</f>
        <v>0</v>
      </c>
      <c r="X22" s="375" cm="1">
        <f t="array" ref="X22">IFERROR(INDEX('Offer Statistics'!CE$2:CE$105,MATCH(1,($A22='Offer Statistics'!$BS$2:$BS$105)*($T$2='Offer Statistics'!$BT$2:$BT$105),0)),"/")</f>
        <v>0</v>
      </c>
      <c r="Y22" s="375" cm="1">
        <f t="array" ref="Y22">IFERROR(INDEX('Offer Statistics'!CF$2:CF$105,MATCH(1,($A22='Offer Statistics'!$BS$2:$BS$105)*($T$2='Offer Statistics'!$BT$2:$BT$105),0)),"/")</f>
        <v>0</v>
      </c>
      <c r="Z22" s="375" cm="1">
        <f t="array" ref="Z22">IFERROR(INDEX('Offer Statistics'!CG$2:CG$105,MATCH(1,($A22='Offer Statistics'!$BS$2:$BS$105)*($T$2='Offer Statistics'!$BT$2:$BT$105),0)),"/")</f>
        <v>0</v>
      </c>
      <c r="AA22" s="580"/>
      <c r="AB22" s="365" cm="1">
        <f t="array" ref="AB22">IFERROR(INDEX('Offer Statistics'!BZ$2:BZ$105,MATCH(1,($A22='Offer Statistics'!$BS$2:$BS$105)*($T$2='Offer Statistics'!$BT$2:$BT$105),0)),"/")</f>
        <v>747</v>
      </c>
      <c r="AC22" s="375" cm="1">
        <f t="array" ref="AC22">IFERROR(INDEX('Offer Statistics'!BU$2:BU$105,MATCH(1,($A22='Offer Statistics'!$BS$2:$BS$105)*($T$2='Offer Statistics'!$BT$2:$BT$105),0)),"/")</f>
        <v>97</v>
      </c>
      <c r="AD22" s="375" cm="1">
        <f t="array" ref="AD22">IFERROR(INDEX('Offer Statistics'!BV$2:BV$105,MATCH(1,($A22='Offer Statistics'!$BS$2:$BS$105)*($T$2='Offer Statistics'!$BT$2:$BT$105),0)),"/")</f>
        <v>72</v>
      </c>
      <c r="AE22" s="375" cm="1">
        <f t="array" ref="AE22">IFERROR(INDEX('Offer Statistics'!BW$2:BW$105,MATCH(1,($A22='Offer Statistics'!$BS$2:$BS$105)*($T$2='Offer Statistics'!$BT$2:$BT$105),0)),"/")</f>
        <v>158</v>
      </c>
      <c r="AF22" s="375" cm="1">
        <f t="array" ref="AF22">IFERROR(INDEX('Offer Statistics'!BX$2:BX$105,MATCH(1,($A22='Offer Statistics'!$BS$2:$BS$105)*($T$2='Offer Statistics'!$BT$2:$BT$105),0)),"/")</f>
        <v>205</v>
      </c>
      <c r="AG22" s="375" cm="1">
        <f t="array" ref="AG22">IFERROR(INDEX('Offer Statistics'!BY$2:BY$105,MATCH(1,($A22='Offer Statistics'!$BS$2:$BS$105)*($T$2='Offer Statistics'!$BT$2:$BT$105),0)),"/")</f>
        <v>215</v>
      </c>
      <c r="AH22" s="4"/>
      <c r="AI22" s="15" t="str">
        <f t="shared" si="0"/>
        <v>JS5811</v>
      </c>
    </row>
    <row r="23" spans="1:35" ht="18" customHeight="1" x14ac:dyDescent="0.3">
      <c r="A23" s="346" t="str">
        <f>'Reference Score Calculation'!A230</f>
        <v>JS5812</v>
      </c>
      <c r="B23" s="346" t="str">
        <f>'Reference Score Calculation'!C230</f>
        <v>跨學科課程</v>
      </c>
      <c r="C23" s="346" t="str">
        <f>'Reference Score Calculation'!D230</f>
        <v>理學士（環境管理及科技）</v>
      </c>
      <c r="D23" s="4" t="s">
        <v>1151</v>
      </c>
      <c r="E23" s="99" t="s">
        <v>2255</v>
      </c>
      <c r="F23" s="347">
        <f>'Reference Score Calculation'!G230</f>
        <v>44</v>
      </c>
      <c r="G23" s="347">
        <f>'Reference Score Calculation'!H230</f>
        <v>39.5</v>
      </c>
      <c r="H23" s="368">
        <f>計分版!H251</f>
        <v>4.0000000000000002E-9</v>
      </c>
      <c r="I23" s="439">
        <f>IF(I$1="差距(Median)",H23-F23,IF(I$1="差距(UQ)",H23-#REF!,IF(I$1="差距(LQ)",H23-G23)))</f>
        <v>-43.999999996</v>
      </c>
      <c r="J23" s="440">
        <f>IF(I$1="差距(Median)",(H23-F23)/H23,IF(I$1="差距(UQ)",(H23-#REF!)/H23,IF(I$1="差距(LQ)",(H23-G23)/H23)))</f>
        <v>-10999999999</v>
      </c>
      <c r="K23" s="365">
        <f>入學要求!C239</f>
        <v>16</v>
      </c>
      <c r="L23" s="379">
        <f>入學要求!R239</f>
        <v>0</v>
      </c>
      <c r="M23" s="15" t="s">
        <v>2367</v>
      </c>
      <c r="N23" s="435">
        <f>入學要求!D239</f>
        <v>3</v>
      </c>
      <c r="O23" s="435">
        <f>入學要求!E239</f>
        <v>4</v>
      </c>
      <c r="P23" s="435">
        <f>入學要求!F239</f>
        <v>3</v>
      </c>
      <c r="Q23" s="435">
        <f>入學要求!G239</f>
        <v>2</v>
      </c>
      <c r="R23" s="435">
        <f>入學要求!H239</f>
        <v>3</v>
      </c>
      <c r="S23" s="435">
        <f>入學要求!I239</f>
        <v>3</v>
      </c>
      <c r="T23" s="576"/>
      <c r="U23" s="365" cm="1">
        <f t="array" ref="U23">IFERROR(INDEX('Offer Statistics'!CH$2:CH$105,MATCH(1,($A23='Offer Statistics'!$BS$2:$BS$105)*($T$2='Offer Statistics'!$BT$2:$BT$105),0)),"/")</f>
        <v>15</v>
      </c>
      <c r="V23" s="375" cm="1">
        <f t="array" ref="V23">IFERROR(INDEX('Offer Statistics'!CC$2:CC$105,MATCH(1,($A23='Offer Statistics'!$BS$2:$BS$105)*($T$2='Offer Statistics'!$BT$2:$BT$105),0)),"/")</f>
        <v>15</v>
      </c>
      <c r="W23" s="375" cm="1">
        <f t="array" ref="W23">IFERROR(INDEX('Offer Statistics'!CD$2:CD$105,MATCH(1,($A23='Offer Statistics'!$BS$2:$BS$105)*($T$2='Offer Statistics'!$BT$2:$BT$105),0)),"/")</f>
        <v>0</v>
      </c>
      <c r="X23" s="375" cm="1">
        <f t="array" ref="X23">IFERROR(INDEX('Offer Statistics'!CE$2:CE$105,MATCH(1,($A23='Offer Statistics'!$BS$2:$BS$105)*($T$2='Offer Statistics'!$BT$2:$BT$105),0)),"/")</f>
        <v>0</v>
      </c>
      <c r="Y23" s="375" cm="1">
        <f t="array" ref="Y23">IFERROR(INDEX('Offer Statistics'!CF$2:CF$105,MATCH(1,($A23='Offer Statistics'!$BS$2:$BS$105)*($T$2='Offer Statistics'!$BT$2:$BT$105),0)),"/")</f>
        <v>0</v>
      </c>
      <c r="Z23" s="375" cm="1">
        <f t="array" ref="Z23">IFERROR(INDEX('Offer Statistics'!CG$2:CG$105,MATCH(1,($A23='Offer Statistics'!$BS$2:$BS$105)*($T$2='Offer Statistics'!$BT$2:$BT$105),0)),"/")</f>
        <v>0</v>
      </c>
      <c r="AA23" s="580"/>
      <c r="AB23" s="365" cm="1">
        <f t="array" ref="AB23">IFERROR(INDEX('Offer Statistics'!BZ$2:BZ$105,MATCH(1,($A23='Offer Statistics'!$BS$2:$BS$105)*($T$2='Offer Statistics'!$BT$2:$BT$105),0)),"/")</f>
        <v>638</v>
      </c>
      <c r="AC23" s="375" cm="1">
        <f t="array" ref="AC23">IFERROR(INDEX('Offer Statistics'!BU$2:BU$105,MATCH(1,($A23='Offer Statistics'!$BS$2:$BS$105)*($T$2='Offer Statistics'!$BT$2:$BT$105),0)),"/")</f>
        <v>66</v>
      </c>
      <c r="AD23" s="375" cm="1">
        <f t="array" ref="AD23">IFERROR(INDEX('Offer Statistics'!BV$2:BV$105,MATCH(1,($A23='Offer Statistics'!$BS$2:$BS$105)*($T$2='Offer Statistics'!$BT$2:$BT$105),0)),"/")</f>
        <v>52</v>
      </c>
      <c r="AE23" s="375" cm="1">
        <f t="array" ref="AE23">IFERROR(INDEX('Offer Statistics'!BW$2:BW$105,MATCH(1,($A23='Offer Statistics'!$BS$2:$BS$105)*($T$2='Offer Statistics'!$BT$2:$BT$105),0)),"/")</f>
        <v>128</v>
      </c>
      <c r="AF23" s="375" cm="1">
        <f t="array" ref="AF23">IFERROR(INDEX('Offer Statistics'!BX$2:BX$105,MATCH(1,($A23='Offer Statistics'!$BS$2:$BS$105)*($T$2='Offer Statistics'!$BT$2:$BT$105),0)),"/")</f>
        <v>204</v>
      </c>
      <c r="AG23" s="375" cm="1">
        <f t="array" ref="AG23">IFERROR(INDEX('Offer Statistics'!BY$2:BY$105,MATCH(1,($A23='Offer Statistics'!$BS$2:$BS$105)*($T$2='Offer Statistics'!$BT$2:$BT$105),0)),"/")</f>
        <v>188</v>
      </c>
      <c r="AI23" s="15" t="str">
        <f t="shared" si="0"/>
        <v>JS5812</v>
      </c>
    </row>
    <row r="24" spans="1:35" s="10" customFormat="1" ht="18" customHeight="1" x14ac:dyDescent="0.3">
      <c r="A24" s="346" t="str">
        <f>'Reference Score Calculation'!A231</f>
        <v>JS5813</v>
      </c>
      <c r="B24" s="346" t="str">
        <f>'Reference Score Calculation'!C231</f>
        <v>跨學科課程</v>
      </c>
      <c r="C24" s="346" t="str">
        <f>'Reference Score Calculation'!D231</f>
        <v>理學士（數學與經濟學）</v>
      </c>
      <c r="D24" s="4" t="s">
        <v>1156</v>
      </c>
      <c r="E24" s="99" t="s">
        <v>2255</v>
      </c>
      <c r="F24" s="347">
        <f>'Reference Score Calculation'!G231</f>
        <v>52.5</v>
      </c>
      <c r="G24" s="347">
        <f>'Reference Score Calculation'!H231</f>
        <v>49.5</v>
      </c>
      <c r="H24" s="368">
        <f>計分版!H252</f>
        <v>3.7E-9</v>
      </c>
      <c r="I24" s="439">
        <f>IF(I$1="差距(Median)",H24-F24,IF(I$1="差距(UQ)",H24-#REF!,IF(I$1="差距(LQ)",H24-G24)))</f>
        <v>-52.499999996299998</v>
      </c>
      <c r="J24" s="440">
        <f>IF(I$1="差距(Median)",(H24-F24)/H24,IF(I$1="差距(UQ)",(H24-#REF!)/H24,IF(I$1="差距(LQ)",(H24-G24)/H24)))</f>
        <v>-14189189188.189188</v>
      </c>
      <c r="K24" s="365">
        <f>入學要求!C240</f>
        <v>16</v>
      </c>
      <c r="L24" s="379">
        <f>入學要求!R240</f>
        <v>0</v>
      </c>
      <c r="M24" s="15" t="s">
        <v>2369</v>
      </c>
      <c r="N24" s="435">
        <f>入學要求!D240</f>
        <v>3</v>
      </c>
      <c r="O24" s="435">
        <f>入學要求!E240</f>
        <v>4</v>
      </c>
      <c r="P24" s="435">
        <f>入學要求!F240</f>
        <v>3</v>
      </c>
      <c r="Q24" s="435">
        <f>入學要求!G240</f>
        <v>2</v>
      </c>
      <c r="R24" s="435">
        <f>入學要求!H240</f>
        <v>3</v>
      </c>
      <c r="S24" s="435">
        <f>入學要求!I240</f>
        <v>3</v>
      </c>
      <c r="T24" s="576"/>
      <c r="U24" s="365" cm="1">
        <f t="array" ref="U24">IFERROR(INDEX('Offer Statistics'!CH$2:CH$105,MATCH(1,($A24='Offer Statistics'!$BS$2:$BS$105)*($T$2='Offer Statistics'!$BT$2:$BT$105),0)),"/")</f>
        <v>14</v>
      </c>
      <c r="V24" s="375" cm="1">
        <f t="array" ref="V24">IFERROR(INDEX('Offer Statistics'!CC$2:CC$105,MATCH(1,($A24='Offer Statistics'!$BS$2:$BS$105)*($T$2='Offer Statistics'!$BT$2:$BT$105),0)),"/")</f>
        <v>14</v>
      </c>
      <c r="W24" s="375" cm="1">
        <f t="array" ref="W24">IFERROR(INDEX('Offer Statistics'!CD$2:CD$105,MATCH(1,($A24='Offer Statistics'!$BS$2:$BS$105)*($T$2='Offer Statistics'!$BT$2:$BT$105),0)),"/")</f>
        <v>0</v>
      </c>
      <c r="X24" s="375" cm="1">
        <f t="array" ref="X24">IFERROR(INDEX('Offer Statistics'!CE$2:CE$105,MATCH(1,($A24='Offer Statistics'!$BS$2:$BS$105)*($T$2='Offer Statistics'!$BT$2:$BT$105),0)),"/")</f>
        <v>0</v>
      </c>
      <c r="Y24" s="375" cm="1">
        <f t="array" ref="Y24">IFERROR(INDEX('Offer Statistics'!CF$2:CF$105,MATCH(1,($A24='Offer Statistics'!$BS$2:$BS$105)*($T$2='Offer Statistics'!$BT$2:$BT$105),0)),"/")</f>
        <v>0</v>
      </c>
      <c r="Z24" s="375" cm="1">
        <f t="array" ref="Z24">IFERROR(INDEX('Offer Statistics'!CG$2:CG$105,MATCH(1,($A24='Offer Statistics'!$BS$2:$BS$105)*($T$2='Offer Statistics'!$BT$2:$BT$105),0)),"/")</f>
        <v>0</v>
      </c>
      <c r="AA24" s="580"/>
      <c r="AB24" s="365" cm="1">
        <f t="array" ref="AB24">IFERROR(INDEX('Offer Statistics'!BZ$2:BZ$105,MATCH(1,($A24='Offer Statistics'!$BS$2:$BS$105)*($T$2='Offer Statistics'!$BT$2:$BT$105),0)),"/")</f>
        <v>609</v>
      </c>
      <c r="AC24" s="375" cm="1">
        <f t="array" ref="AC24">IFERROR(INDEX('Offer Statistics'!BU$2:BU$105,MATCH(1,($A24='Offer Statistics'!$BS$2:$BS$105)*($T$2='Offer Statistics'!$BT$2:$BT$105),0)),"/")</f>
        <v>58</v>
      </c>
      <c r="AD24" s="375" cm="1">
        <f t="array" ref="AD24">IFERROR(INDEX('Offer Statistics'!BV$2:BV$105,MATCH(1,($A24='Offer Statistics'!$BS$2:$BS$105)*($T$2='Offer Statistics'!$BT$2:$BT$105),0)),"/")</f>
        <v>81</v>
      </c>
      <c r="AE24" s="375" cm="1">
        <f t="array" ref="AE24">IFERROR(INDEX('Offer Statistics'!BW$2:BW$105,MATCH(1,($A24='Offer Statistics'!$BS$2:$BS$105)*($T$2='Offer Statistics'!$BT$2:$BT$105),0)),"/")</f>
        <v>133</v>
      </c>
      <c r="AF24" s="375" cm="1">
        <f t="array" ref="AF24">IFERROR(INDEX('Offer Statistics'!BX$2:BX$105,MATCH(1,($A24='Offer Statistics'!$BS$2:$BS$105)*($T$2='Offer Statistics'!$BT$2:$BT$105),0)),"/")</f>
        <v>163</v>
      </c>
      <c r="AG24" s="375" cm="1">
        <f t="array" ref="AG24">IFERROR(INDEX('Offer Statistics'!BY$2:BY$105,MATCH(1,($A24='Offer Statistics'!$BS$2:$BS$105)*($T$2='Offer Statistics'!$BT$2:$BT$105),0)),"/")</f>
        <v>174</v>
      </c>
      <c r="AH24" s="4"/>
      <c r="AI24" s="15" t="str">
        <f t="shared" si="0"/>
        <v>JS5813</v>
      </c>
    </row>
    <row r="25" spans="1:35" ht="18" customHeight="1" x14ac:dyDescent="0.3">
      <c r="A25" s="346" t="str">
        <f>'Reference Score Calculation'!A232</f>
        <v>JS5814</v>
      </c>
      <c r="B25" s="346" t="str">
        <f>'Reference Score Calculation'!C232</f>
        <v>跨學科課程</v>
      </c>
      <c r="C25" s="346" t="str">
        <f>'Reference Score Calculation'!D232</f>
        <v>理學士（風險管理及商業智能學）</v>
      </c>
      <c r="D25" s="4" t="s">
        <v>1160</v>
      </c>
      <c r="E25" s="99" t="s">
        <v>2255</v>
      </c>
      <c r="F25" s="347">
        <f>'Reference Score Calculation'!G232</f>
        <v>50</v>
      </c>
      <c r="G25" s="347">
        <f>'Reference Score Calculation'!H232</f>
        <v>48.5</v>
      </c>
      <c r="H25" s="368">
        <f>計分版!H253</f>
        <v>4.1499999999999999E-9</v>
      </c>
      <c r="I25" s="439">
        <f>IF(I$1="差距(Median)",H25-F25,IF(I$1="差距(UQ)",H25-#REF!,IF(I$1="差距(LQ)",H25-G25)))</f>
        <v>-49.999999995849997</v>
      </c>
      <c r="J25" s="440">
        <f>IF(I$1="差距(Median)",(H25-F25)/H25,IF(I$1="差距(UQ)",(H25-#REF!)/H25,IF(I$1="差距(LQ)",(H25-G25)/H25)))</f>
        <v>-12048192770.084337</v>
      </c>
      <c r="K25" s="365">
        <f>入學要求!C241</f>
        <v>23</v>
      </c>
      <c r="L25" s="379">
        <f>入學要求!R241</f>
        <v>0</v>
      </c>
      <c r="M25" s="37" t="s">
        <v>2367</v>
      </c>
      <c r="N25" s="435">
        <f>入學要求!D241</f>
        <v>3</v>
      </c>
      <c r="O25" s="435">
        <f>入學要求!E241</f>
        <v>4</v>
      </c>
      <c r="P25" s="435">
        <f>入學要求!F241</f>
        <v>3</v>
      </c>
      <c r="Q25" s="435">
        <f>入學要求!G241</f>
        <v>2</v>
      </c>
      <c r="R25" s="435">
        <f>入學要求!H241</f>
        <v>3</v>
      </c>
      <c r="S25" s="435">
        <f>入學要求!I241</f>
        <v>3</v>
      </c>
      <c r="T25" s="576"/>
      <c r="U25" s="365" cm="1">
        <f t="array" ref="U25">IFERROR(INDEX('Offer Statistics'!CH$2:CH$105,MATCH(1,($A25='Offer Statistics'!$BS$2:$BS$105)*($T$2='Offer Statistics'!$BT$2:$BT$105),0)),"/")</f>
        <v>24</v>
      </c>
      <c r="V25" s="375" cm="1">
        <f t="array" ref="V25">IFERROR(INDEX('Offer Statistics'!CC$2:CC$105,MATCH(1,($A25='Offer Statistics'!$BS$2:$BS$105)*($T$2='Offer Statistics'!$BT$2:$BT$105),0)),"/")</f>
        <v>24</v>
      </c>
      <c r="W25" s="375" cm="1">
        <f t="array" ref="W25">IFERROR(INDEX('Offer Statistics'!CD$2:CD$105,MATCH(1,($A25='Offer Statistics'!$BS$2:$BS$105)*($T$2='Offer Statistics'!$BT$2:$BT$105),0)),"/")</f>
        <v>0</v>
      </c>
      <c r="X25" s="375" cm="1">
        <f t="array" ref="X25">IFERROR(INDEX('Offer Statistics'!CE$2:CE$105,MATCH(1,($A25='Offer Statistics'!$BS$2:$BS$105)*($T$2='Offer Statistics'!$BT$2:$BT$105),0)),"/")</f>
        <v>0</v>
      </c>
      <c r="Y25" s="375" cm="1">
        <f t="array" ref="Y25">IFERROR(INDEX('Offer Statistics'!CF$2:CF$105,MATCH(1,($A25='Offer Statistics'!$BS$2:$BS$105)*($T$2='Offer Statistics'!$BT$2:$BT$105),0)),"/")</f>
        <v>0</v>
      </c>
      <c r="Z25" s="375" cm="1">
        <f t="array" ref="Z25">IFERROR(INDEX('Offer Statistics'!CG$2:CG$105,MATCH(1,($A25='Offer Statistics'!$BS$2:$BS$105)*($T$2='Offer Statistics'!$BT$2:$BT$105),0)),"/")</f>
        <v>0</v>
      </c>
      <c r="AA25" s="580"/>
      <c r="AB25" s="365" cm="1">
        <f t="array" ref="AB25">IFERROR(INDEX('Offer Statistics'!BZ$2:BZ$105,MATCH(1,($A25='Offer Statistics'!$BS$2:$BS$105)*($T$2='Offer Statistics'!$BT$2:$BT$105),0)),"/")</f>
        <v>550</v>
      </c>
      <c r="AC25" s="375" cm="1">
        <f t="array" ref="AC25">IFERROR(INDEX('Offer Statistics'!BU$2:BU$105,MATCH(1,($A25='Offer Statistics'!$BS$2:$BS$105)*($T$2='Offer Statistics'!$BT$2:$BT$105),0)),"/")</f>
        <v>72</v>
      </c>
      <c r="AD25" s="375" cm="1">
        <f t="array" ref="AD25">IFERROR(INDEX('Offer Statistics'!BV$2:BV$105,MATCH(1,($A25='Offer Statistics'!$BS$2:$BS$105)*($T$2='Offer Statistics'!$BT$2:$BT$105),0)),"/")</f>
        <v>71</v>
      </c>
      <c r="AE25" s="375" cm="1">
        <f t="array" ref="AE25">IFERROR(INDEX('Offer Statistics'!BW$2:BW$105,MATCH(1,($A25='Offer Statistics'!$BS$2:$BS$105)*($T$2='Offer Statistics'!$BT$2:$BT$105),0)),"/")</f>
        <v>116</v>
      </c>
      <c r="AF25" s="375" cm="1">
        <f t="array" ref="AF25">IFERROR(INDEX('Offer Statistics'!BX$2:BX$105,MATCH(1,($A25='Offer Statistics'!$BS$2:$BS$105)*($T$2='Offer Statistics'!$BT$2:$BT$105),0)),"/")</f>
        <v>143</v>
      </c>
      <c r="AG25" s="375" cm="1">
        <f t="array" ref="AG25">IFERROR(INDEX('Offer Statistics'!BY$2:BY$105,MATCH(1,($A25='Offer Statistics'!$BS$2:$BS$105)*($T$2='Offer Statistics'!$BT$2:$BT$105),0)),"/")</f>
        <v>148</v>
      </c>
      <c r="AI25" s="15" t="str">
        <f t="shared" si="0"/>
        <v>JS5814</v>
      </c>
    </row>
    <row r="26" spans="1:35" s="346" customFormat="1" ht="18" customHeight="1" x14ac:dyDescent="0.3">
      <c r="A26" s="346" t="str">
        <f>'Reference Score Calculation'!A233</f>
        <v>JS5822</v>
      </c>
      <c r="B26" s="346" t="str">
        <f>'Reference Score Calculation'!C233</f>
        <v>跨學科課程</v>
      </c>
      <c r="C26" s="346" t="str">
        <f>'Reference Score Calculation'!D233</f>
        <v>理學士（可持續發展及綠色金融）</v>
      </c>
      <c r="E26" s="378" t="s">
        <v>2255</v>
      </c>
      <c r="F26" s="347" t="str">
        <f>'Reference Score Calculation'!G233</f>
        <v>/</v>
      </c>
      <c r="G26" s="347" t="str">
        <f>'Reference Score Calculation'!H233</f>
        <v>/</v>
      </c>
      <c r="H26" s="368">
        <f>計分版!H254</f>
        <v>3.3999999999999998E-9</v>
      </c>
      <c r="I26" s="441" t="s">
        <v>1978</v>
      </c>
      <c r="J26" s="442" t="s">
        <v>1978</v>
      </c>
      <c r="K26" s="365">
        <f>入學要求!C242</f>
        <v>18</v>
      </c>
      <c r="L26" s="379">
        <f>入學要求!R242</f>
        <v>0</v>
      </c>
      <c r="M26" s="365"/>
      <c r="N26" s="435">
        <f>入學要求!D242</f>
        <v>3</v>
      </c>
      <c r="O26" s="435">
        <f>入學要求!E242</f>
        <v>4</v>
      </c>
      <c r="P26" s="435">
        <f>入學要求!F242</f>
        <v>3</v>
      </c>
      <c r="Q26" s="435">
        <f>入學要求!G242</f>
        <v>2</v>
      </c>
      <c r="R26" s="435">
        <f>入學要求!H242</f>
        <v>3</v>
      </c>
      <c r="S26" s="435">
        <f>入學要求!I242</f>
        <v>3</v>
      </c>
      <c r="T26" s="576"/>
      <c r="U26" s="365" t="str" cm="1">
        <f t="array" ref="U26">IFERROR(INDEX('Offer Statistics'!CH$2:CH$105,MATCH(1,($A26='Offer Statistics'!$BS$2:$BS$105)*($T$2='Offer Statistics'!$BT$2:$BT$105),0)),"/")</f>
        <v>/</v>
      </c>
      <c r="V26" s="375" t="str" cm="1">
        <f t="array" ref="V26">IFERROR(INDEX('Offer Statistics'!CC$2:CC$105,MATCH(1,($A26='Offer Statistics'!$BS$2:$BS$105)*($T$2='Offer Statistics'!$BT$2:$BT$105),0)),"/")</f>
        <v>/</v>
      </c>
      <c r="W26" s="375" t="str" cm="1">
        <f t="array" ref="W26">IFERROR(INDEX('Offer Statistics'!CD$2:CD$105,MATCH(1,($A26='Offer Statistics'!$BS$2:$BS$105)*($T$2='Offer Statistics'!$BT$2:$BT$105),0)),"/")</f>
        <v>/</v>
      </c>
      <c r="X26" s="375" t="str" cm="1">
        <f t="array" ref="X26">IFERROR(INDEX('Offer Statistics'!CE$2:CE$105,MATCH(1,($A26='Offer Statistics'!$BS$2:$BS$105)*($T$2='Offer Statistics'!$BT$2:$BT$105),0)),"/")</f>
        <v>/</v>
      </c>
      <c r="Y26" s="375" t="str" cm="1">
        <f t="array" ref="Y26">IFERROR(INDEX('Offer Statistics'!CF$2:CF$105,MATCH(1,($A26='Offer Statistics'!$BS$2:$BS$105)*($T$2='Offer Statistics'!$BT$2:$BT$105),0)),"/")</f>
        <v>/</v>
      </c>
      <c r="Z26" s="375" t="str" cm="1">
        <f t="array" ref="Z26">IFERROR(INDEX('Offer Statistics'!CG$2:CG$105,MATCH(1,($A26='Offer Statistics'!$BS$2:$BS$105)*($T$2='Offer Statistics'!$BT$2:$BT$105),0)),"/")</f>
        <v>/</v>
      </c>
      <c r="AA26" s="580"/>
      <c r="AB26" s="365" t="str" cm="1">
        <f t="array" ref="AB26">IFERROR(INDEX('Offer Statistics'!BZ$2:BZ$105,MATCH(1,($A26='Offer Statistics'!$BS$2:$BS$105)*($T$2='Offer Statistics'!$BT$2:$BT$105),0)),"/")</f>
        <v>/</v>
      </c>
      <c r="AC26" s="375" t="str" cm="1">
        <f t="array" ref="AC26">IFERROR(INDEX('Offer Statistics'!BU$2:BU$105,MATCH(1,($A26='Offer Statistics'!$BS$2:$BS$105)*($T$2='Offer Statistics'!$BT$2:$BT$105),0)),"/")</f>
        <v>/</v>
      </c>
      <c r="AD26" s="375" t="str" cm="1">
        <f t="array" ref="AD26">IFERROR(INDEX('Offer Statistics'!BV$2:BV$105,MATCH(1,($A26='Offer Statistics'!$BS$2:$BS$105)*($T$2='Offer Statistics'!$BT$2:$BT$105),0)),"/")</f>
        <v>/</v>
      </c>
      <c r="AE26" s="375" t="str" cm="1">
        <f t="array" ref="AE26">IFERROR(INDEX('Offer Statistics'!BW$2:BW$105,MATCH(1,($A26='Offer Statistics'!$BS$2:$BS$105)*($T$2='Offer Statistics'!$BT$2:$BT$105),0)),"/")</f>
        <v>/</v>
      </c>
      <c r="AF26" s="375" t="str" cm="1">
        <f t="array" ref="AF26">IFERROR(INDEX('Offer Statistics'!BX$2:BX$105,MATCH(1,($A26='Offer Statistics'!$BS$2:$BS$105)*($T$2='Offer Statistics'!$BT$2:$BT$105),0)),"/")</f>
        <v>/</v>
      </c>
      <c r="AG26" s="375" t="str" cm="1">
        <f t="array" ref="AG26">IFERROR(INDEX('Offer Statistics'!BY$2:BY$105,MATCH(1,($A26='Offer Statistics'!$BS$2:$BS$105)*($T$2='Offer Statistics'!$BT$2:$BT$105),0)),"/")</f>
        <v>/</v>
      </c>
      <c r="AI26" s="354"/>
    </row>
    <row r="27" spans="1:35" s="10" customFormat="1" ht="18" customHeight="1" x14ac:dyDescent="0.3">
      <c r="A27" s="346" t="str">
        <f>'Reference Score Calculation'!A234</f>
        <v>JS5901</v>
      </c>
      <c r="B27" s="346" t="str">
        <f>'Reference Score Calculation'!C234</f>
        <v>跨學科課程</v>
      </c>
      <c r="C27" s="346" t="str">
        <f>'Reference Score Calculation'!D234</f>
        <v>科技及管理學雙學位課程</v>
      </c>
      <c r="D27" s="4" t="s">
        <v>1168</v>
      </c>
      <c r="E27" s="99" t="s">
        <v>2256</v>
      </c>
      <c r="F27" s="347">
        <f>'Reference Score Calculation'!G234</f>
        <v>61.25</v>
      </c>
      <c r="G27" s="347">
        <f>'Reference Score Calculation'!H234</f>
        <v>58.5</v>
      </c>
      <c r="H27" s="368">
        <f>計分版!H255</f>
        <v>3.2999999999999998E-9</v>
      </c>
      <c r="I27" s="443">
        <f>IF(I$1="差距(Median)",H27-F27,IF(I$1="差距(UQ)",H27-#REF!,IF(I$1="差距(LQ)",H27-G27)))</f>
        <v>-61.249999996699998</v>
      </c>
      <c r="J27" s="444">
        <f>IF(I$1="差距(Median)",(H27-F27)/H27,IF(I$1="差距(UQ)",(H27-#REF!)/H27,IF(I$1="差距(LQ)",(H27-G27)/H27)))</f>
        <v>-18560606059.60606</v>
      </c>
      <c r="K27" s="365">
        <f>入學要求!C243</f>
        <v>22</v>
      </c>
      <c r="L27" s="379">
        <f>入學要求!R243</f>
        <v>0</v>
      </c>
      <c r="M27" s="37" t="s">
        <v>2367</v>
      </c>
      <c r="N27" s="436">
        <f>入學要求!D243</f>
        <v>3</v>
      </c>
      <c r="O27" s="436">
        <f>入學要求!E243</f>
        <v>4</v>
      </c>
      <c r="P27" s="436">
        <f>入學要求!F243</f>
        <v>3</v>
      </c>
      <c r="Q27" s="436">
        <f>入學要求!G243</f>
        <v>2</v>
      </c>
      <c r="R27" s="436">
        <f>入學要求!H243</f>
        <v>3</v>
      </c>
      <c r="S27" s="436">
        <f>入學要求!I243</f>
        <v>3</v>
      </c>
      <c r="T27" s="576"/>
      <c r="U27" s="365" cm="1">
        <f t="array" ref="U27">IFERROR(INDEX('Offer Statistics'!CH$2:CH$105,MATCH(1,($A27='Offer Statistics'!$BS$2:$BS$105)*($T$2='Offer Statistics'!$BT$2:$BT$105),0)),"/")</f>
        <v>28</v>
      </c>
      <c r="V27" s="375" cm="1">
        <f t="array" ref="V27">IFERROR(INDEX('Offer Statistics'!CC$2:CC$105,MATCH(1,($A27='Offer Statistics'!$BS$2:$BS$105)*($T$2='Offer Statistics'!$BT$2:$BT$105),0)),"/")</f>
        <v>28</v>
      </c>
      <c r="W27" s="375" cm="1">
        <f t="array" ref="W27">IFERROR(INDEX('Offer Statistics'!CD$2:CD$105,MATCH(1,($A27='Offer Statistics'!$BS$2:$BS$105)*($T$2='Offer Statistics'!$BT$2:$BT$105),0)),"/")</f>
        <v>0</v>
      </c>
      <c r="X27" s="375" cm="1">
        <f t="array" ref="X27">IFERROR(INDEX('Offer Statistics'!CE$2:CE$105,MATCH(1,($A27='Offer Statistics'!$BS$2:$BS$105)*($T$2='Offer Statistics'!$BT$2:$BT$105),0)),"/")</f>
        <v>0</v>
      </c>
      <c r="Y27" s="375" cm="1">
        <f t="array" ref="Y27">IFERROR(INDEX('Offer Statistics'!CF$2:CF$105,MATCH(1,($A27='Offer Statistics'!$BS$2:$BS$105)*($T$2='Offer Statistics'!$BT$2:$BT$105),0)),"/")</f>
        <v>0</v>
      </c>
      <c r="Z27" s="375" cm="1">
        <f t="array" ref="Z27">IFERROR(INDEX('Offer Statistics'!CG$2:CG$105,MATCH(1,($A27='Offer Statistics'!$BS$2:$BS$105)*($T$2='Offer Statistics'!$BT$2:$BT$105),0)),"/")</f>
        <v>0</v>
      </c>
      <c r="AA27" s="580"/>
      <c r="AB27" s="365" cm="1">
        <f t="array" ref="AB27">IFERROR(INDEX('Offer Statistics'!BZ$2:BZ$105,MATCH(1,($A27='Offer Statistics'!$BS$2:$BS$105)*($T$2='Offer Statistics'!$BT$2:$BT$105),0)),"/")</f>
        <v>422</v>
      </c>
      <c r="AC27" s="375" cm="1">
        <f t="array" ref="AC27">IFERROR(INDEX('Offer Statistics'!BU$2:BU$105,MATCH(1,($A27='Offer Statistics'!$BS$2:$BS$105)*($T$2='Offer Statistics'!$BT$2:$BT$105),0)),"/")</f>
        <v>71</v>
      </c>
      <c r="AD27" s="375" cm="1">
        <f t="array" ref="AD27">IFERROR(INDEX('Offer Statistics'!BV$2:BV$105,MATCH(1,($A27='Offer Statistics'!$BS$2:$BS$105)*($T$2='Offer Statistics'!$BT$2:$BT$105),0)),"/")</f>
        <v>50</v>
      </c>
      <c r="AE27" s="375" cm="1">
        <f t="array" ref="AE27">IFERROR(INDEX('Offer Statistics'!BW$2:BW$105,MATCH(1,($A27='Offer Statistics'!$BS$2:$BS$105)*($T$2='Offer Statistics'!$BT$2:$BT$105),0)),"/")</f>
        <v>68</v>
      </c>
      <c r="AF27" s="375" cm="1">
        <f t="array" ref="AF27">IFERROR(INDEX('Offer Statistics'!BX$2:BX$105,MATCH(1,($A27='Offer Statistics'!$BS$2:$BS$105)*($T$2='Offer Statistics'!$BT$2:$BT$105),0)),"/")</f>
        <v>107</v>
      </c>
      <c r="AG27" s="375" cm="1">
        <f t="array" ref="AG27">IFERROR(INDEX('Offer Statistics'!BY$2:BY$105,MATCH(1,($A27='Offer Statistics'!$BS$2:$BS$105)*($T$2='Offer Statistics'!$BT$2:$BT$105),0)),"/")</f>
        <v>126</v>
      </c>
      <c r="AH27" s="4"/>
      <c r="AI27" s="15" t="str">
        <f t="shared" si="0"/>
        <v>JS5901</v>
      </c>
    </row>
    <row r="28" spans="1:35" ht="18" customHeight="1" x14ac:dyDescent="0.3"/>
    <row r="29" spans="1:35" ht="18" customHeight="1" x14ac:dyDescent="0.3">
      <c r="A29" s="3" t="s">
        <v>3303</v>
      </c>
    </row>
    <row r="30" spans="1:35" s="346" customFormat="1" ht="18" customHeight="1" x14ac:dyDescent="0.3">
      <c r="A30" s="346" t="s">
        <v>3305</v>
      </c>
      <c r="E30" s="378"/>
      <c r="F30" s="354"/>
      <c r="G30" s="354"/>
      <c r="H30" s="354"/>
      <c r="I30" s="359"/>
      <c r="J30" s="360"/>
      <c r="K30" s="354"/>
      <c r="L30" s="354"/>
      <c r="M30" s="354"/>
      <c r="N30" s="354"/>
      <c r="O30" s="354"/>
      <c r="P30" s="354"/>
      <c r="Q30" s="354"/>
      <c r="R30" s="354"/>
      <c r="S30" s="354"/>
      <c r="AI30" s="354"/>
    </row>
    <row r="31" spans="1:35" s="346" customFormat="1" ht="18" customHeight="1" x14ac:dyDescent="0.3">
      <c r="A31" s="346" t="s">
        <v>3306</v>
      </c>
      <c r="E31" s="378"/>
      <c r="F31" s="354"/>
      <c r="G31" s="354"/>
      <c r="H31" s="354"/>
      <c r="I31" s="359"/>
      <c r="J31" s="360"/>
      <c r="K31" s="354"/>
      <c r="L31" s="354"/>
      <c r="M31" s="354"/>
      <c r="N31" s="354"/>
      <c r="O31" s="354"/>
      <c r="P31" s="354"/>
      <c r="Q31" s="354"/>
      <c r="R31" s="354"/>
      <c r="S31" s="354"/>
      <c r="AI31" s="354"/>
    </row>
    <row r="32" spans="1:35" s="346" customFormat="1" ht="18" customHeight="1" x14ac:dyDescent="0.3">
      <c r="A32" s="346" t="s">
        <v>3307</v>
      </c>
      <c r="E32" s="378"/>
      <c r="F32" s="354"/>
      <c r="G32" s="354"/>
      <c r="H32" s="354"/>
      <c r="I32" s="359"/>
      <c r="J32" s="360"/>
      <c r="K32" s="354"/>
      <c r="L32" s="354"/>
      <c r="M32" s="354"/>
      <c r="N32" s="354"/>
      <c r="O32" s="354"/>
      <c r="P32" s="354"/>
      <c r="Q32" s="354"/>
      <c r="R32" s="354"/>
      <c r="S32" s="354"/>
      <c r="V32" s="528" t="s">
        <v>3531</v>
      </c>
      <c r="AI32" s="354"/>
    </row>
    <row r="33" spans="1:36" s="346" customFormat="1" ht="18" customHeight="1" x14ac:dyDescent="0.3">
      <c r="E33" s="378"/>
      <c r="F33" s="354"/>
      <c r="G33" s="354"/>
      <c r="H33" s="354"/>
      <c r="I33" s="359"/>
      <c r="J33" s="360"/>
      <c r="K33" s="354"/>
      <c r="L33" s="354"/>
      <c r="M33" s="354"/>
      <c r="N33" s="354"/>
      <c r="O33" s="354"/>
      <c r="P33" s="354"/>
      <c r="Q33" s="354"/>
      <c r="R33" s="354"/>
      <c r="S33" s="354"/>
      <c r="AI33" s="354"/>
    </row>
    <row r="34" spans="1:36" ht="17.399999999999999" customHeight="1" x14ac:dyDescent="0.3">
      <c r="A34" s="4" t="s">
        <v>2589</v>
      </c>
    </row>
    <row r="35" spans="1:36" ht="18" customHeight="1" x14ac:dyDescent="0.3">
      <c r="C35" s="23"/>
      <c r="E35" s="15"/>
      <c r="F35" s="4"/>
      <c r="G35" s="4"/>
      <c r="I35" s="4"/>
      <c r="J35" s="4"/>
      <c r="K35" s="37"/>
      <c r="M35" s="4"/>
      <c r="N35" s="4"/>
      <c r="O35" s="4"/>
      <c r="P35" s="4"/>
      <c r="Q35" s="4"/>
      <c r="R35" s="4"/>
      <c r="S35" s="4"/>
      <c r="AI35" s="4"/>
    </row>
    <row r="36" spans="1:36" ht="18" customHeight="1" x14ac:dyDescent="0.3">
      <c r="A36" s="4" t="s">
        <v>3304</v>
      </c>
      <c r="E36" s="37"/>
      <c r="I36" s="15"/>
      <c r="J36" s="22"/>
      <c r="K36" s="23"/>
      <c r="M36" s="4"/>
      <c r="T36" s="15"/>
      <c r="U36" s="15"/>
      <c r="V36" s="15"/>
      <c r="W36" s="15"/>
      <c r="X36" s="15"/>
      <c r="Y36" s="15"/>
      <c r="Z36" s="15"/>
      <c r="AA36" s="15"/>
      <c r="AB36" s="15"/>
      <c r="AC36" s="15"/>
      <c r="AD36" s="15"/>
      <c r="AE36" s="15"/>
      <c r="AF36" s="15"/>
      <c r="AG36" s="15"/>
      <c r="AH36" s="15"/>
      <c r="AI36" s="4"/>
      <c r="AJ36" s="15"/>
    </row>
    <row r="37" spans="1:36" ht="18" customHeight="1" x14ac:dyDescent="0.3"/>
    <row r="38" spans="1:36" ht="18" customHeight="1" x14ac:dyDescent="0.3">
      <c r="A38" s="3" t="s">
        <v>1986</v>
      </c>
    </row>
    <row r="39" spans="1:36" ht="18" customHeight="1" x14ac:dyDescent="0.3">
      <c r="A39" s="4" t="s">
        <v>2521</v>
      </c>
    </row>
    <row r="40" spans="1:36" ht="18" customHeight="1" x14ac:dyDescent="0.3"/>
    <row r="41" spans="1:36" ht="18" customHeight="1" x14ac:dyDescent="0.3">
      <c r="A41" s="3" t="s">
        <v>1988</v>
      </c>
    </row>
    <row r="42" spans="1:36" ht="18" customHeight="1" x14ac:dyDescent="0.3">
      <c r="A42" s="424" t="s">
        <v>2522</v>
      </c>
      <c r="B42" s="433"/>
      <c r="C42" s="433"/>
    </row>
    <row r="43" spans="1:36" ht="18" customHeight="1" x14ac:dyDescent="0.3">
      <c r="A43" s="434" t="s">
        <v>2523</v>
      </c>
      <c r="B43" s="433"/>
      <c r="C43" s="433"/>
      <c r="H43" s="3"/>
    </row>
    <row r="44" spans="1:36" s="346" customFormat="1" ht="18" customHeight="1" x14ac:dyDescent="0.3">
      <c r="A44" s="424" t="s">
        <v>3308</v>
      </c>
      <c r="B44" s="433"/>
      <c r="C44" s="433"/>
      <c r="E44" s="378"/>
      <c r="F44" s="354"/>
      <c r="G44" s="354"/>
      <c r="I44" s="359"/>
      <c r="J44" s="360"/>
      <c r="K44" s="354"/>
      <c r="L44" s="354"/>
      <c r="M44" s="354"/>
      <c r="N44" s="354"/>
      <c r="O44" s="354"/>
      <c r="P44" s="354"/>
      <c r="Q44" s="354"/>
      <c r="R44" s="354"/>
      <c r="S44" s="354"/>
      <c r="AI44" s="354"/>
    </row>
    <row r="45" spans="1:36" ht="18" customHeight="1" x14ac:dyDescent="0.3">
      <c r="A45" s="433"/>
      <c r="B45" s="433"/>
      <c r="C45" s="433"/>
    </row>
    <row r="46" spans="1:36" x14ac:dyDescent="0.3">
      <c r="A46" s="433"/>
      <c r="B46" s="433"/>
      <c r="C46" s="433"/>
    </row>
  </sheetData>
  <mergeCells count="5">
    <mergeCell ref="I1:J1"/>
    <mergeCell ref="K3:K4"/>
    <mergeCell ref="T2:T27"/>
    <mergeCell ref="AA2:AA27"/>
    <mergeCell ref="K13:K16"/>
  </mergeCells>
  <phoneticPr fontId="2" type="noConversion"/>
  <conditionalFormatting sqref="I17:J27 I2:J15">
    <cfRule type="cellIs" dxfId="230" priority="117" operator="equal">
      <formula>"/"</formula>
    </cfRule>
    <cfRule type="cellIs" dxfId="229" priority="119" operator="lessThan">
      <formula>0</formula>
    </cfRule>
    <cfRule type="cellIs" dxfId="228" priority="120" operator="greaterThan">
      <formula>0</formula>
    </cfRule>
  </conditionalFormatting>
  <conditionalFormatting sqref="F2:F27">
    <cfRule type="expression" dxfId="227" priority="116">
      <formula>$I$1="差距(Median)"</formula>
    </cfRule>
  </conditionalFormatting>
  <conditionalFormatting sqref="G2:G27">
    <cfRule type="expression" dxfId="226" priority="103">
      <formula>$I$1="差距(LQ)"</formula>
    </cfRule>
  </conditionalFormatting>
  <conditionalFormatting sqref="L2:L27">
    <cfRule type="cellIs" dxfId="225" priority="100" operator="equal">
      <formula>2</formula>
    </cfRule>
    <cfRule type="cellIs" dxfId="224" priority="101" operator="equal">
      <formula>1</formula>
    </cfRule>
    <cfRule type="cellIs" dxfId="223" priority="102" operator="equal">
      <formula>0</formula>
    </cfRule>
  </conditionalFormatting>
  <conditionalFormatting sqref="A2:XFD2 L14:XFD16 L4:XFD4 K5:XFD13 K3:XFD3 A3:H27 I17:XFD27 I3:J16">
    <cfRule type="expression" dxfId="222" priority="1365">
      <formula>MOD(ROW(),2)=0</formula>
    </cfRule>
  </conditionalFormatting>
  <conditionalFormatting sqref="I16:J16">
    <cfRule type="cellIs" dxfId="221" priority="56" operator="equal">
      <formula>"/"</formula>
    </cfRule>
    <cfRule type="cellIs" dxfId="220" priority="57" operator="lessThan">
      <formula>0</formula>
    </cfRule>
    <cfRule type="cellIs" dxfId="219" priority="58" operator="greaterThan">
      <formula>0</formula>
    </cfRule>
  </conditionalFormatting>
  <conditionalFormatting sqref="I16:J16">
    <cfRule type="expression" dxfId="218" priority="59">
      <formula>MOD(ROW(),2)=0</formula>
    </cfRule>
  </conditionalFormatting>
  <conditionalFormatting sqref="T2 AA2 AH2:AH28">
    <cfRule type="expression" dxfId="217" priority="8">
      <formula>TRUE</formula>
    </cfRule>
  </conditionalFormatting>
  <conditionalFormatting sqref="I26:J26">
    <cfRule type="cellIs" dxfId="216" priority="1" operator="equal">
      <formula>"/"</formula>
    </cfRule>
    <cfRule type="cellIs" dxfId="215" priority="2" operator="lessThan">
      <formula>0</formula>
    </cfRule>
    <cfRule type="cellIs" dxfId="214" priority="3" operator="greaterThan">
      <formula>0</formula>
    </cfRule>
  </conditionalFormatting>
  <conditionalFormatting sqref="I26:J26">
    <cfRule type="expression" dxfId="213" priority="4">
      <formula>MOD(ROW(),2)=0</formula>
    </cfRule>
  </conditionalFormatting>
  <hyperlinks>
    <hyperlink ref="A43" r:id="rId1" location="jupas-interview" xr:uid="{00000000-0004-0000-0B00-000000000000}"/>
    <hyperlink ref="A44" r:id="rId2" xr:uid="{00000000-0004-0000-0B00-000001000000}"/>
    <hyperlink ref="A42" r:id="rId3" xr:uid="{00000000-0004-0000-0B00-000002000000}"/>
  </hyperlinks>
  <pageMargins left="0.7" right="0.7" top="0.75" bottom="0.75" header="0.3" footer="0.3"/>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5" id="{633466DD-AB2C-467E-86F2-4F769A09B45D}">
            <xm:f>入學要求!K218=0</xm:f>
            <x14:dxf>
              <font>
                <color rgb="FF9C0006"/>
              </font>
              <fill>
                <patternFill>
                  <bgColor rgb="FFFFC7CE"/>
                </patternFill>
              </fill>
            </x14:dxf>
          </x14:cfRule>
          <x14:cfRule type="expression" priority="6" id="{D36570DE-4BFF-4E20-B45F-8CCBF3765966}">
            <xm:f>入學要求!K218=2</xm:f>
            <x14:dxf>
              <font>
                <color rgb="FF9C5700"/>
              </font>
              <fill>
                <patternFill>
                  <bgColor rgb="FFFFEB9C"/>
                </patternFill>
              </fill>
            </x14:dxf>
          </x14:cfRule>
          <x14:cfRule type="expression" priority="7" id="{C5477194-6912-4E3E-9AED-6152CA618FCE}">
            <xm:f>入學要求!K218=1</xm:f>
            <x14:dxf>
              <font>
                <color rgb="FF006100"/>
              </font>
              <fill>
                <patternFill>
                  <bgColor rgb="FFC6EFCE"/>
                </patternFill>
              </fill>
            </x14:dxf>
          </x14:cfRule>
          <xm:sqref>N2:S27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選單!$J$2:$J$3</xm:f>
          </x14:formula1>
          <xm:sqref>I1:J1</xm:sqref>
        </x14:dataValidation>
        <x14:dataValidation type="list" allowBlank="1" showInputMessage="1" showErrorMessage="1" xr:uid="{849A14F2-71E3-4523-85D4-7389DDF6CF04}">
          <x14:formula1>
            <xm:f>選單!$I$1:$I$4</xm:f>
          </x14:formula1>
          <xm:sqref>T2:T27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工作表10">
    <tabColor theme="9" tint="-0.249977111117893"/>
  </sheetPr>
  <dimension ref="A1:AJ83"/>
  <sheetViews>
    <sheetView zoomScaleNormal="100" workbookViewId="0">
      <pane ySplit="1" topLeftCell="A8" activePane="bottomLeft" state="frozen"/>
      <selection activeCell="C1" sqref="C1"/>
      <selection pane="bottomLeft" activeCell="J1" sqref="J1:K1"/>
    </sheetView>
  </sheetViews>
  <sheetFormatPr defaultColWidth="0" defaultRowHeight="13.8" zeroHeight="1" x14ac:dyDescent="0.3"/>
  <cols>
    <col min="1" max="1" width="7.109375" style="4" customWidth="1"/>
    <col min="2" max="2" width="9.109375" style="4" customWidth="1"/>
    <col min="3" max="3" width="25.77734375" style="4" customWidth="1"/>
    <col min="4" max="4" width="10.6640625" style="4" customWidth="1"/>
    <col min="5" max="5" width="9.6640625" style="37" customWidth="1"/>
    <col min="6" max="9" width="7.77734375" style="15" customWidth="1"/>
    <col min="10" max="10" width="7.6640625" style="22" customWidth="1"/>
    <col min="11" max="11" width="7.6640625" style="23" customWidth="1"/>
    <col min="12" max="12" width="4.88671875" style="15" customWidth="1"/>
    <col min="13" max="13" width="4.6640625" style="4" customWidth="1"/>
    <col min="14" max="14" width="9.77734375" style="15" customWidth="1"/>
    <col min="15" max="20" width="2.21875" style="15" customWidth="1"/>
    <col min="21" max="21" width="8.88671875" style="15" customWidth="1"/>
    <col min="22" max="22" width="6.33203125" style="15" customWidth="1"/>
    <col min="23" max="23" width="6.33203125" style="16" customWidth="1"/>
    <col min="24" max="27" width="6.33203125" style="15" customWidth="1"/>
    <col min="28" max="28" width="8.88671875" style="15" customWidth="1"/>
    <col min="29" max="34" width="6.33203125" style="15" customWidth="1"/>
    <col min="35" max="35" width="3.109375" style="4" customWidth="1"/>
    <col min="36" max="36" width="8.109375" style="15" customWidth="1"/>
    <col min="37" max="16384" width="9" style="4" hidden="1"/>
  </cols>
  <sheetData>
    <row r="1" spans="1:36" s="24" customFormat="1" ht="18" customHeight="1" x14ac:dyDescent="0.3">
      <c r="A1" s="24" t="s">
        <v>1942</v>
      </c>
      <c r="B1" s="24" t="s">
        <v>1943</v>
      </c>
      <c r="C1" s="24" t="s">
        <v>1944</v>
      </c>
      <c r="E1" s="84" t="s">
        <v>1945</v>
      </c>
      <c r="F1" s="84" t="s">
        <v>2021</v>
      </c>
      <c r="G1" s="84" t="s">
        <v>1946</v>
      </c>
      <c r="H1" s="84" t="s">
        <v>1947</v>
      </c>
      <c r="I1" s="84" t="s">
        <v>1948</v>
      </c>
      <c r="J1" s="595" t="s">
        <v>1949</v>
      </c>
      <c r="K1" s="595"/>
      <c r="L1" s="84" t="s">
        <v>1950</v>
      </c>
      <c r="M1" s="24" t="s">
        <v>1951</v>
      </c>
      <c r="N1" s="84" t="s">
        <v>2027</v>
      </c>
      <c r="O1" s="84" t="s">
        <v>1953</v>
      </c>
      <c r="P1" s="84" t="s">
        <v>1954</v>
      </c>
      <c r="Q1" s="84" t="s">
        <v>1955</v>
      </c>
      <c r="R1" s="84" t="s">
        <v>1956</v>
      </c>
      <c r="S1" s="84" t="s">
        <v>1957</v>
      </c>
      <c r="T1" s="84" t="s">
        <v>1958</v>
      </c>
      <c r="U1" s="84" t="s">
        <v>1959</v>
      </c>
      <c r="V1" s="84" t="s">
        <v>2363</v>
      </c>
      <c r="W1" s="84" t="s">
        <v>1961</v>
      </c>
      <c r="X1" s="84" t="s">
        <v>1962</v>
      </c>
      <c r="Y1" s="84" t="s">
        <v>1963</v>
      </c>
      <c r="Z1" s="84" t="s">
        <v>1964</v>
      </c>
      <c r="AA1" s="84" t="s">
        <v>1965</v>
      </c>
      <c r="AB1" s="84" t="s">
        <v>2364</v>
      </c>
      <c r="AC1" s="84" t="s">
        <v>2363</v>
      </c>
      <c r="AD1" s="84" t="s">
        <v>1961</v>
      </c>
      <c r="AE1" s="84" t="s">
        <v>1962</v>
      </c>
      <c r="AF1" s="84" t="s">
        <v>1963</v>
      </c>
      <c r="AG1" s="84" t="s">
        <v>1964</v>
      </c>
      <c r="AH1" s="84" t="s">
        <v>1965</v>
      </c>
      <c r="AJ1" s="84"/>
    </row>
    <row r="2" spans="1:36" ht="18" customHeight="1" x14ac:dyDescent="0.3">
      <c r="A2" s="4" t="str">
        <f>'Reference Score Calculation'!A237</f>
        <v>JS6004</v>
      </c>
      <c r="B2" s="4" t="str">
        <f>'Reference Score Calculation'!C237</f>
        <v>建築學院</v>
      </c>
      <c r="C2" s="4" t="str">
        <f>'Reference Score Calculation'!D237</f>
        <v>建築學文學士</v>
      </c>
      <c r="D2" s="4" t="str">
        <f>'Reference Score Calculation'!T237</f>
        <v>BA(AS)</v>
      </c>
      <c r="E2" s="355" t="str">
        <f>'Reference Score Calculation'!E237</f>
        <v>Best 6</v>
      </c>
      <c r="F2" s="6">
        <f>'Reference Score Calculation'!F237</f>
        <v>38</v>
      </c>
      <c r="G2" s="6">
        <f>'Reference Score Calculation'!G237</f>
        <v>36</v>
      </c>
      <c r="H2" s="6">
        <f>'Reference Score Calculation'!H237</f>
        <v>33</v>
      </c>
      <c r="I2" s="46">
        <f>計分版!H258</f>
        <v>4.4500000000000001E-9</v>
      </c>
      <c r="J2" s="25">
        <f t="shared" ref="J2:J8" si="0">IF(J$1="差距(Median)",I2-G2,IF(J$1="差距(UQ)",I2-F2,IF(J$1="差距(LQ)",I2-H2)))</f>
        <v>-35.999999995549999</v>
      </c>
      <c r="K2" s="26">
        <f t="shared" ref="K2:K8" si="1">IF(J$1="差距(Median)",(I2-G2)/I2,IF(J$1="差距(UQ)",(I2-F2)/I2,IF(J$1="差距(LQ)",(I2-H2)/I2)))</f>
        <v>-8089887639.4494381</v>
      </c>
      <c r="L2" s="37">
        <f>入學要求!C246</f>
        <v>54</v>
      </c>
      <c r="M2" s="58">
        <f>入學要求!R246</f>
        <v>0</v>
      </c>
      <c r="O2" s="16">
        <f>入學要求!D246</f>
        <v>3</v>
      </c>
      <c r="P2" s="355">
        <f>入學要求!E246</f>
        <v>3</v>
      </c>
      <c r="Q2" s="355">
        <f>入學要求!F246</f>
        <v>2</v>
      </c>
      <c r="R2" s="355">
        <f>入學要求!G246</f>
        <v>2</v>
      </c>
      <c r="S2" s="355">
        <f>入學要求!H246</f>
        <v>3</v>
      </c>
      <c r="T2" s="355">
        <f>入學要求!I246</f>
        <v>3</v>
      </c>
      <c r="U2" s="576" t="s">
        <v>2840</v>
      </c>
      <c r="V2" s="37" cm="1">
        <f t="array" ref="V2">IFERROR(INDEX('Offer Statistics'!DA$2:DA$181,MATCH(1,($A2='Offer Statistics'!$CL$2:$CL$181)*($U$2='Offer Statistics'!$CM$2:$CM$181),0)),"/")</f>
        <v>38</v>
      </c>
      <c r="W2" s="375" cm="1">
        <f t="array" ref="W2">IFERROR(INDEX('Offer Statistics'!CV$2:CV$181,MATCH(1,($A2='Offer Statistics'!$CL$2:$CL$181)*($U$2='Offer Statistics'!$CM$2:$CM$181),0)),"/")</f>
        <v>38</v>
      </c>
      <c r="X2" s="375" cm="1">
        <f t="array" ref="X2">IFERROR(INDEX('Offer Statistics'!CW$2:CW$181,MATCH(1,($A2='Offer Statistics'!$CL$2:$CL$181)*($U$2='Offer Statistics'!$CM$2:$CM$181),0)),"/")</f>
        <v>0</v>
      </c>
      <c r="Y2" s="375" cm="1">
        <f t="array" ref="Y2">IFERROR(INDEX('Offer Statistics'!CX$2:CX$181,MATCH(1,($A2='Offer Statistics'!$CL$2:$CL$181)*($U$2='Offer Statistics'!$CM$2:$CM$181),0)),"/")</f>
        <v>0</v>
      </c>
      <c r="Z2" s="375" cm="1">
        <f t="array" ref="Z2">IFERROR(INDEX('Offer Statistics'!CY$2:CY$181,MATCH(1,($A2='Offer Statistics'!$CL$2:$CL$181)*($U$2='Offer Statistics'!$CM$2:$CM$181),0)),"/")</f>
        <v>0</v>
      </c>
      <c r="AA2" s="375" cm="1">
        <f t="array" ref="AA2">IFERROR(INDEX('Offer Statistics'!CZ$2:CZ$181,MATCH(1,($A2='Offer Statistics'!$CL$2:$CL$181)*($U$2='Offer Statistics'!$CM$2:$CM$181),0)),"/")</f>
        <v>0</v>
      </c>
      <c r="AB2" s="580" t="str">
        <f>U2</f>
        <v>2021年</v>
      </c>
      <c r="AC2" s="37" cm="1">
        <f t="array" ref="AC2">IFERROR(INDEX('Offer Statistics'!CS$2:CS$181,MATCH(1,($A2='Offer Statistics'!$CL$2:$CL$181)*($U$2='Offer Statistics'!$CM$2:$CM$181),0)),"/")</f>
        <v>715</v>
      </c>
      <c r="AD2" s="375" cm="1">
        <f t="array" ref="AD2">IFERROR(INDEX('Offer Statistics'!CN$2:CN$181,MATCH(1,($A2='Offer Statistics'!$CL$2:$CL$181)*($U$2='Offer Statistics'!$CM$2:$CM$181),0)),"/")</f>
        <v>133</v>
      </c>
      <c r="AE2" s="375" cm="1">
        <f t="array" ref="AE2">IFERROR(INDEX('Offer Statistics'!CO$2:CO$181,MATCH(1,($A2='Offer Statistics'!$CL$2:$CL$181)*($U$2='Offer Statistics'!$CM$2:$CM$181),0)),"/")</f>
        <v>79</v>
      </c>
      <c r="AF2" s="375" cm="1">
        <f t="array" ref="AF2">IFERROR(INDEX('Offer Statistics'!CP$2:CP$181,MATCH(1,($A2='Offer Statistics'!$CL$2:$CL$181)*($U$2='Offer Statistics'!$CM$2:$CM$181),0)),"/")</f>
        <v>125</v>
      </c>
      <c r="AG2" s="375" cm="1">
        <f t="array" ref="AG2">IFERROR(INDEX('Offer Statistics'!CQ$2:CQ$181,MATCH(1,($A2='Offer Statistics'!$CL$2:$CL$181)*($U$2='Offer Statistics'!$CM$2:$CM$181),0)),"/")</f>
        <v>189</v>
      </c>
      <c r="AH2" s="375" cm="1">
        <f t="array" ref="AH2">IFERROR(INDEX('Offer Statistics'!CR$2:CR$181,MATCH(1,($A2='Offer Statistics'!$CL$2:$CL$181)*($U$2='Offer Statistics'!$CM$2:$CM$181),0)),"/")</f>
        <v>189</v>
      </c>
      <c r="AJ2" s="15" t="str">
        <f>A2</f>
        <v>JS6004</v>
      </c>
    </row>
    <row r="3" spans="1:36" ht="18" customHeight="1" x14ac:dyDescent="0.3">
      <c r="A3" s="346" t="str">
        <f>'Reference Score Calculation'!A238</f>
        <v>JS6016</v>
      </c>
      <c r="B3" s="346" t="str">
        <f>'Reference Score Calculation'!C238</f>
        <v>建築學院</v>
      </c>
      <c r="C3" s="346" t="str">
        <f>'Reference Score Calculation'!D238</f>
        <v>理學士(測量學)</v>
      </c>
      <c r="D3" s="346" t="str">
        <f>'Reference Score Calculation'!T238</f>
        <v xml:space="preserve">	BSC(SURV)</v>
      </c>
      <c r="E3" s="355" t="str">
        <f>'Reference Score Calculation'!E238</f>
        <v>Best 5</v>
      </c>
      <c r="F3" s="347">
        <f>'Reference Score Calculation'!F238</f>
        <v>31</v>
      </c>
      <c r="G3" s="347">
        <f>'Reference Score Calculation'!G238</f>
        <v>29</v>
      </c>
      <c r="H3" s="347">
        <f>'Reference Score Calculation'!H238</f>
        <v>28</v>
      </c>
      <c r="I3" s="368">
        <f>計分版!H259</f>
        <v>3.9500000000000006E-9</v>
      </c>
      <c r="J3" s="361">
        <f t="shared" ref="J3:J6" si="2">IF(J$1="差距(Median)",I3-G3,IF(J$1="差距(UQ)",I3-F3,IF(J$1="差距(LQ)",I3-H3)))</f>
        <v>-28.999999996050001</v>
      </c>
      <c r="K3" s="362">
        <f t="shared" ref="K3:K6" si="3">IF(J$1="差距(Median)",(I3-G3)/I3,IF(J$1="差距(UQ)",(I3-F3)/I3,IF(J$1="差距(LQ)",(I3-H3)/I3)))</f>
        <v>-7341772150.8987331</v>
      </c>
      <c r="L3" s="365">
        <f>入學要求!C247</f>
        <v>42</v>
      </c>
      <c r="M3" s="372">
        <f>入學要求!R247</f>
        <v>0</v>
      </c>
      <c r="O3" s="355">
        <f>入學要求!D247</f>
        <v>3</v>
      </c>
      <c r="P3" s="355">
        <f>入學要求!E247</f>
        <v>3</v>
      </c>
      <c r="Q3" s="355">
        <f>入學要求!F247</f>
        <v>2</v>
      </c>
      <c r="R3" s="355">
        <f>入學要求!G247</f>
        <v>2</v>
      </c>
      <c r="S3" s="355">
        <f>入學要求!H247</f>
        <v>3</v>
      </c>
      <c r="T3" s="355">
        <f>入學要求!I247</f>
        <v>3</v>
      </c>
      <c r="U3" s="576"/>
      <c r="V3" s="365" cm="1">
        <f t="array" ref="V3">IFERROR(INDEX('Offer Statistics'!DA$2:DA$181,MATCH(1,($A3='Offer Statistics'!$CL$2:$CL$181)*($U$2='Offer Statistics'!$CM$2:$CM$181),0)),"/")</f>
        <v>69</v>
      </c>
      <c r="W3" s="375" cm="1">
        <f t="array" ref="W3">IFERROR(INDEX('Offer Statistics'!CV$2:CV$181,MATCH(1,($A3='Offer Statistics'!$CL$2:$CL$181)*($U$2='Offer Statistics'!$CM$2:$CM$181),0)),"/")</f>
        <v>69</v>
      </c>
      <c r="X3" s="375" cm="1">
        <f t="array" ref="X3">IFERROR(INDEX('Offer Statistics'!CW$2:CW$181,MATCH(1,($A3='Offer Statistics'!$CL$2:$CL$181)*($U$2='Offer Statistics'!$CM$2:$CM$181),0)),"/")</f>
        <v>0</v>
      </c>
      <c r="Y3" s="375" cm="1">
        <f t="array" ref="Y3">IFERROR(INDEX('Offer Statistics'!CX$2:CX$181,MATCH(1,($A3='Offer Statistics'!$CL$2:$CL$181)*($U$2='Offer Statistics'!$CM$2:$CM$181),0)),"/")</f>
        <v>0</v>
      </c>
      <c r="Z3" s="375" cm="1">
        <f t="array" ref="Z3">IFERROR(INDEX('Offer Statistics'!CY$2:CY$181,MATCH(1,($A3='Offer Statistics'!$CL$2:$CL$181)*($U$2='Offer Statistics'!$CM$2:$CM$181),0)),"/")</f>
        <v>0</v>
      </c>
      <c r="AA3" s="375" cm="1">
        <f t="array" ref="AA3">IFERROR(INDEX('Offer Statistics'!CZ$2:CZ$181,MATCH(1,($A3='Offer Statistics'!$CL$2:$CL$181)*($U$2='Offer Statistics'!$CM$2:$CM$181),0)),"/")</f>
        <v>0</v>
      </c>
      <c r="AB3" s="580"/>
      <c r="AC3" s="365" cm="1">
        <f t="array" ref="AC3">IFERROR(INDEX('Offer Statistics'!CS$2:CS$181,MATCH(1,($A3='Offer Statistics'!$CL$2:$CL$181)*($U$2='Offer Statistics'!$CM$2:$CM$181),0)),"/")</f>
        <v>784</v>
      </c>
      <c r="AD3" s="375" cm="1">
        <f t="array" ref="AD3">IFERROR(INDEX('Offer Statistics'!CN$2:CN$181,MATCH(1,($A3='Offer Statistics'!$CL$2:$CL$181)*($U$2='Offer Statistics'!$CM$2:$CM$181),0)),"/")</f>
        <v>148</v>
      </c>
      <c r="AE3" s="375" cm="1">
        <f t="array" ref="AE3">IFERROR(INDEX('Offer Statistics'!CO$2:CO$181,MATCH(1,($A3='Offer Statistics'!$CL$2:$CL$181)*($U$2='Offer Statistics'!$CM$2:$CM$181),0)),"/")</f>
        <v>61</v>
      </c>
      <c r="AF3" s="375" cm="1">
        <f t="array" ref="AF3">IFERROR(INDEX('Offer Statistics'!CP$2:CP$181,MATCH(1,($A3='Offer Statistics'!$CL$2:$CL$181)*($U$2='Offer Statistics'!$CM$2:$CM$181),0)),"/")</f>
        <v>150</v>
      </c>
      <c r="AG3" s="375" cm="1">
        <f t="array" ref="AG3">IFERROR(INDEX('Offer Statistics'!CQ$2:CQ$181,MATCH(1,($A3='Offer Statistics'!$CL$2:$CL$181)*($U$2='Offer Statistics'!$CM$2:$CM$181),0)),"/")</f>
        <v>213</v>
      </c>
      <c r="AH3" s="375" cm="1">
        <f t="array" ref="AH3">IFERROR(INDEX('Offer Statistics'!CR$2:CR$181,MATCH(1,($A3='Offer Statistics'!$CL$2:$CL$181)*($U$2='Offer Statistics'!$CM$2:$CM$181),0)),"/")</f>
        <v>212</v>
      </c>
      <c r="AJ3" s="354" t="str">
        <f t="shared" ref="AJ3:AJ49" si="4">A3</f>
        <v>JS6016</v>
      </c>
    </row>
    <row r="4" spans="1:36" ht="18" customHeight="1" x14ac:dyDescent="0.3">
      <c r="A4" s="346" t="str">
        <f>'Reference Score Calculation'!A239</f>
        <v>JS6028</v>
      </c>
      <c r="B4" s="346" t="str">
        <f>'Reference Score Calculation'!C239</f>
        <v>建築學院</v>
      </c>
      <c r="C4" s="346" t="str">
        <f>'Reference Score Calculation'!D239</f>
        <v>園境學文學士</v>
      </c>
      <c r="D4" s="346" t="str">
        <f>'Reference Score Calculation'!T239</f>
        <v xml:space="preserve">	BA(LS)</v>
      </c>
      <c r="E4" s="355" t="str">
        <f>'Reference Score Calculation'!E239</f>
        <v>Best 5</v>
      </c>
      <c r="F4" s="347">
        <f>'Reference Score Calculation'!F239</f>
        <v>29</v>
      </c>
      <c r="G4" s="347">
        <f>'Reference Score Calculation'!G239</f>
        <v>28</v>
      </c>
      <c r="H4" s="347">
        <f>'Reference Score Calculation'!H239</f>
        <v>26</v>
      </c>
      <c r="I4" s="368">
        <f>計分版!H260</f>
        <v>3.9500000000000006E-9</v>
      </c>
      <c r="J4" s="361">
        <f t="shared" si="2"/>
        <v>-27.999999996050001</v>
      </c>
      <c r="K4" s="362">
        <f t="shared" si="3"/>
        <v>-7088607593.9367075</v>
      </c>
      <c r="L4" s="365">
        <f>入學要求!C248</f>
        <v>12</v>
      </c>
      <c r="M4" s="372">
        <f>入學要求!R248</f>
        <v>0</v>
      </c>
      <c r="N4" s="27"/>
      <c r="O4" s="355">
        <f>入學要求!D248</f>
        <v>3</v>
      </c>
      <c r="P4" s="355">
        <f>入學要求!E248</f>
        <v>3</v>
      </c>
      <c r="Q4" s="355">
        <f>入學要求!F248</f>
        <v>2</v>
      </c>
      <c r="R4" s="355">
        <f>入學要求!G248</f>
        <v>2</v>
      </c>
      <c r="S4" s="355">
        <f>入學要求!H248</f>
        <v>3</v>
      </c>
      <c r="T4" s="355">
        <f>入學要求!I248</f>
        <v>3</v>
      </c>
      <c r="U4" s="576"/>
      <c r="V4" s="365" cm="1">
        <f t="array" ref="V4">IFERROR(INDEX('Offer Statistics'!DA$2:DA$181,MATCH(1,($A4='Offer Statistics'!$CL$2:$CL$181)*($U$2='Offer Statistics'!$CM$2:$CM$181),0)),"/")</f>
        <v>7</v>
      </c>
      <c r="W4" s="375" cm="1">
        <f t="array" ref="W4">IFERROR(INDEX('Offer Statistics'!CV$2:CV$181,MATCH(1,($A4='Offer Statistics'!$CL$2:$CL$181)*($U$2='Offer Statistics'!$CM$2:$CM$181),0)),"/")</f>
        <v>7</v>
      </c>
      <c r="X4" s="375" cm="1">
        <f t="array" ref="X4">IFERROR(INDEX('Offer Statistics'!CW$2:CW$181,MATCH(1,($A4='Offer Statistics'!$CL$2:$CL$181)*($U$2='Offer Statistics'!$CM$2:$CM$181),0)),"/")</f>
        <v>0</v>
      </c>
      <c r="Y4" s="375" cm="1">
        <f t="array" ref="Y4">IFERROR(INDEX('Offer Statistics'!CX$2:CX$181,MATCH(1,($A4='Offer Statistics'!$CL$2:$CL$181)*($U$2='Offer Statistics'!$CM$2:$CM$181),0)),"/")</f>
        <v>0</v>
      </c>
      <c r="Z4" s="375" cm="1">
        <f t="array" ref="Z4">IFERROR(INDEX('Offer Statistics'!CY$2:CY$181,MATCH(1,($A4='Offer Statistics'!$CL$2:$CL$181)*($U$2='Offer Statistics'!$CM$2:$CM$181),0)),"/")</f>
        <v>0</v>
      </c>
      <c r="AA4" s="375" cm="1">
        <f t="array" ref="AA4">IFERROR(INDEX('Offer Statistics'!CZ$2:CZ$181,MATCH(1,($A4='Offer Statistics'!$CL$2:$CL$181)*($U$2='Offer Statistics'!$CM$2:$CM$181),0)),"/")</f>
        <v>0</v>
      </c>
      <c r="AB4" s="580"/>
      <c r="AC4" s="365" cm="1">
        <f t="array" ref="AC4">IFERROR(INDEX('Offer Statistics'!CS$2:CS$181,MATCH(1,($A4='Offer Statistics'!$CL$2:$CL$181)*($U$2='Offer Statistics'!$CM$2:$CM$181),0)),"/")</f>
        <v>414</v>
      </c>
      <c r="AD4" s="375" cm="1">
        <f t="array" ref="AD4">IFERROR(INDEX('Offer Statistics'!CN$2:CN$181,MATCH(1,($A4='Offer Statistics'!$CL$2:$CL$181)*($U$2='Offer Statistics'!$CM$2:$CM$181),0)),"/")</f>
        <v>31</v>
      </c>
      <c r="AE4" s="375" cm="1">
        <f t="array" ref="AE4">IFERROR(INDEX('Offer Statistics'!CO$2:CO$181,MATCH(1,($A4='Offer Statistics'!$CL$2:$CL$181)*($U$2='Offer Statistics'!$CM$2:$CM$181),0)),"/")</f>
        <v>39</v>
      </c>
      <c r="AF4" s="375" cm="1">
        <f t="array" ref="AF4">IFERROR(INDEX('Offer Statistics'!CP$2:CP$181,MATCH(1,($A4='Offer Statistics'!$CL$2:$CL$181)*($U$2='Offer Statistics'!$CM$2:$CM$181),0)),"/")</f>
        <v>68</v>
      </c>
      <c r="AG4" s="375" cm="1">
        <f t="array" ref="AG4">IFERROR(INDEX('Offer Statistics'!CQ$2:CQ$181,MATCH(1,($A4='Offer Statistics'!$CL$2:$CL$181)*($U$2='Offer Statistics'!$CM$2:$CM$181),0)),"/")</f>
        <v>128</v>
      </c>
      <c r="AH4" s="375" cm="1">
        <f t="array" ref="AH4">IFERROR(INDEX('Offer Statistics'!CR$2:CR$181,MATCH(1,($A4='Offer Statistics'!$CL$2:$CL$181)*($U$2='Offer Statistics'!$CM$2:$CM$181),0)),"/")</f>
        <v>148</v>
      </c>
      <c r="AJ4" s="354" t="str">
        <f t="shared" si="4"/>
        <v>JS6028</v>
      </c>
    </row>
    <row r="5" spans="1:36" ht="18" customHeight="1" x14ac:dyDescent="0.3">
      <c r="A5" s="346" t="str">
        <f>'Reference Score Calculation'!A240</f>
        <v>JS6042</v>
      </c>
      <c r="B5" s="346" t="str">
        <f>'Reference Score Calculation'!C240</f>
        <v>建築學院</v>
      </c>
      <c r="C5" s="346" t="str">
        <f>'Reference Score Calculation'!D240</f>
        <v>文學士(城市研究)</v>
      </c>
      <c r="D5" s="346" t="str">
        <f>'Reference Score Calculation'!T240</f>
        <v xml:space="preserve">	BA(US)</v>
      </c>
      <c r="E5" s="355" t="str">
        <f>'Reference Score Calculation'!E240</f>
        <v>Best 5</v>
      </c>
      <c r="F5" s="347">
        <f>'Reference Score Calculation'!F240</f>
        <v>31</v>
      </c>
      <c r="G5" s="347">
        <f>'Reference Score Calculation'!G240</f>
        <v>28</v>
      </c>
      <c r="H5" s="347">
        <f>'Reference Score Calculation'!H240</f>
        <v>26</v>
      </c>
      <c r="I5" s="368">
        <f>計分版!H261</f>
        <v>3.9500000000000006E-9</v>
      </c>
      <c r="J5" s="361">
        <f t="shared" si="2"/>
        <v>-27.999999996050001</v>
      </c>
      <c r="K5" s="362">
        <f t="shared" si="3"/>
        <v>-7088607593.9367075</v>
      </c>
      <c r="L5" s="365">
        <f>入學要求!C249</f>
        <v>17</v>
      </c>
      <c r="M5" s="372">
        <f>入學要求!R249</f>
        <v>0</v>
      </c>
      <c r="O5" s="355">
        <f>入學要求!D249</f>
        <v>3</v>
      </c>
      <c r="P5" s="355">
        <f>入學要求!E249</f>
        <v>3</v>
      </c>
      <c r="Q5" s="355">
        <f>入學要求!F249</f>
        <v>2</v>
      </c>
      <c r="R5" s="355">
        <f>入學要求!G249</f>
        <v>2</v>
      </c>
      <c r="S5" s="355">
        <f>入學要求!H249</f>
        <v>3</v>
      </c>
      <c r="T5" s="355">
        <f>入學要求!I249</f>
        <v>3</v>
      </c>
      <c r="U5" s="576"/>
      <c r="V5" s="365" cm="1">
        <f t="array" ref="V5">IFERROR(INDEX('Offer Statistics'!DA$2:DA$181,MATCH(1,($A5='Offer Statistics'!$CL$2:$CL$181)*($U$2='Offer Statistics'!$CM$2:$CM$181),0)),"/")</f>
        <v>24</v>
      </c>
      <c r="W5" s="375" cm="1">
        <f t="array" ref="W5">IFERROR(INDEX('Offer Statistics'!CV$2:CV$181,MATCH(1,($A5='Offer Statistics'!$CL$2:$CL$181)*($U$2='Offer Statistics'!$CM$2:$CM$181),0)),"/")</f>
        <v>24</v>
      </c>
      <c r="X5" s="375" cm="1">
        <f t="array" ref="X5">IFERROR(INDEX('Offer Statistics'!CW$2:CW$181,MATCH(1,($A5='Offer Statistics'!$CL$2:$CL$181)*($U$2='Offer Statistics'!$CM$2:$CM$181),0)),"/")</f>
        <v>0</v>
      </c>
      <c r="Y5" s="375" cm="1">
        <f t="array" ref="Y5">IFERROR(INDEX('Offer Statistics'!CX$2:CX$181,MATCH(1,($A5='Offer Statistics'!$CL$2:$CL$181)*($U$2='Offer Statistics'!$CM$2:$CM$181),0)),"/")</f>
        <v>0</v>
      </c>
      <c r="Z5" s="375" cm="1">
        <f t="array" ref="Z5">IFERROR(INDEX('Offer Statistics'!CY$2:CY$181,MATCH(1,($A5='Offer Statistics'!$CL$2:$CL$181)*($U$2='Offer Statistics'!$CM$2:$CM$181),0)),"/")</f>
        <v>0</v>
      </c>
      <c r="AA5" s="375" cm="1">
        <f t="array" ref="AA5">IFERROR(INDEX('Offer Statistics'!CZ$2:CZ$181,MATCH(1,($A5='Offer Statistics'!$CL$2:$CL$181)*($U$2='Offer Statistics'!$CM$2:$CM$181),0)),"/")</f>
        <v>0</v>
      </c>
      <c r="AB5" s="580"/>
      <c r="AC5" s="365" cm="1">
        <f t="array" ref="AC5">IFERROR(INDEX('Offer Statistics'!CS$2:CS$181,MATCH(1,($A5='Offer Statistics'!$CL$2:$CL$181)*($U$2='Offer Statistics'!$CM$2:$CM$181),0)),"/")</f>
        <v>643</v>
      </c>
      <c r="AD5" s="375" cm="1">
        <f t="array" ref="AD5">IFERROR(INDEX('Offer Statistics'!CN$2:CN$181,MATCH(1,($A5='Offer Statistics'!$CL$2:$CL$181)*($U$2='Offer Statistics'!$CM$2:$CM$181),0)),"/")</f>
        <v>66</v>
      </c>
      <c r="AE5" s="375" cm="1">
        <f t="array" ref="AE5">IFERROR(INDEX('Offer Statistics'!CO$2:CO$181,MATCH(1,($A5='Offer Statistics'!$CL$2:$CL$181)*($U$2='Offer Statistics'!$CM$2:$CM$181),0)),"/")</f>
        <v>69</v>
      </c>
      <c r="AF5" s="375" cm="1">
        <f t="array" ref="AF5">IFERROR(INDEX('Offer Statistics'!CP$2:CP$181,MATCH(1,($A5='Offer Statistics'!$CL$2:$CL$181)*($U$2='Offer Statistics'!$CM$2:$CM$181),0)),"/")</f>
        <v>129</v>
      </c>
      <c r="AG5" s="375" cm="1">
        <f t="array" ref="AG5">IFERROR(INDEX('Offer Statistics'!CQ$2:CQ$181,MATCH(1,($A5='Offer Statistics'!$CL$2:$CL$181)*($U$2='Offer Statistics'!$CM$2:$CM$181),0)),"/")</f>
        <v>188</v>
      </c>
      <c r="AH5" s="375" cm="1">
        <f t="array" ref="AH5">IFERROR(INDEX('Offer Statistics'!CR$2:CR$181,MATCH(1,($A5='Offer Statistics'!$CL$2:$CL$181)*($U$2='Offer Statistics'!$CM$2:$CM$181),0)),"/")</f>
        <v>191</v>
      </c>
      <c r="AJ5" s="354" t="str">
        <f t="shared" si="4"/>
        <v>JS6042</v>
      </c>
    </row>
    <row r="6" spans="1:36" ht="18" customHeight="1" x14ac:dyDescent="0.3">
      <c r="A6" s="346" t="str">
        <f>'Reference Score Calculation'!A241</f>
        <v>JS6054</v>
      </c>
      <c r="B6" s="346" t="str">
        <f>'Reference Score Calculation'!C241</f>
        <v>文學院</v>
      </c>
      <c r="C6" s="346" t="str">
        <f>'Reference Score Calculation'!D241</f>
        <v>文學士</v>
      </c>
      <c r="D6" s="346" t="str">
        <f>'Reference Score Calculation'!T241</f>
        <v xml:space="preserve">	BA</v>
      </c>
      <c r="E6" s="376" t="str">
        <f>'Reference Score Calculation'!E241</f>
        <v>Best 5</v>
      </c>
      <c r="F6" s="347">
        <f>'Reference Score Calculation'!F241</f>
        <v>26</v>
      </c>
      <c r="G6" s="347">
        <f>'Reference Score Calculation'!G241</f>
        <v>25</v>
      </c>
      <c r="H6" s="347">
        <f>'Reference Score Calculation'!H241</f>
        <v>24</v>
      </c>
      <c r="I6" s="368">
        <f>計分版!H262</f>
        <v>3.5500000000000004E-9</v>
      </c>
      <c r="J6" s="361">
        <f t="shared" si="2"/>
        <v>-24.999999996450001</v>
      </c>
      <c r="K6" s="362">
        <f t="shared" si="3"/>
        <v>-7042253520.1267605</v>
      </c>
      <c r="L6" s="365">
        <f>入學要求!C250</f>
        <v>289</v>
      </c>
      <c r="M6" s="372">
        <f>入學要求!R250</f>
        <v>0</v>
      </c>
      <c r="O6" s="355">
        <f>入學要求!D250</f>
        <v>3</v>
      </c>
      <c r="P6" s="355">
        <f>入學要求!E250</f>
        <v>3</v>
      </c>
      <c r="Q6" s="355">
        <f>入學要求!F250</f>
        <v>2</v>
      </c>
      <c r="R6" s="355">
        <f>入學要求!G250</f>
        <v>2</v>
      </c>
      <c r="S6" s="355">
        <f>入學要求!H250</f>
        <v>3</v>
      </c>
      <c r="T6" s="355">
        <f>入學要求!I250</f>
        <v>3</v>
      </c>
      <c r="U6" s="576"/>
      <c r="V6" s="365" cm="1">
        <f t="array" ref="V6">IFERROR(INDEX('Offer Statistics'!DA$2:DA$181,MATCH(1,($A6='Offer Statistics'!$CL$2:$CL$181)*($U$2='Offer Statistics'!$CM$2:$CM$181),0)),"/")</f>
        <v>328</v>
      </c>
      <c r="W6" s="375" cm="1">
        <f t="array" ref="W6">IFERROR(INDEX('Offer Statistics'!CV$2:CV$181,MATCH(1,($A6='Offer Statistics'!$CL$2:$CL$181)*($U$2='Offer Statistics'!$CM$2:$CM$181),0)),"/")</f>
        <v>328</v>
      </c>
      <c r="X6" s="375" cm="1">
        <f t="array" ref="X6">IFERROR(INDEX('Offer Statistics'!CW$2:CW$181,MATCH(1,($A6='Offer Statistics'!$CL$2:$CL$181)*($U$2='Offer Statistics'!$CM$2:$CM$181),0)),"/")</f>
        <v>0</v>
      </c>
      <c r="Y6" s="375" cm="1">
        <f t="array" ref="Y6">IFERROR(INDEX('Offer Statistics'!CX$2:CX$181,MATCH(1,($A6='Offer Statistics'!$CL$2:$CL$181)*($U$2='Offer Statistics'!$CM$2:$CM$181),0)),"/")</f>
        <v>0</v>
      </c>
      <c r="Z6" s="375" cm="1">
        <f t="array" ref="Z6">IFERROR(INDEX('Offer Statistics'!CY$2:CY$181,MATCH(1,($A6='Offer Statistics'!$CL$2:$CL$181)*($U$2='Offer Statistics'!$CM$2:$CM$181),0)),"/")</f>
        <v>0</v>
      </c>
      <c r="AA6" s="375" cm="1">
        <f t="array" ref="AA6">IFERROR(INDEX('Offer Statistics'!CZ$2:CZ$181,MATCH(1,($A6='Offer Statistics'!$CL$2:$CL$181)*($U$2='Offer Statistics'!$CM$2:$CM$181),0)),"/")</f>
        <v>0</v>
      </c>
      <c r="AB6" s="580"/>
      <c r="AC6" s="365" cm="1">
        <f t="array" ref="AC6">IFERROR(INDEX('Offer Statistics'!CS$2:CS$181,MATCH(1,($A6='Offer Statistics'!$CL$2:$CL$181)*($U$2='Offer Statistics'!$CM$2:$CM$181),0)),"/")</f>
        <v>3554</v>
      </c>
      <c r="AD6" s="375" cm="1">
        <f t="array" ref="AD6">IFERROR(INDEX('Offer Statistics'!CN$2:CN$181,MATCH(1,($A6='Offer Statistics'!$CL$2:$CL$181)*($U$2='Offer Statistics'!$CM$2:$CM$181),0)),"/")</f>
        <v>1253</v>
      </c>
      <c r="AE6" s="375" cm="1">
        <f t="array" ref="AE6">IFERROR(INDEX('Offer Statistics'!CO$2:CO$181,MATCH(1,($A6='Offer Statistics'!$CL$2:$CL$181)*($U$2='Offer Statistics'!$CM$2:$CM$181),0)),"/")</f>
        <v>531</v>
      </c>
      <c r="AF6" s="375" cm="1">
        <f t="array" ref="AF6">IFERROR(INDEX('Offer Statistics'!CP$2:CP$181,MATCH(1,($A6='Offer Statistics'!$CL$2:$CL$181)*($U$2='Offer Statistics'!$CM$2:$CM$181),0)),"/")</f>
        <v>571</v>
      </c>
      <c r="AG6" s="375" cm="1">
        <f t="array" ref="AG6">IFERROR(INDEX('Offer Statistics'!CQ$2:CQ$181,MATCH(1,($A6='Offer Statistics'!$CL$2:$CL$181)*($U$2='Offer Statistics'!$CM$2:$CM$181),0)),"/")</f>
        <v>648</v>
      </c>
      <c r="AH6" s="375" cm="1">
        <f t="array" ref="AH6">IFERROR(INDEX('Offer Statistics'!CR$2:CR$181,MATCH(1,($A6='Offer Statistics'!$CL$2:$CL$181)*($U$2='Offer Statistics'!$CM$2:$CM$181),0)),"/")</f>
        <v>551</v>
      </c>
      <c r="AJ6" s="354" t="str">
        <f t="shared" si="4"/>
        <v>JS6054</v>
      </c>
    </row>
    <row r="7" spans="1:36" ht="18" customHeight="1" x14ac:dyDescent="0.3">
      <c r="A7" s="346" t="str">
        <f>'Reference Score Calculation'!A242</f>
        <v>JS6286</v>
      </c>
      <c r="B7" s="346" t="str">
        <f>'Reference Score Calculation'!C242</f>
        <v>文學院</v>
      </c>
      <c r="C7" s="346" t="str">
        <f>'Reference Score Calculation'!D242</f>
        <v>文學士(人文及數碼科技)</v>
      </c>
      <c r="D7" s="346" t="str">
        <f>'Reference Score Calculation'!T242</f>
        <v>BA(HDT)</v>
      </c>
      <c r="E7" s="376" t="str">
        <f>'Reference Score Calculation'!AD242</f>
        <v>Best 5</v>
      </c>
      <c r="F7" s="347" t="str">
        <f>'Reference Score Calculation'!F242</f>
        <v>/</v>
      </c>
      <c r="G7" s="347" t="str">
        <f>'Reference Score Calculation'!G242</f>
        <v>/</v>
      </c>
      <c r="H7" s="347" t="str">
        <f>'Reference Score Calculation'!H242</f>
        <v>/</v>
      </c>
      <c r="I7" s="368">
        <f>計分版!H263</f>
        <v>3.6500000000000004E-9</v>
      </c>
      <c r="J7" s="7" t="s">
        <v>1978</v>
      </c>
      <c r="K7" s="8" t="s">
        <v>1978</v>
      </c>
      <c r="L7" s="365">
        <f>入學要求!C251</f>
        <v>50</v>
      </c>
      <c r="M7" s="372">
        <f>入學要求!R251</f>
        <v>0</v>
      </c>
      <c r="O7" s="355">
        <f>入學要求!D251</f>
        <v>3</v>
      </c>
      <c r="P7" s="355">
        <f>入學要求!E251</f>
        <v>3</v>
      </c>
      <c r="Q7" s="355">
        <f>入學要求!F251</f>
        <v>3</v>
      </c>
      <c r="R7" s="355">
        <f>入學要求!G251</f>
        <v>2</v>
      </c>
      <c r="S7" s="355">
        <f>入學要求!H251</f>
        <v>3</v>
      </c>
      <c r="T7" s="355">
        <f>入學要求!I251</f>
        <v>3</v>
      </c>
      <c r="U7" s="576"/>
      <c r="V7" s="365" t="str" cm="1">
        <f t="array" ref="V7">IFERROR(INDEX('Offer Statistics'!DA$2:DA$181,MATCH(1,($A7='Offer Statistics'!$CL$2:$CL$181)*($U$2='Offer Statistics'!$CM$2:$CM$181),0)),"/")</f>
        <v>/</v>
      </c>
      <c r="W7" s="375" t="str" cm="1">
        <f t="array" ref="W7">IFERROR(INDEX('Offer Statistics'!CV$2:CV$181,MATCH(1,($A7='Offer Statistics'!$CL$2:$CL$181)*($U$2='Offer Statistics'!$CM$2:$CM$181),0)),"/")</f>
        <v>/</v>
      </c>
      <c r="X7" s="375" t="str" cm="1">
        <f t="array" ref="X7">IFERROR(INDEX('Offer Statistics'!CW$2:CW$181,MATCH(1,($A7='Offer Statistics'!$CL$2:$CL$181)*($U$2='Offer Statistics'!$CM$2:$CM$181),0)),"/")</f>
        <v>/</v>
      </c>
      <c r="Y7" s="375" t="str" cm="1">
        <f t="array" ref="Y7">IFERROR(INDEX('Offer Statistics'!CX$2:CX$181,MATCH(1,($A7='Offer Statistics'!$CL$2:$CL$181)*($U$2='Offer Statistics'!$CM$2:$CM$181),0)),"/")</f>
        <v>/</v>
      </c>
      <c r="Z7" s="375" t="str" cm="1">
        <f t="array" ref="Z7">IFERROR(INDEX('Offer Statistics'!CY$2:CY$181,MATCH(1,($A7='Offer Statistics'!$CL$2:$CL$181)*($U$2='Offer Statistics'!$CM$2:$CM$181),0)),"/")</f>
        <v>/</v>
      </c>
      <c r="AA7" s="375" t="str" cm="1">
        <f t="array" ref="AA7">IFERROR(INDEX('Offer Statistics'!CZ$2:CZ$181,MATCH(1,($A7='Offer Statistics'!$CL$2:$CL$181)*($U$2='Offer Statistics'!$CM$2:$CM$181),0)),"/")</f>
        <v>/</v>
      </c>
      <c r="AB7" s="580"/>
      <c r="AC7" s="365" t="str" cm="1">
        <f t="array" ref="AC7">IFERROR(INDEX('Offer Statistics'!CS$2:CS$181,MATCH(1,($A7='Offer Statistics'!$CL$2:$CL$181)*($U$2='Offer Statistics'!$CM$2:$CM$181),0)),"/")</f>
        <v>/</v>
      </c>
      <c r="AD7" s="375" t="str" cm="1">
        <f t="array" ref="AD7">IFERROR(INDEX('Offer Statistics'!CN$2:CN$181,MATCH(1,($A7='Offer Statistics'!$CL$2:$CL$181)*($U$2='Offer Statistics'!$CM$2:$CM$181),0)),"/")</f>
        <v>/</v>
      </c>
      <c r="AE7" s="375" t="str" cm="1">
        <f t="array" ref="AE7">IFERROR(INDEX('Offer Statistics'!CO$2:CO$181,MATCH(1,($A7='Offer Statistics'!$CL$2:$CL$181)*($U$2='Offer Statistics'!$CM$2:$CM$181),0)),"/")</f>
        <v>/</v>
      </c>
      <c r="AF7" s="375" t="str" cm="1">
        <f t="array" ref="AF7">IFERROR(INDEX('Offer Statistics'!CP$2:CP$181,MATCH(1,($A7='Offer Statistics'!$CL$2:$CL$181)*($U$2='Offer Statistics'!$CM$2:$CM$181),0)),"/")</f>
        <v>/</v>
      </c>
      <c r="AG7" s="375" t="str" cm="1">
        <f t="array" ref="AG7">IFERROR(INDEX('Offer Statistics'!CQ$2:CQ$181,MATCH(1,($A7='Offer Statistics'!$CL$2:$CL$181)*($U$2='Offer Statistics'!$CM$2:$CM$181),0)),"/")</f>
        <v>/</v>
      </c>
      <c r="AH7" s="375" t="str" cm="1">
        <f t="array" ref="AH7">IFERROR(INDEX('Offer Statistics'!CR$2:CR$181,MATCH(1,($A7='Offer Statistics'!$CL$2:$CL$181)*($U$2='Offer Statistics'!$CM$2:$CM$181),0)),"/")</f>
        <v>/</v>
      </c>
      <c r="AJ7" s="354" t="str">
        <f t="shared" si="4"/>
        <v>JS6286</v>
      </c>
    </row>
    <row r="8" spans="1:36" ht="18" customHeight="1" x14ac:dyDescent="0.3">
      <c r="A8" s="346" t="str">
        <f>'Reference Score Calculation'!A243</f>
        <v>JS6767</v>
      </c>
      <c r="B8" s="346" t="str">
        <f>'Reference Score Calculation'!C243</f>
        <v>經濟及工商管理學院</v>
      </c>
      <c r="C8" s="346" t="str">
        <f>'Reference Score Calculation'!D243</f>
        <v>經濟學學士 / 經濟金融學學士</v>
      </c>
      <c r="D8" s="346" t="str">
        <f>'Reference Score Calculation'!T243</f>
        <v xml:space="preserve">	BEcon/BEcon&amp;Fin</v>
      </c>
      <c r="E8" s="376" t="str">
        <f>'Reference Score Calculation'!E243</f>
        <v>Best 6</v>
      </c>
      <c r="F8" s="347">
        <f>'Reference Score Calculation'!F243</f>
        <v>39</v>
      </c>
      <c r="G8" s="347">
        <f>'Reference Score Calculation'!G243</f>
        <v>36</v>
      </c>
      <c r="H8" s="347">
        <f>'Reference Score Calculation'!H243</f>
        <v>35</v>
      </c>
      <c r="I8" s="368">
        <f>計分版!H264</f>
        <v>3.7500000000000005E-9</v>
      </c>
      <c r="J8" s="25">
        <f t="shared" si="0"/>
        <v>-35.999999996249997</v>
      </c>
      <c r="K8" s="26">
        <f t="shared" si="1"/>
        <v>-9599999998.9999981</v>
      </c>
      <c r="L8" s="365" t="str">
        <f>入學要求!C252</f>
        <v>220*</v>
      </c>
      <c r="M8" s="372">
        <f>入學要求!R252</f>
        <v>0</v>
      </c>
      <c r="O8" s="355">
        <f>入學要求!D252</f>
        <v>3</v>
      </c>
      <c r="P8" s="355">
        <f>入學要求!E252</f>
        <v>4</v>
      </c>
      <c r="Q8" s="355">
        <f>入學要求!F252</f>
        <v>3</v>
      </c>
      <c r="R8" s="355">
        <f>入學要求!G252</f>
        <v>2</v>
      </c>
      <c r="S8" s="355">
        <f>入學要求!H252</f>
        <v>3</v>
      </c>
      <c r="T8" s="355">
        <f>入學要求!I252</f>
        <v>3</v>
      </c>
      <c r="U8" s="576"/>
      <c r="V8" s="365" cm="1">
        <f t="array" ref="V8">IFERROR(INDEX('Offer Statistics'!DA$2:DA$181,MATCH(1,($A8='Offer Statistics'!$CL$2:$CL$181)*($U$2='Offer Statistics'!$CM$2:$CM$181),0)),"/")</f>
        <v>90</v>
      </c>
      <c r="W8" s="375" cm="1">
        <f t="array" ref="W8">IFERROR(INDEX('Offer Statistics'!CV$2:CV$181,MATCH(1,($A8='Offer Statistics'!$CL$2:$CL$181)*($U$2='Offer Statistics'!$CM$2:$CM$181),0)),"/")</f>
        <v>90</v>
      </c>
      <c r="X8" s="375" cm="1">
        <f t="array" ref="X8">IFERROR(INDEX('Offer Statistics'!CW$2:CW$181,MATCH(1,($A8='Offer Statistics'!$CL$2:$CL$181)*($U$2='Offer Statistics'!$CM$2:$CM$181),0)),"/")</f>
        <v>0</v>
      </c>
      <c r="Y8" s="375" cm="1">
        <f t="array" ref="Y8">IFERROR(INDEX('Offer Statistics'!CX$2:CX$181,MATCH(1,($A8='Offer Statistics'!$CL$2:$CL$181)*($U$2='Offer Statistics'!$CM$2:$CM$181),0)),"/")</f>
        <v>0</v>
      </c>
      <c r="Z8" s="375" cm="1">
        <f t="array" ref="Z8">IFERROR(INDEX('Offer Statistics'!CY$2:CY$181,MATCH(1,($A8='Offer Statistics'!$CL$2:$CL$181)*($U$2='Offer Statistics'!$CM$2:$CM$181),0)),"/")</f>
        <v>0</v>
      </c>
      <c r="AA8" s="375" cm="1">
        <f t="array" ref="AA8">IFERROR(INDEX('Offer Statistics'!CZ$2:CZ$181,MATCH(1,($A8='Offer Statistics'!$CL$2:$CL$181)*($U$2='Offer Statistics'!$CM$2:$CM$181),0)),"/")</f>
        <v>0</v>
      </c>
      <c r="AB8" s="580"/>
      <c r="AC8" s="365" cm="1">
        <f t="array" ref="AC8">IFERROR(INDEX('Offer Statistics'!CS$2:CS$181,MATCH(1,($A8='Offer Statistics'!$CL$2:$CL$181)*($U$2='Offer Statistics'!$CM$2:$CM$181),0)),"/")</f>
        <v>1893</v>
      </c>
      <c r="AD8" s="375" cm="1">
        <f t="array" ref="AD8">IFERROR(INDEX('Offer Statistics'!CN$2:CN$181,MATCH(1,($A8='Offer Statistics'!$CL$2:$CL$181)*($U$2='Offer Statistics'!$CM$2:$CM$181),0)),"/")</f>
        <v>433</v>
      </c>
      <c r="AE8" s="375" cm="1">
        <f t="array" ref="AE8">IFERROR(INDEX('Offer Statistics'!CO$2:CO$181,MATCH(1,($A8='Offer Statistics'!$CL$2:$CL$181)*($U$2='Offer Statistics'!$CM$2:$CM$181),0)),"/")</f>
        <v>260</v>
      </c>
      <c r="AF8" s="375" cm="1">
        <f t="array" ref="AF8">IFERROR(INDEX('Offer Statistics'!CP$2:CP$181,MATCH(1,($A8='Offer Statistics'!$CL$2:$CL$181)*($U$2='Offer Statistics'!$CM$2:$CM$181),0)),"/")</f>
        <v>335</v>
      </c>
      <c r="AG8" s="375" cm="1">
        <f t="array" ref="AG8">IFERROR(INDEX('Offer Statistics'!CQ$2:CQ$181,MATCH(1,($A8='Offer Statistics'!$CL$2:$CL$181)*($U$2='Offer Statistics'!$CM$2:$CM$181),0)),"/")</f>
        <v>462</v>
      </c>
      <c r="AH8" s="375" cm="1">
        <f t="array" ref="AH8">IFERROR(INDEX('Offer Statistics'!CR$2:CR$181,MATCH(1,($A8='Offer Statistics'!$CL$2:$CL$181)*($U$2='Offer Statistics'!$CM$2:$CM$181),0)),"/")</f>
        <v>403</v>
      </c>
      <c r="AJ8" s="354" t="str">
        <f t="shared" si="4"/>
        <v>JS6767</v>
      </c>
    </row>
    <row r="9" spans="1:36" ht="18" customHeight="1" x14ac:dyDescent="0.3">
      <c r="A9" s="346" t="str">
        <f>'Reference Score Calculation'!A244</f>
        <v>JS6781</v>
      </c>
      <c r="B9" s="346" t="str">
        <f>'Reference Score Calculation'!C244</f>
        <v>經濟及工商管理學院</v>
      </c>
      <c r="C9" s="346" t="str">
        <f>'Reference Score Calculation'!D244</f>
        <v>工商管理學學士 / 工商管理學學士(會計及財務)</v>
      </c>
      <c r="D9" s="346" t="str">
        <f>'Reference Score Calculation'!T244</f>
        <v xml:space="preserve">	BBA/BBA(Acc&amp;Fin)</v>
      </c>
      <c r="E9" s="376" t="str">
        <f>'Reference Score Calculation'!E244</f>
        <v>Best 6</v>
      </c>
      <c r="F9" s="347">
        <f>'Reference Score Calculation'!F244</f>
        <v>39</v>
      </c>
      <c r="G9" s="347">
        <f>'Reference Score Calculation'!G244</f>
        <v>36</v>
      </c>
      <c r="H9" s="347">
        <f>'Reference Score Calculation'!H244</f>
        <v>35</v>
      </c>
      <c r="I9" s="368">
        <f>計分版!H265</f>
        <v>3.4500000000000003E-9</v>
      </c>
      <c r="J9" s="361">
        <f t="shared" ref="J9:J49" si="5">IF(J$1="差距(Median)",I9-G9,IF(J$1="差距(UQ)",I9-F9,IF(J$1="差距(LQ)",I9-H9)))</f>
        <v>-35.999999996550002</v>
      </c>
      <c r="K9" s="362">
        <f t="shared" ref="K9:K49" si="6">IF(J$1="差距(Median)",(I9-G9)/I9,IF(J$1="差距(UQ)",(I9-F9)/I9,IF(J$1="差距(LQ)",(I9-H9)/I9)))</f>
        <v>-10434782607.695652</v>
      </c>
      <c r="L9" s="365" t="str">
        <f>入學要求!C253</f>
        <v>220*</v>
      </c>
      <c r="M9" s="372">
        <f>入學要求!R253</f>
        <v>0</v>
      </c>
      <c r="O9" s="355">
        <f>入學要求!D253</f>
        <v>3</v>
      </c>
      <c r="P9" s="355">
        <f>入學要求!E253</f>
        <v>4</v>
      </c>
      <c r="Q9" s="355">
        <f>入學要求!F253</f>
        <v>3</v>
      </c>
      <c r="R9" s="355">
        <f>入學要求!G253</f>
        <v>2</v>
      </c>
      <c r="S9" s="355">
        <f>入學要求!H253</f>
        <v>3</v>
      </c>
      <c r="T9" s="355">
        <f>入學要求!I253</f>
        <v>3</v>
      </c>
      <c r="U9" s="576"/>
      <c r="V9" s="365" cm="1">
        <f t="array" ref="V9">IFERROR(INDEX('Offer Statistics'!DA$2:DA$181,MATCH(1,($A9='Offer Statistics'!$CL$2:$CL$181)*($U$2='Offer Statistics'!$CM$2:$CM$181),0)),"/")</f>
        <v>163</v>
      </c>
      <c r="W9" s="375" cm="1">
        <f t="array" ref="W9">IFERROR(INDEX('Offer Statistics'!CV$2:CV$181,MATCH(1,($A9='Offer Statistics'!$CL$2:$CL$181)*($U$2='Offer Statistics'!$CM$2:$CM$181),0)),"/")</f>
        <v>163</v>
      </c>
      <c r="X9" s="375" cm="1">
        <f t="array" ref="X9">IFERROR(INDEX('Offer Statistics'!CW$2:CW$181,MATCH(1,($A9='Offer Statistics'!$CL$2:$CL$181)*($U$2='Offer Statistics'!$CM$2:$CM$181),0)),"/")</f>
        <v>0</v>
      </c>
      <c r="Y9" s="375" cm="1">
        <f t="array" ref="Y9">IFERROR(INDEX('Offer Statistics'!CX$2:CX$181,MATCH(1,($A9='Offer Statistics'!$CL$2:$CL$181)*($U$2='Offer Statistics'!$CM$2:$CM$181),0)),"/")</f>
        <v>0</v>
      </c>
      <c r="Z9" s="375" cm="1">
        <f t="array" ref="Z9">IFERROR(INDEX('Offer Statistics'!CY$2:CY$181,MATCH(1,($A9='Offer Statistics'!$CL$2:$CL$181)*($U$2='Offer Statistics'!$CM$2:$CM$181),0)),"/")</f>
        <v>0</v>
      </c>
      <c r="AA9" s="375" cm="1">
        <f t="array" ref="AA9">IFERROR(INDEX('Offer Statistics'!CZ$2:CZ$181,MATCH(1,($A9='Offer Statistics'!$CL$2:$CL$181)*($U$2='Offer Statistics'!$CM$2:$CM$181),0)),"/")</f>
        <v>0</v>
      </c>
      <c r="AB9" s="580"/>
      <c r="AC9" s="365" cm="1">
        <f t="array" ref="AC9">IFERROR(INDEX('Offer Statistics'!CS$2:CS$181,MATCH(1,($A9='Offer Statistics'!$CL$2:$CL$181)*($U$2='Offer Statistics'!$CM$2:$CM$181),0)),"/")</f>
        <v>2092</v>
      </c>
      <c r="AD9" s="375" cm="1">
        <f t="array" ref="AD9">IFERROR(INDEX('Offer Statistics'!CN$2:CN$181,MATCH(1,($A9='Offer Statistics'!$CL$2:$CL$181)*($U$2='Offer Statistics'!$CM$2:$CM$181),0)),"/")</f>
        <v>458</v>
      </c>
      <c r="AE9" s="375" cm="1">
        <f t="array" ref="AE9">IFERROR(INDEX('Offer Statistics'!CO$2:CO$181,MATCH(1,($A9='Offer Statistics'!$CL$2:$CL$181)*($U$2='Offer Statistics'!$CM$2:$CM$181),0)),"/")</f>
        <v>267</v>
      </c>
      <c r="AF9" s="375" cm="1">
        <f t="array" ref="AF9">IFERROR(INDEX('Offer Statistics'!CP$2:CP$181,MATCH(1,($A9='Offer Statistics'!$CL$2:$CL$181)*($U$2='Offer Statistics'!$CM$2:$CM$181),0)),"/")</f>
        <v>406</v>
      </c>
      <c r="AG9" s="375" cm="1">
        <f t="array" ref="AG9">IFERROR(INDEX('Offer Statistics'!CQ$2:CQ$181,MATCH(1,($A9='Offer Statistics'!$CL$2:$CL$181)*($U$2='Offer Statistics'!$CM$2:$CM$181),0)),"/")</f>
        <v>500</v>
      </c>
      <c r="AH9" s="375" cm="1">
        <f t="array" ref="AH9">IFERROR(INDEX('Offer Statistics'!CR$2:CR$181,MATCH(1,($A9='Offer Statistics'!$CL$2:$CL$181)*($U$2='Offer Statistics'!$CM$2:$CM$181),0)),"/")</f>
        <v>461</v>
      </c>
      <c r="AJ9" s="354" t="str">
        <f t="shared" si="4"/>
        <v>JS6781</v>
      </c>
    </row>
    <row r="10" spans="1:36" ht="18" customHeight="1" x14ac:dyDescent="0.3">
      <c r="A10" s="346" t="str">
        <f>'Reference Score Calculation'!A245</f>
        <v>JS6860</v>
      </c>
      <c r="B10" s="346" t="str">
        <f>'Reference Score Calculation'!C245</f>
        <v>經濟及工商管理學院</v>
      </c>
      <c r="C10" s="346" t="str">
        <f>'Reference Score Calculation'!D245</f>
        <v>金融學學士(資產管理及私人銀行)</v>
      </c>
      <c r="D10" s="346" t="str">
        <f>'Reference Score Calculation'!T245</f>
        <v xml:space="preserve">	BFin(AMPB)</v>
      </c>
      <c r="E10" s="376" t="str">
        <f>'Reference Score Calculation'!E245</f>
        <v>Best 6</v>
      </c>
      <c r="F10" s="347">
        <f>'Reference Score Calculation'!F245</f>
        <v>46</v>
      </c>
      <c r="G10" s="347">
        <f>'Reference Score Calculation'!G245</f>
        <v>45</v>
      </c>
      <c r="H10" s="347">
        <f>'Reference Score Calculation'!H245</f>
        <v>44</v>
      </c>
      <c r="I10" s="368">
        <f>計分版!H266</f>
        <v>3.4500000000000003E-9</v>
      </c>
      <c r="J10" s="361">
        <f t="shared" si="5"/>
        <v>-44.999999996550002</v>
      </c>
      <c r="K10" s="362">
        <f t="shared" si="6"/>
        <v>-13043478259.869564</v>
      </c>
      <c r="L10" s="365">
        <f>入學要求!C254</f>
        <v>30</v>
      </c>
      <c r="M10" s="372">
        <f>入學要求!R254</f>
        <v>0</v>
      </c>
      <c r="O10" s="355">
        <f>入學要求!D254</f>
        <v>3</v>
      </c>
      <c r="P10" s="355">
        <f>入學要求!E254</f>
        <v>4</v>
      </c>
      <c r="Q10" s="355">
        <f>入學要求!F254</f>
        <v>3</v>
      </c>
      <c r="R10" s="355">
        <f>入學要求!G254</f>
        <v>2</v>
      </c>
      <c r="S10" s="355">
        <f>入學要求!H254</f>
        <v>3</v>
      </c>
      <c r="T10" s="355">
        <f>入學要求!I254</f>
        <v>3</v>
      </c>
      <c r="U10" s="576"/>
      <c r="V10" s="365" cm="1">
        <f t="array" ref="V10">IFERROR(INDEX('Offer Statistics'!DA$2:DA$181,MATCH(1,($A10='Offer Statistics'!$CL$2:$CL$181)*($U$2='Offer Statistics'!$CM$2:$CM$181),0)),"/")</f>
        <v>23</v>
      </c>
      <c r="W10" s="375" cm="1">
        <f t="array" ref="W10">IFERROR(INDEX('Offer Statistics'!CV$2:CV$181,MATCH(1,($A10='Offer Statistics'!$CL$2:$CL$181)*($U$2='Offer Statistics'!$CM$2:$CM$181),0)),"/")</f>
        <v>23</v>
      </c>
      <c r="X10" s="375" cm="1">
        <f t="array" ref="X10">IFERROR(INDEX('Offer Statistics'!CW$2:CW$181,MATCH(1,($A10='Offer Statistics'!$CL$2:$CL$181)*($U$2='Offer Statistics'!$CM$2:$CM$181),0)),"/")</f>
        <v>0</v>
      </c>
      <c r="Y10" s="375" cm="1">
        <f t="array" ref="Y10">IFERROR(INDEX('Offer Statistics'!CX$2:CX$181,MATCH(1,($A10='Offer Statistics'!$CL$2:$CL$181)*($U$2='Offer Statistics'!$CM$2:$CM$181),0)),"/")</f>
        <v>0</v>
      </c>
      <c r="Z10" s="375" cm="1">
        <f t="array" ref="Z10">IFERROR(INDEX('Offer Statistics'!CY$2:CY$181,MATCH(1,($A10='Offer Statistics'!$CL$2:$CL$181)*($U$2='Offer Statistics'!$CM$2:$CM$181),0)),"/")</f>
        <v>0</v>
      </c>
      <c r="AA10" s="375" cm="1">
        <f t="array" ref="AA10">IFERROR(INDEX('Offer Statistics'!CZ$2:CZ$181,MATCH(1,($A10='Offer Statistics'!$CL$2:$CL$181)*($U$2='Offer Statistics'!$CM$2:$CM$181),0)),"/")</f>
        <v>0</v>
      </c>
      <c r="AB10" s="580"/>
      <c r="AC10" s="365" cm="1">
        <f t="array" ref="AC10">IFERROR(INDEX('Offer Statistics'!CS$2:CS$181,MATCH(1,($A10='Offer Statistics'!$CL$2:$CL$181)*($U$2='Offer Statistics'!$CM$2:$CM$181),0)),"/")</f>
        <v>635</v>
      </c>
      <c r="AD10" s="375" cm="1">
        <f t="array" ref="AD10">IFERROR(INDEX('Offer Statistics'!CN$2:CN$181,MATCH(1,($A10='Offer Statistics'!$CL$2:$CL$181)*($U$2='Offer Statistics'!$CM$2:$CM$181),0)),"/")</f>
        <v>109</v>
      </c>
      <c r="AE10" s="375" cm="1">
        <f t="array" ref="AE10">IFERROR(INDEX('Offer Statistics'!CO$2:CO$181,MATCH(1,($A10='Offer Statistics'!$CL$2:$CL$181)*($U$2='Offer Statistics'!$CM$2:$CM$181),0)),"/")</f>
        <v>70</v>
      </c>
      <c r="AF10" s="375" cm="1">
        <f t="array" ref="AF10">IFERROR(INDEX('Offer Statistics'!CP$2:CP$181,MATCH(1,($A10='Offer Statistics'!$CL$2:$CL$181)*($U$2='Offer Statistics'!$CM$2:$CM$181),0)),"/")</f>
        <v>122</v>
      </c>
      <c r="AG10" s="375" cm="1">
        <f t="array" ref="AG10">IFERROR(INDEX('Offer Statistics'!CQ$2:CQ$181,MATCH(1,($A10='Offer Statistics'!$CL$2:$CL$181)*($U$2='Offer Statistics'!$CM$2:$CM$181),0)),"/")</f>
        <v>172</v>
      </c>
      <c r="AH10" s="375" cm="1">
        <f t="array" ref="AH10">IFERROR(INDEX('Offer Statistics'!CR$2:CR$181,MATCH(1,($A10='Offer Statistics'!$CL$2:$CL$181)*($U$2='Offer Statistics'!$CM$2:$CM$181),0)),"/")</f>
        <v>162</v>
      </c>
      <c r="AJ10" s="354" t="str">
        <f t="shared" si="4"/>
        <v>JS6860</v>
      </c>
    </row>
    <row r="11" spans="1:36" ht="18" customHeight="1" x14ac:dyDescent="0.3">
      <c r="A11" s="346" t="str">
        <f>'Reference Score Calculation'!A246</f>
        <v>JS6793</v>
      </c>
      <c r="B11" s="346" t="str">
        <f>'Reference Score Calculation'!C246</f>
        <v>經濟及工商管理學院</v>
      </c>
      <c r="C11" s="346" t="str">
        <f>'Reference Score Calculation'!D246</f>
        <v>工商管理學學士(資訊系統)</v>
      </c>
      <c r="D11" s="346" t="str">
        <f>'Reference Score Calculation'!T246</f>
        <v xml:space="preserve">	BBA(IS)</v>
      </c>
      <c r="E11" s="376" t="str">
        <f>'Reference Score Calculation'!E246</f>
        <v>Best 6</v>
      </c>
      <c r="F11" s="347">
        <f>'Reference Score Calculation'!F246</f>
        <v>39</v>
      </c>
      <c r="G11" s="347">
        <f>'Reference Score Calculation'!G246</f>
        <v>37</v>
      </c>
      <c r="H11" s="347">
        <f>'Reference Score Calculation'!H246</f>
        <v>36</v>
      </c>
      <c r="I11" s="368">
        <f>計分版!H267</f>
        <v>3.9000000000000002E-9</v>
      </c>
      <c r="J11" s="361">
        <f t="shared" si="5"/>
        <v>-36.999999996100001</v>
      </c>
      <c r="K11" s="362">
        <f t="shared" si="6"/>
        <v>-9487179486.1794872</v>
      </c>
      <c r="L11" s="365">
        <f>入學要求!C255</f>
        <v>15</v>
      </c>
      <c r="M11" s="372">
        <f>入學要求!R255</f>
        <v>0</v>
      </c>
      <c r="O11" s="355">
        <f>入學要求!D255</f>
        <v>3</v>
      </c>
      <c r="P11" s="355">
        <f>入學要求!E255</f>
        <v>4</v>
      </c>
      <c r="Q11" s="355">
        <f>入學要求!F255</f>
        <v>3</v>
      </c>
      <c r="R11" s="355">
        <f>入學要求!G255</f>
        <v>2</v>
      </c>
      <c r="S11" s="355">
        <f>入學要求!H255</f>
        <v>3</v>
      </c>
      <c r="T11" s="355">
        <f>入學要求!I255</f>
        <v>3</v>
      </c>
      <c r="U11" s="576"/>
      <c r="V11" s="365" cm="1">
        <f t="array" ref="V11">IFERROR(INDEX('Offer Statistics'!DA$2:DA$181,MATCH(1,($A11='Offer Statistics'!$CL$2:$CL$181)*($U$2='Offer Statistics'!$CM$2:$CM$181),0)),"/")</f>
        <v>22</v>
      </c>
      <c r="W11" s="375" cm="1">
        <f t="array" ref="W11">IFERROR(INDEX('Offer Statistics'!CV$2:CV$181,MATCH(1,($A11='Offer Statistics'!$CL$2:$CL$181)*($U$2='Offer Statistics'!$CM$2:$CM$181),0)),"/")</f>
        <v>22</v>
      </c>
      <c r="X11" s="375" cm="1">
        <f t="array" ref="X11">IFERROR(INDEX('Offer Statistics'!CW$2:CW$181,MATCH(1,($A11='Offer Statistics'!$CL$2:$CL$181)*($U$2='Offer Statistics'!$CM$2:$CM$181),0)),"/")</f>
        <v>0</v>
      </c>
      <c r="Y11" s="375" cm="1">
        <f t="array" ref="Y11">IFERROR(INDEX('Offer Statistics'!CX$2:CX$181,MATCH(1,($A11='Offer Statistics'!$CL$2:$CL$181)*($U$2='Offer Statistics'!$CM$2:$CM$181),0)),"/")</f>
        <v>0</v>
      </c>
      <c r="Z11" s="375" cm="1">
        <f t="array" ref="Z11">IFERROR(INDEX('Offer Statistics'!CY$2:CY$181,MATCH(1,($A11='Offer Statistics'!$CL$2:$CL$181)*($U$2='Offer Statistics'!$CM$2:$CM$181),0)),"/")</f>
        <v>0</v>
      </c>
      <c r="AA11" s="375" cm="1">
        <f t="array" ref="AA11">IFERROR(INDEX('Offer Statistics'!CZ$2:CZ$181,MATCH(1,($A11='Offer Statistics'!$CL$2:$CL$181)*($U$2='Offer Statistics'!$CM$2:$CM$181),0)),"/")</f>
        <v>0</v>
      </c>
      <c r="AB11" s="580"/>
      <c r="AC11" s="365" cm="1">
        <f t="array" ref="AC11">IFERROR(INDEX('Offer Statistics'!CS$2:CS$181,MATCH(1,($A11='Offer Statistics'!$CL$2:$CL$181)*($U$2='Offer Statistics'!$CM$2:$CM$181),0)),"/")</f>
        <v>762</v>
      </c>
      <c r="AD11" s="375" cm="1">
        <f t="array" ref="AD11">IFERROR(INDEX('Offer Statistics'!CN$2:CN$181,MATCH(1,($A11='Offer Statistics'!$CL$2:$CL$181)*($U$2='Offer Statistics'!$CM$2:$CM$181),0)),"/")</f>
        <v>101</v>
      </c>
      <c r="AE11" s="375" cm="1">
        <f t="array" ref="AE11">IFERROR(INDEX('Offer Statistics'!CO$2:CO$181,MATCH(1,($A11='Offer Statistics'!$CL$2:$CL$181)*($U$2='Offer Statistics'!$CM$2:$CM$181),0)),"/")</f>
        <v>105</v>
      </c>
      <c r="AF11" s="375" cm="1">
        <f t="array" ref="AF11">IFERROR(INDEX('Offer Statistics'!CP$2:CP$181,MATCH(1,($A11='Offer Statistics'!$CL$2:$CL$181)*($U$2='Offer Statistics'!$CM$2:$CM$181),0)),"/")</f>
        <v>129</v>
      </c>
      <c r="AG11" s="375" cm="1">
        <f t="array" ref="AG11">IFERROR(INDEX('Offer Statistics'!CQ$2:CQ$181,MATCH(1,($A11='Offer Statistics'!$CL$2:$CL$181)*($U$2='Offer Statistics'!$CM$2:$CM$181),0)),"/")</f>
        <v>214</v>
      </c>
      <c r="AH11" s="375" cm="1">
        <f t="array" ref="AH11">IFERROR(INDEX('Offer Statistics'!CR$2:CR$181,MATCH(1,($A11='Offer Statistics'!$CL$2:$CL$181)*($U$2='Offer Statistics'!$CM$2:$CM$181),0)),"/")</f>
        <v>213</v>
      </c>
      <c r="AJ11" s="354" t="str">
        <f t="shared" si="4"/>
        <v>JS6793</v>
      </c>
    </row>
    <row r="12" spans="1:36" ht="18" customHeight="1" x14ac:dyDescent="0.3">
      <c r="A12" s="346" t="str">
        <f>'Reference Score Calculation'!A247</f>
        <v>JS6808</v>
      </c>
      <c r="B12" s="346" t="str">
        <f>'Reference Score Calculation'!C247</f>
        <v>經濟及工商管理學院</v>
      </c>
      <c r="C12" s="346" t="str">
        <f>'Reference Score Calculation'!D247</f>
        <v>工商管理學學士(法學)及法學士 (雙學位課程)</v>
      </c>
      <c r="D12" s="346" t="str">
        <f>'Reference Score Calculation'!T247</f>
        <v xml:space="preserve">	BBA(Law)&amp;LLB</v>
      </c>
      <c r="E12" s="376" t="str">
        <f>'Reference Score Calculation'!E247</f>
        <v>Best 6</v>
      </c>
      <c r="F12" s="347">
        <f>'Reference Score Calculation'!F247</f>
        <v>50</v>
      </c>
      <c r="G12" s="347">
        <f>'Reference Score Calculation'!G247</f>
        <v>47</v>
      </c>
      <c r="H12" s="347">
        <f>'Reference Score Calculation'!H247</f>
        <v>45</v>
      </c>
      <c r="I12" s="368">
        <f>計分版!H268</f>
        <v>3.4500000000000003E-9</v>
      </c>
      <c r="J12" s="361">
        <f t="shared" si="5"/>
        <v>-46.999999996550002</v>
      </c>
      <c r="K12" s="362">
        <f t="shared" si="6"/>
        <v>-13623188404.7971</v>
      </c>
      <c r="L12" s="365">
        <f>入學要求!C256</f>
        <v>80</v>
      </c>
      <c r="M12" s="372">
        <f>入學要求!R256</f>
        <v>0</v>
      </c>
      <c r="O12" s="355">
        <f>入學要求!D256</f>
        <v>4</v>
      </c>
      <c r="P12" s="355">
        <f>入學要求!E256</f>
        <v>5</v>
      </c>
      <c r="Q12" s="355">
        <f>入學要求!F256</f>
        <v>4</v>
      </c>
      <c r="R12" s="355">
        <f>入學要求!G256</f>
        <v>2</v>
      </c>
      <c r="S12" s="355">
        <f>入學要求!H256</f>
        <v>3</v>
      </c>
      <c r="T12" s="355">
        <f>入學要求!I256</f>
        <v>3</v>
      </c>
      <c r="U12" s="576"/>
      <c r="V12" s="365" cm="1">
        <f t="array" ref="V12">IFERROR(INDEX('Offer Statistics'!DA$2:DA$181,MATCH(1,($A12='Offer Statistics'!$CL$2:$CL$181)*($U$2='Offer Statistics'!$CM$2:$CM$181),0)),"/")</f>
        <v>68</v>
      </c>
      <c r="W12" s="375" cm="1">
        <f t="array" ref="W12">IFERROR(INDEX('Offer Statistics'!CV$2:CV$181,MATCH(1,($A12='Offer Statistics'!$CL$2:$CL$181)*($U$2='Offer Statistics'!$CM$2:$CM$181),0)),"/")</f>
        <v>68</v>
      </c>
      <c r="X12" s="375" cm="1">
        <f t="array" ref="X12">IFERROR(INDEX('Offer Statistics'!CW$2:CW$181,MATCH(1,($A12='Offer Statistics'!$CL$2:$CL$181)*($U$2='Offer Statistics'!$CM$2:$CM$181),0)),"/")</f>
        <v>0</v>
      </c>
      <c r="Y12" s="375" cm="1">
        <f t="array" ref="Y12">IFERROR(INDEX('Offer Statistics'!CX$2:CX$181,MATCH(1,($A12='Offer Statistics'!$CL$2:$CL$181)*($U$2='Offer Statistics'!$CM$2:$CM$181),0)),"/")</f>
        <v>0</v>
      </c>
      <c r="Z12" s="375" cm="1">
        <f t="array" ref="Z12">IFERROR(INDEX('Offer Statistics'!CY$2:CY$181,MATCH(1,($A12='Offer Statistics'!$CL$2:$CL$181)*($U$2='Offer Statistics'!$CM$2:$CM$181),0)),"/")</f>
        <v>0</v>
      </c>
      <c r="AA12" s="375" cm="1">
        <f t="array" ref="AA12">IFERROR(INDEX('Offer Statistics'!CZ$2:CZ$181,MATCH(1,($A12='Offer Statistics'!$CL$2:$CL$181)*($U$2='Offer Statistics'!$CM$2:$CM$181),0)),"/")</f>
        <v>0</v>
      </c>
      <c r="AB12" s="580"/>
      <c r="AC12" s="365" cm="1">
        <f t="array" ref="AC12">IFERROR(INDEX('Offer Statistics'!CS$2:CS$181,MATCH(1,($A12='Offer Statistics'!$CL$2:$CL$181)*($U$2='Offer Statistics'!$CM$2:$CM$181),0)),"/")</f>
        <v>483</v>
      </c>
      <c r="AD12" s="375" cm="1">
        <f t="array" ref="AD12">IFERROR(INDEX('Offer Statistics'!CN$2:CN$181,MATCH(1,($A12='Offer Statistics'!$CL$2:$CL$181)*($U$2='Offer Statistics'!$CM$2:$CM$181),0)),"/")</f>
        <v>129</v>
      </c>
      <c r="AE12" s="375" cm="1">
        <f t="array" ref="AE12">IFERROR(INDEX('Offer Statistics'!CO$2:CO$181,MATCH(1,($A12='Offer Statistics'!$CL$2:$CL$181)*($U$2='Offer Statistics'!$CM$2:$CM$181),0)),"/")</f>
        <v>69</v>
      </c>
      <c r="AF12" s="375" cm="1">
        <f t="array" ref="AF12">IFERROR(INDEX('Offer Statistics'!CP$2:CP$181,MATCH(1,($A12='Offer Statistics'!$CL$2:$CL$181)*($U$2='Offer Statistics'!$CM$2:$CM$181),0)),"/")</f>
        <v>79</v>
      </c>
      <c r="AG12" s="375" cm="1">
        <f t="array" ref="AG12">IFERROR(INDEX('Offer Statistics'!CQ$2:CQ$181,MATCH(1,($A12='Offer Statistics'!$CL$2:$CL$181)*($U$2='Offer Statistics'!$CM$2:$CM$181),0)),"/")</f>
        <v>86</v>
      </c>
      <c r="AH12" s="375" cm="1">
        <f t="array" ref="AH12">IFERROR(INDEX('Offer Statistics'!CR$2:CR$181,MATCH(1,($A12='Offer Statistics'!$CL$2:$CL$181)*($U$2='Offer Statistics'!$CM$2:$CM$181),0)),"/")</f>
        <v>120</v>
      </c>
      <c r="AJ12" s="354" t="str">
        <f t="shared" si="4"/>
        <v>JS6808</v>
      </c>
    </row>
    <row r="13" spans="1:36" ht="18" customHeight="1" x14ac:dyDescent="0.3">
      <c r="A13" s="346" t="str">
        <f>'Reference Score Calculation'!A248</f>
        <v>JS6846</v>
      </c>
      <c r="B13" s="346" t="str">
        <f>'Reference Score Calculation'!C248</f>
        <v>經濟及工商管理學院</v>
      </c>
      <c r="C13" s="346" t="str">
        <f>'Reference Score Calculation'!D248</f>
        <v>理學士(營銷分析及科技)</v>
      </c>
      <c r="D13" s="346" t="str">
        <f>'Reference Score Calculation'!T248</f>
        <v>BSc(MAT)</v>
      </c>
      <c r="E13" s="376" t="str">
        <f>'Reference Score Calculation'!AD248</f>
        <v>Best 6</v>
      </c>
      <c r="F13" s="347" t="str">
        <f>'Reference Score Calculation'!F248</f>
        <v>/</v>
      </c>
      <c r="G13" s="347" t="str">
        <f>'Reference Score Calculation'!G248</f>
        <v>/</v>
      </c>
      <c r="H13" s="347" t="str">
        <f>'Reference Score Calculation'!H248</f>
        <v>/</v>
      </c>
      <c r="I13" s="368">
        <f>計分版!H269</f>
        <v>3.7E-9</v>
      </c>
      <c r="J13" s="348" t="s">
        <v>1978</v>
      </c>
      <c r="K13" s="349" t="s">
        <v>1978</v>
      </c>
      <c r="L13" s="365">
        <f>入學要求!C257</f>
        <v>25</v>
      </c>
      <c r="M13" s="372">
        <f>入學要求!R257</f>
        <v>0</v>
      </c>
      <c r="O13" s="355">
        <f>入學要求!D257</f>
        <v>3</v>
      </c>
      <c r="P13" s="355">
        <f>入學要求!E257</f>
        <v>4</v>
      </c>
      <c r="Q13" s="355">
        <f>入學要求!F257</f>
        <v>3</v>
      </c>
      <c r="R13" s="355">
        <f>入學要求!G257</f>
        <v>2</v>
      </c>
      <c r="S13" s="355">
        <f>入學要求!H257</f>
        <v>3</v>
      </c>
      <c r="T13" s="355">
        <f>入學要求!I257</f>
        <v>3</v>
      </c>
      <c r="U13" s="576"/>
      <c r="V13" s="365" t="str" cm="1">
        <f t="array" ref="V13">IFERROR(INDEX('Offer Statistics'!DA$2:DA$181,MATCH(1,($A13='Offer Statistics'!$CL$2:$CL$181)*($U$2='Offer Statistics'!$CM$2:$CM$181),0)),"/")</f>
        <v>/</v>
      </c>
      <c r="W13" s="375" t="str" cm="1">
        <f t="array" ref="W13">IFERROR(INDEX('Offer Statistics'!CV$2:CV$181,MATCH(1,($A13='Offer Statistics'!$CL$2:$CL$181)*($U$2='Offer Statistics'!$CM$2:$CM$181),0)),"/")</f>
        <v>/</v>
      </c>
      <c r="X13" s="375" t="str" cm="1">
        <f t="array" ref="X13">IFERROR(INDEX('Offer Statistics'!CW$2:CW$181,MATCH(1,($A13='Offer Statistics'!$CL$2:$CL$181)*($U$2='Offer Statistics'!$CM$2:$CM$181),0)),"/")</f>
        <v>/</v>
      </c>
      <c r="Y13" s="375" t="str" cm="1">
        <f t="array" ref="Y13">IFERROR(INDEX('Offer Statistics'!CX$2:CX$181,MATCH(1,($A13='Offer Statistics'!$CL$2:$CL$181)*($U$2='Offer Statistics'!$CM$2:$CM$181),0)),"/")</f>
        <v>/</v>
      </c>
      <c r="Z13" s="375" t="str" cm="1">
        <f t="array" ref="Z13">IFERROR(INDEX('Offer Statistics'!CY$2:CY$181,MATCH(1,($A13='Offer Statistics'!$CL$2:$CL$181)*($U$2='Offer Statistics'!$CM$2:$CM$181),0)),"/")</f>
        <v>/</v>
      </c>
      <c r="AA13" s="375" t="str" cm="1">
        <f t="array" ref="AA13">IFERROR(INDEX('Offer Statistics'!CZ$2:CZ$181,MATCH(1,($A13='Offer Statistics'!$CL$2:$CL$181)*($U$2='Offer Statistics'!$CM$2:$CM$181),0)),"/")</f>
        <v>/</v>
      </c>
      <c r="AB13" s="580"/>
      <c r="AC13" s="365" t="str" cm="1">
        <f t="array" ref="AC13">IFERROR(INDEX('Offer Statistics'!CS$2:CS$181,MATCH(1,($A13='Offer Statistics'!$CL$2:$CL$181)*($U$2='Offer Statistics'!$CM$2:$CM$181),0)),"/")</f>
        <v>/</v>
      </c>
      <c r="AD13" s="375" t="str" cm="1">
        <f t="array" ref="AD13">IFERROR(INDEX('Offer Statistics'!CN$2:CN$181,MATCH(1,($A13='Offer Statistics'!$CL$2:$CL$181)*($U$2='Offer Statistics'!$CM$2:$CM$181),0)),"/")</f>
        <v>/</v>
      </c>
      <c r="AE13" s="375" t="str" cm="1">
        <f t="array" ref="AE13">IFERROR(INDEX('Offer Statistics'!CO$2:CO$181,MATCH(1,($A13='Offer Statistics'!$CL$2:$CL$181)*($U$2='Offer Statistics'!$CM$2:$CM$181),0)),"/")</f>
        <v>/</v>
      </c>
      <c r="AF13" s="375" t="str" cm="1">
        <f t="array" ref="AF13">IFERROR(INDEX('Offer Statistics'!CP$2:CP$181,MATCH(1,($A13='Offer Statistics'!$CL$2:$CL$181)*($U$2='Offer Statistics'!$CM$2:$CM$181),0)),"/")</f>
        <v>/</v>
      </c>
      <c r="AG13" s="375" t="str" cm="1">
        <f t="array" ref="AG13">IFERROR(INDEX('Offer Statistics'!CQ$2:CQ$181,MATCH(1,($A13='Offer Statistics'!$CL$2:$CL$181)*($U$2='Offer Statistics'!$CM$2:$CM$181),0)),"/")</f>
        <v>/</v>
      </c>
      <c r="AH13" s="375" t="str" cm="1">
        <f t="array" ref="AH13">IFERROR(INDEX('Offer Statistics'!CR$2:CR$181,MATCH(1,($A13='Offer Statistics'!$CL$2:$CL$181)*($U$2='Offer Statistics'!$CM$2:$CM$181),0)),"/")</f>
        <v>/</v>
      </c>
      <c r="AJ13" s="354" t="str">
        <f t="shared" si="4"/>
        <v>JS6846</v>
      </c>
    </row>
    <row r="14" spans="1:36" ht="18" customHeight="1" x14ac:dyDescent="0.3">
      <c r="A14" s="346" t="str">
        <f>'Reference Score Calculation'!A249</f>
        <v>JS6884</v>
      </c>
      <c r="B14" s="346" t="str">
        <f>'Reference Score Calculation'!C249</f>
        <v>經濟及工商管理學院</v>
      </c>
      <c r="C14" s="346" t="str">
        <f>'Reference Score Calculation'!D249</f>
        <v>理學士(計量金融)</v>
      </c>
      <c r="D14" s="346" t="str">
        <f>'Reference Score Calculation'!T249</f>
        <v xml:space="preserve">	BSc(QFin)</v>
      </c>
      <c r="E14" s="376" t="str">
        <f>'Reference Score Calculation'!E249</f>
        <v>Best 6</v>
      </c>
      <c r="F14" s="347">
        <f>'Reference Score Calculation'!F249</f>
        <v>52</v>
      </c>
      <c r="G14" s="347">
        <f>'Reference Score Calculation'!G249</f>
        <v>49</v>
      </c>
      <c r="H14" s="347">
        <f>'Reference Score Calculation'!H249</f>
        <v>48</v>
      </c>
      <c r="I14" s="368">
        <f>計分版!H270</f>
        <v>3.7E-9</v>
      </c>
      <c r="J14" s="361">
        <f t="shared" si="5"/>
        <v>-48.999999996299998</v>
      </c>
      <c r="K14" s="362">
        <f t="shared" si="6"/>
        <v>-13243243242.243242</v>
      </c>
      <c r="L14" s="365">
        <f>入學要求!C258</f>
        <v>25</v>
      </c>
      <c r="M14" s="372">
        <f>入學要求!R258</f>
        <v>0</v>
      </c>
      <c r="O14" s="355">
        <f>入學要求!D258</f>
        <v>3</v>
      </c>
      <c r="P14" s="355">
        <f>入學要求!E258</f>
        <v>4</v>
      </c>
      <c r="Q14" s="355">
        <f>入學要求!F258</f>
        <v>3</v>
      </c>
      <c r="R14" s="355">
        <f>入學要求!G258</f>
        <v>2</v>
      </c>
      <c r="S14" s="355">
        <f>入學要求!H258</f>
        <v>3</v>
      </c>
      <c r="T14" s="355">
        <f>入學要求!I258</f>
        <v>3</v>
      </c>
      <c r="U14" s="576"/>
      <c r="V14" s="365" cm="1">
        <f t="array" ref="V14">IFERROR(INDEX('Offer Statistics'!DA$2:DA$181,MATCH(1,($A14='Offer Statistics'!$CL$2:$CL$181)*($U$2='Offer Statistics'!$CM$2:$CM$181),0)),"/")</f>
        <v>18</v>
      </c>
      <c r="W14" s="375" cm="1">
        <f t="array" ref="W14">IFERROR(INDEX('Offer Statistics'!CV$2:CV$181,MATCH(1,($A14='Offer Statistics'!$CL$2:$CL$181)*($U$2='Offer Statistics'!$CM$2:$CM$181),0)),"/")</f>
        <v>18</v>
      </c>
      <c r="X14" s="375" cm="1">
        <f t="array" ref="X14">IFERROR(INDEX('Offer Statistics'!CW$2:CW$181,MATCH(1,($A14='Offer Statistics'!$CL$2:$CL$181)*($U$2='Offer Statistics'!$CM$2:$CM$181),0)),"/")</f>
        <v>0</v>
      </c>
      <c r="Y14" s="375" cm="1">
        <f t="array" ref="Y14">IFERROR(INDEX('Offer Statistics'!CX$2:CX$181,MATCH(1,($A14='Offer Statistics'!$CL$2:$CL$181)*($U$2='Offer Statistics'!$CM$2:$CM$181),0)),"/")</f>
        <v>0</v>
      </c>
      <c r="Z14" s="375" cm="1">
        <f t="array" ref="Z14">IFERROR(INDEX('Offer Statistics'!CY$2:CY$181,MATCH(1,($A14='Offer Statistics'!$CL$2:$CL$181)*($U$2='Offer Statistics'!$CM$2:$CM$181),0)),"/")</f>
        <v>0</v>
      </c>
      <c r="AA14" s="375" cm="1">
        <f t="array" ref="AA14">IFERROR(INDEX('Offer Statistics'!CZ$2:CZ$181,MATCH(1,($A14='Offer Statistics'!$CL$2:$CL$181)*($U$2='Offer Statistics'!$CM$2:$CM$181),0)),"/")</f>
        <v>0</v>
      </c>
      <c r="AB14" s="580"/>
      <c r="AC14" s="365" cm="1">
        <f t="array" ref="AC14">IFERROR(INDEX('Offer Statistics'!CS$2:CS$181,MATCH(1,($A14='Offer Statistics'!$CL$2:$CL$181)*($U$2='Offer Statistics'!$CM$2:$CM$181),0)),"/")</f>
        <v>439</v>
      </c>
      <c r="AD14" s="375" cm="1">
        <f t="array" ref="AD14">IFERROR(INDEX('Offer Statistics'!CN$2:CN$181,MATCH(1,($A14='Offer Statistics'!$CL$2:$CL$181)*($U$2='Offer Statistics'!$CM$2:$CM$181),0)),"/")</f>
        <v>100</v>
      </c>
      <c r="AE14" s="375" cm="1">
        <f t="array" ref="AE14">IFERROR(INDEX('Offer Statistics'!CO$2:CO$181,MATCH(1,($A14='Offer Statistics'!$CL$2:$CL$181)*($U$2='Offer Statistics'!$CM$2:$CM$181),0)),"/")</f>
        <v>38</v>
      </c>
      <c r="AF14" s="375" cm="1">
        <f t="array" ref="AF14">IFERROR(INDEX('Offer Statistics'!CP$2:CP$181,MATCH(1,($A14='Offer Statistics'!$CL$2:$CL$181)*($U$2='Offer Statistics'!$CM$2:$CM$181),0)),"/")</f>
        <v>76</v>
      </c>
      <c r="AG14" s="375" cm="1">
        <f t="array" ref="AG14">IFERROR(INDEX('Offer Statistics'!CQ$2:CQ$181,MATCH(1,($A14='Offer Statistics'!$CL$2:$CL$181)*($U$2='Offer Statistics'!$CM$2:$CM$181),0)),"/")</f>
        <v>107</v>
      </c>
      <c r="AH14" s="375" cm="1">
        <f t="array" ref="AH14">IFERROR(INDEX('Offer Statistics'!CR$2:CR$181,MATCH(1,($A14='Offer Statistics'!$CL$2:$CL$181)*($U$2='Offer Statistics'!$CM$2:$CM$181),0)),"/")</f>
        <v>118</v>
      </c>
      <c r="AJ14" s="354" t="str">
        <f t="shared" si="4"/>
        <v>JS6884</v>
      </c>
    </row>
    <row r="15" spans="1:36" ht="18" customHeight="1" x14ac:dyDescent="0.3">
      <c r="A15" s="346" t="str">
        <f>'Reference Score Calculation'!A250</f>
        <v>JS6896</v>
      </c>
      <c r="B15" s="346" t="str">
        <f>'Reference Score Calculation'!C250</f>
        <v>經濟及工商管理學院</v>
      </c>
      <c r="C15" s="346" t="str">
        <f>'Reference Score Calculation'!D250</f>
        <v>工商管理學學士(國際商業及環球管理)</v>
      </c>
      <c r="D15" s="346" t="str">
        <f>'Reference Score Calculation'!T250</f>
        <v>BBA(IBGM)</v>
      </c>
      <c r="E15" s="376" t="str">
        <f>'Reference Score Calculation'!E250</f>
        <v>Best 6</v>
      </c>
      <c r="F15" s="347">
        <f>'Reference Score Calculation'!F250</f>
        <v>54</v>
      </c>
      <c r="G15" s="347">
        <f>'Reference Score Calculation'!G250</f>
        <v>52</v>
      </c>
      <c r="H15" s="347">
        <f>'Reference Score Calculation'!H250</f>
        <v>50</v>
      </c>
      <c r="I15" s="368">
        <f>計分版!H271</f>
        <v>3.4500000000000003E-9</v>
      </c>
      <c r="J15" s="361">
        <f t="shared" si="5"/>
        <v>-51.999999996550002</v>
      </c>
      <c r="K15" s="362">
        <f t="shared" si="6"/>
        <v>-15072463767.115942</v>
      </c>
      <c r="L15" s="365">
        <f>入學要求!C259</f>
        <v>31</v>
      </c>
      <c r="M15" s="372">
        <f>入學要求!R259</f>
        <v>0</v>
      </c>
      <c r="O15" s="355">
        <f>入學要求!D259</f>
        <v>3</v>
      </c>
      <c r="P15" s="355">
        <f>入學要求!E259</f>
        <v>5</v>
      </c>
      <c r="Q15" s="355">
        <f>入學要求!F259</f>
        <v>4</v>
      </c>
      <c r="R15" s="355">
        <f>入學要求!G259</f>
        <v>2</v>
      </c>
      <c r="S15" s="355">
        <f>入學要求!H259</f>
        <v>3</v>
      </c>
      <c r="T15" s="355">
        <f>入學要求!I259</f>
        <v>3</v>
      </c>
      <c r="U15" s="576"/>
      <c r="V15" s="365" cm="1">
        <f t="array" ref="V15">IFERROR(INDEX('Offer Statistics'!DA$2:DA$181,MATCH(1,($A15='Offer Statistics'!$CL$2:$CL$181)*($U$2='Offer Statistics'!$CM$2:$CM$181),0)),"/")</f>
        <v>10</v>
      </c>
      <c r="W15" s="375" cm="1">
        <f t="array" ref="W15">IFERROR(INDEX('Offer Statistics'!CV$2:CV$181,MATCH(1,($A15='Offer Statistics'!$CL$2:$CL$181)*($U$2='Offer Statistics'!$CM$2:$CM$181),0)),"/")</f>
        <v>10</v>
      </c>
      <c r="X15" s="375" cm="1">
        <f t="array" ref="X15">IFERROR(INDEX('Offer Statistics'!CW$2:CW$181,MATCH(1,($A15='Offer Statistics'!$CL$2:$CL$181)*($U$2='Offer Statistics'!$CM$2:$CM$181),0)),"/")</f>
        <v>0</v>
      </c>
      <c r="Y15" s="375" cm="1">
        <f t="array" ref="Y15">IFERROR(INDEX('Offer Statistics'!CX$2:CX$181,MATCH(1,($A15='Offer Statistics'!$CL$2:$CL$181)*($U$2='Offer Statistics'!$CM$2:$CM$181),0)),"/")</f>
        <v>0</v>
      </c>
      <c r="Z15" s="375" cm="1">
        <f t="array" ref="Z15">IFERROR(INDEX('Offer Statistics'!CY$2:CY$181,MATCH(1,($A15='Offer Statistics'!$CL$2:$CL$181)*($U$2='Offer Statistics'!$CM$2:$CM$181),0)),"/")</f>
        <v>0</v>
      </c>
      <c r="AA15" s="375" cm="1">
        <f t="array" ref="AA15">IFERROR(INDEX('Offer Statistics'!CZ$2:CZ$181,MATCH(1,($A15='Offer Statistics'!$CL$2:$CL$181)*($U$2='Offer Statistics'!$CM$2:$CM$181),0)),"/")</f>
        <v>0</v>
      </c>
      <c r="AB15" s="580"/>
      <c r="AC15" s="365" cm="1">
        <f t="array" ref="AC15">IFERROR(INDEX('Offer Statistics'!CS$2:CS$181,MATCH(1,($A15='Offer Statistics'!$CL$2:$CL$181)*($U$2='Offer Statistics'!$CM$2:$CM$181),0)),"/")</f>
        <v>480</v>
      </c>
      <c r="AD15" s="375" cm="1">
        <f t="array" ref="AD15">IFERROR(INDEX('Offer Statistics'!CN$2:CN$181,MATCH(1,($A15='Offer Statistics'!$CL$2:$CL$181)*($U$2='Offer Statistics'!$CM$2:$CM$181),0)),"/")</f>
        <v>63</v>
      </c>
      <c r="AE15" s="375" cm="1">
        <f t="array" ref="AE15">IFERROR(INDEX('Offer Statistics'!CO$2:CO$181,MATCH(1,($A15='Offer Statistics'!$CL$2:$CL$181)*($U$2='Offer Statistics'!$CM$2:$CM$181),0)),"/")</f>
        <v>45</v>
      </c>
      <c r="AF15" s="375" cm="1">
        <f t="array" ref="AF15">IFERROR(INDEX('Offer Statistics'!CP$2:CP$181,MATCH(1,($A15='Offer Statistics'!$CL$2:$CL$181)*($U$2='Offer Statistics'!$CM$2:$CM$181),0)),"/")</f>
        <v>93</v>
      </c>
      <c r="AG15" s="375" cm="1">
        <f t="array" ref="AG15">IFERROR(INDEX('Offer Statistics'!CQ$2:CQ$181,MATCH(1,($A15='Offer Statistics'!$CL$2:$CL$181)*($U$2='Offer Statistics'!$CM$2:$CM$181),0)),"/")</f>
        <v>113</v>
      </c>
      <c r="AH15" s="375" cm="1">
        <f t="array" ref="AH15">IFERROR(INDEX('Offer Statistics'!CR$2:CR$181,MATCH(1,($A15='Offer Statistics'!$CL$2:$CL$181)*($U$2='Offer Statistics'!$CM$2:$CM$181),0)),"/")</f>
        <v>166</v>
      </c>
      <c r="AJ15" s="354" t="str">
        <f t="shared" si="4"/>
        <v>JS6896</v>
      </c>
    </row>
    <row r="16" spans="1:36" ht="18" customHeight="1" x14ac:dyDescent="0.3">
      <c r="A16" s="346" t="str">
        <f>'Reference Score Calculation'!A251</f>
        <v>JS6107</v>
      </c>
      <c r="B16" s="346" t="str">
        <f>'Reference Score Calculation'!C251</f>
        <v>牙醫學院</v>
      </c>
      <c r="C16" s="346" t="str">
        <f>'Reference Score Calculation'!D251</f>
        <v>牙醫學士</v>
      </c>
      <c r="D16" s="346" t="str">
        <f>'Reference Score Calculation'!T251</f>
        <v>BDS</v>
      </c>
      <c r="E16" s="356" t="str">
        <f>'Reference Score Calculation'!E251</f>
        <v>Best 6</v>
      </c>
      <c r="F16" s="347">
        <f>'Reference Score Calculation'!F251</f>
        <v>47</v>
      </c>
      <c r="G16" s="347">
        <f>'Reference Score Calculation'!G251</f>
        <v>46</v>
      </c>
      <c r="H16" s="347">
        <f>'Reference Score Calculation'!H251</f>
        <v>45</v>
      </c>
      <c r="I16" s="368">
        <f>計分版!H272</f>
        <v>3.6800000000000005E-9</v>
      </c>
      <c r="J16" s="361">
        <f t="shared" si="5"/>
        <v>-45.99999999632</v>
      </c>
      <c r="K16" s="362">
        <f t="shared" si="6"/>
        <v>-12499999998.999998</v>
      </c>
      <c r="L16" s="365">
        <f>入學要求!C260</f>
        <v>90</v>
      </c>
      <c r="M16" s="372">
        <f>入學要求!R260</f>
        <v>0</v>
      </c>
      <c r="O16" s="355">
        <f>入學要求!D260</f>
        <v>3</v>
      </c>
      <c r="P16" s="355">
        <f>入學要求!E260</f>
        <v>4</v>
      </c>
      <c r="Q16" s="355">
        <f>入學要求!F260</f>
        <v>3</v>
      </c>
      <c r="R16" s="355">
        <f>入學要求!G260</f>
        <v>3</v>
      </c>
      <c r="S16" s="355">
        <f>入學要求!H260</f>
        <v>3</v>
      </c>
      <c r="T16" s="355">
        <f>入學要求!I260</f>
        <v>3</v>
      </c>
      <c r="U16" s="576"/>
      <c r="V16" s="365" cm="1">
        <f t="array" ref="V16">IFERROR(INDEX('Offer Statistics'!DA$2:DA$181,MATCH(1,($A16='Offer Statistics'!$CL$2:$CL$181)*($U$2='Offer Statistics'!$CM$2:$CM$181),0)),"/")</f>
        <v>57</v>
      </c>
      <c r="W16" s="375" cm="1">
        <f t="array" ref="W16">IFERROR(INDEX('Offer Statistics'!CV$2:CV$181,MATCH(1,($A16='Offer Statistics'!$CL$2:$CL$181)*($U$2='Offer Statistics'!$CM$2:$CM$181),0)),"/")</f>
        <v>57</v>
      </c>
      <c r="X16" s="375" cm="1">
        <f t="array" ref="X16">IFERROR(INDEX('Offer Statistics'!CW$2:CW$181,MATCH(1,($A16='Offer Statistics'!$CL$2:$CL$181)*($U$2='Offer Statistics'!$CM$2:$CM$181),0)),"/")</f>
        <v>0</v>
      </c>
      <c r="Y16" s="375" cm="1">
        <f t="array" ref="Y16">IFERROR(INDEX('Offer Statistics'!CX$2:CX$181,MATCH(1,($A16='Offer Statistics'!$CL$2:$CL$181)*($U$2='Offer Statistics'!$CM$2:$CM$181),0)),"/")</f>
        <v>0</v>
      </c>
      <c r="Z16" s="375" cm="1">
        <f t="array" ref="Z16">IFERROR(INDEX('Offer Statistics'!CY$2:CY$181,MATCH(1,($A16='Offer Statistics'!$CL$2:$CL$181)*($U$2='Offer Statistics'!$CM$2:$CM$181),0)),"/")</f>
        <v>0</v>
      </c>
      <c r="AA16" s="375" cm="1">
        <f t="array" ref="AA16">IFERROR(INDEX('Offer Statistics'!CZ$2:CZ$181,MATCH(1,($A16='Offer Statistics'!$CL$2:$CL$181)*($U$2='Offer Statistics'!$CM$2:$CM$181),0)),"/")</f>
        <v>0</v>
      </c>
      <c r="AB16" s="580"/>
      <c r="AC16" s="365" cm="1">
        <f t="array" ref="AC16">IFERROR(INDEX('Offer Statistics'!CS$2:CS$181,MATCH(1,($A16='Offer Statistics'!$CL$2:$CL$181)*($U$2='Offer Statistics'!$CM$2:$CM$181),0)),"/")</f>
        <v>970</v>
      </c>
      <c r="AD16" s="375" cm="1">
        <f t="array" ref="AD16">IFERROR(INDEX('Offer Statistics'!CN$2:CN$181,MATCH(1,($A16='Offer Statistics'!$CL$2:$CL$181)*($U$2='Offer Statistics'!$CM$2:$CM$181),0)),"/")</f>
        <v>246</v>
      </c>
      <c r="AE16" s="375" cm="1">
        <f t="array" ref="AE16">IFERROR(INDEX('Offer Statistics'!CO$2:CO$181,MATCH(1,($A16='Offer Statistics'!$CL$2:$CL$181)*($U$2='Offer Statistics'!$CM$2:$CM$181),0)),"/")</f>
        <v>110</v>
      </c>
      <c r="AF16" s="375" cm="1">
        <f t="array" ref="AF16">IFERROR(INDEX('Offer Statistics'!CP$2:CP$181,MATCH(1,($A16='Offer Statistics'!$CL$2:$CL$181)*($U$2='Offer Statistics'!$CM$2:$CM$181),0)),"/")</f>
        <v>157</v>
      </c>
      <c r="AG16" s="375" cm="1">
        <f t="array" ref="AG16">IFERROR(INDEX('Offer Statistics'!CQ$2:CQ$181,MATCH(1,($A16='Offer Statistics'!$CL$2:$CL$181)*($U$2='Offer Statistics'!$CM$2:$CM$181),0)),"/")</f>
        <v>188</v>
      </c>
      <c r="AH16" s="375" cm="1">
        <f t="array" ref="AH16">IFERROR(INDEX('Offer Statistics'!CR$2:CR$181,MATCH(1,($A16='Offer Statistics'!$CL$2:$CL$181)*($U$2='Offer Statistics'!$CM$2:$CM$181),0)),"/")</f>
        <v>269</v>
      </c>
      <c r="AJ16" s="354" t="str">
        <f t="shared" si="4"/>
        <v>JS6107</v>
      </c>
    </row>
    <row r="17" spans="1:36" ht="18" customHeight="1" x14ac:dyDescent="0.3">
      <c r="A17" s="346" t="str">
        <f>'Reference Score Calculation'!A252</f>
        <v>JS6066</v>
      </c>
      <c r="B17" s="346" t="str">
        <f>'Reference Score Calculation'!C252</f>
        <v>教育學院</v>
      </c>
      <c r="C17" s="346" t="str">
        <f>'Reference Score Calculation'!D252</f>
        <v>文學士及教育學士(語文教育) - 英文教育 (雙學位課程)</v>
      </c>
      <c r="D17" s="346" t="str">
        <f>'Reference Score Calculation'!T252</f>
        <v>BA&amp;BED(LangEd)-Eng</v>
      </c>
      <c r="E17" s="356" t="str">
        <f>'Reference Score Calculation'!E252</f>
        <v>Best 5</v>
      </c>
      <c r="F17" s="347">
        <f>'Reference Score Calculation'!F252</f>
        <v>33</v>
      </c>
      <c r="G17" s="347">
        <f>'Reference Score Calculation'!G252</f>
        <v>31</v>
      </c>
      <c r="H17" s="347">
        <f>'Reference Score Calculation'!H252</f>
        <v>29</v>
      </c>
      <c r="I17" s="368">
        <f>計分版!H273</f>
        <v>3.1800000000000002E-9</v>
      </c>
      <c r="J17" s="361">
        <f t="shared" si="5"/>
        <v>-30.999999996820002</v>
      </c>
      <c r="K17" s="362">
        <f t="shared" si="6"/>
        <v>-9748427671.9559746</v>
      </c>
      <c r="L17" s="365">
        <f>入學要求!C261</f>
        <v>17</v>
      </c>
      <c r="M17" s="372">
        <f>入學要求!R261</f>
        <v>0</v>
      </c>
      <c r="N17" s="101"/>
      <c r="O17" s="355">
        <f>入學要求!D261</f>
        <v>3</v>
      </c>
      <c r="P17" s="355">
        <f>入學要求!E261</f>
        <v>3</v>
      </c>
      <c r="Q17" s="355">
        <f>入學要求!F261</f>
        <v>2</v>
      </c>
      <c r="R17" s="355">
        <f>入學要求!G261</f>
        <v>2</v>
      </c>
      <c r="S17" s="355">
        <f>入學要求!H261</f>
        <v>3</v>
      </c>
      <c r="T17" s="355">
        <f>入學要求!I261</f>
        <v>3</v>
      </c>
      <c r="U17" s="576"/>
      <c r="V17" s="365" cm="1">
        <f t="array" ref="V17">IFERROR(INDEX('Offer Statistics'!DA$2:DA$181,MATCH(1,($A17='Offer Statistics'!$CL$2:$CL$181)*($U$2='Offer Statistics'!$CM$2:$CM$181),0)),"/")</f>
        <v>27</v>
      </c>
      <c r="W17" s="375" cm="1">
        <f t="array" ref="W17">IFERROR(INDEX('Offer Statistics'!CV$2:CV$181,MATCH(1,($A17='Offer Statistics'!$CL$2:$CL$181)*($U$2='Offer Statistics'!$CM$2:$CM$181),0)),"/")</f>
        <v>27</v>
      </c>
      <c r="X17" s="375" cm="1">
        <f t="array" ref="X17">IFERROR(INDEX('Offer Statistics'!CW$2:CW$181,MATCH(1,($A17='Offer Statistics'!$CL$2:$CL$181)*($U$2='Offer Statistics'!$CM$2:$CM$181),0)),"/")</f>
        <v>0</v>
      </c>
      <c r="Y17" s="375" cm="1">
        <f t="array" ref="Y17">IFERROR(INDEX('Offer Statistics'!CX$2:CX$181,MATCH(1,($A17='Offer Statistics'!$CL$2:$CL$181)*($U$2='Offer Statistics'!$CM$2:$CM$181),0)),"/")</f>
        <v>0</v>
      </c>
      <c r="Z17" s="375" cm="1">
        <f t="array" ref="Z17">IFERROR(INDEX('Offer Statistics'!CY$2:CY$181,MATCH(1,($A17='Offer Statistics'!$CL$2:$CL$181)*($U$2='Offer Statistics'!$CM$2:$CM$181),0)),"/")</f>
        <v>0</v>
      </c>
      <c r="AA17" s="375" cm="1">
        <f t="array" ref="AA17">IFERROR(INDEX('Offer Statistics'!CZ$2:CZ$181,MATCH(1,($A17='Offer Statistics'!$CL$2:$CL$181)*($U$2='Offer Statistics'!$CM$2:$CM$181),0)),"/")</f>
        <v>0</v>
      </c>
      <c r="AB17" s="580"/>
      <c r="AC17" s="365" cm="1">
        <f t="array" ref="AC17">IFERROR(INDEX('Offer Statistics'!CS$2:CS$181,MATCH(1,($A17='Offer Statistics'!$CL$2:$CL$181)*($U$2='Offer Statistics'!$CM$2:$CM$181),0)),"/")</f>
        <v>1069</v>
      </c>
      <c r="AD17" s="375" cm="1">
        <f t="array" ref="AD17">IFERROR(INDEX('Offer Statistics'!CN$2:CN$181,MATCH(1,($A17='Offer Statistics'!$CL$2:$CL$181)*($U$2='Offer Statistics'!$CM$2:$CM$181),0)),"/")</f>
        <v>215</v>
      </c>
      <c r="AE17" s="375" cm="1">
        <f t="array" ref="AE17">IFERROR(INDEX('Offer Statistics'!CO$2:CO$181,MATCH(1,($A17='Offer Statistics'!$CL$2:$CL$181)*($U$2='Offer Statistics'!$CM$2:$CM$181),0)),"/")</f>
        <v>139</v>
      </c>
      <c r="AF17" s="375" cm="1">
        <f t="array" ref="AF17">IFERROR(INDEX('Offer Statistics'!CP$2:CP$181,MATCH(1,($A17='Offer Statistics'!$CL$2:$CL$181)*($U$2='Offer Statistics'!$CM$2:$CM$181),0)),"/")</f>
        <v>231</v>
      </c>
      <c r="AG17" s="375" cm="1">
        <f t="array" ref="AG17">IFERROR(INDEX('Offer Statistics'!CQ$2:CQ$181,MATCH(1,($A17='Offer Statistics'!$CL$2:$CL$181)*($U$2='Offer Statistics'!$CM$2:$CM$181),0)),"/")</f>
        <v>267</v>
      </c>
      <c r="AH17" s="375" cm="1">
        <f t="array" ref="AH17">IFERROR(INDEX('Offer Statistics'!CR$2:CR$181,MATCH(1,($A17='Offer Statistics'!$CL$2:$CL$181)*($U$2='Offer Statistics'!$CM$2:$CM$181),0)),"/")</f>
        <v>217</v>
      </c>
      <c r="AJ17" s="354" t="str">
        <f t="shared" si="4"/>
        <v>JS6066</v>
      </c>
    </row>
    <row r="18" spans="1:36" ht="18" customHeight="1" x14ac:dyDescent="0.3">
      <c r="A18" s="346" t="str">
        <f>'Reference Score Calculation'!A253</f>
        <v>JS6080</v>
      </c>
      <c r="B18" s="346" t="str">
        <f>'Reference Score Calculation'!C253</f>
        <v>教育學院</v>
      </c>
      <c r="C18" s="346" t="str">
        <f>'Reference Score Calculation'!D253</f>
        <v>文學士及教育學士(語文教育) - 中文教育 (雙學位課程)</v>
      </c>
      <c r="D18" s="346" t="str">
        <f>'Reference Score Calculation'!T253</f>
        <v xml:space="preserve">	BA&amp;BED(LangEd)-Chin</v>
      </c>
      <c r="E18" s="356" t="str">
        <f>'Reference Score Calculation'!E253</f>
        <v>Best 5</v>
      </c>
      <c r="F18" s="347">
        <f>'Reference Score Calculation'!F253</f>
        <v>35</v>
      </c>
      <c r="G18" s="347">
        <f>'Reference Score Calculation'!G253</f>
        <v>33</v>
      </c>
      <c r="H18" s="347">
        <f>'Reference Score Calculation'!H253</f>
        <v>32</v>
      </c>
      <c r="I18" s="368">
        <f>計分版!H274</f>
        <v>3.0299999999999997E-9</v>
      </c>
      <c r="J18" s="361">
        <f t="shared" si="5"/>
        <v>-32.999999996969997</v>
      </c>
      <c r="K18" s="362">
        <f t="shared" si="6"/>
        <v>-10891089107.910891</v>
      </c>
      <c r="L18" s="365">
        <f>入學要求!C262</f>
        <v>17</v>
      </c>
      <c r="M18" s="372">
        <f>入學要求!R262</f>
        <v>0</v>
      </c>
      <c r="N18" s="101"/>
      <c r="O18" s="355">
        <f>入學要求!D262</f>
        <v>3</v>
      </c>
      <c r="P18" s="355">
        <f>入學要求!E262</f>
        <v>3</v>
      </c>
      <c r="Q18" s="355">
        <f>入學要求!F262</f>
        <v>2</v>
      </c>
      <c r="R18" s="355">
        <f>入學要求!G262</f>
        <v>2</v>
      </c>
      <c r="S18" s="355">
        <f>入學要求!H262</f>
        <v>3</v>
      </c>
      <c r="T18" s="355">
        <f>入學要求!I262</f>
        <v>3</v>
      </c>
      <c r="U18" s="576"/>
      <c r="V18" s="365" cm="1">
        <f t="array" ref="V18">IFERROR(INDEX('Offer Statistics'!DA$2:DA$181,MATCH(1,($A18='Offer Statistics'!$CL$2:$CL$181)*($U$2='Offer Statistics'!$CM$2:$CM$181),0)),"/")</f>
        <v>19</v>
      </c>
      <c r="W18" s="375" cm="1">
        <f t="array" ref="W18">IFERROR(INDEX('Offer Statistics'!CV$2:CV$181,MATCH(1,($A18='Offer Statistics'!$CL$2:$CL$181)*($U$2='Offer Statistics'!$CM$2:$CM$181),0)),"/")</f>
        <v>19</v>
      </c>
      <c r="X18" s="375" cm="1">
        <f t="array" ref="X18">IFERROR(INDEX('Offer Statistics'!CW$2:CW$181,MATCH(1,($A18='Offer Statistics'!$CL$2:$CL$181)*($U$2='Offer Statistics'!$CM$2:$CM$181),0)),"/")</f>
        <v>0</v>
      </c>
      <c r="Y18" s="375" cm="1">
        <f t="array" ref="Y18">IFERROR(INDEX('Offer Statistics'!CX$2:CX$181,MATCH(1,($A18='Offer Statistics'!$CL$2:$CL$181)*($U$2='Offer Statistics'!$CM$2:$CM$181),0)),"/")</f>
        <v>0</v>
      </c>
      <c r="Z18" s="375" cm="1">
        <f t="array" ref="Z18">IFERROR(INDEX('Offer Statistics'!CY$2:CY$181,MATCH(1,($A18='Offer Statistics'!$CL$2:$CL$181)*($U$2='Offer Statistics'!$CM$2:$CM$181),0)),"/")</f>
        <v>0</v>
      </c>
      <c r="AA18" s="375" cm="1">
        <f t="array" ref="AA18">IFERROR(INDEX('Offer Statistics'!CZ$2:CZ$181,MATCH(1,($A18='Offer Statistics'!$CL$2:$CL$181)*($U$2='Offer Statistics'!$CM$2:$CM$181),0)),"/")</f>
        <v>0</v>
      </c>
      <c r="AB18" s="580"/>
      <c r="AC18" s="365" cm="1">
        <f t="array" ref="AC18">IFERROR(INDEX('Offer Statistics'!CS$2:CS$181,MATCH(1,($A18='Offer Statistics'!$CL$2:$CL$181)*($U$2='Offer Statistics'!$CM$2:$CM$181),0)),"/")</f>
        <v>847</v>
      </c>
      <c r="AD18" s="375" cm="1">
        <f t="array" ref="AD18">IFERROR(INDEX('Offer Statistics'!CN$2:CN$181,MATCH(1,($A18='Offer Statistics'!$CL$2:$CL$181)*($U$2='Offer Statistics'!$CM$2:$CM$181),0)),"/")</f>
        <v>123</v>
      </c>
      <c r="AE18" s="375" cm="1">
        <f t="array" ref="AE18">IFERROR(INDEX('Offer Statistics'!CO$2:CO$181,MATCH(1,($A18='Offer Statistics'!$CL$2:$CL$181)*($U$2='Offer Statistics'!$CM$2:$CM$181),0)),"/")</f>
        <v>90</v>
      </c>
      <c r="AF18" s="375" cm="1">
        <f t="array" ref="AF18">IFERROR(INDEX('Offer Statistics'!CP$2:CP$181,MATCH(1,($A18='Offer Statistics'!$CL$2:$CL$181)*($U$2='Offer Statistics'!$CM$2:$CM$181),0)),"/")</f>
        <v>183</v>
      </c>
      <c r="AG18" s="375" cm="1">
        <f t="array" ref="AG18">IFERROR(INDEX('Offer Statistics'!CQ$2:CQ$181,MATCH(1,($A18='Offer Statistics'!$CL$2:$CL$181)*($U$2='Offer Statistics'!$CM$2:$CM$181),0)),"/")</f>
        <v>239</v>
      </c>
      <c r="AH18" s="375" cm="1">
        <f t="array" ref="AH18">IFERROR(INDEX('Offer Statistics'!CR$2:CR$181,MATCH(1,($A18='Offer Statistics'!$CL$2:$CL$181)*($U$2='Offer Statistics'!$CM$2:$CM$181),0)),"/")</f>
        <v>212</v>
      </c>
      <c r="AJ18" s="354" t="str">
        <f t="shared" si="4"/>
        <v>JS6080</v>
      </c>
    </row>
    <row r="19" spans="1:36" ht="18" customHeight="1" x14ac:dyDescent="0.3">
      <c r="A19" s="346" t="str">
        <f>'Reference Score Calculation'!A254</f>
        <v>JS6092</v>
      </c>
      <c r="B19" s="346" t="str">
        <f>'Reference Score Calculation'!C254</f>
        <v>教育學院</v>
      </c>
      <c r="C19" s="346" t="str">
        <f>'Reference Score Calculation'!D254</f>
        <v>教育學士(幼兒教育及特殊教育)</v>
      </c>
      <c r="D19" s="346" t="str">
        <f>'Reference Score Calculation'!T254</f>
        <v xml:space="preserve">	BED(ECE&amp;SE)</v>
      </c>
      <c r="E19" s="356" t="str">
        <f>'Reference Score Calculation'!E254</f>
        <v>Best 5</v>
      </c>
      <c r="F19" s="347">
        <f>'Reference Score Calculation'!F254</f>
        <v>27</v>
      </c>
      <c r="G19" s="347">
        <f>'Reference Score Calculation'!G254</f>
        <v>26</v>
      </c>
      <c r="H19" s="347">
        <f>'Reference Score Calculation'!H254</f>
        <v>25</v>
      </c>
      <c r="I19" s="368">
        <f>計分版!H275</f>
        <v>2.8199999999999998E-9</v>
      </c>
      <c r="J19" s="361">
        <f t="shared" si="5"/>
        <v>-25.999999997180002</v>
      </c>
      <c r="K19" s="362">
        <f t="shared" si="6"/>
        <v>-9219858155.0283699</v>
      </c>
      <c r="L19" s="365">
        <f>入學要求!C263</f>
        <v>18</v>
      </c>
      <c r="M19" s="372">
        <f>入學要求!R263</f>
        <v>0</v>
      </c>
      <c r="N19" s="101"/>
      <c r="O19" s="355">
        <f>入學要求!D263</f>
        <v>3</v>
      </c>
      <c r="P19" s="355">
        <f>入學要求!E263</f>
        <v>3</v>
      </c>
      <c r="Q19" s="355">
        <f>入學要求!F263</f>
        <v>2</v>
      </c>
      <c r="R19" s="355">
        <f>入學要求!G263</f>
        <v>2</v>
      </c>
      <c r="S19" s="355">
        <f>入學要求!H263</f>
        <v>3</v>
      </c>
      <c r="T19" s="355">
        <f>入學要求!I263</f>
        <v>3</v>
      </c>
      <c r="U19" s="576"/>
      <c r="V19" s="365" cm="1">
        <f t="array" ref="V19">IFERROR(INDEX('Offer Statistics'!DA$2:DA$181,MATCH(1,($A19='Offer Statistics'!$CL$2:$CL$181)*($U$2='Offer Statistics'!$CM$2:$CM$181),0)),"/")</f>
        <v>18</v>
      </c>
      <c r="W19" s="375" cm="1">
        <f t="array" ref="W19">IFERROR(INDEX('Offer Statistics'!CV$2:CV$181,MATCH(1,($A19='Offer Statistics'!$CL$2:$CL$181)*($U$2='Offer Statistics'!$CM$2:$CM$181),0)),"/")</f>
        <v>18</v>
      </c>
      <c r="X19" s="375" cm="1">
        <f t="array" ref="X19">IFERROR(INDEX('Offer Statistics'!CW$2:CW$181,MATCH(1,($A19='Offer Statistics'!$CL$2:$CL$181)*($U$2='Offer Statistics'!$CM$2:$CM$181),0)),"/")</f>
        <v>0</v>
      </c>
      <c r="Y19" s="375" cm="1">
        <f t="array" ref="Y19">IFERROR(INDEX('Offer Statistics'!CX$2:CX$181,MATCH(1,($A19='Offer Statistics'!$CL$2:$CL$181)*($U$2='Offer Statistics'!$CM$2:$CM$181),0)),"/")</f>
        <v>0</v>
      </c>
      <c r="Z19" s="375" cm="1">
        <f t="array" ref="Z19">IFERROR(INDEX('Offer Statistics'!CY$2:CY$181,MATCH(1,($A19='Offer Statistics'!$CL$2:$CL$181)*($U$2='Offer Statistics'!$CM$2:$CM$181),0)),"/")</f>
        <v>0</v>
      </c>
      <c r="AA19" s="375" cm="1">
        <f t="array" ref="AA19">IFERROR(INDEX('Offer Statistics'!CZ$2:CZ$181,MATCH(1,($A19='Offer Statistics'!$CL$2:$CL$181)*($U$2='Offer Statistics'!$CM$2:$CM$181),0)),"/")</f>
        <v>0</v>
      </c>
      <c r="AB19" s="580"/>
      <c r="AC19" s="365" cm="1">
        <f t="array" ref="AC19">IFERROR(INDEX('Offer Statistics'!CS$2:CS$181,MATCH(1,($A19='Offer Statistics'!$CL$2:$CL$181)*($U$2='Offer Statistics'!$CM$2:$CM$181),0)),"/")</f>
        <v>2988</v>
      </c>
      <c r="AD19" s="375" cm="1">
        <f t="array" ref="AD19">IFERROR(INDEX('Offer Statistics'!CN$2:CN$181,MATCH(1,($A19='Offer Statistics'!$CL$2:$CL$181)*($U$2='Offer Statistics'!$CM$2:$CM$181),0)),"/")</f>
        <v>300</v>
      </c>
      <c r="AE19" s="375" cm="1">
        <f t="array" ref="AE19">IFERROR(INDEX('Offer Statistics'!CO$2:CO$181,MATCH(1,($A19='Offer Statistics'!$CL$2:$CL$181)*($U$2='Offer Statistics'!$CM$2:$CM$181),0)),"/")</f>
        <v>462</v>
      </c>
      <c r="AF19" s="375" cm="1">
        <f t="array" ref="AF19">IFERROR(INDEX('Offer Statistics'!CP$2:CP$181,MATCH(1,($A19='Offer Statistics'!$CL$2:$CL$181)*($U$2='Offer Statistics'!$CM$2:$CM$181),0)),"/")</f>
        <v>633</v>
      </c>
      <c r="AG19" s="375" cm="1">
        <f t="array" ref="AG19">IFERROR(INDEX('Offer Statistics'!CQ$2:CQ$181,MATCH(1,($A19='Offer Statistics'!$CL$2:$CL$181)*($U$2='Offer Statistics'!$CM$2:$CM$181),0)),"/")</f>
        <v>889</v>
      </c>
      <c r="AH19" s="375" cm="1">
        <f t="array" ref="AH19">IFERROR(INDEX('Offer Statistics'!CR$2:CR$181,MATCH(1,($A19='Offer Statistics'!$CL$2:$CL$181)*($U$2='Offer Statistics'!$CM$2:$CM$181),0)),"/")</f>
        <v>704</v>
      </c>
      <c r="AJ19" s="354" t="str">
        <f t="shared" si="4"/>
        <v>JS6092</v>
      </c>
    </row>
    <row r="20" spans="1:36" ht="18" customHeight="1" x14ac:dyDescent="0.3">
      <c r="A20" s="346" t="str">
        <f>'Reference Score Calculation'!A255</f>
        <v>JS6119</v>
      </c>
      <c r="B20" s="346" t="str">
        <f>'Reference Score Calculation'!C255</f>
        <v>教育學院</v>
      </c>
      <c r="C20" s="346" t="str">
        <f>'Reference Score Calculation'!D255</f>
        <v>教育學士及理學士 (雙學位課程)</v>
      </c>
      <c r="D20" s="346" t="str">
        <f>'Reference Score Calculation'!T255</f>
        <v xml:space="preserve">	BED&amp;BSC</v>
      </c>
      <c r="E20" s="356" t="str">
        <f>'Reference Score Calculation'!E255</f>
        <v>Best 5</v>
      </c>
      <c r="F20" s="347">
        <f>'Reference Score Calculation'!F255</f>
        <v>59</v>
      </c>
      <c r="G20" s="347">
        <f>'Reference Score Calculation'!G255</f>
        <v>56</v>
      </c>
      <c r="H20" s="347">
        <f>'Reference Score Calculation'!H255</f>
        <v>55</v>
      </c>
      <c r="I20" s="368">
        <f>計分版!H276</f>
        <v>2.775E-9</v>
      </c>
      <c r="J20" s="361">
        <f t="shared" si="5"/>
        <v>-55.999999997224997</v>
      </c>
      <c r="K20" s="362">
        <f t="shared" si="6"/>
        <v>-20180180179.18018</v>
      </c>
      <c r="L20" s="365">
        <f>入學要求!C264</f>
        <v>16</v>
      </c>
      <c r="M20" s="372">
        <f>入學要求!R264</f>
        <v>0</v>
      </c>
      <c r="N20" s="101"/>
      <c r="O20" s="355">
        <f>入學要求!D264</f>
        <v>3</v>
      </c>
      <c r="P20" s="355">
        <f>入學要求!E264</f>
        <v>3</v>
      </c>
      <c r="Q20" s="355">
        <f>入學要求!F264</f>
        <v>2</v>
      </c>
      <c r="R20" s="355">
        <f>入學要求!G264</f>
        <v>2</v>
      </c>
      <c r="S20" s="355">
        <f>入學要求!H264</f>
        <v>3</v>
      </c>
      <c r="T20" s="355">
        <f>入學要求!I264</f>
        <v>3</v>
      </c>
      <c r="U20" s="576"/>
      <c r="V20" s="365" cm="1">
        <f t="array" ref="V20">IFERROR(INDEX('Offer Statistics'!DA$2:DA$181,MATCH(1,($A20='Offer Statistics'!$CL$2:$CL$181)*($U$2='Offer Statistics'!$CM$2:$CM$181),0)),"/")</f>
        <v>18</v>
      </c>
      <c r="W20" s="375" cm="1">
        <f t="array" ref="W20">IFERROR(INDEX('Offer Statistics'!CV$2:CV$181,MATCH(1,($A20='Offer Statistics'!$CL$2:$CL$181)*($U$2='Offer Statistics'!$CM$2:$CM$181),0)),"/")</f>
        <v>18</v>
      </c>
      <c r="X20" s="375" cm="1">
        <f t="array" ref="X20">IFERROR(INDEX('Offer Statistics'!CW$2:CW$181,MATCH(1,($A20='Offer Statistics'!$CL$2:$CL$181)*($U$2='Offer Statistics'!$CM$2:$CM$181),0)),"/")</f>
        <v>0</v>
      </c>
      <c r="Y20" s="375" cm="1">
        <f t="array" ref="Y20">IFERROR(INDEX('Offer Statistics'!CX$2:CX$181,MATCH(1,($A20='Offer Statistics'!$CL$2:$CL$181)*($U$2='Offer Statistics'!$CM$2:$CM$181),0)),"/")</f>
        <v>0</v>
      </c>
      <c r="Z20" s="375" cm="1">
        <f t="array" ref="Z20">IFERROR(INDEX('Offer Statistics'!CY$2:CY$181,MATCH(1,($A20='Offer Statistics'!$CL$2:$CL$181)*($U$2='Offer Statistics'!$CM$2:$CM$181),0)),"/")</f>
        <v>0</v>
      </c>
      <c r="AA20" s="375" cm="1">
        <f t="array" ref="AA20">IFERROR(INDEX('Offer Statistics'!CZ$2:CZ$181,MATCH(1,($A20='Offer Statistics'!$CL$2:$CL$181)*($U$2='Offer Statistics'!$CM$2:$CM$181),0)),"/")</f>
        <v>0</v>
      </c>
      <c r="AB20" s="580"/>
      <c r="AC20" s="365" cm="1">
        <f t="array" ref="AC20">IFERROR(INDEX('Offer Statistics'!CS$2:CS$181,MATCH(1,($A20='Offer Statistics'!$CL$2:$CL$181)*($U$2='Offer Statistics'!$CM$2:$CM$181),0)),"/")</f>
        <v>796</v>
      </c>
      <c r="AD20" s="375" cm="1">
        <f t="array" ref="AD20">IFERROR(INDEX('Offer Statistics'!CN$2:CN$181,MATCH(1,($A20='Offer Statistics'!$CL$2:$CL$181)*($U$2='Offer Statistics'!$CM$2:$CM$181),0)),"/")</f>
        <v>88</v>
      </c>
      <c r="AE20" s="375" cm="1">
        <f t="array" ref="AE20">IFERROR(INDEX('Offer Statistics'!CO$2:CO$181,MATCH(1,($A20='Offer Statistics'!$CL$2:$CL$181)*($U$2='Offer Statistics'!$CM$2:$CM$181),0)),"/")</f>
        <v>88</v>
      </c>
      <c r="AF20" s="375" cm="1">
        <f t="array" ref="AF20">IFERROR(INDEX('Offer Statistics'!CP$2:CP$181,MATCH(1,($A20='Offer Statistics'!$CL$2:$CL$181)*($U$2='Offer Statistics'!$CM$2:$CM$181),0)),"/")</f>
        <v>182</v>
      </c>
      <c r="AG20" s="375" cm="1">
        <f t="array" ref="AG20">IFERROR(INDEX('Offer Statistics'!CQ$2:CQ$181,MATCH(1,($A20='Offer Statistics'!$CL$2:$CL$181)*($U$2='Offer Statistics'!$CM$2:$CM$181),0)),"/")</f>
        <v>228</v>
      </c>
      <c r="AH20" s="375" cm="1">
        <f t="array" ref="AH20">IFERROR(INDEX('Offer Statistics'!CR$2:CR$181,MATCH(1,($A20='Offer Statistics'!$CL$2:$CL$181)*($U$2='Offer Statistics'!$CM$2:$CM$181),0)),"/")</f>
        <v>210</v>
      </c>
      <c r="AJ20" s="354" t="str">
        <f t="shared" si="4"/>
        <v>JS6119</v>
      </c>
    </row>
    <row r="21" spans="1:36" ht="18" customHeight="1" x14ac:dyDescent="0.3">
      <c r="A21" s="346" t="str">
        <f>'Reference Score Calculation'!A256</f>
        <v>JS6157</v>
      </c>
      <c r="B21" s="346" t="str">
        <f>'Reference Score Calculation'!C256</f>
        <v>教育學院</v>
      </c>
      <c r="C21" s="346" t="str">
        <f>'Reference Score Calculation'!D256</f>
        <v>理學士(言語及聽覺科學)</v>
      </c>
      <c r="D21" s="346" t="str">
        <f>'Reference Score Calculation'!T256</f>
        <v xml:space="preserve">	BSC(SPEECH)</v>
      </c>
      <c r="E21" s="355" t="str">
        <f>'Reference Score Calculation'!E256</f>
        <v>Best 6</v>
      </c>
      <c r="F21" s="347">
        <f>'Reference Score Calculation'!F256</f>
        <v>39</v>
      </c>
      <c r="G21" s="347">
        <f>'Reference Score Calculation'!G256</f>
        <v>38</v>
      </c>
      <c r="H21" s="347">
        <f>'Reference Score Calculation'!H256</f>
        <v>36</v>
      </c>
      <c r="I21" s="368">
        <f>計分版!H277</f>
        <v>3.9000000000000002E-9</v>
      </c>
      <c r="J21" s="361">
        <f t="shared" si="5"/>
        <v>-37.999999996100001</v>
      </c>
      <c r="K21" s="362">
        <f t="shared" si="6"/>
        <v>-9743589742.5897427</v>
      </c>
      <c r="L21" s="365">
        <f>入學要求!C265</f>
        <v>48</v>
      </c>
      <c r="M21" s="372">
        <f>入學要求!R265</f>
        <v>0</v>
      </c>
      <c r="O21" s="355">
        <f>入學要求!D265</f>
        <v>3</v>
      </c>
      <c r="P21" s="355">
        <f>入學要求!E265</f>
        <v>4</v>
      </c>
      <c r="Q21" s="355">
        <f>入學要求!F265</f>
        <v>2</v>
      </c>
      <c r="R21" s="355">
        <f>入學要求!G265</f>
        <v>2</v>
      </c>
      <c r="S21" s="355">
        <f>入學要求!H265</f>
        <v>3</v>
      </c>
      <c r="T21" s="355">
        <f>入學要求!I265</f>
        <v>3</v>
      </c>
      <c r="U21" s="576"/>
      <c r="V21" s="365" cm="1">
        <f t="array" ref="V21">IFERROR(INDEX('Offer Statistics'!DA$2:DA$181,MATCH(1,($A21='Offer Statistics'!$CL$2:$CL$181)*($U$2='Offer Statistics'!$CM$2:$CM$181),0)),"/")</f>
        <v>54</v>
      </c>
      <c r="W21" s="375" cm="1">
        <f t="array" ref="W21">IFERROR(INDEX('Offer Statistics'!CV$2:CV$181,MATCH(1,($A21='Offer Statistics'!$CL$2:$CL$181)*($U$2='Offer Statistics'!$CM$2:$CM$181),0)),"/")</f>
        <v>54</v>
      </c>
      <c r="X21" s="375" cm="1">
        <f t="array" ref="X21">IFERROR(INDEX('Offer Statistics'!CW$2:CW$181,MATCH(1,($A21='Offer Statistics'!$CL$2:$CL$181)*($U$2='Offer Statistics'!$CM$2:$CM$181),0)),"/")</f>
        <v>0</v>
      </c>
      <c r="Y21" s="375" cm="1">
        <f t="array" ref="Y21">IFERROR(INDEX('Offer Statistics'!CX$2:CX$181,MATCH(1,($A21='Offer Statistics'!$CL$2:$CL$181)*($U$2='Offer Statistics'!$CM$2:$CM$181),0)),"/")</f>
        <v>0</v>
      </c>
      <c r="Z21" s="375" cm="1">
        <f t="array" ref="Z21">IFERROR(INDEX('Offer Statistics'!CY$2:CY$181,MATCH(1,($A21='Offer Statistics'!$CL$2:$CL$181)*($U$2='Offer Statistics'!$CM$2:$CM$181),0)),"/")</f>
        <v>0</v>
      </c>
      <c r="AA21" s="375" cm="1">
        <f t="array" ref="AA21">IFERROR(INDEX('Offer Statistics'!CZ$2:CZ$181,MATCH(1,($A21='Offer Statistics'!$CL$2:$CL$181)*($U$2='Offer Statistics'!$CM$2:$CM$181),0)),"/")</f>
        <v>0</v>
      </c>
      <c r="AB21" s="580"/>
      <c r="AC21" s="365" cm="1">
        <f t="array" ref="AC21">IFERROR(INDEX('Offer Statistics'!CS$2:CS$181,MATCH(1,($A21='Offer Statistics'!$CL$2:$CL$181)*($U$2='Offer Statistics'!$CM$2:$CM$181),0)),"/")</f>
        <v>743</v>
      </c>
      <c r="AD21" s="375" cm="1">
        <f t="array" ref="AD21">IFERROR(INDEX('Offer Statistics'!CN$2:CN$181,MATCH(1,($A21='Offer Statistics'!$CL$2:$CL$181)*($U$2='Offer Statistics'!$CM$2:$CM$181),0)),"/")</f>
        <v>149</v>
      </c>
      <c r="AE21" s="375" cm="1">
        <f t="array" ref="AE21">IFERROR(INDEX('Offer Statistics'!CO$2:CO$181,MATCH(1,($A21='Offer Statistics'!$CL$2:$CL$181)*($U$2='Offer Statistics'!$CM$2:$CM$181),0)),"/")</f>
        <v>84</v>
      </c>
      <c r="AF21" s="375" cm="1">
        <f t="array" ref="AF21">IFERROR(INDEX('Offer Statistics'!CP$2:CP$181,MATCH(1,($A21='Offer Statistics'!$CL$2:$CL$181)*($U$2='Offer Statistics'!$CM$2:$CM$181),0)),"/")</f>
        <v>137</v>
      </c>
      <c r="AG21" s="375" cm="1">
        <f t="array" ref="AG21">IFERROR(INDEX('Offer Statistics'!CQ$2:CQ$181,MATCH(1,($A21='Offer Statistics'!$CL$2:$CL$181)*($U$2='Offer Statistics'!$CM$2:$CM$181),0)),"/")</f>
        <v>184</v>
      </c>
      <c r="AH21" s="375" cm="1">
        <f t="array" ref="AH21">IFERROR(INDEX('Offer Statistics'!CR$2:CR$181,MATCH(1,($A21='Offer Statistics'!$CL$2:$CL$181)*($U$2='Offer Statistics'!$CM$2:$CM$181),0)),"/")</f>
        <v>189</v>
      </c>
      <c r="AJ21" s="354" t="str">
        <f t="shared" si="4"/>
        <v>JS6157</v>
      </c>
    </row>
    <row r="22" spans="1:36" ht="18" customHeight="1" x14ac:dyDescent="0.3">
      <c r="A22" s="346" t="str">
        <f>'Reference Score Calculation'!A257</f>
        <v>JS6262</v>
      </c>
      <c r="B22" s="346" t="str">
        <f>'Reference Score Calculation'!C257</f>
        <v>工程學院</v>
      </c>
      <c r="C22" s="346" t="str">
        <f>'Reference Score Calculation'!D257</f>
        <v>工學學士(數據科學及工程)</v>
      </c>
      <c r="D22" s="346" t="str">
        <f>'Reference Score Calculation'!T257</f>
        <v>BEng(DS&amp;E)</v>
      </c>
      <c r="E22" s="376" t="str">
        <f>'Reference Score Calculation'!AD257</f>
        <v>Best 5</v>
      </c>
      <c r="F22" s="347" t="str">
        <f>'Reference Score Calculation'!F257</f>
        <v>/</v>
      </c>
      <c r="G22" s="347" t="str">
        <f>'Reference Score Calculation'!G257</f>
        <v>/</v>
      </c>
      <c r="H22" s="347" t="str">
        <f>'Reference Score Calculation'!H257</f>
        <v>/</v>
      </c>
      <c r="I22" s="368">
        <f>計分版!H278</f>
        <v>3.1500000000000001E-9</v>
      </c>
      <c r="J22" s="348" t="s">
        <v>1978</v>
      </c>
      <c r="K22" s="349" t="s">
        <v>1978</v>
      </c>
      <c r="L22" s="365">
        <f>入學要求!C266</f>
        <v>30</v>
      </c>
      <c r="M22" s="372">
        <f>入學要求!R266</f>
        <v>0</v>
      </c>
      <c r="O22" s="355">
        <f>入學要求!D266</f>
        <v>3</v>
      </c>
      <c r="P22" s="355">
        <f>入學要求!E266</f>
        <v>3</v>
      </c>
      <c r="Q22" s="355">
        <f>入學要求!F266</f>
        <v>3</v>
      </c>
      <c r="R22" s="355">
        <f>入學要求!G266</f>
        <v>2</v>
      </c>
      <c r="S22" s="355">
        <f>入學要求!H266</f>
        <v>3</v>
      </c>
      <c r="T22" s="355">
        <f>入學要求!I266</f>
        <v>3</v>
      </c>
      <c r="U22" s="576"/>
      <c r="V22" s="365" t="str" cm="1">
        <f t="array" ref="V22">IFERROR(INDEX('Offer Statistics'!DA$2:DA$181,MATCH(1,($A22='Offer Statistics'!$CL$2:$CL$181)*($U$2='Offer Statistics'!$CM$2:$CM$181),0)),"/")</f>
        <v>/</v>
      </c>
      <c r="W22" s="375" t="str" cm="1">
        <f t="array" ref="W22">IFERROR(INDEX('Offer Statistics'!CV$2:CV$181,MATCH(1,($A22='Offer Statistics'!$CL$2:$CL$181)*($U$2='Offer Statistics'!$CM$2:$CM$181),0)),"/")</f>
        <v>/</v>
      </c>
      <c r="X22" s="375" t="str" cm="1">
        <f t="array" ref="X22">IFERROR(INDEX('Offer Statistics'!CW$2:CW$181,MATCH(1,($A22='Offer Statistics'!$CL$2:$CL$181)*($U$2='Offer Statistics'!$CM$2:$CM$181),0)),"/")</f>
        <v>/</v>
      </c>
      <c r="Y22" s="375" t="str" cm="1">
        <f t="array" ref="Y22">IFERROR(INDEX('Offer Statistics'!CX$2:CX$181,MATCH(1,($A22='Offer Statistics'!$CL$2:$CL$181)*($U$2='Offer Statistics'!$CM$2:$CM$181),0)),"/")</f>
        <v>/</v>
      </c>
      <c r="Z22" s="375" t="str" cm="1">
        <f t="array" ref="Z22">IFERROR(INDEX('Offer Statistics'!CY$2:CY$181,MATCH(1,($A22='Offer Statistics'!$CL$2:$CL$181)*($U$2='Offer Statistics'!$CM$2:$CM$181),0)),"/")</f>
        <v>/</v>
      </c>
      <c r="AA22" s="375" t="str" cm="1">
        <f t="array" ref="AA22">IFERROR(INDEX('Offer Statistics'!CZ$2:CZ$181,MATCH(1,($A22='Offer Statistics'!$CL$2:$CL$181)*($U$2='Offer Statistics'!$CM$2:$CM$181),0)),"/")</f>
        <v>/</v>
      </c>
      <c r="AB22" s="580"/>
      <c r="AC22" s="365" t="str" cm="1">
        <f t="array" ref="AC22">IFERROR(INDEX('Offer Statistics'!CS$2:CS$181,MATCH(1,($A22='Offer Statistics'!$CL$2:$CL$181)*($U$2='Offer Statistics'!$CM$2:$CM$181),0)),"/")</f>
        <v>/</v>
      </c>
      <c r="AD22" s="375" t="str" cm="1">
        <f t="array" ref="AD22">IFERROR(INDEX('Offer Statistics'!CN$2:CN$181,MATCH(1,($A22='Offer Statistics'!$CL$2:$CL$181)*($U$2='Offer Statistics'!$CM$2:$CM$181),0)),"/")</f>
        <v>/</v>
      </c>
      <c r="AE22" s="375" t="str" cm="1">
        <f t="array" ref="AE22">IFERROR(INDEX('Offer Statistics'!CO$2:CO$181,MATCH(1,($A22='Offer Statistics'!$CL$2:$CL$181)*($U$2='Offer Statistics'!$CM$2:$CM$181),0)),"/")</f>
        <v>/</v>
      </c>
      <c r="AF22" s="375" t="str" cm="1">
        <f t="array" ref="AF22">IFERROR(INDEX('Offer Statistics'!CP$2:CP$181,MATCH(1,($A22='Offer Statistics'!$CL$2:$CL$181)*($U$2='Offer Statistics'!$CM$2:$CM$181),0)),"/")</f>
        <v>/</v>
      </c>
      <c r="AG22" s="375" t="str" cm="1">
        <f t="array" ref="AG22">IFERROR(INDEX('Offer Statistics'!CQ$2:CQ$181,MATCH(1,($A22='Offer Statistics'!$CL$2:$CL$181)*($U$2='Offer Statistics'!$CM$2:$CM$181),0)),"/")</f>
        <v>/</v>
      </c>
      <c r="AH22" s="375" t="str" cm="1">
        <f t="array" ref="AH22">IFERROR(INDEX('Offer Statistics'!CR$2:CR$181,MATCH(1,($A22='Offer Statistics'!$CL$2:$CL$181)*($U$2='Offer Statistics'!$CM$2:$CM$181),0)),"/")</f>
        <v>/</v>
      </c>
      <c r="AJ22" s="354" t="str">
        <f t="shared" si="4"/>
        <v>JS6262</v>
      </c>
    </row>
    <row r="23" spans="1:36" ht="18" customHeight="1" x14ac:dyDescent="0.3">
      <c r="A23" s="346" t="str">
        <f>'Reference Score Calculation'!A258</f>
        <v>JS6925</v>
      </c>
      <c r="B23" s="346" t="str">
        <f>'Reference Score Calculation'!C258</f>
        <v>工程學院</v>
      </c>
      <c r="C23" s="346" t="str">
        <f>'Reference Score Calculation'!D258</f>
        <v>工學學士(生物醫學工程)</v>
      </c>
      <c r="D23" s="346" t="str">
        <f>'Reference Score Calculation'!T258</f>
        <v xml:space="preserve">	BENG(BME)</v>
      </c>
      <c r="E23" s="356" t="str">
        <f>'Reference Score Calculation'!E258</f>
        <v>Best 5</v>
      </c>
      <c r="F23" s="347">
        <f>'Reference Score Calculation'!F258</f>
        <v>31</v>
      </c>
      <c r="G23" s="347">
        <f>'Reference Score Calculation'!G258</f>
        <v>30</v>
      </c>
      <c r="H23" s="347">
        <f>'Reference Score Calculation'!H258</f>
        <v>29</v>
      </c>
      <c r="I23" s="368">
        <f>計分版!H279</f>
        <v>3.1500000000000001E-9</v>
      </c>
      <c r="J23" s="361">
        <f t="shared" si="5"/>
        <v>-29.999999996850001</v>
      </c>
      <c r="K23" s="362">
        <f t="shared" si="6"/>
        <v>-9523809522.8095245</v>
      </c>
      <c r="L23" s="365">
        <f>入學要求!C267</f>
        <v>35</v>
      </c>
      <c r="M23" s="372">
        <f>入學要求!R267</f>
        <v>0</v>
      </c>
      <c r="O23" s="355">
        <f>入學要求!D267</f>
        <v>3</v>
      </c>
      <c r="P23" s="355">
        <f>入學要求!E267</f>
        <v>3</v>
      </c>
      <c r="Q23" s="355">
        <f>入學要求!F267</f>
        <v>3</v>
      </c>
      <c r="R23" s="355">
        <f>入學要求!G267</f>
        <v>2</v>
      </c>
      <c r="S23" s="355">
        <f>入學要求!H267</f>
        <v>3</v>
      </c>
      <c r="T23" s="355">
        <f>入學要求!I267</f>
        <v>3</v>
      </c>
      <c r="U23" s="576"/>
      <c r="V23" s="365" cm="1">
        <f t="array" ref="V23">IFERROR(INDEX('Offer Statistics'!DA$2:DA$181,MATCH(1,($A23='Offer Statistics'!$CL$2:$CL$181)*($U$2='Offer Statistics'!$CM$2:$CM$181),0)),"/")</f>
        <v>18</v>
      </c>
      <c r="W23" s="375" cm="1">
        <f t="array" ref="W23">IFERROR(INDEX('Offer Statistics'!CV$2:CV$181,MATCH(1,($A23='Offer Statistics'!$CL$2:$CL$181)*($U$2='Offer Statistics'!$CM$2:$CM$181),0)),"/")</f>
        <v>18</v>
      </c>
      <c r="X23" s="375" cm="1">
        <f t="array" ref="X23">IFERROR(INDEX('Offer Statistics'!CW$2:CW$181,MATCH(1,($A23='Offer Statistics'!$CL$2:$CL$181)*($U$2='Offer Statistics'!$CM$2:$CM$181),0)),"/")</f>
        <v>0</v>
      </c>
      <c r="Y23" s="375" cm="1">
        <f t="array" ref="Y23">IFERROR(INDEX('Offer Statistics'!CX$2:CX$181,MATCH(1,($A23='Offer Statistics'!$CL$2:$CL$181)*($U$2='Offer Statistics'!$CM$2:$CM$181),0)),"/")</f>
        <v>0</v>
      </c>
      <c r="Z23" s="375" cm="1">
        <f t="array" ref="Z23">IFERROR(INDEX('Offer Statistics'!CY$2:CY$181,MATCH(1,($A23='Offer Statistics'!$CL$2:$CL$181)*($U$2='Offer Statistics'!$CM$2:$CM$181),0)),"/")</f>
        <v>0</v>
      </c>
      <c r="AA23" s="375" cm="1">
        <f t="array" ref="AA23">IFERROR(INDEX('Offer Statistics'!CZ$2:CZ$181,MATCH(1,($A23='Offer Statistics'!$CL$2:$CL$181)*($U$2='Offer Statistics'!$CM$2:$CM$181),0)),"/")</f>
        <v>0</v>
      </c>
      <c r="AB23" s="580"/>
      <c r="AC23" s="365" cm="1">
        <f t="array" ref="AC23">IFERROR(INDEX('Offer Statistics'!CS$2:CS$181,MATCH(1,($A23='Offer Statistics'!$CL$2:$CL$181)*($U$2='Offer Statistics'!$CM$2:$CM$181),0)),"/")</f>
        <v>972</v>
      </c>
      <c r="AD23" s="375" cm="1">
        <f t="array" ref="AD23">IFERROR(INDEX('Offer Statistics'!CN$2:CN$181,MATCH(1,($A23='Offer Statistics'!$CL$2:$CL$181)*($U$2='Offer Statistics'!$CM$2:$CM$181),0)),"/")</f>
        <v>77</v>
      </c>
      <c r="AE23" s="375" cm="1">
        <f t="array" ref="AE23">IFERROR(INDEX('Offer Statistics'!CO$2:CO$181,MATCH(1,($A23='Offer Statistics'!$CL$2:$CL$181)*($U$2='Offer Statistics'!$CM$2:$CM$181),0)),"/")</f>
        <v>91</v>
      </c>
      <c r="AF23" s="375" cm="1">
        <f t="array" ref="AF23">IFERROR(INDEX('Offer Statistics'!CP$2:CP$181,MATCH(1,($A23='Offer Statistics'!$CL$2:$CL$181)*($U$2='Offer Statistics'!$CM$2:$CM$181),0)),"/")</f>
        <v>197</v>
      </c>
      <c r="AG23" s="375" cm="1">
        <f t="array" ref="AG23">IFERROR(INDEX('Offer Statistics'!CQ$2:CQ$181,MATCH(1,($A23='Offer Statistics'!$CL$2:$CL$181)*($U$2='Offer Statistics'!$CM$2:$CM$181),0)),"/")</f>
        <v>337</v>
      </c>
      <c r="AH23" s="375" cm="1">
        <f t="array" ref="AH23">IFERROR(INDEX('Offer Statistics'!CR$2:CR$181,MATCH(1,($A23='Offer Statistics'!$CL$2:$CL$181)*($U$2='Offer Statistics'!$CM$2:$CM$181),0)),"/")</f>
        <v>270</v>
      </c>
      <c r="AJ23" s="354" t="str">
        <f t="shared" si="4"/>
        <v>JS6925</v>
      </c>
    </row>
    <row r="24" spans="1:36" ht="18" customHeight="1" x14ac:dyDescent="0.3">
      <c r="A24" s="346" t="str">
        <f>'Reference Score Calculation'!A259</f>
        <v>JS6937</v>
      </c>
      <c r="B24" s="346" t="str">
        <f>'Reference Score Calculation'!C259</f>
        <v>工程學院</v>
      </c>
      <c r="C24" s="346" t="str">
        <f>'Reference Score Calculation'!D259</f>
        <v>環球工程與商業課程</v>
      </c>
      <c r="D24" s="346" t="str">
        <f>'Reference Score Calculation'!T259</f>
        <v>GEBP</v>
      </c>
      <c r="E24" s="356" t="str">
        <f>'Reference Score Calculation'!E259</f>
        <v>Best 5</v>
      </c>
      <c r="F24" s="347">
        <f>'Reference Score Calculation'!F259</f>
        <v>34</v>
      </c>
      <c r="G24" s="347">
        <f>'Reference Score Calculation'!G259</f>
        <v>31</v>
      </c>
      <c r="H24" s="347">
        <f>'Reference Score Calculation'!H259</f>
        <v>29</v>
      </c>
      <c r="I24" s="368">
        <f>計分版!H280</f>
        <v>3.1500000000000001E-9</v>
      </c>
      <c r="J24" s="361">
        <f t="shared" si="5"/>
        <v>-30.999999996850001</v>
      </c>
      <c r="K24" s="362">
        <f t="shared" si="6"/>
        <v>-9841269840.2698421</v>
      </c>
      <c r="L24" s="365" t="str">
        <f>入學要求!C268</f>
        <v>355*</v>
      </c>
      <c r="M24" s="372">
        <f>入學要求!R268</f>
        <v>0</v>
      </c>
      <c r="O24" s="355">
        <f>入學要求!D268</f>
        <v>3</v>
      </c>
      <c r="P24" s="355">
        <f>入學要求!E268</f>
        <v>4</v>
      </c>
      <c r="Q24" s="355">
        <f>入學要求!F268</f>
        <v>4</v>
      </c>
      <c r="R24" s="355">
        <f>入學要求!G268</f>
        <v>2</v>
      </c>
      <c r="S24" s="355">
        <f>入學要求!H268</f>
        <v>3</v>
      </c>
      <c r="T24" s="355">
        <f>入學要求!I268</f>
        <v>3</v>
      </c>
      <c r="U24" s="576"/>
      <c r="V24" s="365" cm="1">
        <f t="array" ref="V24">IFERROR(INDEX('Offer Statistics'!DA$2:DA$181,MATCH(1,($A24='Offer Statistics'!$CL$2:$CL$181)*($U$2='Offer Statistics'!$CM$2:$CM$181),0)),"/")</f>
        <v>18</v>
      </c>
      <c r="W24" s="375" cm="1">
        <f t="array" ref="W24">IFERROR(INDEX('Offer Statistics'!CV$2:CV$181,MATCH(1,($A24='Offer Statistics'!$CL$2:$CL$181)*($U$2='Offer Statistics'!$CM$2:$CM$181),0)),"/")</f>
        <v>18</v>
      </c>
      <c r="X24" s="375" cm="1">
        <f t="array" ref="X24">IFERROR(INDEX('Offer Statistics'!CW$2:CW$181,MATCH(1,($A24='Offer Statistics'!$CL$2:$CL$181)*($U$2='Offer Statistics'!$CM$2:$CM$181),0)),"/")</f>
        <v>0</v>
      </c>
      <c r="Y24" s="375" cm="1">
        <f t="array" ref="Y24">IFERROR(INDEX('Offer Statistics'!CX$2:CX$181,MATCH(1,($A24='Offer Statistics'!$CL$2:$CL$181)*($U$2='Offer Statistics'!$CM$2:$CM$181),0)),"/")</f>
        <v>0</v>
      </c>
      <c r="Z24" s="375" cm="1">
        <f t="array" ref="Z24">IFERROR(INDEX('Offer Statistics'!CY$2:CY$181,MATCH(1,($A24='Offer Statistics'!$CL$2:$CL$181)*($U$2='Offer Statistics'!$CM$2:$CM$181),0)),"/")</f>
        <v>0</v>
      </c>
      <c r="AA24" s="375" cm="1">
        <f t="array" ref="AA24">IFERROR(INDEX('Offer Statistics'!CZ$2:CZ$181,MATCH(1,($A24='Offer Statistics'!$CL$2:$CL$181)*($U$2='Offer Statistics'!$CM$2:$CM$181),0)),"/")</f>
        <v>0</v>
      </c>
      <c r="AB24" s="580"/>
      <c r="AC24" s="365" cm="1">
        <f t="array" ref="AC24">IFERROR(INDEX('Offer Statistics'!CS$2:CS$181,MATCH(1,($A24='Offer Statistics'!$CL$2:$CL$181)*($U$2='Offer Statistics'!$CM$2:$CM$181),0)),"/")</f>
        <v>329</v>
      </c>
      <c r="AD24" s="375" cm="1">
        <f t="array" ref="AD24">IFERROR(INDEX('Offer Statistics'!CN$2:CN$181,MATCH(1,($A24='Offer Statistics'!$CL$2:$CL$181)*($U$2='Offer Statistics'!$CM$2:$CM$181),0)),"/")</f>
        <v>41</v>
      </c>
      <c r="AE24" s="375" cm="1">
        <f t="array" ref="AE24">IFERROR(INDEX('Offer Statistics'!CO$2:CO$181,MATCH(1,($A24='Offer Statistics'!$CL$2:$CL$181)*($U$2='Offer Statistics'!$CM$2:$CM$181),0)),"/")</f>
        <v>40</v>
      </c>
      <c r="AF24" s="375" cm="1">
        <f t="array" ref="AF24">IFERROR(INDEX('Offer Statistics'!CP$2:CP$181,MATCH(1,($A24='Offer Statistics'!$CL$2:$CL$181)*($U$2='Offer Statistics'!$CM$2:$CM$181),0)),"/")</f>
        <v>58</v>
      </c>
      <c r="AG24" s="375" cm="1">
        <f t="array" ref="AG24">IFERROR(INDEX('Offer Statistics'!CQ$2:CQ$181,MATCH(1,($A24='Offer Statistics'!$CL$2:$CL$181)*($U$2='Offer Statistics'!$CM$2:$CM$181),0)),"/")</f>
        <v>89</v>
      </c>
      <c r="AH24" s="375" cm="1">
        <f t="array" ref="AH24">IFERROR(INDEX('Offer Statistics'!CR$2:CR$181,MATCH(1,($A24='Offer Statistics'!$CL$2:$CL$181)*($U$2='Offer Statistics'!$CM$2:$CM$181),0)),"/")</f>
        <v>101</v>
      </c>
      <c r="AJ24" s="354" t="str">
        <f t="shared" si="4"/>
        <v>JS6937</v>
      </c>
    </row>
    <row r="25" spans="1:36" ht="18" customHeight="1" x14ac:dyDescent="0.3">
      <c r="A25" s="346" t="str">
        <f>'Reference Score Calculation'!A260</f>
        <v>JS6951</v>
      </c>
      <c r="B25" s="346" t="str">
        <f>'Reference Score Calculation'!C260</f>
        <v>工程學院</v>
      </c>
      <c r="C25" s="346" t="str">
        <f>'Reference Score Calculation'!D260</f>
        <v>工學學士(工程科學)</v>
      </c>
      <c r="D25" s="346" t="str">
        <f>'Reference Score Calculation'!T260</f>
        <v xml:space="preserve">	BENG(EngSc)</v>
      </c>
      <c r="E25" s="356" t="str">
        <f>'Reference Score Calculation'!E260</f>
        <v>Best 5</v>
      </c>
      <c r="F25" s="347">
        <f>'Reference Score Calculation'!F260</f>
        <v>27</v>
      </c>
      <c r="G25" s="347">
        <f>'Reference Score Calculation'!G260</f>
        <v>26</v>
      </c>
      <c r="H25" s="347">
        <f>'Reference Score Calculation'!H260</f>
        <v>25</v>
      </c>
      <c r="I25" s="368">
        <f>計分版!H281</f>
        <v>3.1500000000000001E-9</v>
      </c>
      <c r="J25" s="361">
        <f t="shared" si="5"/>
        <v>-25.999999996850001</v>
      </c>
      <c r="K25" s="362">
        <f t="shared" si="6"/>
        <v>-8253968252.9682541</v>
      </c>
      <c r="L25" s="365">
        <f>入學要求!C269</f>
        <v>18</v>
      </c>
      <c r="M25" s="372">
        <f>入學要求!R269</f>
        <v>0</v>
      </c>
      <c r="O25" s="355">
        <f>入學要求!D269</f>
        <v>3</v>
      </c>
      <c r="P25" s="355">
        <f>入學要求!E269</f>
        <v>3</v>
      </c>
      <c r="Q25" s="355">
        <f>入學要求!F269</f>
        <v>3</v>
      </c>
      <c r="R25" s="355">
        <f>入學要求!G269</f>
        <v>2</v>
      </c>
      <c r="S25" s="355">
        <f>入學要求!H269</f>
        <v>3</v>
      </c>
      <c r="T25" s="355">
        <f>入學要求!I269</f>
        <v>3</v>
      </c>
      <c r="U25" s="576"/>
      <c r="V25" s="365" cm="1">
        <f t="array" ref="V25">IFERROR(INDEX('Offer Statistics'!DA$2:DA$181,MATCH(1,($A25='Offer Statistics'!$CL$2:$CL$181)*($U$2='Offer Statistics'!$CM$2:$CM$181),0)),"/")</f>
        <v>12</v>
      </c>
      <c r="W25" s="375" cm="1">
        <f t="array" ref="W25">IFERROR(INDEX('Offer Statistics'!CV$2:CV$181,MATCH(1,($A25='Offer Statistics'!$CL$2:$CL$181)*($U$2='Offer Statistics'!$CM$2:$CM$181),0)),"/")</f>
        <v>12</v>
      </c>
      <c r="X25" s="375" cm="1">
        <f t="array" ref="X25">IFERROR(INDEX('Offer Statistics'!CW$2:CW$181,MATCH(1,($A25='Offer Statistics'!$CL$2:$CL$181)*($U$2='Offer Statistics'!$CM$2:$CM$181),0)),"/")</f>
        <v>0</v>
      </c>
      <c r="Y25" s="375" cm="1">
        <f t="array" ref="Y25">IFERROR(INDEX('Offer Statistics'!CX$2:CX$181,MATCH(1,($A25='Offer Statistics'!$CL$2:$CL$181)*($U$2='Offer Statistics'!$CM$2:$CM$181),0)),"/")</f>
        <v>0</v>
      </c>
      <c r="Z25" s="375" cm="1">
        <f t="array" ref="Z25">IFERROR(INDEX('Offer Statistics'!CY$2:CY$181,MATCH(1,($A25='Offer Statistics'!$CL$2:$CL$181)*($U$2='Offer Statistics'!$CM$2:$CM$181),0)),"/")</f>
        <v>0</v>
      </c>
      <c r="AA25" s="375" cm="1">
        <f t="array" ref="AA25">IFERROR(INDEX('Offer Statistics'!CZ$2:CZ$181,MATCH(1,($A25='Offer Statistics'!$CL$2:$CL$181)*($U$2='Offer Statistics'!$CM$2:$CM$181),0)),"/")</f>
        <v>0</v>
      </c>
      <c r="AB25" s="580"/>
      <c r="AC25" s="365" cm="1">
        <f t="array" ref="AC25">IFERROR(INDEX('Offer Statistics'!CS$2:CS$181,MATCH(1,($A25='Offer Statistics'!$CL$2:$CL$181)*($U$2='Offer Statistics'!$CM$2:$CM$181),0)),"/")</f>
        <v>1200</v>
      </c>
      <c r="AD25" s="375" cm="1">
        <f t="array" ref="AD25">IFERROR(INDEX('Offer Statistics'!CN$2:CN$181,MATCH(1,($A25='Offer Statistics'!$CL$2:$CL$181)*($U$2='Offer Statistics'!$CM$2:$CM$181),0)),"/")</f>
        <v>67</v>
      </c>
      <c r="AE25" s="375" cm="1">
        <f t="array" ref="AE25">IFERROR(INDEX('Offer Statistics'!CO$2:CO$181,MATCH(1,($A25='Offer Statistics'!$CL$2:$CL$181)*($U$2='Offer Statistics'!$CM$2:$CM$181),0)),"/")</f>
        <v>117</v>
      </c>
      <c r="AF25" s="375" cm="1">
        <f t="array" ref="AF25">IFERROR(INDEX('Offer Statistics'!CP$2:CP$181,MATCH(1,($A25='Offer Statistics'!$CL$2:$CL$181)*($U$2='Offer Statistics'!$CM$2:$CM$181),0)),"/")</f>
        <v>273</v>
      </c>
      <c r="AG25" s="375" cm="1">
        <f t="array" ref="AG25">IFERROR(INDEX('Offer Statistics'!CQ$2:CQ$181,MATCH(1,($A25='Offer Statistics'!$CL$2:$CL$181)*($U$2='Offer Statistics'!$CM$2:$CM$181),0)),"/")</f>
        <v>414</v>
      </c>
      <c r="AH25" s="375" cm="1">
        <f t="array" ref="AH25">IFERROR(INDEX('Offer Statistics'!CR$2:CR$181,MATCH(1,($A25='Offer Statistics'!$CL$2:$CL$181)*($U$2='Offer Statistics'!$CM$2:$CM$181),0)),"/")</f>
        <v>329</v>
      </c>
      <c r="AJ25" s="354" t="str">
        <f t="shared" si="4"/>
        <v>JS6951</v>
      </c>
    </row>
    <row r="26" spans="1:36" ht="18" customHeight="1" x14ac:dyDescent="0.3">
      <c r="A26" s="346" t="str">
        <f>'Reference Score Calculation'!A261</f>
        <v>JS6963</v>
      </c>
      <c r="B26" s="346" t="str">
        <f>'Reference Score Calculation'!C261</f>
        <v>工程學院</v>
      </c>
      <c r="C26" s="346" t="str">
        <f>'Reference Score Calculation'!D261</f>
        <v>工學學士</v>
      </c>
      <c r="D26" s="346" t="str">
        <f>'Reference Score Calculation'!T261</f>
        <v xml:space="preserve">	BENG</v>
      </c>
      <c r="E26" s="356" t="str">
        <f>'Reference Score Calculation'!E261</f>
        <v>Best 5</v>
      </c>
      <c r="F26" s="347">
        <f>'Reference Score Calculation'!F261</f>
        <v>27</v>
      </c>
      <c r="G26" s="347">
        <f>'Reference Score Calculation'!G261</f>
        <v>25</v>
      </c>
      <c r="H26" s="347">
        <f>'Reference Score Calculation'!H261</f>
        <v>23</v>
      </c>
      <c r="I26" s="368">
        <f>計分版!H282</f>
        <v>3.1500000000000001E-9</v>
      </c>
      <c r="J26" s="361">
        <f t="shared" si="5"/>
        <v>-24.999999996850001</v>
      </c>
      <c r="K26" s="362">
        <f t="shared" si="6"/>
        <v>-7936507935.5079365</v>
      </c>
      <c r="L26" s="365" t="str">
        <f>入學要求!C270</f>
        <v>355*</v>
      </c>
      <c r="M26" s="372">
        <f>入學要求!R270</f>
        <v>0</v>
      </c>
      <c r="O26" s="355">
        <f>入學要求!D270</f>
        <v>3</v>
      </c>
      <c r="P26" s="355">
        <f>入學要求!E270</f>
        <v>3</v>
      </c>
      <c r="Q26" s="355">
        <f>入學要求!F270</f>
        <v>3</v>
      </c>
      <c r="R26" s="355">
        <f>入學要求!G270</f>
        <v>2</v>
      </c>
      <c r="S26" s="355">
        <f>入學要求!H270</f>
        <v>3</v>
      </c>
      <c r="T26" s="355">
        <f>入學要求!I270</f>
        <v>3</v>
      </c>
      <c r="U26" s="576"/>
      <c r="V26" s="365" cm="1">
        <f t="array" ref="V26">IFERROR(INDEX('Offer Statistics'!DA$2:DA$181,MATCH(1,($A26='Offer Statistics'!$CL$2:$CL$181)*($U$2='Offer Statistics'!$CM$2:$CM$181),0)),"/")</f>
        <v>260</v>
      </c>
      <c r="W26" s="375" cm="1">
        <f t="array" ref="W26">IFERROR(INDEX('Offer Statistics'!CV$2:CV$181,MATCH(1,($A26='Offer Statistics'!$CL$2:$CL$181)*($U$2='Offer Statistics'!$CM$2:$CM$181),0)),"/")</f>
        <v>258</v>
      </c>
      <c r="X26" s="375" cm="1">
        <f t="array" ref="X26">IFERROR(INDEX('Offer Statistics'!CW$2:CW$181,MATCH(1,($A26='Offer Statistics'!$CL$2:$CL$181)*($U$2='Offer Statistics'!$CM$2:$CM$181),0)),"/")</f>
        <v>2</v>
      </c>
      <c r="Y26" s="375" cm="1">
        <f t="array" ref="Y26">IFERROR(INDEX('Offer Statistics'!CX$2:CX$181,MATCH(1,($A26='Offer Statistics'!$CL$2:$CL$181)*($U$2='Offer Statistics'!$CM$2:$CM$181),0)),"/")</f>
        <v>0</v>
      </c>
      <c r="Z26" s="375" cm="1">
        <f t="array" ref="Z26">IFERROR(INDEX('Offer Statistics'!CY$2:CY$181,MATCH(1,($A26='Offer Statistics'!$CL$2:$CL$181)*($U$2='Offer Statistics'!$CM$2:$CM$181),0)),"/")</f>
        <v>0</v>
      </c>
      <c r="AA26" s="375" cm="1">
        <f t="array" ref="AA26">IFERROR(INDEX('Offer Statistics'!CZ$2:CZ$181,MATCH(1,($A26='Offer Statistics'!$CL$2:$CL$181)*($U$2='Offer Statistics'!$CM$2:$CM$181),0)),"/")</f>
        <v>0</v>
      </c>
      <c r="AB26" s="580"/>
      <c r="AC26" s="365" cm="1">
        <f t="array" ref="AC26">IFERROR(INDEX('Offer Statistics'!CS$2:CS$181,MATCH(1,($A26='Offer Statistics'!$CL$2:$CL$181)*($U$2='Offer Statistics'!$CM$2:$CM$181),0)),"/")</f>
        <v>3141</v>
      </c>
      <c r="AD26" s="375" cm="1">
        <f t="array" ref="AD26">IFERROR(INDEX('Offer Statistics'!CN$2:CN$181,MATCH(1,($A26='Offer Statistics'!$CL$2:$CL$181)*($U$2='Offer Statistics'!$CM$2:$CM$181),0)),"/")</f>
        <v>831</v>
      </c>
      <c r="AE26" s="375" cm="1">
        <f t="array" ref="AE26">IFERROR(INDEX('Offer Statistics'!CO$2:CO$181,MATCH(1,($A26='Offer Statistics'!$CL$2:$CL$181)*($U$2='Offer Statistics'!$CM$2:$CM$181),0)),"/")</f>
        <v>567</v>
      </c>
      <c r="AF26" s="375" cm="1">
        <f t="array" ref="AF26">IFERROR(INDEX('Offer Statistics'!CP$2:CP$181,MATCH(1,($A26='Offer Statistics'!$CL$2:$CL$181)*($U$2='Offer Statistics'!$CM$2:$CM$181),0)),"/")</f>
        <v>639</v>
      </c>
      <c r="AG26" s="375" cm="1">
        <f t="array" ref="AG26">IFERROR(INDEX('Offer Statistics'!CQ$2:CQ$181,MATCH(1,($A26='Offer Statistics'!$CL$2:$CL$181)*($U$2='Offer Statistics'!$CM$2:$CM$181),0)),"/")</f>
        <v>603</v>
      </c>
      <c r="AH26" s="375" cm="1">
        <f t="array" ref="AH26">IFERROR(INDEX('Offer Statistics'!CR$2:CR$181,MATCH(1,($A26='Offer Statistics'!$CL$2:$CL$181)*($U$2='Offer Statistics'!$CM$2:$CM$181),0)),"/")</f>
        <v>501</v>
      </c>
      <c r="AJ26" s="354" t="str">
        <f t="shared" si="4"/>
        <v>JS6963</v>
      </c>
    </row>
    <row r="27" spans="1:36" ht="18" customHeight="1" x14ac:dyDescent="0.3">
      <c r="A27" s="346" t="str">
        <f>'Reference Score Calculation'!A262</f>
        <v>JS6078</v>
      </c>
      <c r="B27" s="346" t="str">
        <f>'Reference Score Calculation'!C262</f>
        <v>法律學院</v>
      </c>
      <c r="C27" s="346" t="str">
        <f>'Reference Score Calculation'!D262</f>
        <v>文學士及法學士 (雙學位課程)</v>
      </c>
      <c r="D27" s="346" t="str">
        <f>'Reference Score Calculation'!T262</f>
        <v xml:space="preserve">	BA&amp;LLB</v>
      </c>
      <c r="E27" s="355" t="str">
        <f>'Reference Score Calculation'!E262</f>
        <v>Best 6</v>
      </c>
      <c r="F27" s="347">
        <f>'Reference Score Calculation'!F262</f>
        <v>41</v>
      </c>
      <c r="G27" s="347">
        <f>'Reference Score Calculation'!G262</f>
        <v>39</v>
      </c>
      <c r="H27" s="347">
        <f>'Reference Score Calculation'!H262</f>
        <v>37</v>
      </c>
      <c r="I27" s="368">
        <f>計分版!H283</f>
        <v>3.7E-9</v>
      </c>
      <c r="J27" s="361">
        <f t="shared" si="5"/>
        <v>-38.999999996299998</v>
      </c>
      <c r="K27" s="362">
        <f t="shared" si="6"/>
        <v>-10540540539.540541</v>
      </c>
      <c r="L27" s="365">
        <f>入學要求!C271</f>
        <v>20</v>
      </c>
      <c r="M27" s="372">
        <f>入學要求!R271</f>
        <v>0</v>
      </c>
      <c r="O27" s="355">
        <f>入學要求!D271</f>
        <v>4</v>
      </c>
      <c r="P27" s="355">
        <f>入學要求!E271</f>
        <v>5</v>
      </c>
      <c r="Q27" s="355">
        <f>入學要求!F271</f>
        <v>3</v>
      </c>
      <c r="R27" s="355">
        <f>入學要求!G271</f>
        <v>3</v>
      </c>
      <c r="S27" s="355">
        <f>入學要求!H271</f>
        <v>3</v>
      </c>
      <c r="T27" s="355">
        <f>入學要求!I271</f>
        <v>3</v>
      </c>
      <c r="U27" s="576"/>
      <c r="V27" s="365" cm="1">
        <f t="array" ref="V27">IFERROR(INDEX('Offer Statistics'!DA$2:DA$181,MATCH(1,($A27='Offer Statistics'!$CL$2:$CL$181)*($U$2='Offer Statistics'!$CM$2:$CM$181),0)),"/")</f>
        <v>20</v>
      </c>
      <c r="W27" s="375" cm="1">
        <f t="array" ref="W27">IFERROR(INDEX('Offer Statistics'!CV$2:CV$181,MATCH(1,($A27='Offer Statistics'!$CL$2:$CL$181)*($U$2='Offer Statistics'!$CM$2:$CM$181),0)),"/")</f>
        <v>20</v>
      </c>
      <c r="X27" s="375" cm="1">
        <f t="array" ref="X27">IFERROR(INDEX('Offer Statistics'!CW$2:CW$181,MATCH(1,($A27='Offer Statistics'!$CL$2:$CL$181)*($U$2='Offer Statistics'!$CM$2:$CM$181),0)),"/")</f>
        <v>0</v>
      </c>
      <c r="Y27" s="375" cm="1">
        <f t="array" ref="Y27">IFERROR(INDEX('Offer Statistics'!CX$2:CX$181,MATCH(1,($A27='Offer Statistics'!$CL$2:$CL$181)*($U$2='Offer Statistics'!$CM$2:$CM$181),0)),"/")</f>
        <v>0</v>
      </c>
      <c r="Z27" s="375" cm="1">
        <f t="array" ref="Z27">IFERROR(INDEX('Offer Statistics'!CY$2:CY$181,MATCH(1,($A27='Offer Statistics'!$CL$2:$CL$181)*($U$2='Offer Statistics'!$CM$2:$CM$181),0)),"/")</f>
        <v>0</v>
      </c>
      <c r="AA27" s="375" cm="1">
        <f t="array" ref="AA27">IFERROR(INDEX('Offer Statistics'!CZ$2:CZ$181,MATCH(1,($A27='Offer Statistics'!$CL$2:$CL$181)*($U$2='Offer Statistics'!$CM$2:$CM$181),0)),"/")</f>
        <v>0</v>
      </c>
      <c r="AB27" s="580"/>
      <c r="AC27" s="365" cm="1">
        <f t="array" ref="AC27">IFERROR(INDEX('Offer Statistics'!CS$2:CS$181,MATCH(1,($A27='Offer Statistics'!$CL$2:$CL$181)*($U$2='Offer Statistics'!$CM$2:$CM$181),0)),"/")</f>
        <v>273</v>
      </c>
      <c r="AD27" s="375" cm="1">
        <f t="array" ref="AD27">IFERROR(INDEX('Offer Statistics'!CN$2:CN$181,MATCH(1,($A27='Offer Statistics'!$CL$2:$CL$181)*($U$2='Offer Statistics'!$CM$2:$CM$181),0)),"/")</f>
        <v>31</v>
      </c>
      <c r="AE27" s="375" cm="1">
        <f t="array" ref="AE27">IFERROR(INDEX('Offer Statistics'!CO$2:CO$181,MATCH(1,($A27='Offer Statistics'!$CL$2:$CL$181)*($U$2='Offer Statistics'!$CM$2:$CM$181),0)),"/")</f>
        <v>32</v>
      </c>
      <c r="AF27" s="375" cm="1">
        <f t="array" ref="AF27">IFERROR(INDEX('Offer Statistics'!CP$2:CP$181,MATCH(1,($A27='Offer Statistics'!$CL$2:$CL$181)*($U$2='Offer Statistics'!$CM$2:$CM$181),0)),"/")</f>
        <v>44</v>
      </c>
      <c r="AG27" s="375" cm="1">
        <f t="array" ref="AG27">IFERROR(INDEX('Offer Statistics'!CQ$2:CQ$181,MATCH(1,($A27='Offer Statistics'!$CL$2:$CL$181)*($U$2='Offer Statistics'!$CM$2:$CM$181),0)),"/")</f>
        <v>87</v>
      </c>
      <c r="AH27" s="375" cm="1">
        <f t="array" ref="AH27">IFERROR(INDEX('Offer Statistics'!CR$2:CR$181,MATCH(1,($A27='Offer Statistics'!$CL$2:$CL$181)*($U$2='Offer Statistics'!$CM$2:$CM$181),0)),"/")</f>
        <v>79</v>
      </c>
      <c r="AJ27" s="354" t="str">
        <f t="shared" si="4"/>
        <v>JS6078</v>
      </c>
    </row>
    <row r="28" spans="1:36" ht="18" customHeight="1" x14ac:dyDescent="0.3">
      <c r="A28" s="346" t="str">
        <f>'Reference Score Calculation'!A263</f>
        <v>JS6406</v>
      </c>
      <c r="B28" s="346" t="str">
        <f>'Reference Score Calculation'!C263</f>
        <v>法律學院</v>
      </c>
      <c r="C28" s="346" t="str">
        <f>'Reference Score Calculation'!D263</f>
        <v>法學士</v>
      </c>
      <c r="D28" s="346" t="str">
        <f>'Reference Score Calculation'!T263</f>
        <v xml:space="preserve">	LLB</v>
      </c>
      <c r="E28" s="355" t="str">
        <f>'Reference Score Calculation'!E263</f>
        <v>Best 6</v>
      </c>
      <c r="F28" s="347">
        <f>'Reference Score Calculation'!F263</f>
        <v>38</v>
      </c>
      <c r="G28" s="347">
        <f>'Reference Score Calculation'!G263</f>
        <v>36</v>
      </c>
      <c r="H28" s="347">
        <f>'Reference Score Calculation'!H263</f>
        <v>35</v>
      </c>
      <c r="I28" s="368">
        <f>計分版!H284</f>
        <v>3.7E-9</v>
      </c>
      <c r="J28" s="361">
        <f t="shared" si="5"/>
        <v>-35.999999996299998</v>
      </c>
      <c r="K28" s="362">
        <f t="shared" si="6"/>
        <v>-9729729728.7297287</v>
      </c>
      <c r="L28" s="365">
        <f>入學要求!C272</f>
        <v>93</v>
      </c>
      <c r="M28" s="372">
        <f>入學要求!R272</f>
        <v>0</v>
      </c>
      <c r="O28" s="355">
        <f>入學要求!D272</f>
        <v>4</v>
      </c>
      <c r="P28" s="355">
        <f>入學要求!E272</f>
        <v>5</v>
      </c>
      <c r="Q28" s="355">
        <f>入學要求!F272</f>
        <v>3</v>
      </c>
      <c r="R28" s="355">
        <f>入學要求!G272</f>
        <v>3</v>
      </c>
      <c r="S28" s="355">
        <f>入學要求!H272</f>
        <v>3</v>
      </c>
      <c r="T28" s="355">
        <f>入學要求!I272</f>
        <v>3</v>
      </c>
      <c r="U28" s="576"/>
      <c r="V28" s="365" cm="1">
        <f t="array" ref="V28">IFERROR(INDEX('Offer Statistics'!DA$2:DA$181,MATCH(1,($A28='Offer Statistics'!$CL$2:$CL$181)*($U$2='Offer Statistics'!$CM$2:$CM$181),0)),"/")</f>
        <v>70</v>
      </c>
      <c r="W28" s="375" cm="1">
        <f t="array" ref="W28">IFERROR(INDEX('Offer Statistics'!CV$2:CV$181,MATCH(1,($A28='Offer Statistics'!$CL$2:$CL$181)*($U$2='Offer Statistics'!$CM$2:$CM$181),0)),"/")</f>
        <v>70</v>
      </c>
      <c r="X28" s="375" cm="1">
        <f t="array" ref="X28">IFERROR(INDEX('Offer Statistics'!CW$2:CW$181,MATCH(1,($A28='Offer Statistics'!$CL$2:$CL$181)*($U$2='Offer Statistics'!$CM$2:$CM$181),0)),"/")</f>
        <v>0</v>
      </c>
      <c r="Y28" s="375" cm="1">
        <f t="array" ref="Y28">IFERROR(INDEX('Offer Statistics'!CX$2:CX$181,MATCH(1,($A28='Offer Statistics'!$CL$2:$CL$181)*($U$2='Offer Statistics'!$CM$2:$CM$181),0)),"/")</f>
        <v>0</v>
      </c>
      <c r="Z28" s="375" cm="1">
        <f t="array" ref="Z28">IFERROR(INDEX('Offer Statistics'!CY$2:CY$181,MATCH(1,($A28='Offer Statistics'!$CL$2:$CL$181)*($U$2='Offer Statistics'!$CM$2:$CM$181),0)),"/")</f>
        <v>0</v>
      </c>
      <c r="AA28" s="375" cm="1">
        <f t="array" ref="AA28">IFERROR(INDEX('Offer Statistics'!CZ$2:CZ$181,MATCH(1,($A28='Offer Statistics'!$CL$2:$CL$181)*($U$2='Offer Statistics'!$CM$2:$CM$181),0)),"/")</f>
        <v>0</v>
      </c>
      <c r="AB28" s="580"/>
      <c r="AC28" s="365" cm="1">
        <f t="array" ref="AC28">IFERROR(INDEX('Offer Statistics'!CS$2:CS$181,MATCH(1,($A28='Offer Statistics'!$CL$2:$CL$181)*($U$2='Offer Statistics'!$CM$2:$CM$181),0)),"/")</f>
        <v>855</v>
      </c>
      <c r="AD28" s="375" cm="1">
        <f t="array" ref="AD28">IFERROR(INDEX('Offer Statistics'!CN$2:CN$181,MATCH(1,($A28='Offer Statistics'!$CL$2:$CL$181)*($U$2='Offer Statistics'!$CM$2:$CM$181),0)),"/")</f>
        <v>226</v>
      </c>
      <c r="AE28" s="375" cm="1">
        <f t="array" ref="AE28">IFERROR(INDEX('Offer Statistics'!CO$2:CO$181,MATCH(1,($A28='Offer Statistics'!$CL$2:$CL$181)*($U$2='Offer Statistics'!$CM$2:$CM$181),0)),"/")</f>
        <v>93</v>
      </c>
      <c r="AF28" s="375" cm="1">
        <f t="array" ref="AF28">IFERROR(INDEX('Offer Statistics'!CP$2:CP$181,MATCH(1,($A28='Offer Statistics'!$CL$2:$CL$181)*($U$2='Offer Statistics'!$CM$2:$CM$181),0)),"/")</f>
        <v>130</v>
      </c>
      <c r="AG28" s="375" cm="1">
        <f t="array" ref="AG28">IFERROR(INDEX('Offer Statistics'!CQ$2:CQ$181,MATCH(1,($A28='Offer Statistics'!$CL$2:$CL$181)*($U$2='Offer Statistics'!$CM$2:$CM$181),0)),"/")</f>
        <v>169</v>
      </c>
      <c r="AH28" s="375" cm="1">
        <f t="array" ref="AH28">IFERROR(INDEX('Offer Statistics'!CR$2:CR$181,MATCH(1,($A28='Offer Statistics'!$CL$2:$CL$181)*($U$2='Offer Statistics'!$CM$2:$CM$181),0)),"/")</f>
        <v>237</v>
      </c>
      <c r="AJ28" s="354" t="str">
        <f t="shared" si="4"/>
        <v>JS6406</v>
      </c>
    </row>
    <row r="29" spans="1:36" ht="18" customHeight="1" x14ac:dyDescent="0.3">
      <c r="A29" s="346" t="str">
        <f>'Reference Score Calculation'!A264</f>
        <v>JS6418</v>
      </c>
      <c r="B29" s="346" t="str">
        <f>'Reference Score Calculation'!C264</f>
        <v>醫學院</v>
      </c>
      <c r="C29" s="346" t="str">
        <f>'Reference Score Calculation'!D264</f>
        <v>護理學學士菁英領袖培育專修組別</v>
      </c>
      <c r="D29" s="346" t="str">
        <f>'Reference Score Calculation'!T264</f>
        <v>BNURS-ALT</v>
      </c>
      <c r="E29" s="376" t="str">
        <f>'Reference Score Calculation'!E264</f>
        <v>Best 5</v>
      </c>
      <c r="F29" s="347">
        <f>'Reference Score Calculation'!F264</f>
        <v>34</v>
      </c>
      <c r="G29" s="347">
        <f>'Reference Score Calculation'!G264</f>
        <v>34</v>
      </c>
      <c r="H29" s="347">
        <f>'Reference Score Calculation'!H264</f>
        <v>33</v>
      </c>
      <c r="I29" s="368">
        <f>計分版!H285</f>
        <v>3.9500000000000006E-9</v>
      </c>
      <c r="J29" s="361">
        <f t="shared" si="5"/>
        <v>-33.999999996050001</v>
      </c>
      <c r="K29" s="362">
        <f t="shared" si="6"/>
        <v>-8607594935.7088604</v>
      </c>
      <c r="L29" s="365" t="str">
        <f>入學要求!C273</f>
        <v>210*</v>
      </c>
      <c r="M29" s="372">
        <f>入學要求!R273</f>
        <v>0</v>
      </c>
      <c r="N29" s="37"/>
      <c r="O29" s="355">
        <f>入學要求!D273</f>
        <v>3</v>
      </c>
      <c r="P29" s="355">
        <f>入學要求!E273</f>
        <v>3</v>
      </c>
      <c r="Q29" s="355">
        <f>入學要求!F273</f>
        <v>2</v>
      </c>
      <c r="R29" s="355">
        <f>入學要求!G273</f>
        <v>2</v>
      </c>
      <c r="S29" s="355">
        <f>入學要求!H273</f>
        <v>3</v>
      </c>
      <c r="T29" s="355">
        <f>入學要求!I273</f>
        <v>3</v>
      </c>
      <c r="U29" s="576"/>
      <c r="V29" s="365" cm="1">
        <f t="array" ref="V29">IFERROR(INDEX('Offer Statistics'!DA$2:DA$181,MATCH(1,($A29='Offer Statistics'!$CL$2:$CL$181)*($U$2='Offer Statistics'!$CM$2:$CM$181),0)),"/")</f>
        <v>4</v>
      </c>
      <c r="W29" s="375" cm="1">
        <f t="array" ref="W29">IFERROR(INDEX('Offer Statistics'!CV$2:CV$181,MATCH(1,($A29='Offer Statistics'!$CL$2:$CL$181)*($U$2='Offer Statistics'!$CM$2:$CM$181),0)),"/")</f>
        <v>4</v>
      </c>
      <c r="X29" s="375" cm="1">
        <f t="array" ref="X29">IFERROR(INDEX('Offer Statistics'!CW$2:CW$181,MATCH(1,($A29='Offer Statistics'!$CL$2:$CL$181)*($U$2='Offer Statistics'!$CM$2:$CM$181),0)),"/")</f>
        <v>0</v>
      </c>
      <c r="Y29" s="375" cm="1">
        <f t="array" ref="Y29">IFERROR(INDEX('Offer Statistics'!CX$2:CX$181,MATCH(1,($A29='Offer Statistics'!$CL$2:$CL$181)*($U$2='Offer Statistics'!$CM$2:$CM$181),0)),"/")</f>
        <v>0</v>
      </c>
      <c r="Z29" s="375" cm="1">
        <f t="array" ref="Z29">IFERROR(INDEX('Offer Statistics'!CY$2:CY$181,MATCH(1,($A29='Offer Statistics'!$CL$2:$CL$181)*($U$2='Offer Statistics'!$CM$2:$CM$181),0)),"/")</f>
        <v>0</v>
      </c>
      <c r="AA29" s="375" cm="1">
        <f t="array" ref="AA29">IFERROR(INDEX('Offer Statistics'!CZ$2:CZ$181,MATCH(1,($A29='Offer Statistics'!$CL$2:$CL$181)*($U$2='Offer Statistics'!$CM$2:$CM$181),0)),"/")</f>
        <v>0</v>
      </c>
      <c r="AB29" s="580"/>
      <c r="AC29" s="365" cm="1">
        <f t="array" ref="AC29">IFERROR(INDEX('Offer Statistics'!CS$2:CS$181,MATCH(1,($A29='Offer Statistics'!$CL$2:$CL$181)*($U$2='Offer Statistics'!$CM$2:$CM$181),0)),"/")</f>
        <v>279</v>
      </c>
      <c r="AD29" s="375" cm="1">
        <f t="array" ref="AD29">IFERROR(INDEX('Offer Statistics'!CN$2:CN$181,MATCH(1,($A29='Offer Statistics'!$CL$2:$CL$181)*($U$2='Offer Statistics'!$CM$2:$CM$181),0)),"/")</f>
        <v>50</v>
      </c>
      <c r="AE29" s="375" cm="1">
        <f t="array" ref="AE29">IFERROR(INDEX('Offer Statistics'!CO$2:CO$181,MATCH(1,($A29='Offer Statistics'!$CL$2:$CL$181)*($U$2='Offer Statistics'!$CM$2:$CM$181),0)),"/")</f>
        <v>53</v>
      </c>
      <c r="AF29" s="375" cm="1">
        <f t="array" ref="AF29">IFERROR(INDEX('Offer Statistics'!CP$2:CP$181,MATCH(1,($A29='Offer Statistics'!$CL$2:$CL$181)*($U$2='Offer Statistics'!$CM$2:$CM$181),0)),"/")</f>
        <v>55</v>
      </c>
      <c r="AG29" s="375" cm="1">
        <f t="array" ref="AG29">IFERROR(INDEX('Offer Statistics'!CQ$2:CQ$181,MATCH(1,($A29='Offer Statistics'!$CL$2:$CL$181)*($U$2='Offer Statistics'!$CM$2:$CM$181),0)),"/")</f>
        <v>40</v>
      </c>
      <c r="AH29" s="375" cm="1">
        <f t="array" ref="AH29">IFERROR(INDEX('Offer Statistics'!CR$2:CR$181,MATCH(1,($A29='Offer Statistics'!$CL$2:$CL$181)*($U$2='Offer Statistics'!$CM$2:$CM$181),0)),"/")</f>
        <v>81</v>
      </c>
      <c r="AJ29" s="354" t="str">
        <f t="shared" si="4"/>
        <v>JS6418</v>
      </c>
    </row>
    <row r="30" spans="1:36" ht="18" customHeight="1" x14ac:dyDescent="0.3">
      <c r="A30" s="346" t="str">
        <f>'Reference Score Calculation'!A265</f>
        <v>JS6456</v>
      </c>
      <c r="B30" s="346" t="str">
        <f>'Reference Score Calculation'!C265</f>
        <v>醫學院</v>
      </c>
      <c r="C30" s="346" t="str">
        <f>'Reference Score Calculation'!D265</f>
        <v>內外全科醫學士</v>
      </c>
      <c r="D30" s="346" t="str">
        <f>'Reference Score Calculation'!T265</f>
        <v xml:space="preserve">	MBBS</v>
      </c>
      <c r="E30" s="355" t="str">
        <f>'Reference Score Calculation'!E265</f>
        <v>Best 6</v>
      </c>
      <c r="F30" s="347">
        <f>'Reference Score Calculation'!F265</f>
        <v>47</v>
      </c>
      <c r="G30" s="347">
        <f>'Reference Score Calculation'!G265</f>
        <v>45</v>
      </c>
      <c r="H30" s="347">
        <f>'Reference Score Calculation'!H265</f>
        <v>42</v>
      </c>
      <c r="I30" s="368">
        <f>計分版!H286</f>
        <v>3.9000000000000002E-9</v>
      </c>
      <c r="J30" s="361">
        <f t="shared" si="5"/>
        <v>-44.999999996100001</v>
      </c>
      <c r="K30" s="362">
        <f t="shared" si="6"/>
        <v>-11538461537.461538</v>
      </c>
      <c r="L30" s="365">
        <f>入學要求!C274</f>
        <v>295</v>
      </c>
      <c r="M30" s="372">
        <f>入學要求!R274</f>
        <v>0</v>
      </c>
      <c r="O30" s="355">
        <f>入學要求!D274</f>
        <v>3</v>
      </c>
      <c r="P30" s="355">
        <f>入學要求!E274</f>
        <v>4</v>
      </c>
      <c r="Q30" s="355">
        <f>入學要求!F274</f>
        <v>2</v>
      </c>
      <c r="R30" s="355">
        <f>入學要求!G274</f>
        <v>2</v>
      </c>
      <c r="S30" s="355">
        <f>入學要求!H274</f>
        <v>3</v>
      </c>
      <c r="T30" s="355">
        <f>入學要求!I274</f>
        <v>3</v>
      </c>
      <c r="U30" s="576"/>
      <c r="V30" s="365" cm="1">
        <f t="array" ref="V30">IFERROR(INDEX('Offer Statistics'!DA$2:DA$181,MATCH(1,($A30='Offer Statistics'!$CL$2:$CL$181)*($U$2='Offer Statistics'!$CM$2:$CM$181),0)),"/")</f>
        <v>135</v>
      </c>
      <c r="W30" s="375" cm="1">
        <f t="array" ref="W30">IFERROR(INDEX('Offer Statistics'!CV$2:CV$181,MATCH(1,($A30='Offer Statistics'!$CL$2:$CL$181)*($U$2='Offer Statistics'!$CM$2:$CM$181),0)),"/")</f>
        <v>135</v>
      </c>
      <c r="X30" s="375" cm="1">
        <f t="array" ref="X30">IFERROR(INDEX('Offer Statistics'!CW$2:CW$181,MATCH(1,($A30='Offer Statistics'!$CL$2:$CL$181)*($U$2='Offer Statistics'!$CM$2:$CM$181),0)),"/")</f>
        <v>0</v>
      </c>
      <c r="Y30" s="375" cm="1">
        <f t="array" ref="Y30">IFERROR(INDEX('Offer Statistics'!CX$2:CX$181,MATCH(1,($A30='Offer Statistics'!$CL$2:$CL$181)*($U$2='Offer Statistics'!$CM$2:$CM$181),0)),"/")</f>
        <v>0</v>
      </c>
      <c r="Z30" s="375" cm="1">
        <f t="array" ref="Z30">IFERROR(INDEX('Offer Statistics'!CY$2:CY$181,MATCH(1,($A30='Offer Statistics'!$CL$2:$CL$181)*($U$2='Offer Statistics'!$CM$2:$CM$181),0)),"/")</f>
        <v>0</v>
      </c>
      <c r="AA30" s="375" cm="1">
        <f t="array" ref="AA30">IFERROR(INDEX('Offer Statistics'!CZ$2:CZ$181,MATCH(1,($A30='Offer Statistics'!$CL$2:$CL$181)*($U$2='Offer Statistics'!$CM$2:$CM$181),0)),"/")</f>
        <v>0</v>
      </c>
      <c r="AB30" s="580"/>
      <c r="AC30" s="365" cm="1">
        <f t="array" ref="AC30">IFERROR(INDEX('Offer Statistics'!CS$2:CS$181,MATCH(1,($A30='Offer Statistics'!$CL$2:$CL$181)*($U$2='Offer Statistics'!$CM$2:$CM$181),0)),"/")</f>
        <v>1070</v>
      </c>
      <c r="AD30" s="375" cm="1">
        <f t="array" ref="AD30">IFERROR(INDEX('Offer Statistics'!CN$2:CN$181,MATCH(1,($A30='Offer Statistics'!$CL$2:$CL$181)*($U$2='Offer Statistics'!$CM$2:$CM$181),0)),"/")</f>
        <v>400</v>
      </c>
      <c r="AE30" s="375" cm="1">
        <f t="array" ref="AE30">IFERROR(INDEX('Offer Statistics'!CO$2:CO$181,MATCH(1,($A30='Offer Statistics'!$CL$2:$CL$181)*($U$2='Offer Statistics'!$CM$2:$CM$181),0)),"/")</f>
        <v>73</v>
      </c>
      <c r="AF30" s="375" cm="1">
        <f t="array" ref="AF30">IFERROR(INDEX('Offer Statistics'!CP$2:CP$181,MATCH(1,($A30='Offer Statistics'!$CL$2:$CL$181)*($U$2='Offer Statistics'!$CM$2:$CM$181),0)),"/")</f>
        <v>142</v>
      </c>
      <c r="AG30" s="375" cm="1">
        <f t="array" ref="AG30">IFERROR(INDEX('Offer Statistics'!CQ$2:CQ$181,MATCH(1,($A30='Offer Statistics'!$CL$2:$CL$181)*($U$2='Offer Statistics'!$CM$2:$CM$181),0)),"/")</f>
        <v>170</v>
      </c>
      <c r="AH30" s="375" cm="1">
        <f t="array" ref="AH30">IFERROR(INDEX('Offer Statistics'!CR$2:CR$181,MATCH(1,($A30='Offer Statistics'!$CL$2:$CL$181)*($U$2='Offer Statistics'!$CM$2:$CM$181),0)),"/")</f>
        <v>285</v>
      </c>
      <c r="AJ30" s="354" t="str">
        <f t="shared" si="4"/>
        <v>JS6456</v>
      </c>
    </row>
    <row r="31" spans="1:36" ht="18" customHeight="1" x14ac:dyDescent="0.3">
      <c r="A31" s="346" t="str">
        <f>'Reference Score Calculation'!A266</f>
        <v>JS6468</v>
      </c>
      <c r="B31" s="346" t="str">
        <f>'Reference Score Calculation'!C266</f>
        <v>醫學院</v>
      </c>
      <c r="C31" s="346" t="str">
        <f>'Reference Score Calculation'!D266</f>
        <v>護理學學士</v>
      </c>
      <c r="D31" s="346" t="str">
        <f>'Reference Score Calculation'!T266</f>
        <v xml:space="preserve">	BNURS</v>
      </c>
      <c r="E31" s="376" t="str">
        <f>'Reference Score Calculation'!E266</f>
        <v>Best 5</v>
      </c>
      <c r="F31" s="347">
        <f>'Reference Score Calculation'!F266</f>
        <v>26</v>
      </c>
      <c r="G31" s="347">
        <f>'Reference Score Calculation'!G266</f>
        <v>25</v>
      </c>
      <c r="H31" s="347">
        <f>'Reference Score Calculation'!H266</f>
        <v>25</v>
      </c>
      <c r="I31" s="368">
        <f>計分版!H287</f>
        <v>3.9500000000000006E-9</v>
      </c>
      <c r="J31" s="361">
        <f t="shared" si="5"/>
        <v>-24.999999996050001</v>
      </c>
      <c r="K31" s="362">
        <f t="shared" si="6"/>
        <v>-6329113923.0506325</v>
      </c>
      <c r="L31" s="365" t="str">
        <f>入學要求!C275</f>
        <v>210*</v>
      </c>
      <c r="M31" s="372">
        <f>入學要求!R275</f>
        <v>0</v>
      </c>
      <c r="O31" s="355">
        <f>入學要求!D275</f>
        <v>3</v>
      </c>
      <c r="P31" s="355">
        <f>入學要求!E275</f>
        <v>3</v>
      </c>
      <c r="Q31" s="355">
        <f>入學要求!F275</f>
        <v>2</v>
      </c>
      <c r="R31" s="355">
        <f>入學要求!G275</f>
        <v>2</v>
      </c>
      <c r="S31" s="355">
        <f>入學要求!H275</f>
        <v>3</v>
      </c>
      <c r="T31" s="355">
        <f>入學要求!I275</f>
        <v>3</v>
      </c>
      <c r="U31" s="576"/>
      <c r="V31" s="365" cm="1">
        <f t="array" ref="V31">IFERROR(INDEX('Offer Statistics'!DA$2:DA$181,MATCH(1,($A31='Offer Statistics'!$CL$2:$CL$181)*($U$2='Offer Statistics'!$CM$2:$CM$181),0)),"/")</f>
        <v>171</v>
      </c>
      <c r="W31" s="375" cm="1">
        <f t="array" ref="W31">IFERROR(INDEX('Offer Statistics'!CV$2:CV$181,MATCH(1,($A31='Offer Statistics'!$CL$2:$CL$181)*($U$2='Offer Statistics'!$CM$2:$CM$181),0)),"/")</f>
        <v>165</v>
      </c>
      <c r="X31" s="375" cm="1">
        <f t="array" ref="X31">IFERROR(INDEX('Offer Statistics'!CW$2:CW$181,MATCH(1,($A31='Offer Statistics'!$CL$2:$CL$181)*($U$2='Offer Statistics'!$CM$2:$CM$181),0)),"/")</f>
        <v>5</v>
      </c>
      <c r="Y31" s="375" cm="1">
        <f t="array" ref="Y31">IFERROR(INDEX('Offer Statistics'!CX$2:CX$181,MATCH(1,($A31='Offer Statistics'!$CL$2:$CL$181)*($U$2='Offer Statistics'!$CM$2:$CM$181),0)),"/")</f>
        <v>1</v>
      </c>
      <c r="Z31" s="375" cm="1">
        <f t="array" ref="Z31">IFERROR(INDEX('Offer Statistics'!CY$2:CY$181,MATCH(1,($A31='Offer Statistics'!$CL$2:$CL$181)*($U$2='Offer Statistics'!$CM$2:$CM$181),0)),"/")</f>
        <v>0</v>
      </c>
      <c r="AA31" s="375" cm="1">
        <f t="array" ref="AA31">IFERROR(INDEX('Offer Statistics'!CZ$2:CZ$181,MATCH(1,($A31='Offer Statistics'!$CL$2:$CL$181)*($U$2='Offer Statistics'!$CM$2:$CM$181),0)),"/")</f>
        <v>0</v>
      </c>
      <c r="AB31" s="580"/>
      <c r="AC31" s="365" cm="1">
        <f t="array" ref="AC31">IFERROR(INDEX('Offer Statistics'!CS$2:CS$181,MATCH(1,($A31='Offer Statistics'!$CL$2:$CL$181)*($U$2='Offer Statistics'!$CM$2:$CM$181),0)),"/")</f>
        <v>4782</v>
      </c>
      <c r="AD31" s="375" cm="1">
        <f t="array" ref="AD31">IFERROR(INDEX('Offer Statistics'!CN$2:CN$181,MATCH(1,($A31='Offer Statistics'!$CL$2:$CL$181)*($U$2='Offer Statistics'!$CM$2:$CM$181),0)),"/")</f>
        <v>1251</v>
      </c>
      <c r="AE31" s="375" cm="1">
        <f t="array" ref="AE31">IFERROR(INDEX('Offer Statistics'!CO$2:CO$181,MATCH(1,($A31='Offer Statistics'!$CL$2:$CL$181)*($U$2='Offer Statistics'!$CM$2:$CM$181),0)),"/")</f>
        <v>768</v>
      </c>
      <c r="AF31" s="375" cm="1">
        <f t="array" ref="AF31">IFERROR(INDEX('Offer Statistics'!CP$2:CP$181,MATCH(1,($A31='Offer Statistics'!$CL$2:$CL$181)*($U$2='Offer Statistics'!$CM$2:$CM$181),0)),"/")</f>
        <v>1017</v>
      </c>
      <c r="AG31" s="375" cm="1">
        <f t="array" ref="AG31">IFERROR(INDEX('Offer Statistics'!CQ$2:CQ$181,MATCH(1,($A31='Offer Statistics'!$CL$2:$CL$181)*($U$2='Offer Statistics'!$CM$2:$CM$181),0)),"/")</f>
        <v>945</v>
      </c>
      <c r="AH31" s="375" cm="1">
        <f t="array" ref="AH31">IFERROR(INDEX('Offer Statistics'!CR$2:CR$181,MATCH(1,($A31='Offer Statistics'!$CL$2:$CL$181)*($U$2='Offer Statistics'!$CM$2:$CM$181),0)),"/")</f>
        <v>801</v>
      </c>
      <c r="AJ31" s="354" t="str">
        <f t="shared" si="4"/>
        <v>JS6468</v>
      </c>
    </row>
    <row r="32" spans="1:36" ht="18" customHeight="1" x14ac:dyDescent="0.3">
      <c r="A32" s="346" t="str">
        <f>'Reference Score Calculation'!A267</f>
        <v>JS6470</v>
      </c>
      <c r="B32" s="346" t="str">
        <f>'Reference Score Calculation'!C267</f>
        <v>醫學院</v>
      </c>
      <c r="C32" s="346" t="str">
        <f>'Reference Score Calculation'!D267</f>
        <v>理學士(生物訊息學)</v>
      </c>
      <c r="D32" s="346" t="str">
        <f>'Reference Score Calculation'!T267</f>
        <v>BSc(Bioinformatics)</v>
      </c>
      <c r="E32" s="355" t="str">
        <f>'Reference Score Calculation'!AD267</f>
        <v>Best 6</v>
      </c>
      <c r="F32" s="347" t="str">
        <f>'Reference Score Calculation'!F267</f>
        <v>/</v>
      </c>
      <c r="G32" s="347" t="str">
        <f>'Reference Score Calculation'!G267</f>
        <v>/</v>
      </c>
      <c r="H32" s="347" t="str">
        <f>'Reference Score Calculation'!H267</f>
        <v>/</v>
      </c>
      <c r="I32" s="368">
        <f>計分版!H288</f>
        <v>3.9000000000000002E-9</v>
      </c>
      <c r="J32" s="348" t="s">
        <v>1978</v>
      </c>
      <c r="K32" s="349" t="s">
        <v>1978</v>
      </c>
      <c r="L32" s="365">
        <f>入學要求!C276</f>
        <v>15</v>
      </c>
      <c r="M32" s="372">
        <f>入學要求!R276</f>
        <v>0</v>
      </c>
      <c r="O32" s="355">
        <f>入學要求!D276</f>
        <v>3</v>
      </c>
      <c r="P32" s="355">
        <f>入學要求!E276</f>
        <v>4</v>
      </c>
      <c r="Q32" s="355">
        <f>入學要求!F276</f>
        <v>4</v>
      </c>
      <c r="R32" s="355">
        <f>入學要求!G276</f>
        <v>2</v>
      </c>
      <c r="S32" s="355">
        <f>入學要求!H276</f>
        <v>3</v>
      </c>
      <c r="T32" s="355">
        <f>入學要求!I276</f>
        <v>3</v>
      </c>
      <c r="U32" s="576"/>
      <c r="V32" s="365" t="str" cm="1">
        <f t="array" ref="V32">IFERROR(INDEX('Offer Statistics'!DA$2:DA$181,MATCH(1,($A32='Offer Statistics'!$CL$2:$CL$181)*($U$2='Offer Statistics'!$CM$2:$CM$181),0)),"/")</f>
        <v>/</v>
      </c>
      <c r="W32" s="375" t="str" cm="1">
        <f t="array" ref="W32">IFERROR(INDEX('Offer Statistics'!CV$2:CV$181,MATCH(1,($A32='Offer Statistics'!$CL$2:$CL$181)*($U$2='Offer Statistics'!$CM$2:$CM$181),0)),"/")</f>
        <v>/</v>
      </c>
      <c r="X32" s="375" t="str" cm="1">
        <f t="array" ref="X32">IFERROR(INDEX('Offer Statistics'!CW$2:CW$181,MATCH(1,($A32='Offer Statistics'!$CL$2:$CL$181)*($U$2='Offer Statistics'!$CM$2:$CM$181),0)),"/")</f>
        <v>/</v>
      </c>
      <c r="Y32" s="375" t="str" cm="1">
        <f t="array" ref="Y32">IFERROR(INDEX('Offer Statistics'!CX$2:CX$181,MATCH(1,($A32='Offer Statistics'!$CL$2:$CL$181)*($U$2='Offer Statistics'!$CM$2:$CM$181),0)),"/")</f>
        <v>/</v>
      </c>
      <c r="Z32" s="375" t="str" cm="1">
        <f t="array" ref="Z32">IFERROR(INDEX('Offer Statistics'!CY$2:CY$181,MATCH(1,($A32='Offer Statistics'!$CL$2:$CL$181)*($U$2='Offer Statistics'!$CM$2:$CM$181),0)),"/")</f>
        <v>/</v>
      </c>
      <c r="AA32" s="375" t="str" cm="1">
        <f t="array" ref="AA32">IFERROR(INDEX('Offer Statistics'!CZ$2:CZ$181,MATCH(1,($A32='Offer Statistics'!$CL$2:$CL$181)*($U$2='Offer Statistics'!$CM$2:$CM$181),0)),"/")</f>
        <v>/</v>
      </c>
      <c r="AB32" s="580"/>
      <c r="AC32" s="365" t="str" cm="1">
        <f t="array" ref="AC32">IFERROR(INDEX('Offer Statistics'!CS$2:CS$181,MATCH(1,($A32='Offer Statistics'!$CL$2:$CL$181)*($U$2='Offer Statistics'!$CM$2:$CM$181),0)),"/")</f>
        <v>/</v>
      </c>
      <c r="AD32" s="375" t="str" cm="1">
        <f t="array" ref="AD32">IFERROR(INDEX('Offer Statistics'!CN$2:CN$181,MATCH(1,($A32='Offer Statistics'!$CL$2:$CL$181)*($U$2='Offer Statistics'!$CM$2:$CM$181),0)),"/")</f>
        <v>/</v>
      </c>
      <c r="AE32" s="375" t="str" cm="1">
        <f t="array" ref="AE32">IFERROR(INDEX('Offer Statistics'!CO$2:CO$181,MATCH(1,($A32='Offer Statistics'!$CL$2:$CL$181)*($U$2='Offer Statistics'!$CM$2:$CM$181),0)),"/")</f>
        <v>/</v>
      </c>
      <c r="AF32" s="375" t="str" cm="1">
        <f t="array" ref="AF32">IFERROR(INDEX('Offer Statistics'!CP$2:CP$181,MATCH(1,($A32='Offer Statistics'!$CL$2:$CL$181)*($U$2='Offer Statistics'!$CM$2:$CM$181),0)),"/")</f>
        <v>/</v>
      </c>
      <c r="AG32" s="375" t="str" cm="1">
        <f t="array" ref="AG32">IFERROR(INDEX('Offer Statistics'!CQ$2:CQ$181,MATCH(1,($A32='Offer Statistics'!$CL$2:$CL$181)*($U$2='Offer Statistics'!$CM$2:$CM$181),0)),"/")</f>
        <v>/</v>
      </c>
      <c r="AH32" s="375" t="str" cm="1">
        <f t="array" ref="AH32">IFERROR(INDEX('Offer Statistics'!CR$2:CR$181,MATCH(1,($A32='Offer Statistics'!$CL$2:$CL$181)*($U$2='Offer Statistics'!$CM$2:$CM$181),0)),"/")</f>
        <v>/</v>
      </c>
      <c r="AJ32" s="354" t="str">
        <f t="shared" si="4"/>
        <v>JS6470</v>
      </c>
    </row>
    <row r="33" spans="1:36" ht="18" customHeight="1" x14ac:dyDescent="0.3">
      <c r="A33" s="346" t="str">
        <f>'Reference Score Calculation'!A268</f>
        <v>JS6482</v>
      </c>
      <c r="B33" s="346" t="str">
        <f>'Reference Score Calculation'!C268</f>
        <v>醫學院</v>
      </c>
      <c r="C33" s="346" t="str">
        <f>'Reference Score Calculation'!D268</f>
        <v>中醫全科學士</v>
      </c>
      <c r="D33" s="346" t="str">
        <f>'Reference Score Calculation'!T268</f>
        <v>BChinMed</v>
      </c>
      <c r="E33" s="376" t="str">
        <f>'Reference Score Calculation'!E268</f>
        <v>Best 5</v>
      </c>
      <c r="F33" s="347">
        <f>'Reference Score Calculation'!F268</f>
        <v>31</v>
      </c>
      <c r="G33" s="347">
        <f>'Reference Score Calculation'!G268</f>
        <v>28</v>
      </c>
      <c r="H33" s="347">
        <f>'Reference Score Calculation'!H268</f>
        <v>27</v>
      </c>
      <c r="I33" s="368">
        <f>計分版!H289</f>
        <v>3.9500000000000006E-9</v>
      </c>
      <c r="J33" s="361">
        <f t="shared" si="5"/>
        <v>-27.999999996050001</v>
      </c>
      <c r="K33" s="362">
        <f t="shared" si="6"/>
        <v>-7088607593.9367075</v>
      </c>
      <c r="L33" s="365">
        <f>入學要求!C277</f>
        <v>24</v>
      </c>
      <c r="M33" s="372">
        <f>入學要求!R277</f>
        <v>0</v>
      </c>
      <c r="O33" s="355">
        <f>入學要求!D277</f>
        <v>3</v>
      </c>
      <c r="P33" s="355">
        <f>入學要求!E277</f>
        <v>3</v>
      </c>
      <c r="Q33" s="355">
        <f>入學要求!F277</f>
        <v>2</v>
      </c>
      <c r="R33" s="355">
        <f>入學要求!G277</f>
        <v>2</v>
      </c>
      <c r="S33" s="355">
        <f>入學要求!H277</f>
        <v>3</v>
      </c>
      <c r="T33" s="355">
        <f>入學要求!I277</f>
        <v>3</v>
      </c>
      <c r="U33" s="576"/>
      <c r="V33" s="365" cm="1">
        <f t="array" ref="V33">IFERROR(INDEX('Offer Statistics'!DA$2:DA$181,MATCH(1,($A33='Offer Statistics'!$CL$2:$CL$181)*($U$2='Offer Statistics'!$CM$2:$CM$181),0)),"/")</f>
        <v>18</v>
      </c>
      <c r="W33" s="375" cm="1">
        <f t="array" ref="W33">IFERROR(INDEX('Offer Statistics'!CV$2:CV$181,MATCH(1,($A33='Offer Statistics'!$CL$2:$CL$181)*($U$2='Offer Statistics'!$CM$2:$CM$181),0)),"/")</f>
        <v>18</v>
      </c>
      <c r="X33" s="375" cm="1">
        <f t="array" ref="X33">IFERROR(INDEX('Offer Statistics'!CW$2:CW$181,MATCH(1,($A33='Offer Statistics'!$CL$2:$CL$181)*($U$2='Offer Statistics'!$CM$2:$CM$181),0)),"/")</f>
        <v>0</v>
      </c>
      <c r="Y33" s="375" cm="1">
        <f t="array" ref="Y33">IFERROR(INDEX('Offer Statistics'!CX$2:CX$181,MATCH(1,($A33='Offer Statistics'!$CL$2:$CL$181)*($U$2='Offer Statistics'!$CM$2:$CM$181),0)),"/")</f>
        <v>0</v>
      </c>
      <c r="Z33" s="375" cm="1">
        <f t="array" ref="Z33">IFERROR(INDEX('Offer Statistics'!CY$2:CY$181,MATCH(1,($A33='Offer Statistics'!$CL$2:$CL$181)*($U$2='Offer Statistics'!$CM$2:$CM$181),0)),"/")</f>
        <v>0</v>
      </c>
      <c r="AA33" s="375" cm="1">
        <f t="array" ref="AA33">IFERROR(INDEX('Offer Statistics'!CZ$2:CZ$181,MATCH(1,($A33='Offer Statistics'!$CL$2:$CL$181)*($U$2='Offer Statistics'!$CM$2:$CM$181),0)),"/")</f>
        <v>0</v>
      </c>
      <c r="AB33" s="580"/>
      <c r="AC33" s="365" cm="1">
        <f t="array" ref="AC33">IFERROR(INDEX('Offer Statistics'!CS$2:CS$181,MATCH(1,($A33='Offer Statistics'!$CL$2:$CL$181)*($U$2='Offer Statistics'!$CM$2:$CM$181),0)),"/")</f>
        <v>1001</v>
      </c>
      <c r="AD33" s="375" cm="1">
        <f t="array" ref="AD33">IFERROR(INDEX('Offer Statistics'!CN$2:CN$181,MATCH(1,($A33='Offer Statistics'!$CL$2:$CL$181)*($U$2='Offer Statistics'!$CM$2:$CM$181),0)),"/")</f>
        <v>111</v>
      </c>
      <c r="AE33" s="375" cm="1">
        <f t="array" ref="AE33">IFERROR(INDEX('Offer Statistics'!CO$2:CO$181,MATCH(1,($A33='Offer Statistics'!$CL$2:$CL$181)*($U$2='Offer Statistics'!$CM$2:$CM$181),0)),"/")</f>
        <v>105</v>
      </c>
      <c r="AF33" s="375" cm="1">
        <f t="array" ref="AF33">IFERROR(INDEX('Offer Statistics'!CP$2:CP$181,MATCH(1,($A33='Offer Statistics'!$CL$2:$CL$181)*($U$2='Offer Statistics'!$CM$2:$CM$181),0)),"/")</f>
        <v>217</v>
      </c>
      <c r="AG33" s="375" cm="1">
        <f t="array" ref="AG33">IFERROR(INDEX('Offer Statistics'!CQ$2:CQ$181,MATCH(1,($A33='Offer Statistics'!$CL$2:$CL$181)*($U$2='Offer Statistics'!$CM$2:$CM$181),0)),"/")</f>
        <v>309</v>
      </c>
      <c r="AH33" s="375" cm="1">
        <f t="array" ref="AH33">IFERROR(INDEX('Offer Statistics'!CR$2:CR$181,MATCH(1,($A33='Offer Statistics'!$CL$2:$CL$181)*($U$2='Offer Statistics'!$CM$2:$CM$181),0)),"/")</f>
        <v>259</v>
      </c>
      <c r="AJ33" s="354" t="str">
        <f t="shared" si="4"/>
        <v>JS6482</v>
      </c>
    </row>
    <row r="34" spans="1:36" ht="18" customHeight="1" x14ac:dyDescent="0.3">
      <c r="A34" s="346" t="str">
        <f>'Reference Score Calculation'!A269</f>
        <v>JS6494</v>
      </c>
      <c r="B34" s="346" t="str">
        <f>'Reference Score Calculation'!C269</f>
        <v>醫學院</v>
      </c>
      <c r="C34" s="346" t="str">
        <f>'Reference Score Calculation'!D269</f>
        <v>藥劑學學士</v>
      </c>
      <c r="D34" s="346" t="str">
        <f>'Reference Score Calculation'!T269</f>
        <v>BPharm</v>
      </c>
      <c r="E34" s="355" t="str">
        <f>'Reference Score Calculation'!E269</f>
        <v>Best 6</v>
      </c>
      <c r="F34" s="347">
        <f>'Reference Score Calculation'!F269</f>
        <v>39</v>
      </c>
      <c r="G34" s="347">
        <f>'Reference Score Calculation'!G269</f>
        <v>38</v>
      </c>
      <c r="H34" s="347">
        <f>'Reference Score Calculation'!H269</f>
        <v>37</v>
      </c>
      <c r="I34" s="368">
        <f>計分版!H290</f>
        <v>3.9000000000000002E-9</v>
      </c>
      <c r="J34" s="361">
        <f t="shared" si="5"/>
        <v>-37.999999996100001</v>
      </c>
      <c r="K34" s="362">
        <f t="shared" si="6"/>
        <v>-9743589742.5897427</v>
      </c>
      <c r="L34" s="365">
        <f>入學要求!C278</f>
        <v>35</v>
      </c>
      <c r="M34" s="372">
        <f>入學要求!R278</f>
        <v>0</v>
      </c>
      <c r="O34" s="355">
        <f>入學要求!D278</f>
        <v>3</v>
      </c>
      <c r="P34" s="355">
        <f>入學要求!E278</f>
        <v>4</v>
      </c>
      <c r="Q34" s="355">
        <f>入學要求!F278</f>
        <v>2</v>
      </c>
      <c r="R34" s="355">
        <f>入學要求!G278</f>
        <v>2</v>
      </c>
      <c r="S34" s="355">
        <f>入學要求!H278</f>
        <v>3</v>
      </c>
      <c r="T34" s="355">
        <f>入學要求!I278</f>
        <v>3</v>
      </c>
      <c r="U34" s="576"/>
      <c r="V34" s="365" cm="1">
        <f t="array" ref="V34">IFERROR(INDEX('Offer Statistics'!DA$2:DA$181,MATCH(1,($A34='Offer Statistics'!$CL$2:$CL$181)*($U$2='Offer Statistics'!$CM$2:$CM$181),0)),"/")</f>
        <v>29</v>
      </c>
      <c r="W34" s="375" cm="1">
        <f t="array" ref="W34">IFERROR(INDEX('Offer Statistics'!CV$2:CV$181,MATCH(1,($A34='Offer Statistics'!$CL$2:$CL$181)*($U$2='Offer Statistics'!$CM$2:$CM$181),0)),"/")</f>
        <v>29</v>
      </c>
      <c r="X34" s="375" cm="1">
        <f t="array" ref="X34">IFERROR(INDEX('Offer Statistics'!CW$2:CW$181,MATCH(1,($A34='Offer Statistics'!$CL$2:$CL$181)*($U$2='Offer Statistics'!$CM$2:$CM$181),0)),"/")</f>
        <v>0</v>
      </c>
      <c r="Y34" s="375" cm="1">
        <f t="array" ref="Y34">IFERROR(INDEX('Offer Statistics'!CX$2:CX$181,MATCH(1,($A34='Offer Statistics'!$CL$2:$CL$181)*($U$2='Offer Statistics'!$CM$2:$CM$181),0)),"/")</f>
        <v>0</v>
      </c>
      <c r="Z34" s="375" cm="1">
        <f t="array" ref="Z34">IFERROR(INDEX('Offer Statistics'!CY$2:CY$181,MATCH(1,($A34='Offer Statistics'!$CL$2:$CL$181)*($U$2='Offer Statistics'!$CM$2:$CM$181),0)),"/")</f>
        <v>0</v>
      </c>
      <c r="AA34" s="375" cm="1">
        <f t="array" ref="AA34">IFERROR(INDEX('Offer Statistics'!CZ$2:CZ$181,MATCH(1,($A34='Offer Statistics'!$CL$2:$CL$181)*($U$2='Offer Statistics'!$CM$2:$CM$181),0)),"/")</f>
        <v>0</v>
      </c>
      <c r="AB34" s="580"/>
      <c r="AC34" s="365" cm="1">
        <f t="array" ref="AC34">IFERROR(INDEX('Offer Statistics'!CS$2:CS$181,MATCH(1,($A34='Offer Statistics'!$CL$2:$CL$181)*($U$2='Offer Statistics'!$CM$2:$CM$181),0)),"/")</f>
        <v>1220</v>
      </c>
      <c r="AD34" s="375" cm="1">
        <f t="array" ref="AD34">IFERROR(INDEX('Offer Statistics'!CN$2:CN$181,MATCH(1,($A34='Offer Statistics'!$CL$2:$CL$181)*($U$2='Offer Statistics'!$CM$2:$CM$181),0)),"/")</f>
        <v>122</v>
      </c>
      <c r="AE34" s="375" cm="1">
        <f t="array" ref="AE34">IFERROR(INDEX('Offer Statistics'!CO$2:CO$181,MATCH(1,($A34='Offer Statistics'!$CL$2:$CL$181)*($U$2='Offer Statistics'!$CM$2:$CM$181),0)),"/")</f>
        <v>137</v>
      </c>
      <c r="AF34" s="375" cm="1">
        <f t="array" ref="AF34">IFERROR(INDEX('Offer Statistics'!CP$2:CP$181,MATCH(1,($A34='Offer Statistics'!$CL$2:$CL$181)*($U$2='Offer Statistics'!$CM$2:$CM$181),0)),"/")</f>
        <v>268</v>
      </c>
      <c r="AG34" s="375" cm="1">
        <f t="array" ref="AG34">IFERROR(INDEX('Offer Statistics'!CQ$2:CQ$181,MATCH(1,($A34='Offer Statistics'!$CL$2:$CL$181)*($U$2='Offer Statistics'!$CM$2:$CM$181),0)),"/")</f>
        <v>375</v>
      </c>
      <c r="AH34" s="375" cm="1">
        <f t="array" ref="AH34">IFERROR(INDEX('Offer Statistics'!CR$2:CR$181,MATCH(1,($A34='Offer Statistics'!$CL$2:$CL$181)*($U$2='Offer Statistics'!$CM$2:$CM$181),0)),"/")</f>
        <v>318</v>
      </c>
      <c r="AJ34" s="354" t="str">
        <f t="shared" si="4"/>
        <v>JS6494</v>
      </c>
    </row>
    <row r="35" spans="1:36" ht="18" customHeight="1" x14ac:dyDescent="0.3">
      <c r="A35" s="346" t="str">
        <f>'Reference Score Calculation'!A270</f>
        <v>JS6949</v>
      </c>
      <c r="B35" s="346" t="str">
        <f>'Reference Score Calculation'!C270</f>
        <v>醫學院</v>
      </c>
      <c r="C35" s="346" t="str">
        <f>'Reference Score Calculation'!D270</f>
        <v>生物醫學學士</v>
      </c>
      <c r="D35" s="346" t="str">
        <f>'Reference Score Calculation'!T270</f>
        <v xml:space="preserve">	BBiomedSc</v>
      </c>
      <c r="E35" s="355" t="str">
        <f>'Reference Score Calculation'!E270</f>
        <v>Best 6</v>
      </c>
      <c r="F35" s="347">
        <f>'Reference Score Calculation'!F270</f>
        <v>41</v>
      </c>
      <c r="G35" s="347">
        <f>'Reference Score Calculation'!G270</f>
        <v>41</v>
      </c>
      <c r="H35" s="347">
        <f>'Reference Score Calculation'!H270</f>
        <v>40</v>
      </c>
      <c r="I35" s="368">
        <f>計分版!H291</f>
        <v>3.9000000000000002E-9</v>
      </c>
      <c r="J35" s="361">
        <f t="shared" si="5"/>
        <v>-40.999999996100001</v>
      </c>
      <c r="K35" s="362">
        <f t="shared" si="6"/>
        <v>-10512820511.820513</v>
      </c>
      <c r="L35" s="365">
        <f>入學要求!C279</f>
        <v>38</v>
      </c>
      <c r="M35" s="372">
        <f>入學要求!R279</f>
        <v>0</v>
      </c>
      <c r="O35" s="355">
        <f>入學要求!D279</f>
        <v>3</v>
      </c>
      <c r="P35" s="355">
        <f>入學要求!E279</f>
        <v>4</v>
      </c>
      <c r="Q35" s="355">
        <f>入學要求!F279</f>
        <v>2</v>
      </c>
      <c r="R35" s="355">
        <f>入學要求!G279</f>
        <v>2</v>
      </c>
      <c r="S35" s="355">
        <f>入學要求!H279</f>
        <v>3</v>
      </c>
      <c r="T35" s="355">
        <f>入學要求!I279</f>
        <v>3</v>
      </c>
      <c r="U35" s="576"/>
      <c r="V35" s="365" cm="1">
        <f t="array" ref="V35">IFERROR(INDEX('Offer Statistics'!DA$2:DA$181,MATCH(1,($A35='Offer Statistics'!$CL$2:$CL$181)*($U$2='Offer Statistics'!$CM$2:$CM$181),0)),"/")</f>
        <v>28</v>
      </c>
      <c r="W35" s="375" cm="1">
        <f t="array" ref="W35">IFERROR(INDEX('Offer Statistics'!CV$2:CV$181,MATCH(1,($A35='Offer Statistics'!$CL$2:$CL$181)*($U$2='Offer Statistics'!$CM$2:$CM$181),0)),"/")</f>
        <v>28</v>
      </c>
      <c r="X35" s="375" cm="1">
        <f t="array" ref="X35">IFERROR(INDEX('Offer Statistics'!CW$2:CW$181,MATCH(1,($A35='Offer Statistics'!$CL$2:$CL$181)*($U$2='Offer Statistics'!$CM$2:$CM$181),0)),"/")</f>
        <v>0</v>
      </c>
      <c r="Y35" s="375" cm="1">
        <f t="array" ref="Y35">IFERROR(INDEX('Offer Statistics'!CX$2:CX$181,MATCH(1,($A35='Offer Statistics'!$CL$2:$CL$181)*($U$2='Offer Statistics'!$CM$2:$CM$181),0)),"/")</f>
        <v>0</v>
      </c>
      <c r="Z35" s="375" cm="1">
        <f t="array" ref="Z35">IFERROR(INDEX('Offer Statistics'!CY$2:CY$181,MATCH(1,($A35='Offer Statistics'!$CL$2:$CL$181)*($U$2='Offer Statistics'!$CM$2:$CM$181),0)),"/")</f>
        <v>0</v>
      </c>
      <c r="AA35" s="375" cm="1">
        <f t="array" ref="AA35">IFERROR(INDEX('Offer Statistics'!CZ$2:CZ$181,MATCH(1,($A35='Offer Statistics'!$CL$2:$CL$181)*($U$2='Offer Statistics'!$CM$2:$CM$181),0)),"/")</f>
        <v>0</v>
      </c>
      <c r="AB35" s="580"/>
      <c r="AC35" s="365" cm="1">
        <f t="array" ref="AC35">IFERROR(INDEX('Offer Statistics'!CS$2:CS$181,MATCH(1,($A35='Offer Statistics'!$CL$2:$CL$181)*($U$2='Offer Statistics'!$CM$2:$CM$181),0)),"/")</f>
        <v>1427</v>
      </c>
      <c r="AD35" s="375" cm="1">
        <f t="array" ref="AD35">IFERROR(INDEX('Offer Statistics'!CN$2:CN$181,MATCH(1,($A35='Offer Statistics'!$CL$2:$CL$181)*($U$2='Offer Statistics'!$CM$2:$CM$181),0)),"/")</f>
        <v>183</v>
      </c>
      <c r="AE35" s="375" cm="1">
        <f t="array" ref="AE35">IFERROR(INDEX('Offer Statistics'!CO$2:CO$181,MATCH(1,($A35='Offer Statistics'!$CL$2:$CL$181)*($U$2='Offer Statistics'!$CM$2:$CM$181),0)),"/")</f>
        <v>181</v>
      </c>
      <c r="AF35" s="375" cm="1">
        <f t="array" ref="AF35">IFERROR(INDEX('Offer Statistics'!CP$2:CP$181,MATCH(1,($A35='Offer Statistics'!$CL$2:$CL$181)*($U$2='Offer Statistics'!$CM$2:$CM$181),0)),"/")</f>
        <v>310</v>
      </c>
      <c r="AG35" s="375" cm="1">
        <f t="array" ref="AG35">IFERROR(INDEX('Offer Statistics'!CQ$2:CQ$181,MATCH(1,($A35='Offer Statistics'!$CL$2:$CL$181)*($U$2='Offer Statistics'!$CM$2:$CM$181),0)),"/")</f>
        <v>404</v>
      </c>
      <c r="AH35" s="375" cm="1">
        <f t="array" ref="AH35">IFERROR(INDEX('Offer Statistics'!CR$2:CR$181,MATCH(1,($A35='Offer Statistics'!$CL$2:$CL$181)*($U$2='Offer Statistics'!$CM$2:$CM$181),0)),"/")</f>
        <v>349</v>
      </c>
      <c r="AJ35" s="354" t="str">
        <f t="shared" si="4"/>
        <v>JS6949</v>
      </c>
    </row>
    <row r="36" spans="1:36" ht="18" customHeight="1" x14ac:dyDescent="0.3">
      <c r="A36" s="346" t="str">
        <f>'Reference Score Calculation'!A271</f>
        <v>JS6688</v>
      </c>
      <c r="B36" s="346" t="str">
        <f>'Reference Score Calculation'!C271</f>
        <v>理學院</v>
      </c>
      <c r="C36" s="346" t="str">
        <f>'Reference Score Calculation'!D271</f>
        <v>科研專才啟導課程</v>
      </c>
      <c r="D36" s="346" t="str">
        <f>'Reference Score Calculation'!T271</f>
        <v>SMC</v>
      </c>
      <c r="E36" s="376" t="str">
        <f>'Reference Score Calculation'!E271</f>
        <v>Best 6</v>
      </c>
      <c r="F36" s="347">
        <f>'Reference Score Calculation'!F271</f>
        <v>82</v>
      </c>
      <c r="G36" s="347">
        <f>'Reference Score Calculation'!G271</f>
        <v>73</v>
      </c>
      <c r="H36" s="347">
        <f>'Reference Score Calculation'!H271</f>
        <v>71</v>
      </c>
      <c r="I36" s="368">
        <f>計分版!H292</f>
        <v>2.7500000000000002E-9</v>
      </c>
      <c r="J36" s="361">
        <f t="shared" si="5"/>
        <v>-72.999999997250001</v>
      </c>
      <c r="K36" s="362">
        <f t="shared" si="6"/>
        <v>-26545454544.454544</v>
      </c>
      <c r="L36" s="365">
        <f>入學要求!C280</f>
        <v>24</v>
      </c>
      <c r="M36" s="372">
        <f>入學要求!R280</f>
        <v>0</v>
      </c>
      <c r="O36" s="355">
        <f>入學要求!D280</f>
        <v>3</v>
      </c>
      <c r="P36" s="355">
        <f>入學要求!E280</f>
        <v>5</v>
      </c>
      <c r="Q36" s="355">
        <f>入學要求!F280</f>
        <v>4</v>
      </c>
      <c r="R36" s="355">
        <f>入學要求!G280</f>
        <v>2</v>
      </c>
      <c r="S36" s="355">
        <f>入學要求!H280</f>
        <v>3</v>
      </c>
      <c r="T36" s="355">
        <f>入學要求!I280</f>
        <v>4</v>
      </c>
      <c r="U36" s="576"/>
      <c r="V36" s="365" cm="1">
        <f t="array" ref="V36">IFERROR(INDEX('Offer Statistics'!DA$2:DA$181,MATCH(1,($A36='Offer Statistics'!$CL$2:$CL$181)*($U$2='Offer Statistics'!$CM$2:$CM$181),0)),"/")</f>
        <v>17</v>
      </c>
      <c r="W36" s="375" cm="1">
        <f t="array" ref="W36">IFERROR(INDEX('Offer Statistics'!CV$2:CV$181,MATCH(1,($A36='Offer Statistics'!$CL$2:$CL$181)*($U$2='Offer Statistics'!$CM$2:$CM$181),0)),"/")</f>
        <v>17</v>
      </c>
      <c r="X36" s="375" cm="1">
        <f t="array" ref="X36">IFERROR(INDEX('Offer Statistics'!CW$2:CW$181,MATCH(1,($A36='Offer Statistics'!$CL$2:$CL$181)*($U$2='Offer Statistics'!$CM$2:$CM$181),0)),"/")</f>
        <v>0</v>
      </c>
      <c r="Y36" s="375" cm="1">
        <f t="array" ref="Y36">IFERROR(INDEX('Offer Statistics'!CX$2:CX$181,MATCH(1,($A36='Offer Statistics'!$CL$2:$CL$181)*($U$2='Offer Statistics'!$CM$2:$CM$181),0)),"/")</f>
        <v>0</v>
      </c>
      <c r="Z36" s="375" cm="1">
        <f t="array" ref="Z36">IFERROR(INDEX('Offer Statistics'!CY$2:CY$181,MATCH(1,($A36='Offer Statistics'!$CL$2:$CL$181)*($U$2='Offer Statistics'!$CM$2:$CM$181),0)),"/")</f>
        <v>0</v>
      </c>
      <c r="AA36" s="375" cm="1">
        <f t="array" ref="AA36">IFERROR(INDEX('Offer Statistics'!CZ$2:CZ$181,MATCH(1,($A36='Offer Statistics'!$CL$2:$CL$181)*($U$2='Offer Statistics'!$CM$2:$CM$181),0)),"/")</f>
        <v>0</v>
      </c>
      <c r="AB36" s="580"/>
      <c r="AC36" s="365" cm="1">
        <f t="array" ref="AC36">IFERROR(INDEX('Offer Statistics'!CS$2:CS$181,MATCH(1,($A36='Offer Statistics'!$CL$2:$CL$181)*($U$2='Offer Statistics'!$CM$2:$CM$181),0)),"/")</f>
        <v>247</v>
      </c>
      <c r="AD36" s="375" cm="1">
        <f t="array" ref="AD36">IFERROR(INDEX('Offer Statistics'!CN$2:CN$181,MATCH(1,($A36='Offer Statistics'!$CL$2:$CL$181)*($U$2='Offer Statistics'!$CM$2:$CM$181),0)),"/")</f>
        <v>51</v>
      </c>
      <c r="AE36" s="375" cm="1">
        <f t="array" ref="AE36">IFERROR(INDEX('Offer Statistics'!CO$2:CO$181,MATCH(1,($A36='Offer Statistics'!$CL$2:$CL$181)*($U$2='Offer Statistics'!$CM$2:$CM$181),0)),"/")</f>
        <v>41</v>
      </c>
      <c r="AF36" s="375" cm="1">
        <f t="array" ref="AF36">IFERROR(INDEX('Offer Statistics'!CP$2:CP$181,MATCH(1,($A36='Offer Statistics'!$CL$2:$CL$181)*($U$2='Offer Statistics'!$CM$2:$CM$181),0)),"/")</f>
        <v>52</v>
      </c>
      <c r="AG36" s="375" cm="1">
        <f t="array" ref="AG36">IFERROR(INDEX('Offer Statistics'!CQ$2:CQ$181,MATCH(1,($A36='Offer Statistics'!$CL$2:$CL$181)*($U$2='Offer Statistics'!$CM$2:$CM$181),0)),"/")</f>
        <v>55</v>
      </c>
      <c r="AH36" s="375" cm="1">
        <f t="array" ref="AH36">IFERROR(INDEX('Offer Statistics'!CR$2:CR$181,MATCH(1,($A36='Offer Statistics'!$CL$2:$CL$181)*($U$2='Offer Statistics'!$CM$2:$CM$181),0)),"/")</f>
        <v>48</v>
      </c>
      <c r="AJ36" s="354" t="str">
        <f t="shared" si="4"/>
        <v>JS6688</v>
      </c>
    </row>
    <row r="37" spans="1:36" ht="18" customHeight="1" x14ac:dyDescent="0.3">
      <c r="A37" s="346" t="str">
        <f>'Reference Score Calculation'!A272</f>
        <v>JS6729</v>
      </c>
      <c r="B37" s="346" t="str">
        <f>'Reference Score Calculation'!C272</f>
        <v>理學院</v>
      </c>
      <c r="C37" s="346" t="str">
        <f>'Reference Score Calculation'!D272</f>
        <v>理學士(精算學)</v>
      </c>
      <c r="D37" s="346" t="str">
        <f>'Reference Score Calculation'!T272</f>
        <v xml:space="preserve">	BSC(AC)</v>
      </c>
      <c r="E37" s="376" t="str">
        <f>'Reference Score Calculation'!E272</f>
        <v>Best 6</v>
      </c>
      <c r="F37" s="347">
        <f>'Reference Score Calculation'!F272</f>
        <v>54</v>
      </c>
      <c r="G37" s="347">
        <f>'Reference Score Calculation'!G272</f>
        <v>51</v>
      </c>
      <c r="H37" s="347">
        <f>'Reference Score Calculation'!H272</f>
        <v>48</v>
      </c>
      <c r="I37" s="368">
        <f>計分版!H293</f>
        <v>4.4000000000000005E-9</v>
      </c>
      <c r="J37" s="361">
        <f t="shared" si="5"/>
        <v>-50.9999999956</v>
      </c>
      <c r="K37" s="362">
        <f t="shared" si="6"/>
        <v>-11590909089.90909</v>
      </c>
      <c r="L37" s="365">
        <f>入學要求!C281</f>
        <v>50</v>
      </c>
      <c r="M37" s="372">
        <f>入學要求!R281</f>
        <v>0</v>
      </c>
      <c r="O37" s="355">
        <f>入學要求!D281</f>
        <v>3</v>
      </c>
      <c r="P37" s="355">
        <f>入學要求!E281</f>
        <v>3</v>
      </c>
      <c r="Q37" s="355">
        <f>入學要求!F281</f>
        <v>4</v>
      </c>
      <c r="R37" s="355">
        <f>入學要求!G281</f>
        <v>2</v>
      </c>
      <c r="S37" s="355">
        <f>入學要求!H281</f>
        <v>3</v>
      </c>
      <c r="T37" s="355">
        <f>入學要求!I281</f>
        <v>4</v>
      </c>
      <c r="U37" s="576"/>
      <c r="V37" s="365" cm="1">
        <f t="array" ref="V37">IFERROR(INDEX('Offer Statistics'!DA$2:DA$181,MATCH(1,($A37='Offer Statistics'!$CL$2:$CL$181)*($U$2='Offer Statistics'!$CM$2:$CM$181),0)),"/")</f>
        <v>62</v>
      </c>
      <c r="W37" s="375" cm="1">
        <f t="array" ref="W37">IFERROR(INDEX('Offer Statistics'!CV$2:CV$181,MATCH(1,($A37='Offer Statistics'!$CL$2:$CL$181)*($U$2='Offer Statistics'!$CM$2:$CM$181),0)),"/")</f>
        <v>62</v>
      </c>
      <c r="X37" s="375" cm="1">
        <f t="array" ref="X37">IFERROR(INDEX('Offer Statistics'!CW$2:CW$181,MATCH(1,($A37='Offer Statistics'!$CL$2:$CL$181)*($U$2='Offer Statistics'!$CM$2:$CM$181),0)),"/")</f>
        <v>0</v>
      </c>
      <c r="Y37" s="375" cm="1">
        <f t="array" ref="Y37">IFERROR(INDEX('Offer Statistics'!CX$2:CX$181,MATCH(1,($A37='Offer Statistics'!$CL$2:$CL$181)*($U$2='Offer Statistics'!$CM$2:$CM$181),0)),"/")</f>
        <v>0</v>
      </c>
      <c r="Z37" s="375" cm="1">
        <f t="array" ref="Z37">IFERROR(INDEX('Offer Statistics'!CY$2:CY$181,MATCH(1,($A37='Offer Statistics'!$CL$2:$CL$181)*($U$2='Offer Statistics'!$CM$2:$CM$181),0)),"/")</f>
        <v>0</v>
      </c>
      <c r="AA37" s="375" cm="1">
        <f t="array" ref="AA37">IFERROR(INDEX('Offer Statistics'!CZ$2:CZ$181,MATCH(1,($A37='Offer Statistics'!$CL$2:$CL$181)*($U$2='Offer Statistics'!$CM$2:$CM$181),0)),"/")</f>
        <v>0</v>
      </c>
      <c r="AB37" s="580"/>
      <c r="AC37" s="365" cm="1">
        <f t="array" ref="AC37">IFERROR(INDEX('Offer Statistics'!CS$2:CS$181,MATCH(1,($A37='Offer Statistics'!$CL$2:$CL$181)*($U$2='Offer Statistics'!$CM$2:$CM$181),0)),"/")</f>
        <v>717</v>
      </c>
      <c r="AD37" s="375" cm="1">
        <f t="array" ref="AD37">IFERROR(INDEX('Offer Statistics'!CN$2:CN$181,MATCH(1,($A37='Offer Statistics'!$CL$2:$CL$181)*($U$2='Offer Statistics'!$CM$2:$CM$181),0)),"/")</f>
        <v>163</v>
      </c>
      <c r="AE37" s="375" cm="1">
        <f t="array" ref="AE37">IFERROR(INDEX('Offer Statistics'!CO$2:CO$181,MATCH(1,($A37='Offer Statistics'!$CL$2:$CL$181)*($U$2='Offer Statistics'!$CM$2:$CM$181),0)),"/")</f>
        <v>81</v>
      </c>
      <c r="AF37" s="375" cm="1">
        <f t="array" ref="AF37">IFERROR(INDEX('Offer Statistics'!CP$2:CP$181,MATCH(1,($A37='Offer Statistics'!$CL$2:$CL$181)*($U$2='Offer Statistics'!$CM$2:$CM$181),0)),"/")</f>
        <v>127</v>
      </c>
      <c r="AG37" s="375" cm="1">
        <f t="array" ref="AG37">IFERROR(INDEX('Offer Statistics'!CQ$2:CQ$181,MATCH(1,($A37='Offer Statistics'!$CL$2:$CL$181)*($U$2='Offer Statistics'!$CM$2:$CM$181),0)),"/")</f>
        <v>195</v>
      </c>
      <c r="AH37" s="375" cm="1">
        <f t="array" ref="AH37">IFERROR(INDEX('Offer Statistics'!CR$2:CR$181,MATCH(1,($A37='Offer Statistics'!$CL$2:$CL$181)*($U$2='Offer Statistics'!$CM$2:$CM$181),0)),"/")</f>
        <v>151</v>
      </c>
      <c r="AJ37" s="354" t="str">
        <f t="shared" si="4"/>
        <v>JS6729</v>
      </c>
    </row>
    <row r="38" spans="1:36" ht="18" customHeight="1" x14ac:dyDescent="0.3">
      <c r="A38" s="346" t="str">
        <f>'Reference Score Calculation'!A273</f>
        <v>JS6858</v>
      </c>
      <c r="B38" s="346" t="str">
        <f>'Reference Score Calculation'!C273</f>
        <v>理學院</v>
      </c>
      <c r="C38" s="346" t="str">
        <f>'Reference Score Calculation'!D273</f>
        <v>理學士及法學士(雙學位課程)</v>
      </c>
      <c r="D38" s="346" t="str">
        <f>'Reference Score Calculation'!T273</f>
        <v>BSc&amp;LLB</v>
      </c>
      <c r="E38" s="376" t="str">
        <f>'Reference Score Calculation'!AD273</f>
        <v>Best 6</v>
      </c>
      <c r="F38" s="347" t="str">
        <f>'Reference Score Calculation'!F273</f>
        <v>/</v>
      </c>
      <c r="G38" s="347" t="str">
        <f>'Reference Score Calculation'!G273</f>
        <v>/</v>
      </c>
      <c r="H38" s="347" t="str">
        <f>'Reference Score Calculation'!H273</f>
        <v>/</v>
      </c>
      <c r="I38" s="368">
        <f>計分版!H294</f>
        <v>4.3000000000000005E-9</v>
      </c>
      <c r="J38" s="348" t="s">
        <v>1978</v>
      </c>
      <c r="K38" s="349" t="s">
        <v>1978</v>
      </c>
      <c r="L38" s="365">
        <f>入學要求!C282</f>
        <v>20</v>
      </c>
      <c r="M38" s="372">
        <f>入學要求!R282</f>
        <v>0</v>
      </c>
      <c r="O38" s="355">
        <f>入學要求!D282</f>
        <v>4</v>
      </c>
      <c r="P38" s="355">
        <f>入學要求!E282</f>
        <v>5</v>
      </c>
      <c r="Q38" s="355">
        <f>入學要求!F282</f>
        <v>2</v>
      </c>
      <c r="R38" s="355">
        <f>入學要求!G282</f>
        <v>2</v>
      </c>
      <c r="S38" s="355">
        <f>入學要求!H282</f>
        <v>3</v>
      </c>
      <c r="T38" s="355">
        <f>入學要求!I282</f>
        <v>3</v>
      </c>
      <c r="U38" s="576"/>
      <c r="V38" s="365" t="str" cm="1">
        <f t="array" ref="V38">IFERROR(INDEX('Offer Statistics'!DA$2:DA$181,MATCH(1,($A38='Offer Statistics'!$CL$2:$CL$181)*($U$2='Offer Statistics'!$CM$2:$CM$181),0)),"/")</f>
        <v>/</v>
      </c>
      <c r="W38" s="375" t="str" cm="1">
        <f t="array" ref="W38">IFERROR(INDEX('Offer Statistics'!CV$2:CV$181,MATCH(1,($A38='Offer Statistics'!$CL$2:$CL$181)*($U$2='Offer Statistics'!$CM$2:$CM$181),0)),"/")</f>
        <v>/</v>
      </c>
      <c r="X38" s="375" t="str" cm="1">
        <f t="array" ref="X38">IFERROR(INDEX('Offer Statistics'!CW$2:CW$181,MATCH(1,($A38='Offer Statistics'!$CL$2:$CL$181)*($U$2='Offer Statistics'!$CM$2:$CM$181),0)),"/")</f>
        <v>/</v>
      </c>
      <c r="Y38" s="375" t="str" cm="1">
        <f t="array" ref="Y38">IFERROR(INDEX('Offer Statistics'!CX$2:CX$181,MATCH(1,($A38='Offer Statistics'!$CL$2:$CL$181)*($U$2='Offer Statistics'!$CM$2:$CM$181),0)),"/")</f>
        <v>/</v>
      </c>
      <c r="Z38" s="375" t="str" cm="1">
        <f t="array" ref="Z38">IFERROR(INDEX('Offer Statistics'!CY$2:CY$181,MATCH(1,($A38='Offer Statistics'!$CL$2:$CL$181)*($U$2='Offer Statistics'!$CM$2:$CM$181),0)),"/")</f>
        <v>/</v>
      </c>
      <c r="AA38" s="375" t="str" cm="1">
        <f t="array" ref="AA38">IFERROR(INDEX('Offer Statistics'!CZ$2:CZ$181,MATCH(1,($A38='Offer Statistics'!$CL$2:$CL$181)*($U$2='Offer Statistics'!$CM$2:$CM$181),0)),"/")</f>
        <v>/</v>
      </c>
      <c r="AB38" s="580"/>
      <c r="AC38" s="365" t="str" cm="1">
        <f t="array" ref="AC38">IFERROR(INDEX('Offer Statistics'!CS$2:CS$181,MATCH(1,($A38='Offer Statistics'!$CL$2:$CL$181)*($U$2='Offer Statistics'!$CM$2:$CM$181),0)),"/")</f>
        <v>/</v>
      </c>
      <c r="AD38" s="375" t="str" cm="1">
        <f t="array" ref="AD38">IFERROR(INDEX('Offer Statistics'!CN$2:CN$181,MATCH(1,($A38='Offer Statistics'!$CL$2:$CL$181)*($U$2='Offer Statistics'!$CM$2:$CM$181),0)),"/")</f>
        <v>/</v>
      </c>
      <c r="AE38" s="375" t="str" cm="1">
        <f t="array" ref="AE38">IFERROR(INDEX('Offer Statistics'!CO$2:CO$181,MATCH(1,($A38='Offer Statistics'!$CL$2:$CL$181)*($U$2='Offer Statistics'!$CM$2:$CM$181),0)),"/")</f>
        <v>/</v>
      </c>
      <c r="AF38" s="375" t="str" cm="1">
        <f t="array" ref="AF38">IFERROR(INDEX('Offer Statistics'!CP$2:CP$181,MATCH(1,($A38='Offer Statistics'!$CL$2:$CL$181)*($U$2='Offer Statistics'!$CM$2:$CM$181),0)),"/")</f>
        <v>/</v>
      </c>
      <c r="AG38" s="375" t="str" cm="1">
        <f t="array" ref="AG38">IFERROR(INDEX('Offer Statistics'!CQ$2:CQ$181,MATCH(1,($A38='Offer Statistics'!$CL$2:$CL$181)*($U$2='Offer Statistics'!$CM$2:$CM$181),0)),"/")</f>
        <v>/</v>
      </c>
      <c r="AH38" s="375" t="str" cm="1">
        <f t="array" ref="AH38">IFERROR(INDEX('Offer Statistics'!CR$2:CR$181,MATCH(1,($A38='Offer Statistics'!$CL$2:$CL$181)*($U$2='Offer Statistics'!$CM$2:$CM$181),0)),"/")</f>
        <v>/</v>
      </c>
      <c r="AJ38" s="354" t="str">
        <f t="shared" si="4"/>
        <v>JS6858</v>
      </c>
    </row>
    <row r="39" spans="1:36" ht="18" customHeight="1" x14ac:dyDescent="0.3">
      <c r="A39" s="346" t="str">
        <f>'Reference Score Calculation'!A274</f>
        <v>JS6901</v>
      </c>
      <c r="B39" s="346" t="str">
        <f>'Reference Score Calculation'!C274</f>
        <v>理學院</v>
      </c>
      <c r="C39" s="346" t="str">
        <f>'Reference Score Calculation'!D274</f>
        <v>理學士</v>
      </c>
      <c r="D39" s="346" t="str">
        <f>'Reference Score Calculation'!T274</f>
        <v xml:space="preserve">	BSC</v>
      </c>
      <c r="E39" s="376" t="str">
        <f>'Reference Score Calculation'!E274</f>
        <v>Best 5</v>
      </c>
      <c r="F39" s="347">
        <f>'Reference Score Calculation'!F274</f>
        <v>46</v>
      </c>
      <c r="G39" s="347">
        <f>'Reference Score Calculation'!G274</f>
        <v>41</v>
      </c>
      <c r="H39" s="347">
        <f>'Reference Score Calculation'!H274</f>
        <v>39</v>
      </c>
      <c r="I39" s="368">
        <f>計分版!H295</f>
        <v>2.775E-9</v>
      </c>
      <c r="J39" s="361">
        <f t="shared" si="5"/>
        <v>-40.999999997224997</v>
      </c>
      <c r="K39" s="362">
        <f t="shared" si="6"/>
        <v>-14774774773.774773</v>
      </c>
      <c r="L39" s="365">
        <f>入學要求!C283</f>
        <v>305</v>
      </c>
      <c r="M39" s="372">
        <f>入學要求!R283</f>
        <v>0</v>
      </c>
      <c r="O39" s="355">
        <f>入學要求!D283</f>
        <v>3</v>
      </c>
      <c r="P39" s="355">
        <f>入學要求!E283</f>
        <v>3</v>
      </c>
      <c r="Q39" s="355">
        <f>入學要求!F283</f>
        <v>2</v>
      </c>
      <c r="R39" s="355">
        <f>入學要求!G283</f>
        <v>2</v>
      </c>
      <c r="S39" s="355">
        <f>入學要求!H283</f>
        <v>3</v>
      </c>
      <c r="T39" s="355">
        <f>入學要求!I283</f>
        <v>3</v>
      </c>
      <c r="U39" s="576"/>
      <c r="V39" s="365" cm="1">
        <f t="array" ref="V39">IFERROR(INDEX('Offer Statistics'!DA$2:DA$181,MATCH(1,($A39='Offer Statistics'!$CL$2:$CL$181)*($U$2='Offer Statistics'!$CM$2:$CM$181),0)),"/")</f>
        <v>243</v>
      </c>
      <c r="W39" s="375" cm="1">
        <f t="array" ref="W39">IFERROR(INDEX('Offer Statistics'!CV$2:CV$181,MATCH(1,($A39='Offer Statistics'!$CL$2:$CL$181)*($U$2='Offer Statistics'!$CM$2:$CM$181),0)),"/")</f>
        <v>243</v>
      </c>
      <c r="X39" s="375" cm="1">
        <f t="array" ref="X39">IFERROR(INDEX('Offer Statistics'!CW$2:CW$181,MATCH(1,($A39='Offer Statistics'!$CL$2:$CL$181)*($U$2='Offer Statistics'!$CM$2:$CM$181),0)),"/")</f>
        <v>0</v>
      </c>
      <c r="Y39" s="375" cm="1">
        <f t="array" ref="Y39">IFERROR(INDEX('Offer Statistics'!CX$2:CX$181,MATCH(1,($A39='Offer Statistics'!$CL$2:$CL$181)*($U$2='Offer Statistics'!$CM$2:$CM$181),0)),"/")</f>
        <v>0</v>
      </c>
      <c r="Z39" s="375" cm="1">
        <f t="array" ref="Z39">IFERROR(INDEX('Offer Statistics'!CY$2:CY$181,MATCH(1,($A39='Offer Statistics'!$CL$2:$CL$181)*($U$2='Offer Statistics'!$CM$2:$CM$181),0)),"/")</f>
        <v>0</v>
      </c>
      <c r="AA39" s="375" cm="1">
        <f t="array" ref="AA39">IFERROR(INDEX('Offer Statistics'!CZ$2:CZ$181,MATCH(1,($A39='Offer Statistics'!$CL$2:$CL$181)*($U$2='Offer Statistics'!$CM$2:$CM$181),0)),"/")</f>
        <v>0</v>
      </c>
      <c r="AB39" s="580"/>
      <c r="AC39" s="365" cm="1">
        <f t="array" ref="AC39">IFERROR(INDEX('Offer Statistics'!CS$2:CS$181,MATCH(1,($A39='Offer Statistics'!$CL$2:$CL$181)*($U$2='Offer Statistics'!$CM$2:$CM$181),0)),"/")</f>
        <v>5207</v>
      </c>
      <c r="AD39" s="375" cm="1">
        <f t="array" ref="AD39">IFERROR(INDEX('Offer Statistics'!CN$2:CN$181,MATCH(1,($A39='Offer Statistics'!$CL$2:$CL$181)*($U$2='Offer Statistics'!$CM$2:$CM$181),0)),"/")</f>
        <v>1157</v>
      </c>
      <c r="AE39" s="375" cm="1">
        <f t="array" ref="AE39">IFERROR(INDEX('Offer Statistics'!CO$2:CO$181,MATCH(1,($A39='Offer Statistics'!$CL$2:$CL$181)*($U$2='Offer Statistics'!$CM$2:$CM$181),0)),"/")</f>
        <v>1070</v>
      </c>
      <c r="AF39" s="375" cm="1">
        <f t="array" ref="AF39">IFERROR(INDEX('Offer Statistics'!CP$2:CP$181,MATCH(1,($A39='Offer Statistics'!$CL$2:$CL$181)*($U$2='Offer Statistics'!$CM$2:$CM$181),0)),"/")</f>
        <v>1043</v>
      </c>
      <c r="AG39" s="375" cm="1">
        <f t="array" ref="AG39">IFERROR(INDEX('Offer Statistics'!CQ$2:CQ$181,MATCH(1,($A39='Offer Statistics'!$CL$2:$CL$181)*($U$2='Offer Statistics'!$CM$2:$CM$181),0)),"/")</f>
        <v>1120</v>
      </c>
      <c r="AH39" s="375" cm="1">
        <f t="array" ref="AH39">IFERROR(INDEX('Offer Statistics'!CR$2:CR$181,MATCH(1,($A39='Offer Statistics'!$CL$2:$CL$181)*($U$2='Offer Statistics'!$CM$2:$CM$181),0)),"/")</f>
        <v>817</v>
      </c>
      <c r="AJ39" s="354" t="str">
        <f t="shared" si="4"/>
        <v>JS6901</v>
      </c>
    </row>
    <row r="40" spans="1:36" ht="18" customHeight="1" x14ac:dyDescent="0.3">
      <c r="A40" s="346" t="str">
        <f>'Reference Score Calculation'!A275</f>
        <v>JS6705</v>
      </c>
      <c r="B40" s="346" t="str">
        <f>'Reference Score Calculation'!C275</f>
        <v>社會科學院</v>
      </c>
      <c r="C40" s="346" t="str">
        <f>'Reference Score Calculation'!D275</f>
        <v>心理學學士</v>
      </c>
      <c r="D40" s="346" t="str">
        <f>'Reference Score Calculation'!T275</f>
        <v>BPsych</v>
      </c>
      <c r="E40" s="355" t="str">
        <f>'Reference Score Calculation'!AD275</f>
        <v>Best 5</v>
      </c>
      <c r="F40" s="347" t="str">
        <f>'Reference Score Calculation'!F275</f>
        <v>/</v>
      </c>
      <c r="G40" s="347" t="str">
        <f>'Reference Score Calculation'!G275</f>
        <v>/</v>
      </c>
      <c r="H40" s="347" t="str">
        <f>'Reference Score Calculation'!H275</f>
        <v>/</v>
      </c>
      <c r="I40" s="368">
        <f>計分版!H296</f>
        <v>3.9500000000000006E-9</v>
      </c>
      <c r="J40" s="348" t="s">
        <v>1978</v>
      </c>
      <c r="K40" s="349" t="s">
        <v>1978</v>
      </c>
      <c r="L40" s="365">
        <f>入學要求!C284</f>
        <v>70</v>
      </c>
      <c r="M40" s="372">
        <f>入學要求!R284</f>
        <v>0</v>
      </c>
      <c r="O40" s="355">
        <f>入學要求!D284</f>
        <v>3</v>
      </c>
      <c r="P40" s="355">
        <f>入學要求!E284</f>
        <v>3</v>
      </c>
      <c r="Q40" s="355">
        <f>入學要求!F284</f>
        <v>2</v>
      </c>
      <c r="R40" s="355">
        <f>入學要求!G284</f>
        <v>2</v>
      </c>
      <c r="S40" s="355">
        <f>入學要求!H284</f>
        <v>3</v>
      </c>
      <c r="T40" s="355">
        <f>入學要求!I284</f>
        <v>3</v>
      </c>
      <c r="U40" s="576"/>
      <c r="V40" s="365" t="str" cm="1">
        <f t="array" ref="V40">IFERROR(INDEX('Offer Statistics'!DA$2:DA$181,MATCH(1,($A40='Offer Statistics'!$CL$2:$CL$181)*($U$2='Offer Statistics'!$CM$2:$CM$181),0)),"/")</f>
        <v>/</v>
      </c>
      <c r="W40" s="375" t="str" cm="1">
        <f t="array" ref="W40">IFERROR(INDEX('Offer Statistics'!CV$2:CV$181,MATCH(1,($A40='Offer Statistics'!$CL$2:$CL$181)*($U$2='Offer Statistics'!$CM$2:$CM$181),0)),"/")</f>
        <v>/</v>
      </c>
      <c r="X40" s="375" t="str" cm="1">
        <f t="array" ref="X40">IFERROR(INDEX('Offer Statistics'!CW$2:CW$181,MATCH(1,($A40='Offer Statistics'!$CL$2:$CL$181)*($U$2='Offer Statistics'!$CM$2:$CM$181),0)),"/")</f>
        <v>/</v>
      </c>
      <c r="Y40" s="375" t="str" cm="1">
        <f t="array" ref="Y40">IFERROR(INDEX('Offer Statistics'!CX$2:CX$181,MATCH(1,($A40='Offer Statistics'!$CL$2:$CL$181)*($U$2='Offer Statistics'!$CM$2:$CM$181),0)),"/")</f>
        <v>/</v>
      </c>
      <c r="Z40" s="375" t="str" cm="1">
        <f t="array" ref="Z40">IFERROR(INDEX('Offer Statistics'!CY$2:CY$181,MATCH(1,($A40='Offer Statistics'!$CL$2:$CL$181)*($U$2='Offer Statistics'!$CM$2:$CM$181),0)),"/")</f>
        <v>/</v>
      </c>
      <c r="AA40" s="375" t="str" cm="1">
        <f t="array" ref="AA40">IFERROR(INDEX('Offer Statistics'!CZ$2:CZ$181,MATCH(1,($A40='Offer Statistics'!$CL$2:$CL$181)*($U$2='Offer Statistics'!$CM$2:$CM$181),0)),"/")</f>
        <v>/</v>
      </c>
      <c r="AB40" s="580"/>
      <c r="AC40" s="365" t="str" cm="1">
        <f t="array" ref="AC40">IFERROR(INDEX('Offer Statistics'!CS$2:CS$181,MATCH(1,($A40='Offer Statistics'!$CL$2:$CL$181)*($U$2='Offer Statistics'!$CM$2:$CM$181),0)),"/")</f>
        <v>/</v>
      </c>
      <c r="AD40" s="375" t="str" cm="1">
        <f t="array" ref="AD40">IFERROR(INDEX('Offer Statistics'!CN$2:CN$181,MATCH(1,($A40='Offer Statistics'!$CL$2:$CL$181)*($U$2='Offer Statistics'!$CM$2:$CM$181),0)),"/")</f>
        <v>/</v>
      </c>
      <c r="AE40" s="375" t="str" cm="1">
        <f t="array" ref="AE40">IFERROR(INDEX('Offer Statistics'!CO$2:CO$181,MATCH(1,($A40='Offer Statistics'!$CL$2:$CL$181)*($U$2='Offer Statistics'!$CM$2:$CM$181),0)),"/")</f>
        <v>/</v>
      </c>
      <c r="AF40" s="375" t="str" cm="1">
        <f t="array" ref="AF40">IFERROR(INDEX('Offer Statistics'!CP$2:CP$181,MATCH(1,($A40='Offer Statistics'!$CL$2:$CL$181)*($U$2='Offer Statistics'!$CM$2:$CM$181),0)),"/")</f>
        <v>/</v>
      </c>
      <c r="AG40" s="375" t="str" cm="1">
        <f t="array" ref="AG40">IFERROR(INDEX('Offer Statistics'!CQ$2:CQ$181,MATCH(1,($A40='Offer Statistics'!$CL$2:$CL$181)*($U$2='Offer Statistics'!$CM$2:$CM$181),0)),"/")</f>
        <v>/</v>
      </c>
      <c r="AH40" s="375" t="str" cm="1">
        <f t="array" ref="AH40">IFERROR(INDEX('Offer Statistics'!CR$2:CR$181,MATCH(1,($A40='Offer Statistics'!$CL$2:$CL$181)*($U$2='Offer Statistics'!$CM$2:$CM$181),0)),"/")</f>
        <v>/</v>
      </c>
      <c r="AJ40" s="354" t="str">
        <f t="shared" si="4"/>
        <v>JS6705</v>
      </c>
    </row>
    <row r="41" spans="1:36" ht="18" customHeight="1" x14ac:dyDescent="0.3">
      <c r="A41" s="346" t="str">
        <f>'Reference Score Calculation'!A276</f>
        <v>JS6717</v>
      </c>
      <c r="B41" s="346" t="str">
        <f>'Reference Score Calculation'!C276</f>
        <v>社會科學院</v>
      </c>
      <c r="C41" s="346" t="str">
        <f>'Reference Score Calculation'!D276</f>
        <v>社會科學學士</v>
      </c>
      <c r="D41" s="346" t="str">
        <f>'Reference Score Calculation'!T276</f>
        <v xml:space="preserve">	BSS</v>
      </c>
      <c r="E41" s="355" t="str">
        <f>'Reference Score Calculation'!E276</f>
        <v>Best 5</v>
      </c>
      <c r="F41" s="347">
        <f>'Reference Score Calculation'!F276</f>
        <v>29</v>
      </c>
      <c r="G41" s="347">
        <f>'Reference Score Calculation'!G276</f>
        <v>26</v>
      </c>
      <c r="H41" s="347">
        <f>'Reference Score Calculation'!H276</f>
        <v>25</v>
      </c>
      <c r="I41" s="368">
        <f>計分版!H297</f>
        <v>3.9500000000000006E-9</v>
      </c>
      <c r="J41" s="361">
        <f t="shared" si="5"/>
        <v>-25.999999996050001</v>
      </c>
      <c r="K41" s="362">
        <f t="shared" si="6"/>
        <v>-6582278480.0126572</v>
      </c>
      <c r="L41" s="365">
        <f>入學要求!C285</f>
        <v>114</v>
      </c>
      <c r="M41" s="372">
        <f>入學要求!R285</f>
        <v>0</v>
      </c>
      <c r="O41" s="355">
        <f>入學要求!D285</f>
        <v>3</v>
      </c>
      <c r="P41" s="355">
        <f>入學要求!E285</f>
        <v>3</v>
      </c>
      <c r="Q41" s="355">
        <f>入學要求!F285</f>
        <v>2</v>
      </c>
      <c r="R41" s="355">
        <f>入學要求!G285</f>
        <v>2</v>
      </c>
      <c r="S41" s="355">
        <f>入學要求!H285</f>
        <v>3</v>
      </c>
      <c r="T41" s="355">
        <f>入學要求!I285</f>
        <v>3</v>
      </c>
      <c r="U41" s="576"/>
      <c r="V41" s="365" cm="1">
        <f t="array" ref="V41">IFERROR(INDEX('Offer Statistics'!DA$2:DA$181,MATCH(1,($A41='Offer Statistics'!$CL$2:$CL$181)*($U$2='Offer Statistics'!$CM$2:$CM$181),0)),"/")</f>
        <v>143</v>
      </c>
      <c r="W41" s="375" cm="1">
        <f t="array" ref="W41">IFERROR(INDEX('Offer Statistics'!CV$2:CV$181,MATCH(1,($A41='Offer Statistics'!$CL$2:$CL$181)*($U$2='Offer Statistics'!$CM$2:$CM$181),0)),"/")</f>
        <v>143</v>
      </c>
      <c r="X41" s="375" cm="1">
        <f t="array" ref="X41">IFERROR(INDEX('Offer Statistics'!CW$2:CW$181,MATCH(1,($A41='Offer Statistics'!$CL$2:$CL$181)*($U$2='Offer Statistics'!$CM$2:$CM$181),0)),"/")</f>
        <v>0</v>
      </c>
      <c r="Y41" s="375" cm="1">
        <f t="array" ref="Y41">IFERROR(INDEX('Offer Statistics'!CX$2:CX$181,MATCH(1,($A41='Offer Statistics'!$CL$2:$CL$181)*($U$2='Offer Statistics'!$CM$2:$CM$181),0)),"/")</f>
        <v>0</v>
      </c>
      <c r="Z41" s="375" cm="1">
        <f t="array" ref="Z41">IFERROR(INDEX('Offer Statistics'!CY$2:CY$181,MATCH(1,($A41='Offer Statistics'!$CL$2:$CL$181)*($U$2='Offer Statistics'!$CM$2:$CM$181),0)),"/")</f>
        <v>0</v>
      </c>
      <c r="AA41" s="375" cm="1">
        <f t="array" ref="AA41">IFERROR(INDEX('Offer Statistics'!CZ$2:CZ$181,MATCH(1,($A41='Offer Statistics'!$CL$2:$CL$181)*($U$2='Offer Statistics'!$CM$2:$CM$181),0)),"/")</f>
        <v>0</v>
      </c>
      <c r="AB41" s="580"/>
      <c r="AC41" s="365" cm="1">
        <f t="array" ref="AC41">IFERROR(INDEX('Offer Statistics'!CS$2:CS$181,MATCH(1,($A41='Offer Statistics'!$CL$2:$CL$181)*($U$2='Offer Statistics'!$CM$2:$CM$181),0)),"/")</f>
        <v>3625</v>
      </c>
      <c r="AD41" s="375" cm="1">
        <f t="array" ref="AD41">IFERROR(INDEX('Offer Statistics'!CN$2:CN$181,MATCH(1,($A41='Offer Statistics'!$CL$2:$CL$181)*($U$2='Offer Statistics'!$CM$2:$CM$181),0)),"/")</f>
        <v>521</v>
      </c>
      <c r="AE41" s="375" cm="1">
        <f t="array" ref="AE41">IFERROR(INDEX('Offer Statistics'!CO$2:CO$181,MATCH(1,($A41='Offer Statistics'!$CL$2:$CL$181)*($U$2='Offer Statistics'!$CM$2:$CM$181),0)),"/")</f>
        <v>404</v>
      </c>
      <c r="AF41" s="375" cm="1">
        <f t="array" ref="AF41">IFERROR(INDEX('Offer Statistics'!CP$2:CP$181,MATCH(1,($A41='Offer Statistics'!$CL$2:$CL$181)*($U$2='Offer Statistics'!$CM$2:$CM$181),0)),"/")</f>
        <v>668</v>
      </c>
      <c r="AG41" s="375" cm="1">
        <f t="array" ref="AG41">IFERROR(INDEX('Offer Statistics'!CQ$2:CQ$181,MATCH(1,($A41='Offer Statistics'!$CL$2:$CL$181)*($U$2='Offer Statistics'!$CM$2:$CM$181),0)),"/")</f>
        <v>1043</v>
      </c>
      <c r="AH41" s="375" cm="1">
        <f t="array" ref="AH41">IFERROR(INDEX('Offer Statistics'!CR$2:CR$181,MATCH(1,($A41='Offer Statistics'!$CL$2:$CL$181)*($U$2='Offer Statistics'!$CM$2:$CM$181),0)),"/")</f>
        <v>989</v>
      </c>
      <c r="AJ41" s="354" t="str">
        <f t="shared" si="4"/>
        <v>JS6717</v>
      </c>
    </row>
    <row r="42" spans="1:36" ht="18" customHeight="1" x14ac:dyDescent="0.3">
      <c r="A42" s="346" t="str">
        <f>'Reference Score Calculation'!A277</f>
        <v>JS6731</v>
      </c>
      <c r="B42" s="346" t="str">
        <f>'Reference Score Calculation'!C277</f>
        <v>社會科學院</v>
      </c>
      <c r="C42" s="346" t="str">
        <f>'Reference Score Calculation'!D277</f>
        <v>社會工作學學士</v>
      </c>
      <c r="D42" s="346" t="str">
        <f>'Reference Score Calculation'!T277</f>
        <v>BSW</v>
      </c>
      <c r="E42" s="355" t="str">
        <f>'Reference Score Calculation'!E277</f>
        <v>Best 5</v>
      </c>
      <c r="F42" s="347">
        <f>'Reference Score Calculation'!F277</f>
        <v>29</v>
      </c>
      <c r="G42" s="347">
        <f>'Reference Score Calculation'!G277</f>
        <v>28</v>
      </c>
      <c r="H42" s="347">
        <f>'Reference Score Calculation'!H277</f>
        <v>26</v>
      </c>
      <c r="I42" s="368">
        <f>計分版!H298</f>
        <v>3.9500000000000006E-9</v>
      </c>
      <c r="J42" s="361">
        <f t="shared" si="5"/>
        <v>-27.999999996050001</v>
      </c>
      <c r="K42" s="362">
        <f t="shared" si="6"/>
        <v>-7088607593.9367075</v>
      </c>
      <c r="L42" s="365">
        <f>入學要求!C286</f>
        <v>30</v>
      </c>
      <c r="M42" s="372">
        <f>入學要求!R286</f>
        <v>0</v>
      </c>
      <c r="O42" s="355">
        <f>入學要求!D286</f>
        <v>3</v>
      </c>
      <c r="P42" s="355">
        <f>入學要求!E286</f>
        <v>3</v>
      </c>
      <c r="Q42" s="355">
        <f>入學要求!F286</f>
        <v>2</v>
      </c>
      <c r="R42" s="355">
        <f>入學要求!G286</f>
        <v>2</v>
      </c>
      <c r="S42" s="355">
        <f>入學要求!H286</f>
        <v>3</v>
      </c>
      <c r="T42" s="355">
        <f>入學要求!I286</f>
        <v>3</v>
      </c>
      <c r="U42" s="576"/>
      <c r="V42" s="365" cm="1">
        <f t="array" ref="V42">IFERROR(INDEX('Offer Statistics'!DA$2:DA$181,MATCH(1,($A42='Offer Statistics'!$CL$2:$CL$181)*($U$2='Offer Statistics'!$CM$2:$CM$181),0)),"/")</f>
        <v>22</v>
      </c>
      <c r="W42" s="375" cm="1">
        <f t="array" ref="W42">IFERROR(INDEX('Offer Statistics'!CV$2:CV$181,MATCH(1,($A42='Offer Statistics'!$CL$2:$CL$181)*($U$2='Offer Statistics'!$CM$2:$CM$181),0)),"/")</f>
        <v>22</v>
      </c>
      <c r="X42" s="375" cm="1">
        <f t="array" ref="X42">IFERROR(INDEX('Offer Statistics'!CW$2:CW$181,MATCH(1,($A42='Offer Statistics'!$CL$2:$CL$181)*($U$2='Offer Statistics'!$CM$2:$CM$181),0)),"/")</f>
        <v>0</v>
      </c>
      <c r="Y42" s="375" cm="1">
        <f t="array" ref="Y42">IFERROR(INDEX('Offer Statistics'!CX$2:CX$181,MATCH(1,($A42='Offer Statistics'!$CL$2:$CL$181)*($U$2='Offer Statistics'!$CM$2:$CM$181),0)),"/")</f>
        <v>0</v>
      </c>
      <c r="Z42" s="375" cm="1">
        <f t="array" ref="Z42">IFERROR(INDEX('Offer Statistics'!CY$2:CY$181,MATCH(1,($A42='Offer Statistics'!$CL$2:$CL$181)*($U$2='Offer Statistics'!$CM$2:$CM$181),0)),"/")</f>
        <v>0</v>
      </c>
      <c r="AA42" s="375" cm="1">
        <f t="array" ref="AA42">IFERROR(INDEX('Offer Statistics'!CZ$2:CZ$181,MATCH(1,($A42='Offer Statistics'!$CL$2:$CL$181)*($U$2='Offer Statistics'!$CM$2:$CM$181),0)),"/")</f>
        <v>0</v>
      </c>
      <c r="AB42" s="580"/>
      <c r="AC42" s="365" cm="1">
        <f t="array" ref="AC42">IFERROR(INDEX('Offer Statistics'!CS$2:CS$181,MATCH(1,($A42='Offer Statistics'!$CL$2:$CL$181)*($U$2='Offer Statistics'!$CM$2:$CM$181),0)),"/")</f>
        <v>2430</v>
      </c>
      <c r="AD42" s="375" cm="1">
        <f t="array" ref="AD42">IFERROR(INDEX('Offer Statistics'!CN$2:CN$181,MATCH(1,($A42='Offer Statistics'!$CL$2:$CL$181)*($U$2='Offer Statistics'!$CM$2:$CM$181),0)),"/")</f>
        <v>212</v>
      </c>
      <c r="AE42" s="375" cm="1">
        <f t="array" ref="AE42">IFERROR(INDEX('Offer Statistics'!CO$2:CO$181,MATCH(1,($A42='Offer Statistics'!$CL$2:$CL$181)*($U$2='Offer Statistics'!$CM$2:$CM$181),0)),"/")</f>
        <v>299</v>
      </c>
      <c r="AF42" s="375" cm="1">
        <f t="array" ref="AF42">IFERROR(INDEX('Offer Statistics'!CP$2:CP$181,MATCH(1,($A42='Offer Statistics'!$CL$2:$CL$181)*($U$2='Offer Statistics'!$CM$2:$CM$181),0)),"/")</f>
        <v>508</v>
      </c>
      <c r="AG42" s="375" cm="1">
        <f t="array" ref="AG42">IFERROR(INDEX('Offer Statistics'!CQ$2:CQ$181,MATCH(1,($A42='Offer Statistics'!$CL$2:$CL$181)*($U$2='Offer Statistics'!$CM$2:$CM$181),0)),"/")</f>
        <v>729</v>
      </c>
      <c r="AH42" s="375" cm="1">
        <f t="array" ref="AH42">IFERROR(INDEX('Offer Statistics'!CR$2:CR$181,MATCH(1,($A42='Offer Statistics'!$CL$2:$CL$181)*($U$2='Offer Statistics'!$CM$2:$CM$181),0)),"/")</f>
        <v>682</v>
      </c>
      <c r="AJ42" s="354" t="str">
        <f t="shared" si="4"/>
        <v>JS6731</v>
      </c>
    </row>
    <row r="43" spans="1:36" ht="18" customHeight="1" x14ac:dyDescent="0.3">
      <c r="A43" s="346" t="str">
        <f>'Reference Score Calculation'!A278</f>
        <v>JS6810</v>
      </c>
      <c r="B43" s="346" t="str">
        <f>'Reference Score Calculation'!C278</f>
        <v>社會科學院</v>
      </c>
      <c r="C43" s="346" t="str">
        <f>'Reference Score Calculation'!D278</f>
        <v>社會科學學士(政治學與法學)及法學士 (雙學位課程)</v>
      </c>
      <c r="D43" s="346" t="str">
        <f>'Reference Score Calculation'!T278</f>
        <v xml:space="preserve">	BSS(GL)&amp;LLB</v>
      </c>
      <c r="E43" s="355" t="str">
        <f>'Reference Score Calculation'!E278</f>
        <v>Best 6</v>
      </c>
      <c r="F43" s="347">
        <f>'Reference Score Calculation'!F278</f>
        <v>42</v>
      </c>
      <c r="G43" s="347">
        <f>'Reference Score Calculation'!G278</f>
        <v>41</v>
      </c>
      <c r="H43" s="347">
        <f>'Reference Score Calculation'!H278</f>
        <v>38</v>
      </c>
      <c r="I43" s="368">
        <f>計分版!H299</f>
        <v>3.9000000000000002E-9</v>
      </c>
      <c r="J43" s="361">
        <f t="shared" si="5"/>
        <v>-40.999999996100001</v>
      </c>
      <c r="K43" s="362">
        <f t="shared" si="6"/>
        <v>-10512820511.820513</v>
      </c>
      <c r="L43" s="365">
        <f>入學要求!C287</f>
        <v>50</v>
      </c>
      <c r="M43" s="372">
        <f>入學要求!R287</f>
        <v>0</v>
      </c>
      <c r="O43" s="355">
        <f>入學要求!D287</f>
        <v>4</v>
      </c>
      <c r="P43" s="355">
        <f>入學要求!E287</f>
        <v>5</v>
      </c>
      <c r="Q43" s="355">
        <f>入學要求!F287</f>
        <v>3</v>
      </c>
      <c r="R43" s="355">
        <f>入學要求!G287</f>
        <v>3</v>
      </c>
      <c r="S43" s="355">
        <f>入學要求!H287</f>
        <v>3</v>
      </c>
      <c r="T43" s="355">
        <f>入學要求!I287</f>
        <v>3</v>
      </c>
      <c r="U43" s="576"/>
      <c r="V43" s="365" cm="1">
        <f t="array" ref="V43">IFERROR(INDEX('Offer Statistics'!DA$2:DA$181,MATCH(1,($A43='Offer Statistics'!$CL$2:$CL$181)*($U$2='Offer Statistics'!$CM$2:$CM$181),0)),"/")</f>
        <v>37</v>
      </c>
      <c r="W43" s="375" cm="1">
        <f t="array" ref="W43">IFERROR(INDEX('Offer Statistics'!CV$2:CV$181,MATCH(1,($A43='Offer Statistics'!$CL$2:$CL$181)*($U$2='Offer Statistics'!$CM$2:$CM$181),0)),"/")</f>
        <v>37</v>
      </c>
      <c r="X43" s="375" cm="1">
        <f t="array" ref="X43">IFERROR(INDEX('Offer Statistics'!CW$2:CW$181,MATCH(1,($A43='Offer Statistics'!$CL$2:$CL$181)*($U$2='Offer Statistics'!$CM$2:$CM$181),0)),"/")</f>
        <v>0</v>
      </c>
      <c r="Y43" s="375" cm="1">
        <f t="array" ref="Y43">IFERROR(INDEX('Offer Statistics'!CX$2:CX$181,MATCH(1,($A43='Offer Statistics'!$CL$2:$CL$181)*($U$2='Offer Statistics'!$CM$2:$CM$181),0)),"/")</f>
        <v>0</v>
      </c>
      <c r="Z43" s="375" cm="1">
        <f t="array" ref="Z43">IFERROR(INDEX('Offer Statistics'!CY$2:CY$181,MATCH(1,($A43='Offer Statistics'!$CL$2:$CL$181)*($U$2='Offer Statistics'!$CM$2:$CM$181),0)),"/")</f>
        <v>0</v>
      </c>
      <c r="AA43" s="375" cm="1">
        <f t="array" ref="AA43">IFERROR(INDEX('Offer Statistics'!CZ$2:CZ$181,MATCH(1,($A43='Offer Statistics'!$CL$2:$CL$181)*($U$2='Offer Statistics'!$CM$2:$CM$181),0)),"/")</f>
        <v>0</v>
      </c>
      <c r="AB43" s="580"/>
      <c r="AC43" s="365" cm="1">
        <f t="array" ref="AC43">IFERROR(INDEX('Offer Statistics'!CS$2:CS$181,MATCH(1,($A43='Offer Statistics'!$CL$2:$CL$181)*($U$2='Offer Statistics'!$CM$2:$CM$181),0)),"/")</f>
        <v>366</v>
      </c>
      <c r="AD43" s="375" cm="1">
        <f t="array" ref="AD43">IFERROR(INDEX('Offer Statistics'!CN$2:CN$181,MATCH(1,($A43='Offer Statistics'!$CL$2:$CL$181)*($U$2='Offer Statistics'!$CM$2:$CM$181),0)),"/")</f>
        <v>80</v>
      </c>
      <c r="AE43" s="375" cm="1">
        <f t="array" ref="AE43">IFERROR(INDEX('Offer Statistics'!CO$2:CO$181,MATCH(1,($A43='Offer Statistics'!$CL$2:$CL$181)*($U$2='Offer Statistics'!$CM$2:$CM$181),0)),"/")</f>
        <v>39</v>
      </c>
      <c r="AF43" s="375" cm="1">
        <f t="array" ref="AF43">IFERROR(INDEX('Offer Statistics'!CP$2:CP$181,MATCH(1,($A43='Offer Statistics'!$CL$2:$CL$181)*($U$2='Offer Statistics'!$CM$2:$CM$181),0)),"/")</f>
        <v>64</v>
      </c>
      <c r="AG43" s="375" cm="1">
        <f t="array" ref="AG43">IFERROR(INDEX('Offer Statistics'!CQ$2:CQ$181,MATCH(1,($A43='Offer Statistics'!$CL$2:$CL$181)*($U$2='Offer Statistics'!$CM$2:$CM$181),0)),"/")</f>
        <v>92</v>
      </c>
      <c r="AH43" s="375" cm="1">
        <f t="array" ref="AH43">IFERROR(INDEX('Offer Statistics'!CR$2:CR$181,MATCH(1,($A43='Offer Statistics'!$CL$2:$CL$181)*($U$2='Offer Statistics'!$CM$2:$CM$181),0)),"/")</f>
        <v>91</v>
      </c>
      <c r="AJ43" s="354" t="str">
        <f t="shared" si="4"/>
        <v>JS6810</v>
      </c>
    </row>
    <row r="44" spans="1:36" ht="18" customHeight="1" x14ac:dyDescent="0.3">
      <c r="A44" s="346" t="str">
        <f>'Reference Score Calculation'!A279</f>
        <v>JS6822</v>
      </c>
      <c r="B44" s="346" t="str">
        <f>'Reference Score Calculation'!C279</f>
        <v>社會科學院</v>
      </c>
      <c r="C44" s="346" t="str">
        <f>'Reference Score Calculation'!D279</f>
        <v>新聞學學士</v>
      </c>
      <c r="D44" s="346" t="str">
        <f>'Reference Score Calculation'!T279</f>
        <v xml:space="preserve">	BJ</v>
      </c>
      <c r="E44" s="355" t="str">
        <f>'Reference Score Calculation'!E279</f>
        <v>Best 5</v>
      </c>
      <c r="F44" s="347">
        <f>'Reference Score Calculation'!F279</f>
        <v>31</v>
      </c>
      <c r="G44" s="347">
        <f>'Reference Score Calculation'!G279</f>
        <v>29</v>
      </c>
      <c r="H44" s="347">
        <f>'Reference Score Calculation'!H279</f>
        <v>28</v>
      </c>
      <c r="I44" s="368">
        <f>計分版!H300</f>
        <v>3.9500000000000006E-9</v>
      </c>
      <c r="J44" s="361">
        <f t="shared" si="5"/>
        <v>-28.999999996050001</v>
      </c>
      <c r="K44" s="362">
        <f t="shared" si="6"/>
        <v>-7341772150.8987331</v>
      </c>
      <c r="L44" s="365">
        <f>入學要求!C288</f>
        <v>19</v>
      </c>
      <c r="M44" s="372">
        <f>入學要求!R288</f>
        <v>0</v>
      </c>
      <c r="O44" s="355">
        <f>入學要求!D288</f>
        <v>3</v>
      </c>
      <c r="P44" s="355">
        <f>入學要求!E288</f>
        <v>3</v>
      </c>
      <c r="Q44" s="355">
        <f>入學要求!F288</f>
        <v>2</v>
      </c>
      <c r="R44" s="355">
        <f>入學要求!G288</f>
        <v>2</v>
      </c>
      <c r="S44" s="355">
        <f>入學要求!H288</f>
        <v>3</v>
      </c>
      <c r="T44" s="355">
        <f>入學要求!I288</f>
        <v>3</v>
      </c>
      <c r="U44" s="576"/>
      <c r="V44" s="365" cm="1">
        <f t="array" ref="V44">IFERROR(INDEX('Offer Statistics'!DA$2:DA$181,MATCH(1,($A44='Offer Statistics'!$CL$2:$CL$181)*($U$2='Offer Statistics'!$CM$2:$CM$181),0)),"/")</f>
        <v>11</v>
      </c>
      <c r="W44" s="375" cm="1">
        <f t="array" ref="W44">IFERROR(INDEX('Offer Statistics'!CV$2:CV$181,MATCH(1,($A44='Offer Statistics'!$CL$2:$CL$181)*($U$2='Offer Statistics'!$CM$2:$CM$181),0)),"/")</f>
        <v>11</v>
      </c>
      <c r="X44" s="375" cm="1">
        <f t="array" ref="X44">IFERROR(INDEX('Offer Statistics'!CW$2:CW$181,MATCH(1,($A44='Offer Statistics'!$CL$2:$CL$181)*($U$2='Offer Statistics'!$CM$2:$CM$181),0)),"/")</f>
        <v>0</v>
      </c>
      <c r="Y44" s="375" cm="1">
        <f t="array" ref="Y44">IFERROR(INDEX('Offer Statistics'!CX$2:CX$181,MATCH(1,($A44='Offer Statistics'!$CL$2:$CL$181)*($U$2='Offer Statistics'!$CM$2:$CM$181),0)),"/")</f>
        <v>0</v>
      </c>
      <c r="Z44" s="375" cm="1">
        <f t="array" ref="Z44">IFERROR(INDEX('Offer Statistics'!CY$2:CY$181,MATCH(1,($A44='Offer Statistics'!$CL$2:$CL$181)*($U$2='Offer Statistics'!$CM$2:$CM$181),0)),"/")</f>
        <v>0</v>
      </c>
      <c r="AA44" s="375" cm="1">
        <f t="array" ref="AA44">IFERROR(INDEX('Offer Statistics'!CZ$2:CZ$181,MATCH(1,($A44='Offer Statistics'!$CL$2:$CL$181)*($U$2='Offer Statistics'!$CM$2:$CM$181),0)),"/")</f>
        <v>0</v>
      </c>
      <c r="AB44" s="580"/>
      <c r="AC44" s="365" cm="1">
        <f t="array" ref="AC44">IFERROR(INDEX('Offer Statistics'!CS$2:CS$181,MATCH(1,($A44='Offer Statistics'!$CL$2:$CL$181)*($U$2='Offer Statistics'!$CM$2:$CM$181),0)),"/")</f>
        <v>865</v>
      </c>
      <c r="AD44" s="375" cm="1">
        <f t="array" ref="AD44">IFERROR(INDEX('Offer Statistics'!CN$2:CN$181,MATCH(1,($A44='Offer Statistics'!$CL$2:$CL$181)*($U$2='Offer Statistics'!$CM$2:$CM$181),0)),"/")</f>
        <v>77</v>
      </c>
      <c r="AE44" s="375" cm="1">
        <f t="array" ref="AE44">IFERROR(INDEX('Offer Statistics'!CO$2:CO$181,MATCH(1,($A44='Offer Statistics'!$CL$2:$CL$181)*($U$2='Offer Statistics'!$CM$2:$CM$181),0)),"/")</f>
        <v>90</v>
      </c>
      <c r="AF44" s="375" cm="1">
        <f t="array" ref="AF44">IFERROR(INDEX('Offer Statistics'!CP$2:CP$181,MATCH(1,($A44='Offer Statistics'!$CL$2:$CL$181)*($U$2='Offer Statistics'!$CM$2:$CM$181),0)),"/")</f>
        <v>174</v>
      </c>
      <c r="AG44" s="375" cm="1">
        <f t="array" ref="AG44">IFERROR(INDEX('Offer Statistics'!CQ$2:CQ$181,MATCH(1,($A44='Offer Statistics'!$CL$2:$CL$181)*($U$2='Offer Statistics'!$CM$2:$CM$181),0)),"/")</f>
        <v>247</v>
      </c>
      <c r="AH44" s="375" cm="1">
        <f t="array" ref="AH44">IFERROR(INDEX('Offer Statistics'!CR$2:CR$181,MATCH(1,($A44='Offer Statistics'!$CL$2:$CL$181)*($U$2='Offer Statistics'!$CM$2:$CM$181),0)),"/")</f>
        <v>277</v>
      </c>
      <c r="AJ44" s="354" t="str">
        <f t="shared" si="4"/>
        <v>JS6822</v>
      </c>
    </row>
    <row r="45" spans="1:36" ht="18" customHeight="1" x14ac:dyDescent="0.3">
      <c r="A45" s="346" t="str">
        <f>'Reference Score Calculation'!A280</f>
        <v>JS6212</v>
      </c>
      <c r="B45" s="346" t="str">
        <f>'Reference Score Calculation'!C280</f>
        <v>文理學士學位</v>
      </c>
      <c r="C45" s="346" t="str">
        <f>'Reference Score Calculation'!D280</f>
        <v>文理學士</v>
      </c>
      <c r="D45" s="346" t="str">
        <f>'Reference Score Calculation'!T280</f>
        <v xml:space="preserve">	BASc</v>
      </c>
      <c r="E45" s="355" t="str">
        <f>'Reference Score Calculation'!E280</f>
        <v>Best 5</v>
      </c>
      <c r="F45" s="347">
        <f>'Reference Score Calculation'!F280</f>
        <v>31</v>
      </c>
      <c r="G45" s="347">
        <f>'Reference Score Calculation'!G280</f>
        <v>29</v>
      </c>
      <c r="H45" s="347">
        <f>'Reference Score Calculation'!H280</f>
        <v>28</v>
      </c>
      <c r="I45" s="368">
        <f>計分版!H301</f>
        <v>3.9500000000000006E-9</v>
      </c>
      <c r="J45" s="361">
        <f t="shared" si="5"/>
        <v>-28.999999996050001</v>
      </c>
      <c r="K45" s="362">
        <f t="shared" si="6"/>
        <v>-7341772150.8987331</v>
      </c>
      <c r="L45" s="365">
        <f>入學要求!C289</f>
        <v>24</v>
      </c>
      <c r="M45" s="372">
        <f>入學要求!R289</f>
        <v>0</v>
      </c>
      <c r="O45" s="355">
        <f>入學要求!D289</f>
        <v>3</v>
      </c>
      <c r="P45" s="355">
        <f>入學要求!E289</f>
        <v>5</v>
      </c>
      <c r="Q45" s="355">
        <f>入學要求!F289</f>
        <v>2</v>
      </c>
      <c r="R45" s="355">
        <f>入學要求!G289</f>
        <v>2</v>
      </c>
      <c r="S45" s="355">
        <f>入學要求!H289</f>
        <v>3</v>
      </c>
      <c r="T45" s="355">
        <f>入學要求!I289</f>
        <v>3</v>
      </c>
      <c r="U45" s="576"/>
      <c r="V45" s="365" cm="1">
        <f t="array" ref="V45">IFERROR(INDEX('Offer Statistics'!DA$2:DA$181,MATCH(1,($A45='Offer Statistics'!$CL$2:$CL$181)*($U$2='Offer Statistics'!$CM$2:$CM$181),0)),"/")</f>
        <v>15</v>
      </c>
      <c r="W45" s="375" cm="1">
        <f t="array" ref="W45">IFERROR(INDEX('Offer Statistics'!CV$2:CV$181,MATCH(1,($A45='Offer Statistics'!$CL$2:$CL$181)*($U$2='Offer Statistics'!$CM$2:$CM$181),0)),"/")</f>
        <v>15</v>
      </c>
      <c r="X45" s="375" cm="1">
        <f t="array" ref="X45">IFERROR(INDEX('Offer Statistics'!CW$2:CW$181,MATCH(1,($A45='Offer Statistics'!$CL$2:$CL$181)*($U$2='Offer Statistics'!$CM$2:$CM$181),0)),"/")</f>
        <v>0</v>
      </c>
      <c r="Y45" s="375" cm="1">
        <f t="array" ref="Y45">IFERROR(INDEX('Offer Statistics'!CX$2:CX$181,MATCH(1,($A45='Offer Statistics'!$CL$2:$CL$181)*($U$2='Offer Statistics'!$CM$2:$CM$181),0)),"/")</f>
        <v>0</v>
      </c>
      <c r="Z45" s="375" cm="1">
        <f t="array" ref="Z45">IFERROR(INDEX('Offer Statistics'!CY$2:CY$181,MATCH(1,($A45='Offer Statistics'!$CL$2:$CL$181)*($U$2='Offer Statistics'!$CM$2:$CM$181),0)),"/")</f>
        <v>0</v>
      </c>
      <c r="AA45" s="375" cm="1">
        <f t="array" ref="AA45">IFERROR(INDEX('Offer Statistics'!CZ$2:CZ$181,MATCH(1,($A45='Offer Statistics'!$CL$2:$CL$181)*($U$2='Offer Statistics'!$CM$2:$CM$181),0)),"/")</f>
        <v>0</v>
      </c>
      <c r="AB45" s="580"/>
      <c r="AC45" s="365" cm="1">
        <f t="array" ref="AC45">IFERROR(INDEX('Offer Statistics'!CS$2:CS$181,MATCH(1,($A45='Offer Statistics'!$CL$2:$CL$181)*($U$2='Offer Statistics'!$CM$2:$CM$181),0)),"/")</f>
        <v>352</v>
      </c>
      <c r="AD45" s="375" cm="1">
        <f t="array" ref="AD45">IFERROR(INDEX('Offer Statistics'!CN$2:CN$181,MATCH(1,($A45='Offer Statistics'!$CL$2:$CL$181)*($U$2='Offer Statistics'!$CM$2:$CM$181),0)),"/")</f>
        <v>41</v>
      </c>
      <c r="AE45" s="375" cm="1">
        <f t="array" ref="AE45">IFERROR(INDEX('Offer Statistics'!CO$2:CO$181,MATCH(1,($A45='Offer Statistics'!$CL$2:$CL$181)*($U$2='Offer Statistics'!$CM$2:$CM$181),0)),"/")</f>
        <v>28</v>
      </c>
      <c r="AF45" s="375" cm="1">
        <f t="array" ref="AF45">IFERROR(INDEX('Offer Statistics'!CP$2:CP$181,MATCH(1,($A45='Offer Statistics'!$CL$2:$CL$181)*($U$2='Offer Statistics'!$CM$2:$CM$181),0)),"/")</f>
        <v>60</v>
      </c>
      <c r="AG45" s="375" cm="1">
        <f t="array" ref="AG45">IFERROR(INDEX('Offer Statistics'!CQ$2:CQ$181,MATCH(1,($A45='Offer Statistics'!$CL$2:$CL$181)*($U$2='Offer Statistics'!$CM$2:$CM$181),0)),"/")</f>
        <v>110</v>
      </c>
      <c r="AH45" s="375" cm="1">
        <f t="array" ref="AH45">IFERROR(INDEX('Offer Statistics'!CR$2:CR$181,MATCH(1,($A45='Offer Statistics'!$CL$2:$CL$181)*($U$2='Offer Statistics'!$CM$2:$CM$181),0)),"/")</f>
        <v>113</v>
      </c>
      <c r="AJ45" s="354" t="str">
        <f t="shared" si="4"/>
        <v>JS6212</v>
      </c>
    </row>
    <row r="46" spans="1:36" ht="18" customHeight="1" x14ac:dyDescent="0.3">
      <c r="A46" s="346" t="str">
        <f>'Reference Score Calculation'!A281</f>
        <v>JS6224</v>
      </c>
      <c r="B46" s="346" t="str">
        <f>'Reference Score Calculation'!C281</f>
        <v>文理學士學位</v>
      </c>
      <c r="C46" s="346" t="str">
        <f>'Reference Score Calculation'!D281</f>
        <v>文理學士(應用人工智能)</v>
      </c>
      <c r="D46" s="346" t="str">
        <f>'Reference Score Calculation'!T281</f>
        <v>BASc(AppliedAI)</v>
      </c>
      <c r="E46" s="376" t="str">
        <f>'Reference Score Calculation'!E281</f>
        <v>Best 6</v>
      </c>
      <c r="F46" s="347">
        <f>'Reference Score Calculation'!F281</f>
        <v>72</v>
      </c>
      <c r="G46" s="347">
        <f>'Reference Score Calculation'!G281</f>
        <v>68</v>
      </c>
      <c r="H46" s="347">
        <f>'Reference Score Calculation'!H281</f>
        <v>63</v>
      </c>
      <c r="I46" s="368">
        <f>計分版!H302</f>
        <v>4.4000000000000005E-9</v>
      </c>
      <c r="J46" s="361">
        <f t="shared" si="5"/>
        <v>-67.999999995600007</v>
      </c>
      <c r="K46" s="362">
        <f t="shared" si="6"/>
        <v>-15454545453.545454</v>
      </c>
      <c r="L46" s="365">
        <f>入學要求!C290</f>
        <v>15</v>
      </c>
      <c r="M46" s="372">
        <f>入學要求!R290</f>
        <v>0</v>
      </c>
      <c r="O46" s="355">
        <f>入學要求!D290</f>
        <v>3</v>
      </c>
      <c r="P46" s="355">
        <f>入學要求!E290</f>
        <v>4</v>
      </c>
      <c r="Q46" s="355">
        <f>入學要求!F290</f>
        <v>4</v>
      </c>
      <c r="R46" s="355">
        <f>入學要求!G290</f>
        <v>2</v>
      </c>
      <c r="S46" s="355">
        <f>入學要求!H290</f>
        <v>3</v>
      </c>
      <c r="T46" s="355">
        <f>入學要求!I290</f>
        <v>4</v>
      </c>
      <c r="U46" s="576"/>
      <c r="V46" s="365" cm="1">
        <f t="array" ref="V46">IFERROR(INDEX('Offer Statistics'!DA$2:DA$181,MATCH(1,($A46='Offer Statistics'!$CL$2:$CL$181)*($U$2='Offer Statistics'!$CM$2:$CM$181),0)),"/")</f>
        <v>12</v>
      </c>
      <c r="W46" s="375" cm="1">
        <f t="array" ref="W46">IFERROR(INDEX('Offer Statistics'!CV$2:CV$181,MATCH(1,($A46='Offer Statistics'!$CL$2:$CL$181)*($U$2='Offer Statistics'!$CM$2:$CM$181),0)),"/")</f>
        <v>12</v>
      </c>
      <c r="X46" s="375" cm="1">
        <f t="array" ref="X46">IFERROR(INDEX('Offer Statistics'!CW$2:CW$181,MATCH(1,($A46='Offer Statistics'!$CL$2:$CL$181)*($U$2='Offer Statistics'!$CM$2:$CM$181),0)),"/")</f>
        <v>0</v>
      </c>
      <c r="Y46" s="375" cm="1">
        <f t="array" ref="Y46">IFERROR(INDEX('Offer Statistics'!CX$2:CX$181,MATCH(1,($A46='Offer Statistics'!$CL$2:$CL$181)*($U$2='Offer Statistics'!$CM$2:$CM$181),0)),"/")</f>
        <v>0</v>
      </c>
      <c r="Z46" s="375" cm="1">
        <f t="array" ref="Z46">IFERROR(INDEX('Offer Statistics'!CY$2:CY$181,MATCH(1,($A46='Offer Statistics'!$CL$2:$CL$181)*($U$2='Offer Statistics'!$CM$2:$CM$181),0)),"/")</f>
        <v>0</v>
      </c>
      <c r="AA46" s="375" cm="1">
        <f t="array" ref="AA46">IFERROR(INDEX('Offer Statistics'!CZ$2:CZ$181,MATCH(1,($A46='Offer Statistics'!$CL$2:$CL$181)*($U$2='Offer Statistics'!$CM$2:$CM$181),0)),"/")</f>
        <v>0</v>
      </c>
      <c r="AB46" s="580"/>
      <c r="AC46" s="365" cm="1">
        <f t="array" ref="AC46">IFERROR(INDEX('Offer Statistics'!CS$2:CS$181,MATCH(1,($A46='Offer Statistics'!$CL$2:$CL$181)*($U$2='Offer Statistics'!$CM$2:$CM$181),0)),"/")</f>
        <v>618</v>
      </c>
      <c r="AD46" s="375" cm="1">
        <f t="array" ref="AD46">IFERROR(INDEX('Offer Statistics'!CN$2:CN$181,MATCH(1,($A46='Offer Statistics'!$CL$2:$CL$181)*($U$2='Offer Statistics'!$CM$2:$CM$181),0)),"/")</f>
        <v>51</v>
      </c>
      <c r="AE46" s="375" cm="1">
        <f t="array" ref="AE46">IFERROR(INDEX('Offer Statistics'!CO$2:CO$181,MATCH(1,($A46='Offer Statistics'!$CL$2:$CL$181)*($U$2='Offer Statistics'!$CM$2:$CM$181),0)),"/")</f>
        <v>58</v>
      </c>
      <c r="AF46" s="375" cm="1">
        <f t="array" ref="AF46">IFERROR(INDEX('Offer Statistics'!CP$2:CP$181,MATCH(1,($A46='Offer Statistics'!$CL$2:$CL$181)*($U$2='Offer Statistics'!$CM$2:$CM$181),0)),"/")</f>
        <v>129</v>
      </c>
      <c r="AG46" s="375" cm="1">
        <f t="array" ref="AG46">IFERROR(INDEX('Offer Statistics'!CQ$2:CQ$181,MATCH(1,($A46='Offer Statistics'!$CL$2:$CL$181)*($U$2='Offer Statistics'!$CM$2:$CM$181),0)),"/")</f>
        <v>187</v>
      </c>
      <c r="AH46" s="375" cm="1">
        <f t="array" ref="AH46">IFERROR(INDEX('Offer Statistics'!CR$2:CR$181,MATCH(1,($A46='Offer Statistics'!$CL$2:$CL$181)*($U$2='Offer Statistics'!$CM$2:$CM$181),0)),"/")</f>
        <v>193</v>
      </c>
      <c r="AJ46" s="354" t="str">
        <f t="shared" si="4"/>
        <v>JS6224</v>
      </c>
    </row>
    <row r="47" spans="1:36" ht="18" customHeight="1" x14ac:dyDescent="0.3">
      <c r="A47" s="346" t="str">
        <f>'Reference Score Calculation'!A282</f>
        <v>JS6236</v>
      </c>
      <c r="B47" s="346" t="str">
        <f>'Reference Score Calculation'!C282</f>
        <v>文理學士學位</v>
      </c>
      <c r="C47" s="346" t="str">
        <f>'Reference Score Calculation'!D282</f>
        <v>文理學士(設計＋)</v>
      </c>
      <c r="D47" s="346" t="str">
        <f>'Reference Score Calculation'!T282</f>
        <v xml:space="preserve">	BASc(Design+)</v>
      </c>
      <c r="E47" s="355" t="str">
        <f>'Reference Score Calculation'!E282</f>
        <v>Best 6</v>
      </c>
      <c r="F47" s="347" t="str">
        <f>'Reference Score Calculation'!F282</f>
        <v>/</v>
      </c>
      <c r="G47" s="347" t="str">
        <f>'Reference Score Calculation'!G282</f>
        <v>/</v>
      </c>
      <c r="H47" s="347" t="str">
        <f>'Reference Score Calculation'!H282</f>
        <v>/</v>
      </c>
      <c r="I47" s="368">
        <f>計分版!H303</f>
        <v>4.4500000000000001E-9</v>
      </c>
      <c r="J47" s="348" t="s">
        <v>1978</v>
      </c>
      <c r="K47" s="349" t="s">
        <v>1978</v>
      </c>
      <c r="L47" s="365">
        <f>入學要求!C291</f>
        <v>13</v>
      </c>
      <c r="M47" s="372">
        <f>入學要求!R291</f>
        <v>0</v>
      </c>
      <c r="O47" s="355">
        <f>入學要求!D291</f>
        <v>3</v>
      </c>
      <c r="P47" s="355">
        <f>入學要求!E291</f>
        <v>4</v>
      </c>
      <c r="Q47" s="355">
        <f>入學要求!F291</f>
        <v>2</v>
      </c>
      <c r="R47" s="355">
        <f>入學要求!G291</f>
        <v>2</v>
      </c>
      <c r="S47" s="355">
        <f>入學要求!H291</f>
        <v>3</v>
      </c>
      <c r="T47" s="355">
        <f>入學要求!I291</f>
        <v>3</v>
      </c>
      <c r="U47" s="576"/>
      <c r="V47" s="365" cm="1">
        <f t="array" ref="V47">IFERROR(INDEX('Offer Statistics'!DA$2:DA$181,MATCH(1,($A47='Offer Statistics'!$CL$2:$CL$181)*($U$2='Offer Statistics'!$CM$2:$CM$181),0)),"/")</f>
        <v>1</v>
      </c>
      <c r="W47" s="375" cm="1">
        <f t="array" ref="W47">IFERROR(INDEX('Offer Statistics'!CV$2:CV$181,MATCH(1,($A47='Offer Statistics'!$CL$2:$CL$181)*($U$2='Offer Statistics'!$CM$2:$CM$181),0)),"/")</f>
        <v>1</v>
      </c>
      <c r="X47" s="375" cm="1">
        <f t="array" ref="X47">IFERROR(INDEX('Offer Statistics'!CW$2:CW$181,MATCH(1,($A47='Offer Statistics'!$CL$2:$CL$181)*($U$2='Offer Statistics'!$CM$2:$CM$181),0)),"/")</f>
        <v>0</v>
      </c>
      <c r="Y47" s="375" cm="1">
        <f t="array" ref="Y47">IFERROR(INDEX('Offer Statistics'!CX$2:CX$181,MATCH(1,($A47='Offer Statistics'!$CL$2:$CL$181)*($U$2='Offer Statistics'!$CM$2:$CM$181),0)),"/")</f>
        <v>0</v>
      </c>
      <c r="Z47" s="375" cm="1">
        <f t="array" ref="Z47">IFERROR(INDEX('Offer Statistics'!CY$2:CY$181,MATCH(1,($A47='Offer Statistics'!$CL$2:$CL$181)*($U$2='Offer Statistics'!$CM$2:$CM$181),0)),"/")</f>
        <v>0</v>
      </c>
      <c r="AA47" s="375" cm="1">
        <f t="array" ref="AA47">IFERROR(INDEX('Offer Statistics'!CZ$2:CZ$181,MATCH(1,($A47='Offer Statistics'!$CL$2:$CL$181)*($U$2='Offer Statistics'!$CM$2:$CM$181),0)),"/")</f>
        <v>0</v>
      </c>
      <c r="AB47" s="580"/>
      <c r="AC47" s="365" cm="1">
        <f t="array" ref="AC47">IFERROR(INDEX('Offer Statistics'!CS$2:CS$181,MATCH(1,($A47='Offer Statistics'!$CL$2:$CL$181)*($U$2='Offer Statistics'!$CM$2:$CM$181),0)),"/")</f>
        <v>638</v>
      </c>
      <c r="AD47" s="375" cm="1">
        <f t="array" ref="AD47">IFERROR(INDEX('Offer Statistics'!CN$2:CN$181,MATCH(1,($A47='Offer Statistics'!$CL$2:$CL$181)*($U$2='Offer Statistics'!$CM$2:$CM$181),0)),"/")</f>
        <v>58</v>
      </c>
      <c r="AE47" s="375" cm="1">
        <f t="array" ref="AE47">IFERROR(INDEX('Offer Statistics'!CO$2:CO$181,MATCH(1,($A47='Offer Statistics'!$CL$2:$CL$181)*($U$2='Offer Statistics'!$CM$2:$CM$181),0)),"/")</f>
        <v>82</v>
      </c>
      <c r="AF47" s="375" cm="1">
        <f t="array" ref="AF47">IFERROR(INDEX('Offer Statistics'!CP$2:CP$181,MATCH(1,($A47='Offer Statistics'!$CL$2:$CL$181)*($U$2='Offer Statistics'!$CM$2:$CM$181),0)),"/")</f>
        <v>135</v>
      </c>
      <c r="AG47" s="375" cm="1">
        <f t="array" ref="AG47">IFERROR(INDEX('Offer Statistics'!CQ$2:CQ$181,MATCH(1,($A47='Offer Statistics'!$CL$2:$CL$181)*($U$2='Offer Statistics'!$CM$2:$CM$181),0)),"/")</f>
        <v>194</v>
      </c>
      <c r="AH47" s="375" cm="1">
        <f t="array" ref="AH47">IFERROR(INDEX('Offer Statistics'!CR$2:CR$181,MATCH(1,($A47='Offer Statistics'!$CL$2:$CL$181)*($U$2='Offer Statistics'!$CM$2:$CM$181),0)),"/")</f>
        <v>169</v>
      </c>
      <c r="AJ47" s="354" t="str">
        <f t="shared" si="4"/>
        <v>JS6236</v>
      </c>
    </row>
    <row r="48" spans="1:36" ht="18" customHeight="1" x14ac:dyDescent="0.3">
      <c r="A48" s="346" t="str">
        <f>'Reference Score Calculation'!A283</f>
        <v>JS6248</v>
      </c>
      <c r="B48" s="346" t="str">
        <f>'Reference Score Calculation'!C283</f>
        <v>文理學士學位</v>
      </c>
      <c r="C48" s="346" t="str">
        <f>'Reference Score Calculation'!D283</f>
        <v>文理學士(金融科技)</v>
      </c>
      <c r="D48" s="346" t="str">
        <f>'Reference Score Calculation'!T283</f>
        <v xml:space="preserve">	BASc(FinTech)</v>
      </c>
      <c r="E48" s="355" t="str">
        <f>'Reference Score Calculation'!E283</f>
        <v>Best 6</v>
      </c>
      <c r="F48" s="347">
        <f>'Reference Score Calculation'!F283</f>
        <v>38</v>
      </c>
      <c r="G48" s="347">
        <f>'Reference Score Calculation'!G283</f>
        <v>36</v>
      </c>
      <c r="H48" s="347">
        <f>'Reference Score Calculation'!H283</f>
        <v>35</v>
      </c>
      <c r="I48" s="368">
        <f>計分版!H304</f>
        <v>3.8500000000000006E-9</v>
      </c>
      <c r="J48" s="361">
        <f t="shared" si="5"/>
        <v>-35.999999996150002</v>
      </c>
      <c r="K48" s="362">
        <f t="shared" si="6"/>
        <v>-9350649349.6493492</v>
      </c>
      <c r="L48" s="365">
        <f>入學要求!C292</f>
        <v>24</v>
      </c>
      <c r="M48" s="372">
        <f>入學要求!R292</f>
        <v>0</v>
      </c>
      <c r="O48" s="355">
        <f>入學要求!D292</f>
        <v>3</v>
      </c>
      <c r="P48" s="355">
        <f>入學要求!E292</f>
        <v>4</v>
      </c>
      <c r="Q48" s="355">
        <f>入學要求!F292</f>
        <v>3</v>
      </c>
      <c r="R48" s="355">
        <f>入學要求!G292</f>
        <v>2</v>
      </c>
      <c r="S48" s="355">
        <f>入學要求!H292</f>
        <v>3</v>
      </c>
      <c r="T48" s="355">
        <f>入學要求!I292</f>
        <v>3</v>
      </c>
      <c r="U48" s="576"/>
      <c r="V48" s="365" cm="1">
        <f t="array" ref="V48">IFERROR(INDEX('Offer Statistics'!DA$2:DA$181,MATCH(1,($A48='Offer Statistics'!$CL$2:$CL$181)*($U$2='Offer Statistics'!$CM$2:$CM$181),0)),"/")</f>
        <v>16</v>
      </c>
      <c r="W48" s="375" cm="1">
        <f t="array" ref="W48">IFERROR(INDEX('Offer Statistics'!CV$2:CV$181,MATCH(1,($A48='Offer Statistics'!$CL$2:$CL$181)*($U$2='Offer Statistics'!$CM$2:$CM$181),0)),"/")</f>
        <v>16</v>
      </c>
      <c r="X48" s="375" cm="1">
        <f t="array" ref="X48">IFERROR(INDEX('Offer Statistics'!CW$2:CW$181,MATCH(1,($A48='Offer Statistics'!$CL$2:$CL$181)*($U$2='Offer Statistics'!$CM$2:$CM$181),0)),"/")</f>
        <v>0</v>
      </c>
      <c r="Y48" s="375" cm="1">
        <f t="array" ref="Y48">IFERROR(INDEX('Offer Statistics'!CX$2:CX$181,MATCH(1,($A48='Offer Statistics'!$CL$2:$CL$181)*($U$2='Offer Statistics'!$CM$2:$CM$181),0)),"/")</f>
        <v>0</v>
      </c>
      <c r="Z48" s="375" cm="1">
        <f t="array" ref="Z48">IFERROR(INDEX('Offer Statistics'!CY$2:CY$181,MATCH(1,($A48='Offer Statistics'!$CL$2:$CL$181)*($U$2='Offer Statistics'!$CM$2:$CM$181),0)),"/")</f>
        <v>0</v>
      </c>
      <c r="AA48" s="375" cm="1">
        <f t="array" ref="AA48">IFERROR(INDEX('Offer Statistics'!CZ$2:CZ$181,MATCH(1,($A48='Offer Statistics'!$CL$2:$CL$181)*($U$2='Offer Statistics'!$CM$2:$CM$181),0)),"/")</f>
        <v>0</v>
      </c>
      <c r="AB48" s="580"/>
      <c r="AC48" s="365" cm="1">
        <f t="array" ref="AC48">IFERROR(INDEX('Offer Statistics'!CS$2:CS$181,MATCH(1,($A48='Offer Statistics'!$CL$2:$CL$181)*($U$2='Offer Statistics'!$CM$2:$CM$181),0)),"/")</f>
        <v>450</v>
      </c>
      <c r="AD48" s="375" cm="1">
        <f t="array" ref="AD48">IFERROR(INDEX('Offer Statistics'!CN$2:CN$181,MATCH(1,($A48='Offer Statistics'!$CL$2:$CL$181)*($U$2='Offer Statistics'!$CM$2:$CM$181),0)),"/")</f>
        <v>54</v>
      </c>
      <c r="AE48" s="375" cm="1">
        <f t="array" ref="AE48">IFERROR(INDEX('Offer Statistics'!CO$2:CO$181,MATCH(1,($A48='Offer Statistics'!$CL$2:$CL$181)*($U$2='Offer Statistics'!$CM$2:$CM$181),0)),"/")</f>
        <v>46</v>
      </c>
      <c r="AF48" s="375" cm="1">
        <f t="array" ref="AF48">IFERROR(INDEX('Offer Statistics'!CP$2:CP$181,MATCH(1,($A48='Offer Statistics'!$CL$2:$CL$181)*($U$2='Offer Statistics'!$CM$2:$CM$181),0)),"/")</f>
        <v>109</v>
      </c>
      <c r="AG48" s="375" cm="1">
        <f t="array" ref="AG48">IFERROR(INDEX('Offer Statistics'!CQ$2:CQ$181,MATCH(1,($A48='Offer Statistics'!$CL$2:$CL$181)*($U$2='Offer Statistics'!$CM$2:$CM$181),0)),"/")</f>
        <v>124</v>
      </c>
      <c r="AH48" s="375" cm="1">
        <f t="array" ref="AH48">IFERROR(INDEX('Offer Statistics'!CR$2:CR$181,MATCH(1,($A48='Offer Statistics'!$CL$2:$CL$181)*($U$2='Offer Statistics'!$CM$2:$CM$181),0)),"/")</f>
        <v>117</v>
      </c>
      <c r="AJ48" s="354" t="str">
        <f t="shared" si="4"/>
        <v>JS6248</v>
      </c>
    </row>
    <row r="49" spans="1:36" s="346" customFormat="1" ht="18" customHeight="1" x14ac:dyDescent="0.3">
      <c r="A49" s="346" t="str">
        <f>'Reference Score Calculation'!A284</f>
        <v>JS6250</v>
      </c>
      <c r="B49" s="346" t="str">
        <f>'Reference Score Calculation'!C284</f>
        <v>文理學士學位</v>
      </c>
      <c r="C49" s="346" t="str">
        <f>'Reference Score Calculation'!D284</f>
        <v>文理學士(環球衞生及發展)</v>
      </c>
      <c r="D49" s="346" t="str">
        <f>'Reference Score Calculation'!T284</f>
        <v xml:space="preserve">	BASc(GHD)</v>
      </c>
      <c r="E49" s="355" t="str">
        <f>'Reference Score Calculation'!E284</f>
        <v>Best 5</v>
      </c>
      <c r="F49" s="347">
        <f>'Reference Score Calculation'!F284</f>
        <v>32</v>
      </c>
      <c r="G49" s="347">
        <f>'Reference Score Calculation'!G284</f>
        <v>29</v>
      </c>
      <c r="H49" s="347">
        <f>'Reference Score Calculation'!H284</f>
        <v>28</v>
      </c>
      <c r="I49" s="368">
        <f>計分版!H305</f>
        <v>3.9500000000000006E-9</v>
      </c>
      <c r="J49" s="361">
        <f t="shared" si="5"/>
        <v>-28.999999996050001</v>
      </c>
      <c r="K49" s="362">
        <f t="shared" si="6"/>
        <v>-7341772150.8987331</v>
      </c>
      <c r="L49" s="365">
        <f>入學要求!C293</f>
        <v>18</v>
      </c>
      <c r="M49" s="372">
        <f>入學要求!R293</f>
        <v>0</v>
      </c>
      <c r="N49" s="354"/>
      <c r="O49" s="355">
        <f>入學要求!D293</f>
        <v>3</v>
      </c>
      <c r="P49" s="355">
        <f>入學要求!E293</f>
        <v>4</v>
      </c>
      <c r="Q49" s="355">
        <f>入學要求!F293</f>
        <v>2</v>
      </c>
      <c r="R49" s="355">
        <f>入學要求!G293</f>
        <v>2</v>
      </c>
      <c r="S49" s="355">
        <f>入學要求!H293</f>
        <v>3</v>
      </c>
      <c r="T49" s="355">
        <f>入學要求!I293</f>
        <v>3</v>
      </c>
      <c r="U49" s="576"/>
      <c r="V49" s="365" cm="1">
        <f t="array" ref="V49">IFERROR(INDEX('Offer Statistics'!DA$2:DA$181,MATCH(1,($A49='Offer Statistics'!$CL$2:$CL$181)*($U$2='Offer Statistics'!$CM$2:$CM$181),0)),"/")</f>
        <v>14</v>
      </c>
      <c r="W49" s="375" cm="1">
        <f t="array" ref="W49">IFERROR(INDEX('Offer Statistics'!CV$2:CV$181,MATCH(1,($A49='Offer Statistics'!$CL$2:$CL$181)*($U$2='Offer Statistics'!$CM$2:$CM$181),0)),"/")</f>
        <v>14</v>
      </c>
      <c r="X49" s="375" cm="1">
        <f t="array" ref="X49">IFERROR(INDEX('Offer Statistics'!CW$2:CW$181,MATCH(1,($A49='Offer Statistics'!$CL$2:$CL$181)*($U$2='Offer Statistics'!$CM$2:$CM$181),0)),"/")</f>
        <v>0</v>
      </c>
      <c r="Y49" s="375" cm="1">
        <f t="array" ref="Y49">IFERROR(INDEX('Offer Statistics'!CX$2:CX$181,MATCH(1,($A49='Offer Statistics'!$CL$2:$CL$181)*($U$2='Offer Statistics'!$CM$2:$CM$181),0)),"/")</f>
        <v>0</v>
      </c>
      <c r="Z49" s="375" cm="1">
        <f t="array" ref="Z49">IFERROR(INDEX('Offer Statistics'!CY$2:CY$181,MATCH(1,($A49='Offer Statistics'!$CL$2:$CL$181)*($U$2='Offer Statistics'!$CM$2:$CM$181),0)),"/")</f>
        <v>0</v>
      </c>
      <c r="AA49" s="375" cm="1">
        <f t="array" ref="AA49">IFERROR(INDEX('Offer Statistics'!CZ$2:CZ$181,MATCH(1,($A49='Offer Statistics'!$CL$2:$CL$181)*($U$2='Offer Statistics'!$CM$2:$CM$181),0)),"/")</f>
        <v>0</v>
      </c>
      <c r="AB49" s="365"/>
      <c r="AC49" s="365" cm="1">
        <f t="array" ref="AC49">IFERROR(INDEX('Offer Statistics'!CS$2:CS$181,MATCH(1,($A49='Offer Statistics'!$CL$2:$CL$181)*($U$2='Offer Statistics'!$CM$2:$CM$181),0)),"/")</f>
        <v>343</v>
      </c>
      <c r="AD49" s="375" cm="1">
        <f t="array" ref="AD49">IFERROR(INDEX('Offer Statistics'!CN$2:CN$181,MATCH(1,($A49='Offer Statistics'!$CL$2:$CL$181)*($U$2='Offer Statistics'!$CM$2:$CM$181),0)),"/")</f>
        <v>31</v>
      </c>
      <c r="AE49" s="375" cm="1">
        <f t="array" ref="AE49">IFERROR(INDEX('Offer Statistics'!CO$2:CO$181,MATCH(1,($A49='Offer Statistics'!$CL$2:$CL$181)*($U$2='Offer Statistics'!$CM$2:$CM$181),0)),"/")</f>
        <v>30</v>
      </c>
      <c r="AF49" s="375" cm="1">
        <f t="array" ref="AF49">IFERROR(INDEX('Offer Statistics'!CP$2:CP$181,MATCH(1,($A49='Offer Statistics'!$CL$2:$CL$181)*($U$2='Offer Statistics'!$CM$2:$CM$181),0)),"/")</f>
        <v>71</v>
      </c>
      <c r="AG49" s="375" cm="1">
        <f t="array" ref="AG49">IFERROR(INDEX('Offer Statistics'!CQ$2:CQ$181,MATCH(1,($A49='Offer Statistics'!$CL$2:$CL$181)*($U$2='Offer Statistics'!$CM$2:$CM$181),0)),"/")</f>
        <v>112</v>
      </c>
      <c r="AH49" s="375" cm="1">
        <f t="array" ref="AH49">IFERROR(INDEX('Offer Statistics'!CR$2:CR$181,MATCH(1,($A49='Offer Statistics'!$CL$2:$CL$181)*($U$2='Offer Statistics'!$CM$2:$CM$181),0)),"/")</f>
        <v>99</v>
      </c>
      <c r="AJ49" s="354" t="str">
        <f t="shared" si="4"/>
        <v>JS6250</v>
      </c>
    </row>
    <row r="50" spans="1:36" ht="18" customHeight="1" x14ac:dyDescent="0.3">
      <c r="W50" s="15"/>
    </row>
    <row r="51" spans="1:36" ht="18" customHeight="1" x14ac:dyDescent="0.3">
      <c r="A51" s="4" t="s">
        <v>2587</v>
      </c>
      <c r="W51" s="15"/>
    </row>
    <row r="52" spans="1:36" ht="18" customHeight="1" x14ac:dyDescent="0.3">
      <c r="A52" s="4" t="s">
        <v>2588</v>
      </c>
      <c r="W52" s="15"/>
    </row>
    <row r="53" spans="1:36" ht="18" customHeight="1" x14ac:dyDescent="0.3">
      <c r="A53" s="4" t="s">
        <v>2589</v>
      </c>
      <c r="W53" s="15"/>
    </row>
    <row r="54" spans="1:36" ht="18" customHeight="1" x14ac:dyDescent="0.3">
      <c r="A54" s="4" t="s">
        <v>2590</v>
      </c>
      <c r="W54" s="528" t="s">
        <v>3539</v>
      </c>
    </row>
    <row r="55" spans="1:36" ht="18" customHeight="1" x14ac:dyDescent="0.3">
      <c r="A55" s="4" t="s">
        <v>2591</v>
      </c>
      <c r="W55" s="15"/>
    </row>
    <row r="56" spans="1:36" ht="18" customHeight="1" x14ac:dyDescent="0.3">
      <c r="A56" s="4" t="s">
        <v>2592</v>
      </c>
      <c r="C56" s="4" t="s">
        <v>2593</v>
      </c>
      <c r="W56" s="15"/>
    </row>
    <row r="57" spans="1:36" ht="18" customHeight="1" x14ac:dyDescent="0.3">
      <c r="C57" s="4" t="s">
        <v>2594</v>
      </c>
      <c r="W57" s="15"/>
    </row>
    <row r="58" spans="1:36" ht="18" customHeight="1" x14ac:dyDescent="0.3">
      <c r="W58" s="15"/>
    </row>
    <row r="59" spans="1:36" ht="18" customHeight="1" x14ac:dyDescent="0.3">
      <c r="A59" s="4" t="s">
        <v>2595</v>
      </c>
      <c r="W59" s="15"/>
    </row>
    <row r="60" spans="1:36" ht="18" customHeight="1" x14ac:dyDescent="0.3">
      <c r="W60" s="15"/>
    </row>
    <row r="61" spans="1:36" ht="18" customHeight="1" x14ac:dyDescent="0.3">
      <c r="A61" s="3" t="s">
        <v>1986</v>
      </c>
      <c r="W61" s="15"/>
    </row>
    <row r="62" spans="1:36" ht="18" customHeight="1" x14ac:dyDescent="0.3">
      <c r="A62" s="4" t="s">
        <v>2596</v>
      </c>
      <c r="W62" s="15"/>
    </row>
    <row r="63" spans="1:36" ht="18" customHeight="1" x14ac:dyDescent="0.3">
      <c r="W63" s="15"/>
    </row>
    <row r="64" spans="1:36" ht="18" customHeight="1" x14ac:dyDescent="0.3">
      <c r="W64" s="15"/>
    </row>
    <row r="65" spans="1:23" ht="18" customHeight="1" x14ac:dyDescent="0.3">
      <c r="A65" s="3" t="s">
        <v>1988</v>
      </c>
      <c r="W65" s="15"/>
    </row>
    <row r="66" spans="1:23" ht="18" customHeight="1" x14ac:dyDescent="0.3">
      <c r="A66" s="47" t="s">
        <v>2597</v>
      </c>
      <c r="W66" s="15"/>
    </row>
    <row r="67" spans="1:23" ht="18" customHeight="1" x14ac:dyDescent="0.3">
      <c r="A67" s="47" t="s">
        <v>2598</v>
      </c>
      <c r="W67" s="15"/>
    </row>
    <row r="68" spans="1:23" ht="18" customHeight="1" x14ac:dyDescent="0.3">
      <c r="A68" s="47" t="s">
        <v>2599</v>
      </c>
      <c r="W68" s="15"/>
    </row>
    <row r="69" spans="1:23" ht="18" customHeight="1" x14ac:dyDescent="0.3">
      <c r="A69" s="47" t="s">
        <v>2600</v>
      </c>
      <c r="W69" s="15"/>
    </row>
    <row r="70" spans="1:23" ht="18" customHeight="1" x14ac:dyDescent="0.3">
      <c r="A70" s="47" t="s">
        <v>2601</v>
      </c>
      <c r="W70" s="15"/>
    </row>
    <row r="71" spans="1:23" ht="18" customHeight="1" x14ac:dyDescent="0.3">
      <c r="A71" s="47"/>
      <c r="W71" s="15"/>
    </row>
    <row r="72" spans="1:23" x14ac:dyDescent="0.3"/>
    <row r="73" spans="1:23" x14ac:dyDescent="0.3"/>
    <row r="74" spans="1:23" x14ac:dyDescent="0.3"/>
    <row r="75" spans="1:23" x14ac:dyDescent="0.3"/>
    <row r="76" spans="1:23" x14ac:dyDescent="0.3"/>
    <row r="77" spans="1:23" x14ac:dyDescent="0.3"/>
    <row r="78" spans="1:23" x14ac:dyDescent="0.3"/>
    <row r="79" spans="1:23" x14ac:dyDescent="0.3"/>
    <row r="80" spans="1:23" x14ac:dyDescent="0.3"/>
    <row r="81" x14ac:dyDescent="0.3"/>
    <row r="82" x14ac:dyDescent="0.3"/>
    <row r="83" x14ac:dyDescent="0.3"/>
  </sheetData>
  <sortState xmlns:xlrd2="http://schemas.microsoft.com/office/spreadsheetml/2017/richdata2" ref="A1:U47">
    <sortCondition ref="B1"/>
  </sortState>
  <mergeCells count="3">
    <mergeCell ref="J1:K1"/>
    <mergeCell ref="AB2:AB48"/>
    <mergeCell ref="U2:U49"/>
  </mergeCells>
  <phoneticPr fontId="2" type="noConversion"/>
  <conditionalFormatting sqref="J2:K49">
    <cfRule type="cellIs" dxfId="209" priority="236" operator="equal">
      <formula>"/"</formula>
    </cfRule>
    <cfRule type="cellIs" dxfId="208" priority="240" operator="lessThan">
      <formula>0</formula>
    </cfRule>
    <cfRule type="cellIs" dxfId="207" priority="241" operator="greaterThan">
      <formula>0</formula>
    </cfRule>
  </conditionalFormatting>
  <conditionalFormatting sqref="F2:F49">
    <cfRule type="expression" dxfId="206" priority="235">
      <formula>$J$1="差距(UQ)"</formula>
    </cfRule>
  </conditionalFormatting>
  <conditionalFormatting sqref="G2:G49">
    <cfRule type="expression" dxfId="205" priority="234">
      <formula>$J$1="差距(Median)"</formula>
    </cfRule>
  </conditionalFormatting>
  <conditionalFormatting sqref="H2:H49">
    <cfRule type="expression" dxfId="204" priority="173">
      <formula>$J$1="差距(LQ)"</formula>
    </cfRule>
  </conditionalFormatting>
  <conditionalFormatting sqref="M2:M49">
    <cfRule type="cellIs" dxfId="203" priority="170" operator="equal">
      <formula>2</formula>
    </cfRule>
    <cfRule type="cellIs" dxfId="202" priority="171" operator="equal">
      <formula>1</formula>
    </cfRule>
    <cfRule type="cellIs" dxfId="201" priority="172" operator="equal">
      <formula>0</formula>
    </cfRule>
  </conditionalFormatting>
  <conditionalFormatting sqref="M22">
    <cfRule type="cellIs" dxfId="200" priority="83" operator="equal">
      <formula>2</formula>
    </cfRule>
    <cfRule type="cellIs" dxfId="199" priority="84" operator="equal">
      <formula>1</formula>
    </cfRule>
    <cfRule type="cellIs" dxfId="198" priority="85" operator="equal">
      <formula>0</formula>
    </cfRule>
  </conditionalFormatting>
  <conditionalFormatting sqref="M4">
    <cfRule type="cellIs" dxfId="197" priority="72" operator="equal">
      <formula>2</formula>
    </cfRule>
    <cfRule type="cellIs" dxfId="196" priority="81" operator="equal">
      <formula>1</formula>
    </cfRule>
    <cfRule type="cellIs" dxfId="195" priority="82" operator="equal">
      <formula>0</formula>
    </cfRule>
  </conditionalFormatting>
  <conditionalFormatting sqref="F25">
    <cfRule type="expression" dxfId="194" priority="71">
      <formula>$J$1="差距(UQ)"</formula>
    </cfRule>
  </conditionalFormatting>
  <conditionalFormatting sqref="G25">
    <cfRule type="expression" dxfId="193" priority="70">
      <formula>$J$1="差距(Median)"</formula>
    </cfRule>
  </conditionalFormatting>
  <conditionalFormatting sqref="H25">
    <cfRule type="expression" dxfId="192" priority="69">
      <formula>$J$1="差距(LQ)"</formula>
    </cfRule>
  </conditionalFormatting>
  <conditionalFormatting sqref="J25:K25">
    <cfRule type="cellIs" dxfId="191" priority="66" operator="equal">
      <formula>"/"</formula>
    </cfRule>
    <cfRule type="cellIs" dxfId="190" priority="67" operator="lessThan">
      <formula>0</formula>
    </cfRule>
    <cfRule type="cellIs" dxfId="189" priority="68" operator="greaterThan">
      <formula>0</formula>
    </cfRule>
  </conditionalFormatting>
  <conditionalFormatting sqref="M25">
    <cfRule type="cellIs" dxfId="188" priority="63" operator="equal">
      <formula>2</formula>
    </cfRule>
    <cfRule type="cellIs" dxfId="187" priority="64" operator="equal">
      <formula>1</formula>
    </cfRule>
    <cfRule type="cellIs" dxfId="186" priority="65" operator="equal">
      <formula>0</formula>
    </cfRule>
  </conditionalFormatting>
  <conditionalFormatting sqref="A3:T49 A2:AJ2 V3:AJ49">
    <cfRule type="expression" dxfId="185" priority="5282">
      <formula>MOD(ROW(),2)=0</formula>
    </cfRule>
  </conditionalFormatting>
  <conditionalFormatting sqref="U2">
    <cfRule type="expression" dxfId="184" priority="15">
      <formula>MOD(ROW(),2)=0</formula>
    </cfRule>
  </conditionalFormatting>
  <conditionalFormatting sqref="U2 AB2 AI2:AI49">
    <cfRule type="expression" dxfId="183" priority="14">
      <formula>TRUE</formula>
    </cfRule>
  </conditionalFormatting>
  <hyperlinks>
    <hyperlink ref="A70" r:id="rId1" xr:uid="{00000000-0004-0000-0C00-000000000000}"/>
    <hyperlink ref="A69" r:id="rId2" xr:uid="{00000000-0004-0000-0C00-000001000000}"/>
    <hyperlink ref="A68" r:id="rId3" xr:uid="{00000000-0004-0000-0C00-000002000000}"/>
    <hyperlink ref="A66" r:id="rId4" xr:uid="{00000000-0004-0000-0C00-000003000000}"/>
    <hyperlink ref="A67" r:id="rId5" xr:uid="{00000000-0004-0000-0C00-000004000000}"/>
  </hyperlinks>
  <pageMargins left="0.7" right="0.7" top="0.75" bottom="0.75" header="0.3" footer="0.3"/>
  <pageSetup paperSize="9" orientation="portrait" r:id="rId6"/>
  <drawing r:id="rId7"/>
  <extLst>
    <ext xmlns:x14="http://schemas.microsoft.com/office/spreadsheetml/2009/9/main" uri="{78C0D931-6437-407d-A8EE-F0AAD7539E65}">
      <x14:conditionalFormattings>
        <x14:conditionalFormatting xmlns:xm="http://schemas.microsoft.com/office/excel/2006/main">
          <x14:cfRule type="expression" priority="1" id="{DD1A06C6-0328-4F62-AAA6-67C119282B12}">
            <xm:f>入學要求!K246=0</xm:f>
            <x14:dxf>
              <font>
                <color rgb="FF9C0006"/>
              </font>
              <fill>
                <patternFill>
                  <bgColor rgb="FFFFC7CE"/>
                </patternFill>
              </fill>
            </x14:dxf>
          </x14:cfRule>
          <x14:cfRule type="expression" priority="2" id="{8355E38D-F1A5-497B-A248-D59FE968888D}">
            <xm:f>入學要求!K246=2</xm:f>
            <x14:dxf>
              <font>
                <color rgb="FF9C5700"/>
              </font>
              <fill>
                <patternFill>
                  <bgColor rgb="FFFFEB9C"/>
                </patternFill>
              </fill>
            </x14:dxf>
          </x14:cfRule>
          <x14:cfRule type="expression" priority="3" id="{6204D0CB-C290-4F34-94AC-CD1CD83CC8EB}">
            <xm:f>入學要求!K246=1</xm:f>
            <x14:dxf>
              <font>
                <color rgb="FF006100"/>
              </font>
              <fill>
                <patternFill>
                  <bgColor rgb="FFC6EFCE"/>
                </patternFill>
              </fill>
            </x14:dxf>
          </x14:cfRule>
          <xm:sqref>O2:T49</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C00-000000000000}">
          <x14:formula1>
            <xm:f>選單!$J$1:$J$3</xm:f>
          </x14:formula1>
          <xm:sqref>J1</xm:sqref>
        </x14:dataValidation>
        <x14:dataValidation type="list" allowBlank="1" showInputMessage="1" showErrorMessage="1" xr:uid="{0AFAD64D-F09A-461F-BFA6-3215D6B2A008}">
          <x14:formula1>
            <xm:f>選單!$I$1:$I$4</xm:f>
          </x14:formula1>
          <xm:sqref>U2:U49</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工作表11">
    <tabColor rgb="FFCC0000"/>
  </sheetPr>
  <dimension ref="A1:XFC82"/>
  <sheetViews>
    <sheetView zoomScaleNormal="100" workbookViewId="0">
      <pane ySplit="1" topLeftCell="A2" activePane="bottomLeft" state="frozen"/>
      <selection pane="bottomLeft" activeCell="I1" sqref="I1:J1"/>
    </sheetView>
  </sheetViews>
  <sheetFormatPr defaultColWidth="0" defaultRowHeight="13.8" zeroHeight="1" x14ac:dyDescent="0.3"/>
  <cols>
    <col min="1" max="1" width="7.109375" style="2" customWidth="1"/>
    <col min="2" max="2" width="9.109375" style="2" customWidth="1"/>
    <col min="3" max="3" width="25.77734375" style="2" customWidth="1"/>
    <col min="4" max="4" width="10.6640625" style="2" hidden="1" customWidth="1"/>
    <col min="5" max="7" width="7.77734375" style="16" customWidth="1"/>
    <col min="8" max="8" width="7.77734375" style="2" customWidth="1"/>
    <col min="9" max="10" width="7.6640625" style="2" customWidth="1"/>
    <col min="11" max="11" width="4.88671875" style="2" customWidth="1"/>
    <col min="12" max="12" width="4.6640625" style="16" customWidth="1"/>
    <col min="13" max="13" width="9.77734375" style="2" customWidth="1"/>
    <col min="14" max="18" width="2.21875" style="2" customWidth="1"/>
    <col min="19" max="19" width="9" style="16" customWidth="1"/>
    <col min="20" max="25" width="6.33203125" style="16" customWidth="1"/>
    <col min="26" max="26" width="9" style="16" customWidth="1"/>
    <col min="27" max="32" width="6.33203125" style="16" customWidth="1"/>
    <col min="33" max="33" width="3.77734375" style="16" customWidth="1"/>
    <col min="34" max="34" width="8.109375" style="16" customWidth="1"/>
    <col min="35" max="45" width="0" style="2" hidden="1" customWidth="1"/>
    <col min="46" max="16383" width="4.88671875" style="2" hidden="1"/>
    <col min="16384" max="16384" width="11.88671875" style="2" hidden="1" customWidth="1"/>
  </cols>
  <sheetData>
    <row r="1" spans="1:34" s="41" customFormat="1" ht="18" customHeight="1" x14ac:dyDescent="0.3">
      <c r="A1" s="39" t="s">
        <v>1942</v>
      </c>
      <c r="B1" s="39" t="s">
        <v>1943</v>
      </c>
      <c r="C1" s="39" t="s">
        <v>1944</v>
      </c>
      <c r="D1" s="39"/>
      <c r="E1" s="40" t="s">
        <v>1945</v>
      </c>
      <c r="F1" s="40" t="s">
        <v>1946</v>
      </c>
      <c r="G1" s="40" t="s">
        <v>1947</v>
      </c>
      <c r="H1" s="40" t="s">
        <v>1948</v>
      </c>
      <c r="I1" s="596" t="s">
        <v>1949</v>
      </c>
      <c r="J1" s="596"/>
      <c r="K1" s="40" t="s">
        <v>1950</v>
      </c>
      <c r="L1" s="40" t="s">
        <v>1951</v>
      </c>
      <c r="M1" s="40" t="s">
        <v>2027</v>
      </c>
      <c r="N1" s="40" t="s">
        <v>1953</v>
      </c>
      <c r="O1" s="40" t="s">
        <v>1954</v>
      </c>
      <c r="P1" s="40" t="s">
        <v>1955</v>
      </c>
      <c r="Q1" s="40" t="s">
        <v>1956</v>
      </c>
      <c r="R1" s="40" t="s">
        <v>1957</v>
      </c>
      <c r="S1" s="40" t="s">
        <v>1959</v>
      </c>
      <c r="T1" s="40" t="s">
        <v>2363</v>
      </c>
      <c r="U1" s="40" t="s">
        <v>1961</v>
      </c>
      <c r="V1" s="40" t="s">
        <v>1962</v>
      </c>
      <c r="W1" s="40" t="s">
        <v>1963</v>
      </c>
      <c r="X1" s="40" t="s">
        <v>1964</v>
      </c>
      <c r="Y1" s="40" t="s">
        <v>1965</v>
      </c>
      <c r="Z1" s="40" t="s">
        <v>2364</v>
      </c>
      <c r="AA1" s="40" t="s">
        <v>2363</v>
      </c>
      <c r="AB1" s="40" t="s">
        <v>1961</v>
      </c>
      <c r="AC1" s="40" t="s">
        <v>1962</v>
      </c>
      <c r="AD1" s="40" t="s">
        <v>1963</v>
      </c>
      <c r="AE1" s="40" t="s">
        <v>1964</v>
      </c>
      <c r="AF1" s="40" t="s">
        <v>1965</v>
      </c>
      <c r="AG1" s="92"/>
      <c r="AH1" s="92"/>
    </row>
    <row r="2" spans="1:34" s="4" customFormat="1" ht="18" customHeight="1" x14ac:dyDescent="0.3">
      <c r="A2" s="4" t="str">
        <f>'Reference Score Calculation'!A287</f>
        <v>JS7101</v>
      </c>
      <c r="B2" s="4" t="str">
        <f>'Reference Score Calculation'!C287</f>
        <v>文學院</v>
      </c>
      <c r="C2" s="4" t="str">
        <f>計分版!B308</f>
        <v>中文(榮譽)文學士</v>
      </c>
      <c r="D2" s="4" t="s">
        <v>1373</v>
      </c>
      <c r="E2" s="365" t="str">
        <f>'Reference Score Calculation'!E287</f>
        <v>Best 5</v>
      </c>
      <c r="F2" s="6">
        <f>'Reference Score Calculation'!G287</f>
        <v>25.000000000244999</v>
      </c>
      <c r="G2" s="6">
        <f>'Reference Score Calculation'!H287</f>
        <v>24.500000000204999</v>
      </c>
      <c r="H2" s="46">
        <f>計分版!H308</f>
        <v>3.9500000000000006E-9</v>
      </c>
      <c r="I2" s="456">
        <f t="shared" ref="I2" si="0">IF(I$1="差距(Median)",H2-F2,IF(I$1="差距(LQ)",H2-G2))</f>
        <v>-24.999999996294999</v>
      </c>
      <c r="J2" s="457">
        <f t="shared" ref="J2" si="1">IF(I$1="差距(Median)",(H2-F2)/H2,IF(I$1="差距(LQ)",(H2-G2)/H2))</f>
        <v>-6329113923.1126566</v>
      </c>
      <c r="K2" s="37">
        <f>入學要求!C296</f>
        <v>45</v>
      </c>
      <c r="L2" s="102">
        <f>入學要求!R296</f>
        <v>0</v>
      </c>
      <c r="M2" s="586" t="s">
        <v>2369</v>
      </c>
      <c r="N2" s="453">
        <f>入學要求!D296</f>
        <v>3</v>
      </c>
      <c r="O2" s="453">
        <f>入學要求!E296</f>
        <v>3</v>
      </c>
      <c r="P2" s="453">
        <f>入學要求!F296</f>
        <v>2</v>
      </c>
      <c r="Q2" s="453">
        <f>入學要求!G296</f>
        <v>2</v>
      </c>
      <c r="R2" s="453">
        <f>入學要求!H296</f>
        <v>2</v>
      </c>
      <c r="S2" s="576" t="s">
        <v>2840</v>
      </c>
      <c r="T2" s="365" cm="1">
        <f t="array" ref="T2">IFERROR(INDEX('Offer Statistics'!DS$2:DS$58,MATCH(1,($A2='Offer Statistics'!$DD$2:$DD$58)*($S$2='Offer Statistics'!$DE$2:$DE$58),0)),"/")</f>
        <v>58</v>
      </c>
      <c r="U2" s="375" cm="1">
        <f t="array" ref="U2">IFERROR(INDEX('Offer Statistics'!DN$2:DN$58,MATCH(1,($A2='Offer Statistics'!$DD$2:$DD$58)*($S$2='Offer Statistics'!$DE$2:$DE$58),0)),"/")</f>
        <v>56</v>
      </c>
      <c r="V2" s="375" cm="1">
        <f t="array" ref="V2">IFERROR(INDEX('Offer Statistics'!DO$2:DO$58,MATCH(1,($A2='Offer Statistics'!$DD$2:$DD$58)*($S$2='Offer Statistics'!$DE$2:$DE$58),0)),"/")</f>
        <v>2</v>
      </c>
      <c r="W2" s="375" cm="1">
        <f t="array" ref="W2">IFERROR(INDEX('Offer Statistics'!DP$2:DP$58,MATCH(1,($A2='Offer Statistics'!$DD$2:$DD$58)*($S$2='Offer Statistics'!$DE$2:$DE$58),0)),"/")</f>
        <v>0</v>
      </c>
      <c r="X2" s="375" cm="1">
        <f t="array" ref="X2">IFERROR(INDEX('Offer Statistics'!DQ$2:DQ$58,MATCH(1,($A2='Offer Statistics'!$DD$2:$DD$58)*($S$2='Offer Statistics'!$DE$2:$DE$58),0)),"/")</f>
        <v>0</v>
      </c>
      <c r="Y2" s="375" cm="1">
        <f t="array" ref="Y2">IFERROR(INDEX('Offer Statistics'!DR$2:DR$58,MATCH(1,($A2='Offer Statistics'!$DD$2:$DD$58)*($S$2='Offer Statistics'!$DE$2:$DE$58),0)),"/")</f>
        <v>0</v>
      </c>
      <c r="Z2" s="580" t="str">
        <f>S2</f>
        <v>2021年</v>
      </c>
      <c r="AA2" s="37" cm="1">
        <f t="array" ref="AA2">IFERROR(INDEX('Offer Statistics'!DK$2:DK$58,MATCH(1,($A2='Offer Statistics'!$DD$2:$DD$58)*($S$2='Offer Statistics'!$DE$2:$DE$58),0)),"/")</f>
        <v>2074</v>
      </c>
      <c r="AB2" s="375" cm="1">
        <f t="array" ref="AB2">IFERROR(INDEX('Offer Statistics'!DF$2:DF$58,MATCH(1,($A2='Offer Statistics'!$DD$2:$DD$58)*($S$2='Offer Statistics'!$DE$2:$DE$58),0)),"/")</f>
        <v>381</v>
      </c>
      <c r="AC2" s="375" cm="1">
        <f t="array" ref="AC2">IFERROR(INDEX('Offer Statistics'!DG$2:DG$58,MATCH(1,($A2='Offer Statistics'!$DD$2:$DD$58)*($S$2='Offer Statistics'!$DE$2:$DE$58),0)),"/")</f>
        <v>400</v>
      </c>
      <c r="AD2" s="375" cm="1">
        <f t="array" ref="AD2">IFERROR(INDEX('Offer Statistics'!DH$2:DH$58,MATCH(1,($A2='Offer Statistics'!$DD$2:$DD$58)*($S$2='Offer Statistics'!$DE$2:$DE$58),0)),"/")</f>
        <v>478</v>
      </c>
      <c r="AE2" s="375" cm="1">
        <f t="array" ref="AE2">IFERROR(INDEX('Offer Statistics'!DI$2:DI$58,MATCH(1,($A2='Offer Statistics'!$DD$2:$DD$58)*($S$2='Offer Statistics'!$DE$2:$DE$58),0)),"/")</f>
        <v>455</v>
      </c>
      <c r="AF2" s="375" cm="1">
        <f t="array" ref="AF2">IFERROR(INDEX('Offer Statistics'!DJ$2:DJ$58,MATCH(1,($A2='Offer Statistics'!$DD$2:$DD$58)*($S$2='Offer Statistics'!$DE$2:$DE$58),0)),"/")</f>
        <v>360</v>
      </c>
      <c r="AG2" s="15"/>
      <c r="AH2" s="15" t="str">
        <f>A2</f>
        <v>JS7101</v>
      </c>
    </row>
    <row r="3" spans="1:34" s="4" customFormat="1" ht="18" customHeight="1" x14ac:dyDescent="0.3">
      <c r="A3" s="346" t="str">
        <f>'Reference Score Calculation'!A288</f>
        <v>JS7123</v>
      </c>
      <c r="B3" s="346" t="str">
        <f>'Reference Score Calculation'!C288</f>
        <v>跨學院</v>
      </c>
      <c r="C3" s="346" t="str">
        <f>計分版!B309</f>
        <v>環球可持續發展(榮譽)博雅學士</v>
      </c>
      <c r="D3" s="4" t="s">
        <v>1377</v>
      </c>
      <c r="E3" s="365" t="str">
        <f>'Reference Score Calculation'!E288</f>
        <v>Best 5</v>
      </c>
      <c r="F3" s="347">
        <f>'Reference Score Calculation'!G288</f>
        <v>25.000000000209997</v>
      </c>
      <c r="G3" s="347">
        <f>'Reference Score Calculation'!H288</f>
        <v>24.000000000209997</v>
      </c>
      <c r="H3" s="368">
        <f>計分版!H309</f>
        <v>3.3500000000000002E-9</v>
      </c>
      <c r="I3" s="458">
        <f t="shared" ref="I3:I19" si="2">IF(I$1="差距(Median)",H3-F3,IF(I$1="差距(LQ)",H3-G3))</f>
        <v>-24.999999996859998</v>
      </c>
      <c r="J3" s="459">
        <f t="shared" ref="J3:J19" si="3">IF(I$1="差距(Median)",(H3-F3)/H3,IF(I$1="差距(LQ)",(H3-G3)/H3))</f>
        <v>-7462686566.2268648</v>
      </c>
      <c r="K3" s="365">
        <f>入學要求!C297</f>
        <v>20</v>
      </c>
      <c r="L3" s="379">
        <f>入學要求!R297</f>
        <v>0</v>
      </c>
      <c r="M3" s="586"/>
      <c r="N3" s="454">
        <f>入學要求!D297</f>
        <v>3</v>
      </c>
      <c r="O3" s="454">
        <f>入學要求!E297</f>
        <v>3</v>
      </c>
      <c r="P3" s="454">
        <f>入學要求!F297</f>
        <v>2</v>
      </c>
      <c r="Q3" s="454">
        <f>入學要求!G297</f>
        <v>2</v>
      </c>
      <c r="R3" s="454">
        <f>入學要求!H297</f>
        <v>2</v>
      </c>
      <c r="S3" s="576"/>
      <c r="T3" s="365" cm="1">
        <f t="array" ref="T3">IFERROR(INDEX('Offer Statistics'!DS$2:DS$58,MATCH(1,($A3='Offer Statistics'!$DD$2:$DD$58)*($S$2='Offer Statistics'!$DE$2:$DE$58),0)),"/")</f>
        <v>12</v>
      </c>
      <c r="U3" s="375" cm="1">
        <f t="array" ref="U3">IFERROR(INDEX('Offer Statistics'!DN$2:DN$58,MATCH(1,($A3='Offer Statistics'!$DD$2:$DD$58)*($S$2='Offer Statistics'!$DE$2:$DE$58),0)),"/")</f>
        <v>10</v>
      </c>
      <c r="V3" s="375" cm="1">
        <f t="array" ref="V3">IFERROR(INDEX('Offer Statistics'!DO$2:DO$58,MATCH(1,($A3='Offer Statistics'!$DD$2:$DD$58)*($S$2='Offer Statistics'!$DE$2:$DE$58),0)),"/")</f>
        <v>2</v>
      </c>
      <c r="W3" s="375" cm="1">
        <f t="array" ref="W3">IFERROR(INDEX('Offer Statistics'!DP$2:DP$58,MATCH(1,($A3='Offer Statistics'!$DD$2:$DD$58)*($S$2='Offer Statistics'!$DE$2:$DE$58),0)),"/")</f>
        <v>0</v>
      </c>
      <c r="X3" s="375" cm="1">
        <f t="array" ref="X3">IFERROR(INDEX('Offer Statistics'!DQ$2:DQ$58,MATCH(1,($A3='Offer Statistics'!$DD$2:$DD$58)*($S$2='Offer Statistics'!$DE$2:$DE$58),0)),"/")</f>
        <v>0</v>
      </c>
      <c r="Y3" s="375" cm="1">
        <f t="array" ref="Y3">IFERROR(INDEX('Offer Statistics'!DR$2:DR$58,MATCH(1,($A3='Offer Statistics'!$DD$2:$DD$58)*($S$2='Offer Statistics'!$DE$2:$DE$58),0)),"/")</f>
        <v>0</v>
      </c>
      <c r="Z3" s="580"/>
      <c r="AA3" s="365" cm="1">
        <f t="array" ref="AA3">IFERROR(INDEX('Offer Statistics'!DK$2:DK$58,MATCH(1,($A3='Offer Statistics'!$DD$2:$DD$58)*($S$2='Offer Statistics'!$DE$2:$DE$58),0)),"/")</f>
        <v>857</v>
      </c>
      <c r="AB3" s="375" cm="1">
        <f t="array" ref="AB3">IFERROR(INDEX('Offer Statistics'!DF$2:DF$58,MATCH(1,($A3='Offer Statistics'!$DD$2:$DD$58)*($S$2='Offer Statistics'!$DE$2:$DE$58),0)),"/")</f>
        <v>107</v>
      </c>
      <c r="AC3" s="375" cm="1">
        <f t="array" ref="AC3">IFERROR(INDEX('Offer Statistics'!DG$2:DG$58,MATCH(1,($A3='Offer Statistics'!$DD$2:$DD$58)*($S$2='Offer Statistics'!$DE$2:$DE$58),0)),"/")</f>
        <v>139</v>
      </c>
      <c r="AD3" s="375" cm="1">
        <f t="array" ref="AD3">IFERROR(INDEX('Offer Statistics'!DH$2:DH$58,MATCH(1,($A3='Offer Statistics'!$DD$2:$DD$58)*($S$2='Offer Statistics'!$DE$2:$DE$58),0)),"/")</f>
        <v>181</v>
      </c>
      <c r="AE3" s="375" cm="1">
        <f t="array" ref="AE3">IFERROR(INDEX('Offer Statistics'!DI$2:DI$58,MATCH(1,($A3='Offer Statistics'!$DD$2:$DD$58)*($S$2='Offer Statistics'!$DE$2:$DE$58),0)),"/")</f>
        <v>231</v>
      </c>
      <c r="AF3" s="375" cm="1">
        <f t="array" ref="AF3">IFERROR(INDEX('Offer Statistics'!DJ$2:DJ$58,MATCH(1,($A3='Offer Statistics'!$DD$2:$DD$58)*($S$2='Offer Statistics'!$DE$2:$DE$58),0)),"/")</f>
        <v>199</v>
      </c>
      <c r="AG3" s="15"/>
      <c r="AH3" s="15" t="str">
        <f t="shared" ref="AH3:AH13" si="4">A3</f>
        <v>JS7123</v>
      </c>
    </row>
    <row r="4" spans="1:34" s="4" customFormat="1" ht="18" customHeight="1" x14ac:dyDescent="0.3">
      <c r="A4" s="346" t="str">
        <f>'Reference Score Calculation'!A289</f>
        <v>JS7133</v>
      </c>
      <c r="B4" s="346" t="str">
        <f>'Reference Score Calculation'!C289</f>
        <v>文學院</v>
      </c>
      <c r="C4" s="346" t="str">
        <f>計分版!B310</f>
        <v>動畫及數碼藝術(榮譽)文學士</v>
      </c>
      <c r="D4" s="4" t="s">
        <v>1388</v>
      </c>
      <c r="E4" s="374" t="str">
        <f>'Reference Score Calculation'!AD289</f>
        <v>Best 5</v>
      </c>
      <c r="F4" s="347" t="str">
        <f>'Reference Score Calculation'!G289</f>
        <v>/</v>
      </c>
      <c r="G4" s="347" t="str">
        <f>'Reference Score Calculation'!H289</f>
        <v>/</v>
      </c>
      <c r="H4" s="368">
        <f>計分版!H310</f>
        <v>3.9500000000000006E-9</v>
      </c>
      <c r="I4" s="460" t="s">
        <v>1978</v>
      </c>
      <c r="J4" s="461" t="s">
        <v>1978</v>
      </c>
      <c r="K4" s="365">
        <f>入學要求!C298</f>
        <v>15</v>
      </c>
      <c r="L4" s="379">
        <f>入學要求!R298</f>
        <v>0</v>
      </c>
      <c r="M4" s="586"/>
      <c r="N4" s="454">
        <f>入學要求!D298</f>
        <v>3</v>
      </c>
      <c r="O4" s="454">
        <f>入學要求!E298</f>
        <v>3</v>
      </c>
      <c r="P4" s="454">
        <f>入學要求!F298</f>
        <v>2</v>
      </c>
      <c r="Q4" s="454">
        <f>入學要求!G298</f>
        <v>2</v>
      </c>
      <c r="R4" s="454">
        <f>入學要求!H298</f>
        <v>2</v>
      </c>
      <c r="S4" s="576"/>
      <c r="T4" s="365" t="str" cm="1">
        <f t="array" ref="T4">IFERROR(INDEX('Offer Statistics'!DS$2:DS$58,MATCH(1,($A4='Offer Statistics'!$DD$2:$DD$58)*($S$2='Offer Statistics'!$DE$2:$DE$58),0)),"/")</f>
        <v>/</v>
      </c>
      <c r="U4" s="375" t="str" cm="1">
        <f t="array" ref="U4">IFERROR(INDEX('Offer Statistics'!DN$2:DN$58,MATCH(1,($A4='Offer Statistics'!$DD$2:$DD$58)*($S$2='Offer Statistics'!$DE$2:$DE$58),0)),"/")</f>
        <v>/</v>
      </c>
      <c r="V4" s="375" t="str" cm="1">
        <f t="array" ref="V4">IFERROR(INDEX('Offer Statistics'!DO$2:DO$58,MATCH(1,($A4='Offer Statistics'!$DD$2:$DD$58)*($S$2='Offer Statistics'!$DE$2:$DE$58),0)),"/")</f>
        <v>/</v>
      </c>
      <c r="W4" s="375" t="str" cm="1">
        <f t="array" ref="W4">IFERROR(INDEX('Offer Statistics'!DP$2:DP$58,MATCH(1,($A4='Offer Statistics'!$DD$2:$DD$58)*($S$2='Offer Statistics'!$DE$2:$DE$58),0)),"/")</f>
        <v>/</v>
      </c>
      <c r="X4" s="375" t="str" cm="1">
        <f t="array" ref="X4">IFERROR(INDEX('Offer Statistics'!DQ$2:DQ$58,MATCH(1,($A4='Offer Statistics'!$DD$2:$DD$58)*($S$2='Offer Statistics'!$DE$2:$DE$58),0)),"/")</f>
        <v>/</v>
      </c>
      <c r="Y4" s="375" t="str" cm="1">
        <f t="array" ref="Y4">IFERROR(INDEX('Offer Statistics'!DR$2:DR$58,MATCH(1,($A4='Offer Statistics'!$DD$2:$DD$58)*($S$2='Offer Statistics'!$DE$2:$DE$58),0)),"/")</f>
        <v>/</v>
      </c>
      <c r="Z4" s="580"/>
      <c r="AA4" s="365" t="str" cm="1">
        <f t="array" ref="AA4">IFERROR(INDEX('Offer Statistics'!DK$2:DK$58,MATCH(1,($A4='Offer Statistics'!$DD$2:$DD$58)*($S$2='Offer Statistics'!$DE$2:$DE$58),0)),"/")</f>
        <v>/</v>
      </c>
      <c r="AB4" s="375" t="str" cm="1">
        <f t="array" ref="AB4">IFERROR(INDEX('Offer Statistics'!DF$2:DF$58,MATCH(1,($A4='Offer Statistics'!$DD$2:$DD$58)*($S$2='Offer Statistics'!$DE$2:$DE$58),0)),"/")</f>
        <v>/</v>
      </c>
      <c r="AC4" s="375" t="str" cm="1">
        <f t="array" ref="AC4">IFERROR(INDEX('Offer Statistics'!DG$2:DG$58,MATCH(1,($A4='Offer Statistics'!$DD$2:$DD$58)*($S$2='Offer Statistics'!$DE$2:$DE$58),0)),"/")</f>
        <v>/</v>
      </c>
      <c r="AD4" s="375" t="str" cm="1">
        <f t="array" ref="AD4">IFERROR(INDEX('Offer Statistics'!DH$2:DH$58,MATCH(1,($A4='Offer Statistics'!$DD$2:$DD$58)*($S$2='Offer Statistics'!$DE$2:$DE$58),0)),"/")</f>
        <v>/</v>
      </c>
      <c r="AE4" s="375" t="str" cm="1">
        <f t="array" ref="AE4">IFERROR(INDEX('Offer Statistics'!DI$2:DI$58,MATCH(1,($A4='Offer Statistics'!$DD$2:$DD$58)*($S$2='Offer Statistics'!$DE$2:$DE$58),0)),"/")</f>
        <v>/</v>
      </c>
      <c r="AF4" s="375" t="str" cm="1">
        <f t="array" ref="AF4">IFERROR(INDEX('Offer Statistics'!DJ$2:DJ$58,MATCH(1,($A4='Offer Statistics'!$DD$2:$DD$58)*($S$2='Offer Statistics'!$DE$2:$DE$58),0)),"/")</f>
        <v>/</v>
      </c>
      <c r="AG4" s="15"/>
      <c r="AH4" s="15" t="str">
        <f t="shared" si="4"/>
        <v>JS7133</v>
      </c>
    </row>
    <row r="5" spans="1:34" s="4" customFormat="1" ht="18" customHeight="1" x14ac:dyDescent="0.3">
      <c r="A5" s="346" t="str">
        <f>'Reference Score Calculation'!A290</f>
        <v>JS7200</v>
      </c>
      <c r="B5" s="346" t="str">
        <f>'Reference Score Calculation'!C290</f>
        <v>商學院</v>
      </c>
      <c r="C5" s="346" t="str">
        <f>計分版!B311</f>
        <v>工商管理(榮譽)學士</v>
      </c>
      <c r="D5" s="4" t="s">
        <v>1392</v>
      </c>
      <c r="E5" s="365" t="str">
        <f>'Reference Score Calculation'!E290</f>
        <v>Best 5</v>
      </c>
      <c r="F5" s="347">
        <f>'Reference Score Calculation'!G290</f>
        <v>23.000000000204999</v>
      </c>
      <c r="G5" s="347">
        <f>'Reference Score Calculation'!H290</f>
        <v>22.500000000255</v>
      </c>
      <c r="H5" s="368">
        <f>計分版!H311</f>
        <v>3.9500000000000006E-9</v>
      </c>
      <c r="I5" s="458">
        <f t="shared" si="2"/>
        <v>-22.999999996254999</v>
      </c>
      <c r="J5" s="459">
        <f t="shared" si="3"/>
        <v>-5822784809.1784801</v>
      </c>
      <c r="K5" s="365">
        <f>入學要求!C299</f>
        <v>144</v>
      </c>
      <c r="L5" s="379">
        <f>入學要求!R299</f>
        <v>0</v>
      </c>
      <c r="M5" s="586"/>
      <c r="N5" s="454">
        <f>入學要求!D299</f>
        <v>3</v>
      </c>
      <c r="O5" s="454">
        <f>入學要求!E299</f>
        <v>3</v>
      </c>
      <c r="P5" s="454">
        <f>入學要求!F299</f>
        <v>2</v>
      </c>
      <c r="Q5" s="454">
        <f>入學要求!G299</f>
        <v>2</v>
      </c>
      <c r="R5" s="454">
        <f>入學要求!H299</f>
        <v>2</v>
      </c>
      <c r="S5" s="576"/>
      <c r="T5" s="365" cm="1">
        <f t="array" ref="T5">IFERROR(INDEX('Offer Statistics'!DS$2:DS$58,MATCH(1,($A5='Offer Statistics'!$DD$2:$DD$58)*($S$2='Offer Statistics'!$DE$2:$DE$58),0)),"/")</f>
        <v>200</v>
      </c>
      <c r="U5" s="375" cm="1">
        <f t="array" ref="U5">IFERROR(INDEX('Offer Statistics'!DN$2:DN$58,MATCH(1,($A5='Offer Statistics'!$DD$2:$DD$58)*($S$2='Offer Statistics'!$DE$2:$DE$58),0)),"/")</f>
        <v>154</v>
      </c>
      <c r="V5" s="375" cm="1">
        <f t="array" ref="V5">IFERROR(INDEX('Offer Statistics'!DO$2:DO$58,MATCH(1,($A5='Offer Statistics'!$DD$2:$DD$58)*($S$2='Offer Statistics'!$DE$2:$DE$58),0)),"/")</f>
        <v>46</v>
      </c>
      <c r="W5" s="375" cm="1">
        <f t="array" ref="W5">IFERROR(INDEX('Offer Statistics'!DP$2:DP$58,MATCH(1,($A5='Offer Statistics'!$DD$2:$DD$58)*($S$2='Offer Statistics'!$DE$2:$DE$58),0)),"/")</f>
        <v>0</v>
      </c>
      <c r="X5" s="375" cm="1">
        <f t="array" ref="X5">IFERROR(INDEX('Offer Statistics'!DQ$2:DQ$58,MATCH(1,($A5='Offer Statistics'!$DD$2:$DD$58)*($S$2='Offer Statistics'!$DE$2:$DE$58),0)),"/")</f>
        <v>0</v>
      </c>
      <c r="Y5" s="375" cm="1">
        <f t="array" ref="Y5">IFERROR(INDEX('Offer Statistics'!DR$2:DR$58,MATCH(1,($A5='Offer Statistics'!$DD$2:$DD$58)*($S$2='Offer Statistics'!$DE$2:$DE$58),0)),"/")</f>
        <v>0</v>
      </c>
      <c r="Z5" s="580"/>
      <c r="AA5" s="365" cm="1">
        <f t="array" ref="AA5">IFERROR(INDEX('Offer Statistics'!DK$2:DK$58,MATCH(1,($A5='Offer Statistics'!$DD$2:$DD$58)*($S$2='Offer Statistics'!$DE$2:$DE$58),0)),"/")</f>
        <v>4761</v>
      </c>
      <c r="AB5" s="375" cm="1">
        <f t="array" ref="AB5">IFERROR(INDEX('Offer Statistics'!DF$2:DF$58,MATCH(1,($A5='Offer Statistics'!$DD$2:$DD$58)*($S$2='Offer Statistics'!$DE$2:$DE$58),0)),"/")</f>
        <v>869</v>
      </c>
      <c r="AC5" s="375" cm="1">
        <f t="array" ref="AC5">IFERROR(INDEX('Offer Statistics'!DG$2:DG$58,MATCH(1,($A5='Offer Statistics'!$DD$2:$DD$58)*($S$2='Offer Statistics'!$DE$2:$DE$58),0)),"/")</f>
        <v>969</v>
      </c>
      <c r="AD5" s="375" cm="1">
        <f t="array" ref="AD5">IFERROR(INDEX('Offer Statistics'!DH$2:DH$58,MATCH(1,($A5='Offer Statistics'!$DD$2:$DD$58)*($S$2='Offer Statistics'!$DE$2:$DE$58),0)),"/")</f>
        <v>946</v>
      </c>
      <c r="AE5" s="375" cm="1">
        <f t="array" ref="AE5">IFERROR(INDEX('Offer Statistics'!DI$2:DI$58,MATCH(1,($A5='Offer Statistics'!$DD$2:$DD$58)*($S$2='Offer Statistics'!$DE$2:$DE$58),0)),"/")</f>
        <v>1082</v>
      </c>
      <c r="AF5" s="375" cm="1">
        <f t="array" ref="AF5">IFERROR(INDEX('Offer Statistics'!DJ$2:DJ$58,MATCH(1,($A5='Offer Statistics'!$DD$2:$DD$58)*($S$2='Offer Statistics'!$DE$2:$DE$58),0)),"/")</f>
        <v>895</v>
      </c>
      <c r="AG5" s="15"/>
      <c r="AH5" s="15" t="str">
        <f t="shared" si="4"/>
        <v>JS7200</v>
      </c>
    </row>
    <row r="6" spans="1:34" s="4" customFormat="1" ht="18" customHeight="1" x14ac:dyDescent="0.3">
      <c r="A6" s="346" t="str">
        <f>'Reference Score Calculation'!A291</f>
        <v>JS7204</v>
      </c>
      <c r="B6" s="346" t="str">
        <f>'Reference Score Calculation'!C291</f>
        <v>文學院</v>
      </c>
      <c r="C6" s="346" t="str">
        <f>計分版!B312</f>
        <v>翻譯、跨文化研究及企業傳訊(榮譽)文學士</v>
      </c>
      <c r="D6" s="4" t="s">
        <v>1399</v>
      </c>
      <c r="E6" s="365" t="str">
        <f>'Reference Score Calculation'!E291</f>
        <v>Best 5</v>
      </c>
      <c r="F6" s="347">
        <f>'Reference Score Calculation'!G291</f>
        <v>25.500000000224997</v>
      </c>
      <c r="G6" s="347">
        <f>'Reference Score Calculation'!H291</f>
        <v>24.500000000259998</v>
      </c>
      <c r="H6" s="368">
        <f>計分版!H312</f>
        <v>3.9500000000000006E-9</v>
      </c>
      <c r="I6" s="458">
        <f t="shared" si="2"/>
        <v>-25.499999996274997</v>
      </c>
      <c r="J6" s="459">
        <f t="shared" si="3"/>
        <v>-6455696201.5886059</v>
      </c>
      <c r="K6" s="365">
        <f>入學要求!C300</f>
        <v>38</v>
      </c>
      <c r="L6" s="379">
        <f>入學要求!R300</f>
        <v>0</v>
      </c>
      <c r="M6" s="586"/>
      <c r="N6" s="454">
        <f>入學要求!D300</f>
        <v>3</v>
      </c>
      <c r="O6" s="454">
        <f>入學要求!E300</f>
        <v>3</v>
      </c>
      <c r="P6" s="454">
        <f>入學要求!F300</f>
        <v>2</v>
      </c>
      <c r="Q6" s="454">
        <f>入學要求!G300</f>
        <v>2</v>
      </c>
      <c r="R6" s="454">
        <f>入學要求!H300</f>
        <v>2</v>
      </c>
      <c r="S6" s="576"/>
      <c r="T6" s="365" cm="1">
        <f t="array" ref="T6">IFERROR(INDEX('Offer Statistics'!DS$2:DS$58,MATCH(1,($A6='Offer Statistics'!$DD$2:$DD$58)*($S$2='Offer Statistics'!$DE$2:$DE$58),0)),"/")</f>
        <v>48</v>
      </c>
      <c r="U6" s="375" cm="1">
        <f t="array" ref="U6">IFERROR(INDEX('Offer Statistics'!DN$2:DN$58,MATCH(1,($A6='Offer Statistics'!$DD$2:$DD$58)*($S$2='Offer Statistics'!$DE$2:$DE$58),0)),"/")</f>
        <v>37</v>
      </c>
      <c r="V6" s="375" cm="1">
        <f t="array" ref="V6">IFERROR(INDEX('Offer Statistics'!DO$2:DO$58,MATCH(1,($A6='Offer Statistics'!$DD$2:$DD$58)*($S$2='Offer Statistics'!$DE$2:$DE$58),0)),"/")</f>
        <v>6</v>
      </c>
      <c r="W6" s="375" cm="1">
        <f t="array" ref="W6">IFERROR(INDEX('Offer Statistics'!DP$2:DP$58,MATCH(1,($A6='Offer Statistics'!$DD$2:$DD$58)*($S$2='Offer Statistics'!$DE$2:$DE$58),0)),"/")</f>
        <v>2</v>
      </c>
      <c r="X6" s="375" cm="1">
        <f t="array" ref="X6">IFERROR(INDEX('Offer Statistics'!DQ$2:DQ$58,MATCH(1,($A6='Offer Statistics'!$DD$2:$DD$58)*($S$2='Offer Statistics'!$DE$2:$DE$58),0)),"/")</f>
        <v>1</v>
      </c>
      <c r="Y6" s="375" cm="1">
        <f t="array" ref="Y6">IFERROR(INDEX('Offer Statistics'!DR$2:DR$58,MATCH(1,($A6='Offer Statistics'!$DD$2:$DD$58)*($S$2='Offer Statistics'!$DE$2:$DE$58),0)),"/")</f>
        <v>2</v>
      </c>
      <c r="Z6" s="580"/>
      <c r="AA6" s="365" cm="1">
        <f t="array" ref="AA6">IFERROR(INDEX('Offer Statistics'!DK$2:DK$58,MATCH(1,($A6='Offer Statistics'!$DD$2:$DD$58)*($S$2='Offer Statistics'!$DE$2:$DE$58),0)),"/")</f>
        <v>1745</v>
      </c>
      <c r="AB6" s="375" cm="1">
        <f t="array" ref="AB6">IFERROR(INDEX('Offer Statistics'!DF$2:DF$58,MATCH(1,($A6='Offer Statistics'!$DD$2:$DD$58)*($S$2='Offer Statistics'!$DE$2:$DE$58),0)),"/")</f>
        <v>186</v>
      </c>
      <c r="AC6" s="375" cm="1">
        <f t="array" ref="AC6">IFERROR(INDEX('Offer Statistics'!DG$2:DG$58,MATCH(1,($A6='Offer Statistics'!$DD$2:$DD$58)*($S$2='Offer Statistics'!$DE$2:$DE$58),0)),"/")</f>
        <v>245</v>
      </c>
      <c r="AD6" s="375" cm="1">
        <f t="array" ref="AD6">IFERROR(INDEX('Offer Statistics'!DH$2:DH$58,MATCH(1,($A6='Offer Statistics'!$DD$2:$DD$58)*($S$2='Offer Statistics'!$DE$2:$DE$58),0)),"/")</f>
        <v>368</v>
      </c>
      <c r="AE6" s="375" cm="1">
        <f t="array" ref="AE6">IFERROR(INDEX('Offer Statistics'!DI$2:DI$58,MATCH(1,($A6='Offer Statistics'!$DD$2:$DD$58)*($S$2='Offer Statistics'!$DE$2:$DE$58),0)),"/")</f>
        <v>470</v>
      </c>
      <c r="AF6" s="375" cm="1">
        <f t="array" ref="AF6">IFERROR(INDEX('Offer Statistics'!DJ$2:DJ$58,MATCH(1,($A6='Offer Statistics'!$DD$2:$DD$58)*($S$2='Offer Statistics'!$DE$2:$DE$58),0)),"/")</f>
        <v>476</v>
      </c>
      <c r="AG6" s="15"/>
      <c r="AH6" s="15" t="str">
        <f t="shared" si="4"/>
        <v>JS7204</v>
      </c>
    </row>
    <row r="7" spans="1:34" s="4" customFormat="1" ht="18" customHeight="1" x14ac:dyDescent="0.3">
      <c r="A7" s="346" t="str">
        <f>'Reference Score Calculation'!A292</f>
        <v>JS7216</v>
      </c>
      <c r="B7" s="346" t="str">
        <f>'Reference Score Calculation'!C292</f>
        <v>商學院</v>
      </c>
      <c r="C7" s="346" t="str">
        <f>計分版!B313</f>
        <v>工商管理(榮譽)學士 - 風險及保險管理</v>
      </c>
      <c r="D7" s="4" t="s">
        <v>1403</v>
      </c>
      <c r="E7" s="365" t="str">
        <f>'Reference Score Calculation'!E292</f>
        <v>Best 5</v>
      </c>
      <c r="F7" s="347">
        <f>'Reference Score Calculation'!G292</f>
        <v>23.500000000204999</v>
      </c>
      <c r="G7" s="347">
        <f>'Reference Score Calculation'!H292</f>
        <v>23.000000000224997</v>
      </c>
      <c r="H7" s="368">
        <f>計分版!H313</f>
        <v>3.9500000000000006E-9</v>
      </c>
      <c r="I7" s="458">
        <f t="shared" si="2"/>
        <v>-23.499999996254999</v>
      </c>
      <c r="J7" s="459">
        <f t="shared" si="3"/>
        <v>-5949367087.6594925</v>
      </c>
      <c r="K7" s="365">
        <f>入學要求!C301</f>
        <v>25</v>
      </c>
      <c r="L7" s="379">
        <f>入學要求!R301</f>
        <v>0</v>
      </c>
      <c r="M7" s="586"/>
      <c r="N7" s="454">
        <f>入學要求!D301</f>
        <v>3</v>
      </c>
      <c r="O7" s="454">
        <f>入學要求!E301</f>
        <v>3</v>
      </c>
      <c r="P7" s="454">
        <f>入學要求!F301</f>
        <v>2</v>
      </c>
      <c r="Q7" s="454">
        <f>入學要求!G301</f>
        <v>2</v>
      </c>
      <c r="R7" s="454">
        <f>入學要求!H301</f>
        <v>2</v>
      </c>
      <c r="S7" s="576"/>
      <c r="T7" s="365" cm="1">
        <f t="array" ref="T7">IFERROR(INDEX('Offer Statistics'!DS$2:DS$58,MATCH(1,($A7='Offer Statistics'!$DD$2:$DD$58)*($S$2='Offer Statistics'!$DE$2:$DE$58),0)),"/")</f>
        <v>45</v>
      </c>
      <c r="U7" s="375" cm="1">
        <f t="array" ref="U7">IFERROR(INDEX('Offer Statistics'!DN$2:DN$58,MATCH(1,($A7='Offer Statistics'!$DD$2:$DD$58)*($S$2='Offer Statistics'!$DE$2:$DE$58),0)),"/")</f>
        <v>36</v>
      </c>
      <c r="V7" s="375" cm="1">
        <f t="array" ref="V7">IFERROR(INDEX('Offer Statistics'!DO$2:DO$58,MATCH(1,($A7='Offer Statistics'!$DD$2:$DD$58)*($S$2='Offer Statistics'!$DE$2:$DE$58),0)),"/")</f>
        <v>9</v>
      </c>
      <c r="W7" s="375" cm="1">
        <f t="array" ref="W7">IFERROR(INDEX('Offer Statistics'!DP$2:DP$58,MATCH(1,($A7='Offer Statistics'!$DD$2:$DD$58)*($S$2='Offer Statistics'!$DE$2:$DE$58),0)),"/")</f>
        <v>0</v>
      </c>
      <c r="X7" s="375" cm="1">
        <f t="array" ref="X7">IFERROR(INDEX('Offer Statistics'!DQ$2:DQ$58,MATCH(1,($A7='Offer Statistics'!$DD$2:$DD$58)*($S$2='Offer Statistics'!$DE$2:$DE$58),0)),"/")</f>
        <v>0</v>
      </c>
      <c r="Y7" s="375" cm="1">
        <f t="array" ref="Y7">IFERROR(INDEX('Offer Statistics'!DR$2:DR$58,MATCH(1,($A7='Offer Statistics'!$DD$2:$DD$58)*($S$2='Offer Statistics'!$DE$2:$DE$58),0)),"/")</f>
        <v>0</v>
      </c>
      <c r="Z7" s="580"/>
      <c r="AA7" s="365" cm="1">
        <f t="array" ref="AA7">IFERROR(INDEX('Offer Statistics'!DK$2:DK$58,MATCH(1,($A7='Offer Statistics'!$DD$2:$DD$58)*($S$2='Offer Statistics'!$DE$2:$DE$58),0)),"/")</f>
        <v>2410</v>
      </c>
      <c r="AB7" s="375" cm="1">
        <f t="array" ref="AB7">IFERROR(INDEX('Offer Statistics'!DF$2:DF$58,MATCH(1,($A7='Offer Statistics'!$DD$2:$DD$58)*($S$2='Offer Statistics'!$DE$2:$DE$58),0)),"/")</f>
        <v>277</v>
      </c>
      <c r="AC7" s="375" cm="1">
        <f t="array" ref="AC7">IFERROR(INDEX('Offer Statistics'!DG$2:DG$58,MATCH(1,($A7='Offer Statistics'!$DD$2:$DD$58)*($S$2='Offer Statistics'!$DE$2:$DE$58),0)),"/")</f>
        <v>419</v>
      </c>
      <c r="AD7" s="375" cm="1">
        <f t="array" ref="AD7">IFERROR(INDEX('Offer Statistics'!DH$2:DH$58,MATCH(1,($A7='Offer Statistics'!$DD$2:$DD$58)*($S$2='Offer Statistics'!$DE$2:$DE$58),0)),"/")</f>
        <v>497</v>
      </c>
      <c r="AE7" s="375" cm="1">
        <f t="array" ref="AE7">IFERROR(INDEX('Offer Statistics'!DI$2:DI$58,MATCH(1,($A7='Offer Statistics'!$DD$2:$DD$58)*($S$2='Offer Statistics'!$DE$2:$DE$58),0)),"/")</f>
        <v>657</v>
      </c>
      <c r="AF7" s="375" cm="1">
        <f t="array" ref="AF7">IFERROR(INDEX('Offer Statistics'!DJ$2:DJ$58,MATCH(1,($A7='Offer Statistics'!$DD$2:$DD$58)*($S$2='Offer Statistics'!$DE$2:$DE$58),0)),"/")</f>
        <v>560</v>
      </c>
      <c r="AG7" s="15"/>
      <c r="AH7" s="15" t="str">
        <f t="shared" si="4"/>
        <v>JS7216</v>
      </c>
    </row>
    <row r="8" spans="1:34" s="4" customFormat="1" ht="18" customHeight="1" x14ac:dyDescent="0.3">
      <c r="A8" s="346" t="str">
        <f>'Reference Score Calculation'!A293</f>
        <v>JS7225</v>
      </c>
      <c r="B8" s="346" t="str">
        <f>'Reference Score Calculation'!C293</f>
        <v>商學院</v>
      </c>
      <c r="C8" s="346" t="str">
        <f>計分版!B314</f>
        <v>數據科學(榮譽)理學士</v>
      </c>
      <c r="D8" s="4" t="s">
        <v>1407</v>
      </c>
      <c r="E8" s="365" t="str">
        <f>'Reference Score Calculation'!E293</f>
        <v>Best 5</v>
      </c>
      <c r="F8" s="347">
        <f>'Reference Score Calculation'!G293</f>
        <v>28.000000000269999</v>
      </c>
      <c r="G8" s="347">
        <f>'Reference Score Calculation'!H293</f>
        <v>26.000000000269996</v>
      </c>
      <c r="H8" s="368">
        <f>計分版!H314</f>
        <v>3.3500000000000002E-9</v>
      </c>
      <c r="I8" s="458">
        <f t="shared" si="2"/>
        <v>-27.99999999692</v>
      </c>
      <c r="J8" s="459">
        <f t="shared" si="3"/>
        <v>-8358208954.3044767</v>
      </c>
      <c r="K8" s="365">
        <f>入學要求!C302</f>
        <v>25</v>
      </c>
      <c r="L8" s="379">
        <f>入學要求!R302</f>
        <v>0</v>
      </c>
      <c r="M8" s="586"/>
      <c r="N8" s="454">
        <f>入學要求!D302</f>
        <v>3</v>
      </c>
      <c r="O8" s="454">
        <f>入學要求!E302</f>
        <v>3</v>
      </c>
      <c r="P8" s="454">
        <f>入學要求!F302</f>
        <v>3</v>
      </c>
      <c r="Q8" s="454">
        <f>入學要求!G302</f>
        <v>2</v>
      </c>
      <c r="R8" s="454">
        <f>入學要求!H302</f>
        <v>2</v>
      </c>
      <c r="S8" s="576"/>
      <c r="T8" s="365" cm="1">
        <f t="array" ref="T8">IFERROR(INDEX('Offer Statistics'!DS$2:DS$58,MATCH(1,($A8='Offer Statistics'!$DD$2:$DD$58)*($S$2='Offer Statistics'!$DE$2:$DE$58),0)),"/")</f>
        <v>28</v>
      </c>
      <c r="U8" s="375" cm="1">
        <f t="array" ref="U8">IFERROR(INDEX('Offer Statistics'!DN$2:DN$58,MATCH(1,($A8='Offer Statistics'!$DD$2:$DD$58)*($S$2='Offer Statistics'!$DE$2:$DE$58),0)),"/")</f>
        <v>21</v>
      </c>
      <c r="V8" s="375" cm="1">
        <f t="array" ref="V8">IFERROR(INDEX('Offer Statistics'!DO$2:DO$58,MATCH(1,($A8='Offer Statistics'!$DD$2:$DD$58)*($S$2='Offer Statistics'!$DE$2:$DE$58),0)),"/")</f>
        <v>5</v>
      </c>
      <c r="W8" s="375" cm="1">
        <f t="array" ref="W8">IFERROR(INDEX('Offer Statistics'!DP$2:DP$58,MATCH(1,($A8='Offer Statistics'!$DD$2:$DD$58)*($S$2='Offer Statistics'!$DE$2:$DE$58),0)),"/")</f>
        <v>2</v>
      </c>
      <c r="X8" s="375" cm="1">
        <f t="array" ref="X8">IFERROR(INDEX('Offer Statistics'!DQ$2:DQ$58,MATCH(1,($A8='Offer Statistics'!$DD$2:$DD$58)*($S$2='Offer Statistics'!$DE$2:$DE$58),0)),"/")</f>
        <v>0</v>
      </c>
      <c r="Y8" s="375" cm="1">
        <f t="array" ref="Y8">IFERROR(INDEX('Offer Statistics'!DR$2:DR$58,MATCH(1,($A8='Offer Statistics'!$DD$2:$DD$58)*($S$2='Offer Statistics'!$DE$2:$DE$58),0)),"/")</f>
        <v>0</v>
      </c>
      <c r="Z8" s="580"/>
      <c r="AA8" s="365" cm="1">
        <f t="array" ref="AA8">IFERROR(INDEX('Offer Statistics'!DK$2:DK$58,MATCH(1,($A8='Offer Statistics'!$DD$2:$DD$58)*($S$2='Offer Statistics'!$DE$2:$DE$58),0)),"/")</f>
        <v>1291</v>
      </c>
      <c r="AB8" s="375" cm="1">
        <f t="array" ref="AB8">IFERROR(INDEX('Offer Statistics'!DF$2:DF$58,MATCH(1,($A8='Offer Statistics'!$DD$2:$DD$58)*($S$2='Offer Statistics'!$DE$2:$DE$58),0)),"/")</f>
        <v>116</v>
      </c>
      <c r="AC8" s="375" cm="1">
        <f t="array" ref="AC8">IFERROR(INDEX('Offer Statistics'!DG$2:DG$58,MATCH(1,($A8='Offer Statistics'!$DD$2:$DD$58)*($S$2='Offer Statistics'!$DE$2:$DE$58),0)),"/")</f>
        <v>166</v>
      </c>
      <c r="AD8" s="375" cm="1">
        <f t="array" ref="AD8">IFERROR(INDEX('Offer Statistics'!DH$2:DH$58,MATCH(1,($A8='Offer Statistics'!$DD$2:$DD$58)*($S$2='Offer Statistics'!$DE$2:$DE$58),0)),"/")</f>
        <v>275</v>
      </c>
      <c r="AE8" s="375" cm="1">
        <f t="array" ref="AE8">IFERROR(INDEX('Offer Statistics'!DI$2:DI$58,MATCH(1,($A8='Offer Statistics'!$DD$2:$DD$58)*($S$2='Offer Statistics'!$DE$2:$DE$58),0)),"/")</f>
        <v>404</v>
      </c>
      <c r="AF8" s="375" cm="1">
        <f t="array" ref="AF8">IFERROR(INDEX('Offer Statistics'!DJ$2:DJ$58,MATCH(1,($A8='Offer Statistics'!$DD$2:$DD$58)*($S$2='Offer Statistics'!$DE$2:$DE$58),0)),"/")</f>
        <v>330</v>
      </c>
      <c r="AG8" s="15"/>
      <c r="AH8" s="15" t="str">
        <f t="shared" si="4"/>
        <v>JS7225</v>
      </c>
    </row>
    <row r="9" spans="1:34" s="4" customFormat="1" ht="18" customHeight="1" x14ac:dyDescent="0.3">
      <c r="A9" s="346" t="str">
        <f>'Reference Score Calculation'!A294</f>
        <v>JS7301</v>
      </c>
      <c r="B9" s="346" t="str">
        <f>'Reference Score Calculation'!C294</f>
        <v>社會科學院</v>
      </c>
      <c r="C9" s="346" t="str">
        <f>計分版!B315</f>
        <v>社會科學(榮譽)學士 - 經濟學</v>
      </c>
      <c r="D9" s="4" t="s">
        <v>1435</v>
      </c>
      <c r="E9" s="374" t="str">
        <f>'Reference Score Calculation'!AD294</f>
        <v>Best 5</v>
      </c>
      <c r="F9" s="347">
        <f>'Reference Score Calculation'!G294</f>
        <v>25.500000000214996</v>
      </c>
      <c r="G9" s="347">
        <f>'Reference Score Calculation'!H294</f>
        <v>24.500000000274998</v>
      </c>
      <c r="H9" s="368">
        <f>計分版!H315</f>
        <v>3.3500000000000002E-9</v>
      </c>
      <c r="I9" s="458">
        <f t="shared" si="2"/>
        <v>-25.499999996864997</v>
      </c>
      <c r="J9" s="459">
        <f t="shared" si="3"/>
        <v>-7611940297.57164</v>
      </c>
      <c r="K9" s="365">
        <f>入學要求!C303</f>
        <v>19</v>
      </c>
      <c r="L9" s="379">
        <f>入學要求!R303</f>
        <v>0</v>
      </c>
      <c r="M9" s="586"/>
      <c r="N9" s="454">
        <f>入學要求!D303</f>
        <v>3</v>
      </c>
      <c r="O9" s="454">
        <f>入學要求!E303</f>
        <v>3</v>
      </c>
      <c r="P9" s="454">
        <f>入學要求!F303</f>
        <v>2</v>
      </c>
      <c r="Q9" s="454">
        <f>入學要求!G303</f>
        <v>2</v>
      </c>
      <c r="R9" s="454">
        <f>入學要求!H303</f>
        <v>2</v>
      </c>
      <c r="S9" s="576"/>
      <c r="T9" s="365" t="str" cm="1">
        <f t="array" ref="T9">IFERROR(INDEX('Offer Statistics'!DS$2:DS$58,MATCH(1,($A9='Offer Statistics'!$DD$2:$DD$58)*($S$2='Offer Statistics'!$DE$2:$DE$58),0)),"/")</f>
        <v>/</v>
      </c>
      <c r="U9" s="375" t="str" cm="1">
        <f t="array" ref="U9">IFERROR(INDEX('Offer Statistics'!DN$2:DN$58,MATCH(1,($A9='Offer Statistics'!$DD$2:$DD$58)*($S$2='Offer Statistics'!$DE$2:$DE$58),0)),"/")</f>
        <v>/</v>
      </c>
      <c r="V9" s="375" t="str" cm="1">
        <f t="array" ref="V9">IFERROR(INDEX('Offer Statistics'!DO$2:DO$58,MATCH(1,($A9='Offer Statistics'!$DD$2:$DD$58)*($S$2='Offer Statistics'!$DE$2:$DE$58),0)),"/")</f>
        <v>/</v>
      </c>
      <c r="W9" s="375" t="str" cm="1">
        <f t="array" ref="W9">IFERROR(INDEX('Offer Statistics'!DP$2:DP$58,MATCH(1,($A9='Offer Statistics'!$DD$2:$DD$58)*($S$2='Offer Statistics'!$DE$2:$DE$58),0)),"/")</f>
        <v>/</v>
      </c>
      <c r="X9" s="375" t="str" cm="1">
        <f t="array" ref="X9">IFERROR(INDEX('Offer Statistics'!DQ$2:DQ$58,MATCH(1,($A9='Offer Statistics'!$DD$2:$DD$58)*($S$2='Offer Statistics'!$DE$2:$DE$58),0)),"/")</f>
        <v>/</v>
      </c>
      <c r="Y9" s="375" t="str" cm="1">
        <f t="array" ref="Y9">IFERROR(INDEX('Offer Statistics'!DR$2:DR$58,MATCH(1,($A9='Offer Statistics'!$DD$2:$DD$58)*($S$2='Offer Statistics'!$DE$2:$DE$58),0)),"/")</f>
        <v>/</v>
      </c>
      <c r="Z9" s="580"/>
      <c r="AA9" s="365" t="str" cm="1">
        <f t="array" ref="AA9">IFERROR(INDEX('Offer Statistics'!DK$2:DK$58,MATCH(1,($A9='Offer Statistics'!$DD$2:$DD$58)*($S$2='Offer Statistics'!$DE$2:$DE$58),0)),"/")</f>
        <v>/</v>
      </c>
      <c r="AB9" s="375" t="str" cm="1">
        <f t="array" ref="AB9">IFERROR(INDEX('Offer Statistics'!DF$2:DF$58,MATCH(1,($A9='Offer Statistics'!$DD$2:$DD$58)*($S$2='Offer Statistics'!$DE$2:$DE$58),0)),"/")</f>
        <v>/</v>
      </c>
      <c r="AC9" s="375" t="str" cm="1">
        <f t="array" ref="AC9">IFERROR(INDEX('Offer Statistics'!DG$2:DG$58,MATCH(1,($A9='Offer Statistics'!$DD$2:$DD$58)*($S$2='Offer Statistics'!$DE$2:$DE$58),0)),"/")</f>
        <v>/</v>
      </c>
      <c r="AD9" s="375" t="str" cm="1">
        <f t="array" ref="AD9">IFERROR(INDEX('Offer Statistics'!DH$2:DH$58,MATCH(1,($A9='Offer Statistics'!$DD$2:$DD$58)*($S$2='Offer Statistics'!$DE$2:$DE$58),0)),"/")</f>
        <v>/</v>
      </c>
      <c r="AE9" s="375" t="str" cm="1">
        <f t="array" ref="AE9">IFERROR(INDEX('Offer Statistics'!DI$2:DI$58,MATCH(1,($A9='Offer Statistics'!$DD$2:$DD$58)*($S$2='Offer Statistics'!$DE$2:$DE$58),0)),"/")</f>
        <v>/</v>
      </c>
      <c r="AF9" s="375" t="str" cm="1">
        <f t="array" ref="AF9">IFERROR(INDEX('Offer Statistics'!DJ$2:DJ$58,MATCH(1,($A9='Offer Statistics'!$DD$2:$DD$58)*($S$2='Offer Statistics'!$DE$2:$DE$58),0)),"/")</f>
        <v>/</v>
      </c>
      <c r="AG9" s="15"/>
      <c r="AH9" s="15" t="str">
        <f t="shared" si="4"/>
        <v>JS7301</v>
      </c>
    </row>
    <row r="10" spans="1:34" s="4" customFormat="1" ht="18" customHeight="1" x14ac:dyDescent="0.3">
      <c r="A10" s="346" t="str">
        <f>'Reference Score Calculation'!A295</f>
        <v>JS7302</v>
      </c>
      <c r="B10" s="346" t="str">
        <f>'Reference Score Calculation'!C295</f>
        <v>社會科學院</v>
      </c>
      <c r="C10" s="346" t="str">
        <f>計分版!B316</f>
        <v>社會科學(榮譽)學士 - 政府與國際事務學</v>
      </c>
      <c r="D10" s="4" t="s">
        <v>1440</v>
      </c>
      <c r="E10" s="374" t="str">
        <f>'Reference Score Calculation'!AD295</f>
        <v>Best 5</v>
      </c>
      <c r="F10" s="347">
        <f>'Reference Score Calculation'!G295</f>
        <v>25.500000000214996</v>
      </c>
      <c r="G10" s="347">
        <f>'Reference Score Calculation'!H295</f>
        <v>24.500000000274998</v>
      </c>
      <c r="H10" s="368">
        <f>計分版!H316</f>
        <v>3.3500000000000002E-9</v>
      </c>
      <c r="I10" s="458">
        <f t="shared" si="2"/>
        <v>-25.499999996864997</v>
      </c>
      <c r="J10" s="459">
        <f t="shared" si="3"/>
        <v>-7611940297.57164</v>
      </c>
      <c r="K10" s="365">
        <f>入學要求!C304</f>
        <v>19</v>
      </c>
      <c r="L10" s="379">
        <f>入學要求!R304</f>
        <v>0</v>
      </c>
      <c r="M10" s="586"/>
      <c r="N10" s="454">
        <f>入學要求!D304</f>
        <v>3</v>
      </c>
      <c r="O10" s="454">
        <f>入學要求!E304</f>
        <v>3</v>
      </c>
      <c r="P10" s="454">
        <f>入學要求!F304</f>
        <v>2</v>
      </c>
      <c r="Q10" s="454">
        <f>入學要求!G304</f>
        <v>2</v>
      </c>
      <c r="R10" s="454">
        <f>入學要求!H304</f>
        <v>2</v>
      </c>
      <c r="S10" s="576"/>
      <c r="T10" s="365" t="str" cm="1">
        <f t="array" ref="T10">IFERROR(INDEX('Offer Statistics'!DS$2:DS$58,MATCH(1,($A10='Offer Statistics'!$DD$2:$DD$58)*($S$2='Offer Statistics'!$DE$2:$DE$58),0)),"/")</f>
        <v>/</v>
      </c>
      <c r="U10" s="375" t="str" cm="1">
        <f t="array" ref="U10">IFERROR(INDEX('Offer Statistics'!DN$2:DN$58,MATCH(1,($A10='Offer Statistics'!$DD$2:$DD$58)*($S$2='Offer Statistics'!$DE$2:$DE$58),0)),"/")</f>
        <v>/</v>
      </c>
      <c r="V10" s="375" t="str" cm="1">
        <f t="array" ref="V10">IFERROR(INDEX('Offer Statistics'!DO$2:DO$58,MATCH(1,($A10='Offer Statistics'!$DD$2:$DD$58)*($S$2='Offer Statistics'!$DE$2:$DE$58),0)),"/")</f>
        <v>/</v>
      </c>
      <c r="W10" s="375" t="str" cm="1">
        <f t="array" ref="W10">IFERROR(INDEX('Offer Statistics'!DP$2:DP$58,MATCH(1,($A10='Offer Statistics'!$DD$2:$DD$58)*($S$2='Offer Statistics'!$DE$2:$DE$58),0)),"/")</f>
        <v>/</v>
      </c>
      <c r="X10" s="375" t="str" cm="1">
        <f t="array" ref="X10">IFERROR(INDEX('Offer Statistics'!DQ$2:DQ$58,MATCH(1,($A10='Offer Statistics'!$DD$2:$DD$58)*($S$2='Offer Statistics'!$DE$2:$DE$58),0)),"/")</f>
        <v>/</v>
      </c>
      <c r="Y10" s="375" t="str" cm="1">
        <f t="array" ref="Y10">IFERROR(INDEX('Offer Statistics'!DR$2:DR$58,MATCH(1,($A10='Offer Statistics'!$DD$2:$DD$58)*($S$2='Offer Statistics'!$DE$2:$DE$58),0)),"/")</f>
        <v>/</v>
      </c>
      <c r="Z10" s="580"/>
      <c r="AA10" s="365" t="str" cm="1">
        <f t="array" ref="AA10">IFERROR(INDEX('Offer Statistics'!DK$2:DK$58,MATCH(1,($A10='Offer Statistics'!$DD$2:$DD$58)*($S$2='Offer Statistics'!$DE$2:$DE$58),0)),"/")</f>
        <v>/</v>
      </c>
      <c r="AB10" s="375" t="str" cm="1">
        <f t="array" ref="AB10">IFERROR(INDEX('Offer Statistics'!DF$2:DF$58,MATCH(1,($A10='Offer Statistics'!$DD$2:$DD$58)*($S$2='Offer Statistics'!$DE$2:$DE$58),0)),"/")</f>
        <v>/</v>
      </c>
      <c r="AC10" s="375" t="str" cm="1">
        <f t="array" ref="AC10">IFERROR(INDEX('Offer Statistics'!DG$2:DG$58,MATCH(1,($A10='Offer Statistics'!$DD$2:$DD$58)*($S$2='Offer Statistics'!$DE$2:$DE$58),0)),"/")</f>
        <v>/</v>
      </c>
      <c r="AD10" s="375" t="str" cm="1">
        <f t="array" ref="AD10">IFERROR(INDEX('Offer Statistics'!DH$2:DH$58,MATCH(1,($A10='Offer Statistics'!$DD$2:$DD$58)*($S$2='Offer Statistics'!$DE$2:$DE$58),0)),"/")</f>
        <v>/</v>
      </c>
      <c r="AE10" s="375" t="str" cm="1">
        <f t="array" ref="AE10">IFERROR(INDEX('Offer Statistics'!DI$2:DI$58,MATCH(1,($A10='Offer Statistics'!$DD$2:$DD$58)*($S$2='Offer Statistics'!$DE$2:$DE$58),0)),"/")</f>
        <v>/</v>
      </c>
      <c r="AF10" s="375" t="str" cm="1">
        <f t="array" ref="AF10">IFERROR(INDEX('Offer Statistics'!DJ$2:DJ$58,MATCH(1,($A10='Offer Statistics'!$DD$2:$DD$58)*($S$2='Offer Statistics'!$DE$2:$DE$58),0)),"/")</f>
        <v>/</v>
      </c>
      <c r="AG10" s="15"/>
      <c r="AH10" s="15" t="str">
        <f t="shared" si="4"/>
        <v>JS7302</v>
      </c>
    </row>
    <row r="11" spans="1:34" s="4" customFormat="1" ht="18" customHeight="1" x14ac:dyDescent="0.3">
      <c r="A11" s="346" t="str">
        <f>'Reference Score Calculation'!A296</f>
        <v>JS7303</v>
      </c>
      <c r="B11" s="346" t="str">
        <f>'Reference Score Calculation'!C296</f>
        <v>社會科學院</v>
      </c>
      <c r="C11" s="346" t="str">
        <f>計分版!B317</f>
        <v>社會科學(榮譽)學士 - 心理學</v>
      </c>
      <c r="D11" s="4" t="s">
        <v>1445</v>
      </c>
      <c r="E11" s="374" t="str">
        <f>'Reference Score Calculation'!AD296</f>
        <v>Best 5</v>
      </c>
      <c r="F11" s="347">
        <f>'Reference Score Calculation'!G296</f>
        <v>25.500000000214996</v>
      </c>
      <c r="G11" s="347">
        <f>'Reference Score Calculation'!H296</f>
        <v>24.500000000274998</v>
      </c>
      <c r="H11" s="368">
        <f>計分版!H317</f>
        <v>3.3500000000000002E-9</v>
      </c>
      <c r="I11" s="458">
        <f t="shared" si="2"/>
        <v>-25.499999996864997</v>
      </c>
      <c r="J11" s="459">
        <f t="shared" si="3"/>
        <v>-7611940297.57164</v>
      </c>
      <c r="K11" s="365">
        <f>入學要求!C305</f>
        <v>20</v>
      </c>
      <c r="L11" s="379">
        <f>入學要求!R305</f>
        <v>0</v>
      </c>
      <c r="M11" s="586"/>
      <c r="N11" s="454">
        <f>入學要求!D305</f>
        <v>3</v>
      </c>
      <c r="O11" s="454">
        <f>入學要求!E305</f>
        <v>3</v>
      </c>
      <c r="P11" s="454">
        <f>入學要求!F305</f>
        <v>2</v>
      </c>
      <c r="Q11" s="454">
        <f>入學要求!G305</f>
        <v>2</v>
      </c>
      <c r="R11" s="454">
        <f>入學要求!H305</f>
        <v>2</v>
      </c>
      <c r="S11" s="576"/>
      <c r="T11" s="365" t="str" cm="1">
        <f t="array" ref="T11">IFERROR(INDEX('Offer Statistics'!DS$2:DS$58,MATCH(1,($A11='Offer Statistics'!$DD$2:$DD$58)*($S$2='Offer Statistics'!$DE$2:$DE$58),0)),"/")</f>
        <v>/</v>
      </c>
      <c r="U11" s="375" t="str" cm="1">
        <f t="array" ref="U11">IFERROR(INDEX('Offer Statistics'!DN$2:DN$58,MATCH(1,($A11='Offer Statistics'!$DD$2:$DD$58)*($S$2='Offer Statistics'!$DE$2:$DE$58),0)),"/")</f>
        <v>/</v>
      </c>
      <c r="V11" s="375" t="str" cm="1">
        <f t="array" ref="V11">IFERROR(INDEX('Offer Statistics'!DO$2:DO$58,MATCH(1,($A11='Offer Statistics'!$DD$2:$DD$58)*($S$2='Offer Statistics'!$DE$2:$DE$58),0)),"/")</f>
        <v>/</v>
      </c>
      <c r="W11" s="375" t="str" cm="1">
        <f t="array" ref="W11">IFERROR(INDEX('Offer Statistics'!DP$2:DP$58,MATCH(1,($A11='Offer Statistics'!$DD$2:$DD$58)*($S$2='Offer Statistics'!$DE$2:$DE$58),0)),"/")</f>
        <v>/</v>
      </c>
      <c r="X11" s="375" t="str" cm="1">
        <f t="array" ref="X11">IFERROR(INDEX('Offer Statistics'!DQ$2:DQ$58,MATCH(1,($A11='Offer Statistics'!$DD$2:$DD$58)*($S$2='Offer Statistics'!$DE$2:$DE$58),0)),"/")</f>
        <v>/</v>
      </c>
      <c r="Y11" s="375" t="str" cm="1">
        <f t="array" ref="Y11">IFERROR(INDEX('Offer Statistics'!DR$2:DR$58,MATCH(1,($A11='Offer Statistics'!$DD$2:$DD$58)*($S$2='Offer Statistics'!$DE$2:$DE$58),0)),"/")</f>
        <v>/</v>
      </c>
      <c r="Z11" s="580"/>
      <c r="AA11" s="365" t="str" cm="1">
        <f t="array" ref="AA11">IFERROR(INDEX('Offer Statistics'!DK$2:DK$58,MATCH(1,($A11='Offer Statistics'!$DD$2:$DD$58)*($S$2='Offer Statistics'!$DE$2:$DE$58),0)),"/")</f>
        <v>/</v>
      </c>
      <c r="AB11" s="375" t="str" cm="1">
        <f t="array" ref="AB11">IFERROR(INDEX('Offer Statistics'!DF$2:DF$58,MATCH(1,($A11='Offer Statistics'!$DD$2:$DD$58)*($S$2='Offer Statistics'!$DE$2:$DE$58),0)),"/")</f>
        <v>/</v>
      </c>
      <c r="AC11" s="375" t="str" cm="1">
        <f t="array" ref="AC11">IFERROR(INDEX('Offer Statistics'!DG$2:DG$58,MATCH(1,($A11='Offer Statistics'!$DD$2:$DD$58)*($S$2='Offer Statistics'!$DE$2:$DE$58),0)),"/")</f>
        <v>/</v>
      </c>
      <c r="AD11" s="375" t="str" cm="1">
        <f t="array" ref="AD11">IFERROR(INDEX('Offer Statistics'!DH$2:DH$58,MATCH(1,($A11='Offer Statistics'!$DD$2:$DD$58)*($S$2='Offer Statistics'!$DE$2:$DE$58),0)),"/")</f>
        <v>/</v>
      </c>
      <c r="AE11" s="375" t="str" cm="1">
        <f t="array" ref="AE11">IFERROR(INDEX('Offer Statistics'!DI$2:DI$58,MATCH(1,($A11='Offer Statistics'!$DD$2:$DD$58)*($S$2='Offer Statistics'!$DE$2:$DE$58),0)),"/")</f>
        <v>/</v>
      </c>
      <c r="AF11" s="375" t="str" cm="1">
        <f t="array" ref="AF11">IFERROR(INDEX('Offer Statistics'!DJ$2:DJ$58,MATCH(1,($A11='Offer Statistics'!$DD$2:$DD$58)*($S$2='Offer Statistics'!$DE$2:$DE$58),0)),"/")</f>
        <v>/</v>
      </c>
      <c r="AG11" s="15"/>
      <c r="AH11" s="15" t="str">
        <f t="shared" si="4"/>
        <v>JS7303</v>
      </c>
    </row>
    <row r="12" spans="1:34" s="4" customFormat="1" ht="18" customHeight="1" x14ac:dyDescent="0.3">
      <c r="A12" s="346" t="str">
        <f>'Reference Score Calculation'!A297</f>
        <v>JS7304</v>
      </c>
      <c r="B12" s="346" t="str">
        <f>'Reference Score Calculation'!C297</f>
        <v>社會科學院</v>
      </c>
      <c r="C12" s="346" t="str">
        <f>計分版!B318</f>
        <v>社會科學(榮譽)學士 - 社會學</v>
      </c>
      <c r="D12" s="4" t="s">
        <v>1449</v>
      </c>
      <c r="E12" s="374" t="str">
        <f>'Reference Score Calculation'!AD297</f>
        <v>Best 5</v>
      </c>
      <c r="F12" s="347">
        <f>'Reference Score Calculation'!G297</f>
        <v>25.500000000214996</v>
      </c>
      <c r="G12" s="347">
        <f>'Reference Score Calculation'!H297</f>
        <v>24.500000000274998</v>
      </c>
      <c r="H12" s="368">
        <f>計分版!H318</f>
        <v>3.3500000000000002E-9</v>
      </c>
      <c r="I12" s="458">
        <f t="shared" si="2"/>
        <v>-25.499999996864997</v>
      </c>
      <c r="J12" s="459">
        <f t="shared" si="3"/>
        <v>-7611940297.57164</v>
      </c>
      <c r="K12" s="365">
        <f>入學要求!C306</f>
        <v>20</v>
      </c>
      <c r="L12" s="379">
        <f>入學要求!R306</f>
        <v>0</v>
      </c>
      <c r="M12" s="586"/>
      <c r="N12" s="454">
        <f>入學要求!D306</f>
        <v>3</v>
      </c>
      <c r="O12" s="454">
        <f>入學要求!E306</f>
        <v>3</v>
      </c>
      <c r="P12" s="454">
        <f>入學要求!F306</f>
        <v>2</v>
      </c>
      <c r="Q12" s="454">
        <f>入學要求!G306</f>
        <v>2</v>
      </c>
      <c r="R12" s="454">
        <f>入學要求!H306</f>
        <v>2</v>
      </c>
      <c r="S12" s="576"/>
      <c r="T12" s="365" t="str" cm="1">
        <f t="array" ref="T12">IFERROR(INDEX('Offer Statistics'!DS$2:DS$58,MATCH(1,($A12='Offer Statistics'!$DD$2:$DD$58)*($S$2='Offer Statistics'!$DE$2:$DE$58),0)),"/")</f>
        <v>/</v>
      </c>
      <c r="U12" s="375" t="str" cm="1">
        <f t="array" ref="U12">IFERROR(INDEX('Offer Statistics'!DN$2:DN$58,MATCH(1,($A12='Offer Statistics'!$DD$2:$DD$58)*($S$2='Offer Statistics'!$DE$2:$DE$58),0)),"/")</f>
        <v>/</v>
      </c>
      <c r="V12" s="375" t="str" cm="1">
        <f t="array" ref="V12">IFERROR(INDEX('Offer Statistics'!DO$2:DO$58,MATCH(1,($A12='Offer Statistics'!$DD$2:$DD$58)*($S$2='Offer Statistics'!$DE$2:$DE$58),0)),"/")</f>
        <v>/</v>
      </c>
      <c r="W12" s="375" t="str" cm="1">
        <f t="array" ref="W12">IFERROR(INDEX('Offer Statistics'!DP$2:DP$58,MATCH(1,($A12='Offer Statistics'!$DD$2:$DD$58)*($S$2='Offer Statistics'!$DE$2:$DE$58),0)),"/")</f>
        <v>/</v>
      </c>
      <c r="X12" s="375" t="str" cm="1">
        <f t="array" ref="X12">IFERROR(INDEX('Offer Statistics'!DQ$2:DQ$58,MATCH(1,($A12='Offer Statistics'!$DD$2:$DD$58)*($S$2='Offer Statistics'!$DE$2:$DE$58),0)),"/")</f>
        <v>/</v>
      </c>
      <c r="Y12" s="375" t="str" cm="1">
        <f t="array" ref="Y12">IFERROR(INDEX('Offer Statistics'!DR$2:DR$58,MATCH(1,($A12='Offer Statistics'!$DD$2:$DD$58)*($S$2='Offer Statistics'!$DE$2:$DE$58),0)),"/")</f>
        <v>/</v>
      </c>
      <c r="Z12" s="580"/>
      <c r="AA12" s="365" t="str" cm="1">
        <f t="array" ref="AA12">IFERROR(INDEX('Offer Statistics'!DK$2:DK$58,MATCH(1,($A12='Offer Statistics'!$DD$2:$DD$58)*($S$2='Offer Statistics'!$DE$2:$DE$58),0)),"/")</f>
        <v>/</v>
      </c>
      <c r="AB12" s="375" t="str" cm="1">
        <f t="array" ref="AB12">IFERROR(INDEX('Offer Statistics'!DF$2:DF$58,MATCH(1,($A12='Offer Statistics'!$DD$2:$DD$58)*($S$2='Offer Statistics'!$DE$2:$DE$58),0)),"/")</f>
        <v>/</v>
      </c>
      <c r="AC12" s="375" t="str" cm="1">
        <f t="array" ref="AC12">IFERROR(INDEX('Offer Statistics'!DG$2:DG$58,MATCH(1,($A12='Offer Statistics'!$DD$2:$DD$58)*($S$2='Offer Statistics'!$DE$2:$DE$58),0)),"/")</f>
        <v>/</v>
      </c>
      <c r="AD12" s="375" t="str" cm="1">
        <f t="array" ref="AD12">IFERROR(INDEX('Offer Statistics'!DH$2:DH$58,MATCH(1,($A12='Offer Statistics'!$DD$2:$DD$58)*($S$2='Offer Statistics'!$DE$2:$DE$58),0)),"/")</f>
        <v>/</v>
      </c>
      <c r="AE12" s="375" t="str" cm="1">
        <f t="array" ref="AE12">IFERROR(INDEX('Offer Statistics'!DI$2:DI$58,MATCH(1,($A12='Offer Statistics'!$DD$2:$DD$58)*($S$2='Offer Statistics'!$DE$2:$DE$58),0)),"/")</f>
        <v>/</v>
      </c>
      <c r="AF12" s="375" t="str" cm="1">
        <f t="array" ref="AF12">IFERROR(INDEX('Offer Statistics'!DJ$2:DJ$58,MATCH(1,($A12='Offer Statistics'!$DD$2:$DD$58)*($S$2='Offer Statistics'!$DE$2:$DE$58),0)),"/")</f>
        <v>/</v>
      </c>
      <c r="AG12" s="15"/>
      <c r="AH12" s="15" t="str">
        <f t="shared" si="4"/>
        <v>JS7304</v>
      </c>
    </row>
    <row r="13" spans="1:34" s="4" customFormat="1" ht="18" customHeight="1" x14ac:dyDescent="0.3">
      <c r="A13" s="346" t="str">
        <f>'Reference Score Calculation'!A298</f>
        <v>JS7305</v>
      </c>
      <c r="B13" s="346" t="str">
        <f>'Reference Score Calculation'!C298</f>
        <v>社會科學院</v>
      </c>
      <c r="C13" s="346" t="str">
        <f>計分版!B319</f>
        <v>社會科學(榮譽)學士 - 健康及社會服務管理</v>
      </c>
      <c r="D13" s="4" t="s">
        <v>1453</v>
      </c>
      <c r="E13" s="374" t="str">
        <f>'Reference Score Calculation'!AD298</f>
        <v>Best 5</v>
      </c>
      <c r="F13" s="347">
        <f>'Reference Score Calculation'!G298</f>
        <v>25.500000000214996</v>
      </c>
      <c r="G13" s="347">
        <f>'Reference Score Calculation'!H298</f>
        <v>24.500000000274998</v>
      </c>
      <c r="H13" s="368">
        <f>計分版!H319</f>
        <v>3.3500000000000002E-9</v>
      </c>
      <c r="I13" s="458">
        <f t="shared" si="2"/>
        <v>-25.499999996864997</v>
      </c>
      <c r="J13" s="459">
        <f t="shared" si="3"/>
        <v>-7611940297.57164</v>
      </c>
      <c r="K13" s="365">
        <f>入學要求!C307</f>
        <v>15</v>
      </c>
      <c r="L13" s="379">
        <f>入學要求!R307</f>
        <v>0</v>
      </c>
      <c r="M13" s="586"/>
      <c r="N13" s="454">
        <f>入學要求!D307</f>
        <v>3</v>
      </c>
      <c r="O13" s="454">
        <f>入學要求!E307</f>
        <v>3</v>
      </c>
      <c r="P13" s="454">
        <f>入學要求!F307</f>
        <v>2</v>
      </c>
      <c r="Q13" s="454">
        <f>入學要求!G307</f>
        <v>2</v>
      </c>
      <c r="R13" s="454">
        <f>入學要求!H307</f>
        <v>2</v>
      </c>
      <c r="S13" s="576"/>
      <c r="T13" s="365" t="str" cm="1">
        <f t="array" ref="T13">IFERROR(INDEX('Offer Statistics'!DS$2:DS$58,MATCH(1,($A13='Offer Statistics'!$DD$2:$DD$58)*($S$2='Offer Statistics'!$DE$2:$DE$58),0)),"/")</f>
        <v>/</v>
      </c>
      <c r="U13" s="375" t="str" cm="1">
        <f t="array" ref="U13">IFERROR(INDEX('Offer Statistics'!DN$2:DN$58,MATCH(1,($A13='Offer Statistics'!$DD$2:$DD$58)*($S$2='Offer Statistics'!$DE$2:$DE$58),0)),"/")</f>
        <v>/</v>
      </c>
      <c r="V13" s="375" t="str" cm="1">
        <f t="array" ref="V13">IFERROR(INDEX('Offer Statistics'!DO$2:DO$58,MATCH(1,($A13='Offer Statistics'!$DD$2:$DD$58)*($S$2='Offer Statistics'!$DE$2:$DE$58),0)),"/")</f>
        <v>/</v>
      </c>
      <c r="W13" s="375" t="str" cm="1">
        <f t="array" ref="W13">IFERROR(INDEX('Offer Statistics'!DP$2:DP$58,MATCH(1,($A13='Offer Statistics'!$DD$2:$DD$58)*($S$2='Offer Statistics'!$DE$2:$DE$58),0)),"/")</f>
        <v>/</v>
      </c>
      <c r="X13" s="375" t="str" cm="1">
        <f t="array" ref="X13">IFERROR(INDEX('Offer Statistics'!DQ$2:DQ$58,MATCH(1,($A13='Offer Statistics'!$DD$2:$DD$58)*($S$2='Offer Statistics'!$DE$2:$DE$58),0)),"/")</f>
        <v>/</v>
      </c>
      <c r="Y13" s="375" t="str" cm="1">
        <f t="array" ref="Y13">IFERROR(INDEX('Offer Statistics'!DR$2:DR$58,MATCH(1,($A13='Offer Statistics'!$DD$2:$DD$58)*($S$2='Offer Statistics'!$DE$2:$DE$58),0)),"/")</f>
        <v>/</v>
      </c>
      <c r="Z13" s="580"/>
      <c r="AA13" s="365" t="str" cm="1">
        <f t="array" ref="AA13">IFERROR(INDEX('Offer Statistics'!DK$2:DK$58,MATCH(1,($A13='Offer Statistics'!$DD$2:$DD$58)*($S$2='Offer Statistics'!$DE$2:$DE$58),0)),"/")</f>
        <v>/</v>
      </c>
      <c r="AB13" s="375" t="str" cm="1">
        <f t="array" ref="AB13">IFERROR(INDEX('Offer Statistics'!DF$2:DF$58,MATCH(1,($A13='Offer Statistics'!$DD$2:$DD$58)*($S$2='Offer Statistics'!$DE$2:$DE$58),0)),"/")</f>
        <v>/</v>
      </c>
      <c r="AC13" s="375" t="str" cm="1">
        <f t="array" ref="AC13">IFERROR(INDEX('Offer Statistics'!DG$2:DG$58,MATCH(1,($A13='Offer Statistics'!$DD$2:$DD$58)*($S$2='Offer Statistics'!$DE$2:$DE$58),0)),"/")</f>
        <v>/</v>
      </c>
      <c r="AD13" s="375" t="str" cm="1">
        <f t="array" ref="AD13">IFERROR(INDEX('Offer Statistics'!DH$2:DH$58,MATCH(1,($A13='Offer Statistics'!$DD$2:$DD$58)*($S$2='Offer Statistics'!$DE$2:$DE$58),0)),"/")</f>
        <v>/</v>
      </c>
      <c r="AE13" s="375" t="str" cm="1">
        <f t="array" ref="AE13">IFERROR(INDEX('Offer Statistics'!DI$2:DI$58,MATCH(1,($A13='Offer Statistics'!$DD$2:$DD$58)*($S$2='Offer Statistics'!$DE$2:$DE$58),0)),"/")</f>
        <v>/</v>
      </c>
      <c r="AF13" s="375" t="str" cm="1">
        <f t="array" ref="AF13">IFERROR(INDEX('Offer Statistics'!DJ$2:DJ$58,MATCH(1,($A13='Offer Statistics'!$DD$2:$DD$58)*($S$2='Offer Statistics'!$DE$2:$DE$58),0)),"/")</f>
        <v>/</v>
      </c>
      <c r="AG13" s="15"/>
      <c r="AH13" s="15" t="str">
        <f t="shared" si="4"/>
        <v>JS7305</v>
      </c>
    </row>
    <row r="14" spans="1:34" s="346" customFormat="1" ht="18" customHeight="1" x14ac:dyDescent="0.3">
      <c r="A14" s="346" t="str">
        <f>'Reference Score Calculation'!A299</f>
        <v>JS7306</v>
      </c>
      <c r="B14" s="346" t="str">
        <f>'Reference Score Calculation'!C299</f>
        <v>社會科學院</v>
      </c>
      <c r="C14" s="346" t="str">
        <f>計分版!B320</f>
        <v>社會科學(榮譽)學士 - 社會與公共政策研究</v>
      </c>
      <c r="E14" s="374" t="str">
        <f>'Reference Score Calculation'!AD299</f>
        <v>Best 5</v>
      </c>
      <c r="F14" s="347">
        <f>'Reference Score Calculation'!G299</f>
        <v>25.500000000214996</v>
      </c>
      <c r="G14" s="347">
        <f>'Reference Score Calculation'!H299</f>
        <v>24.500000000274998</v>
      </c>
      <c r="H14" s="368">
        <f>計分版!H320</f>
        <v>3.3500000000000002E-9</v>
      </c>
      <c r="I14" s="458">
        <f t="shared" si="2"/>
        <v>-25.499999996864997</v>
      </c>
      <c r="J14" s="459">
        <f t="shared" si="3"/>
        <v>-7611940297.57164</v>
      </c>
      <c r="K14" s="365">
        <f>入學要求!C308</f>
        <v>20</v>
      </c>
      <c r="L14" s="379">
        <f>入學要求!R308</f>
        <v>0</v>
      </c>
      <c r="M14" s="586"/>
      <c r="N14" s="454">
        <f>入學要求!D308</f>
        <v>3</v>
      </c>
      <c r="O14" s="454">
        <f>入學要求!E308</f>
        <v>3</v>
      </c>
      <c r="P14" s="454">
        <f>入學要求!F308</f>
        <v>2</v>
      </c>
      <c r="Q14" s="454">
        <f>入學要求!G308</f>
        <v>2</v>
      </c>
      <c r="R14" s="454">
        <f>入學要求!H308</f>
        <v>2</v>
      </c>
      <c r="S14" s="576"/>
      <c r="T14" s="365" t="str" cm="1">
        <f t="array" ref="T14">IFERROR(INDEX('Offer Statistics'!DS$2:DS$58,MATCH(1,($A14='Offer Statistics'!$DD$2:$DD$58)*($S$2='Offer Statistics'!$DE$2:$DE$58),0)),"/")</f>
        <v>/</v>
      </c>
      <c r="U14" s="375" t="str" cm="1">
        <f t="array" ref="U14">IFERROR(INDEX('Offer Statistics'!DN$2:DN$58,MATCH(1,($A14='Offer Statistics'!$DD$2:$DD$58)*($S$2='Offer Statistics'!$DE$2:$DE$58),0)),"/")</f>
        <v>/</v>
      </c>
      <c r="V14" s="375" t="str" cm="1">
        <f t="array" ref="V14">IFERROR(INDEX('Offer Statistics'!DO$2:DO$58,MATCH(1,($A14='Offer Statistics'!$DD$2:$DD$58)*($S$2='Offer Statistics'!$DE$2:$DE$58),0)),"/")</f>
        <v>/</v>
      </c>
      <c r="W14" s="375" t="str" cm="1">
        <f t="array" ref="W14">IFERROR(INDEX('Offer Statistics'!DP$2:DP$58,MATCH(1,($A14='Offer Statistics'!$DD$2:$DD$58)*($S$2='Offer Statistics'!$DE$2:$DE$58),0)),"/")</f>
        <v>/</v>
      </c>
      <c r="X14" s="375" t="str" cm="1">
        <f t="array" ref="X14">IFERROR(INDEX('Offer Statistics'!DQ$2:DQ$58,MATCH(1,($A14='Offer Statistics'!$DD$2:$DD$58)*($S$2='Offer Statistics'!$DE$2:$DE$58),0)),"/")</f>
        <v>/</v>
      </c>
      <c r="Y14" s="375" t="str" cm="1">
        <f t="array" ref="Y14">IFERROR(INDEX('Offer Statistics'!DR$2:DR$58,MATCH(1,($A14='Offer Statistics'!$DD$2:$DD$58)*($S$2='Offer Statistics'!$DE$2:$DE$58),0)),"/")</f>
        <v>/</v>
      </c>
      <c r="Z14" s="580"/>
      <c r="AA14" s="365" t="str" cm="1">
        <f t="array" ref="AA14">IFERROR(INDEX('Offer Statistics'!DK$2:DK$58,MATCH(1,($A14='Offer Statistics'!$DD$2:$DD$58)*($S$2='Offer Statistics'!$DE$2:$DE$58),0)),"/")</f>
        <v>/</v>
      </c>
      <c r="AB14" s="375" t="str" cm="1">
        <f t="array" ref="AB14">IFERROR(INDEX('Offer Statistics'!DF$2:DF$58,MATCH(1,($A14='Offer Statistics'!$DD$2:$DD$58)*($S$2='Offer Statistics'!$DE$2:$DE$58),0)),"/")</f>
        <v>/</v>
      </c>
      <c r="AC14" s="375" t="str" cm="1">
        <f t="array" ref="AC14">IFERROR(INDEX('Offer Statistics'!DG$2:DG$58,MATCH(1,($A14='Offer Statistics'!$DD$2:$DD$58)*($S$2='Offer Statistics'!$DE$2:$DE$58),0)),"/")</f>
        <v>/</v>
      </c>
      <c r="AD14" s="375" t="str" cm="1">
        <f t="array" ref="AD14">IFERROR(INDEX('Offer Statistics'!DH$2:DH$58,MATCH(1,($A14='Offer Statistics'!$DD$2:$DD$58)*($S$2='Offer Statistics'!$DE$2:$DE$58),0)),"/")</f>
        <v>/</v>
      </c>
      <c r="AE14" s="375" t="str" cm="1">
        <f t="array" ref="AE14">IFERROR(INDEX('Offer Statistics'!DI$2:DI$58,MATCH(1,($A14='Offer Statistics'!$DD$2:$DD$58)*($S$2='Offer Statistics'!$DE$2:$DE$58),0)),"/")</f>
        <v>/</v>
      </c>
      <c r="AF14" s="375" t="str" cm="1">
        <f t="array" ref="AF14">IFERROR(INDEX('Offer Statistics'!DJ$2:DJ$58,MATCH(1,($A14='Offer Statistics'!$DD$2:$DD$58)*($S$2='Offer Statistics'!$DE$2:$DE$58),0)),"/")</f>
        <v>/</v>
      </c>
      <c r="AG14" s="354"/>
      <c r="AH14" s="354"/>
    </row>
    <row r="15" spans="1:34" s="346" customFormat="1" ht="18" customHeight="1" x14ac:dyDescent="0.3">
      <c r="A15" s="346" t="str">
        <f>'Reference Score Calculation'!A300</f>
        <v>JS7503</v>
      </c>
      <c r="B15" s="346" t="str">
        <f>'Reference Score Calculation'!C300</f>
        <v>文學院</v>
      </c>
      <c r="C15" s="346" t="str">
        <f>計分版!B321</f>
        <v>當代英語語言文學課程(榮譽)文學士</v>
      </c>
      <c r="E15" s="365" t="str">
        <f>'Reference Score Calculation'!E300</f>
        <v>Best 5</v>
      </c>
      <c r="F15" s="347">
        <f>'Reference Score Calculation'!G300</f>
        <v>26.000000000235001</v>
      </c>
      <c r="G15" s="347">
        <f>'Reference Score Calculation'!H300</f>
        <v>25.500000000224997</v>
      </c>
      <c r="H15" s="368">
        <f>計分版!H321</f>
        <v>3.9500000000000006E-9</v>
      </c>
      <c r="I15" s="458">
        <f t="shared" si="2"/>
        <v>-25.999999996285002</v>
      </c>
      <c r="J15" s="459">
        <f t="shared" si="3"/>
        <v>-6582278480.0721512</v>
      </c>
      <c r="K15" s="365">
        <f>入學要求!C309</f>
        <v>19</v>
      </c>
      <c r="L15" s="379">
        <f>入學要求!R309</f>
        <v>0</v>
      </c>
      <c r="M15" s="586"/>
      <c r="N15" s="454">
        <f>入學要求!D309</f>
        <v>3</v>
      </c>
      <c r="O15" s="454">
        <f>入學要求!E309</f>
        <v>3</v>
      </c>
      <c r="P15" s="454">
        <f>入學要求!F309</f>
        <v>2</v>
      </c>
      <c r="Q15" s="454">
        <f>入學要求!G309</f>
        <v>2</v>
      </c>
      <c r="R15" s="454">
        <f>入學要求!H309</f>
        <v>2</v>
      </c>
      <c r="S15" s="576"/>
      <c r="T15" s="365" cm="1">
        <f t="array" ref="T15">IFERROR(INDEX('Offer Statistics'!DS$2:DS$58,MATCH(1,($A15='Offer Statistics'!$DD$2:$DD$58)*($S$2='Offer Statistics'!$DE$2:$DE$58),0)),"/")</f>
        <v>36</v>
      </c>
      <c r="U15" s="375" cm="1">
        <f t="array" ref="U15">IFERROR(INDEX('Offer Statistics'!DN$2:DN$58,MATCH(1,($A15='Offer Statistics'!$DD$2:$DD$58)*($S$2='Offer Statistics'!$DE$2:$DE$58),0)),"/")</f>
        <v>25</v>
      </c>
      <c r="V15" s="375" cm="1">
        <f t="array" ref="V15">IFERROR(INDEX('Offer Statistics'!DO$2:DO$58,MATCH(1,($A15='Offer Statistics'!$DD$2:$DD$58)*($S$2='Offer Statistics'!$DE$2:$DE$58),0)),"/")</f>
        <v>9</v>
      </c>
      <c r="W15" s="375" cm="1">
        <f t="array" ref="W15">IFERROR(INDEX('Offer Statistics'!DP$2:DP$58,MATCH(1,($A15='Offer Statistics'!$DD$2:$DD$58)*($S$2='Offer Statistics'!$DE$2:$DE$58),0)),"/")</f>
        <v>2</v>
      </c>
      <c r="X15" s="375" cm="1">
        <f t="array" ref="X15">IFERROR(INDEX('Offer Statistics'!DQ$2:DQ$58,MATCH(1,($A15='Offer Statistics'!$DD$2:$DD$58)*($S$2='Offer Statistics'!$DE$2:$DE$58),0)),"/")</f>
        <v>0</v>
      </c>
      <c r="Y15" s="375" cm="1">
        <f t="array" ref="Y15">IFERROR(INDEX('Offer Statistics'!DR$2:DR$58,MATCH(1,($A15='Offer Statistics'!$DD$2:$DD$58)*($S$2='Offer Statistics'!$DE$2:$DE$58),0)),"/")</f>
        <v>0</v>
      </c>
      <c r="Z15" s="580"/>
      <c r="AA15" s="365" cm="1">
        <f t="array" ref="AA15">IFERROR(INDEX('Offer Statistics'!DK$2:DK$58,MATCH(1,($A15='Offer Statistics'!$DD$2:$DD$58)*($S$2='Offer Statistics'!$DE$2:$DE$58),0)),"/")</f>
        <v>965</v>
      </c>
      <c r="AB15" s="375" cm="1">
        <f t="array" ref="AB15">IFERROR(INDEX('Offer Statistics'!DF$2:DF$58,MATCH(1,($A15='Offer Statistics'!$DD$2:$DD$58)*($S$2='Offer Statistics'!$DE$2:$DE$58),0)),"/")</f>
        <v>176</v>
      </c>
      <c r="AC15" s="375" cm="1">
        <f t="array" ref="AC15">IFERROR(INDEX('Offer Statistics'!DG$2:DG$58,MATCH(1,($A15='Offer Statistics'!$DD$2:$DD$58)*($S$2='Offer Statistics'!$DE$2:$DE$58),0)),"/")</f>
        <v>172</v>
      </c>
      <c r="AD15" s="375" cm="1">
        <f t="array" ref="AD15">IFERROR(INDEX('Offer Statistics'!DH$2:DH$58,MATCH(1,($A15='Offer Statistics'!$DD$2:$DD$58)*($S$2='Offer Statistics'!$DE$2:$DE$58),0)),"/")</f>
        <v>193</v>
      </c>
      <c r="AE15" s="375" cm="1">
        <f t="array" ref="AE15">IFERROR(INDEX('Offer Statistics'!DI$2:DI$58,MATCH(1,($A15='Offer Statistics'!$DD$2:$DD$58)*($S$2='Offer Statistics'!$DE$2:$DE$58),0)),"/")</f>
        <v>214</v>
      </c>
      <c r="AF15" s="375" cm="1">
        <f t="array" ref="AF15">IFERROR(INDEX('Offer Statistics'!DJ$2:DJ$58,MATCH(1,($A15='Offer Statistics'!$DD$2:$DD$58)*($S$2='Offer Statistics'!$DE$2:$DE$58),0)),"/")</f>
        <v>210</v>
      </c>
      <c r="AG15" s="354"/>
      <c r="AH15" s="354"/>
    </row>
    <row r="16" spans="1:34" s="346" customFormat="1" ht="18" customHeight="1" x14ac:dyDescent="0.3">
      <c r="A16" s="346" t="str">
        <f>'Reference Score Calculation'!A301</f>
        <v>JS7606</v>
      </c>
      <c r="B16" s="346" t="str">
        <f>'Reference Score Calculation'!C301</f>
        <v>文學院</v>
      </c>
      <c r="C16" s="346" t="str">
        <f>計分版!B322</f>
        <v>文化研究(榮譽)文學士</v>
      </c>
      <c r="E16" s="365" t="str">
        <f>'Reference Score Calculation'!E301</f>
        <v>Best 5</v>
      </c>
      <c r="F16" s="347">
        <f>'Reference Score Calculation'!G301</f>
        <v>25.000000000184997</v>
      </c>
      <c r="G16" s="347">
        <f>'Reference Score Calculation'!H301</f>
        <v>24.5</v>
      </c>
      <c r="H16" s="368">
        <f>計分版!H322</f>
        <v>3.9500000000000006E-9</v>
      </c>
      <c r="I16" s="458">
        <f t="shared" si="2"/>
        <v>-24.999999996234997</v>
      </c>
      <c r="J16" s="459">
        <f t="shared" si="3"/>
        <v>-6329113923.0974665</v>
      </c>
      <c r="K16" s="365">
        <f>入學要求!C310</f>
        <v>29</v>
      </c>
      <c r="L16" s="379">
        <f>入學要求!R310</f>
        <v>0</v>
      </c>
      <c r="M16" s="586"/>
      <c r="N16" s="454">
        <f>入學要求!D310</f>
        <v>3</v>
      </c>
      <c r="O16" s="454">
        <f>入學要求!E310</f>
        <v>3</v>
      </c>
      <c r="P16" s="454">
        <f>入學要求!F310</f>
        <v>2</v>
      </c>
      <c r="Q16" s="454">
        <f>入學要求!G310</f>
        <v>2</v>
      </c>
      <c r="R16" s="454">
        <f>入學要求!H310</f>
        <v>2</v>
      </c>
      <c r="S16" s="576"/>
      <c r="T16" s="365" cm="1">
        <f t="array" ref="T16">IFERROR(INDEX('Offer Statistics'!DS$2:DS$58,MATCH(1,($A16='Offer Statistics'!$DD$2:$DD$58)*($S$2='Offer Statistics'!$DE$2:$DE$58),0)),"/")</f>
        <v>36</v>
      </c>
      <c r="U16" s="375" cm="1">
        <f t="array" ref="U16">IFERROR(INDEX('Offer Statistics'!DN$2:DN$58,MATCH(1,($A16='Offer Statistics'!$DD$2:$DD$58)*($S$2='Offer Statistics'!$DE$2:$DE$58),0)),"/")</f>
        <v>30</v>
      </c>
      <c r="V16" s="375" cm="1">
        <f t="array" ref="V16">IFERROR(INDEX('Offer Statistics'!DO$2:DO$58,MATCH(1,($A16='Offer Statistics'!$DD$2:$DD$58)*($S$2='Offer Statistics'!$DE$2:$DE$58),0)),"/")</f>
        <v>3</v>
      </c>
      <c r="W16" s="375" cm="1">
        <f t="array" ref="W16">IFERROR(INDEX('Offer Statistics'!DP$2:DP$58,MATCH(1,($A16='Offer Statistics'!$DD$2:$DD$58)*($S$2='Offer Statistics'!$DE$2:$DE$58),0)),"/")</f>
        <v>3</v>
      </c>
      <c r="X16" s="375" cm="1">
        <f t="array" ref="X16">IFERROR(INDEX('Offer Statistics'!DQ$2:DQ$58,MATCH(1,($A16='Offer Statistics'!$DD$2:$DD$58)*($S$2='Offer Statistics'!$DE$2:$DE$58),0)),"/")</f>
        <v>0</v>
      </c>
      <c r="Y16" s="375" cm="1">
        <f t="array" ref="Y16">IFERROR(INDEX('Offer Statistics'!DR$2:DR$58,MATCH(1,($A16='Offer Statistics'!$DD$2:$DD$58)*($S$2='Offer Statistics'!$DE$2:$DE$58),0)),"/")</f>
        <v>0</v>
      </c>
      <c r="Z16" s="580"/>
      <c r="AA16" s="365" cm="1">
        <f t="array" ref="AA16">IFERROR(INDEX('Offer Statistics'!DK$2:DK$58,MATCH(1,($A16='Offer Statistics'!$DD$2:$DD$58)*($S$2='Offer Statistics'!$DE$2:$DE$58),0)),"/")</f>
        <v>2133</v>
      </c>
      <c r="AB16" s="375" cm="1">
        <f t="array" ref="AB16">IFERROR(INDEX('Offer Statistics'!DF$2:DF$58,MATCH(1,($A16='Offer Statistics'!$DD$2:$DD$58)*($S$2='Offer Statistics'!$DE$2:$DE$58),0)),"/")</f>
        <v>218</v>
      </c>
      <c r="AC16" s="375" cm="1">
        <f t="array" ref="AC16">IFERROR(INDEX('Offer Statistics'!DG$2:DG$58,MATCH(1,($A16='Offer Statistics'!$DD$2:$DD$58)*($S$2='Offer Statistics'!$DE$2:$DE$58),0)),"/")</f>
        <v>353</v>
      </c>
      <c r="AD16" s="375" cm="1">
        <f t="array" ref="AD16">IFERROR(INDEX('Offer Statistics'!DH$2:DH$58,MATCH(1,($A16='Offer Statistics'!$DD$2:$DD$58)*($S$2='Offer Statistics'!$DE$2:$DE$58),0)),"/")</f>
        <v>496</v>
      </c>
      <c r="AE16" s="375" cm="1">
        <f t="array" ref="AE16">IFERROR(INDEX('Offer Statistics'!DI$2:DI$58,MATCH(1,($A16='Offer Statistics'!$DD$2:$DD$58)*($S$2='Offer Statistics'!$DE$2:$DE$58),0)),"/")</f>
        <v>584</v>
      </c>
      <c r="AF16" s="375" cm="1">
        <f t="array" ref="AF16">IFERROR(INDEX('Offer Statistics'!DJ$2:DJ$58,MATCH(1,($A16='Offer Statistics'!$DD$2:$DD$58)*($S$2='Offer Statistics'!$DE$2:$DE$58),0)),"/")</f>
        <v>482</v>
      </c>
      <c r="AG16" s="354"/>
      <c r="AH16" s="354"/>
    </row>
    <row r="17" spans="1:36" s="346" customFormat="1" ht="18" customHeight="1" x14ac:dyDescent="0.3">
      <c r="A17" s="346" t="str">
        <f>'Reference Score Calculation'!A302</f>
        <v>JS7709</v>
      </c>
      <c r="B17" s="346" t="str">
        <f>'Reference Score Calculation'!C302</f>
        <v>文學院</v>
      </c>
      <c r="C17" s="346" t="str">
        <f>計分版!B323</f>
        <v>歷史(榮譽)文學士</v>
      </c>
      <c r="E17" s="365" t="str">
        <f>'Reference Score Calculation'!E302</f>
        <v>Best 5</v>
      </c>
      <c r="F17" s="347">
        <f>'Reference Score Calculation'!G302</f>
        <v>25.600000000241</v>
      </c>
      <c r="G17" s="347">
        <f>'Reference Score Calculation'!H302</f>
        <v>24.800000000196999</v>
      </c>
      <c r="H17" s="368">
        <f>計分版!H323</f>
        <v>3.9500000000000006E-9</v>
      </c>
      <c r="I17" s="458">
        <f t="shared" si="2"/>
        <v>-25.599999996291</v>
      </c>
      <c r="J17" s="459">
        <f t="shared" si="3"/>
        <v>-6481012657.2888594</v>
      </c>
      <c r="K17" s="365">
        <f>入學要求!C311</f>
        <v>30</v>
      </c>
      <c r="L17" s="379">
        <f>入學要求!R311</f>
        <v>0</v>
      </c>
      <c r="M17" s="586"/>
      <c r="N17" s="454">
        <f>入學要求!D311</f>
        <v>3</v>
      </c>
      <c r="O17" s="454">
        <f>入學要求!E311</f>
        <v>3</v>
      </c>
      <c r="P17" s="454">
        <f>入學要求!F311</f>
        <v>2</v>
      </c>
      <c r="Q17" s="454">
        <f>入學要求!G311</f>
        <v>2</v>
      </c>
      <c r="R17" s="454">
        <f>入學要求!H311</f>
        <v>2</v>
      </c>
      <c r="S17" s="576"/>
      <c r="T17" s="365" cm="1">
        <f t="array" ref="T17">IFERROR(INDEX('Offer Statistics'!DS$2:DS$58,MATCH(1,($A17='Offer Statistics'!$DD$2:$DD$58)*($S$2='Offer Statistics'!$DE$2:$DE$58),0)),"/")</f>
        <v>41</v>
      </c>
      <c r="U17" s="375" cm="1">
        <f t="array" ref="U17">IFERROR(INDEX('Offer Statistics'!DN$2:DN$58,MATCH(1,($A17='Offer Statistics'!$DD$2:$DD$58)*($S$2='Offer Statistics'!$DE$2:$DE$58),0)),"/")</f>
        <v>35</v>
      </c>
      <c r="V17" s="375" cm="1">
        <f t="array" ref="V17">IFERROR(INDEX('Offer Statistics'!DO$2:DO$58,MATCH(1,($A17='Offer Statistics'!$DD$2:$DD$58)*($S$2='Offer Statistics'!$DE$2:$DE$58),0)),"/")</f>
        <v>3</v>
      </c>
      <c r="W17" s="375" cm="1">
        <f t="array" ref="W17">IFERROR(INDEX('Offer Statistics'!DP$2:DP$58,MATCH(1,($A17='Offer Statistics'!$DD$2:$DD$58)*($S$2='Offer Statistics'!$DE$2:$DE$58),0)),"/")</f>
        <v>3</v>
      </c>
      <c r="X17" s="375" cm="1">
        <f t="array" ref="X17">IFERROR(INDEX('Offer Statistics'!DQ$2:DQ$58,MATCH(1,($A17='Offer Statistics'!$DD$2:$DD$58)*($S$2='Offer Statistics'!$DE$2:$DE$58),0)),"/")</f>
        <v>0</v>
      </c>
      <c r="Y17" s="375" cm="1">
        <f t="array" ref="Y17">IFERROR(INDEX('Offer Statistics'!DR$2:DR$58,MATCH(1,($A17='Offer Statistics'!$DD$2:$DD$58)*($S$2='Offer Statistics'!$DE$2:$DE$58),0)),"/")</f>
        <v>0</v>
      </c>
      <c r="Z17" s="580"/>
      <c r="AA17" s="365" cm="1">
        <f t="array" ref="AA17">IFERROR(INDEX('Offer Statistics'!DK$2:DK$58,MATCH(1,($A17='Offer Statistics'!$DD$2:$DD$58)*($S$2='Offer Statistics'!$DE$2:$DE$58),0)),"/")</f>
        <v>2249</v>
      </c>
      <c r="AB17" s="375" cm="1">
        <f t="array" ref="AB17">IFERROR(INDEX('Offer Statistics'!DF$2:DF$58,MATCH(1,($A17='Offer Statistics'!$DD$2:$DD$58)*($S$2='Offer Statistics'!$DE$2:$DE$58),0)),"/")</f>
        <v>346</v>
      </c>
      <c r="AC17" s="375" cm="1">
        <f t="array" ref="AC17">IFERROR(INDEX('Offer Statistics'!DG$2:DG$58,MATCH(1,($A17='Offer Statistics'!$DD$2:$DD$58)*($S$2='Offer Statistics'!$DE$2:$DE$58),0)),"/")</f>
        <v>459</v>
      </c>
      <c r="AD17" s="375" cm="1">
        <f t="array" ref="AD17">IFERROR(INDEX('Offer Statistics'!DH$2:DH$58,MATCH(1,($A17='Offer Statistics'!$DD$2:$DD$58)*($S$2='Offer Statistics'!$DE$2:$DE$58),0)),"/")</f>
        <v>492</v>
      </c>
      <c r="AE17" s="375" cm="1">
        <f t="array" ref="AE17">IFERROR(INDEX('Offer Statistics'!DI$2:DI$58,MATCH(1,($A17='Offer Statistics'!$DD$2:$DD$58)*($S$2='Offer Statistics'!$DE$2:$DE$58),0)),"/")</f>
        <v>531</v>
      </c>
      <c r="AF17" s="375" cm="1">
        <f t="array" ref="AF17">IFERROR(INDEX('Offer Statistics'!DJ$2:DJ$58,MATCH(1,($A17='Offer Statistics'!$DD$2:$DD$58)*($S$2='Offer Statistics'!$DE$2:$DE$58),0)),"/")</f>
        <v>421</v>
      </c>
      <c r="AG17" s="354"/>
      <c r="AH17" s="354"/>
    </row>
    <row r="18" spans="1:36" s="346" customFormat="1" ht="18" customHeight="1" x14ac:dyDescent="0.3">
      <c r="A18" s="346" t="str">
        <f>'Reference Score Calculation'!A303</f>
        <v>JS7802</v>
      </c>
      <c r="B18" s="346" t="str">
        <f>'Reference Score Calculation'!C303</f>
        <v>文學院</v>
      </c>
      <c r="C18" s="346" t="str">
        <f>計分版!B324</f>
        <v>哲學(榮譽)文學士</v>
      </c>
      <c r="E18" s="365" t="str">
        <f>'Reference Score Calculation'!E303</f>
        <v>Best 5</v>
      </c>
      <c r="F18" s="347">
        <f>'Reference Score Calculation'!G303</f>
        <v>26.000000000229999</v>
      </c>
      <c r="G18" s="347">
        <f>'Reference Score Calculation'!H303</f>
        <v>25.500000000199996</v>
      </c>
      <c r="H18" s="368">
        <f>計分版!H324</f>
        <v>3.9500000000000006E-9</v>
      </c>
      <c r="I18" s="458">
        <f t="shared" si="2"/>
        <v>-25.99999999628</v>
      </c>
      <c r="J18" s="459">
        <f t="shared" si="3"/>
        <v>-6582278480.0708847</v>
      </c>
      <c r="K18" s="365">
        <f>入學要求!C312</f>
        <v>29</v>
      </c>
      <c r="L18" s="379">
        <f>入學要求!R312</f>
        <v>0</v>
      </c>
      <c r="M18" s="586"/>
      <c r="N18" s="454">
        <f>入學要求!D312</f>
        <v>3</v>
      </c>
      <c r="O18" s="454">
        <f>入學要求!E312</f>
        <v>3</v>
      </c>
      <c r="P18" s="454">
        <f>入學要求!F312</f>
        <v>2</v>
      </c>
      <c r="Q18" s="454">
        <f>入學要求!G312</f>
        <v>2</v>
      </c>
      <c r="R18" s="454">
        <f>入學要求!H312</f>
        <v>2</v>
      </c>
      <c r="S18" s="576"/>
      <c r="T18" s="365" cm="1">
        <f t="array" ref="T18">IFERROR(INDEX('Offer Statistics'!DS$2:DS$58,MATCH(1,($A18='Offer Statistics'!$DD$2:$DD$58)*($S$2='Offer Statistics'!$DE$2:$DE$58),0)),"/")</f>
        <v>39</v>
      </c>
      <c r="U18" s="375" cm="1">
        <f t="array" ref="U18">IFERROR(INDEX('Offer Statistics'!DN$2:DN$58,MATCH(1,($A18='Offer Statistics'!$DD$2:$DD$58)*($S$2='Offer Statistics'!$DE$2:$DE$58),0)),"/")</f>
        <v>35</v>
      </c>
      <c r="V18" s="375" cm="1">
        <f t="array" ref="V18">IFERROR(INDEX('Offer Statistics'!DO$2:DO$58,MATCH(1,($A18='Offer Statistics'!$DD$2:$DD$58)*($S$2='Offer Statistics'!$DE$2:$DE$58),0)),"/")</f>
        <v>2</v>
      </c>
      <c r="W18" s="375" cm="1">
        <f t="array" ref="W18">IFERROR(INDEX('Offer Statistics'!DP$2:DP$58,MATCH(1,($A18='Offer Statistics'!$DD$2:$DD$58)*($S$2='Offer Statistics'!$DE$2:$DE$58),0)),"/")</f>
        <v>1</v>
      </c>
      <c r="X18" s="375" cm="1">
        <f t="array" ref="X18">IFERROR(INDEX('Offer Statistics'!DQ$2:DQ$58,MATCH(1,($A18='Offer Statistics'!$DD$2:$DD$58)*($S$2='Offer Statistics'!$DE$2:$DE$58),0)),"/")</f>
        <v>1</v>
      </c>
      <c r="Y18" s="375" cm="1">
        <f t="array" ref="Y18">IFERROR(INDEX('Offer Statistics'!DR$2:DR$58,MATCH(1,($A18='Offer Statistics'!$DD$2:$DD$58)*($S$2='Offer Statistics'!$DE$2:$DE$58),0)),"/")</f>
        <v>0</v>
      </c>
      <c r="Z18" s="580"/>
      <c r="AA18" s="365" cm="1">
        <f t="array" ref="AA18">IFERROR(INDEX('Offer Statistics'!DK$2:DK$58,MATCH(1,($A18='Offer Statistics'!$DD$2:$DD$58)*($S$2='Offer Statistics'!$DE$2:$DE$58),0)),"/")</f>
        <v>1958</v>
      </c>
      <c r="AB18" s="375" cm="1">
        <f t="array" ref="AB18">IFERROR(INDEX('Offer Statistics'!DF$2:DF$58,MATCH(1,($A18='Offer Statistics'!$DD$2:$DD$58)*($S$2='Offer Statistics'!$DE$2:$DE$58),0)),"/")</f>
        <v>265</v>
      </c>
      <c r="AC18" s="375" cm="1">
        <f t="array" ref="AC18">IFERROR(INDEX('Offer Statistics'!DG$2:DG$58,MATCH(1,($A18='Offer Statistics'!$DD$2:$DD$58)*($S$2='Offer Statistics'!$DE$2:$DE$58),0)),"/")</f>
        <v>281</v>
      </c>
      <c r="AD18" s="375" cm="1">
        <f t="array" ref="AD18">IFERROR(INDEX('Offer Statistics'!DH$2:DH$58,MATCH(1,($A18='Offer Statistics'!$DD$2:$DD$58)*($S$2='Offer Statistics'!$DE$2:$DE$58),0)),"/")</f>
        <v>378</v>
      </c>
      <c r="AE18" s="375" cm="1">
        <f t="array" ref="AE18">IFERROR(INDEX('Offer Statistics'!DI$2:DI$58,MATCH(1,($A18='Offer Statistics'!$DD$2:$DD$58)*($S$2='Offer Statistics'!$DE$2:$DE$58),0)),"/")</f>
        <v>506</v>
      </c>
      <c r="AF18" s="375" cm="1">
        <f t="array" ref="AF18">IFERROR(INDEX('Offer Statistics'!DJ$2:DJ$58,MATCH(1,($A18='Offer Statistics'!$DD$2:$DD$58)*($S$2='Offer Statistics'!$DE$2:$DE$58),0)),"/")</f>
        <v>528</v>
      </c>
      <c r="AG18" s="354"/>
      <c r="AH18" s="354"/>
    </row>
    <row r="19" spans="1:36" s="346" customFormat="1" ht="18" customHeight="1" x14ac:dyDescent="0.3">
      <c r="A19" s="346" t="str">
        <f>'Reference Score Calculation'!A304</f>
        <v>JS7905</v>
      </c>
      <c r="B19" s="346" t="str">
        <f>'Reference Score Calculation'!C304</f>
        <v>文學院</v>
      </c>
      <c r="C19" s="346" t="str">
        <f>計分版!B325</f>
        <v>視覺研究(榮譽)文學士</v>
      </c>
      <c r="E19" s="365" t="str">
        <f>'Reference Score Calculation'!E304</f>
        <v>Best 5</v>
      </c>
      <c r="F19" s="347">
        <f>'Reference Score Calculation'!G304</f>
        <v>24.000000000184997</v>
      </c>
      <c r="G19" s="347">
        <f>'Reference Score Calculation'!H304</f>
        <v>23.000000000194998</v>
      </c>
      <c r="H19" s="368">
        <f>計分版!H325</f>
        <v>3.9500000000000006E-9</v>
      </c>
      <c r="I19" s="462">
        <f t="shared" si="2"/>
        <v>-23.999999996234997</v>
      </c>
      <c r="J19" s="463">
        <f t="shared" si="3"/>
        <v>-6075949366.1354418</v>
      </c>
      <c r="K19" s="365">
        <f>入學要求!C313</f>
        <v>21</v>
      </c>
      <c r="L19" s="379">
        <f>入學要求!R313</f>
        <v>0</v>
      </c>
      <c r="M19" s="586"/>
      <c r="N19" s="455">
        <f>入學要求!D313</f>
        <v>3</v>
      </c>
      <c r="O19" s="455">
        <f>入學要求!E313</f>
        <v>3</v>
      </c>
      <c r="P19" s="455">
        <f>入學要求!F313</f>
        <v>2</v>
      </c>
      <c r="Q19" s="455">
        <f>入學要求!G313</f>
        <v>2</v>
      </c>
      <c r="R19" s="455">
        <f>入學要求!H313</f>
        <v>2</v>
      </c>
      <c r="S19" s="576"/>
      <c r="T19" s="365" cm="1">
        <f t="array" ref="T19">IFERROR(INDEX('Offer Statistics'!DS$2:DS$58,MATCH(1,($A19='Offer Statistics'!$DD$2:$DD$58)*($S$2='Offer Statistics'!$DE$2:$DE$58),0)),"/")</f>
        <v>41</v>
      </c>
      <c r="U19" s="375" cm="1">
        <f t="array" ref="U19">IFERROR(INDEX('Offer Statistics'!DN$2:DN$58,MATCH(1,($A19='Offer Statistics'!$DD$2:$DD$58)*($S$2='Offer Statistics'!$DE$2:$DE$58),0)),"/")</f>
        <v>32</v>
      </c>
      <c r="V19" s="375" cm="1">
        <f t="array" ref="V19">IFERROR(INDEX('Offer Statistics'!DO$2:DO$58,MATCH(1,($A19='Offer Statistics'!$DD$2:$DD$58)*($S$2='Offer Statistics'!$DE$2:$DE$58),0)),"/")</f>
        <v>8</v>
      </c>
      <c r="W19" s="375" cm="1">
        <f t="array" ref="W19">IFERROR(INDEX('Offer Statistics'!DP$2:DP$58,MATCH(1,($A19='Offer Statistics'!$DD$2:$DD$58)*($S$2='Offer Statistics'!$DE$2:$DE$58),0)),"/")</f>
        <v>0</v>
      </c>
      <c r="X19" s="375" cm="1">
        <f t="array" ref="X19">IFERROR(INDEX('Offer Statistics'!DQ$2:DQ$58,MATCH(1,($A19='Offer Statistics'!$DD$2:$DD$58)*($S$2='Offer Statistics'!$DE$2:$DE$58),0)),"/")</f>
        <v>1</v>
      </c>
      <c r="Y19" s="375" cm="1">
        <f t="array" ref="Y19">IFERROR(INDEX('Offer Statistics'!DR$2:DR$58,MATCH(1,($A19='Offer Statistics'!$DD$2:$DD$58)*($S$2='Offer Statistics'!$DE$2:$DE$58),0)),"/")</f>
        <v>0</v>
      </c>
      <c r="Z19" s="580"/>
      <c r="AA19" s="365" cm="1">
        <f t="array" ref="AA19">IFERROR(INDEX('Offer Statistics'!DK$2:DK$58,MATCH(1,($A19='Offer Statistics'!$DD$2:$DD$58)*($S$2='Offer Statistics'!$DE$2:$DE$58),0)),"/")</f>
        <v>1970</v>
      </c>
      <c r="AB19" s="375" cm="1">
        <f t="array" ref="AB19">IFERROR(INDEX('Offer Statistics'!DF$2:DF$58,MATCH(1,($A19='Offer Statistics'!$DD$2:$DD$58)*($S$2='Offer Statistics'!$DE$2:$DE$58),0)),"/")</f>
        <v>300</v>
      </c>
      <c r="AC19" s="375" cm="1">
        <f t="array" ref="AC19">IFERROR(INDEX('Offer Statistics'!DG$2:DG$58,MATCH(1,($A19='Offer Statistics'!$DD$2:$DD$58)*($S$2='Offer Statistics'!$DE$2:$DE$58),0)),"/")</f>
        <v>367</v>
      </c>
      <c r="AD19" s="375" cm="1">
        <f t="array" ref="AD19">IFERROR(INDEX('Offer Statistics'!DH$2:DH$58,MATCH(1,($A19='Offer Statistics'!$DD$2:$DD$58)*($S$2='Offer Statistics'!$DE$2:$DE$58),0)),"/")</f>
        <v>452</v>
      </c>
      <c r="AE19" s="375" cm="1">
        <f t="array" ref="AE19">IFERROR(INDEX('Offer Statistics'!DI$2:DI$58,MATCH(1,($A19='Offer Statistics'!$DD$2:$DD$58)*($S$2='Offer Statistics'!$DE$2:$DE$58),0)),"/")</f>
        <v>460</v>
      </c>
      <c r="AF19" s="375" cm="1">
        <f t="array" ref="AF19">IFERROR(INDEX('Offer Statistics'!DJ$2:DJ$58,MATCH(1,($A19='Offer Statistics'!$DD$2:$DD$58)*($S$2='Offer Statistics'!$DE$2:$DE$58),0)),"/")</f>
        <v>391</v>
      </c>
      <c r="AG19" s="354"/>
      <c r="AH19" s="354"/>
    </row>
    <row r="20" spans="1:36" s="4" customFormat="1" ht="18" customHeight="1" x14ac:dyDescent="0.3">
      <c r="E20" s="15"/>
      <c r="F20" s="15"/>
      <c r="G20" s="15"/>
      <c r="L20" s="15"/>
      <c r="S20" s="15"/>
      <c r="T20" s="15"/>
      <c r="U20" s="15"/>
      <c r="V20" s="15"/>
      <c r="W20" s="15"/>
      <c r="X20" s="15"/>
      <c r="Y20" s="15"/>
      <c r="Z20" s="15"/>
      <c r="AA20" s="15"/>
      <c r="AB20" s="15"/>
      <c r="AC20" s="15"/>
      <c r="AD20" s="15"/>
      <c r="AE20" s="15"/>
      <c r="AF20" s="15"/>
      <c r="AG20" s="15"/>
      <c r="AH20" s="15"/>
    </row>
    <row r="21" spans="1:36" s="4" customFormat="1" ht="18" customHeight="1" x14ac:dyDescent="0.3">
      <c r="A21" s="4" t="s">
        <v>2631</v>
      </c>
      <c r="E21" s="37"/>
      <c r="F21" s="15"/>
      <c r="G21" s="15"/>
      <c r="H21" s="15"/>
      <c r="I21" s="22"/>
      <c r="J21" s="23"/>
      <c r="K21" s="15"/>
      <c r="L21" s="15"/>
      <c r="M21" s="15"/>
      <c r="N21" s="15"/>
      <c r="O21" s="15"/>
      <c r="P21" s="15"/>
      <c r="Q21" s="15"/>
      <c r="R21" s="15"/>
      <c r="S21" s="15"/>
      <c r="T21" s="15"/>
      <c r="U21" s="15"/>
      <c r="V21" s="15"/>
      <c r="W21" s="15"/>
      <c r="X21" s="15"/>
      <c r="Y21" s="15"/>
      <c r="Z21" s="15"/>
      <c r="AA21" s="15"/>
      <c r="AB21" s="15"/>
      <c r="AC21" s="15"/>
      <c r="AD21" s="15"/>
      <c r="AE21" s="15"/>
      <c r="AF21" s="15"/>
      <c r="AG21" s="15"/>
      <c r="AH21" s="15"/>
    </row>
    <row r="22" spans="1:36" s="4" customFormat="1" ht="18" customHeight="1" x14ac:dyDescent="0.3">
      <c r="A22" s="4" t="s">
        <v>2589</v>
      </c>
      <c r="E22" s="37"/>
      <c r="F22" s="15"/>
      <c r="G22" s="15"/>
      <c r="H22" s="15"/>
      <c r="I22" s="22"/>
      <c r="J22" s="23"/>
      <c r="K22" s="15"/>
      <c r="L22" s="15"/>
      <c r="M22" s="15"/>
      <c r="N22" s="15"/>
      <c r="O22" s="15"/>
      <c r="P22" s="15"/>
      <c r="Q22" s="15"/>
      <c r="R22" s="15"/>
      <c r="S22" s="15"/>
      <c r="T22" s="15"/>
      <c r="U22" s="15"/>
      <c r="V22" s="15"/>
      <c r="W22" s="15"/>
      <c r="X22" s="15"/>
      <c r="Y22" s="15"/>
      <c r="Z22" s="15"/>
      <c r="AA22" s="15"/>
      <c r="AB22" s="15"/>
      <c r="AC22" s="15"/>
      <c r="AD22" s="15"/>
      <c r="AE22" s="15"/>
      <c r="AF22" s="15"/>
      <c r="AG22" s="15"/>
      <c r="AH22" s="15"/>
    </row>
    <row r="23" spans="1:36" s="4" customFormat="1" ht="18" customHeight="1" x14ac:dyDescent="0.3">
      <c r="C23" s="23"/>
      <c r="E23" s="15"/>
      <c r="H23" s="15"/>
      <c r="K23" s="37"/>
      <c r="L23" s="15"/>
    </row>
    <row r="24" spans="1:36" s="4" customFormat="1" ht="18" customHeight="1" x14ac:dyDescent="0.3">
      <c r="A24" s="4" t="s">
        <v>3191</v>
      </c>
      <c r="E24" s="37"/>
      <c r="F24" s="15"/>
      <c r="G24" s="15"/>
      <c r="H24" s="15"/>
      <c r="I24" s="15"/>
      <c r="J24" s="22"/>
      <c r="K24" s="23"/>
      <c r="L24" s="15"/>
      <c r="N24" s="15"/>
      <c r="O24" s="15"/>
      <c r="P24" s="15"/>
      <c r="Q24" s="15"/>
      <c r="R24" s="15"/>
      <c r="S24" s="15"/>
      <c r="T24" s="15"/>
      <c r="U24" s="528" t="s">
        <v>3539</v>
      </c>
      <c r="V24" s="15"/>
      <c r="W24" s="15"/>
      <c r="X24" s="15"/>
      <c r="Y24" s="15"/>
      <c r="Z24" s="15"/>
      <c r="AA24" s="15"/>
      <c r="AB24" s="15"/>
      <c r="AC24" s="15"/>
      <c r="AD24" s="15"/>
      <c r="AE24" s="15"/>
      <c r="AF24" s="15"/>
      <c r="AG24" s="15"/>
      <c r="AH24" s="15"/>
      <c r="AJ24" s="15"/>
    </row>
    <row r="25" spans="1:36" s="346" customFormat="1" ht="18" customHeight="1" x14ac:dyDescent="0.3">
      <c r="E25" s="365"/>
      <c r="F25" s="354"/>
      <c r="G25" s="354"/>
      <c r="H25" s="354"/>
      <c r="I25" s="354"/>
      <c r="J25" s="359"/>
      <c r="K25" s="360"/>
      <c r="L25" s="354"/>
      <c r="N25" s="354"/>
      <c r="O25" s="354"/>
      <c r="P25" s="354"/>
      <c r="Q25" s="354"/>
      <c r="R25" s="354"/>
      <c r="S25" s="354"/>
      <c r="T25" s="354"/>
      <c r="U25" s="354"/>
      <c r="V25" s="354"/>
      <c r="W25" s="354"/>
      <c r="X25" s="354"/>
      <c r="Y25" s="354"/>
      <c r="Z25" s="354"/>
      <c r="AA25" s="354"/>
      <c r="AB25" s="354"/>
      <c r="AC25" s="354"/>
      <c r="AD25" s="354"/>
      <c r="AE25" s="354"/>
      <c r="AF25" s="354"/>
      <c r="AG25" s="354"/>
      <c r="AH25" s="354"/>
      <c r="AJ25" s="354"/>
    </row>
    <row r="26" spans="1:36" s="346" customFormat="1" ht="18" customHeight="1" x14ac:dyDescent="0.3">
      <c r="A26" s="3" t="s">
        <v>1986</v>
      </c>
      <c r="E26" s="365"/>
      <c r="F26" s="354"/>
      <c r="G26" s="354"/>
      <c r="H26" s="354"/>
      <c r="I26" s="354"/>
      <c r="J26" s="359"/>
      <c r="K26" s="360"/>
      <c r="L26" s="354"/>
      <c r="N26" s="354"/>
      <c r="O26" s="354"/>
      <c r="P26" s="354"/>
      <c r="Q26" s="354"/>
      <c r="R26" s="354"/>
      <c r="S26" s="354"/>
      <c r="T26" s="354"/>
      <c r="U26" s="354"/>
      <c r="V26" s="354"/>
      <c r="W26" s="354"/>
      <c r="X26" s="354"/>
      <c r="Y26" s="354"/>
      <c r="Z26" s="354"/>
      <c r="AA26" s="354"/>
      <c r="AB26" s="354"/>
      <c r="AC26" s="354"/>
      <c r="AD26" s="354"/>
      <c r="AE26" s="354"/>
      <c r="AF26" s="354"/>
      <c r="AG26" s="354"/>
      <c r="AH26" s="354"/>
      <c r="AJ26" s="354"/>
    </row>
    <row r="27" spans="1:36" s="346" customFormat="1" ht="18" customHeight="1" x14ac:dyDescent="0.3">
      <c r="A27" s="4" t="s">
        <v>2632</v>
      </c>
      <c r="E27" s="365"/>
      <c r="F27" s="354"/>
      <c r="G27" s="354"/>
      <c r="H27" s="354"/>
      <c r="I27" s="354"/>
      <c r="J27" s="359"/>
      <c r="K27" s="360"/>
      <c r="L27" s="354"/>
      <c r="N27" s="354"/>
      <c r="O27" s="354"/>
      <c r="P27" s="354"/>
      <c r="Q27" s="354"/>
      <c r="R27" s="354"/>
      <c r="S27" s="354"/>
      <c r="T27" s="354"/>
      <c r="U27" s="354"/>
      <c r="V27" s="354"/>
      <c r="W27" s="354"/>
      <c r="X27" s="354"/>
      <c r="Y27" s="354"/>
      <c r="Z27" s="354"/>
      <c r="AA27" s="354"/>
      <c r="AB27" s="354"/>
      <c r="AC27" s="354"/>
      <c r="AD27" s="354"/>
      <c r="AE27" s="354"/>
      <c r="AF27" s="354"/>
      <c r="AG27" s="354"/>
      <c r="AH27" s="354"/>
      <c r="AJ27" s="354"/>
    </row>
    <row r="28" spans="1:36" s="4" customFormat="1" ht="18" customHeight="1" x14ac:dyDescent="0.3">
      <c r="E28" s="37"/>
      <c r="F28" s="15"/>
      <c r="G28" s="15"/>
      <c r="H28" s="15"/>
      <c r="I28" s="22"/>
      <c r="J28" s="23"/>
      <c r="K28" s="15"/>
      <c r="L28" s="15"/>
      <c r="M28" s="15"/>
      <c r="N28" s="15"/>
      <c r="O28" s="15"/>
      <c r="P28" s="15"/>
      <c r="Q28" s="15"/>
      <c r="R28" s="15"/>
      <c r="S28" s="15"/>
      <c r="T28" s="15"/>
      <c r="U28" s="15"/>
      <c r="V28" s="15"/>
      <c r="W28" s="15"/>
      <c r="X28" s="15"/>
      <c r="Y28" s="15"/>
      <c r="Z28" s="15"/>
      <c r="AA28" s="15"/>
      <c r="AB28" s="15"/>
      <c r="AC28" s="15"/>
      <c r="AD28" s="15"/>
      <c r="AE28" s="15"/>
      <c r="AF28" s="15"/>
      <c r="AG28" s="15"/>
      <c r="AH28" s="15"/>
    </row>
    <row r="29" spans="1:36" s="4" customFormat="1" ht="18" customHeight="1" x14ac:dyDescent="0.3">
      <c r="B29" s="4" t="s">
        <v>3429</v>
      </c>
      <c r="E29" s="37"/>
      <c r="F29" s="15"/>
      <c r="G29" s="15"/>
      <c r="H29" s="15"/>
      <c r="I29" s="22"/>
      <c r="J29" s="23"/>
      <c r="K29" s="15"/>
      <c r="L29" s="15"/>
      <c r="M29" s="15"/>
      <c r="N29" s="15"/>
      <c r="O29" s="15"/>
      <c r="P29" s="15"/>
      <c r="Q29" s="15"/>
      <c r="R29" s="15"/>
      <c r="S29" s="15"/>
      <c r="T29" s="15"/>
      <c r="U29" s="15"/>
      <c r="V29" s="15"/>
      <c r="W29" s="15"/>
      <c r="X29" s="15"/>
      <c r="Y29" s="15"/>
      <c r="Z29" s="15"/>
      <c r="AA29" s="15"/>
      <c r="AB29" s="15"/>
      <c r="AC29" s="15"/>
      <c r="AD29" s="15"/>
      <c r="AE29" s="15"/>
      <c r="AF29" s="15"/>
      <c r="AG29" s="15"/>
      <c r="AH29" s="15"/>
    </row>
    <row r="30" spans="1:36" s="4" customFormat="1" ht="18" customHeight="1" x14ac:dyDescent="0.3">
      <c r="B30" s="4" t="s">
        <v>3428</v>
      </c>
      <c r="E30" s="37"/>
      <c r="F30" s="15"/>
      <c r="G30" s="15"/>
      <c r="H30" s="15"/>
      <c r="I30" s="22"/>
      <c r="J30" s="23"/>
      <c r="K30" s="15"/>
      <c r="L30" s="15"/>
      <c r="M30" s="15"/>
      <c r="N30" s="15"/>
      <c r="O30" s="15"/>
      <c r="P30" s="15"/>
      <c r="Q30" s="15"/>
      <c r="R30" s="15"/>
      <c r="S30" s="15"/>
      <c r="T30" s="15"/>
      <c r="U30" s="15"/>
      <c r="V30" s="15"/>
      <c r="W30" s="15"/>
      <c r="X30" s="15"/>
      <c r="Y30" s="15"/>
      <c r="Z30" s="15"/>
      <c r="AA30" s="15"/>
      <c r="AB30" s="15"/>
      <c r="AC30" s="15"/>
      <c r="AD30" s="15"/>
      <c r="AE30" s="15"/>
      <c r="AF30" s="15"/>
      <c r="AG30" s="15"/>
      <c r="AH30" s="15"/>
    </row>
    <row r="31" spans="1:36" s="346" customFormat="1" ht="18" customHeight="1" x14ac:dyDescent="0.3">
      <c r="E31" s="365"/>
      <c r="F31" s="354"/>
      <c r="G31" s="354"/>
      <c r="H31" s="354"/>
      <c r="I31" s="359"/>
      <c r="J31" s="360"/>
      <c r="K31" s="354"/>
      <c r="L31" s="354"/>
      <c r="M31" s="354"/>
      <c r="N31" s="354"/>
      <c r="O31" s="354"/>
      <c r="P31" s="354"/>
      <c r="Q31" s="354"/>
      <c r="R31" s="354"/>
      <c r="S31" s="354"/>
      <c r="T31" s="354"/>
      <c r="U31" s="354"/>
      <c r="V31" s="354"/>
      <c r="W31" s="354"/>
      <c r="X31" s="354"/>
      <c r="Y31" s="354"/>
      <c r="Z31" s="354"/>
      <c r="AA31" s="354"/>
      <c r="AB31" s="354"/>
      <c r="AC31" s="354"/>
      <c r="AD31" s="354"/>
      <c r="AE31" s="354"/>
      <c r="AF31" s="354"/>
      <c r="AG31" s="354"/>
      <c r="AH31" s="354"/>
    </row>
    <row r="32" spans="1:36" s="4" customFormat="1" ht="18" customHeight="1" x14ac:dyDescent="0.3">
      <c r="E32" s="37"/>
      <c r="F32" s="15"/>
      <c r="G32" s="15"/>
      <c r="H32" s="15"/>
      <c r="I32" s="22"/>
      <c r="J32" s="23"/>
      <c r="K32" s="15"/>
      <c r="L32" s="15"/>
      <c r="M32" s="15"/>
      <c r="N32" s="15"/>
      <c r="O32" s="15"/>
      <c r="P32" s="15"/>
      <c r="Q32" s="15"/>
      <c r="R32" s="15"/>
      <c r="S32" s="15"/>
      <c r="T32" s="15"/>
      <c r="U32" s="15"/>
      <c r="V32" s="15"/>
      <c r="W32" s="15"/>
      <c r="X32" s="15"/>
      <c r="Y32" s="15"/>
      <c r="Z32" s="15"/>
      <c r="AA32" s="15"/>
      <c r="AB32" s="15"/>
      <c r="AC32" s="15"/>
      <c r="AD32" s="15"/>
      <c r="AE32" s="15"/>
      <c r="AF32" s="15"/>
      <c r="AG32" s="15"/>
      <c r="AH32" s="15"/>
    </row>
    <row r="33" spans="1:34" s="4" customFormat="1" ht="18" customHeight="1" x14ac:dyDescent="0.3">
      <c r="A33" s="3" t="s">
        <v>1988</v>
      </c>
      <c r="E33" s="37"/>
      <c r="F33" s="15"/>
      <c r="G33" s="15"/>
      <c r="H33" s="15"/>
      <c r="I33" s="22"/>
      <c r="J33" s="23"/>
      <c r="K33" s="15"/>
      <c r="L33" s="15"/>
      <c r="M33" s="15"/>
      <c r="N33" s="15"/>
      <c r="O33" s="15"/>
      <c r="P33" s="15"/>
      <c r="Q33" s="15"/>
      <c r="R33" s="15"/>
      <c r="S33" s="15"/>
      <c r="T33" s="15"/>
      <c r="U33" s="15"/>
      <c r="V33" s="15"/>
      <c r="W33" s="15"/>
      <c r="X33" s="15"/>
      <c r="Y33" s="15"/>
      <c r="Z33" s="15"/>
      <c r="AA33" s="15"/>
      <c r="AB33" s="15"/>
      <c r="AC33" s="15"/>
      <c r="AD33" s="15"/>
      <c r="AE33" s="15"/>
      <c r="AF33" s="15"/>
      <c r="AG33" s="15"/>
      <c r="AH33" s="15"/>
    </row>
    <row r="34" spans="1:34" s="4" customFormat="1" ht="18" customHeight="1" x14ac:dyDescent="0.3">
      <c r="A34" s="369" t="s">
        <v>2633</v>
      </c>
      <c r="B34" s="346"/>
      <c r="C34" s="346"/>
      <c r="D34" s="346"/>
      <c r="E34" s="365"/>
      <c r="F34" s="354"/>
      <c r="G34" s="354"/>
      <c r="H34" s="354"/>
      <c r="I34" s="359"/>
      <c r="J34" s="360"/>
      <c r="K34" s="15"/>
      <c r="L34" s="15"/>
      <c r="M34" s="15"/>
      <c r="N34" s="15"/>
      <c r="O34" s="15"/>
      <c r="P34" s="15"/>
      <c r="Q34" s="15"/>
      <c r="R34" s="15"/>
      <c r="S34" s="15"/>
      <c r="T34" s="15"/>
      <c r="U34" s="15"/>
      <c r="V34" s="15"/>
      <c r="W34" s="15"/>
      <c r="X34" s="15"/>
      <c r="Y34" s="15"/>
      <c r="Z34" s="15"/>
      <c r="AA34" s="15"/>
      <c r="AB34" s="15"/>
      <c r="AC34" s="15"/>
      <c r="AD34" s="15"/>
      <c r="AE34" s="15"/>
      <c r="AF34" s="15"/>
      <c r="AG34" s="15"/>
      <c r="AH34" s="15"/>
    </row>
    <row r="35" spans="1:34" s="4" customFormat="1" ht="18" customHeight="1" x14ac:dyDescent="0.3">
      <c r="A35" s="369" t="s">
        <v>2634</v>
      </c>
      <c r="B35" s="346"/>
      <c r="C35" s="346"/>
      <c r="D35" s="346"/>
      <c r="E35" s="354"/>
      <c r="F35" s="354"/>
      <c r="G35" s="354"/>
      <c r="H35" s="346"/>
      <c r="I35" s="346"/>
      <c r="J35" s="346"/>
      <c r="L35" s="15"/>
      <c r="S35" s="15"/>
      <c r="T35" s="15"/>
      <c r="U35" s="15"/>
      <c r="V35" s="15"/>
      <c r="W35" s="15"/>
      <c r="X35" s="15"/>
      <c r="Y35" s="15"/>
      <c r="Z35" s="15"/>
      <c r="AA35" s="15"/>
      <c r="AB35" s="15"/>
      <c r="AC35" s="15"/>
      <c r="AD35" s="15"/>
      <c r="AE35" s="15"/>
      <c r="AF35" s="15"/>
      <c r="AG35" s="15"/>
      <c r="AH35" s="15"/>
    </row>
    <row r="36" spans="1:34" s="4" customFormat="1" ht="18" customHeight="1" x14ac:dyDescent="0.3">
      <c r="A36" s="369" t="s">
        <v>3427</v>
      </c>
      <c r="B36" s="346"/>
      <c r="C36" s="346"/>
      <c r="D36" s="346"/>
      <c r="E36" s="354"/>
      <c r="F36" s="354"/>
      <c r="G36" s="354"/>
      <c r="H36" s="346"/>
      <c r="I36" s="346"/>
      <c r="J36" s="346"/>
      <c r="L36" s="15"/>
      <c r="S36" s="15"/>
      <c r="T36" s="15"/>
      <c r="U36" s="15"/>
      <c r="V36" s="15"/>
      <c r="W36" s="15"/>
      <c r="X36" s="15"/>
      <c r="Y36" s="15"/>
      <c r="Z36" s="15"/>
      <c r="AA36" s="15"/>
      <c r="AB36" s="15"/>
      <c r="AC36" s="15"/>
      <c r="AD36" s="15"/>
      <c r="AE36" s="15"/>
      <c r="AF36" s="15"/>
      <c r="AG36" s="15"/>
      <c r="AH36" s="15"/>
    </row>
    <row r="37" spans="1:34" s="4" customFormat="1" ht="18" customHeight="1" x14ac:dyDescent="0.3">
      <c r="A37" s="369" t="s">
        <v>2635</v>
      </c>
      <c r="B37" s="346"/>
      <c r="C37" s="346"/>
      <c r="D37" s="346"/>
      <c r="E37" s="354"/>
      <c r="F37" s="354"/>
      <c r="G37" s="354"/>
      <c r="H37" s="346"/>
      <c r="I37" s="346"/>
      <c r="J37" s="346"/>
      <c r="L37" s="15"/>
      <c r="S37" s="15"/>
      <c r="T37" s="15"/>
      <c r="U37" s="15"/>
      <c r="V37" s="15"/>
      <c r="W37" s="15"/>
      <c r="X37" s="15"/>
      <c r="Y37" s="15"/>
      <c r="Z37" s="15"/>
      <c r="AA37" s="15"/>
      <c r="AB37" s="15"/>
      <c r="AC37" s="15"/>
      <c r="AD37" s="15"/>
      <c r="AE37" s="15"/>
      <c r="AF37" s="15"/>
      <c r="AG37" s="15"/>
      <c r="AH37" s="15"/>
    </row>
    <row r="38" spans="1:34" s="4" customFormat="1" ht="18" customHeight="1" x14ac:dyDescent="0.3">
      <c r="E38" s="15"/>
      <c r="F38" s="15"/>
      <c r="G38" s="15"/>
      <c r="L38" s="15"/>
      <c r="S38" s="15"/>
      <c r="T38" s="15"/>
      <c r="U38" s="15"/>
      <c r="V38" s="15"/>
      <c r="W38" s="15"/>
      <c r="X38" s="15"/>
      <c r="Y38" s="15"/>
      <c r="Z38" s="15"/>
      <c r="AA38" s="15"/>
      <c r="AB38" s="15"/>
      <c r="AC38" s="15"/>
      <c r="AD38" s="15"/>
      <c r="AE38" s="15"/>
      <c r="AF38" s="15"/>
      <c r="AG38" s="15"/>
      <c r="AH38" s="15"/>
    </row>
    <row r="39" spans="1:34" hidden="1" x14ac:dyDescent="0.3">
      <c r="A39" s="4"/>
      <c r="B39" s="4"/>
      <c r="C39" s="4"/>
      <c r="D39" s="4"/>
      <c r="E39" s="15"/>
      <c r="F39" s="15"/>
      <c r="G39" s="15"/>
      <c r="H39" s="4"/>
      <c r="I39" s="4"/>
      <c r="J39" s="4"/>
      <c r="K39" s="4"/>
      <c r="L39" s="15"/>
      <c r="M39" s="4"/>
      <c r="N39" s="4"/>
      <c r="O39" s="4"/>
      <c r="P39" s="4"/>
      <c r="Q39" s="4"/>
      <c r="R39" s="4"/>
      <c r="S39" s="15"/>
      <c r="U39" s="15"/>
      <c r="V39" s="15"/>
      <c r="W39" s="15"/>
      <c r="X39" s="15"/>
      <c r="Y39" s="15"/>
    </row>
    <row r="40" spans="1:34" hidden="1" x14ac:dyDescent="0.3">
      <c r="A40" s="4"/>
      <c r="B40" s="4"/>
      <c r="C40" s="4"/>
      <c r="D40" s="4"/>
      <c r="E40" s="15"/>
      <c r="F40" s="15"/>
      <c r="G40" s="15"/>
      <c r="H40" s="4"/>
      <c r="I40" s="4"/>
      <c r="J40" s="4"/>
      <c r="K40" s="4"/>
      <c r="L40" s="15"/>
      <c r="M40" s="4"/>
      <c r="N40" s="4"/>
      <c r="O40" s="4"/>
      <c r="P40" s="4"/>
      <c r="Q40" s="4"/>
      <c r="R40" s="4"/>
      <c r="S40" s="15"/>
      <c r="U40" s="15"/>
      <c r="V40" s="15"/>
      <c r="W40" s="15"/>
      <c r="X40" s="15"/>
      <c r="Y40" s="15"/>
    </row>
    <row r="41" spans="1:34" hidden="1" x14ac:dyDescent="0.3">
      <c r="A41" s="4"/>
      <c r="B41" s="4"/>
      <c r="C41" s="4"/>
      <c r="D41" s="4"/>
      <c r="E41" s="15"/>
      <c r="F41" s="15"/>
      <c r="G41" s="15"/>
      <c r="H41" s="4"/>
      <c r="I41" s="4"/>
      <c r="J41" s="4"/>
      <c r="K41" s="4"/>
      <c r="L41" s="15"/>
      <c r="M41" s="4"/>
      <c r="N41" s="4"/>
      <c r="O41" s="4"/>
      <c r="P41" s="4"/>
      <c r="Q41" s="4"/>
      <c r="R41" s="4"/>
      <c r="S41" s="15"/>
      <c r="U41" s="15"/>
      <c r="V41" s="15"/>
      <c r="W41" s="15"/>
      <c r="X41" s="15"/>
      <c r="Y41" s="15"/>
    </row>
    <row r="42" spans="1:34" hidden="1" x14ac:dyDescent="0.3">
      <c r="A42" s="4"/>
      <c r="B42" s="4"/>
      <c r="C42" s="4"/>
      <c r="D42" s="4"/>
      <c r="E42" s="15"/>
      <c r="F42" s="15"/>
      <c r="G42" s="15"/>
      <c r="H42" s="4"/>
      <c r="I42" s="4"/>
      <c r="J42" s="4"/>
      <c r="K42" s="4"/>
      <c r="L42" s="15"/>
      <c r="M42" s="4"/>
      <c r="N42" s="4"/>
      <c r="O42" s="4"/>
      <c r="P42" s="4"/>
      <c r="Q42" s="4"/>
      <c r="R42" s="4"/>
      <c r="S42" s="15"/>
      <c r="U42" s="15"/>
      <c r="V42" s="15"/>
      <c r="W42" s="15"/>
      <c r="X42" s="15"/>
      <c r="Y42" s="15"/>
    </row>
    <row r="43" spans="1:34" hidden="1" x14ac:dyDescent="0.3">
      <c r="A43" s="4"/>
      <c r="B43" s="4"/>
      <c r="C43" s="4"/>
      <c r="D43" s="4"/>
      <c r="E43" s="15"/>
      <c r="F43" s="15"/>
      <c r="G43" s="15"/>
      <c r="H43" s="4"/>
      <c r="I43" s="4"/>
      <c r="J43" s="4"/>
      <c r="K43" s="4"/>
      <c r="L43" s="15"/>
      <c r="M43" s="4"/>
      <c r="N43" s="4"/>
      <c r="O43" s="4"/>
      <c r="P43" s="4"/>
      <c r="Q43" s="4"/>
      <c r="R43" s="4"/>
      <c r="S43" s="15"/>
      <c r="U43" s="15"/>
      <c r="V43" s="15"/>
      <c r="W43" s="15"/>
      <c r="X43" s="15"/>
      <c r="Y43" s="15"/>
    </row>
    <row r="44" spans="1:34" hidden="1" x14ac:dyDescent="0.3">
      <c r="A44" s="4"/>
      <c r="B44" s="4"/>
      <c r="C44" s="4"/>
      <c r="D44" s="4"/>
      <c r="E44" s="15"/>
      <c r="F44" s="15"/>
      <c r="G44" s="15"/>
      <c r="H44" s="4"/>
      <c r="I44" s="4"/>
      <c r="J44" s="4"/>
      <c r="K44" s="4"/>
      <c r="L44" s="15"/>
      <c r="M44" s="4"/>
      <c r="N44" s="4"/>
      <c r="O44" s="4"/>
      <c r="P44" s="4"/>
      <c r="Q44" s="4"/>
      <c r="R44" s="4"/>
      <c r="S44" s="15"/>
      <c r="U44" s="15"/>
      <c r="V44" s="15"/>
      <c r="W44" s="15"/>
      <c r="X44" s="15"/>
      <c r="Y44" s="15"/>
    </row>
    <row r="45" spans="1:34" hidden="1" x14ac:dyDescent="0.3">
      <c r="A45" s="4"/>
      <c r="B45" s="4"/>
      <c r="C45" s="4"/>
      <c r="D45" s="4"/>
      <c r="E45" s="15"/>
      <c r="F45" s="15"/>
      <c r="G45" s="15"/>
      <c r="H45" s="4"/>
      <c r="I45" s="4"/>
      <c r="J45" s="4"/>
      <c r="K45" s="4"/>
      <c r="L45" s="15"/>
      <c r="M45" s="4"/>
      <c r="N45" s="4"/>
      <c r="O45" s="4"/>
      <c r="P45" s="4"/>
      <c r="Q45" s="4"/>
      <c r="R45" s="4"/>
      <c r="S45" s="15"/>
      <c r="U45" s="15"/>
      <c r="V45" s="15"/>
      <c r="W45" s="15"/>
      <c r="X45" s="15"/>
      <c r="Y45" s="15"/>
    </row>
    <row r="46" spans="1:34" hidden="1" x14ac:dyDescent="0.3">
      <c r="A46" s="4"/>
      <c r="B46" s="4"/>
      <c r="C46" s="4"/>
      <c r="D46" s="4"/>
      <c r="E46" s="15"/>
      <c r="F46" s="15"/>
      <c r="G46" s="15"/>
      <c r="H46" s="4"/>
      <c r="I46" s="4"/>
      <c r="J46" s="4"/>
      <c r="K46" s="4"/>
      <c r="L46" s="15"/>
      <c r="M46" s="4"/>
      <c r="N46" s="4"/>
      <c r="O46" s="4"/>
      <c r="P46" s="4"/>
      <c r="Q46" s="4"/>
      <c r="R46" s="4"/>
      <c r="S46" s="15"/>
      <c r="U46" s="15"/>
      <c r="V46" s="15"/>
      <c r="W46" s="15"/>
      <c r="X46" s="15"/>
      <c r="Y46" s="15"/>
    </row>
    <row r="47" spans="1:34" hidden="1" x14ac:dyDescent="0.3">
      <c r="A47" s="4"/>
      <c r="B47" s="4"/>
      <c r="C47" s="4"/>
      <c r="D47" s="4"/>
      <c r="E47" s="15"/>
      <c r="F47" s="15"/>
      <c r="G47" s="15"/>
      <c r="H47" s="4"/>
      <c r="I47" s="4"/>
      <c r="J47" s="4"/>
      <c r="K47" s="4"/>
      <c r="L47" s="15"/>
      <c r="M47" s="4"/>
      <c r="N47" s="4"/>
      <c r="O47" s="4"/>
      <c r="P47" s="4"/>
      <c r="Q47" s="4"/>
      <c r="R47" s="4"/>
      <c r="S47" s="15"/>
      <c r="U47" s="15"/>
      <c r="V47" s="15"/>
      <c r="W47" s="15"/>
      <c r="X47" s="15"/>
      <c r="Y47" s="15"/>
    </row>
    <row r="48" spans="1:34" hidden="1" x14ac:dyDescent="0.3">
      <c r="A48" s="4"/>
      <c r="B48" s="4"/>
      <c r="C48" s="4"/>
      <c r="D48" s="4"/>
      <c r="E48" s="15"/>
      <c r="F48" s="15"/>
      <c r="G48" s="15"/>
      <c r="H48" s="4"/>
      <c r="I48" s="4"/>
      <c r="J48" s="4"/>
      <c r="K48" s="4"/>
      <c r="L48" s="15"/>
      <c r="M48" s="4"/>
      <c r="N48" s="4"/>
      <c r="O48" s="4"/>
      <c r="P48" s="4"/>
      <c r="Q48" s="4"/>
      <c r="R48" s="4"/>
      <c r="S48" s="15"/>
      <c r="U48" s="15"/>
      <c r="V48" s="15"/>
      <c r="W48" s="15"/>
      <c r="X48" s="15"/>
      <c r="Y48" s="15"/>
    </row>
    <row r="49" spans="1:25" hidden="1" x14ac:dyDescent="0.3">
      <c r="A49" s="4"/>
      <c r="B49" s="4"/>
      <c r="C49" s="4"/>
      <c r="D49" s="4"/>
      <c r="E49" s="15"/>
      <c r="F49" s="15"/>
      <c r="G49" s="15"/>
      <c r="H49" s="4"/>
      <c r="I49" s="4"/>
      <c r="J49" s="4"/>
      <c r="K49" s="4"/>
      <c r="L49" s="15"/>
      <c r="M49" s="4"/>
      <c r="N49" s="4"/>
      <c r="O49" s="4"/>
      <c r="P49" s="4"/>
      <c r="Q49" s="4"/>
      <c r="R49" s="4"/>
      <c r="S49" s="15"/>
      <c r="U49" s="15"/>
      <c r="V49" s="15"/>
      <c r="W49" s="15"/>
      <c r="X49" s="15"/>
      <c r="Y49" s="15"/>
    </row>
    <row r="50" spans="1:25" hidden="1" x14ac:dyDescent="0.3">
      <c r="A50" s="4"/>
      <c r="B50" s="4"/>
      <c r="C50" s="4"/>
      <c r="D50" s="4"/>
      <c r="E50" s="15"/>
      <c r="F50" s="15"/>
      <c r="G50" s="15"/>
      <c r="H50" s="4"/>
      <c r="I50" s="4"/>
      <c r="J50" s="4"/>
      <c r="K50" s="4"/>
      <c r="L50" s="15"/>
      <c r="M50" s="4"/>
      <c r="N50" s="4"/>
      <c r="O50" s="4"/>
      <c r="P50" s="4"/>
      <c r="Q50" s="4"/>
      <c r="R50" s="4"/>
      <c r="S50" s="15"/>
      <c r="U50" s="15"/>
      <c r="V50" s="15"/>
      <c r="W50" s="15"/>
      <c r="X50" s="15"/>
      <c r="Y50" s="15"/>
    </row>
    <row r="51" spans="1:25" hidden="1" x14ac:dyDescent="0.3">
      <c r="A51" s="4"/>
      <c r="B51" s="4"/>
      <c r="C51" s="4"/>
      <c r="D51" s="4"/>
      <c r="E51" s="15"/>
      <c r="F51" s="15"/>
      <c r="G51" s="15"/>
      <c r="H51" s="4"/>
      <c r="I51" s="4"/>
      <c r="J51" s="4"/>
      <c r="K51" s="4"/>
      <c r="L51" s="15"/>
      <c r="M51" s="4"/>
      <c r="N51" s="4"/>
      <c r="O51" s="4"/>
      <c r="P51" s="4"/>
      <c r="Q51" s="4"/>
      <c r="R51" s="4"/>
      <c r="S51" s="15"/>
      <c r="U51" s="15"/>
      <c r="V51" s="15"/>
      <c r="W51" s="15"/>
      <c r="X51" s="15"/>
      <c r="Y51" s="15"/>
    </row>
    <row r="52" spans="1:25" hidden="1" x14ac:dyDescent="0.3">
      <c r="A52" s="4"/>
      <c r="B52" s="4"/>
      <c r="C52" s="4"/>
      <c r="D52" s="4"/>
      <c r="E52" s="15"/>
      <c r="F52" s="15"/>
      <c r="G52" s="15"/>
      <c r="H52" s="4"/>
      <c r="I52" s="4"/>
      <c r="J52" s="4"/>
      <c r="K52" s="4"/>
      <c r="L52" s="15"/>
      <c r="M52" s="4"/>
      <c r="N52" s="4"/>
      <c r="O52" s="4"/>
      <c r="P52" s="4"/>
      <c r="Q52" s="4"/>
      <c r="R52" s="4"/>
      <c r="S52" s="15"/>
      <c r="U52" s="15"/>
      <c r="V52" s="15"/>
      <c r="W52" s="15"/>
      <c r="X52" s="15"/>
      <c r="Y52" s="15"/>
    </row>
    <row r="53" spans="1:25" hidden="1" x14ac:dyDescent="0.3">
      <c r="A53" s="4"/>
      <c r="B53" s="4"/>
      <c r="C53" s="4"/>
      <c r="D53" s="4"/>
      <c r="E53" s="15"/>
      <c r="F53" s="15"/>
      <c r="G53" s="15"/>
      <c r="H53" s="4"/>
      <c r="I53" s="4"/>
      <c r="J53" s="4"/>
      <c r="K53" s="4"/>
      <c r="L53" s="15"/>
      <c r="M53" s="4"/>
      <c r="N53" s="4"/>
      <c r="O53" s="4"/>
      <c r="P53" s="4"/>
      <c r="Q53" s="4"/>
      <c r="R53" s="4"/>
      <c r="S53" s="15"/>
      <c r="U53" s="15"/>
      <c r="V53" s="15"/>
      <c r="W53" s="15"/>
      <c r="X53" s="15"/>
      <c r="Y53" s="15"/>
    </row>
    <row r="54" spans="1:25" hidden="1" x14ac:dyDescent="0.3">
      <c r="A54" s="4"/>
      <c r="B54" s="4"/>
      <c r="C54" s="4"/>
      <c r="D54" s="4"/>
      <c r="E54" s="15"/>
      <c r="F54" s="15"/>
      <c r="G54" s="15"/>
      <c r="H54" s="4"/>
      <c r="I54" s="4"/>
      <c r="J54" s="4"/>
      <c r="K54" s="4"/>
      <c r="L54" s="15"/>
      <c r="M54" s="4"/>
      <c r="N54" s="4"/>
      <c r="O54" s="4"/>
      <c r="P54" s="4"/>
      <c r="Q54" s="4"/>
      <c r="R54" s="4"/>
      <c r="S54" s="15"/>
      <c r="U54" s="15"/>
      <c r="V54" s="15"/>
      <c r="W54" s="15"/>
      <c r="X54" s="15"/>
      <c r="Y54" s="15"/>
    </row>
    <row r="55" spans="1:25" hidden="1" x14ac:dyDescent="0.3">
      <c r="A55" s="4"/>
      <c r="B55" s="4"/>
      <c r="C55" s="4"/>
      <c r="D55" s="4"/>
      <c r="E55" s="15"/>
      <c r="F55" s="15"/>
      <c r="G55" s="15"/>
      <c r="H55" s="4"/>
      <c r="I55" s="4"/>
      <c r="J55" s="4"/>
      <c r="K55" s="4"/>
      <c r="L55" s="15"/>
      <c r="M55" s="4"/>
      <c r="N55" s="4"/>
      <c r="O55" s="4"/>
      <c r="P55" s="4"/>
      <c r="Q55" s="4"/>
      <c r="R55" s="4"/>
      <c r="S55" s="15"/>
      <c r="U55" s="15"/>
      <c r="V55" s="15"/>
      <c r="W55" s="15"/>
      <c r="X55" s="15"/>
      <c r="Y55" s="15"/>
    </row>
    <row r="56" spans="1:25" hidden="1" x14ac:dyDescent="0.3">
      <c r="A56" s="4"/>
      <c r="B56" s="4"/>
      <c r="C56" s="4"/>
      <c r="D56" s="4"/>
      <c r="E56" s="15"/>
      <c r="F56" s="15"/>
      <c r="G56" s="15"/>
      <c r="H56" s="4"/>
      <c r="I56" s="4"/>
      <c r="J56" s="4"/>
      <c r="K56" s="4"/>
      <c r="L56" s="15"/>
      <c r="M56" s="4"/>
      <c r="N56" s="4"/>
      <c r="O56" s="4"/>
      <c r="P56" s="4"/>
      <c r="Q56" s="4"/>
      <c r="R56" s="4"/>
      <c r="S56" s="15"/>
      <c r="U56" s="15"/>
      <c r="V56" s="15"/>
      <c r="W56" s="15"/>
      <c r="X56" s="15"/>
      <c r="Y56" s="15"/>
    </row>
    <row r="57" spans="1:25" hidden="1" x14ac:dyDescent="0.3">
      <c r="A57" s="4"/>
      <c r="B57" s="4"/>
      <c r="C57" s="4"/>
      <c r="D57" s="4"/>
      <c r="E57" s="15"/>
      <c r="F57" s="15"/>
      <c r="G57" s="15"/>
      <c r="H57" s="4"/>
      <c r="I57" s="4"/>
      <c r="J57" s="4"/>
      <c r="K57" s="4"/>
      <c r="L57" s="15"/>
      <c r="M57" s="4"/>
      <c r="N57" s="4"/>
      <c r="O57" s="4"/>
      <c r="P57" s="4"/>
      <c r="Q57" s="4"/>
      <c r="R57" s="4"/>
      <c r="S57" s="15"/>
      <c r="U57" s="15"/>
      <c r="V57" s="15"/>
      <c r="W57" s="15"/>
      <c r="X57" s="15"/>
      <c r="Y57" s="15"/>
    </row>
    <row r="58" spans="1:25" hidden="1" x14ac:dyDescent="0.3">
      <c r="A58" s="4"/>
      <c r="B58" s="4"/>
      <c r="C58" s="4"/>
      <c r="D58" s="4"/>
      <c r="E58" s="15"/>
      <c r="F58" s="15"/>
      <c r="G58" s="15"/>
      <c r="H58" s="4"/>
      <c r="I58" s="4"/>
      <c r="J58" s="4"/>
      <c r="K58" s="4"/>
      <c r="L58" s="15"/>
      <c r="M58" s="4"/>
      <c r="N58" s="4"/>
      <c r="O58" s="4"/>
      <c r="P58" s="4"/>
      <c r="Q58" s="4"/>
      <c r="R58" s="4"/>
      <c r="S58" s="15"/>
      <c r="U58" s="15"/>
      <c r="V58" s="15"/>
      <c r="W58" s="15"/>
      <c r="X58" s="15"/>
      <c r="Y58" s="15"/>
    </row>
    <row r="59" spans="1:25" hidden="1" x14ac:dyDescent="0.3">
      <c r="A59" s="4"/>
      <c r="B59" s="4"/>
      <c r="C59" s="4"/>
      <c r="D59" s="4"/>
      <c r="E59" s="15"/>
      <c r="F59" s="15"/>
      <c r="G59" s="15"/>
      <c r="H59" s="4"/>
      <c r="I59" s="4"/>
      <c r="J59" s="4"/>
      <c r="K59" s="4"/>
      <c r="L59" s="15"/>
      <c r="M59" s="4"/>
      <c r="N59" s="4"/>
      <c r="O59" s="4"/>
      <c r="P59" s="4"/>
      <c r="Q59" s="4"/>
      <c r="R59" s="4"/>
      <c r="S59" s="15"/>
      <c r="U59" s="15"/>
      <c r="V59" s="15"/>
      <c r="W59" s="15"/>
      <c r="X59" s="15"/>
      <c r="Y59" s="15"/>
    </row>
    <row r="60" spans="1:25" hidden="1" x14ac:dyDescent="0.3">
      <c r="A60" s="4"/>
      <c r="B60" s="4"/>
      <c r="C60" s="4"/>
      <c r="D60" s="4"/>
      <c r="E60" s="15"/>
      <c r="F60" s="15"/>
      <c r="G60" s="15"/>
      <c r="H60" s="4"/>
      <c r="I60" s="4"/>
      <c r="J60" s="4"/>
      <c r="K60" s="4"/>
      <c r="L60" s="15"/>
      <c r="M60" s="4"/>
      <c r="N60" s="4"/>
      <c r="O60" s="4"/>
      <c r="P60" s="4"/>
      <c r="Q60" s="4"/>
      <c r="R60" s="4"/>
      <c r="S60" s="15"/>
      <c r="U60" s="15"/>
      <c r="V60" s="15"/>
      <c r="W60" s="15"/>
      <c r="X60" s="15"/>
      <c r="Y60" s="15"/>
    </row>
    <row r="61" spans="1:25" hidden="1" x14ac:dyDescent="0.3">
      <c r="A61" s="4"/>
      <c r="B61" s="4"/>
      <c r="C61" s="4"/>
      <c r="D61" s="4"/>
      <c r="E61" s="15"/>
      <c r="F61" s="15"/>
      <c r="G61" s="15"/>
      <c r="H61" s="4"/>
      <c r="I61" s="4"/>
      <c r="J61" s="4"/>
      <c r="K61" s="4"/>
      <c r="L61" s="15"/>
      <c r="M61" s="4"/>
      <c r="N61" s="4"/>
      <c r="O61" s="4"/>
      <c r="P61" s="4"/>
      <c r="Q61" s="4"/>
      <c r="R61" s="4"/>
      <c r="S61" s="15"/>
      <c r="U61" s="15"/>
      <c r="V61" s="15"/>
      <c r="W61" s="15"/>
      <c r="X61" s="15"/>
      <c r="Y61" s="15"/>
    </row>
    <row r="62" spans="1:25" hidden="1" x14ac:dyDescent="0.3">
      <c r="A62" s="4"/>
      <c r="B62" s="4"/>
      <c r="C62" s="4"/>
      <c r="D62" s="4"/>
      <c r="E62" s="15"/>
      <c r="F62" s="15"/>
      <c r="G62" s="15"/>
      <c r="H62" s="4"/>
      <c r="I62" s="4"/>
      <c r="J62" s="4"/>
      <c r="K62" s="4"/>
      <c r="L62" s="15"/>
      <c r="M62" s="4"/>
      <c r="N62" s="4"/>
      <c r="O62" s="4"/>
      <c r="P62" s="4"/>
      <c r="Q62" s="4"/>
      <c r="R62" s="4"/>
      <c r="S62" s="15"/>
      <c r="U62" s="15"/>
      <c r="V62" s="15"/>
      <c r="W62" s="15"/>
      <c r="X62" s="15"/>
      <c r="Y62" s="15"/>
    </row>
    <row r="63" spans="1:25" hidden="1" x14ac:dyDescent="0.3">
      <c r="A63" s="4"/>
      <c r="B63" s="4"/>
      <c r="C63" s="4"/>
      <c r="D63" s="4"/>
      <c r="E63" s="15"/>
      <c r="F63" s="15"/>
      <c r="G63" s="15"/>
      <c r="H63" s="4"/>
      <c r="I63" s="4"/>
      <c r="J63" s="4"/>
      <c r="K63" s="4"/>
      <c r="L63" s="15"/>
      <c r="M63" s="4"/>
      <c r="N63" s="4"/>
      <c r="O63" s="4"/>
      <c r="P63" s="4"/>
      <c r="Q63" s="4"/>
      <c r="R63" s="4"/>
      <c r="S63" s="15"/>
      <c r="U63" s="15"/>
      <c r="V63" s="15"/>
      <c r="W63" s="15"/>
      <c r="X63" s="15"/>
      <c r="Y63" s="15"/>
    </row>
    <row r="64" spans="1:25" hidden="1" x14ac:dyDescent="0.3">
      <c r="A64" s="4"/>
      <c r="B64" s="4"/>
      <c r="C64" s="4"/>
      <c r="D64" s="4"/>
      <c r="E64" s="15"/>
      <c r="F64" s="15"/>
      <c r="G64" s="15"/>
      <c r="H64" s="4"/>
      <c r="I64" s="4"/>
      <c r="J64" s="4"/>
      <c r="K64" s="4"/>
      <c r="L64" s="15"/>
      <c r="M64" s="4"/>
      <c r="N64" s="4"/>
      <c r="O64" s="4"/>
      <c r="P64" s="4"/>
      <c r="Q64" s="4"/>
      <c r="R64" s="4"/>
      <c r="S64" s="15"/>
      <c r="U64" s="15"/>
      <c r="V64" s="15"/>
      <c r="W64" s="15"/>
      <c r="X64" s="15"/>
      <c r="Y64" s="15"/>
    </row>
    <row r="65" spans="1:25" hidden="1" x14ac:dyDescent="0.3">
      <c r="A65" s="4"/>
      <c r="B65" s="4"/>
      <c r="C65" s="4"/>
      <c r="D65" s="4"/>
      <c r="E65" s="15"/>
      <c r="F65" s="15"/>
      <c r="G65" s="15"/>
      <c r="H65" s="4"/>
      <c r="I65" s="4"/>
      <c r="J65" s="4"/>
      <c r="K65" s="4"/>
      <c r="L65" s="15"/>
      <c r="M65" s="4"/>
      <c r="N65" s="4"/>
      <c r="O65" s="4"/>
      <c r="P65" s="4"/>
      <c r="Q65" s="4"/>
      <c r="R65" s="4"/>
      <c r="S65" s="15"/>
      <c r="U65" s="15"/>
      <c r="V65" s="15"/>
      <c r="W65" s="15"/>
      <c r="X65" s="15"/>
      <c r="Y65" s="15"/>
    </row>
    <row r="66" spans="1:25" hidden="1" x14ac:dyDescent="0.3">
      <c r="A66" s="4"/>
      <c r="B66" s="4"/>
      <c r="C66" s="4"/>
      <c r="D66" s="4"/>
      <c r="E66" s="15"/>
      <c r="F66" s="15"/>
      <c r="G66" s="15"/>
      <c r="H66" s="4"/>
      <c r="I66" s="4"/>
      <c r="J66" s="4"/>
      <c r="K66" s="4"/>
      <c r="L66" s="15"/>
      <c r="M66" s="4"/>
      <c r="N66" s="4"/>
      <c r="O66" s="4"/>
      <c r="P66" s="4"/>
      <c r="Q66" s="4"/>
      <c r="R66" s="4"/>
      <c r="S66" s="15"/>
      <c r="U66" s="15"/>
      <c r="V66" s="15"/>
      <c r="W66" s="15"/>
      <c r="X66" s="15"/>
      <c r="Y66" s="15"/>
    </row>
    <row r="67" spans="1:25" hidden="1" x14ac:dyDescent="0.3">
      <c r="A67" s="4"/>
      <c r="B67" s="4"/>
      <c r="C67" s="4"/>
      <c r="D67" s="4"/>
      <c r="E67" s="15"/>
      <c r="F67" s="15"/>
      <c r="G67" s="15"/>
      <c r="H67" s="4"/>
      <c r="I67" s="4"/>
      <c r="J67" s="4"/>
      <c r="K67" s="4"/>
      <c r="L67" s="15"/>
      <c r="M67" s="4"/>
      <c r="N67" s="4"/>
      <c r="O67" s="4"/>
      <c r="P67" s="4"/>
      <c r="Q67" s="4"/>
      <c r="R67" s="4"/>
      <c r="S67" s="15"/>
      <c r="U67" s="15"/>
      <c r="V67" s="15"/>
      <c r="W67" s="15"/>
      <c r="X67" s="15"/>
      <c r="Y67" s="15"/>
    </row>
    <row r="68" spans="1:25" hidden="1" x14ac:dyDescent="0.3">
      <c r="A68" s="4"/>
      <c r="B68" s="4"/>
      <c r="C68" s="4"/>
      <c r="D68" s="4"/>
      <c r="E68" s="15"/>
      <c r="F68" s="15"/>
      <c r="G68" s="15"/>
      <c r="H68" s="4"/>
      <c r="I68" s="4"/>
      <c r="J68" s="4"/>
      <c r="K68" s="4"/>
      <c r="L68" s="15"/>
      <c r="M68" s="4"/>
      <c r="N68" s="4"/>
      <c r="O68" s="4"/>
      <c r="P68" s="4"/>
      <c r="Q68" s="4"/>
      <c r="R68" s="4"/>
      <c r="S68" s="15"/>
      <c r="U68" s="15"/>
      <c r="V68" s="15"/>
      <c r="W68" s="15"/>
      <c r="X68" s="15"/>
      <c r="Y68" s="15"/>
    </row>
    <row r="69" spans="1:25" hidden="1" x14ac:dyDescent="0.3">
      <c r="A69" s="4"/>
      <c r="B69" s="4"/>
      <c r="C69" s="4"/>
      <c r="D69" s="4"/>
      <c r="E69" s="15"/>
      <c r="F69" s="15"/>
      <c r="G69" s="15"/>
      <c r="H69" s="4"/>
      <c r="I69" s="4"/>
      <c r="J69" s="4"/>
      <c r="K69" s="4"/>
      <c r="L69" s="15"/>
      <c r="M69" s="4"/>
      <c r="N69" s="4"/>
      <c r="O69" s="4"/>
      <c r="P69" s="4"/>
      <c r="Q69" s="4"/>
      <c r="R69" s="4"/>
      <c r="S69" s="15"/>
      <c r="U69" s="15"/>
      <c r="V69" s="15"/>
      <c r="W69" s="15"/>
      <c r="X69" s="15"/>
      <c r="Y69" s="15"/>
    </row>
    <row r="70" spans="1:25" hidden="1" x14ac:dyDescent="0.3">
      <c r="A70" s="4"/>
      <c r="B70" s="4"/>
      <c r="C70" s="4"/>
      <c r="D70" s="4"/>
      <c r="E70" s="15"/>
      <c r="F70" s="15"/>
      <c r="G70" s="15"/>
      <c r="H70" s="4"/>
      <c r="I70" s="4"/>
      <c r="J70" s="4"/>
      <c r="K70" s="4"/>
      <c r="L70" s="15"/>
      <c r="M70" s="4"/>
      <c r="N70" s="4"/>
      <c r="O70" s="4"/>
      <c r="P70" s="4"/>
      <c r="Q70" s="4"/>
      <c r="R70" s="4"/>
      <c r="S70" s="15"/>
      <c r="U70" s="15"/>
      <c r="V70" s="15"/>
      <c r="W70" s="15"/>
      <c r="X70" s="15"/>
      <c r="Y70" s="15"/>
    </row>
    <row r="71" spans="1:25" hidden="1" x14ac:dyDescent="0.3">
      <c r="A71" s="4"/>
      <c r="B71" s="4"/>
      <c r="C71" s="4"/>
      <c r="D71" s="4"/>
      <c r="E71" s="15"/>
      <c r="F71" s="15"/>
      <c r="G71" s="15"/>
      <c r="H71" s="4"/>
      <c r="I71" s="4"/>
      <c r="J71" s="4"/>
      <c r="K71" s="4"/>
      <c r="L71" s="15"/>
      <c r="M71" s="4"/>
      <c r="N71" s="4"/>
      <c r="O71" s="4"/>
      <c r="P71" s="4"/>
      <c r="Q71" s="4"/>
      <c r="R71" s="4"/>
      <c r="X71" s="15"/>
      <c r="Y71" s="15"/>
    </row>
    <row r="72" spans="1:25" hidden="1" x14ac:dyDescent="0.3">
      <c r="A72" s="4"/>
      <c r="B72" s="4"/>
      <c r="C72" s="4"/>
      <c r="D72" s="4"/>
      <c r="E72" s="15"/>
      <c r="F72" s="15"/>
      <c r="G72" s="15"/>
      <c r="H72" s="4"/>
      <c r="I72" s="4"/>
      <c r="J72" s="4"/>
      <c r="K72" s="4"/>
      <c r="L72" s="15"/>
      <c r="M72" s="4"/>
      <c r="N72" s="4"/>
      <c r="O72" s="4"/>
      <c r="P72" s="4"/>
      <c r="Q72" s="4"/>
      <c r="R72" s="4"/>
      <c r="X72" s="15"/>
      <c r="Y72" s="15"/>
    </row>
    <row r="73" spans="1:25" hidden="1" x14ac:dyDescent="0.3">
      <c r="A73" s="4"/>
      <c r="B73" s="4"/>
      <c r="C73" s="4"/>
      <c r="D73" s="4"/>
      <c r="E73" s="15"/>
      <c r="F73" s="15"/>
      <c r="G73" s="15"/>
      <c r="H73" s="4"/>
      <c r="I73" s="4"/>
      <c r="J73" s="4"/>
      <c r="K73" s="4"/>
      <c r="L73" s="15"/>
      <c r="M73" s="4"/>
      <c r="N73" s="4"/>
      <c r="O73" s="4"/>
      <c r="P73" s="4"/>
      <c r="Q73" s="4"/>
      <c r="R73" s="4"/>
      <c r="X73" s="15"/>
      <c r="Y73" s="15"/>
    </row>
    <row r="74" spans="1:25" hidden="1" x14ac:dyDescent="0.3">
      <c r="A74" s="4"/>
      <c r="B74" s="4"/>
      <c r="C74" s="4"/>
      <c r="D74" s="4"/>
      <c r="E74" s="15"/>
      <c r="F74" s="15"/>
      <c r="G74" s="15"/>
      <c r="H74" s="4"/>
      <c r="I74" s="4"/>
      <c r="J74" s="4"/>
      <c r="K74" s="4"/>
      <c r="L74" s="15"/>
      <c r="M74" s="4"/>
      <c r="N74" s="4"/>
      <c r="O74" s="4"/>
      <c r="P74" s="4"/>
      <c r="Q74" s="4"/>
      <c r="R74" s="4"/>
      <c r="X74" s="15"/>
      <c r="Y74" s="15"/>
    </row>
    <row r="75" spans="1:25" hidden="1" x14ac:dyDescent="0.3">
      <c r="A75" s="4"/>
      <c r="B75" s="4"/>
      <c r="C75" s="4"/>
      <c r="D75" s="4"/>
      <c r="E75" s="15"/>
      <c r="F75" s="15"/>
      <c r="G75" s="15"/>
      <c r="H75" s="4"/>
      <c r="I75" s="4"/>
      <c r="J75" s="4"/>
      <c r="K75" s="4"/>
      <c r="L75" s="15"/>
      <c r="M75" s="4"/>
      <c r="N75" s="4"/>
      <c r="O75" s="4"/>
      <c r="P75" s="4"/>
      <c r="Q75" s="4"/>
      <c r="R75" s="4"/>
      <c r="X75" s="15"/>
      <c r="Y75" s="15"/>
    </row>
    <row r="76" spans="1:25" hidden="1" x14ac:dyDescent="0.3">
      <c r="A76" s="4"/>
      <c r="B76" s="4"/>
      <c r="C76" s="4"/>
      <c r="D76" s="4"/>
      <c r="E76" s="15"/>
      <c r="F76" s="15"/>
      <c r="G76" s="15"/>
      <c r="H76" s="4"/>
      <c r="I76" s="4"/>
      <c r="J76" s="4"/>
      <c r="K76" s="4"/>
      <c r="L76" s="15"/>
      <c r="M76" s="4"/>
      <c r="N76" s="4"/>
      <c r="O76" s="4"/>
      <c r="P76" s="4"/>
      <c r="Q76" s="4"/>
      <c r="R76" s="4"/>
      <c r="X76" s="15"/>
      <c r="Y76" s="15"/>
    </row>
    <row r="77" spans="1:25" hidden="1" x14ac:dyDescent="0.3">
      <c r="A77" s="4"/>
      <c r="B77" s="4"/>
      <c r="C77" s="4"/>
      <c r="D77" s="4"/>
      <c r="E77" s="15"/>
      <c r="F77" s="15"/>
      <c r="G77" s="15"/>
      <c r="H77" s="4"/>
      <c r="I77" s="4"/>
      <c r="J77" s="4"/>
      <c r="K77" s="4"/>
      <c r="L77" s="15"/>
      <c r="M77" s="4"/>
      <c r="N77" s="4"/>
      <c r="O77" s="4"/>
      <c r="P77" s="4"/>
      <c r="Q77" s="4"/>
      <c r="R77" s="4"/>
      <c r="X77" s="15"/>
      <c r="Y77" s="15"/>
    </row>
    <row r="78" spans="1:25" hidden="1" x14ac:dyDescent="0.3">
      <c r="A78" s="4"/>
      <c r="B78" s="4"/>
      <c r="C78" s="4"/>
      <c r="D78" s="4"/>
      <c r="E78" s="15"/>
      <c r="F78" s="15"/>
      <c r="G78" s="15"/>
      <c r="H78" s="4"/>
      <c r="I78" s="4"/>
      <c r="J78" s="4"/>
      <c r="K78" s="4"/>
      <c r="L78" s="15"/>
      <c r="M78" s="4"/>
      <c r="N78" s="4"/>
      <c r="O78" s="4"/>
      <c r="P78" s="4"/>
      <c r="Q78" s="4"/>
      <c r="R78" s="4"/>
      <c r="X78" s="15"/>
      <c r="Y78" s="15"/>
    </row>
    <row r="79" spans="1:25" hidden="1" x14ac:dyDescent="0.3">
      <c r="A79" s="4"/>
      <c r="B79" s="4"/>
      <c r="C79" s="4"/>
      <c r="D79" s="4"/>
      <c r="E79" s="15"/>
      <c r="F79" s="15"/>
      <c r="G79" s="15"/>
      <c r="H79" s="4"/>
      <c r="I79" s="4"/>
      <c r="J79" s="4"/>
      <c r="K79" s="4"/>
      <c r="L79" s="15"/>
      <c r="M79" s="4"/>
      <c r="N79" s="4"/>
      <c r="O79" s="4"/>
      <c r="P79" s="4"/>
      <c r="Q79" s="4"/>
      <c r="R79" s="4"/>
      <c r="X79" s="15"/>
      <c r="Y79" s="15"/>
    </row>
    <row r="80" spans="1:25" hidden="1" x14ac:dyDescent="0.3">
      <c r="A80" s="4"/>
      <c r="B80" s="4"/>
      <c r="C80" s="4"/>
      <c r="D80" s="4"/>
      <c r="E80" s="15"/>
      <c r="F80" s="15"/>
      <c r="G80" s="15"/>
      <c r="H80" s="4"/>
      <c r="I80" s="4"/>
      <c r="J80" s="4"/>
      <c r="K80" s="4"/>
      <c r="L80" s="15"/>
      <c r="M80" s="4"/>
      <c r="N80" s="4"/>
      <c r="O80" s="4"/>
      <c r="P80" s="4"/>
      <c r="Q80" s="4"/>
      <c r="R80" s="4"/>
      <c r="X80" s="15"/>
      <c r="Y80" s="15"/>
    </row>
    <row r="81" spans="1:25" hidden="1" x14ac:dyDescent="0.3">
      <c r="A81" s="4"/>
      <c r="B81" s="4"/>
      <c r="C81" s="4"/>
      <c r="D81" s="4"/>
      <c r="E81" s="15"/>
      <c r="F81" s="15"/>
      <c r="G81" s="15"/>
      <c r="H81" s="4"/>
      <c r="I81" s="4"/>
      <c r="J81" s="4"/>
      <c r="K81" s="4"/>
      <c r="L81" s="15"/>
      <c r="M81" s="4"/>
      <c r="N81" s="4"/>
      <c r="O81" s="4"/>
      <c r="P81" s="4"/>
      <c r="Q81" s="4"/>
      <c r="R81" s="4"/>
      <c r="X81" s="15"/>
      <c r="Y81" s="15"/>
    </row>
    <row r="82" spans="1:25" hidden="1" x14ac:dyDescent="0.3">
      <c r="A82" s="4"/>
      <c r="B82" s="4"/>
      <c r="C82" s="4"/>
      <c r="D82" s="4"/>
      <c r="E82" s="15"/>
      <c r="F82" s="15"/>
      <c r="G82" s="15"/>
      <c r="H82" s="4"/>
      <c r="I82" s="4"/>
      <c r="J82" s="4"/>
      <c r="K82" s="4"/>
      <c r="L82" s="15"/>
      <c r="M82" s="4"/>
      <c r="N82" s="4"/>
      <c r="O82" s="4"/>
      <c r="P82" s="4"/>
      <c r="Q82" s="4"/>
      <c r="R82" s="4"/>
      <c r="X82" s="15"/>
      <c r="Y82" s="15"/>
    </row>
  </sheetData>
  <mergeCells count="4">
    <mergeCell ref="I1:J1"/>
    <mergeCell ref="M2:M19"/>
    <mergeCell ref="S2:S19"/>
    <mergeCell ref="Z2:Z19"/>
  </mergeCells>
  <phoneticPr fontId="2" type="noConversion"/>
  <conditionalFormatting sqref="I2:J19">
    <cfRule type="cellIs" dxfId="179" priority="25" operator="equal">
      <formula>"/"</formula>
    </cfRule>
    <cfRule type="cellIs" dxfId="178" priority="28" operator="lessThan">
      <formula>0</formula>
    </cfRule>
    <cfRule type="cellIs" dxfId="177" priority="29" operator="greaterThan">
      <formula>0</formula>
    </cfRule>
  </conditionalFormatting>
  <conditionalFormatting sqref="L2:L19">
    <cfRule type="cellIs" dxfId="176" priority="22" operator="equal">
      <formula>2</formula>
    </cfRule>
    <cfRule type="cellIs" dxfId="175" priority="23" operator="equal">
      <formula>1</formula>
    </cfRule>
    <cfRule type="cellIs" dxfId="174" priority="24" operator="equal">
      <formula>0</formula>
    </cfRule>
  </conditionalFormatting>
  <conditionalFormatting sqref="G2:G19">
    <cfRule type="expression" dxfId="173" priority="7">
      <formula>$I$1="差距(LQ)"</formula>
    </cfRule>
  </conditionalFormatting>
  <conditionalFormatting sqref="F2:F19">
    <cfRule type="expression" dxfId="172" priority="6">
      <formula>$I$1="差距(Median)"</formula>
    </cfRule>
  </conditionalFormatting>
  <conditionalFormatting sqref="A2:M2 A3:L19 T2:Z2 T3:Y19 AA2:XFD19">
    <cfRule type="expression" dxfId="171" priority="1172">
      <formula>MOD(ROW(),2)=0</formula>
    </cfRule>
  </conditionalFormatting>
  <conditionalFormatting sqref="S2">
    <cfRule type="expression" dxfId="170" priority="5">
      <formula>MOD(ROW(),2)=0</formula>
    </cfRule>
  </conditionalFormatting>
  <conditionalFormatting sqref="S2 Z2 AG2:AG19">
    <cfRule type="expression" dxfId="169" priority="4">
      <formula>TRUE</formula>
    </cfRule>
  </conditionalFormatting>
  <hyperlinks>
    <hyperlink ref="A34" r:id="rId1" xr:uid="{00000000-0004-0000-0D00-000000000000}"/>
    <hyperlink ref="A35" r:id="rId2" xr:uid="{00000000-0004-0000-0D00-000001000000}"/>
    <hyperlink ref="A36" r:id="rId3" xr:uid="{00000000-0004-0000-0D00-000002000000}"/>
    <hyperlink ref="A37" r:id="rId4" xr:uid="{00000000-0004-0000-0D00-000003000000}"/>
  </hyperlinks>
  <pageMargins left="0.7" right="0.7" top="0.75" bottom="0.75" header="0.3" footer="0.3"/>
  <pageSetup paperSize="9" orientation="portrait" r:id="rId5"/>
  <drawing r:id="rId6"/>
  <legacyDrawing r:id="rId7"/>
  <extLst>
    <ext xmlns:x14="http://schemas.microsoft.com/office/spreadsheetml/2009/9/main" uri="{78C0D931-6437-407d-A8EE-F0AAD7539E65}">
      <x14:conditionalFormattings>
        <x14:conditionalFormatting xmlns:xm="http://schemas.microsoft.com/office/excel/2006/main">
          <x14:cfRule type="expression" priority="1" id="{69743272-38CC-4487-95D6-BECFF9968576}">
            <xm:f>入學要求!K296=0</xm:f>
            <x14:dxf>
              <font>
                <color rgb="FF9C0006"/>
              </font>
              <fill>
                <patternFill>
                  <bgColor rgb="FFFFC7CE"/>
                </patternFill>
              </fill>
            </x14:dxf>
          </x14:cfRule>
          <x14:cfRule type="expression" priority="2" id="{DFAE2804-858E-4D9F-BF5B-4A3504355F09}">
            <xm:f>入學要求!K296=2</xm:f>
            <x14:dxf>
              <font>
                <color rgb="FF9C5700"/>
              </font>
              <fill>
                <patternFill>
                  <bgColor rgb="FFFFEB9C"/>
                </patternFill>
              </fill>
            </x14:dxf>
          </x14:cfRule>
          <x14:cfRule type="expression" priority="3" id="{D746DC3F-B538-4C98-9654-C5CA1C33FC5B}">
            <xm:f>入學要求!K296=1</xm:f>
            <x14:dxf>
              <font>
                <color rgb="FF006100"/>
              </font>
              <fill>
                <patternFill>
                  <bgColor rgb="FFC6EFCE"/>
                </patternFill>
              </fill>
            </x14:dxf>
          </x14:cfRule>
          <xm:sqref>N2:R19</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D00-000000000000}">
          <x14:formula1>
            <xm:f>選單!$J$2:$J$3</xm:f>
          </x14:formula1>
          <xm:sqref>I1:J1</xm:sqref>
        </x14:dataValidation>
        <x14:dataValidation type="list" allowBlank="1" showInputMessage="1" showErrorMessage="1" xr:uid="{A33C603F-53BD-44C9-A467-7A4D69EE6DDE}">
          <x14:formula1>
            <xm:f>選單!$I$1:$I$4</xm:f>
          </x14:formula1>
          <xm:sqref>S2:S19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工作表12">
    <tabColor rgb="FFFF6600"/>
  </sheetPr>
  <dimension ref="A1:AJ39"/>
  <sheetViews>
    <sheetView zoomScaleNormal="100" workbookViewId="0">
      <pane ySplit="1" topLeftCell="A2" activePane="bottomLeft" state="frozen"/>
      <selection pane="bottomLeft" activeCell="R2" sqref="R2:R25"/>
    </sheetView>
  </sheetViews>
  <sheetFormatPr defaultColWidth="0" defaultRowHeight="16.2" zeroHeight="1" x14ac:dyDescent="0.3"/>
  <cols>
    <col min="1" max="1" width="7.109375" style="5" customWidth="1"/>
    <col min="2" max="2" width="9.109375" style="5" customWidth="1"/>
    <col min="3" max="3" width="25.77734375" style="5" customWidth="1"/>
    <col min="4" max="4" width="10.6640625" style="5" hidden="1" customWidth="1"/>
    <col min="5" max="5" width="7.77734375" style="37" customWidth="1"/>
    <col min="6" max="6" width="7.77734375" style="15" customWidth="1"/>
    <col min="7" max="7" width="7.77734375" style="14" customWidth="1"/>
    <col min="8" max="8" width="7.6640625" style="17" customWidth="1"/>
    <col min="9" max="9" width="7.6640625" style="18" customWidth="1"/>
    <col min="10" max="10" width="4.88671875" style="14" customWidth="1"/>
    <col min="11" max="11" width="4.6640625" style="14" customWidth="1"/>
    <col min="12" max="12" width="9.77734375" style="14" customWidth="1"/>
    <col min="13" max="17" width="2.21875" style="14" customWidth="1"/>
    <col min="18" max="18" width="8.88671875" style="14" customWidth="1"/>
    <col min="19" max="19" width="6.33203125" style="95" customWidth="1"/>
    <col min="20" max="21" width="6.33203125" style="14" customWidth="1"/>
    <col min="22" max="24" width="6.33203125" style="35" customWidth="1"/>
    <col min="25" max="25" width="8.88671875" style="35" customWidth="1"/>
    <col min="26" max="26" width="6.33203125" style="95" customWidth="1"/>
    <col min="27" max="31" width="6.33203125" style="35" customWidth="1"/>
    <col min="32" max="32" width="3.109375" style="35" customWidth="1"/>
    <col min="33" max="33" width="8.109375" style="35" customWidth="1"/>
    <col min="34" max="16384" width="9" hidden="1"/>
  </cols>
  <sheetData>
    <row r="1" spans="1:33" s="67" customFormat="1" ht="18" customHeight="1" x14ac:dyDescent="0.3">
      <c r="A1" s="36" t="s">
        <v>1942</v>
      </c>
      <c r="B1" s="36" t="s">
        <v>1943</v>
      </c>
      <c r="C1" s="36" t="s">
        <v>1944</v>
      </c>
      <c r="D1" s="36"/>
      <c r="E1" s="85" t="s">
        <v>1945</v>
      </c>
      <c r="F1" s="85" t="s">
        <v>2377</v>
      </c>
      <c r="G1" s="85" t="s">
        <v>1948</v>
      </c>
      <c r="H1" s="597" t="s">
        <v>2636</v>
      </c>
      <c r="I1" s="597"/>
      <c r="J1" s="85" t="s">
        <v>1950</v>
      </c>
      <c r="K1" s="85" t="s">
        <v>1951</v>
      </c>
      <c r="L1" s="85" t="s">
        <v>2027</v>
      </c>
      <c r="M1" s="85" t="s">
        <v>1953</v>
      </c>
      <c r="N1" s="85" t="s">
        <v>1954</v>
      </c>
      <c r="O1" s="85" t="s">
        <v>1955</v>
      </c>
      <c r="P1" s="85" t="s">
        <v>1956</v>
      </c>
      <c r="Q1" s="85" t="s">
        <v>1957</v>
      </c>
      <c r="R1" s="85" t="s">
        <v>1959</v>
      </c>
      <c r="S1" s="85" t="s">
        <v>2363</v>
      </c>
      <c r="T1" s="85" t="s">
        <v>1961</v>
      </c>
      <c r="U1" s="85" t="s">
        <v>1962</v>
      </c>
      <c r="V1" s="85" t="s">
        <v>1963</v>
      </c>
      <c r="W1" s="85" t="s">
        <v>1964</v>
      </c>
      <c r="X1" s="85" t="s">
        <v>1965</v>
      </c>
      <c r="Y1" s="85" t="s">
        <v>2364</v>
      </c>
      <c r="Z1" s="85" t="s">
        <v>2363</v>
      </c>
      <c r="AA1" s="85" t="s">
        <v>1961</v>
      </c>
      <c r="AB1" s="85" t="s">
        <v>1962</v>
      </c>
      <c r="AC1" s="85" t="s">
        <v>1963</v>
      </c>
      <c r="AD1" s="85" t="s">
        <v>1964</v>
      </c>
      <c r="AE1" s="85" t="s">
        <v>1965</v>
      </c>
      <c r="AF1" s="85"/>
      <c r="AG1" s="85"/>
    </row>
    <row r="2" spans="1:33" ht="18" customHeight="1" x14ac:dyDescent="0.3">
      <c r="A2" s="4" t="str">
        <f>'Reference Score Calculation'!A307</f>
        <v>JS8105</v>
      </c>
      <c r="B2" s="4" t="str">
        <f>'Reference Score Calculation'!C307</f>
        <v>人文學院</v>
      </c>
      <c r="C2" s="4" t="str">
        <f>'Reference Score Calculation'!D307</f>
        <v>中國語文教育榮譽學士</v>
      </c>
      <c r="D2" s="4" t="s">
        <v>1459</v>
      </c>
      <c r="E2" s="15" t="str">
        <f>'Reference Score Calculation'!E307</f>
        <v>Best 5</v>
      </c>
      <c r="F2" s="45">
        <f>'Reference Score Calculation'!H307</f>
        <v>21</v>
      </c>
      <c r="G2" s="46">
        <f>計分版!H328</f>
        <v>3.9500000000000006E-9</v>
      </c>
      <c r="H2" s="25">
        <f>G2-F2</f>
        <v>-20.999999996050001</v>
      </c>
      <c r="I2" s="26">
        <f>(G2-F2)/G2</f>
        <v>-5316455695.2025309</v>
      </c>
      <c r="J2" s="37">
        <v>82</v>
      </c>
      <c r="K2" s="102">
        <f>入學要求!R316</f>
        <v>0</v>
      </c>
      <c r="L2" s="598" t="s">
        <v>2367</v>
      </c>
      <c r="M2" s="15">
        <f>入學要求!D316</f>
        <v>3</v>
      </c>
      <c r="N2" s="354">
        <f>入學要求!E316</f>
        <v>3</v>
      </c>
      <c r="O2" s="354">
        <f>入學要求!F316</f>
        <v>2</v>
      </c>
      <c r="P2" s="354">
        <f>入學要求!G316</f>
        <v>2</v>
      </c>
      <c r="Q2" s="354">
        <f>入學要求!H316</f>
        <v>2</v>
      </c>
      <c r="R2" s="576" t="s">
        <v>2840</v>
      </c>
      <c r="S2" s="37" cm="1">
        <f t="array" ref="S2">IFERROR(INDEX('Offer Statistics'!EK$2:EK$97,MATCH(1,($A2='Offer Statistics'!$DV$2:$DV$97)*($R$2='Offer Statistics'!$DW$2:$DW$97),0)),"/")</f>
        <v>61</v>
      </c>
      <c r="T2" s="375" cm="1">
        <f t="array" ref="T2">IFERROR(INDEX('Offer Statistics'!EF$2:EF$97,MATCH(1,($A2='Offer Statistics'!$DV$2:$DV$97)*($R$2='Offer Statistics'!$DW$2:$DW$97),0)),"/")</f>
        <v>61</v>
      </c>
      <c r="U2" s="375" cm="1">
        <f t="array" ref="U2">IFERROR(INDEX('Offer Statistics'!EG$2:EG$97,MATCH(1,($A2='Offer Statistics'!$DV$2:$DV$97)*($R$2='Offer Statistics'!$DW$2:$DW$97),0)),"/")</f>
        <v>0</v>
      </c>
      <c r="V2" s="375" cm="1">
        <f t="array" ref="V2">IFERROR(INDEX('Offer Statistics'!EH$2:EH$97,MATCH(1,($A2='Offer Statistics'!$DV$2:$DV$97)*($R$2='Offer Statistics'!$DW$2:$DW$97),0)),"/")</f>
        <v>0</v>
      </c>
      <c r="W2" s="375" cm="1">
        <f t="array" ref="W2">IFERROR(INDEX('Offer Statistics'!EI$2:EI$97,MATCH(1,($A2='Offer Statistics'!$DV$2:$DV$97)*($R$2='Offer Statistics'!$DW$2:$DW$97),0)),"/")</f>
        <v>0</v>
      </c>
      <c r="X2" s="375" cm="1">
        <f t="array" ref="X2">IFERROR(INDEX('Offer Statistics'!EJ$2:EJ$97,MATCH(1,($A2='Offer Statistics'!$DV$2:$DV$97)*($R$2='Offer Statistics'!$DW$2:$DW$97),0)),"/")</f>
        <v>0</v>
      </c>
      <c r="Y2" s="580" t="str">
        <f>R2</f>
        <v>2021年</v>
      </c>
      <c r="Z2" s="37" cm="1">
        <f t="array" ref="Z2">IFERROR(INDEX('Offer Statistics'!EC$2:EC$97,MATCH(1,($A2='Offer Statistics'!$DV$2:$DV$97)*($R$2='Offer Statistics'!$DW$2:$DW$97),0)),"/")</f>
        <v>2551</v>
      </c>
      <c r="AA2" s="375" cm="1">
        <f t="array" ref="AA2">IFERROR(INDEX('Offer Statistics'!DX$2:DX$97,MATCH(1,($A2='Offer Statistics'!$DV$2:$DV$97)*($R$2='Offer Statistics'!$DW$2:$DW$97),0)),"/")</f>
        <v>561</v>
      </c>
      <c r="AB2" s="375" cm="1">
        <f t="array" ref="AB2">IFERROR(INDEX('Offer Statistics'!DY$2:DY$97,MATCH(1,($A2='Offer Statistics'!$DV$2:$DV$97)*($R$2='Offer Statistics'!$DW$2:$DW$97),0)),"/")</f>
        <v>473</v>
      </c>
      <c r="AC2" s="375" cm="1">
        <f t="array" ref="AC2">IFERROR(INDEX('Offer Statistics'!DZ$2:DZ$97,MATCH(1,($A2='Offer Statistics'!$DV$2:$DV$97)*($R$2='Offer Statistics'!$DW$2:$DW$97),0)),"/")</f>
        <v>544</v>
      </c>
      <c r="AD2" s="375" cm="1">
        <f t="array" ref="AD2">IFERROR(INDEX('Offer Statistics'!EA$2:EA$97,MATCH(1,($A2='Offer Statistics'!$DV$2:$DV$97)*($R$2='Offer Statistics'!$DW$2:$DW$97),0)),"/")</f>
        <v>539</v>
      </c>
      <c r="AE2" s="375" cm="1">
        <f t="array" ref="AE2">IFERROR(INDEX('Offer Statistics'!EB$2:EB$97,MATCH(1,($A2='Offer Statistics'!$DV$2:$DV$97)*($R$2='Offer Statistics'!$DW$2:$DW$97),0)),"/")</f>
        <v>434</v>
      </c>
      <c r="AF2" s="14"/>
      <c r="AG2" s="15" t="str">
        <f>A2</f>
        <v>JS8105</v>
      </c>
    </row>
    <row r="3" spans="1:33" ht="18" customHeight="1" x14ac:dyDescent="0.3">
      <c r="A3" s="346" t="str">
        <f>'Reference Score Calculation'!A308</f>
        <v>JS8222</v>
      </c>
      <c r="B3" s="346" t="str">
        <f>'Reference Score Calculation'!C308</f>
        <v>人文學院</v>
      </c>
      <c r="C3" s="346" t="str">
        <f>'Reference Score Calculation'!D308</f>
        <v>英國語文教育榮譽學士 — 小學</v>
      </c>
      <c r="D3" s="4" t="s">
        <v>1463</v>
      </c>
      <c r="E3" s="354" t="str">
        <f>'Reference Score Calculation'!E308</f>
        <v>Best 5</v>
      </c>
      <c r="F3" s="367">
        <f>'Reference Score Calculation'!H308</f>
        <v>21</v>
      </c>
      <c r="G3" s="368">
        <f>計分版!H329</f>
        <v>3.9500000000000006E-9</v>
      </c>
      <c r="H3" s="25">
        <f t="shared" ref="H3:H24" si="0">G3-F3</f>
        <v>-20.999999996050001</v>
      </c>
      <c r="I3" s="26">
        <f t="shared" ref="I3:I8" si="1">(G3-F3)/G3</f>
        <v>-5316455695.2025309</v>
      </c>
      <c r="J3" s="37">
        <v>20</v>
      </c>
      <c r="K3" s="379">
        <f>入學要求!R317</f>
        <v>0</v>
      </c>
      <c r="L3" s="598"/>
      <c r="M3" s="354">
        <f>入學要求!D317</f>
        <v>3</v>
      </c>
      <c r="N3" s="354">
        <f>入學要求!E317</f>
        <v>3</v>
      </c>
      <c r="O3" s="354">
        <f>入學要求!F317</f>
        <v>2</v>
      </c>
      <c r="P3" s="354">
        <f>入學要求!G317</f>
        <v>2</v>
      </c>
      <c r="Q3" s="354">
        <f>入學要求!H317</f>
        <v>2</v>
      </c>
      <c r="R3" s="576"/>
      <c r="S3" s="365" cm="1">
        <f t="array" ref="S3">IFERROR(INDEX('Offer Statistics'!EK$2:EK$97,MATCH(1,($A3='Offer Statistics'!$DV$2:$DV$97)*($R$2='Offer Statistics'!$DW$2:$DW$97),0)),"/")</f>
        <v>15</v>
      </c>
      <c r="T3" s="375" cm="1">
        <f t="array" ref="T3">IFERROR(INDEX('Offer Statistics'!EF$2:EF$97,MATCH(1,($A3='Offer Statistics'!$DV$2:$DV$97)*($R$2='Offer Statistics'!$DW$2:$DW$97),0)),"/")</f>
        <v>15</v>
      </c>
      <c r="U3" s="375" cm="1">
        <f t="array" ref="U3">IFERROR(INDEX('Offer Statistics'!EG$2:EG$97,MATCH(1,($A3='Offer Statistics'!$DV$2:$DV$97)*($R$2='Offer Statistics'!$DW$2:$DW$97),0)),"/")</f>
        <v>0</v>
      </c>
      <c r="V3" s="375" cm="1">
        <f t="array" ref="V3">IFERROR(INDEX('Offer Statistics'!EH$2:EH$97,MATCH(1,($A3='Offer Statistics'!$DV$2:$DV$97)*($R$2='Offer Statistics'!$DW$2:$DW$97),0)),"/")</f>
        <v>0</v>
      </c>
      <c r="W3" s="375" cm="1">
        <f t="array" ref="W3">IFERROR(INDEX('Offer Statistics'!EI$2:EI$97,MATCH(1,($A3='Offer Statistics'!$DV$2:$DV$97)*($R$2='Offer Statistics'!$DW$2:$DW$97),0)),"/")</f>
        <v>0</v>
      </c>
      <c r="X3" s="375" cm="1">
        <f t="array" ref="X3">IFERROR(INDEX('Offer Statistics'!EJ$2:EJ$97,MATCH(1,($A3='Offer Statistics'!$DV$2:$DV$97)*($R$2='Offer Statistics'!$DW$2:$DW$97),0)),"/")</f>
        <v>0</v>
      </c>
      <c r="Y3" s="580"/>
      <c r="Z3" s="365" cm="1">
        <f t="array" ref="Z3">IFERROR(INDEX('Offer Statistics'!EC$2:EC$97,MATCH(1,($A3='Offer Statistics'!$DV$2:$DV$97)*($R$2='Offer Statistics'!$DW$2:$DW$97),0)),"/")</f>
        <v>1461</v>
      </c>
      <c r="AA3" s="375" cm="1">
        <f t="array" ref="AA3">IFERROR(INDEX('Offer Statistics'!DX$2:DX$97,MATCH(1,($A3='Offer Statistics'!$DV$2:$DV$97)*($R$2='Offer Statistics'!$DW$2:$DW$97),0)),"/")</f>
        <v>196</v>
      </c>
      <c r="AB3" s="375" cm="1">
        <f t="array" ref="AB3">IFERROR(INDEX('Offer Statistics'!DY$2:DY$97,MATCH(1,($A3='Offer Statistics'!$DV$2:$DV$97)*($R$2='Offer Statistics'!$DW$2:$DW$97),0)),"/")</f>
        <v>252</v>
      </c>
      <c r="AC3" s="375" cm="1">
        <f t="array" ref="AC3">IFERROR(INDEX('Offer Statistics'!DZ$2:DZ$97,MATCH(1,($A3='Offer Statistics'!$DV$2:$DV$97)*($R$2='Offer Statistics'!$DW$2:$DW$97),0)),"/")</f>
        <v>321</v>
      </c>
      <c r="AD3" s="375" cm="1">
        <f t="array" ref="AD3">IFERROR(INDEX('Offer Statistics'!EA$2:EA$97,MATCH(1,($A3='Offer Statistics'!$DV$2:$DV$97)*($R$2='Offer Statistics'!$DW$2:$DW$97),0)),"/")</f>
        <v>366</v>
      </c>
      <c r="AE3" s="375" cm="1">
        <f t="array" ref="AE3">IFERROR(INDEX('Offer Statistics'!EB$2:EB$97,MATCH(1,($A3='Offer Statistics'!$DV$2:$DV$97)*($R$2='Offer Statistics'!$DW$2:$DW$97),0)),"/")</f>
        <v>326</v>
      </c>
      <c r="AF3" s="14"/>
      <c r="AG3" s="354" t="str">
        <f t="shared" ref="AG3:AG25" si="2">A3</f>
        <v>JS8222</v>
      </c>
    </row>
    <row r="4" spans="1:33" ht="18" customHeight="1" x14ac:dyDescent="0.3">
      <c r="A4" s="346" t="str">
        <f>'Reference Score Calculation'!A309</f>
        <v>JS8234</v>
      </c>
      <c r="B4" s="346" t="str">
        <f>'Reference Score Calculation'!C309</f>
        <v>博文及社會科學學院</v>
      </c>
      <c r="C4" s="346" t="str">
        <f>'Reference Score Calculation'!D309</f>
        <v>小學教育榮譽學士 - 常識</v>
      </c>
      <c r="D4" s="4" t="s">
        <v>1467</v>
      </c>
      <c r="E4" s="354" t="str">
        <f>'Reference Score Calculation'!E309</f>
        <v>Best 5</v>
      </c>
      <c r="F4" s="367">
        <f>'Reference Score Calculation'!H309</f>
        <v>20</v>
      </c>
      <c r="G4" s="368">
        <f>計分版!H330</f>
        <v>3.9500000000000006E-9</v>
      </c>
      <c r="H4" s="25">
        <f t="shared" si="0"/>
        <v>-19.999999996050001</v>
      </c>
      <c r="I4" s="26">
        <f t="shared" si="1"/>
        <v>-5063291138.2405052</v>
      </c>
      <c r="J4" s="37">
        <v>45</v>
      </c>
      <c r="K4" s="379">
        <f>入學要求!R318</f>
        <v>0</v>
      </c>
      <c r="L4" s="598"/>
      <c r="M4" s="354">
        <f>入學要求!D318</f>
        <v>3</v>
      </c>
      <c r="N4" s="354">
        <f>入學要求!E318</f>
        <v>3</v>
      </c>
      <c r="O4" s="354">
        <f>入學要求!F318</f>
        <v>2</v>
      </c>
      <c r="P4" s="354">
        <f>入學要求!G318</f>
        <v>2</v>
      </c>
      <c r="Q4" s="354">
        <f>入學要求!H318</f>
        <v>2</v>
      </c>
      <c r="R4" s="576"/>
      <c r="S4" s="365" cm="1">
        <f t="array" ref="S4">IFERROR(INDEX('Offer Statistics'!EK$2:EK$97,MATCH(1,($A4='Offer Statistics'!$DV$2:$DV$97)*($R$2='Offer Statistics'!$DW$2:$DW$97),0)),"/")</f>
        <v>42</v>
      </c>
      <c r="T4" s="375" cm="1">
        <f t="array" ref="T4">IFERROR(INDEX('Offer Statistics'!EF$2:EF$97,MATCH(1,($A4='Offer Statistics'!$DV$2:$DV$97)*($R$2='Offer Statistics'!$DW$2:$DW$97),0)),"/")</f>
        <v>39</v>
      </c>
      <c r="U4" s="375" cm="1">
        <f t="array" ref="U4">IFERROR(INDEX('Offer Statistics'!EG$2:EG$97,MATCH(1,($A4='Offer Statistics'!$DV$2:$DV$97)*($R$2='Offer Statistics'!$DW$2:$DW$97),0)),"/")</f>
        <v>3</v>
      </c>
      <c r="V4" s="375" cm="1">
        <f t="array" ref="V4">IFERROR(INDEX('Offer Statistics'!EH$2:EH$97,MATCH(1,($A4='Offer Statistics'!$DV$2:$DV$97)*($R$2='Offer Statistics'!$DW$2:$DW$97),0)),"/")</f>
        <v>0</v>
      </c>
      <c r="W4" s="375" cm="1">
        <f t="array" ref="W4">IFERROR(INDEX('Offer Statistics'!EI$2:EI$97,MATCH(1,($A4='Offer Statistics'!$DV$2:$DV$97)*($R$2='Offer Statistics'!$DW$2:$DW$97),0)),"/")</f>
        <v>0</v>
      </c>
      <c r="X4" s="375" cm="1">
        <f t="array" ref="X4">IFERROR(INDEX('Offer Statistics'!EJ$2:EJ$97,MATCH(1,($A4='Offer Statistics'!$DV$2:$DV$97)*($R$2='Offer Statistics'!$DW$2:$DW$97),0)),"/")</f>
        <v>0</v>
      </c>
      <c r="Y4" s="580"/>
      <c r="Z4" s="365" cm="1">
        <f t="array" ref="Z4">IFERROR(INDEX('Offer Statistics'!EC$2:EC$97,MATCH(1,($A4='Offer Statistics'!$DV$2:$DV$97)*($R$2='Offer Statistics'!$DW$2:$DW$97),0)),"/")</f>
        <v>4094</v>
      </c>
      <c r="AA4" s="375" cm="1">
        <f t="array" ref="AA4">IFERROR(INDEX('Offer Statistics'!DX$2:DX$97,MATCH(1,($A4='Offer Statistics'!$DV$2:$DV$97)*($R$2='Offer Statistics'!$DW$2:$DW$97),0)),"/")</f>
        <v>787</v>
      </c>
      <c r="AB4" s="375" cm="1">
        <f t="array" ref="AB4">IFERROR(INDEX('Offer Statistics'!DY$2:DY$97,MATCH(1,($A4='Offer Statistics'!$DV$2:$DV$97)*($R$2='Offer Statistics'!$DW$2:$DW$97),0)),"/")</f>
        <v>796</v>
      </c>
      <c r="AC4" s="375" cm="1">
        <f t="array" ref="AC4">IFERROR(INDEX('Offer Statistics'!DZ$2:DZ$97,MATCH(1,($A4='Offer Statistics'!$DV$2:$DV$97)*($R$2='Offer Statistics'!$DW$2:$DW$97),0)),"/")</f>
        <v>920</v>
      </c>
      <c r="AD4" s="375" cm="1">
        <f t="array" ref="AD4">IFERROR(INDEX('Offer Statistics'!EA$2:EA$97,MATCH(1,($A4='Offer Statistics'!$DV$2:$DV$97)*($R$2='Offer Statistics'!$DW$2:$DW$97),0)),"/")</f>
        <v>921</v>
      </c>
      <c r="AE4" s="375" cm="1">
        <f t="array" ref="AE4">IFERROR(INDEX('Offer Statistics'!EB$2:EB$97,MATCH(1,($A4='Offer Statistics'!$DV$2:$DV$97)*($R$2='Offer Statistics'!$DW$2:$DW$97),0)),"/")</f>
        <v>670</v>
      </c>
      <c r="AF4" s="14"/>
      <c r="AG4" s="354" t="str">
        <f t="shared" si="2"/>
        <v>JS8234</v>
      </c>
    </row>
    <row r="5" spans="1:33" ht="18" customHeight="1" x14ac:dyDescent="0.3">
      <c r="A5" s="346" t="str">
        <f>'Reference Score Calculation'!A310</f>
        <v>JS8246</v>
      </c>
      <c r="B5" s="346" t="str">
        <f>'Reference Score Calculation'!C310</f>
        <v>博文及社會科學學院</v>
      </c>
      <c r="C5" s="346" t="str">
        <f>'Reference Score Calculation'!D310</f>
        <v>小學教育榮譽學士 - 數學</v>
      </c>
      <c r="D5" s="4" t="s">
        <v>1471</v>
      </c>
      <c r="E5" s="354" t="str">
        <f>'Reference Score Calculation'!E310</f>
        <v>Best 5</v>
      </c>
      <c r="F5" s="367">
        <f>'Reference Score Calculation'!H310</f>
        <v>21</v>
      </c>
      <c r="G5" s="368">
        <f>計分版!H331</f>
        <v>3.9500000000000006E-9</v>
      </c>
      <c r="H5" s="25">
        <f t="shared" si="0"/>
        <v>-20.999999996050001</v>
      </c>
      <c r="I5" s="26">
        <f t="shared" si="1"/>
        <v>-5316455695.2025309</v>
      </c>
      <c r="J5" s="37">
        <v>70</v>
      </c>
      <c r="K5" s="379">
        <f>入學要求!R319</f>
        <v>0</v>
      </c>
      <c r="L5" s="598"/>
      <c r="M5" s="354">
        <f>入學要求!D319</f>
        <v>3</v>
      </c>
      <c r="N5" s="354">
        <f>入學要求!E319</f>
        <v>3</v>
      </c>
      <c r="O5" s="354">
        <f>入學要求!F319</f>
        <v>3</v>
      </c>
      <c r="P5" s="354">
        <f>入學要求!G319</f>
        <v>2</v>
      </c>
      <c r="Q5" s="354">
        <f>入學要求!H319</f>
        <v>2</v>
      </c>
      <c r="R5" s="576"/>
      <c r="S5" s="365" cm="1">
        <f t="array" ref="S5">IFERROR(INDEX('Offer Statistics'!EK$2:EK$97,MATCH(1,($A5='Offer Statistics'!$DV$2:$DV$97)*($R$2='Offer Statistics'!$DW$2:$DW$97),0)),"/")</f>
        <v>46</v>
      </c>
      <c r="T5" s="375" cm="1">
        <f t="array" ref="T5">IFERROR(INDEX('Offer Statistics'!EF$2:EF$97,MATCH(1,($A5='Offer Statistics'!$DV$2:$DV$97)*($R$2='Offer Statistics'!$DW$2:$DW$97),0)),"/")</f>
        <v>46</v>
      </c>
      <c r="U5" s="375" cm="1">
        <f t="array" ref="U5">IFERROR(INDEX('Offer Statistics'!EG$2:EG$97,MATCH(1,($A5='Offer Statistics'!$DV$2:$DV$97)*($R$2='Offer Statistics'!$DW$2:$DW$97),0)),"/")</f>
        <v>0</v>
      </c>
      <c r="V5" s="375" cm="1">
        <f t="array" ref="V5">IFERROR(INDEX('Offer Statistics'!EH$2:EH$97,MATCH(1,($A5='Offer Statistics'!$DV$2:$DV$97)*($R$2='Offer Statistics'!$DW$2:$DW$97),0)),"/")</f>
        <v>0</v>
      </c>
      <c r="W5" s="375" cm="1">
        <f t="array" ref="W5">IFERROR(INDEX('Offer Statistics'!EI$2:EI$97,MATCH(1,($A5='Offer Statistics'!$DV$2:$DV$97)*($R$2='Offer Statistics'!$DW$2:$DW$97),0)),"/")</f>
        <v>0</v>
      </c>
      <c r="X5" s="375" cm="1">
        <f t="array" ref="X5">IFERROR(INDEX('Offer Statistics'!EJ$2:EJ$97,MATCH(1,($A5='Offer Statistics'!$DV$2:$DV$97)*($R$2='Offer Statistics'!$DW$2:$DW$97),0)),"/")</f>
        <v>0</v>
      </c>
      <c r="Y5" s="580"/>
      <c r="Z5" s="365" cm="1">
        <f t="array" ref="Z5">IFERROR(INDEX('Offer Statistics'!EC$2:EC$97,MATCH(1,($A5='Offer Statistics'!$DV$2:$DV$97)*($R$2='Offer Statistics'!$DW$2:$DW$97),0)),"/")</f>
        <v>2625</v>
      </c>
      <c r="AA5" s="375" cm="1">
        <f t="array" ref="AA5">IFERROR(INDEX('Offer Statistics'!DX$2:DX$97,MATCH(1,($A5='Offer Statistics'!$DV$2:$DV$97)*($R$2='Offer Statistics'!$DW$2:$DW$97),0)),"/")</f>
        <v>421</v>
      </c>
      <c r="AB5" s="375" cm="1">
        <f t="array" ref="AB5">IFERROR(INDEX('Offer Statistics'!DY$2:DY$97,MATCH(1,($A5='Offer Statistics'!$DV$2:$DV$97)*($R$2='Offer Statistics'!$DW$2:$DW$97),0)),"/")</f>
        <v>414</v>
      </c>
      <c r="AC5" s="375" cm="1">
        <f t="array" ref="AC5">IFERROR(INDEX('Offer Statistics'!DZ$2:DZ$97,MATCH(1,($A5='Offer Statistics'!$DV$2:$DV$97)*($R$2='Offer Statistics'!$DW$2:$DW$97),0)),"/")</f>
        <v>561</v>
      </c>
      <c r="AD5" s="375" cm="1">
        <f t="array" ref="AD5">IFERROR(INDEX('Offer Statistics'!EA$2:EA$97,MATCH(1,($A5='Offer Statistics'!$DV$2:$DV$97)*($R$2='Offer Statistics'!$DW$2:$DW$97),0)),"/")</f>
        <v>685</v>
      </c>
      <c r="AE5" s="375" cm="1">
        <f t="array" ref="AE5">IFERROR(INDEX('Offer Statistics'!EB$2:EB$97,MATCH(1,($A5='Offer Statistics'!$DV$2:$DV$97)*($R$2='Offer Statistics'!$DW$2:$DW$97),0)),"/")</f>
        <v>544</v>
      </c>
      <c r="AF5" s="14"/>
      <c r="AG5" s="354" t="str">
        <f t="shared" si="2"/>
        <v>JS8246</v>
      </c>
    </row>
    <row r="6" spans="1:33" ht="18" customHeight="1" x14ac:dyDescent="0.3">
      <c r="A6" s="346" t="str">
        <f>'Reference Score Calculation'!A311</f>
        <v>JS8325</v>
      </c>
      <c r="B6" s="346" t="str">
        <f>'Reference Score Calculation'!C311</f>
        <v>博文及社會科學學院</v>
      </c>
      <c r="C6" s="346" t="str">
        <f>'Reference Score Calculation'!D311</f>
        <v>體育教育榮譽學士</v>
      </c>
      <c r="D6" s="4" t="s">
        <v>1475</v>
      </c>
      <c r="E6" s="354" t="str">
        <f>'Reference Score Calculation'!E311</f>
        <v>Best 5</v>
      </c>
      <c r="F6" s="367">
        <f>'Reference Score Calculation'!H311</f>
        <v>20</v>
      </c>
      <c r="G6" s="368">
        <f>計分版!H332</f>
        <v>3.9500000000000006E-9</v>
      </c>
      <c r="H6" s="25">
        <f t="shared" si="0"/>
        <v>-19.999999996050001</v>
      </c>
      <c r="I6" s="26">
        <f t="shared" si="1"/>
        <v>-5063291138.2405052</v>
      </c>
      <c r="J6" s="37">
        <v>31</v>
      </c>
      <c r="K6" s="379">
        <f>入學要求!R320</f>
        <v>0</v>
      </c>
      <c r="L6" s="598"/>
      <c r="M6" s="354">
        <f>入學要求!D320</f>
        <v>3</v>
      </c>
      <c r="N6" s="354">
        <f>入學要求!E320</f>
        <v>3</v>
      </c>
      <c r="O6" s="354">
        <f>入學要求!F320</f>
        <v>2</v>
      </c>
      <c r="P6" s="354">
        <f>入學要求!G320</f>
        <v>2</v>
      </c>
      <c r="Q6" s="354">
        <f>入學要求!H320</f>
        <v>2</v>
      </c>
      <c r="R6" s="576"/>
      <c r="S6" s="365" cm="1">
        <f t="array" ref="S6">IFERROR(INDEX('Offer Statistics'!EK$2:EK$97,MATCH(1,($A6='Offer Statistics'!$DV$2:$DV$97)*($R$2='Offer Statistics'!$DW$2:$DW$97),0)),"/")</f>
        <v>20</v>
      </c>
      <c r="T6" s="375" cm="1">
        <f t="array" ref="T6">IFERROR(INDEX('Offer Statistics'!EF$2:EF$97,MATCH(1,($A6='Offer Statistics'!$DV$2:$DV$97)*($R$2='Offer Statistics'!$DW$2:$DW$97),0)),"/")</f>
        <v>20</v>
      </c>
      <c r="U6" s="375" cm="1">
        <f t="array" ref="U6">IFERROR(INDEX('Offer Statistics'!EG$2:EG$97,MATCH(1,($A6='Offer Statistics'!$DV$2:$DV$97)*($R$2='Offer Statistics'!$DW$2:$DW$97),0)),"/")</f>
        <v>0</v>
      </c>
      <c r="V6" s="375" cm="1">
        <f t="array" ref="V6">IFERROR(INDEX('Offer Statistics'!EH$2:EH$97,MATCH(1,($A6='Offer Statistics'!$DV$2:$DV$97)*($R$2='Offer Statistics'!$DW$2:$DW$97),0)),"/")</f>
        <v>0</v>
      </c>
      <c r="W6" s="375" cm="1">
        <f t="array" ref="W6">IFERROR(INDEX('Offer Statistics'!EI$2:EI$97,MATCH(1,($A6='Offer Statistics'!$DV$2:$DV$97)*($R$2='Offer Statistics'!$DW$2:$DW$97),0)),"/")</f>
        <v>0</v>
      </c>
      <c r="X6" s="375" cm="1">
        <f t="array" ref="X6">IFERROR(INDEX('Offer Statistics'!EJ$2:EJ$97,MATCH(1,($A6='Offer Statistics'!$DV$2:$DV$97)*($R$2='Offer Statistics'!$DW$2:$DW$97),0)),"/")</f>
        <v>0</v>
      </c>
      <c r="Y6" s="580"/>
      <c r="Z6" s="365" cm="1">
        <f t="array" ref="Z6">IFERROR(INDEX('Offer Statistics'!EC$2:EC$97,MATCH(1,($A6='Offer Statistics'!$DV$2:$DV$97)*($R$2='Offer Statistics'!$DW$2:$DW$97),0)),"/")</f>
        <v>2230</v>
      </c>
      <c r="AA6" s="375" cm="1">
        <f t="array" ref="AA6">IFERROR(INDEX('Offer Statistics'!DX$2:DX$97,MATCH(1,($A6='Offer Statistics'!$DV$2:$DV$97)*($R$2='Offer Statistics'!$DW$2:$DW$97),0)),"/")</f>
        <v>803</v>
      </c>
      <c r="AB6" s="375" cm="1">
        <f t="array" ref="AB6">IFERROR(INDEX('Offer Statistics'!DY$2:DY$97,MATCH(1,($A6='Offer Statistics'!$DV$2:$DV$97)*($R$2='Offer Statistics'!$DW$2:$DW$97),0)),"/")</f>
        <v>351</v>
      </c>
      <c r="AC6" s="375" cm="1">
        <f t="array" ref="AC6">IFERROR(INDEX('Offer Statistics'!DZ$2:DZ$97,MATCH(1,($A6='Offer Statistics'!$DV$2:$DV$97)*($R$2='Offer Statistics'!$DW$2:$DW$97),0)),"/")</f>
        <v>379</v>
      </c>
      <c r="AD6" s="375" cm="1">
        <f t="array" ref="AD6">IFERROR(INDEX('Offer Statistics'!EA$2:EA$97,MATCH(1,($A6='Offer Statistics'!$DV$2:$DV$97)*($R$2='Offer Statistics'!$DW$2:$DW$97),0)),"/")</f>
        <v>415</v>
      </c>
      <c r="AE6" s="375" cm="1">
        <f t="array" ref="AE6">IFERROR(INDEX('Offer Statistics'!EB$2:EB$97,MATCH(1,($A6='Offer Statistics'!$DV$2:$DV$97)*($R$2='Offer Statistics'!$DW$2:$DW$97),0)),"/")</f>
        <v>282</v>
      </c>
      <c r="AF6" s="14"/>
      <c r="AG6" s="354" t="str">
        <f t="shared" si="2"/>
        <v>JS8325</v>
      </c>
    </row>
    <row r="7" spans="1:33" ht="18" customHeight="1" x14ac:dyDescent="0.3">
      <c r="A7" s="346" t="str">
        <f>'Reference Score Calculation'!A312</f>
        <v>JS8361</v>
      </c>
      <c r="B7" s="346" t="str">
        <f>'Reference Score Calculation'!C312</f>
        <v>博文及社會科學學院</v>
      </c>
      <c r="C7" s="346" t="str">
        <f>'Reference Score Calculation'!D312</f>
        <v>中學教育榮譽學士 - 資訊及通訊科技</v>
      </c>
      <c r="D7" s="4" t="s">
        <v>1479</v>
      </c>
      <c r="E7" s="354" t="str">
        <f>'Reference Score Calculation'!E312</f>
        <v>Best 5</v>
      </c>
      <c r="F7" s="367">
        <f>'Reference Score Calculation'!H312</f>
        <v>19</v>
      </c>
      <c r="G7" s="368">
        <f>計分版!H333</f>
        <v>3.9500000000000006E-9</v>
      </c>
      <c r="H7" s="25">
        <f t="shared" si="0"/>
        <v>-18.999999996050001</v>
      </c>
      <c r="I7" s="26">
        <f t="shared" si="1"/>
        <v>-4810126581.2784805</v>
      </c>
      <c r="J7" s="37">
        <v>20</v>
      </c>
      <c r="K7" s="379">
        <f>入學要求!R321</f>
        <v>0</v>
      </c>
      <c r="L7" s="598"/>
      <c r="M7" s="354">
        <f>入學要求!D321</f>
        <v>3</v>
      </c>
      <c r="N7" s="354">
        <f>入學要求!E321</f>
        <v>3</v>
      </c>
      <c r="O7" s="354">
        <f>入學要求!F321</f>
        <v>2</v>
      </c>
      <c r="P7" s="354">
        <f>入學要求!G321</f>
        <v>2</v>
      </c>
      <c r="Q7" s="354">
        <f>入學要求!H321</f>
        <v>2</v>
      </c>
      <c r="R7" s="576"/>
      <c r="S7" s="365" cm="1">
        <f t="array" ref="S7">IFERROR(INDEX('Offer Statistics'!EK$2:EK$97,MATCH(1,($A7='Offer Statistics'!$DV$2:$DV$97)*($R$2='Offer Statistics'!$DW$2:$DW$97),0)),"/")</f>
        <v>13</v>
      </c>
      <c r="T7" s="375" cm="1">
        <f t="array" ref="T7">IFERROR(INDEX('Offer Statistics'!EF$2:EF$97,MATCH(1,($A7='Offer Statistics'!$DV$2:$DV$97)*($R$2='Offer Statistics'!$DW$2:$DW$97),0)),"/")</f>
        <v>13</v>
      </c>
      <c r="U7" s="375" cm="1">
        <f t="array" ref="U7">IFERROR(INDEX('Offer Statistics'!EG$2:EG$97,MATCH(1,($A7='Offer Statistics'!$DV$2:$DV$97)*($R$2='Offer Statistics'!$DW$2:$DW$97),0)),"/")</f>
        <v>0</v>
      </c>
      <c r="V7" s="375" cm="1">
        <f t="array" ref="V7">IFERROR(INDEX('Offer Statistics'!EH$2:EH$97,MATCH(1,($A7='Offer Statistics'!$DV$2:$DV$97)*($R$2='Offer Statistics'!$DW$2:$DW$97),0)),"/")</f>
        <v>0</v>
      </c>
      <c r="W7" s="375" cm="1">
        <f t="array" ref="W7">IFERROR(INDEX('Offer Statistics'!EI$2:EI$97,MATCH(1,($A7='Offer Statistics'!$DV$2:$DV$97)*($R$2='Offer Statistics'!$DW$2:$DW$97),0)),"/")</f>
        <v>0</v>
      </c>
      <c r="X7" s="375" cm="1">
        <f t="array" ref="X7">IFERROR(INDEX('Offer Statistics'!EJ$2:EJ$97,MATCH(1,($A7='Offer Statistics'!$DV$2:$DV$97)*($R$2='Offer Statistics'!$DW$2:$DW$97),0)),"/")</f>
        <v>0</v>
      </c>
      <c r="Y7" s="580"/>
      <c r="Z7" s="365" cm="1">
        <f t="array" ref="Z7">IFERROR(INDEX('Offer Statistics'!EC$2:EC$97,MATCH(1,($A7='Offer Statistics'!$DV$2:$DV$97)*($R$2='Offer Statistics'!$DW$2:$DW$97),0)),"/")</f>
        <v>986</v>
      </c>
      <c r="AA7" s="375" cm="1">
        <f t="array" ref="AA7">IFERROR(INDEX('Offer Statistics'!DX$2:DX$97,MATCH(1,($A7='Offer Statistics'!$DV$2:$DV$97)*($R$2='Offer Statistics'!$DW$2:$DW$97),0)),"/")</f>
        <v>198</v>
      </c>
      <c r="AB7" s="375" cm="1">
        <f t="array" ref="AB7">IFERROR(INDEX('Offer Statistics'!DY$2:DY$97,MATCH(1,($A7='Offer Statistics'!$DV$2:$DV$97)*($R$2='Offer Statistics'!$DW$2:$DW$97),0)),"/")</f>
        <v>138</v>
      </c>
      <c r="AC7" s="375" cm="1">
        <f t="array" ref="AC7">IFERROR(INDEX('Offer Statistics'!DZ$2:DZ$97,MATCH(1,($A7='Offer Statistics'!$DV$2:$DV$97)*($R$2='Offer Statistics'!$DW$2:$DW$97),0)),"/")</f>
        <v>206</v>
      </c>
      <c r="AD7" s="375" cm="1">
        <f t="array" ref="AD7">IFERROR(INDEX('Offer Statistics'!EA$2:EA$97,MATCH(1,($A7='Offer Statistics'!$DV$2:$DV$97)*($R$2='Offer Statistics'!$DW$2:$DW$97),0)),"/")</f>
        <v>244</v>
      </c>
      <c r="AE7" s="375" cm="1">
        <f t="array" ref="AE7">IFERROR(INDEX('Offer Statistics'!EB$2:EB$97,MATCH(1,($A7='Offer Statistics'!$DV$2:$DV$97)*($R$2='Offer Statistics'!$DW$2:$DW$97),0)),"/")</f>
        <v>200</v>
      </c>
      <c r="AF7" s="14"/>
      <c r="AG7" s="354" t="str">
        <f t="shared" si="2"/>
        <v>JS8361</v>
      </c>
    </row>
    <row r="8" spans="1:33" ht="18" customHeight="1" x14ac:dyDescent="0.3">
      <c r="A8" s="346" t="str">
        <f>'Reference Score Calculation'!A313</f>
        <v>JS8371</v>
      </c>
      <c r="B8" s="346" t="str">
        <f>'Reference Score Calculation'!C313</f>
        <v>博文及社會科學學院</v>
      </c>
      <c r="C8" s="346" t="str">
        <f>'Reference Score Calculation'!D313</f>
        <v>企業、會計與財務概論教育榮譽學士</v>
      </c>
      <c r="D8" s="4" t="s">
        <v>1483</v>
      </c>
      <c r="E8" s="354" t="str">
        <f>'Reference Score Calculation'!E313</f>
        <v>Best 5</v>
      </c>
      <c r="F8" s="367">
        <f>'Reference Score Calculation'!H313</f>
        <v>20</v>
      </c>
      <c r="G8" s="368">
        <f>計分版!H334</f>
        <v>3.9500000000000006E-9</v>
      </c>
      <c r="H8" s="25">
        <f t="shared" si="0"/>
        <v>-19.999999996050001</v>
      </c>
      <c r="I8" s="26">
        <f t="shared" si="1"/>
        <v>-5063291138.2405052</v>
      </c>
      <c r="J8" s="37">
        <v>20</v>
      </c>
      <c r="K8" s="379">
        <f>入學要求!R322</f>
        <v>0</v>
      </c>
      <c r="L8" s="598"/>
      <c r="M8" s="354">
        <f>入學要求!D322</f>
        <v>3</v>
      </c>
      <c r="N8" s="354">
        <f>入學要求!E322</f>
        <v>3</v>
      </c>
      <c r="O8" s="354">
        <f>入學要求!F322</f>
        <v>2</v>
      </c>
      <c r="P8" s="354">
        <f>入學要求!G322</f>
        <v>2</v>
      </c>
      <c r="Q8" s="354">
        <f>入學要求!H322</f>
        <v>2</v>
      </c>
      <c r="R8" s="576"/>
      <c r="S8" s="365" cm="1">
        <f t="array" ref="S8">IFERROR(INDEX('Offer Statistics'!EK$2:EK$97,MATCH(1,($A8='Offer Statistics'!$DV$2:$DV$97)*($R$2='Offer Statistics'!$DW$2:$DW$97),0)),"/")</f>
        <v>20</v>
      </c>
      <c r="T8" s="375" cm="1">
        <f t="array" ref="T8">IFERROR(INDEX('Offer Statistics'!EF$2:EF$97,MATCH(1,($A8='Offer Statistics'!$DV$2:$DV$97)*($R$2='Offer Statistics'!$DW$2:$DW$97),0)),"/")</f>
        <v>20</v>
      </c>
      <c r="U8" s="375" cm="1">
        <f t="array" ref="U8">IFERROR(INDEX('Offer Statistics'!EG$2:EG$97,MATCH(1,($A8='Offer Statistics'!$DV$2:$DV$97)*($R$2='Offer Statistics'!$DW$2:$DW$97),0)),"/")</f>
        <v>0</v>
      </c>
      <c r="V8" s="375" cm="1">
        <f t="array" ref="V8">IFERROR(INDEX('Offer Statistics'!EH$2:EH$97,MATCH(1,($A8='Offer Statistics'!$DV$2:$DV$97)*($R$2='Offer Statistics'!$DW$2:$DW$97),0)),"/")</f>
        <v>0</v>
      </c>
      <c r="W8" s="375" cm="1">
        <f t="array" ref="W8">IFERROR(INDEX('Offer Statistics'!EI$2:EI$97,MATCH(1,($A8='Offer Statistics'!$DV$2:$DV$97)*($R$2='Offer Statistics'!$DW$2:$DW$97),0)),"/")</f>
        <v>0</v>
      </c>
      <c r="X8" s="375" cm="1">
        <f t="array" ref="X8">IFERROR(INDEX('Offer Statistics'!EJ$2:EJ$97,MATCH(1,($A8='Offer Statistics'!$DV$2:$DV$97)*($R$2='Offer Statistics'!$DW$2:$DW$97),0)),"/")</f>
        <v>0</v>
      </c>
      <c r="Y8" s="580"/>
      <c r="Z8" s="365" cm="1">
        <f t="array" ref="Z8">IFERROR(INDEX('Offer Statistics'!EC$2:EC$97,MATCH(1,($A8='Offer Statistics'!$DV$2:$DV$97)*($R$2='Offer Statistics'!$DW$2:$DW$97),0)),"/")</f>
        <v>1980</v>
      </c>
      <c r="AA8" s="375" cm="1">
        <f t="array" ref="AA8">IFERROR(INDEX('Offer Statistics'!DX$2:DX$97,MATCH(1,($A8='Offer Statistics'!$DV$2:$DV$97)*($R$2='Offer Statistics'!$DW$2:$DW$97),0)),"/")</f>
        <v>315</v>
      </c>
      <c r="AB8" s="375" cm="1">
        <f t="array" ref="AB8">IFERROR(INDEX('Offer Statistics'!DY$2:DY$97,MATCH(1,($A8='Offer Statistics'!$DV$2:$DV$97)*($R$2='Offer Statistics'!$DW$2:$DW$97),0)),"/")</f>
        <v>338</v>
      </c>
      <c r="AC8" s="375" cm="1">
        <f t="array" ref="AC8">IFERROR(INDEX('Offer Statistics'!DZ$2:DZ$97,MATCH(1,($A8='Offer Statistics'!$DV$2:$DV$97)*($R$2='Offer Statistics'!$DW$2:$DW$97),0)),"/")</f>
        <v>431</v>
      </c>
      <c r="AD8" s="375" cm="1">
        <f t="array" ref="AD8">IFERROR(INDEX('Offer Statistics'!EA$2:EA$97,MATCH(1,($A8='Offer Statistics'!$DV$2:$DV$97)*($R$2='Offer Statistics'!$DW$2:$DW$97),0)),"/")</f>
        <v>469</v>
      </c>
      <c r="AE8" s="375" cm="1">
        <f t="array" ref="AE8">IFERROR(INDEX('Offer Statistics'!EB$2:EB$97,MATCH(1,($A8='Offer Statistics'!$DV$2:$DV$97)*($R$2='Offer Statistics'!$DW$2:$DW$97),0)),"/")</f>
        <v>427</v>
      </c>
      <c r="AF8" s="14"/>
      <c r="AG8" s="354" t="str">
        <f t="shared" si="2"/>
        <v>JS8371</v>
      </c>
    </row>
    <row r="9" spans="1:33" ht="18" customHeight="1" x14ac:dyDescent="0.3">
      <c r="A9" s="346" t="str">
        <f>'Reference Score Calculation'!A314</f>
        <v>JS8381</v>
      </c>
      <c r="B9" s="346" t="str">
        <f>'Reference Score Calculation'!C314</f>
        <v>人文學院</v>
      </c>
      <c r="C9" s="346" t="str">
        <f>'Reference Score Calculation'!D314</f>
        <v>歷史教育榮譽學士</v>
      </c>
      <c r="D9" s="4" t="s">
        <v>1487</v>
      </c>
      <c r="E9" s="354" t="str">
        <f>'Reference Score Calculation'!E314</f>
        <v>Best 5</v>
      </c>
      <c r="F9" s="367">
        <f>'Reference Score Calculation'!H314</f>
        <v>21</v>
      </c>
      <c r="G9" s="368">
        <f>計分版!H335</f>
        <v>3.9500000000000006E-9</v>
      </c>
      <c r="H9" s="25">
        <f t="shared" ref="H9:H23" si="3">G9-F9</f>
        <v>-20.999999996050001</v>
      </c>
      <c r="I9" s="26">
        <f t="shared" ref="I9:I23" si="4">(G9-F9)/G9</f>
        <v>-5316455695.2025309</v>
      </c>
      <c r="J9" s="37">
        <v>18</v>
      </c>
      <c r="K9" s="379">
        <f>入學要求!R323</f>
        <v>0</v>
      </c>
      <c r="L9" s="598"/>
      <c r="M9" s="354">
        <f>入學要求!D323</f>
        <v>3</v>
      </c>
      <c r="N9" s="354">
        <f>入學要求!E323</f>
        <v>3</v>
      </c>
      <c r="O9" s="354">
        <f>入學要求!F323</f>
        <v>2</v>
      </c>
      <c r="P9" s="354">
        <f>入學要求!G323</f>
        <v>2</v>
      </c>
      <c r="Q9" s="354">
        <f>入學要求!H323</f>
        <v>2</v>
      </c>
      <c r="R9" s="576"/>
      <c r="S9" s="365" cm="1">
        <f t="array" ref="S9">IFERROR(INDEX('Offer Statistics'!EK$2:EK$97,MATCH(1,($A9='Offer Statistics'!$DV$2:$DV$97)*($R$2='Offer Statistics'!$DW$2:$DW$97),0)),"/")</f>
        <v>9</v>
      </c>
      <c r="T9" s="375" cm="1">
        <f t="array" ref="T9">IFERROR(INDEX('Offer Statistics'!EF$2:EF$97,MATCH(1,($A9='Offer Statistics'!$DV$2:$DV$97)*($R$2='Offer Statistics'!$DW$2:$DW$97),0)),"/")</f>
        <v>9</v>
      </c>
      <c r="U9" s="375" cm="1">
        <f t="array" ref="U9">IFERROR(INDEX('Offer Statistics'!EG$2:EG$97,MATCH(1,($A9='Offer Statistics'!$DV$2:$DV$97)*($R$2='Offer Statistics'!$DW$2:$DW$97),0)),"/")</f>
        <v>0</v>
      </c>
      <c r="V9" s="375" cm="1">
        <f t="array" ref="V9">IFERROR(INDEX('Offer Statistics'!EH$2:EH$97,MATCH(1,($A9='Offer Statistics'!$DV$2:$DV$97)*($R$2='Offer Statistics'!$DW$2:$DW$97),0)),"/")</f>
        <v>0</v>
      </c>
      <c r="W9" s="375" cm="1">
        <f t="array" ref="W9">IFERROR(INDEX('Offer Statistics'!EI$2:EI$97,MATCH(1,($A9='Offer Statistics'!$DV$2:$DV$97)*($R$2='Offer Statistics'!$DW$2:$DW$97),0)),"/")</f>
        <v>0</v>
      </c>
      <c r="X9" s="375" cm="1">
        <f t="array" ref="X9">IFERROR(INDEX('Offer Statistics'!EJ$2:EJ$97,MATCH(1,($A9='Offer Statistics'!$DV$2:$DV$97)*($R$2='Offer Statistics'!$DW$2:$DW$97),0)),"/")</f>
        <v>0</v>
      </c>
      <c r="Y9" s="580"/>
      <c r="Z9" s="365" cm="1">
        <f t="array" ref="Z9">IFERROR(INDEX('Offer Statistics'!EC$2:EC$97,MATCH(1,($A9='Offer Statistics'!$DV$2:$DV$97)*($R$2='Offer Statistics'!$DW$2:$DW$97),0)),"/")</f>
        <v>1835</v>
      </c>
      <c r="AA9" s="375" cm="1">
        <f t="array" ref="AA9">IFERROR(INDEX('Offer Statistics'!DX$2:DX$97,MATCH(1,($A9='Offer Statistics'!$DV$2:$DV$97)*($R$2='Offer Statistics'!$DW$2:$DW$97),0)),"/")</f>
        <v>336</v>
      </c>
      <c r="AB9" s="375" cm="1">
        <f t="array" ref="AB9">IFERROR(INDEX('Offer Statistics'!DY$2:DY$97,MATCH(1,($A9='Offer Statistics'!$DV$2:$DV$97)*($R$2='Offer Statistics'!$DW$2:$DW$97),0)),"/")</f>
        <v>356</v>
      </c>
      <c r="AC9" s="375" cm="1">
        <f t="array" ref="AC9">IFERROR(INDEX('Offer Statistics'!DZ$2:DZ$97,MATCH(1,($A9='Offer Statistics'!$DV$2:$DV$97)*($R$2='Offer Statistics'!$DW$2:$DW$97),0)),"/")</f>
        <v>406</v>
      </c>
      <c r="AD9" s="375" cm="1">
        <f t="array" ref="AD9">IFERROR(INDEX('Offer Statistics'!EA$2:EA$97,MATCH(1,($A9='Offer Statistics'!$DV$2:$DV$97)*($R$2='Offer Statistics'!$DW$2:$DW$97),0)),"/")</f>
        <v>411</v>
      </c>
      <c r="AE9" s="375" cm="1">
        <f t="array" ref="AE9">IFERROR(INDEX('Offer Statistics'!EB$2:EB$97,MATCH(1,($A9='Offer Statistics'!$DV$2:$DV$97)*($R$2='Offer Statistics'!$DW$2:$DW$97),0)),"/")</f>
        <v>326</v>
      </c>
      <c r="AF9" s="14"/>
      <c r="AG9" s="354" t="str">
        <f t="shared" si="2"/>
        <v>JS8381</v>
      </c>
    </row>
    <row r="10" spans="1:33" ht="18" customHeight="1" x14ac:dyDescent="0.3">
      <c r="A10" s="346" t="str">
        <f>'Reference Score Calculation'!A315</f>
        <v>JS8404</v>
      </c>
      <c r="B10" s="346" t="str">
        <f>'Reference Score Calculation'!C315</f>
        <v>教育及人類發展學院</v>
      </c>
      <c r="C10" s="346" t="str">
        <f>'Reference Score Calculation'!D315</f>
        <v>幼兒教育榮譽學士</v>
      </c>
      <c r="D10" s="4" t="s">
        <v>1495</v>
      </c>
      <c r="E10" s="354" t="str">
        <f>'Reference Score Calculation'!E315</f>
        <v>Best 5</v>
      </c>
      <c r="F10" s="367">
        <f>'Reference Score Calculation'!H315</f>
        <v>20</v>
      </c>
      <c r="G10" s="368">
        <f>計分版!H336</f>
        <v>3.9500000000000006E-9</v>
      </c>
      <c r="H10" s="25">
        <f t="shared" si="3"/>
        <v>-19.999999996050001</v>
      </c>
      <c r="I10" s="26">
        <f t="shared" si="4"/>
        <v>-5063291138.2405052</v>
      </c>
      <c r="J10" s="37">
        <v>49</v>
      </c>
      <c r="K10" s="379">
        <f>入學要求!R324</f>
        <v>0</v>
      </c>
      <c r="L10" s="598"/>
      <c r="M10" s="354">
        <f>入學要求!D324</f>
        <v>3</v>
      </c>
      <c r="N10" s="354">
        <f>入學要求!E324</f>
        <v>3</v>
      </c>
      <c r="O10" s="354">
        <f>入學要求!F324</f>
        <v>2</v>
      </c>
      <c r="P10" s="354">
        <f>入學要求!G324</f>
        <v>2</v>
      </c>
      <c r="Q10" s="354">
        <f>入學要求!H324</f>
        <v>2</v>
      </c>
      <c r="R10" s="576"/>
      <c r="S10" s="365" cm="1">
        <f t="array" ref="S10">IFERROR(INDEX('Offer Statistics'!EK$2:EK$97,MATCH(1,($A10='Offer Statistics'!$DV$2:$DV$97)*($R$2='Offer Statistics'!$DW$2:$DW$97),0)),"/")</f>
        <v>51</v>
      </c>
      <c r="T10" s="375" cm="1">
        <f t="array" ref="T10">IFERROR(INDEX('Offer Statistics'!EF$2:EF$97,MATCH(1,($A10='Offer Statistics'!$DV$2:$DV$97)*($R$2='Offer Statistics'!$DW$2:$DW$97),0)),"/")</f>
        <v>51</v>
      </c>
      <c r="U10" s="375" cm="1">
        <f t="array" ref="U10">IFERROR(INDEX('Offer Statistics'!EG$2:EG$97,MATCH(1,($A10='Offer Statistics'!$DV$2:$DV$97)*($R$2='Offer Statistics'!$DW$2:$DW$97),0)),"/")</f>
        <v>0</v>
      </c>
      <c r="V10" s="375" cm="1">
        <f t="array" ref="V10">IFERROR(INDEX('Offer Statistics'!EH$2:EH$97,MATCH(1,($A10='Offer Statistics'!$DV$2:$DV$97)*($R$2='Offer Statistics'!$DW$2:$DW$97),0)),"/")</f>
        <v>0</v>
      </c>
      <c r="W10" s="375" cm="1">
        <f t="array" ref="W10">IFERROR(INDEX('Offer Statistics'!EI$2:EI$97,MATCH(1,($A10='Offer Statistics'!$DV$2:$DV$97)*($R$2='Offer Statistics'!$DW$2:$DW$97),0)),"/")</f>
        <v>0</v>
      </c>
      <c r="X10" s="375" cm="1">
        <f t="array" ref="X10">IFERROR(INDEX('Offer Statistics'!EJ$2:EJ$97,MATCH(1,($A10='Offer Statistics'!$DV$2:$DV$97)*($R$2='Offer Statistics'!$DW$2:$DW$97),0)),"/")</f>
        <v>0</v>
      </c>
      <c r="Y10" s="580"/>
      <c r="Z10" s="365" cm="1">
        <f t="array" ref="Z10">IFERROR(INDEX('Offer Statistics'!EC$2:EC$97,MATCH(1,($A10='Offer Statistics'!$DV$2:$DV$97)*($R$2='Offer Statistics'!$DW$2:$DW$97),0)),"/")</f>
        <v>5690</v>
      </c>
      <c r="AA10" s="375" cm="1">
        <f t="array" ref="AA10">IFERROR(INDEX('Offer Statistics'!DX$2:DX$97,MATCH(1,($A10='Offer Statistics'!$DV$2:$DV$97)*($R$2='Offer Statistics'!$DW$2:$DW$97),0)),"/")</f>
        <v>1406</v>
      </c>
      <c r="AB10" s="375" cm="1">
        <f t="array" ref="AB10">IFERROR(INDEX('Offer Statistics'!DY$2:DY$97,MATCH(1,($A10='Offer Statistics'!$DV$2:$DV$97)*($R$2='Offer Statistics'!$DW$2:$DW$97),0)),"/")</f>
        <v>919</v>
      </c>
      <c r="AC10" s="375" cm="1">
        <f t="array" ref="AC10">IFERROR(INDEX('Offer Statistics'!DZ$2:DZ$97,MATCH(1,($A10='Offer Statistics'!$DV$2:$DV$97)*($R$2='Offer Statistics'!$DW$2:$DW$97),0)),"/")</f>
        <v>1197</v>
      </c>
      <c r="AD10" s="375" cm="1">
        <f t="array" ref="AD10">IFERROR(INDEX('Offer Statistics'!EA$2:EA$97,MATCH(1,($A10='Offer Statistics'!$DV$2:$DV$97)*($R$2='Offer Statistics'!$DW$2:$DW$97),0)),"/")</f>
        <v>1245</v>
      </c>
      <c r="AE10" s="375" cm="1">
        <f t="array" ref="AE10">IFERROR(INDEX('Offer Statistics'!EB$2:EB$97,MATCH(1,($A10='Offer Statistics'!$DV$2:$DV$97)*($R$2='Offer Statistics'!$DW$2:$DW$97),0)),"/")</f>
        <v>923</v>
      </c>
      <c r="AF10" s="14"/>
      <c r="AG10" s="354" t="str">
        <f t="shared" si="2"/>
        <v>JS8404</v>
      </c>
    </row>
    <row r="11" spans="1:33" ht="18" customHeight="1" x14ac:dyDescent="0.3">
      <c r="A11" s="346" t="str">
        <f>'Reference Score Calculation'!A316</f>
        <v>JS8428</v>
      </c>
      <c r="B11" s="346" t="str">
        <f>'Reference Score Calculation'!C316</f>
        <v>博文及社會科學學院</v>
      </c>
      <c r="C11" s="346" t="str">
        <f>'Reference Score Calculation'!D316</f>
        <v>地理教育榮譽學士</v>
      </c>
      <c r="D11" s="4" t="s">
        <v>1499</v>
      </c>
      <c r="E11" s="354" t="str">
        <f>'Reference Score Calculation'!E316</f>
        <v>Best 5</v>
      </c>
      <c r="F11" s="367">
        <f>'Reference Score Calculation'!H316</f>
        <v>20</v>
      </c>
      <c r="G11" s="368">
        <f>計分版!H337</f>
        <v>3.9500000000000006E-9</v>
      </c>
      <c r="H11" s="25">
        <f t="shared" ref="H11" si="5">G11-F11</f>
        <v>-19.999999996050001</v>
      </c>
      <c r="I11" s="26">
        <f t="shared" ref="I11" si="6">(G11-F11)/G11</f>
        <v>-5063291138.2405052</v>
      </c>
      <c r="J11" s="37">
        <v>10</v>
      </c>
      <c r="K11" s="379">
        <f>入學要求!R325</f>
        <v>0</v>
      </c>
      <c r="L11" s="598"/>
      <c r="M11" s="354">
        <f>入學要求!D325</f>
        <v>3</v>
      </c>
      <c r="N11" s="354">
        <f>入學要求!E325</f>
        <v>3</v>
      </c>
      <c r="O11" s="354">
        <f>入學要求!F325</f>
        <v>2</v>
      </c>
      <c r="P11" s="354">
        <f>入學要求!G325</f>
        <v>2</v>
      </c>
      <c r="Q11" s="354">
        <f>入學要求!H325</f>
        <v>2</v>
      </c>
      <c r="R11" s="576"/>
      <c r="S11" s="365" cm="1">
        <f t="array" ref="S11">IFERROR(INDEX('Offer Statistics'!EK$2:EK$97,MATCH(1,($A11='Offer Statistics'!$DV$2:$DV$97)*($R$2='Offer Statistics'!$DW$2:$DW$97),0)),"/")</f>
        <v>12</v>
      </c>
      <c r="T11" s="375" cm="1">
        <f t="array" ref="T11">IFERROR(INDEX('Offer Statistics'!EF$2:EF$97,MATCH(1,($A11='Offer Statistics'!$DV$2:$DV$97)*($R$2='Offer Statistics'!$DW$2:$DW$97),0)),"/")</f>
        <v>12</v>
      </c>
      <c r="U11" s="375" cm="1">
        <f t="array" ref="U11">IFERROR(INDEX('Offer Statistics'!EG$2:EG$97,MATCH(1,($A11='Offer Statistics'!$DV$2:$DV$97)*($R$2='Offer Statistics'!$DW$2:$DW$97),0)),"/")</f>
        <v>0</v>
      </c>
      <c r="V11" s="375" cm="1">
        <f t="array" ref="V11">IFERROR(INDEX('Offer Statistics'!EH$2:EH$97,MATCH(1,($A11='Offer Statistics'!$DV$2:$DV$97)*($R$2='Offer Statistics'!$DW$2:$DW$97),0)),"/")</f>
        <v>0</v>
      </c>
      <c r="W11" s="375" cm="1">
        <f t="array" ref="W11">IFERROR(INDEX('Offer Statistics'!EI$2:EI$97,MATCH(1,($A11='Offer Statistics'!$DV$2:$DV$97)*($R$2='Offer Statistics'!$DW$2:$DW$97),0)),"/")</f>
        <v>0</v>
      </c>
      <c r="X11" s="375" cm="1">
        <f t="array" ref="X11">IFERROR(INDEX('Offer Statistics'!EJ$2:EJ$97,MATCH(1,($A11='Offer Statistics'!$DV$2:$DV$97)*($R$2='Offer Statistics'!$DW$2:$DW$97),0)),"/")</f>
        <v>0</v>
      </c>
      <c r="Y11" s="580"/>
      <c r="Z11" s="365" cm="1">
        <f t="array" ref="Z11">IFERROR(INDEX('Offer Statistics'!EC$2:EC$97,MATCH(1,($A11='Offer Statistics'!$DV$2:$DV$97)*($R$2='Offer Statistics'!$DW$2:$DW$97),0)),"/")</f>
        <v>1364</v>
      </c>
      <c r="AA11" s="375" cm="1">
        <f t="array" ref="AA11">IFERROR(INDEX('Offer Statistics'!DX$2:DX$97,MATCH(1,($A11='Offer Statistics'!$DV$2:$DV$97)*($R$2='Offer Statistics'!$DW$2:$DW$97),0)),"/")</f>
        <v>175</v>
      </c>
      <c r="AB11" s="375" cm="1">
        <f t="array" ref="AB11">IFERROR(INDEX('Offer Statistics'!DY$2:DY$97,MATCH(1,($A11='Offer Statistics'!$DV$2:$DV$97)*($R$2='Offer Statistics'!$DW$2:$DW$97),0)),"/")</f>
        <v>215</v>
      </c>
      <c r="AC11" s="375" cm="1">
        <f t="array" ref="AC11">IFERROR(INDEX('Offer Statistics'!DZ$2:DZ$97,MATCH(1,($A11='Offer Statistics'!$DV$2:$DV$97)*($R$2='Offer Statistics'!$DW$2:$DW$97),0)),"/")</f>
        <v>298</v>
      </c>
      <c r="AD11" s="375" cm="1">
        <f t="array" ref="AD11">IFERROR(INDEX('Offer Statistics'!EA$2:EA$97,MATCH(1,($A11='Offer Statistics'!$DV$2:$DV$97)*($R$2='Offer Statistics'!$DW$2:$DW$97),0)),"/")</f>
        <v>397</v>
      </c>
      <c r="AE11" s="375" cm="1">
        <f t="array" ref="AE11">IFERROR(INDEX('Offer Statistics'!EB$2:EB$97,MATCH(1,($A11='Offer Statistics'!$DV$2:$DV$97)*($R$2='Offer Statistics'!$DW$2:$DW$97),0)),"/")</f>
        <v>279</v>
      </c>
      <c r="AF11" s="14"/>
      <c r="AG11" s="354" t="str">
        <f t="shared" si="2"/>
        <v>JS8428</v>
      </c>
    </row>
    <row r="12" spans="1:33" ht="18" customHeight="1" x14ac:dyDescent="0.3">
      <c r="A12" s="346" t="str">
        <f>'Reference Score Calculation'!A317</f>
        <v>JS8430</v>
      </c>
      <c r="B12" s="346" t="str">
        <f>'Reference Score Calculation'!C317</f>
        <v>博文及社會科學學院</v>
      </c>
      <c r="C12" s="346" t="str">
        <f>'Reference Score Calculation'!D317</f>
        <v>科學教育榮譽學士</v>
      </c>
      <c r="D12" s="4" t="s">
        <v>1503</v>
      </c>
      <c r="E12" s="354" t="str">
        <f>'Reference Score Calculation'!E317</f>
        <v>Best 5</v>
      </c>
      <c r="F12" s="367">
        <f>'Reference Score Calculation'!H317</f>
        <v>19</v>
      </c>
      <c r="G12" s="368">
        <f>計分版!H338</f>
        <v>3.9500000000000006E-9</v>
      </c>
      <c r="H12" s="25">
        <f t="shared" si="3"/>
        <v>-18.999999996050001</v>
      </c>
      <c r="I12" s="26">
        <f t="shared" si="4"/>
        <v>-4810126581.2784805</v>
      </c>
      <c r="J12" s="37">
        <v>10</v>
      </c>
      <c r="K12" s="379">
        <f>入學要求!R326</f>
        <v>0</v>
      </c>
      <c r="L12" s="598"/>
      <c r="M12" s="354">
        <f>入學要求!D326</f>
        <v>3</v>
      </c>
      <c r="N12" s="354">
        <f>入學要求!E326</f>
        <v>3</v>
      </c>
      <c r="O12" s="354">
        <f>入學要求!F326</f>
        <v>2</v>
      </c>
      <c r="P12" s="354">
        <f>入學要求!G326</f>
        <v>2</v>
      </c>
      <c r="Q12" s="354">
        <f>入學要求!H326</f>
        <v>2</v>
      </c>
      <c r="R12" s="576"/>
      <c r="S12" s="365" cm="1">
        <f t="array" ref="S12">IFERROR(INDEX('Offer Statistics'!EK$2:EK$97,MATCH(1,($A12='Offer Statistics'!$DV$2:$DV$97)*($R$2='Offer Statistics'!$DW$2:$DW$97),0)),"/")</f>
        <v>12</v>
      </c>
      <c r="T12" s="375" cm="1">
        <f t="array" ref="T12">IFERROR(INDEX('Offer Statistics'!EF$2:EF$97,MATCH(1,($A12='Offer Statistics'!$DV$2:$DV$97)*($R$2='Offer Statistics'!$DW$2:$DW$97),0)),"/")</f>
        <v>12</v>
      </c>
      <c r="U12" s="375" cm="1">
        <f t="array" ref="U12">IFERROR(INDEX('Offer Statistics'!EG$2:EG$97,MATCH(1,($A12='Offer Statistics'!$DV$2:$DV$97)*($R$2='Offer Statistics'!$DW$2:$DW$97),0)),"/")</f>
        <v>0</v>
      </c>
      <c r="V12" s="375" cm="1">
        <f t="array" ref="V12">IFERROR(INDEX('Offer Statistics'!EH$2:EH$97,MATCH(1,($A12='Offer Statistics'!$DV$2:$DV$97)*($R$2='Offer Statistics'!$DW$2:$DW$97),0)),"/")</f>
        <v>0</v>
      </c>
      <c r="W12" s="375" cm="1">
        <f t="array" ref="W12">IFERROR(INDEX('Offer Statistics'!EI$2:EI$97,MATCH(1,($A12='Offer Statistics'!$DV$2:$DV$97)*($R$2='Offer Statistics'!$DW$2:$DW$97),0)),"/")</f>
        <v>0</v>
      </c>
      <c r="X12" s="375" cm="1">
        <f t="array" ref="X12">IFERROR(INDEX('Offer Statistics'!EJ$2:EJ$97,MATCH(1,($A12='Offer Statistics'!$DV$2:$DV$97)*($R$2='Offer Statistics'!$DW$2:$DW$97),0)),"/")</f>
        <v>0</v>
      </c>
      <c r="Y12" s="580"/>
      <c r="Z12" s="365" cm="1">
        <f t="array" ref="Z12">IFERROR(INDEX('Offer Statistics'!EC$2:EC$97,MATCH(1,($A12='Offer Statistics'!$DV$2:$DV$97)*($R$2='Offer Statistics'!$DW$2:$DW$97),0)),"/")</f>
        <v>1543</v>
      </c>
      <c r="AA12" s="375" cm="1">
        <f t="array" ref="AA12">IFERROR(INDEX('Offer Statistics'!DX$2:DX$97,MATCH(1,($A12='Offer Statistics'!$DV$2:$DV$97)*($R$2='Offer Statistics'!$DW$2:$DW$97),0)),"/")</f>
        <v>173</v>
      </c>
      <c r="AB12" s="375" cm="1">
        <f t="array" ref="AB12">IFERROR(INDEX('Offer Statistics'!DY$2:DY$97,MATCH(1,($A12='Offer Statistics'!$DV$2:$DV$97)*($R$2='Offer Statistics'!$DW$2:$DW$97),0)),"/")</f>
        <v>246</v>
      </c>
      <c r="AC12" s="375" cm="1">
        <f t="array" ref="AC12">IFERROR(INDEX('Offer Statistics'!DZ$2:DZ$97,MATCH(1,($A12='Offer Statistics'!$DV$2:$DV$97)*($R$2='Offer Statistics'!$DW$2:$DW$97),0)),"/")</f>
        <v>310</v>
      </c>
      <c r="AD12" s="375" cm="1">
        <f t="array" ref="AD12">IFERROR(INDEX('Offer Statistics'!EA$2:EA$97,MATCH(1,($A12='Offer Statistics'!$DV$2:$DV$97)*($R$2='Offer Statistics'!$DW$2:$DW$97),0)),"/")</f>
        <v>456</v>
      </c>
      <c r="AE12" s="375" cm="1">
        <f t="array" ref="AE12">IFERROR(INDEX('Offer Statistics'!EB$2:EB$97,MATCH(1,($A12='Offer Statistics'!$DV$2:$DV$97)*($R$2='Offer Statistics'!$DW$2:$DW$97),0)),"/")</f>
        <v>358</v>
      </c>
      <c r="AF12" s="14"/>
      <c r="AG12" s="354" t="str">
        <f t="shared" si="2"/>
        <v>JS8430</v>
      </c>
    </row>
    <row r="13" spans="1:33" ht="18" customHeight="1" x14ac:dyDescent="0.3">
      <c r="A13" s="346" t="str">
        <f>'Reference Score Calculation'!A318</f>
        <v>JS8507</v>
      </c>
      <c r="B13" s="346" t="str">
        <f>'Reference Score Calculation'!C318</f>
        <v>教育及人類發展學院</v>
      </c>
      <c r="C13" s="346" t="str">
        <f>'Reference Score Calculation'!D318</f>
        <v>幼兒教育高級文憑</v>
      </c>
      <c r="D13" s="4" t="s">
        <v>1507</v>
      </c>
      <c r="E13" s="354" t="str">
        <f>'Reference Score Calculation'!E318</f>
        <v>Best 5</v>
      </c>
      <c r="F13" s="367" t="str">
        <f>'Reference Score Calculation'!H318</f>
        <v>/</v>
      </c>
      <c r="G13" s="368">
        <f>計分版!H339</f>
        <v>3.9500000000000006E-9</v>
      </c>
      <c r="H13" s="348" t="s">
        <v>1978</v>
      </c>
      <c r="I13" s="348" t="s">
        <v>1978</v>
      </c>
      <c r="J13" s="37">
        <v>14</v>
      </c>
      <c r="K13" s="379">
        <f>入學要求!R327</f>
        <v>0</v>
      </c>
      <c r="L13" s="598"/>
      <c r="M13" s="354">
        <f>入學要求!D327</f>
        <v>2</v>
      </c>
      <c r="N13" s="354">
        <f>入學要求!E327</f>
        <v>2</v>
      </c>
      <c r="O13" s="354">
        <f>入學要求!F327</f>
        <v>2</v>
      </c>
      <c r="P13" s="354">
        <f>入學要求!G327</f>
        <v>2</v>
      </c>
      <c r="Q13" s="354">
        <f>入學要求!H327</f>
        <v>2</v>
      </c>
      <c r="R13" s="576"/>
      <c r="S13" s="365" cm="1">
        <f t="array" ref="S13">IFERROR(INDEX('Offer Statistics'!EK$2:EK$97,MATCH(1,($A13='Offer Statistics'!$DV$2:$DV$97)*($R$2='Offer Statistics'!$DW$2:$DW$97),0)),"/")</f>
        <v>384</v>
      </c>
      <c r="T13" s="375" cm="1">
        <f t="array" ref="T13">IFERROR(INDEX('Offer Statistics'!EF$2:EF$97,MATCH(1,($A13='Offer Statistics'!$DV$2:$DV$97)*($R$2='Offer Statistics'!$DW$2:$DW$97),0)),"/")</f>
        <v>355</v>
      </c>
      <c r="U13" s="375" cm="1">
        <f t="array" ref="U13">IFERROR(INDEX('Offer Statistics'!EG$2:EG$97,MATCH(1,($A13='Offer Statistics'!$DV$2:$DV$97)*($R$2='Offer Statistics'!$DW$2:$DW$97),0)),"/")</f>
        <v>29</v>
      </c>
      <c r="V13" s="375" cm="1">
        <f t="array" ref="V13">IFERROR(INDEX('Offer Statistics'!EH$2:EH$97,MATCH(1,($A13='Offer Statistics'!$DV$2:$DV$97)*($R$2='Offer Statistics'!$DW$2:$DW$97),0)),"/")</f>
        <v>0</v>
      </c>
      <c r="W13" s="375" cm="1">
        <f t="array" ref="W13">IFERROR(INDEX('Offer Statistics'!EI$2:EI$97,MATCH(1,($A13='Offer Statistics'!$DV$2:$DV$97)*($R$2='Offer Statistics'!$DW$2:$DW$97),0)),"/")</f>
        <v>0</v>
      </c>
      <c r="X13" s="375" cm="1">
        <f t="array" ref="X13">IFERROR(INDEX('Offer Statistics'!EJ$2:EJ$97,MATCH(1,($A13='Offer Statistics'!$DV$2:$DV$97)*($R$2='Offer Statistics'!$DW$2:$DW$97),0)),"/")</f>
        <v>0</v>
      </c>
      <c r="Y13" s="580"/>
      <c r="Z13" s="365" cm="1">
        <f t="array" ref="Z13">IFERROR(INDEX('Offer Statistics'!EC$2:EC$97,MATCH(1,($A13='Offer Statistics'!$DV$2:$DV$97)*($R$2='Offer Statistics'!$DW$2:$DW$97),0)),"/")</f>
        <v>5951</v>
      </c>
      <c r="AA13" s="375" cm="1">
        <f t="array" ref="AA13">IFERROR(INDEX('Offer Statistics'!DX$2:DX$97,MATCH(1,($A13='Offer Statistics'!$DV$2:$DV$97)*($R$2='Offer Statistics'!$DW$2:$DW$97),0)),"/")</f>
        <v>2268</v>
      </c>
      <c r="AB13" s="375" cm="1">
        <f t="array" ref="AB13">IFERROR(INDEX('Offer Statistics'!DY$2:DY$97,MATCH(1,($A13='Offer Statistics'!$DV$2:$DV$97)*($R$2='Offer Statistics'!$DW$2:$DW$97),0)),"/")</f>
        <v>1000</v>
      </c>
      <c r="AC13" s="375" cm="1">
        <f t="array" ref="AC13">IFERROR(INDEX('Offer Statistics'!DZ$2:DZ$97,MATCH(1,($A13='Offer Statistics'!$DV$2:$DV$97)*($R$2='Offer Statistics'!$DW$2:$DW$97),0)),"/")</f>
        <v>837</v>
      </c>
      <c r="AD13" s="375" cm="1">
        <f t="array" ref="AD13">IFERROR(INDEX('Offer Statistics'!EA$2:EA$97,MATCH(1,($A13='Offer Statistics'!$DV$2:$DV$97)*($R$2='Offer Statistics'!$DW$2:$DW$97),0)),"/")</f>
        <v>847</v>
      </c>
      <c r="AE13" s="375" cm="1">
        <f t="array" ref="AE13">IFERROR(INDEX('Offer Statistics'!EB$2:EB$97,MATCH(1,($A13='Offer Statistics'!$DV$2:$DV$97)*($R$2='Offer Statistics'!$DW$2:$DW$97),0)),"/")</f>
        <v>999</v>
      </c>
      <c r="AF13" s="14"/>
      <c r="AG13" s="354" t="str">
        <f t="shared" si="2"/>
        <v>JS8507</v>
      </c>
    </row>
    <row r="14" spans="1:33" ht="18" customHeight="1" x14ac:dyDescent="0.3">
      <c r="A14" s="346" t="str">
        <f>'Reference Score Calculation'!A319</f>
        <v>JS8600</v>
      </c>
      <c r="B14" s="346" t="str">
        <f>'Reference Score Calculation'!C319</f>
        <v>人文學院</v>
      </c>
      <c r="C14" s="346" t="str">
        <f>'Reference Score Calculation'!D319</f>
        <v>語文研究榮譽文學士 (中文主修)</v>
      </c>
      <c r="D14" s="4" t="s">
        <v>1511</v>
      </c>
      <c r="E14" s="354" t="str">
        <f>'Reference Score Calculation'!E319</f>
        <v>Best 5</v>
      </c>
      <c r="F14" s="367">
        <f>'Reference Score Calculation'!H319</f>
        <v>20</v>
      </c>
      <c r="G14" s="368">
        <f>計分版!H340</f>
        <v>3.9500000000000006E-9</v>
      </c>
      <c r="H14" s="25">
        <f t="shared" si="3"/>
        <v>-19.999999996050001</v>
      </c>
      <c r="I14" s="26">
        <f t="shared" si="4"/>
        <v>-5063291138.2405052</v>
      </c>
      <c r="J14" s="37">
        <v>16</v>
      </c>
      <c r="K14" s="379">
        <f>入學要求!R328</f>
        <v>0</v>
      </c>
      <c r="L14" s="598"/>
      <c r="M14" s="354">
        <f>入學要求!D328</f>
        <v>3</v>
      </c>
      <c r="N14" s="354">
        <f>入學要求!E328</f>
        <v>3</v>
      </c>
      <c r="O14" s="354">
        <f>入學要求!F328</f>
        <v>2</v>
      </c>
      <c r="P14" s="354">
        <f>入學要求!G328</f>
        <v>2</v>
      </c>
      <c r="Q14" s="354">
        <f>入學要求!H328</f>
        <v>2</v>
      </c>
      <c r="R14" s="576"/>
      <c r="S14" s="365" cm="1">
        <f t="array" ref="S14">IFERROR(INDEX('Offer Statistics'!EK$2:EK$97,MATCH(1,($A14='Offer Statistics'!$DV$2:$DV$97)*($R$2='Offer Statistics'!$DW$2:$DW$97),0)),"/")</f>
        <v>21</v>
      </c>
      <c r="T14" s="375" cm="1">
        <f t="array" ref="T14">IFERROR(INDEX('Offer Statistics'!EF$2:EF$97,MATCH(1,($A14='Offer Statistics'!$DV$2:$DV$97)*($R$2='Offer Statistics'!$DW$2:$DW$97),0)),"/")</f>
        <v>19</v>
      </c>
      <c r="U14" s="375" cm="1">
        <f t="array" ref="U14">IFERROR(INDEX('Offer Statistics'!EG$2:EG$97,MATCH(1,($A14='Offer Statistics'!$DV$2:$DV$97)*($R$2='Offer Statistics'!$DW$2:$DW$97),0)),"/")</f>
        <v>2</v>
      </c>
      <c r="V14" s="375" cm="1">
        <f t="array" ref="V14">IFERROR(INDEX('Offer Statistics'!EH$2:EH$97,MATCH(1,($A14='Offer Statistics'!$DV$2:$DV$97)*($R$2='Offer Statistics'!$DW$2:$DW$97),0)),"/")</f>
        <v>0</v>
      </c>
      <c r="W14" s="375" cm="1">
        <f t="array" ref="W14">IFERROR(INDEX('Offer Statistics'!EI$2:EI$97,MATCH(1,($A14='Offer Statistics'!$DV$2:$DV$97)*($R$2='Offer Statistics'!$DW$2:$DW$97),0)),"/")</f>
        <v>0</v>
      </c>
      <c r="X14" s="375" cm="1">
        <f t="array" ref="X14">IFERROR(INDEX('Offer Statistics'!EJ$2:EJ$97,MATCH(1,($A14='Offer Statistics'!$DV$2:$DV$97)*($R$2='Offer Statistics'!$DW$2:$DW$97),0)),"/")</f>
        <v>0</v>
      </c>
      <c r="Y14" s="580"/>
      <c r="Z14" s="365" cm="1">
        <f t="array" ref="Z14">IFERROR(INDEX('Offer Statistics'!EC$2:EC$97,MATCH(1,($A14='Offer Statistics'!$DV$2:$DV$97)*($R$2='Offer Statistics'!$DW$2:$DW$97),0)),"/")</f>
        <v>1375</v>
      </c>
      <c r="AA14" s="375" cm="1">
        <f t="array" ref="AA14">IFERROR(INDEX('Offer Statistics'!DX$2:DX$97,MATCH(1,($A14='Offer Statistics'!$DV$2:$DV$97)*($R$2='Offer Statistics'!$DW$2:$DW$97),0)),"/")</f>
        <v>197</v>
      </c>
      <c r="AB14" s="375" cm="1">
        <f t="array" ref="AB14">IFERROR(INDEX('Offer Statistics'!DY$2:DY$97,MATCH(1,($A14='Offer Statistics'!$DV$2:$DV$97)*($R$2='Offer Statistics'!$DW$2:$DW$97),0)),"/")</f>
        <v>220</v>
      </c>
      <c r="AC14" s="375" cm="1">
        <f t="array" ref="AC14">IFERROR(INDEX('Offer Statistics'!DZ$2:DZ$97,MATCH(1,($A14='Offer Statistics'!$DV$2:$DV$97)*($R$2='Offer Statistics'!$DW$2:$DW$97),0)),"/")</f>
        <v>339</v>
      </c>
      <c r="AD14" s="375" cm="1">
        <f t="array" ref="AD14">IFERROR(INDEX('Offer Statistics'!EA$2:EA$97,MATCH(1,($A14='Offer Statistics'!$DV$2:$DV$97)*($R$2='Offer Statistics'!$DW$2:$DW$97),0)),"/")</f>
        <v>371</v>
      </c>
      <c r="AE14" s="375" cm="1">
        <f t="array" ref="AE14">IFERROR(INDEX('Offer Statistics'!EB$2:EB$97,MATCH(1,($A14='Offer Statistics'!$DV$2:$DV$97)*($R$2='Offer Statistics'!$DW$2:$DW$97),0)),"/")</f>
        <v>248</v>
      </c>
      <c r="AF14" s="14"/>
      <c r="AG14" s="354" t="str">
        <f t="shared" si="2"/>
        <v>JS8600</v>
      </c>
    </row>
    <row r="15" spans="1:33" ht="18" customHeight="1" x14ac:dyDescent="0.3">
      <c r="A15" s="346" t="str">
        <f>'Reference Score Calculation'!A320</f>
        <v>JS8612</v>
      </c>
      <c r="B15" s="346" t="str">
        <f>'Reference Score Calculation'!C320</f>
        <v>人文學院</v>
      </c>
      <c r="C15" s="346" t="str">
        <f>'Reference Score Calculation'!D320</f>
        <v>語文研究榮譽文學士 (英文主修)</v>
      </c>
      <c r="D15" s="4" t="s">
        <v>1515</v>
      </c>
      <c r="E15" s="354" t="str">
        <f>'Reference Score Calculation'!E320</f>
        <v>Best 5</v>
      </c>
      <c r="F15" s="367">
        <f>'Reference Score Calculation'!H320</f>
        <v>19</v>
      </c>
      <c r="G15" s="368">
        <f>計分版!H341</f>
        <v>3.9500000000000006E-9</v>
      </c>
      <c r="H15" s="25">
        <f t="shared" si="3"/>
        <v>-18.999999996050001</v>
      </c>
      <c r="I15" s="26">
        <f t="shared" si="4"/>
        <v>-4810126581.2784805</v>
      </c>
      <c r="J15" s="37">
        <v>16</v>
      </c>
      <c r="K15" s="379">
        <f>入學要求!R329</f>
        <v>0</v>
      </c>
      <c r="L15" s="598"/>
      <c r="M15" s="354">
        <f>入學要求!D329</f>
        <v>3</v>
      </c>
      <c r="N15" s="354">
        <f>入學要求!E329</f>
        <v>3</v>
      </c>
      <c r="O15" s="354">
        <f>入學要求!F329</f>
        <v>2</v>
      </c>
      <c r="P15" s="354">
        <f>入學要求!G329</f>
        <v>2</v>
      </c>
      <c r="Q15" s="354">
        <f>入學要求!H329</f>
        <v>2</v>
      </c>
      <c r="R15" s="576"/>
      <c r="S15" s="365" cm="1">
        <f t="array" ref="S15">IFERROR(INDEX('Offer Statistics'!EK$2:EK$97,MATCH(1,($A15='Offer Statistics'!$DV$2:$DV$97)*($R$2='Offer Statistics'!$DW$2:$DW$97),0)),"/")</f>
        <v>11</v>
      </c>
      <c r="T15" s="375" cm="1">
        <f t="array" ref="T15">IFERROR(INDEX('Offer Statistics'!EF$2:EF$97,MATCH(1,($A15='Offer Statistics'!$DV$2:$DV$97)*($R$2='Offer Statistics'!$DW$2:$DW$97),0)),"/")</f>
        <v>10</v>
      </c>
      <c r="U15" s="375" cm="1">
        <f t="array" ref="U15">IFERROR(INDEX('Offer Statistics'!EG$2:EG$97,MATCH(1,($A15='Offer Statistics'!$DV$2:$DV$97)*($R$2='Offer Statistics'!$DW$2:$DW$97),0)),"/")</f>
        <v>1</v>
      </c>
      <c r="V15" s="375" cm="1">
        <f t="array" ref="V15">IFERROR(INDEX('Offer Statistics'!EH$2:EH$97,MATCH(1,($A15='Offer Statistics'!$DV$2:$DV$97)*($R$2='Offer Statistics'!$DW$2:$DW$97),0)),"/")</f>
        <v>0</v>
      </c>
      <c r="W15" s="375" cm="1">
        <f t="array" ref="W15">IFERROR(INDEX('Offer Statistics'!EI$2:EI$97,MATCH(1,($A15='Offer Statistics'!$DV$2:$DV$97)*($R$2='Offer Statistics'!$DW$2:$DW$97),0)),"/")</f>
        <v>0</v>
      </c>
      <c r="X15" s="375" cm="1">
        <f t="array" ref="X15">IFERROR(INDEX('Offer Statistics'!EJ$2:EJ$97,MATCH(1,($A15='Offer Statistics'!$DV$2:$DV$97)*($R$2='Offer Statistics'!$DW$2:$DW$97),0)),"/")</f>
        <v>0</v>
      </c>
      <c r="Y15" s="580"/>
      <c r="Z15" s="365" cm="1">
        <f t="array" ref="Z15">IFERROR(INDEX('Offer Statistics'!EC$2:EC$97,MATCH(1,($A15='Offer Statistics'!$DV$2:$DV$97)*($R$2='Offer Statistics'!$DW$2:$DW$97),0)),"/")</f>
        <v>886</v>
      </c>
      <c r="AA15" s="375" cm="1">
        <f t="array" ref="AA15">IFERROR(INDEX('Offer Statistics'!DX$2:DX$97,MATCH(1,($A15='Offer Statistics'!$DV$2:$DV$97)*($R$2='Offer Statistics'!$DW$2:$DW$97),0)),"/")</f>
        <v>101</v>
      </c>
      <c r="AB15" s="375" cm="1">
        <f t="array" ref="AB15">IFERROR(INDEX('Offer Statistics'!DY$2:DY$97,MATCH(1,($A15='Offer Statistics'!$DV$2:$DV$97)*($R$2='Offer Statistics'!$DW$2:$DW$97),0)),"/")</f>
        <v>124</v>
      </c>
      <c r="AC15" s="375" cm="1">
        <f t="array" ref="AC15">IFERROR(INDEX('Offer Statistics'!DZ$2:DZ$97,MATCH(1,($A15='Offer Statistics'!$DV$2:$DV$97)*($R$2='Offer Statistics'!$DW$2:$DW$97),0)),"/")</f>
        <v>217</v>
      </c>
      <c r="AD15" s="375" cm="1">
        <f t="array" ref="AD15">IFERROR(INDEX('Offer Statistics'!EA$2:EA$97,MATCH(1,($A15='Offer Statistics'!$DV$2:$DV$97)*($R$2='Offer Statistics'!$DW$2:$DW$97),0)),"/")</f>
        <v>232</v>
      </c>
      <c r="AE15" s="375" cm="1">
        <f t="array" ref="AE15">IFERROR(INDEX('Offer Statistics'!EB$2:EB$97,MATCH(1,($A15='Offer Statistics'!$DV$2:$DV$97)*($R$2='Offer Statistics'!$DW$2:$DW$97),0)),"/")</f>
        <v>212</v>
      </c>
      <c r="AF15" s="14"/>
      <c r="AG15" s="354" t="str">
        <f t="shared" si="2"/>
        <v>JS8612</v>
      </c>
    </row>
    <row r="16" spans="1:33" ht="18" customHeight="1" x14ac:dyDescent="0.3">
      <c r="A16" s="346" t="str">
        <f>'Reference Score Calculation'!A321</f>
        <v>JS8636</v>
      </c>
      <c r="B16" s="346" t="str">
        <f>'Reference Score Calculation'!C321</f>
        <v>博文及社會科學學院</v>
      </c>
      <c r="C16" s="346" t="str">
        <f>'Reference Score Calculation'!D321</f>
        <v>創意藝術與文化榮譽文學士 (音樂)</v>
      </c>
      <c r="D16" s="4" t="s">
        <v>1519</v>
      </c>
      <c r="E16" s="354" t="str">
        <f>'Reference Score Calculation'!E321</f>
        <v>Best 5</v>
      </c>
      <c r="F16" s="367">
        <f>'Reference Score Calculation'!H321</f>
        <v>18</v>
      </c>
      <c r="G16" s="368">
        <f>計分版!H342</f>
        <v>3.9500000000000006E-9</v>
      </c>
      <c r="H16" s="25">
        <f t="shared" si="3"/>
        <v>-17.999999996050001</v>
      </c>
      <c r="I16" s="26">
        <f t="shared" si="4"/>
        <v>-4556962024.3164549</v>
      </c>
      <c r="J16" s="37">
        <v>24</v>
      </c>
      <c r="K16" s="379">
        <f>入學要求!R330</f>
        <v>0</v>
      </c>
      <c r="L16" s="598"/>
      <c r="M16" s="354">
        <f>入學要求!D330</f>
        <v>3</v>
      </c>
      <c r="N16" s="354">
        <f>入學要求!E330</f>
        <v>3</v>
      </c>
      <c r="O16" s="354">
        <f>入學要求!F330</f>
        <v>2</v>
      </c>
      <c r="P16" s="354">
        <f>入學要求!G330</f>
        <v>2</v>
      </c>
      <c r="Q16" s="354">
        <f>入學要求!H330</f>
        <v>2</v>
      </c>
      <c r="R16" s="576"/>
      <c r="S16" s="365" cm="1">
        <f t="array" ref="S16">IFERROR(INDEX('Offer Statistics'!EK$2:EK$97,MATCH(1,($A16='Offer Statistics'!$DV$2:$DV$97)*($R$2='Offer Statistics'!$DW$2:$DW$97),0)),"/")</f>
        <v>12</v>
      </c>
      <c r="T16" s="375" cm="1">
        <f t="array" ref="T16">IFERROR(INDEX('Offer Statistics'!EF$2:EF$97,MATCH(1,($A16='Offer Statistics'!$DV$2:$DV$97)*($R$2='Offer Statistics'!$DW$2:$DW$97),0)),"/")</f>
        <v>12</v>
      </c>
      <c r="U16" s="375" cm="1">
        <f t="array" ref="U16">IFERROR(INDEX('Offer Statistics'!EG$2:EG$97,MATCH(1,($A16='Offer Statistics'!$DV$2:$DV$97)*($R$2='Offer Statistics'!$DW$2:$DW$97),0)),"/")</f>
        <v>0</v>
      </c>
      <c r="V16" s="375" cm="1">
        <f t="array" ref="V16">IFERROR(INDEX('Offer Statistics'!EH$2:EH$97,MATCH(1,($A16='Offer Statistics'!$DV$2:$DV$97)*($R$2='Offer Statistics'!$DW$2:$DW$97),0)),"/")</f>
        <v>0</v>
      </c>
      <c r="W16" s="375" cm="1">
        <f t="array" ref="W16">IFERROR(INDEX('Offer Statistics'!EI$2:EI$97,MATCH(1,($A16='Offer Statistics'!$DV$2:$DV$97)*($R$2='Offer Statistics'!$DW$2:$DW$97),0)),"/")</f>
        <v>0</v>
      </c>
      <c r="X16" s="375" cm="1">
        <f t="array" ref="X16">IFERROR(INDEX('Offer Statistics'!EJ$2:EJ$97,MATCH(1,($A16='Offer Statistics'!$DV$2:$DV$97)*($R$2='Offer Statistics'!$DW$2:$DW$97),0)),"/")</f>
        <v>0</v>
      </c>
      <c r="Y16" s="580"/>
      <c r="Z16" s="365" cm="1">
        <f t="array" ref="Z16">IFERROR(INDEX('Offer Statistics'!EC$2:EC$97,MATCH(1,($A16='Offer Statistics'!$DV$2:$DV$97)*($R$2='Offer Statistics'!$DW$2:$DW$97),0)),"/")</f>
        <v>827</v>
      </c>
      <c r="AA16" s="375" cm="1">
        <f t="array" ref="AA16">IFERROR(INDEX('Offer Statistics'!DX$2:DX$97,MATCH(1,($A16='Offer Statistics'!$DV$2:$DV$97)*($R$2='Offer Statistics'!$DW$2:$DW$97),0)),"/")</f>
        <v>177</v>
      </c>
      <c r="AB16" s="375" cm="1">
        <f t="array" ref="AB16">IFERROR(INDEX('Offer Statistics'!DY$2:DY$97,MATCH(1,($A16='Offer Statistics'!$DV$2:$DV$97)*($R$2='Offer Statistics'!$DW$2:$DW$97),0)),"/")</f>
        <v>162</v>
      </c>
      <c r="AC16" s="375" cm="1">
        <f t="array" ref="AC16">IFERROR(INDEX('Offer Statistics'!DZ$2:DZ$97,MATCH(1,($A16='Offer Statistics'!$DV$2:$DV$97)*($R$2='Offer Statistics'!$DW$2:$DW$97),0)),"/")</f>
        <v>148</v>
      </c>
      <c r="AD16" s="375" cm="1">
        <f t="array" ref="AD16">IFERROR(INDEX('Offer Statistics'!EA$2:EA$97,MATCH(1,($A16='Offer Statistics'!$DV$2:$DV$97)*($R$2='Offer Statistics'!$DW$2:$DW$97),0)),"/")</f>
        <v>175</v>
      </c>
      <c r="AE16" s="375" cm="1">
        <f t="array" ref="AE16">IFERROR(INDEX('Offer Statistics'!EB$2:EB$97,MATCH(1,($A16='Offer Statistics'!$DV$2:$DV$97)*($R$2='Offer Statistics'!$DW$2:$DW$97),0)),"/")</f>
        <v>165</v>
      </c>
      <c r="AF16" s="14"/>
      <c r="AG16" s="354" t="str">
        <f t="shared" si="2"/>
        <v>JS8636</v>
      </c>
    </row>
    <row r="17" spans="1:36" ht="18" customHeight="1" x14ac:dyDescent="0.3">
      <c r="A17" s="346" t="str">
        <f>'Reference Score Calculation'!A322</f>
        <v>JS8648</v>
      </c>
      <c r="B17" s="346" t="str">
        <f>'Reference Score Calculation'!C322</f>
        <v>博文及社會科學學院</v>
      </c>
      <c r="C17" s="346" t="str">
        <f>'Reference Score Calculation'!D322</f>
        <v>創意藝術與文化榮譽文學士 (視覺藝術)</v>
      </c>
      <c r="D17" s="4" t="s">
        <v>1523</v>
      </c>
      <c r="E17" s="354" t="str">
        <f>'Reference Score Calculation'!E322</f>
        <v>Best 5</v>
      </c>
      <c r="F17" s="367">
        <f>'Reference Score Calculation'!H322</f>
        <v>19</v>
      </c>
      <c r="G17" s="368">
        <f>計分版!H343</f>
        <v>3.9500000000000006E-9</v>
      </c>
      <c r="H17" s="25">
        <f t="shared" si="3"/>
        <v>-18.999999996050001</v>
      </c>
      <c r="I17" s="26">
        <f t="shared" si="4"/>
        <v>-4810126581.2784805</v>
      </c>
      <c r="J17" s="37">
        <v>12</v>
      </c>
      <c r="K17" s="379">
        <f>入學要求!R331</f>
        <v>0</v>
      </c>
      <c r="L17" s="598"/>
      <c r="M17" s="354">
        <f>入學要求!D331</f>
        <v>3</v>
      </c>
      <c r="N17" s="354">
        <f>入學要求!E331</f>
        <v>3</v>
      </c>
      <c r="O17" s="354">
        <f>入學要求!F331</f>
        <v>2</v>
      </c>
      <c r="P17" s="354">
        <f>入學要求!G331</f>
        <v>2</v>
      </c>
      <c r="Q17" s="354">
        <f>入學要求!H331</f>
        <v>2</v>
      </c>
      <c r="R17" s="576"/>
      <c r="S17" s="365" cm="1">
        <f t="array" ref="S17">IFERROR(INDEX('Offer Statistics'!EK$2:EK$97,MATCH(1,($A17='Offer Statistics'!$DV$2:$DV$97)*($R$2='Offer Statistics'!$DW$2:$DW$97),0)),"/")</f>
        <v>16</v>
      </c>
      <c r="T17" s="375" cm="1">
        <f t="array" ref="T17">IFERROR(INDEX('Offer Statistics'!EF$2:EF$97,MATCH(1,($A17='Offer Statistics'!$DV$2:$DV$97)*($R$2='Offer Statistics'!$DW$2:$DW$97),0)),"/")</f>
        <v>13</v>
      </c>
      <c r="U17" s="375" cm="1">
        <f t="array" ref="U17">IFERROR(INDEX('Offer Statistics'!EG$2:EG$97,MATCH(1,($A17='Offer Statistics'!$DV$2:$DV$97)*($R$2='Offer Statistics'!$DW$2:$DW$97),0)),"/")</f>
        <v>3</v>
      </c>
      <c r="V17" s="375" cm="1">
        <f t="array" ref="V17">IFERROR(INDEX('Offer Statistics'!EH$2:EH$97,MATCH(1,($A17='Offer Statistics'!$DV$2:$DV$97)*($R$2='Offer Statistics'!$DW$2:$DW$97),0)),"/")</f>
        <v>0</v>
      </c>
      <c r="W17" s="375" cm="1">
        <f t="array" ref="W17">IFERROR(INDEX('Offer Statistics'!EI$2:EI$97,MATCH(1,($A17='Offer Statistics'!$DV$2:$DV$97)*($R$2='Offer Statistics'!$DW$2:$DW$97),0)),"/")</f>
        <v>0</v>
      </c>
      <c r="X17" s="375" cm="1">
        <f t="array" ref="X17">IFERROR(INDEX('Offer Statistics'!EJ$2:EJ$97,MATCH(1,($A17='Offer Statistics'!$DV$2:$DV$97)*($R$2='Offer Statistics'!$DW$2:$DW$97),0)),"/")</f>
        <v>0</v>
      </c>
      <c r="Y17" s="580"/>
      <c r="Z17" s="365" cm="1">
        <f t="array" ref="Z17">IFERROR(INDEX('Offer Statistics'!EC$2:EC$97,MATCH(1,($A17='Offer Statistics'!$DV$2:$DV$97)*($R$2='Offer Statistics'!$DW$2:$DW$97),0)),"/")</f>
        <v>1847</v>
      </c>
      <c r="AA17" s="375" cm="1">
        <f t="array" ref="AA17">IFERROR(INDEX('Offer Statistics'!DX$2:DX$97,MATCH(1,($A17='Offer Statistics'!$DV$2:$DV$97)*($R$2='Offer Statistics'!$DW$2:$DW$97),0)),"/")</f>
        <v>296</v>
      </c>
      <c r="AB17" s="375" cm="1">
        <f t="array" ref="AB17">IFERROR(INDEX('Offer Statistics'!DY$2:DY$97,MATCH(1,($A17='Offer Statistics'!$DV$2:$DV$97)*($R$2='Offer Statistics'!$DW$2:$DW$97),0)),"/")</f>
        <v>412</v>
      </c>
      <c r="AC17" s="375" cm="1">
        <f t="array" ref="AC17">IFERROR(INDEX('Offer Statistics'!DZ$2:DZ$97,MATCH(1,($A17='Offer Statistics'!$DV$2:$DV$97)*($R$2='Offer Statistics'!$DW$2:$DW$97),0)),"/")</f>
        <v>414</v>
      </c>
      <c r="AD17" s="375" cm="1">
        <f t="array" ref="AD17">IFERROR(INDEX('Offer Statistics'!EA$2:EA$97,MATCH(1,($A17='Offer Statistics'!$DV$2:$DV$97)*($R$2='Offer Statistics'!$DW$2:$DW$97),0)),"/")</f>
        <v>442</v>
      </c>
      <c r="AE17" s="375" cm="1">
        <f t="array" ref="AE17">IFERROR(INDEX('Offer Statistics'!EB$2:EB$97,MATCH(1,($A17='Offer Statistics'!$DV$2:$DV$97)*($R$2='Offer Statistics'!$DW$2:$DW$97),0)),"/")</f>
        <v>283</v>
      </c>
      <c r="AF17" s="14"/>
      <c r="AG17" s="354" t="str">
        <f t="shared" si="2"/>
        <v>JS8648</v>
      </c>
    </row>
    <row r="18" spans="1:36" ht="18" customHeight="1" x14ac:dyDescent="0.3">
      <c r="A18" s="346" t="str">
        <f>'Reference Score Calculation'!A323</f>
        <v>JS8651</v>
      </c>
      <c r="B18" s="346" t="str">
        <f>'Reference Score Calculation'!C323</f>
        <v>教育及人類發展學院</v>
      </c>
      <c r="C18" s="346" t="str">
        <f>'Reference Score Calculation'!D323</f>
        <v>心理學榮譽社會科學學士</v>
      </c>
      <c r="D18" s="4" t="s">
        <v>1527</v>
      </c>
      <c r="E18" s="354" t="str">
        <f>'Reference Score Calculation'!E323</f>
        <v>Best 5</v>
      </c>
      <c r="F18" s="367">
        <f>'Reference Score Calculation'!H323</f>
        <v>20</v>
      </c>
      <c r="G18" s="368">
        <f>計分版!H344</f>
        <v>3.9500000000000006E-9</v>
      </c>
      <c r="H18" s="25">
        <f t="shared" si="3"/>
        <v>-19.999999996050001</v>
      </c>
      <c r="I18" s="26">
        <f t="shared" si="4"/>
        <v>-5063291138.2405052</v>
      </c>
      <c r="J18" s="37">
        <v>12</v>
      </c>
      <c r="K18" s="379">
        <f>入學要求!R332</f>
        <v>0</v>
      </c>
      <c r="L18" s="598"/>
      <c r="M18" s="354">
        <f>入學要求!D332</f>
        <v>3</v>
      </c>
      <c r="N18" s="354">
        <f>入學要求!E332</f>
        <v>3</v>
      </c>
      <c r="O18" s="354">
        <f>入學要求!F332</f>
        <v>2</v>
      </c>
      <c r="P18" s="354">
        <f>入學要求!G332</f>
        <v>2</v>
      </c>
      <c r="Q18" s="354">
        <f>入學要求!H332</f>
        <v>2</v>
      </c>
      <c r="R18" s="576"/>
      <c r="S18" s="365" cm="1">
        <f t="array" ref="S18">IFERROR(INDEX('Offer Statistics'!EK$2:EK$97,MATCH(1,($A18='Offer Statistics'!$DV$2:$DV$97)*($R$2='Offer Statistics'!$DW$2:$DW$97),0)),"/")</f>
        <v>25</v>
      </c>
      <c r="T18" s="375" cm="1">
        <f t="array" ref="T18">IFERROR(INDEX('Offer Statistics'!EF$2:EF$97,MATCH(1,($A18='Offer Statistics'!$DV$2:$DV$97)*($R$2='Offer Statistics'!$DW$2:$DW$97),0)),"/")</f>
        <v>21</v>
      </c>
      <c r="U18" s="375" cm="1">
        <f t="array" ref="U18">IFERROR(INDEX('Offer Statistics'!EG$2:EG$97,MATCH(1,($A18='Offer Statistics'!$DV$2:$DV$97)*($R$2='Offer Statistics'!$DW$2:$DW$97),0)),"/")</f>
        <v>4</v>
      </c>
      <c r="V18" s="375" cm="1">
        <f t="array" ref="V18">IFERROR(INDEX('Offer Statistics'!EH$2:EH$97,MATCH(1,($A18='Offer Statistics'!$DV$2:$DV$97)*($R$2='Offer Statistics'!$DW$2:$DW$97),0)),"/")</f>
        <v>0</v>
      </c>
      <c r="W18" s="375" cm="1">
        <f t="array" ref="W18">IFERROR(INDEX('Offer Statistics'!EI$2:EI$97,MATCH(1,($A18='Offer Statistics'!$DV$2:$DV$97)*($R$2='Offer Statistics'!$DW$2:$DW$97),0)),"/")</f>
        <v>0</v>
      </c>
      <c r="X18" s="375" cm="1">
        <f t="array" ref="X18">IFERROR(INDEX('Offer Statistics'!EJ$2:EJ$97,MATCH(1,($A18='Offer Statistics'!$DV$2:$DV$97)*($R$2='Offer Statistics'!$DW$2:$DW$97),0)),"/")</f>
        <v>0</v>
      </c>
      <c r="Y18" s="580"/>
      <c r="Z18" s="365" cm="1">
        <f t="array" ref="Z18">IFERROR(INDEX('Offer Statistics'!EC$2:EC$97,MATCH(1,($A18='Offer Statistics'!$DV$2:$DV$97)*($R$2='Offer Statistics'!$DW$2:$DW$97),0)),"/")</f>
        <v>4381</v>
      </c>
      <c r="AA18" s="375" cm="1">
        <f t="array" ref="AA18">IFERROR(INDEX('Offer Statistics'!DX$2:DX$97,MATCH(1,($A18='Offer Statistics'!$DV$2:$DV$97)*($R$2='Offer Statistics'!$DW$2:$DW$97),0)),"/")</f>
        <v>496</v>
      </c>
      <c r="AB18" s="375" cm="1">
        <f t="array" ref="AB18">IFERROR(INDEX('Offer Statistics'!DY$2:DY$97,MATCH(1,($A18='Offer Statistics'!$DV$2:$DV$97)*($R$2='Offer Statistics'!$DW$2:$DW$97),0)),"/")</f>
        <v>620</v>
      </c>
      <c r="AC18" s="375" cm="1">
        <f t="array" ref="AC18">IFERROR(INDEX('Offer Statistics'!DZ$2:DZ$97,MATCH(1,($A18='Offer Statistics'!$DV$2:$DV$97)*($R$2='Offer Statistics'!$DW$2:$DW$97),0)),"/")</f>
        <v>1002</v>
      </c>
      <c r="AD18" s="375" cm="1">
        <f t="array" ref="AD18">IFERROR(INDEX('Offer Statistics'!EA$2:EA$97,MATCH(1,($A18='Offer Statistics'!$DV$2:$DV$97)*($R$2='Offer Statistics'!$DW$2:$DW$97),0)),"/")</f>
        <v>1263</v>
      </c>
      <c r="AE18" s="375" cm="1">
        <f t="array" ref="AE18">IFERROR(INDEX('Offer Statistics'!EB$2:EB$97,MATCH(1,($A18='Offer Statistics'!$DV$2:$DV$97)*($R$2='Offer Statistics'!$DW$2:$DW$97),0)),"/")</f>
        <v>1000</v>
      </c>
      <c r="AF18" s="14"/>
      <c r="AG18" s="354" t="str">
        <f t="shared" si="2"/>
        <v>JS8651</v>
      </c>
    </row>
    <row r="19" spans="1:36" ht="18" customHeight="1" x14ac:dyDescent="0.3">
      <c r="A19" s="346" t="str">
        <f>'Reference Score Calculation'!A324</f>
        <v>JS8663</v>
      </c>
      <c r="B19" s="346" t="str">
        <f>'Reference Score Calculation'!C324</f>
        <v>教育及人類發展學院</v>
      </c>
      <c r="C19" s="346" t="str">
        <f>'Reference Score Calculation'!D324</f>
        <v>特殊教育榮譽文學士</v>
      </c>
      <c r="D19" s="4" t="s">
        <v>1531</v>
      </c>
      <c r="E19" s="354" t="str">
        <f>'Reference Score Calculation'!E324</f>
        <v>Best 5</v>
      </c>
      <c r="F19" s="367">
        <f>'Reference Score Calculation'!H324</f>
        <v>19</v>
      </c>
      <c r="G19" s="368">
        <f>計分版!H345</f>
        <v>3.9500000000000006E-9</v>
      </c>
      <c r="H19" s="25">
        <f t="shared" si="3"/>
        <v>-18.999999996050001</v>
      </c>
      <c r="I19" s="26">
        <f t="shared" si="4"/>
        <v>-4810126581.2784805</v>
      </c>
      <c r="J19" s="37">
        <v>20</v>
      </c>
      <c r="K19" s="379">
        <f>入學要求!R333</f>
        <v>0</v>
      </c>
      <c r="L19" s="598"/>
      <c r="M19" s="354">
        <f>入學要求!D333</f>
        <v>3</v>
      </c>
      <c r="N19" s="354">
        <f>入學要求!E333</f>
        <v>3</v>
      </c>
      <c r="O19" s="354">
        <f>入學要求!F333</f>
        <v>2</v>
      </c>
      <c r="P19" s="354">
        <f>入學要求!G333</f>
        <v>2</v>
      </c>
      <c r="Q19" s="354">
        <f>入學要求!H333</f>
        <v>2</v>
      </c>
      <c r="R19" s="576"/>
      <c r="S19" s="365" cm="1">
        <f t="array" ref="S19">IFERROR(INDEX('Offer Statistics'!EK$2:EK$97,MATCH(1,($A19='Offer Statistics'!$DV$2:$DV$97)*($R$2='Offer Statistics'!$DW$2:$DW$97),0)),"/")</f>
        <v>21</v>
      </c>
      <c r="T19" s="375" cm="1">
        <f t="array" ref="T19">IFERROR(INDEX('Offer Statistics'!EF$2:EF$97,MATCH(1,($A19='Offer Statistics'!$DV$2:$DV$97)*($R$2='Offer Statistics'!$DW$2:$DW$97),0)),"/")</f>
        <v>18</v>
      </c>
      <c r="U19" s="375" cm="1">
        <f t="array" ref="U19">IFERROR(INDEX('Offer Statistics'!EG$2:EG$97,MATCH(1,($A19='Offer Statistics'!$DV$2:$DV$97)*($R$2='Offer Statistics'!$DW$2:$DW$97),0)),"/")</f>
        <v>3</v>
      </c>
      <c r="V19" s="375" cm="1">
        <f t="array" ref="V19">IFERROR(INDEX('Offer Statistics'!EH$2:EH$97,MATCH(1,($A19='Offer Statistics'!$DV$2:$DV$97)*($R$2='Offer Statistics'!$DW$2:$DW$97),0)),"/")</f>
        <v>0</v>
      </c>
      <c r="W19" s="375" cm="1">
        <f t="array" ref="W19">IFERROR(INDEX('Offer Statistics'!EI$2:EI$97,MATCH(1,($A19='Offer Statistics'!$DV$2:$DV$97)*($R$2='Offer Statistics'!$DW$2:$DW$97),0)),"/")</f>
        <v>0</v>
      </c>
      <c r="X19" s="375" cm="1">
        <f t="array" ref="X19">IFERROR(INDEX('Offer Statistics'!EJ$2:EJ$97,MATCH(1,($A19='Offer Statistics'!$DV$2:$DV$97)*($R$2='Offer Statistics'!$DW$2:$DW$97),0)),"/")</f>
        <v>0</v>
      </c>
      <c r="Y19" s="580"/>
      <c r="Z19" s="365" cm="1">
        <f t="array" ref="Z19">IFERROR(INDEX('Offer Statistics'!EC$2:EC$97,MATCH(1,($A19='Offer Statistics'!$DV$2:$DV$97)*($R$2='Offer Statistics'!$DW$2:$DW$97),0)),"/")</f>
        <v>1868</v>
      </c>
      <c r="AA19" s="375" cm="1">
        <f t="array" ref="AA19">IFERROR(INDEX('Offer Statistics'!DX$2:DX$97,MATCH(1,($A19='Offer Statistics'!$DV$2:$DV$97)*($R$2='Offer Statistics'!$DW$2:$DW$97),0)),"/")</f>
        <v>267</v>
      </c>
      <c r="AB19" s="375" cm="1">
        <f t="array" ref="AB19">IFERROR(INDEX('Offer Statistics'!DY$2:DY$97,MATCH(1,($A19='Offer Statistics'!$DV$2:$DV$97)*($R$2='Offer Statistics'!$DW$2:$DW$97),0)),"/")</f>
        <v>353</v>
      </c>
      <c r="AC19" s="375" cm="1">
        <f t="array" ref="AC19">IFERROR(INDEX('Offer Statistics'!DZ$2:DZ$97,MATCH(1,($A19='Offer Statistics'!$DV$2:$DV$97)*($R$2='Offer Statistics'!$DW$2:$DW$97),0)),"/")</f>
        <v>413</v>
      </c>
      <c r="AD19" s="375" cm="1">
        <f t="array" ref="AD19">IFERROR(INDEX('Offer Statistics'!EA$2:EA$97,MATCH(1,($A19='Offer Statistics'!$DV$2:$DV$97)*($R$2='Offer Statistics'!$DW$2:$DW$97),0)),"/")</f>
        <v>465</v>
      </c>
      <c r="AE19" s="375" cm="1">
        <f t="array" ref="AE19">IFERROR(INDEX('Offer Statistics'!EB$2:EB$97,MATCH(1,($A19='Offer Statistics'!$DV$2:$DV$97)*($R$2='Offer Statistics'!$DW$2:$DW$97),0)),"/")</f>
        <v>370</v>
      </c>
      <c r="AF19" s="14"/>
      <c r="AG19" s="354" t="str">
        <f t="shared" si="2"/>
        <v>JS8663</v>
      </c>
    </row>
    <row r="20" spans="1:36" ht="18" customHeight="1" x14ac:dyDescent="0.3">
      <c r="A20" s="346" t="str">
        <f>'Reference Score Calculation'!A325</f>
        <v>JS8702</v>
      </c>
      <c r="B20" s="346" t="str">
        <f>'Reference Score Calculation'!C325</f>
        <v>博文及社會科學學院</v>
      </c>
      <c r="C20" s="346" t="str">
        <f>'Reference Score Calculation'!D325</f>
        <v>綜合環境管理榮譽理學士</v>
      </c>
      <c r="D20" s="4" t="s">
        <v>1535</v>
      </c>
      <c r="E20" s="354" t="str">
        <f>'Reference Score Calculation'!E325</f>
        <v>Best 5</v>
      </c>
      <c r="F20" s="367" t="str">
        <f>'Reference Score Calculation'!H325</f>
        <v>/</v>
      </c>
      <c r="G20" s="368">
        <f>計分版!H346</f>
        <v>3.9500000000000006E-9</v>
      </c>
      <c r="H20" s="348" t="s">
        <v>1978</v>
      </c>
      <c r="I20" s="348" t="s">
        <v>1978</v>
      </c>
      <c r="J20" s="37">
        <v>20</v>
      </c>
      <c r="K20" s="379">
        <f>入學要求!R334</f>
        <v>0</v>
      </c>
      <c r="L20" s="598"/>
      <c r="M20" s="354">
        <f>入學要求!D334</f>
        <v>3</v>
      </c>
      <c r="N20" s="354">
        <f>入學要求!E334</f>
        <v>3</v>
      </c>
      <c r="O20" s="354">
        <f>入學要求!F334</f>
        <v>2</v>
      </c>
      <c r="P20" s="354">
        <f>入學要求!G334</f>
        <v>2</v>
      </c>
      <c r="Q20" s="354">
        <f>入學要求!H334</f>
        <v>2</v>
      </c>
      <c r="R20" s="576"/>
      <c r="S20" s="365" t="str" cm="1">
        <f t="array" ref="S20">IFERROR(INDEX('Offer Statistics'!EK$2:EK$97,MATCH(1,($A20='Offer Statistics'!$DV$2:$DV$97)*($R$2='Offer Statistics'!$DW$2:$DW$97),0)),"/")</f>
        <v>/</v>
      </c>
      <c r="T20" s="375" t="str" cm="1">
        <f t="array" ref="T20">IFERROR(INDEX('Offer Statistics'!EF$2:EF$97,MATCH(1,($A20='Offer Statistics'!$DV$2:$DV$97)*($R$2='Offer Statistics'!$DW$2:$DW$97),0)),"/")</f>
        <v>/</v>
      </c>
      <c r="U20" s="375" t="str" cm="1">
        <f t="array" ref="U20">IFERROR(INDEX('Offer Statistics'!EG$2:EG$97,MATCH(1,($A20='Offer Statistics'!$DV$2:$DV$97)*($R$2='Offer Statistics'!$DW$2:$DW$97),0)),"/")</f>
        <v>/</v>
      </c>
      <c r="V20" s="375" t="str" cm="1">
        <f t="array" ref="V20">IFERROR(INDEX('Offer Statistics'!EH$2:EH$97,MATCH(1,($A20='Offer Statistics'!$DV$2:$DV$97)*($R$2='Offer Statistics'!$DW$2:$DW$97),0)),"/")</f>
        <v>/</v>
      </c>
      <c r="W20" s="375" t="str" cm="1">
        <f t="array" ref="W20">IFERROR(INDEX('Offer Statistics'!EI$2:EI$97,MATCH(1,($A20='Offer Statistics'!$DV$2:$DV$97)*($R$2='Offer Statistics'!$DW$2:$DW$97),0)),"/")</f>
        <v>/</v>
      </c>
      <c r="X20" s="375" t="str" cm="1">
        <f t="array" ref="X20">IFERROR(INDEX('Offer Statistics'!EJ$2:EJ$97,MATCH(1,($A20='Offer Statistics'!$DV$2:$DV$97)*($R$2='Offer Statistics'!$DW$2:$DW$97),0)),"/")</f>
        <v>/</v>
      </c>
      <c r="Y20" s="580"/>
      <c r="Z20" s="365" t="str" cm="1">
        <f t="array" ref="Z20">IFERROR(INDEX('Offer Statistics'!EC$2:EC$97,MATCH(1,($A20='Offer Statistics'!$DV$2:$DV$97)*($R$2='Offer Statistics'!$DW$2:$DW$97),0)),"/")</f>
        <v>/</v>
      </c>
      <c r="AA20" s="375" t="str" cm="1">
        <f t="array" ref="AA20">IFERROR(INDEX('Offer Statistics'!DX$2:DX$97,MATCH(1,($A20='Offer Statistics'!$DV$2:$DV$97)*($R$2='Offer Statistics'!$DW$2:$DW$97),0)),"/")</f>
        <v>/</v>
      </c>
      <c r="AB20" s="375" t="str" cm="1">
        <f t="array" ref="AB20">IFERROR(INDEX('Offer Statistics'!DY$2:DY$97,MATCH(1,($A20='Offer Statistics'!$DV$2:$DV$97)*($R$2='Offer Statistics'!$DW$2:$DW$97),0)),"/")</f>
        <v>/</v>
      </c>
      <c r="AC20" s="375" t="str" cm="1">
        <f t="array" ref="AC20">IFERROR(INDEX('Offer Statistics'!DZ$2:DZ$97,MATCH(1,($A20='Offer Statistics'!$DV$2:$DV$97)*($R$2='Offer Statistics'!$DW$2:$DW$97),0)),"/")</f>
        <v>/</v>
      </c>
      <c r="AD20" s="375" t="str" cm="1">
        <f t="array" ref="AD20">IFERROR(INDEX('Offer Statistics'!EA$2:EA$97,MATCH(1,($A20='Offer Statistics'!$DV$2:$DV$97)*($R$2='Offer Statistics'!$DW$2:$DW$97),0)),"/")</f>
        <v>/</v>
      </c>
      <c r="AE20" s="375" t="str" cm="1">
        <f t="array" ref="AE20">IFERROR(INDEX('Offer Statistics'!EB$2:EB$97,MATCH(1,($A20='Offer Statistics'!$DV$2:$DV$97)*($R$2='Offer Statistics'!$DW$2:$DW$97),0)),"/")</f>
        <v>/</v>
      </c>
      <c r="AF20" s="14"/>
      <c r="AG20" s="354" t="str">
        <f t="shared" si="2"/>
        <v>JS8702</v>
      </c>
    </row>
    <row r="21" spans="1:36" ht="18" customHeight="1" x14ac:dyDescent="0.3">
      <c r="A21" s="346" t="str">
        <f>'Reference Score Calculation'!A326</f>
        <v>JS8714</v>
      </c>
      <c r="B21" s="346" t="str">
        <f>'Reference Score Calculation'!C326</f>
        <v>博文及社會科學學院</v>
      </c>
      <c r="C21" s="346" t="str">
        <f>'Reference Score Calculation'!D326</f>
        <v>人工智能與教育科技榮譽理學士</v>
      </c>
      <c r="D21" s="4" t="s">
        <v>1539</v>
      </c>
      <c r="E21" s="354" t="str">
        <f>'Reference Score Calculation'!E326</f>
        <v>Best 5</v>
      </c>
      <c r="F21" s="367" t="str">
        <f>'Reference Score Calculation'!H326</f>
        <v>/</v>
      </c>
      <c r="G21" s="368">
        <f>計分版!H347</f>
        <v>3.9500000000000006E-9</v>
      </c>
      <c r="H21" s="348" t="s">
        <v>1978</v>
      </c>
      <c r="I21" s="348" t="s">
        <v>1978</v>
      </c>
      <c r="J21" s="37">
        <v>40</v>
      </c>
      <c r="K21" s="379">
        <f>入學要求!R335</f>
        <v>0</v>
      </c>
      <c r="L21" s="598"/>
      <c r="M21" s="354">
        <f>入學要求!D335</f>
        <v>3</v>
      </c>
      <c r="N21" s="354">
        <f>入學要求!E335</f>
        <v>3</v>
      </c>
      <c r="O21" s="354">
        <f>入學要求!F335</f>
        <v>3</v>
      </c>
      <c r="P21" s="354">
        <f>入學要求!G335</f>
        <v>2</v>
      </c>
      <c r="Q21" s="354">
        <f>入學要求!H335</f>
        <v>2</v>
      </c>
      <c r="R21" s="576"/>
      <c r="S21" s="365" t="str" cm="1">
        <f t="array" ref="S21">IFERROR(INDEX('Offer Statistics'!EK$2:EK$97,MATCH(1,($A21='Offer Statistics'!$DV$2:$DV$97)*($R$2='Offer Statistics'!$DW$2:$DW$97),0)),"/")</f>
        <v>/</v>
      </c>
      <c r="T21" s="375" t="str" cm="1">
        <f t="array" ref="T21">IFERROR(INDEX('Offer Statistics'!EF$2:EF$97,MATCH(1,($A21='Offer Statistics'!$DV$2:$DV$97)*($R$2='Offer Statistics'!$DW$2:$DW$97),0)),"/")</f>
        <v>/</v>
      </c>
      <c r="U21" s="375" t="str" cm="1">
        <f t="array" ref="U21">IFERROR(INDEX('Offer Statistics'!EG$2:EG$97,MATCH(1,($A21='Offer Statistics'!$DV$2:$DV$97)*($R$2='Offer Statistics'!$DW$2:$DW$97),0)),"/")</f>
        <v>/</v>
      </c>
      <c r="V21" s="375" t="str" cm="1">
        <f t="array" ref="V21">IFERROR(INDEX('Offer Statistics'!EH$2:EH$97,MATCH(1,($A21='Offer Statistics'!$DV$2:$DV$97)*($R$2='Offer Statistics'!$DW$2:$DW$97),0)),"/")</f>
        <v>/</v>
      </c>
      <c r="W21" s="375" t="str" cm="1">
        <f t="array" ref="W21">IFERROR(INDEX('Offer Statistics'!EI$2:EI$97,MATCH(1,($A21='Offer Statistics'!$DV$2:$DV$97)*($R$2='Offer Statistics'!$DW$2:$DW$97),0)),"/")</f>
        <v>/</v>
      </c>
      <c r="X21" s="375" t="str" cm="1">
        <f t="array" ref="X21">IFERROR(INDEX('Offer Statistics'!EJ$2:EJ$97,MATCH(1,($A21='Offer Statistics'!$DV$2:$DV$97)*($R$2='Offer Statistics'!$DW$2:$DW$97),0)),"/")</f>
        <v>/</v>
      </c>
      <c r="Y21" s="580"/>
      <c r="Z21" s="365" t="str" cm="1">
        <f t="array" ref="Z21">IFERROR(INDEX('Offer Statistics'!EC$2:EC$97,MATCH(1,($A21='Offer Statistics'!$DV$2:$DV$97)*($R$2='Offer Statistics'!$DW$2:$DW$97),0)),"/")</f>
        <v>/</v>
      </c>
      <c r="AA21" s="375" t="str" cm="1">
        <f t="array" ref="AA21">IFERROR(INDEX('Offer Statistics'!DX$2:DX$97,MATCH(1,($A21='Offer Statistics'!$DV$2:$DV$97)*($R$2='Offer Statistics'!$DW$2:$DW$97),0)),"/")</f>
        <v>/</v>
      </c>
      <c r="AB21" s="375" t="str" cm="1">
        <f t="array" ref="AB21">IFERROR(INDEX('Offer Statistics'!DY$2:DY$97,MATCH(1,($A21='Offer Statistics'!$DV$2:$DV$97)*($R$2='Offer Statistics'!$DW$2:$DW$97),0)),"/")</f>
        <v>/</v>
      </c>
      <c r="AC21" s="375" t="str" cm="1">
        <f t="array" ref="AC21">IFERROR(INDEX('Offer Statistics'!DZ$2:DZ$97,MATCH(1,($A21='Offer Statistics'!$DV$2:$DV$97)*($R$2='Offer Statistics'!$DW$2:$DW$97),0)),"/")</f>
        <v>/</v>
      </c>
      <c r="AD21" s="375" t="str" cm="1">
        <f t="array" ref="AD21">IFERROR(INDEX('Offer Statistics'!EA$2:EA$97,MATCH(1,($A21='Offer Statistics'!$DV$2:$DV$97)*($R$2='Offer Statistics'!$DW$2:$DW$97),0)),"/")</f>
        <v>/</v>
      </c>
      <c r="AE21" s="375" t="str" cm="1">
        <f t="array" ref="AE21">IFERROR(INDEX('Offer Statistics'!EB$2:EB$97,MATCH(1,($A21='Offer Statistics'!$DV$2:$DV$97)*($R$2='Offer Statistics'!$DW$2:$DW$97),0)),"/")</f>
        <v>/</v>
      </c>
      <c r="AF21" s="14"/>
      <c r="AG21" s="354" t="str">
        <f t="shared" si="2"/>
        <v>JS8714</v>
      </c>
    </row>
    <row r="22" spans="1:36" ht="18" customHeight="1" x14ac:dyDescent="0.3">
      <c r="A22" s="346" t="str">
        <f>'Reference Score Calculation'!A327</f>
        <v>JS8726</v>
      </c>
      <c r="B22" s="346" t="str">
        <f>'Reference Score Calculation'!C327</f>
        <v>博文及社會科學學院</v>
      </c>
      <c r="C22" s="346" t="str">
        <f>'Reference Score Calculation'!D327</f>
        <v>運動科學及教練榮譽理學士</v>
      </c>
      <c r="D22" s="4" t="s">
        <v>1555</v>
      </c>
      <c r="E22" s="354" t="str">
        <f>'Reference Score Calculation'!E327</f>
        <v>Best 5</v>
      </c>
      <c r="F22" s="367" t="str">
        <f>'Reference Score Calculation'!H327</f>
        <v>/</v>
      </c>
      <c r="G22" s="368">
        <f>計分版!H348</f>
        <v>3.9500000000000006E-9</v>
      </c>
      <c r="H22" s="348" t="s">
        <v>1978</v>
      </c>
      <c r="I22" s="348" t="s">
        <v>1978</v>
      </c>
      <c r="J22" s="37">
        <v>40</v>
      </c>
      <c r="K22" s="379">
        <f>入學要求!R336</f>
        <v>0</v>
      </c>
      <c r="L22" s="598"/>
      <c r="M22" s="354">
        <f>入學要求!D336</f>
        <v>3</v>
      </c>
      <c r="N22" s="354">
        <f>入學要求!E336</f>
        <v>3</v>
      </c>
      <c r="O22" s="354">
        <f>入學要求!F336</f>
        <v>2</v>
      </c>
      <c r="P22" s="354">
        <f>入學要求!G336</f>
        <v>2</v>
      </c>
      <c r="Q22" s="354">
        <f>入學要求!H336</f>
        <v>2</v>
      </c>
      <c r="R22" s="576"/>
      <c r="S22" s="365" t="str" cm="1">
        <f t="array" ref="S22">IFERROR(INDEX('Offer Statistics'!EK$2:EK$97,MATCH(1,($A22='Offer Statistics'!$DV$2:$DV$97)*($R$2='Offer Statistics'!$DW$2:$DW$97),0)),"/")</f>
        <v>/</v>
      </c>
      <c r="T22" s="375" t="str" cm="1">
        <f t="array" ref="T22">IFERROR(INDEX('Offer Statistics'!EF$2:EF$97,MATCH(1,($A22='Offer Statistics'!$DV$2:$DV$97)*($R$2='Offer Statistics'!$DW$2:$DW$97),0)),"/")</f>
        <v>/</v>
      </c>
      <c r="U22" s="375" t="str" cm="1">
        <f t="array" ref="U22">IFERROR(INDEX('Offer Statistics'!EG$2:EG$97,MATCH(1,($A22='Offer Statistics'!$DV$2:$DV$97)*($R$2='Offer Statistics'!$DW$2:$DW$97),0)),"/")</f>
        <v>/</v>
      </c>
      <c r="V22" s="375" t="str" cm="1">
        <f t="array" ref="V22">IFERROR(INDEX('Offer Statistics'!EH$2:EH$97,MATCH(1,($A22='Offer Statistics'!$DV$2:$DV$97)*($R$2='Offer Statistics'!$DW$2:$DW$97),0)),"/")</f>
        <v>/</v>
      </c>
      <c r="W22" s="375" t="str" cm="1">
        <f t="array" ref="W22">IFERROR(INDEX('Offer Statistics'!EI$2:EI$97,MATCH(1,($A22='Offer Statistics'!$DV$2:$DV$97)*($R$2='Offer Statistics'!$DW$2:$DW$97),0)),"/")</f>
        <v>/</v>
      </c>
      <c r="X22" s="375" t="str" cm="1">
        <f t="array" ref="X22">IFERROR(INDEX('Offer Statistics'!EJ$2:EJ$97,MATCH(1,($A22='Offer Statistics'!$DV$2:$DV$97)*($R$2='Offer Statistics'!$DW$2:$DW$97),0)),"/")</f>
        <v>/</v>
      </c>
      <c r="Y22" s="580"/>
      <c r="Z22" s="365" t="str" cm="1">
        <f t="array" ref="Z22">IFERROR(INDEX('Offer Statistics'!EC$2:EC$97,MATCH(1,($A22='Offer Statistics'!$DV$2:$DV$97)*($R$2='Offer Statistics'!$DW$2:$DW$97),0)),"/")</f>
        <v>/</v>
      </c>
      <c r="AA22" s="375" t="str" cm="1">
        <f t="array" ref="AA22">IFERROR(INDEX('Offer Statistics'!DX$2:DX$97,MATCH(1,($A22='Offer Statistics'!$DV$2:$DV$97)*($R$2='Offer Statistics'!$DW$2:$DW$97),0)),"/")</f>
        <v>/</v>
      </c>
      <c r="AB22" s="375" t="str" cm="1">
        <f t="array" ref="AB22">IFERROR(INDEX('Offer Statistics'!DY$2:DY$97,MATCH(1,($A22='Offer Statistics'!$DV$2:$DV$97)*($R$2='Offer Statistics'!$DW$2:$DW$97),0)),"/")</f>
        <v>/</v>
      </c>
      <c r="AC22" s="375" t="str" cm="1">
        <f t="array" ref="AC22">IFERROR(INDEX('Offer Statistics'!DZ$2:DZ$97,MATCH(1,($A22='Offer Statistics'!$DV$2:$DV$97)*($R$2='Offer Statistics'!$DW$2:$DW$97),0)),"/")</f>
        <v>/</v>
      </c>
      <c r="AD22" s="375" t="str" cm="1">
        <f t="array" ref="AD22">IFERROR(INDEX('Offer Statistics'!EA$2:EA$97,MATCH(1,($A22='Offer Statistics'!$DV$2:$DV$97)*($R$2='Offer Statistics'!$DW$2:$DW$97),0)),"/")</f>
        <v>/</v>
      </c>
      <c r="AE22" s="375" t="str" cm="1">
        <f t="array" ref="AE22">IFERROR(INDEX('Offer Statistics'!EB$2:EB$97,MATCH(1,($A22='Offer Statistics'!$DV$2:$DV$97)*($R$2='Offer Statistics'!$DW$2:$DW$97),0)),"/")</f>
        <v>/</v>
      </c>
      <c r="AF22" s="14"/>
      <c r="AG22" s="354" t="str">
        <f t="shared" si="2"/>
        <v>JS8726</v>
      </c>
    </row>
    <row r="23" spans="1:36" ht="18" customHeight="1" x14ac:dyDescent="0.3">
      <c r="A23" s="346" t="str">
        <f>'Reference Score Calculation'!A328</f>
        <v>JS8801</v>
      </c>
      <c r="B23" s="346" t="str">
        <f>'Reference Score Calculation'!C328</f>
        <v>博文及社會科學學院</v>
      </c>
      <c r="C23" s="346" t="str">
        <f>'Reference Score Calculation'!D328</f>
        <v>創意藝術與文化榮譽文學士及音樂教育榮譽學士 (同期結業雙學位課程)</v>
      </c>
      <c r="D23" s="4" t="s">
        <v>1559</v>
      </c>
      <c r="E23" s="354" t="str">
        <f>'Reference Score Calculation'!E328</f>
        <v>Best 5</v>
      </c>
      <c r="F23" s="367">
        <f>'Reference Score Calculation'!H328</f>
        <v>19</v>
      </c>
      <c r="G23" s="368">
        <f>計分版!H349</f>
        <v>3.9500000000000006E-9</v>
      </c>
      <c r="H23" s="25">
        <f t="shared" si="3"/>
        <v>-18.999999996050001</v>
      </c>
      <c r="I23" s="26">
        <f t="shared" si="4"/>
        <v>-4810126581.2784805</v>
      </c>
      <c r="J23" s="37">
        <v>20</v>
      </c>
      <c r="K23" s="379">
        <f>入學要求!R337</f>
        <v>0</v>
      </c>
      <c r="L23" s="598"/>
      <c r="M23" s="354">
        <f>入學要求!D337</f>
        <v>3</v>
      </c>
      <c r="N23" s="354">
        <f>入學要求!E337</f>
        <v>3</v>
      </c>
      <c r="O23" s="354">
        <f>入學要求!F337</f>
        <v>2</v>
      </c>
      <c r="P23" s="354">
        <f>入學要求!G337</f>
        <v>2</v>
      </c>
      <c r="Q23" s="354">
        <f>入學要求!H337</f>
        <v>2</v>
      </c>
      <c r="R23" s="576"/>
      <c r="S23" s="365" cm="1">
        <f t="array" ref="S23">IFERROR(INDEX('Offer Statistics'!EK$2:EK$97,MATCH(1,($A23='Offer Statistics'!$DV$2:$DV$97)*($R$2='Offer Statistics'!$DW$2:$DW$97),0)),"/")</f>
        <v>29</v>
      </c>
      <c r="T23" s="375" cm="1">
        <f t="array" ref="T23">IFERROR(INDEX('Offer Statistics'!EF$2:EF$97,MATCH(1,($A23='Offer Statistics'!$DV$2:$DV$97)*($R$2='Offer Statistics'!$DW$2:$DW$97),0)),"/")</f>
        <v>29</v>
      </c>
      <c r="U23" s="375" cm="1">
        <f t="array" ref="U23">IFERROR(INDEX('Offer Statistics'!EG$2:EG$97,MATCH(1,($A23='Offer Statistics'!$DV$2:$DV$97)*($R$2='Offer Statistics'!$DW$2:$DW$97),0)),"/")</f>
        <v>0</v>
      </c>
      <c r="V23" s="375" cm="1">
        <f t="array" ref="V23">IFERROR(INDEX('Offer Statistics'!EH$2:EH$97,MATCH(1,($A23='Offer Statistics'!$DV$2:$DV$97)*($R$2='Offer Statistics'!$DW$2:$DW$97),0)),"/")</f>
        <v>0</v>
      </c>
      <c r="W23" s="375" cm="1">
        <f t="array" ref="W23">IFERROR(INDEX('Offer Statistics'!EI$2:EI$97,MATCH(1,($A23='Offer Statistics'!$DV$2:$DV$97)*($R$2='Offer Statistics'!$DW$2:$DW$97),0)),"/")</f>
        <v>0</v>
      </c>
      <c r="X23" s="375" cm="1">
        <f t="array" ref="X23">IFERROR(INDEX('Offer Statistics'!EJ$2:EJ$97,MATCH(1,($A23='Offer Statistics'!$DV$2:$DV$97)*($R$2='Offer Statistics'!$DW$2:$DW$97),0)),"/")</f>
        <v>0</v>
      </c>
      <c r="Y23" s="580"/>
      <c r="Z23" s="365" cm="1">
        <f t="array" ref="Z23">IFERROR(INDEX('Offer Statistics'!EC$2:EC$97,MATCH(1,($A23='Offer Statistics'!$DV$2:$DV$97)*($R$2='Offer Statistics'!$DW$2:$DW$97),0)),"/")</f>
        <v>627</v>
      </c>
      <c r="AA23" s="375" cm="1">
        <f t="array" ref="AA23">IFERROR(INDEX('Offer Statistics'!DX$2:DX$97,MATCH(1,($A23='Offer Statistics'!$DV$2:$DV$97)*($R$2='Offer Statistics'!$DW$2:$DW$97),0)),"/")</f>
        <v>159</v>
      </c>
      <c r="AB23" s="375" cm="1">
        <f t="array" ref="AB23">IFERROR(INDEX('Offer Statistics'!DY$2:DY$97,MATCH(1,($A23='Offer Statistics'!$DV$2:$DV$97)*($R$2='Offer Statistics'!$DW$2:$DW$97),0)),"/")</f>
        <v>102</v>
      </c>
      <c r="AC23" s="375" cm="1">
        <f t="array" ref="AC23">IFERROR(INDEX('Offer Statistics'!DZ$2:DZ$97,MATCH(1,($A23='Offer Statistics'!$DV$2:$DV$97)*($R$2='Offer Statistics'!$DW$2:$DW$97),0)),"/")</f>
        <v>102</v>
      </c>
      <c r="AD23" s="375" cm="1">
        <f t="array" ref="AD23">IFERROR(INDEX('Offer Statistics'!EA$2:EA$97,MATCH(1,($A23='Offer Statistics'!$DV$2:$DV$97)*($R$2='Offer Statistics'!$DW$2:$DW$97),0)),"/")</f>
        <v>144</v>
      </c>
      <c r="AE23" s="375" cm="1">
        <f t="array" ref="AE23">IFERROR(INDEX('Offer Statistics'!EB$2:EB$97,MATCH(1,($A23='Offer Statistics'!$DV$2:$DV$97)*($R$2='Offer Statistics'!$DW$2:$DW$97),0)),"/")</f>
        <v>120</v>
      </c>
      <c r="AF23" s="14"/>
      <c r="AG23" s="354" t="str">
        <f t="shared" si="2"/>
        <v>JS8801</v>
      </c>
    </row>
    <row r="24" spans="1:36" ht="18" customHeight="1" x14ac:dyDescent="0.3">
      <c r="A24" s="346" t="str">
        <f>'Reference Score Calculation'!A329</f>
        <v>JS8813</v>
      </c>
      <c r="B24" s="346" t="str">
        <f>'Reference Score Calculation'!C329</f>
        <v>博文及社會科學學院</v>
      </c>
      <c r="C24" s="346" t="str">
        <f>'Reference Score Calculation'!D329</f>
        <v>創意藝術與文化榮譽文學士及視覺藝術教育榮譽學士 (同期結業雙學位課程)</v>
      </c>
      <c r="D24" s="4" t="s">
        <v>1563</v>
      </c>
      <c r="E24" s="354" t="str">
        <f>'Reference Score Calculation'!E329</f>
        <v>Best 5</v>
      </c>
      <c r="F24" s="367">
        <f>'Reference Score Calculation'!H329</f>
        <v>20</v>
      </c>
      <c r="G24" s="368">
        <f>計分版!H350</f>
        <v>3.9500000000000006E-9</v>
      </c>
      <c r="H24" s="25">
        <f t="shared" si="0"/>
        <v>-19.999999996050001</v>
      </c>
      <c r="I24" s="26">
        <f t="shared" ref="I24" si="7">(G24-F24)/G24</f>
        <v>-5063291138.2405052</v>
      </c>
      <c r="J24" s="37">
        <v>330</v>
      </c>
      <c r="K24" s="379">
        <f>入學要求!R338</f>
        <v>0</v>
      </c>
      <c r="L24" s="598"/>
      <c r="M24" s="354">
        <f>入學要求!D338</f>
        <v>3</v>
      </c>
      <c r="N24" s="354">
        <f>入學要求!E338</f>
        <v>3</v>
      </c>
      <c r="O24" s="354">
        <f>入學要求!F338</f>
        <v>2</v>
      </c>
      <c r="P24" s="354">
        <f>入學要求!G338</f>
        <v>2</v>
      </c>
      <c r="Q24" s="354">
        <f>入學要求!H338</f>
        <v>2</v>
      </c>
      <c r="R24" s="576"/>
      <c r="S24" s="365" cm="1">
        <f t="array" ref="S24">IFERROR(INDEX('Offer Statistics'!EK$2:EK$97,MATCH(1,($A24='Offer Statistics'!$DV$2:$DV$97)*($R$2='Offer Statistics'!$DW$2:$DW$97),0)),"/")</f>
        <v>30</v>
      </c>
      <c r="T24" s="375" cm="1">
        <f t="array" ref="T24">IFERROR(INDEX('Offer Statistics'!EF$2:EF$97,MATCH(1,($A24='Offer Statistics'!$DV$2:$DV$97)*($R$2='Offer Statistics'!$DW$2:$DW$97),0)),"/")</f>
        <v>30</v>
      </c>
      <c r="U24" s="375" cm="1">
        <f t="array" ref="U24">IFERROR(INDEX('Offer Statistics'!EG$2:EG$97,MATCH(1,($A24='Offer Statistics'!$DV$2:$DV$97)*($R$2='Offer Statistics'!$DW$2:$DW$97),0)),"/")</f>
        <v>0</v>
      </c>
      <c r="V24" s="375" cm="1">
        <f t="array" ref="V24">IFERROR(INDEX('Offer Statistics'!EH$2:EH$97,MATCH(1,($A24='Offer Statistics'!$DV$2:$DV$97)*($R$2='Offer Statistics'!$DW$2:$DW$97),0)),"/")</f>
        <v>0</v>
      </c>
      <c r="W24" s="375" cm="1">
        <f t="array" ref="W24">IFERROR(INDEX('Offer Statistics'!EI$2:EI$97,MATCH(1,($A24='Offer Statistics'!$DV$2:$DV$97)*($R$2='Offer Statistics'!$DW$2:$DW$97),0)),"/")</f>
        <v>0</v>
      </c>
      <c r="X24" s="375" cm="1">
        <f t="array" ref="X24">IFERROR(INDEX('Offer Statistics'!EJ$2:EJ$97,MATCH(1,($A24='Offer Statistics'!$DV$2:$DV$97)*($R$2='Offer Statistics'!$DW$2:$DW$97),0)),"/")</f>
        <v>0</v>
      </c>
      <c r="Y24" s="580"/>
      <c r="Z24" s="365" cm="1">
        <f t="array" ref="Z24">IFERROR(INDEX('Offer Statistics'!EC$2:EC$97,MATCH(1,($A24='Offer Statistics'!$DV$2:$DV$97)*($R$2='Offer Statistics'!$DW$2:$DW$97),0)),"/")</f>
        <v>1377</v>
      </c>
      <c r="AA24" s="375" cm="1">
        <f t="array" ref="AA24">IFERROR(INDEX('Offer Statistics'!DX$2:DX$97,MATCH(1,($A24='Offer Statistics'!$DV$2:$DV$97)*($R$2='Offer Statistics'!$DW$2:$DW$97),0)),"/")</f>
        <v>292</v>
      </c>
      <c r="AB24" s="375" cm="1">
        <f t="array" ref="AB24">IFERROR(INDEX('Offer Statistics'!DY$2:DY$97,MATCH(1,($A24='Offer Statistics'!$DV$2:$DV$97)*($R$2='Offer Statistics'!$DW$2:$DW$97),0)),"/")</f>
        <v>238</v>
      </c>
      <c r="AC24" s="375" cm="1">
        <f t="array" ref="AC24">IFERROR(INDEX('Offer Statistics'!DZ$2:DZ$97,MATCH(1,($A24='Offer Statistics'!$DV$2:$DV$97)*($R$2='Offer Statistics'!$DW$2:$DW$97),0)),"/")</f>
        <v>314</v>
      </c>
      <c r="AD24" s="375" cm="1">
        <f t="array" ref="AD24">IFERROR(INDEX('Offer Statistics'!EA$2:EA$97,MATCH(1,($A24='Offer Statistics'!$DV$2:$DV$97)*($R$2='Offer Statistics'!$DW$2:$DW$97),0)),"/")</f>
        <v>300</v>
      </c>
      <c r="AE24" s="375" cm="1">
        <f t="array" ref="AE24">IFERROR(INDEX('Offer Statistics'!EB$2:EB$97,MATCH(1,($A24='Offer Statistics'!$DV$2:$DV$97)*($R$2='Offer Statistics'!$DW$2:$DW$97),0)),"/")</f>
        <v>233</v>
      </c>
      <c r="AF24" s="14"/>
      <c r="AG24" s="354" t="str">
        <f t="shared" si="2"/>
        <v>JS8813</v>
      </c>
    </row>
    <row r="25" spans="1:36" s="343" customFormat="1" ht="18" customHeight="1" x14ac:dyDescent="0.3">
      <c r="A25" s="346" t="str">
        <f>'Reference Score Calculation'!A330</f>
        <v>JS8825</v>
      </c>
      <c r="B25" s="346" t="str">
        <f>'Reference Score Calculation'!C330</f>
        <v>人文學院</v>
      </c>
      <c r="C25" s="346" t="str">
        <f>'Reference Score Calculation'!D330</f>
        <v>語文研究榮譽文學士及英文教育榮譽學士 (同期結業雙學位課程)</v>
      </c>
      <c r="D25" s="346"/>
      <c r="E25" s="354" t="str">
        <f>'Reference Score Calculation'!E330</f>
        <v>Best 5</v>
      </c>
      <c r="F25" s="367">
        <f>'Reference Score Calculation'!H330</f>
        <v>20</v>
      </c>
      <c r="G25" s="368">
        <f>計分版!H351</f>
        <v>3.9500000000000006E-9</v>
      </c>
      <c r="H25" s="361">
        <f t="shared" ref="H25" si="8">G25-F25</f>
        <v>-19.999999996050001</v>
      </c>
      <c r="I25" s="362">
        <f t="shared" ref="I25" si="9">(G25-F25)/G25</f>
        <v>-5063291138.2405052</v>
      </c>
      <c r="J25" s="365">
        <v>331</v>
      </c>
      <c r="K25" s="379">
        <f>入學要求!R339</f>
        <v>0</v>
      </c>
      <c r="L25" s="598"/>
      <c r="M25" s="354">
        <f>入學要求!D339</f>
        <v>3</v>
      </c>
      <c r="N25" s="354">
        <f>入學要求!E339</f>
        <v>3</v>
      </c>
      <c r="O25" s="354">
        <f>入學要求!F339</f>
        <v>2</v>
      </c>
      <c r="P25" s="354">
        <f>入學要求!G339</f>
        <v>2</v>
      </c>
      <c r="Q25" s="354">
        <f>入學要求!H339</f>
        <v>2</v>
      </c>
      <c r="R25" s="576"/>
      <c r="S25" s="365" cm="1">
        <f t="array" ref="S25">IFERROR(INDEX('Offer Statistics'!EK$2:EK$97,MATCH(1,($A25='Offer Statistics'!$DV$2:$DV$97)*($R$2='Offer Statistics'!$DW$2:$DW$97),0)),"/")</f>
        <v>11</v>
      </c>
      <c r="T25" s="375" cm="1">
        <f t="array" ref="T25">IFERROR(INDEX('Offer Statistics'!EF$2:EF$97,MATCH(1,($A25='Offer Statistics'!$DV$2:$DV$97)*($R$2='Offer Statistics'!$DW$2:$DW$97),0)),"/")</f>
        <v>11</v>
      </c>
      <c r="U25" s="375" cm="1">
        <f t="array" ref="U25">IFERROR(INDEX('Offer Statistics'!EG$2:EG$97,MATCH(1,($A25='Offer Statistics'!$DV$2:$DV$97)*($R$2='Offer Statistics'!$DW$2:$DW$97),0)),"/")</f>
        <v>0</v>
      </c>
      <c r="V25" s="375" cm="1">
        <f t="array" ref="V25">IFERROR(INDEX('Offer Statistics'!EH$2:EH$97,MATCH(1,($A25='Offer Statistics'!$DV$2:$DV$97)*($R$2='Offer Statistics'!$DW$2:$DW$97),0)),"/")</f>
        <v>0</v>
      </c>
      <c r="W25" s="375" cm="1">
        <f t="array" ref="W25">IFERROR(INDEX('Offer Statistics'!EI$2:EI$97,MATCH(1,($A25='Offer Statistics'!$DV$2:$DV$97)*($R$2='Offer Statistics'!$DW$2:$DW$97),0)),"/")</f>
        <v>0</v>
      </c>
      <c r="X25" s="375" cm="1">
        <f t="array" ref="X25">IFERROR(INDEX('Offer Statistics'!EJ$2:EJ$97,MATCH(1,($A25='Offer Statistics'!$DV$2:$DV$97)*($R$2='Offer Statistics'!$DW$2:$DW$97),0)),"/")</f>
        <v>0</v>
      </c>
      <c r="Y25" s="580"/>
      <c r="Z25" s="365" cm="1">
        <f t="array" ref="Z25">IFERROR(INDEX('Offer Statistics'!EC$2:EC$97,MATCH(1,($A25='Offer Statistics'!$DV$2:$DV$97)*($R$2='Offer Statistics'!$DW$2:$DW$97),0)),"/")</f>
        <v>640</v>
      </c>
      <c r="AA25" s="375" cm="1">
        <f t="array" ref="AA25">IFERROR(INDEX('Offer Statistics'!DX$2:DX$97,MATCH(1,($A25='Offer Statistics'!$DV$2:$DV$97)*($R$2='Offer Statistics'!$DW$2:$DW$97),0)),"/")</f>
        <v>95</v>
      </c>
      <c r="AB25" s="375" cm="1">
        <f t="array" ref="AB25">IFERROR(INDEX('Offer Statistics'!DY$2:DY$97,MATCH(1,($A25='Offer Statistics'!$DV$2:$DV$97)*($R$2='Offer Statistics'!$DW$2:$DW$97),0)),"/")</f>
        <v>86</v>
      </c>
      <c r="AC25" s="375" cm="1">
        <f t="array" ref="AC25">IFERROR(INDEX('Offer Statistics'!DZ$2:DZ$97,MATCH(1,($A25='Offer Statistics'!$DV$2:$DV$97)*($R$2='Offer Statistics'!$DW$2:$DW$97),0)),"/")</f>
        <v>136</v>
      </c>
      <c r="AD25" s="375" cm="1">
        <f t="array" ref="AD25">IFERROR(INDEX('Offer Statistics'!EA$2:EA$97,MATCH(1,($A25='Offer Statistics'!$DV$2:$DV$97)*($R$2='Offer Statistics'!$DW$2:$DW$97),0)),"/")</f>
        <v>177</v>
      </c>
      <c r="AE25" s="375" cm="1">
        <f t="array" ref="AE25">IFERROR(INDEX('Offer Statistics'!EB$2:EB$97,MATCH(1,($A25='Offer Statistics'!$DV$2:$DV$97)*($R$2='Offer Statistics'!$DW$2:$DW$97),0)),"/")</f>
        <v>146</v>
      </c>
      <c r="AF25" s="353"/>
      <c r="AG25" s="354" t="str">
        <f t="shared" si="2"/>
        <v>JS8825</v>
      </c>
    </row>
    <row r="26" spans="1:36" ht="18" customHeight="1" x14ac:dyDescent="0.3"/>
    <row r="27" spans="1:36" ht="18" customHeight="1" x14ac:dyDescent="0.3">
      <c r="A27" s="3" t="s">
        <v>2639</v>
      </c>
      <c r="B27" s="4"/>
      <c r="C27" s="4"/>
      <c r="D27" s="4"/>
      <c r="G27" s="15"/>
      <c r="H27" s="22"/>
      <c r="I27" s="23"/>
      <c r="J27" s="15"/>
      <c r="K27" s="15"/>
      <c r="L27" s="15"/>
      <c r="M27" s="15"/>
      <c r="N27" s="15"/>
      <c r="O27" s="15"/>
      <c r="P27" s="15"/>
      <c r="Q27" s="15"/>
      <c r="R27" s="15"/>
      <c r="T27" s="15"/>
      <c r="U27" s="15"/>
    </row>
    <row r="28" spans="1:36" ht="18" customHeight="1" x14ac:dyDescent="0.3">
      <c r="A28" s="4" t="s">
        <v>2589</v>
      </c>
      <c r="B28" s="4"/>
      <c r="C28" s="4"/>
      <c r="D28" s="4"/>
      <c r="G28" s="15"/>
      <c r="H28" s="22"/>
      <c r="I28" s="23"/>
      <c r="J28" s="15"/>
      <c r="K28" s="15"/>
      <c r="L28" s="15"/>
      <c r="M28" s="15"/>
      <c r="N28" s="15"/>
      <c r="O28" s="15"/>
      <c r="P28" s="15"/>
      <c r="Q28" s="15"/>
    </row>
    <row r="29" spans="1:36" s="4" customFormat="1" ht="18" customHeight="1" x14ac:dyDescent="0.3">
      <c r="C29" s="23"/>
      <c r="E29" s="15"/>
      <c r="H29" s="15"/>
      <c r="K29" s="37"/>
      <c r="L29" s="15"/>
      <c r="U29" s="346"/>
    </row>
    <row r="30" spans="1:36" s="4" customFormat="1" ht="18" customHeight="1" x14ac:dyDescent="0.3">
      <c r="A30" s="4" t="s">
        <v>3191</v>
      </c>
      <c r="E30" s="37"/>
      <c r="F30" s="15"/>
      <c r="G30" s="15"/>
      <c r="H30" s="15"/>
      <c r="I30" s="15"/>
      <c r="J30" s="22"/>
      <c r="K30" s="23"/>
      <c r="L30" s="15"/>
      <c r="N30" s="15"/>
      <c r="O30" s="15"/>
      <c r="P30" s="15"/>
      <c r="Q30" s="15"/>
      <c r="R30" s="15"/>
      <c r="S30" s="15"/>
      <c r="T30" s="528" t="s">
        <v>3538</v>
      </c>
      <c r="U30" s="15"/>
      <c r="V30" s="15"/>
      <c r="W30" s="15"/>
      <c r="X30" s="15"/>
      <c r="Y30" s="15"/>
      <c r="Z30" s="15"/>
      <c r="AA30" s="15"/>
      <c r="AB30" s="15"/>
      <c r="AC30" s="15"/>
      <c r="AD30" s="15"/>
      <c r="AE30" s="15"/>
      <c r="AF30" s="15"/>
      <c r="AG30" s="15"/>
      <c r="AH30" s="15"/>
      <c r="AJ30" s="15"/>
    </row>
    <row r="31" spans="1:36" ht="18" customHeight="1" x14ac:dyDescent="0.3">
      <c r="A31" s="4"/>
      <c r="B31" s="4"/>
      <c r="C31" s="4"/>
      <c r="D31" s="4"/>
      <c r="G31" s="15"/>
      <c r="H31" s="22"/>
      <c r="I31" s="23"/>
      <c r="J31" s="15"/>
      <c r="K31" s="15"/>
      <c r="L31" s="15"/>
      <c r="M31" s="15"/>
      <c r="N31" s="15"/>
      <c r="O31" s="15"/>
      <c r="P31" s="15"/>
      <c r="Q31" s="15"/>
    </row>
    <row r="32" spans="1:36" ht="18" customHeight="1" x14ac:dyDescent="0.3">
      <c r="A32" s="3" t="s">
        <v>2640</v>
      </c>
      <c r="B32" s="4"/>
      <c r="C32" s="4"/>
      <c r="D32" s="4"/>
      <c r="G32" s="15"/>
      <c r="H32" s="22"/>
      <c r="I32" s="23"/>
      <c r="J32" s="15"/>
      <c r="K32" s="15"/>
      <c r="L32" s="15"/>
      <c r="M32" s="15"/>
      <c r="N32" s="15"/>
      <c r="O32" s="15"/>
      <c r="P32" s="15"/>
      <c r="Q32" s="15"/>
    </row>
    <row r="33" spans="1:17" ht="18" customHeight="1" x14ac:dyDescent="0.3">
      <c r="A33" s="4" t="s">
        <v>2641</v>
      </c>
      <c r="B33" s="4"/>
      <c r="C33" s="4"/>
      <c r="D33" s="4"/>
      <c r="G33" s="15"/>
      <c r="H33" s="22"/>
      <c r="I33" s="23"/>
      <c r="J33" s="15"/>
      <c r="K33" s="15"/>
      <c r="L33" s="15"/>
      <c r="M33" s="15"/>
      <c r="N33" s="15"/>
      <c r="O33" s="15"/>
      <c r="P33" s="15"/>
      <c r="Q33" s="15"/>
    </row>
    <row r="34" spans="1:17" ht="18" customHeight="1" x14ac:dyDescent="0.3"/>
    <row r="35" spans="1:17" ht="18" customHeight="1" x14ac:dyDescent="0.3">
      <c r="A35" s="4" t="s">
        <v>1988</v>
      </c>
      <c r="B35" s="4"/>
      <c r="C35" s="4"/>
      <c r="D35" s="4"/>
      <c r="G35" s="4"/>
    </row>
    <row r="36" spans="1:17" ht="18" customHeight="1" x14ac:dyDescent="0.3">
      <c r="A36" s="47" t="s">
        <v>2642</v>
      </c>
      <c r="B36" s="4"/>
      <c r="C36" s="4"/>
      <c r="D36" s="4"/>
    </row>
    <row r="37" spans="1:17" ht="18" customHeight="1" x14ac:dyDescent="0.3">
      <c r="A37" s="48" t="s">
        <v>2643</v>
      </c>
      <c r="B37" s="4"/>
      <c r="C37" s="4"/>
      <c r="D37" s="4"/>
    </row>
    <row r="38" spans="1:17" ht="18" customHeight="1" x14ac:dyDescent="0.3">
      <c r="A38" s="47"/>
      <c r="B38" s="4"/>
      <c r="C38" s="4"/>
      <c r="D38" s="4"/>
    </row>
    <row r="39" spans="1:17" ht="18" hidden="1" customHeight="1" x14ac:dyDescent="0.3">
      <c r="A39" s="47"/>
      <c r="B39" s="4"/>
      <c r="C39" s="4"/>
      <c r="D39" s="4"/>
    </row>
  </sheetData>
  <mergeCells count="4">
    <mergeCell ref="H1:I1"/>
    <mergeCell ref="L2:L25"/>
    <mergeCell ref="R2:R25"/>
    <mergeCell ref="Y2:Y25"/>
  </mergeCells>
  <phoneticPr fontId="2" type="noConversion"/>
  <conditionalFormatting sqref="H2:I25">
    <cfRule type="cellIs" dxfId="165" priority="179" operator="equal">
      <formula>"/"</formula>
    </cfRule>
    <cfRule type="cellIs" dxfId="164" priority="180" operator="lessThan">
      <formula>0</formula>
    </cfRule>
    <cfRule type="cellIs" dxfId="163" priority="181" operator="greaterThan">
      <formula>0</formula>
    </cfRule>
  </conditionalFormatting>
  <conditionalFormatting sqref="F2:F25">
    <cfRule type="expression" dxfId="162" priority="175">
      <formula>$H$1="差距(UQ)"</formula>
    </cfRule>
  </conditionalFormatting>
  <conditionalFormatting sqref="K2:K25">
    <cfRule type="cellIs" dxfId="161" priority="172" operator="equal">
      <formula>2</formula>
    </cfRule>
    <cfRule type="cellIs" dxfId="160" priority="173" operator="equal">
      <formula>1</formula>
    </cfRule>
    <cfRule type="cellIs" dxfId="159" priority="174" operator="equal">
      <formula>0</formula>
    </cfRule>
  </conditionalFormatting>
  <conditionalFormatting sqref="A3:K25 A2:Q2 M3:Q25 S2:S25 T2:Y2 T3:X25 Z2:AF25">
    <cfRule type="expression" dxfId="158" priority="2047">
      <formula>MOD(ROW(),2)=0</formula>
    </cfRule>
  </conditionalFormatting>
  <conditionalFormatting sqref="Q11">
    <cfRule type="expression" dxfId="157" priority="18">
      <formula>MOD(ROW(),2)=0</formula>
    </cfRule>
  </conditionalFormatting>
  <conditionalFormatting sqref="R2">
    <cfRule type="expression" dxfId="156" priority="7">
      <formula>MOD(ROW(),2)=0</formula>
    </cfRule>
  </conditionalFormatting>
  <conditionalFormatting sqref="R2 Y2 AF2:AF25">
    <cfRule type="expression" dxfId="155" priority="6">
      <formula>TRUE</formula>
    </cfRule>
  </conditionalFormatting>
  <conditionalFormatting sqref="AG2:AG25">
    <cfRule type="expression" dxfId="154" priority="5">
      <formula>MOD(ROW(),2)=0</formula>
    </cfRule>
  </conditionalFormatting>
  <hyperlinks>
    <hyperlink ref="A37" r:id="rId1" xr:uid="{00000000-0004-0000-0E00-000000000000}"/>
  </hyperlinks>
  <pageMargins left="0.7" right="0.7" top="0.75" bottom="0.75" header="0.3" footer="0.3"/>
  <pageSetup paperSize="9" orientation="portrait" horizontalDpi="1200" verticalDpi="1200" r:id="rId2"/>
  <drawing r:id="rId3"/>
  <legacyDrawing r:id="rId4"/>
  <extLst>
    <ext xmlns:x14="http://schemas.microsoft.com/office/spreadsheetml/2009/9/main" uri="{78C0D931-6437-407d-A8EE-F0AAD7539E65}">
      <x14:conditionalFormattings>
        <x14:conditionalFormatting xmlns:xm="http://schemas.microsoft.com/office/excel/2006/main">
          <x14:cfRule type="cellIs" priority="47" operator="lessThan" id="{163EDD6C-AD29-46EF-8AF4-1590941A92C3}">
            <xm:f>LARGE(計分版!$K$10:$R$10,1)</xm:f>
            <x14:dxf>
              <font>
                <color rgb="FF006100"/>
              </font>
              <fill>
                <patternFill>
                  <bgColor rgb="FFC6EFCE"/>
                </patternFill>
              </fill>
            </x14:dxf>
          </x14:cfRule>
          <x14:cfRule type="cellIs" priority="48" operator="greaterThan" id="{C0AC0EC9-BABF-4B77-B5C4-2B930E5E2393}">
            <xm:f>LARGE(計分版!$K$10:$R$10,1)</xm:f>
            <x14:dxf>
              <font>
                <color rgb="FF9C0006"/>
              </font>
              <fill>
                <patternFill>
                  <bgColor rgb="FFFFC7CE"/>
                </patternFill>
              </fill>
            </x14:dxf>
          </x14:cfRule>
          <xm:sqref>Q24:Q25</xm:sqref>
        </x14:conditionalFormatting>
        <x14:conditionalFormatting xmlns:xm="http://schemas.microsoft.com/office/excel/2006/main">
          <x14:cfRule type="expression" priority="36" id="{D68C4B1E-3843-4C17-835F-CB1449846572}">
            <xm:f>AND(OR(計分版!$K$10&lt;3,計分版!$M$10&lt;2),計分版!$K$10&gt;5)</xm:f>
            <x14:dxf>
              <font>
                <color rgb="FF9C5700"/>
              </font>
              <fill>
                <patternFill>
                  <bgColor rgb="FFFFEB9C"/>
                </patternFill>
              </fill>
            </x14:dxf>
          </x14:cfRule>
          <x14:cfRule type="expression" priority="37" id="{FF886048-4AE5-4706-A412-097C4F41274A}">
            <xm:f>OR(計分版!$K$10&lt;3,計分版!$M$10&lt;2)</xm:f>
            <x14:dxf>
              <font>
                <color rgb="FF9C0006"/>
              </font>
              <fill>
                <patternFill>
                  <bgColor rgb="FFFFC7CE"/>
                </patternFill>
              </fill>
            </x14:dxf>
          </x14:cfRule>
          <xm:sqref>Q9</xm:sqref>
        </x14:conditionalFormatting>
        <x14:conditionalFormatting xmlns:xm="http://schemas.microsoft.com/office/excel/2006/main">
          <x14:cfRule type="expression" priority="40" id="{3276813E-D643-4BE9-B6DB-A8AC89E58E9A}">
            <xm:f>AND(OR(計分版!$K$10&lt;3,計分版!$M$10&lt;2),計分版!$K$10&gt;5)</xm:f>
            <x14:dxf>
              <font>
                <color rgb="FF9C5700"/>
              </font>
              <fill>
                <patternFill>
                  <bgColor rgb="FFFFEB9C"/>
                </patternFill>
              </fill>
            </x14:dxf>
          </x14:cfRule>
          <x14:cfRule type="expression" priority="41" id="{C5241D1A-CEFE-4C63-90B3-6D53615863A5}">
            <xm:f>OR(計分版!$K$10&lt;3,計分版!$M$10&lt;2)</xm:f>
            <x14:dxf>
              <font>
                <color rgb="FF9C0006"/>
              </font>
              <fill>
                <patternFill>
                  <bgColor rgb="FFFFC7CE"/>
                </patternFill>
              </fill>
            </x14:dxf>
          </x14:cfRule>
          <xm:sqref>Q5</xm:sqref>
        </x14:conditionalFormatting>
        <x14:conditionalFormatting xmlns:xm="http://schemas.microsoft.com/office/excel/2006/main">
          <x14:cfRule type="cellIs" priority="30" operator="lessThan" id="{89B21902-48AC-4D6F-9865-2A497DA9D795}">
            <xm:f>計分版!$J$13</xm:f>
            <x14:dxf>
              <font>
                <color rgb="FF006100"/>
              </font>
              <fill>
                <patternFill>
                  <bgColor rgb="FFC6EFCE"/>
                </patternFill>
              </fill>
            </x14:dxf>
          </x14:cfRule>
          <xm:sqref>N2:N25</xm:sqref>
        </x14:conditionalFormatting>
        <x14:conditionalFormatting xmlns:xm="http://schemas.microsoft.com/office/excel/2006/main">
          <x14:cfRule type="cellIs" priority="22" operator="greaterThan" id="{445308BF-2397-4922-8D6D-A4826629FC20}">
            <xm:f>計分版!$J$13</xm:f>
            <x14:dxf>
              <font>
                <color rgb="FF9C0006"/>
              </font>
              <fill>
                <patternFill>
                  <bgColor rgb="FFFFC7CE"/>
                </patternFill>
              </fill>
            </x14:dxf>
          </x14:cfRule>
          <xm:sqref>N2:N25</xm:sqref>
        </x14:conditionalFormatting>
        <x14:conditionalFormatting xmlns:xm="http://schemas.microsoft.com/office/excel/2006/main">
          <x14:cfRule type="cellIs" priority="27" operator="lessThan" id="{7FD1A428-DD85-451F-93DD-3D4FC87BFE29}">
            <xm:f>計分版!$K$13</xm:f>
            <x14:dxf>
              <font>
                <color rgb="FF006100"/>
              </font>
              <fill>
                <patternFill>
                  <bgColor rgb="FFC6EFCE"/>
                </patternFill>
              </fill>
            </x14:dxf>
          </x14:cfRule>
          <x14:cfRule type="cellIs" priority="28" operator="greaterThan" id="{2CCB10CF-F4BF-4C52-9ACF-454621742FA4}">
            <xm:f>計分版!$K$13</xm:f>
            <x14:dxf>
              <font>
                <color rgb="FF9C0006"/>
              </font>
              <fill>
                <patternFill>
                  <bgColor rgb="FFFFC7CE"/>
                </patternFill>
              </fill>
            </x14:dxf>
          </x14:cfRule>
          <xm:sqref>O2:O25</xm:sqref>
        </x14:conditionalFormatting>
        <x14:conditionalFormatting xmlns:xm="http://schemas.microsoft.com/office/excel/2006/main">
          <x14:cfRule type="cellIs" priority="31" operator="lessThan" id="{42746F43-F251-42F3-806D-9C2571B6889F}">
            <xm:f>計分版!$L$13</xm:f>
            <x14:dxf>
              <font>
                <color rgb="FF006100"/>
              </font>
              <fill>
                <patternFill>
                  <bgColor rgb="FFC6EFCE"/>
                </patternFill>
              </fill>
            </x14:dxf>
          </x14:cfRule>
          <x14:cfRule type="cellIs" priority="32" operator="greaterThan" id="{61E7CE70-D9EB-4A2C-BBF7-7D4DE29E0EDB}">
            <xm:f>計分版!$L$13</xm:f>
            <x14:dxf>
              <font>
                <color rgb="FF9C0006"/>
              </font>
              <fill>
                <patternFill>
                  <bgColor rgb="FFFFC7CE"/>
                </patternFill>
              </fill>
            </x14:dxf>
          </x14:cfRule>
          <xm:sqref>P2:P25</xm:sqref>
        </x14:conditionalFormatting>
        <x14:conditionalFormatting xmlns:xm="http://schemas.microsoft.com/office/excel/2006/main">
          <x14:cfRule type="expression" priority="29" id="{2B4BB485-57FB-4985-99BB-DFE5137CE3F6}">
            <xm:f>計分版!$J$13&lt;5</xm:f>
            <x14:dxf>
              <font>
                <color rgb="FF9C5700"/>
              </font>
              <fill>
                <patternFill>
                  <bgColor rgb="FFFFEB9C"/>
                </patternFill>
              </fill>
            </x14:dxf>
          </x14:cfRule>
          <xm:sqref>N3</xm:sqref>
        </x14:conditionalFormatting>
        <x14:conditionalFormatting xmlns:xm="http://schemas.microsoft.com/office/excel/2006/main">
          <x14:cfRule type="expression" priority="26" id="{8067CE3D-A9A8-40F3-BA81-D253EED224C0}">
            <xm:f>計分版!$I$13&lt;5</xm:f>
            <x14:dxf>
              <font>
                <color rgb="FF9C5700"/>
              </font>
              <fill>
                <patternFill>
                  <bgColor rgb="FFFFEB9C"/>
                </patternFill>
              </fill>
            </x14:dxf>
          </x14:cfRule>
          <xm:sqref>M14</xm:sqref>
        </x14:conditionalFormatting>
        <x14:conditionalFormatting xmlns:xm="http://schemas.microsoft.com/office/excel/2006/main">
          <x14:cfRule type="expression" priority="25" id="{89CC5C57-2E58-43FF-AEA0-14EB55A48B0F}">
            <xm:f>計分版!$J$13&lt;5</xm:f>
            <x14:dxf>
              <font>
                <color rgb="FF9C5700"/>
              </font>
              <fill>
                <patternFill>
                  <bgColor rgb="FFFFEB9C"/>
                </patternFill>
              </fill>
            </x14:dxf>
          </x14:cfRule>
          <xm:sqref>N15</xm:sqref>
        </x14:conditionalFormatting>
        <x14:conditionalFormatting xmlns:xm="http://schemas.microsoft.com/office/excel/2006/main">
          <x14:cfRule type="expression" priority="23" id="{A351861B-B3B3-4C8E-A90F-41E81CA8E1F5}">
            <xm:f>計分版!$J$13&lt;6</xm:f>
            <x14:dxf>
              <font>
                <color rgb="FF9C5700"/>
              </font>
              <fill>
                <patternFill>
                  <bgColor rgb="FFFFEB9C"/>
                </patternFill>
              </fill>
            </x14:dxf>
          </x14:cfRule>
          <xm:sqref>N23</xm:sqref>
        </x14:conditionalFormatting>
        <x14:conditionalFormatting xmlns:xm="http://schemas.microsoft.com/office/excel/2006/main">
          <x14:cfRule type="cellIs" priority="1" operator="greaterThan" id="{A198BFD9-3B0E-4E32-9A2E-2F30EC4256A5}">
            <xm:f>LARGE(計分版!$M$13:$R$13,1)</xm:f>
            <x14:dxf>
              <font>
                <color rgb="FF9C0006"/>
              </font>
              <fill>
                <patternFill>
                  <bgColor rgb="FFFFC7CE"/>
                </patternFill>
              </fill>
            </x14:dxf>
          </x14:cfRule>
          <x14:cfRule type="cellIs" priority="50" operator="lessThan" id="{8261651F-C754-4C32-B4F4-04F3EB2E0CE0}">
            <xm:f>LARGE(計分版!$M$13:$R$13,1)</xm:f>
            <x14:dxf>
              <font>
                <color rgb="FF006100"/>
              </font>
              <fill>
                <patternFill>
                  <bgColor rgb="FFC6EFCE"/>
                </patternFill>
              </fill>
            </x14:dxf>
          </x14:cfRule>
          <xm:sqref>Q2:Q25</xm:sqref>
        </x14:conditionalFormatting>
        <x14:conditionalFormatting xmlns:xm="http://schemas.microsoft.com/office/excel/2006/main">
          <x14:cfRule type="cellIs" priority="10" operator="lessThan" id="{016F1054-14DB-428D-BB4E-B9928A3551A7}">
            <xm:f>計分版!$J$13</xm:f>
            <x14:dxf>
              <font>
                <color rgb="FF006100"/>
              </font>
              <fill>
                <patternFill>
                  <bgColor rgb="FFC6EFCE"/>
                </patternFill>
              </fill>
            </x14:dxf>
          </x14:cfRule>
          <xm:sqref>N11</xm:sqref>
        </x14:conditionalFormatting>
        <x14:conditionalFormatting xmlns:xm="http://schemas.microsoft.com/office/excel/2006/main">
          <x14:cfRule type="cellIs" priority="11" operator="greaterThan" id="{97C63BA1-0D23-41B5-AE65-D88BBEE87E84}">
            <xm:f>計分版!$J$13</xm:f>
            <x14:dxf>
              <font>
                <color rgb="FF9C0006"/>
              </font>
              <fill>
                <patternFill>
                  <bgColor rgb="FFFFC7CE"/>
                </patternFill>
              </fill>
            </x14:dxf>
          </x14:cfRule>
          <xm:sqref>N11</xm:sqref>
        </x14:conditionalFormatting>
        <x14:conditionalFormatting xmlns:xm="http://schemas.microsoft.com/office/excel/2006/main">
          <x14:cfRule type="cellIs" priority="14" operator="greaterThan" id="{8A1A4FD7-07A0-4D31-8A1D-CC3AB360716E}">
            <xm:f>計分版!$I$13</xm:f>
            <x14:dxf>
              <font>
                <color rgb="FF9C0006"/>
              </font>
              <fill>
                <patternFill>
                  <bgColor rgb="FFFFC7CE"/>
                </patternFill>
              </fill>
            </x14:dxf>
          </x14:cfRule>
          <x14:cfRule type="cellIs" priority="15" operator="lessThan" id="{6F7431F4-71CE-4CBA-A707-AA0B10302649}">
            <xm:f>計分版!$I$13</xm:f>
            <x14:dxf>
              <font>
                <color rgb="FF006100"/>
              </font>
              <fill>
                <patternFill>
                  <bgColor rgb="FFC6EFCE"/>
                </patternFill>
              </fill>
            </x14:dxf>
          </x14:cfRule>
          <xm:sqref>M11</xm:sqref>
        </x14:conditionalFormatting>
        <x14:conditionalFormatting xmlns:xm="http://schemas.microsoft.com/office/excel/2006/main">
          <x14:cfRule type="cellIs" priority="8" operator="lessThan" id="{9B9748BF-BF7D-4C95-90EB-6DF99A16AA12}">
            <xm:f>計分版!$K$13</xm:f>
            <x14:dxf>
              <font>
                <color rgb="FF006100"/>
              </font>
              <fill>
                <patternFill>
                  <bgColor rgb="FFC6EFCE"/>
                </patternFill>
              </fill>
            </x14:dxf>
          </x14:cfRule>
          <x14:cfRule type="cellIs" priority="9" operator="greaterThan" id="{47455698-E41D-4E25-8532-FDC703B70C89}">
            <xm:f>計分版!$K$13</xm:f>
            <x14:dxf>
              <font>
                <color rgb="FF9C0006"/>
              </font>
              <fill>
                <patternFill>
                  <bgColor rgb="FFFFC7CE"/>
                </patternFill>
              </fill>
            </x14:dxf>
          </x14:cfRule>
          <xm:sqref>O11</xm:sqref>
        </x14:conditionalFormatting>
        <x14:conditionalFormatting xmlns:xm="http://schemas.microsoft.com/office/excel/2006/main">
          <x14:cfRule type="cellIs" priority="12" operator="lessThan" id="{4EE5611E-FADC-4CE7-A90A-38281BF39177}">
            <xm:f>計分版!$L$13</xm:f>
            <x14:dxf>
              <font>
                <color rgb="FF006100"/>
              </font>
              <fill>
                <patternFill>
                  <bgColor rgb="FFC6EFCE"/>
                </patternFill>
              </fill>
            </x14:dxf>
          </x14:cfRule>
          <x14:cfRule type="cellIs" priority="13" operator="greaterThan" id="{6FEEEBFF-B1E7-42E9-A4B4-280713DCDA0B}">
            <xm:f>計分版!$L$13</xm:f>
            <x14:dxf>
              <font>
                <color rgb="FF9C0006"/>
              </font>
              <fill>
                <patternFill>
                  <bgColor rgb="FFFFC7CE"/>
                </patternFill>
              </fill>
            </x14:dxf>
          </x14:cfRule>
          <xm:sqref>P11</xm:sqref>
        </x14:conditionalFormatting>
        <x14:conditionalFormatting xmlns:xm="http://schemas.microsoft.com/office/excel/2006/main">
          <x14:cfRule type="cellIs" priority="16" operator="lessThan" id="{ECAD044B-CB89-4654-9B2A-B94F3F268E35}">
            <xm:f>LARGE(計分版!$M$13:$R$13,1)</xm:f>
            <x14:dxf>
              <font>
                <color rgb="FF006100"/>
              </font>
              <fill>
                <patternFill>
                  <bgColor rgb="FFC6EFCE"/>
                </patternFill>
              </fill>
            </x14:dxf>
          </x14:cfRule>
          <x14:cfRule type="cellIs" priority="17" operator="greaterThan" id="{D24F57D1-F1E3-49B8-BF05-E3FE957A338A}">
            <xm:f>LARGE(計分版!$M$13:$R$13,1)</xm:f>
            <x14:dxf>
              <font>
                <color rgb="FF9C0006"/>
              </font>
              <fill>
                <patternFill>
                  <bgColor rgb="FFFFC7CE"/>
                </patternFill>
              </fill>
            </x14:dxf>
          </x14:cfRule>
          <xm:sqref>Q11</xm:sqref>
        </x14:conditionalFormatting>
        <x14:conditionalFormatting xmlns:xm="http://schemas.microsoft.com/office/excel/2006/main">
          <x14:cfRule type="expression" priority="46" id="{123FFD42-6281-4AAA-A483-B9D9C0135814}">
            <xm:f>入學要求!$O$327=0</xm:f>
            <x14:dxf>
              <font>
                <color rgb="FF9C0006"/>
              </font>
              <fill>
                <patternFill>
                  <bgColor rgb="FFFFC7CE"/>
                </patternFill>
              </fill>
            </x14:dxf>
          </x14:cfRule>
          <x14:cfRule type="expression" priority="2048" id="{18F745B7-9695-4D68-9004-2D56CD9596FC}">
            <xm:f>入學要求!$O$327=1</xm:f>
            <x14:dxf>
              <font>
                <color rgb="FF006100"/>
              </font>
              <fill>
                <patternFill>
                  <bgColor rgb="FFC6EFCE"/>
                </patternFill>
              </fill>
            </x14:dxf>
          </x14:cfRule>
          <xm:sqref>Q13</xm:sqref>
        </x14:conditionalFormatting>
        <x14:conditionalFormatting xmlns:xm="http://schemas.microsoft.com/office/excel/2006/main">
          <x14:cfRule type="expression" priority="5430" id="{61EA7769-6C79-4AED-8BED-996E4C0784E9}">
            <xm:f>計分版!$Z$344&lt;4</xm:f>
            <x14:dxf>
              <font>
                <color rgb="FF9C5700"/>
              </font>
              <fill>
                <patternFill>
                  <bgColor rgb="FFFFEB9C"/>
                </patternFill>
              </fill>
            </x14:dxf>
          </x14:cfRule>
          <xm:sqref>Q21 Q17</xm:sqref>
        </x14:conditionalFormatting>
        <x14:conditionalFormatting xmlns:xm="http://schemas.microsoft.com/office/excel/2006/main">
          <x14:cfRule type="expression" priority="5431" id="{E36E0818-6220-426B-997C-D0D0239A1AFF}">
            <xm:f>計分版!$Z$345&lt;4</xm:f>
            <x14:dxf>
              <font>
                <color rgb="FF9C5700"/>
              </font>
              <fill>
                <patternFill>
                  <bgColor rgb="FFFFEB9C"/>
                </patternFill>
              </fill>
            </x14:dxf>
          </x14:cfRule>
          <xm:sqref>Q22 Q18</xm:sqref>
        </x14:conditionalFormatting>
        <x14:conditionalFormatting xmlns:xm="http://schemas.microsoft.com/office/excel/2006/main">
          <x14:cfRule type="expression" priority="24" id="{6E1D7792-1ED4-4CDD-8338-E7798481AF9A}">
            <xm:f>入學要求!K316=0</xm:f>
            <x14:dxf>
              <font>
                <color rgb="FF9C0006"/>
              </font>
              <fill>
                <patternFill>
                  <bgColor rgb="FFFFC7CE"/>
                </patternFill>
              </fill>
            </x14:dxf>
          </x14:cfRule>
          <x14:cfRule type="expression" priority="33" id="{2F0B7F49-6FF9-4740-86BA-798CB6B15A8D}">
            <xm:f>入學要求!K316=2</xm:f>
            <x14:dxf>
              <font>
                <color rgb="FF9C5700"/>
              </font>
              <fill>
                <patternFill>
                  <bgColor rgb="FFFFEB9C"/>
                </patternFill>
              </fill>
            </x14:dxf>
          </x14:cfRule>
          <x14:cfRule type="expression" priority="34" id="{63BC3A02-F5DE-460B-B1F9-307743E560A2}">
            <xm:f>入學要求!K316=1</xm:f>
            <x14:dxf>
              <font>
                <color rgb="FF006100"/>
              </font>
              <fill>
                <patternFill>
                  <bgColor rgb="FFC6EFCE"/>
                </patternFill>
              </fill>
            </x14:dxf>
          </x14:cfRule>
          <xm:sqref>M2:Q25</xm:sqref>
        </x14:conditionalFormatting>
        <x14:conditionalFormatting xmlns:xm="http://schemas.microsoft.com/office/excel/2006/main">
          <x14:cfRule type="expression" priority="21624" id="{18DE35CC-0D51-434B-AB8A-42D58E9D8CF7}">
            <xm:f>AND(計分版!$L$36&lt;2,計分版!$AS$246&lt;2)</xm:f>
            <x14:dxf>
              <font>
                <color rgb="FF9C0006"/>
              </font>
              <fill>
                <patternFill>
                  <bgColor rgb="FFFFC7CE"/>
                </patternFill>
              </fill>
            </x14:dxf>
          </x14:cfRule>
          <xm:sqref>Q7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選單!$I$1:$I$4</xm:f>
          </x14:formula1>
          <xm:sqref>R2</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工作表13">
    <tabColor rgb="FF003366"/>
  </sheetPr>
  <dimension ref="A1:AJ128"/>
  <sheetViews>
    <sheetView zoomScaleNormal="100" workbookViewId="0">
      <pane ySplit="1" topLeftCell="A2" activePane="bottomLeft" state="frozen"/>
      <selection pane="bottomLeft" activeCell="I1" sqref="I1:J1"/>
    </sheetView>
  </sheetViews>
  <sheetFormatPr defaultColWidth="0" defaultRowHeight="0" customHeight="1" zeroHeight="1" x14ac:dyDescent="0.3"/>
  <cols>
    <col min="1" max="1" width="7.109375" style="29" customWidth="1"/>
    <col min="2" max="2" width="9.109375" style="29" customWidth="1"/>
    <col min="3" max="3" width="25.77734375" style="29" customWidth="1"/>
    <col min="4" max="4" width="10.6640625" style="29" hidden="1" customWidth="1"/>
    <col min="5" max="5" width="7.77734375" style="37" customWidth="1"/>
    <col min="6" max="8" width="7.77734375" style="35" customWidth="1"/>
    <col min="9" max="9" width="7.6640625" style="96" customWidth="1"/>
    <col min="10" max="10" width="7.6640625" style="97" customWidth="1"/>
    <col min="11" max="11" width="4.88671875" style="35" customWidth="1"/>
    <col min="12" max="12" width="4.6640625" style="35" customWidth="1"/>
    <col min="13" max="13" width="7.109375" style="35" customWidth="1"/>
    <col min="14" max="18" width="2.21875" style="35" customWidth="1"/>
    <col min="19" max="19" width="8.88671875" style="29" customWidth="1"/>
    <col min="20" max="25" width="6.33203125" style="4" customWidth="1"/>
    <col min="26" max="26" width="8.88671875" style="4" customWidth="1"/>
    <col min="27" max="27" width="6.33203125" style="2" customWidth="1"/>
    <col min="28" max="30" width="6.33203125" style="4" customWidth="1"/>
    <col min="31" max="32" width="6.33203125" style="2" customWidth="1"/>
    <col min="33" max="33" width="3.109375" style="2" customWidth="1"/>
    <col min="34" max="34" width="8.109375" style="2" customWidth="1"/>
    <col min="35" max="16384" width="9.109375" style="2" hidden="1"/>
  </cols>
  <sheetData>
    <row r="1" spans="1:34" s="67" customFormat="1" ht="18" customHeight="1" x14ac:dyDescent="0.3">
      <c r="A1" s="50" t="s">
        <v>1942</v>
      </c>
      <c r="B1" s="50" t="s">
        <v>1943</v>
      </c>
      <c r="C1" s="50" t="s">
        <v>1944</v>
      </c>
      <c r="D1" s="50"/>
      <c r="E1" s="88" t="s">
        <v>2545</v>
      </c>
      <c r="F1" s="88" t="s">
        <v>1946</v>
      </c>
      <c r="G1" s="88" t="s">
        <v>1947</v>
      </c>
      <c r="H1" s="88" t="s">
        <v>1948</v>
      </c>
      <c r="I1" s="599" t="s">
        <v>2428</v>
      </c>
      <c r="J1" s="599"/>
      <c r="K1" s="88" t="s">
        <v>1950</v>
      </c>
      <c r="L1" s="88" t="s">
        <v>1951</v>
      </c>
      <c r="M1" s="88" t="s">
        <v>2027</v>
      </c>
      <c r="N1" s="88" t="s">
        <v>1953</v>
      </c>
      <c r="O1" s="88" t="s">
        <v>1954</v>
      </c>
      <c r="P1" s="88" t="s">
        <v>1955</v>
      </c>
      <c r="Q1" s="88" t="s">
        <v>1956</v>
      </c>
      <c r="R1" s="88" t="s">
        <v>1957</v>
      </c>
      <c r="S1" s="88" t="s">
        <v>1959</v>
      </c>
      <c r="T1" s="88" t="s">
        <v>2363</v>
      </c>
      <c r="U1" s="88" t="s">
        <v>1961</v>
      </c>
      <c r="V1" s="88" t="s">
        <v>1962</v>
      </c>
      <c r="W1" s="88" t="s">
        <v>1963</v>
      </c>
      <c r="X1" s="88" t="s">
        <v>1964</v>
      </c>
      <c r="Y1" s="88" t="s">
        <v>1965</v>
      </c>
      <c r="Z1" s="88" t="s">
        <v>2364</v>
      </c>
      <c r="AA1" s="88" t="s">
        <v>2363</v>
      </c>
      <c r="AB1" s="88" t="s">
        <v>1961</v>
      </c>
      <c r="AC1" s="88" t="s">
        <v>1962</v>
      </c>
      <c r="AD1" s="88" t="s">
        <v>1963</v>
      </c>
      <c r="AE1" s="88" t="s">
        <v>1964</v>
      </c>
      <c r="AF1" s="88" t="s">
        <v>1965</v>
      </c>
      <c r="AG1" s="88"/>
      <c r="AH1" s="88"/>
    </row>
    <row r="2" spans="1:34" ht="18" customHeight="1" x14ac:dyDescent="0.3">
      <c r="A2" s="4" t="str">
        <f>'Reference Score Calculation'!A333</f>
        <v>JS9001</v>
      </c>
      <c r="B2" s="4" t="str">
        <f>'Reference Score Calculation'!C333</f>
        <v>人文社會科學院</v>
      </c>
      <c r="C2" s="4" t="str">
        <f>'Reference Score Calculation'!D333</f>
        <v>心理學榮譽社會科學學士</v>
      </c>
      <c r="D2" s="4" t="s">
        <v>1569</v>
      </c>
      <c r="E2" s="15" t="str">
        <f>'Reference Score Calculation'!E333</f>
        <v>4C1X</v>
      </c>
      <c r="F2" s="6">
        <f>'Reference Score Calculation'!G333</f>
        <v>15</v>
      </c>
      <c r="G2" s="6">
        <f>'Reference Score Calculation'!H333</f>
        <v>14</v>
      </c>
      <c r="H2" s="46">
        <f>計分版!H354</f>
        <v>1.9500000000000001E-9</v>
      </c>
      <c r="I2" s="467">
        <f>IF(I$1="差距(Median)",H2-F2,IF(I$1="差距(UQ)",H2-#REF!,IF(I$1="差距(LQ)",H2-G2)))</f>
        <v>-14.999999998050001</v>
      </c>
      <c r="J2" s="468">
        <f>IF(I$1="差距(Median)",(H2-F2)/H2,IF(I$1="差距(UQ)",(H2-#REF!)/H2,IF(I$1="差距(LQ)",(H2-G2)/H2)))</f>
        <v>-7692307691.3076925</v>
      </c>
      <c r="K2" s="37">
        <f>入學要求!C342</f>
        <v>85</v>
      </c>
      <c r="L2" s="102">
        <f>入學要求!R342</f>
        <v>0</v>
      </c>
      <c r="M2" s="15"/>
      <c r="N2" s="464">
        <f>入學要求!D342</f>
        <v>3</v>
      </c>
      <c r="O2" s="464">
        <f>入學要求!E342</f>
        <v>3</v>
      </c>
      <c r="P2" s="464">
        <f>入學要求!F342</f>
        <v>2</v>
      </c>
      <c r="Q2" s="464">
        <f>入學要求!G342</f>
        <v>2</v>
      </c>
      <c r="R2" s="464">
        <f>入學要求!H342</f>
        <v>2</v>
      </c>
      <c r="S2" s="576" t="s">
        <v>2840</v>
      </c>
      <c r="T2" s="37" cm="1">
        <f t="array" ref="T2">IFERROR(INDEX('Offer Statistics'!FC$2:FC$145,MATCH(1,($A2='Offer Statistics'!$EN$2:$EN$145)*($S$2='Offer Statistics'!$EO$2:$EO$145),0)),"/")</f>
        <v>200</v>
      </c>
      <c r="U2" s="375" cm="1">
        <f t="array" ref="U2">IFERROR(INDEX('Offer Statistics'!EX$2:EX$145,MATCH(1,($A2='Offer Statistics'!$EN$2:$EN$145)*($S$2='Offer Statistics'!$EO$2:$EO$145),0)),"/")</f>
        <v>109</v>
      </c>
      <c r="V2" s="375" cm="1">
        <f t="array" ref="V2">IFERROR(INDEX('Offer Statistics'!EY$2:EY$145,MATCH(1,($A2='Offer Statistics'!$EN$2:$EN$145)*($S$2='Offer Statistics'!$EO$2:$EO$145),0)),"/")</f>
        <v>33</v>
      </c>
      <c r="W2" s="375" cm="1">
        <f t="array" ref="W2">IFERROR(INDEX('Offer Statistics'!EZ$2:EZ$145,MATCH(1,($A2='Offer Statistics'!$EN$2:$EN$145)*($S$2='Offer Statistics'!$EO$2:$EO$145),0)),"/")</f>
        <v>23</v>
      </c>
      <c r="X2" s="375" cm="1">
        <f t="array" ref="X2">IFERROR(INDEX('Offer Statistics'!FA$2:FA$145,MATCH(1,($A2='Offer Statistics'!$EN$2:$EN$145)*($S$2='Offer Statistics'!$EO$2:$EO$145),0)),"/")</f>
        <v>15</v>
      </c>
      <c r="Y2" s="375" cm="1">
        <f t="array" ref="Y2">IFERROR(INDEX('Offer Statistics'!FB$2:FB$145,MATCH(1,($A2='Offer Statistics'!$EN$2:$EN$145)*($S$2='Offer Statistics'!$EO$2:$EO$145),0)),"/")</f>
        <v>20</v>
      </c>
      <c r="Z2" s="580" t="str">
        <f>S2</f>
        <v>2021年</v>
      </c>
      <c r="AA2" s="37" cm="1">
        <f t="array" ref="AA2">IFERROR(INDEX('Offer Statistics'!EU$2:EU$145,MATCH(1,($A2='Offer Statistics'!$EN$2:$EN$145)*($S$2='Offer Statistics'!$EO$2:$EO$145),0)),"/")</f>
        <v>5347</v>
      </c>
      <c r="AB2" s="375" cm="1">
        <f t="array" ref="AB2">IFERROR(INDEX('Offer Statistics'!EP$2:EP$145,MATCH(1,($A2='Offer Statistics'!$EN$2:$EN$145)*($S$2='Offer Statistics'!$EO$2:$EO$145),0)),"/")</f>
        <v>657</v>
      </c>
      <c r="AC2" s="375" cm="1">
        <f t="array" ref="AC2">IFERROR(INDEX('Offer Statistics'!EQ$2:EQ$145,MATCH(1,($A2='Offer Statistics'!$EN$2:$EN$145)*($S$2='Offer Statistics'!$EO$2:$EO$145),0)),"/")</f>
        <v>937</v>
      </c>
      <c r="AD2" s="375" cm="1">
        <f t="array" ref="AD2">IFERROR(INDEX('Offer Statistics'!ER$2:ER$145,MATCH(1,($A2='Offer Statistics'!$EN$2:$EN$145)*($S$2='Offer Statistics'!$EO$2:$EO$145),0)),"/")</f>
        <v>1062</v>
      </c>
      <c r="AE2" s="375" cm="1">
        <f t="array" ref="AE2">IFERROR(INDEX('Offer Statistics'!ES$2:ES$145,MATCH(1,($A2='Offer Statistics'!$EN$2:$EN$145)*($S$2='Offer Statistics'!$EO$2:$EO$145),0)),"/")</f>
        <v>1283</v>
      </c>
      <c r="AF2" s="375" cm="1">
        <f t="array" ref="AF2">IFERROR(INDEX('Offer Statistics'!ET$2:ET$145,MATCH(1,($A2='Offer Statistics'!$EN$2:$EN$145)*($S$2='Offer Statistics'!$EO$2:$EO$145),0)),"/")</f>
        <v>1408</v>
      </c>
      <c r="AG2" s="15"/>
      <c r="AH2" s="15" t="str">
        <f>A2</f>
        <v>JS9001</v>
      </c>
    </row>
    <row r="3" spans="1:34" ht="18" customHeight="1" x14ac:dyDescent="0.3">
      <c r="A3" s="346" t="str">
        <f>'Reference Score Calculation'!A334</f>
        <v>JS9003</v>
      </c>
      <c r="B3" s="346" t="str">
        <f>'Reference Score Calculation'!C334</f>
        <v>人文社會科學院</v>
      </c>
      <c r="C3" s="346" t="str">
        <f>'Reference Score Calculation'!D334</f>
        <v>政治及公共行政榮譽社會科學學士</v>
      </c>
      <c r="D3" s="4" t="s">
        <v>1573</v>
      </c>
      <c r="E3" s="354" t="str">
        <f>'Reference Score Calculation'!E334</f>
        <v>4C1X</v>
      </c>
      <c r="F3" s="347">
        <f>'Reference Score Calculation'!G334</f>
        <v>16</v>
      </c>
      <c r="G3" s="347">
        <f>'Reference Score Calculation'!H334</f>
        <v>15</v>
      </c>
      <c r="H3" s="368">
        <f>計分版!H355</f>
        <v>1.9500000000000001E-9</v>
      </c>
      <c r="I3" s="469">
        <f>IF(I$1="差距(Median)",H3-F3,IF(I$1="差距(UQ)",H3-#REF!,IF(I$1="差距(LQ)",H3-G3)))</f>
        <v>-15.999999998050001</v>
      </c>
      <c r="J3" s="470">
        <f>IF(I$1="差距(Median)",(H3-F3)/H3,IF(I$1="差距(UQ)",(H3-#REF!)/H3,IF(I$1="差距(LQ)",(H3-G3)/H3)))</f>
        <v>-8205128204.1282053</v>
      </c>
      <c r="K3" s="365">
        <f>入學要求!C343</f>
        <v>25</v>
      </c>
      <c r="L3" s="379">
        <f>入學要求!R343</f>
        <v>0</v>
      </c>
      <c r="M3" s="15"/>
      <c r="N3" s="465">
        <f>入學要求!D343</f>
        <v>3</v>
      </c>
      <c r="O3" s="465">
        <f>入學要求!E343</f>
        <v>3</v>
      </c>
      <c r="P3" s="465">
        <f>入學要求!F343</f>
        <v>2</v>
      </c>
      <c r="Q3" s="465">
        <f>入學要求!G343</f>
        <v>2</v>
      </c>
      <c r="R3" s="465">
        <f>入學要求!H343</f>
        <v>2</v>
      </c>
      <c r="S3" s="576"/>
      <c r="T3" s="365" cm="1">
        <f t="array" ref="T3">IFERROR(INDEX('Offer Statistics'!FC$2:FC$145,MATCH(1,($A3='Offer Statistics'!$EN$2:$EN$145)*($S$2='Offer Statistics'!$EO$2:$EO$145),0)),"/")</f>
        <v>47</v>
      </c>
      <c r="U3" s="375" cm="1">
        <f t="array" ref="U3">IFERROR(INDEX('Offer Statistics'!EX$2:EX$145,MATCH(1,($A3='Offer Statistics'!$EN$2:$EN$145)*($S$2='Offer Statistics'!$EO$2:$EO$145),0)),"/")</f>
        <v>17</v>
      </c>
      <c r="V3" s="375" cm="1">
        <f t="array" ref="V3">IFERROR(INDEX('Offer Statistics'!EY$2:EY$145,MATCH(1,($A3='Offer Statistics'!$EN$2:$EN$145)*($S$2='Offer Statistics'!$EO$2:$EO$145),0)),"/")</f>
        <v>10</v>
      </c>
      <c r="W3" s="375" cm="1">
        <f t="array" ref="W3">IFERROR(INDEX('Offer Statistics'!EZ$2:EZ$145,MATCH(1,($A3='Offer Statistics'!$EN$2:$EN$145)*($S$2='Offer Statistics'!$EO$2:$EO$145),0)),"/")</f>
        <v>6</v>
      </c>
      <c r="X3" s="375" cm="1">
        <f t="array" ref="X3">IFERROR(INDEX('Offer Statistics'!FA$2:FA$145,MATCH(1,($A3='Offer Statistics'!$EN$2:$EN$145)*($S$2='Offer Statistics'!$EO$2:$EO$145),0)),"/")</f>
        <v>7</v>
      </c>
      <c r="Y3" s="375" cm="1">
        <f t="array" ref="Y3">IFERROR(INDEX('Offer Statistics'!FB$2:FB$145,MATCH(1,($A3='Offer Statistics'!$EN$2:$EN$145)*($S$2='Offer Statistics'!$EO$2:$EO$145),0)),"/")</f>
        <v>7</v>
      </c>
      <c r="Z3" s="580"/>
      <c r="AA3" s="365" cm="1">
        <f t="array" ref="AA3">IFERROR(INDEX('Offer Statistics'!EU$2:EU$145,MATCH(1,($A3='Offer Statistics'!$EN$2:$EN$145)*($S$2='Offer Statistics'!$EO$2:$EO$145),0)),"/")</f>
        <v>1175</v>
      </c>
      <c r="AB3" s="375" cm="1">
        <f t="array" ref="AB3">IFERROR(INDEX('Offer Statistics'!EP$2:EP$145,MATCH(1,($A3='Offer Statistics'!$EN$2:$EN$145)*($S$2='Offer Statistics'!$EO$2:$EO$145),0)),"/")</f>
        <v>94</v>
      </c>
      <c r="AC3" s="375" cm="1">
        <f t="array" ref="AC3">IFERROR(INDEX('Offer Statistics'!EQ$2:EQ$145,MATCH(1,($A3='Offer Statistics'!$EN$2:$EN$145)*($S$2='Offer Statistics'!$EO$2:$EO$145),0)),"/")</f>
        <v>159</v>
      </c>
      <c r="AD3" s="375" cm="1">
        <f t="array" ref="AD3">IFERROR(INDEX('Offer Statistics'!ER$2:ER$145,MATCH(1,($A3='Offer Statistics'!$EN$2:$EN$145)*($S$2='Offer Statistics'!$EO$2:$EO$145),0)),"/")</f>
        <v>224</v>
      </c>
      <c r="AE3" s="375" cm="1">
        <f t="array" ref="AE3">IFERROR(INDEX('Offer Statistics'!ES$2:ES$145,MATCH(1,($A3='Offer Statistics'!$EN$2:$EN$145)*($S$2='Offer Statistics'!$EO$2:$EO$145),0)),"/")</f>
        <v>308</v>
      </c>
      <c r="AF3" s="375" cm="1">
        <f t="array" ref="AF3">IFERROR(INDEX('Offer Statistics'!ET$2:ET$145,MATCH(1,($A3='Offer Statistics'!$EN$2:$EN$145)*($S$2='Offer Statistics'!$EO$2:$EO$145),0)),"/")</f>
        <v>390</v>
      </c>
      <c r="AG3" s="15"/>
      <c r="AH3" s="354" t="str">
        <f t="shared" ref="AH3:AH37" si="0">A3</f>
        <v>JS9003</v>
      </c>
    </row>
    <row r="4" spans="1:34" ht="18" customHeight="1" x14ac:dyDescent="0.3">
      <c r="A4" s="346" t="str">
        <f>'Reference Score Calculation'!A335</f>
        <v>JS9004</v>
      </c>
      <c r="B4" s="346" t="str">
        <f>'Reference Score Calculation'!C335</f>
        <v>人文社會科學院</v>
      </c>
      <c r="C4" s="346" t="str">
        <f>'Reference Score Calculation'!D335</f>
        <v>應用社會研究榮譽社會科學學士</v>
      </c>
      <c r="D4" s="4" t="s">
        <v>1577</v>
      </c>
      <c r="E4" s="354" t="str">
        <f>'Reference Score Calculation'!E335</f>
        <v>4C1X</v>
      </c>
      <c r="F4" s="347">
        <f>'Reference Score Calculation'!G335</f>
        <v>16</v>
      </c>
      <c r="G4" s="347">
        <f>'Reference Score Calculation'!H335</f>
        <v>15</v>
      </c>
      <c r="H4" s="368">
        <f>計分版!H356</f>
        <v>1.9500000000000001E-9</v>
      </c>
      <c r="I4" s="469">
        <f>IF(I$1="差距(Median)",H4-F4,IF(I$1="差距(UQ)",H4-#REF!,IF(I$1="差距(LQ)",H4-G4)))</f>
        <v>-15.999999998050001</v>
      </c>
      <c r="J4" s="470">
        <f>IF(I$1="差距(Median)",(H4-F4)/H4,IF(I$1="差距(UQ)",(H4-#REF!)/H4,IF(I$1="差距(LQ)",(H4-G4)/H4)))</f>
        <v>-8205128204.1282053</v>
      </c>
      <c r="K4" s="365">
        <f>入學要求!C344</f>
        <v>30</v>
      </c>
      <c r="L4" s="379">
        <f>入學要求!R344</f>
        <v>0</v>
      </c>
      <c r="M4" s="15"/>
      <c r="N4" s="465">
        <f>入學要求!D344</f>
        <v>3</v>
      </c>
      <c r="O4" s="465">
        <f>入學要求!E344</f>
        <v>3</v>
      </c>
      <c r="P4" s="465">
        <f>入學要求!F344</f>
        <v>2</v>
      </c>
      <c r="Q4" s="465">
        <f>入學要求!G344</f>
        <v>2</v>
      </c>
      <c r="R4" s="465">
        <f>入學要求!H344</f>
        <v>2</v>
      </c>
      <c r="S4" s="576"/>
      <c r="T4" s="365" cm="1">
        <f t="array" ref="T4">IFERROR(INDEX('Offer Statistics'!FC$2:FC$145,MATCH(1,($A4='Offer Statistics'!$EN$2:$EN$145)*($S$2='Offer Statistics'!$EO$2:$EO$145),0)),"/")</f>
        <v>54</v>
      </c>
      <c r="U4" s="375" cm="1">
        <f t="array" ref="U4">IFERROR(INDEX('Offer Statistics'!EX$2:EX$145,MATCH(1,($A4='Offer Statistics'!$EN$2:$EN$145)*($S$2='Offer Statistics'!$EO$2:$EO$145),0)),"/")</f>
        <v>30</v>
      </c>
      <c r="V4" s="375" cm="1">
        <f t="array" ref="V4">IFERROR(INDEX('Offer Statistics'!EY$2:EY$145,MATCH(1,($A4='Offer Statistics'!$EN$2:$EN$145)*($S$2='Offer Statistics'!$EO$2:$EO$145),0)),"/")</f>
        <v>9</v>
      </c>
      <c r="W4" s="375" cm="1">
        <f t="array" ref="W4">IFERROR(INDEX('Offer Statistics'!EZ$2:EZ$145,MATCH(1,($A4='Offer Statistics'!$EN$2:$EN$145)*($S$2='Offer Statistics'!$EO$2:$EO$145),0)),"/")</f>
        <v>6</v>
      </c>
      <c r="X4" s="375" cm="1">
        <f t="array" ref="X4">IFERROR(INDEX('Offer Statistics'!FA$2:FA$145,MATCH(1,($A4='Offer Statistics'!$EN$2:$EN$145)*($S$2='Offer Statistics'!$EO$2:$EO$145),0)),"/")</f>
        <v>6</v>
      </c>
      <c r="Y4" s="375" cm="1">
        <f t="array" ref="Y4">IFERROR(INDEX('Offer Statistics'!FB$2:FB$145,MATCH(1,($A4='Offer Statistics'!$EN$2:$EN$145)*($S$2='Offer Statistics'!$EO$2:$EO$145),0)),"/")</f>
        <v>3</v>
      </c>
      <c r="Z4" s="580"/>
      <c r="AA4" s="365" cm="1">
        <f t="array" ref="AA4">IFERROR(INDEX('Offer Statistics'!EU$2:EU$145,MATCH(1,($A4='Offer Statistics'!$EN$2:$EN$145)*($S$2='Offer Statistics'!$EO$2:$EO$145),0)),"/")</f>
        <v>1934</v>
      </c>
      <c r="AB4" s="375" cm="1">
        <f t="array" ref="AB4">IFERROR(INDEX('Offer Statistics'!EP$2:EP$145,MATCH(1,($A4='Offer Statistics'!$EN$2:$EN$145)*($S$2='Offer Statistics'!$EO$2:$EO$145),0)),"/")</f>
        <v>137</v>
      </c>
      <c r="AC4" s="375" cm="1">
        <f t="array" ref="AC4">IFERROR(INDEX('Offer Statistics'!EQ$2:EQ$145,MATCH(1,($A4='Offer Statistics'!$EN$2:$EN$145)*($S$2='Offer Statistics'!$EO$2:$EO$145),0)),"/")</f>
        <v>276</v>
      </c>
      <c r="AD4" s="375" cm="1">
        <f t="array" ref="AD4">IFERROR(INDEX('Offer Statistics'!ER$2:ER$145,MATCH(1,($A4='Offer Statistics'!$EN$2:$EN$145)*($S$2='Offer Statistics'!$EO$2:$EO$145),0)),"/")</f>
        <v>379</v>
      </c>
      <c r="AE4" s="375" cm="1">
        <f t="array" ref="AE4">IFERROR(INDEX('Offer Statistics'!ES$2:ES$145,MATCH(1,($A4='Offer Statistics'!$EN$2:$EN$145)*($S$2='Offer Statistics'!$EO$2:$EO$145),0)),"/")</f>
        <v>561</v>
      </c>
      <c r="AF4" s="375" cm="1">
        <f t="array" ref="AF4">IFERROR(INDEX('Offer Statistics'!ET$2:ET$145,MATCH(1,($A4='Offer Statistics'!$EN$2:$EN$145)*($S$2='Offer Statistics'!$EO$2:$EO$145),0)),"/")</f>
        <v>581</v>
      </c>
      <c r="AG4" s="15"/>
      <c r="AH4" s="354" t="str">
        <f t="shared" si="0"/>
        <v>JS9004</v>
      </c>
    </row>
    <row r="5" spans="1:34" ht="18" customHeight="1" x14ac:dyDescent="0.3">
      <c r="A5" s="346" t="str">
        <f>'Reference Score Calculation'!A336</f>
        <v>JS9005</v>
      </c>
      <c r="B5" s="346" t="str">
        <f>'Reference Score Calculation'!C336</f>
        <v>人文社會科學院</v>
      </c>
      <c r="C5" s="346" t="str">
        <f>'Reference Score Calculation'!D336</f>
        <v>全球與中國研究榮譽社會科學學士</v>
      </c>
      <c r="D5" s="4" t="s">
        <v>1581</v>
      </c>
      <c r="E5" s="354" t="str">
        <f>'Reference Score Calculation'!E336</f>
        <v>4C1X</v>
      </c>
      <c r="F5" s="347">
        <f>'Reference Score Calculation'!G336</f>
        <v>15</v>
      </c>
      <c r="G5" s="347">
        <f>'Reference Score Calculation'!H336</f>
        <v>15</v>
      </c>
      <c r="H5" s="368">
        <f>計分版!H357</f>
        <v>1.9500000000000001E-9</v>
      </c>
      <c r="I5" s="469">
        <f>IF(I$1="差距(Median)",H5-F5,IF(I$1="差距(UQ)",H5-#REF!,IF(I$1="差距(LQ)",H5-G5)))</f>
        <v>-14.999999998050001</v>
      </c>
      <c r="J5" s="470">
        <f>IF(I$1="差距(Median)",(H5-F5)/H5,IF(I$1="差距(UQ)",(H5-#REF!)/H5,IF(I$1="差距(LQ)",(H5-G5)/H5)))</f>
        <v>-7692307691.3076925</v>
      </c>
      <c r="K5" s="365">
        <f>入學要求!C345</f>
        <v>20</v>
      </c>
      <c r="L5" s="379">
        <f>入學要求!R345</f>
        <v>0</v>
      </c>
      <c r="M5" s="15"/>
      <c r="N5" s="465">
        <f>入學要求!D345</f>
        <v>3</v>
      </c>
      <c r="O5" s="465">
        <f>入學要求!E345</f>
        <v>3</v>
      </c>
      <c r="P5" s="465">
        <f>入學要求!F345</f>
        <v>2</v>
      </c>
      <c r="Q5" s="465">
        <f>入學要求!G345</f>
        <v>2</v>
      </c>
      <c r="R5" s="465">
        <f>入學要求!H345</f>
        <v>2</v>
      </c>
      <c r="S5" s="576"/>
      <c r="T5" s="365" cm="1">
        <f t="array" ref="T5">IFERROR(INDEX('Offer Statistics'!FC$2:FC$145,MATCH(1,($A5='Offer Statistics'!$EN$2:$EN$145)*($S$2='Offer Statistics'!$EO$2:$EO$145),0)),"/")</f>
        <v>17</v>
      </c>
      <c r="U5" s="375" cm="1">
        <f t="array" ref="U5">IFERROR(INDEX('Offer Statistics'!EX$2:EX$145,MATCH(1,($A5='Offer Statistics'!$EN$2:$EN$145)*($S$2='Offer Statistics'!$EO$2:$EO$145),0)),"/")</f>
        <v>4</v>
      </c>
      <c r="V5" s="375" cm="1">
        <f t="array" ref="V5">IFERROR(INDEX('Offer Statistics'!EY$2:EY$145,MATCH(1,($A5='Offer Statistics'!$EN$2:$EN$145)*($S$2='Offer Statistics'!$EO$2:$EO$145),0)),"/")</f>
        <v>7</v>
      </c>
      <c r="W5" s="375" cm="1">
        <f t="array" ref="W5">IFERROR(INDEX('Offer Statistics'!EZ$2:EZ$145,MATCH(1,($A5='Offer Statistics'!$EN$2:$EN$145)*($S$2='Offer Statistics'!$EO$2:$EO$145),0)),"/")</f>
        <v>0</v>
      </c>
      <c r="X5" s="375" cm="1">
        <f t="array" ref="X5">IFERROR(INDEX('Offer Statistics'!FA$2:FA$145,MATCH(1,($A5='Offer Statistics'!$EN$2:$EN$145)*($S$2='Offer Statistics'!$EO$2:$EO$145),0)),"/")</f>
        <v>3</v>
      </c>
      <c r="Y5" s="375" cm="1">
        <f t="array" ref="Y5">IFERROR(INDEX('Offer Statistics'!FB$2:FB$145,MATCH(1,($A5='Offer Statistics'!$EN$2:$EN$145)*($S$2='Offer Statistics'!$EO$2:$EO$145),0)),"/")</f>
        <v>3</v>
      </c>
      <c r="Z5" s="580"/>
      <c r="AA5" s="365" cm="1">
        <f t="array" ref="AA5">IFERROR(INDEX('Offer Statistics'!EU$2:EU$145,MATCH(1,($A5='Offer Statistics'!$EN$2:$EN$145)*($S$2='Offer Statistics'!$EO$2:$EO$145),0)),"/")</f>
        <v>796</v>
      </c>
      <c r="AB5" s="375" cm="1">
        <f t="array" ref="AB5">IFERROR(INDEX('Offer Statistics'!EP$2:EP$145,MATCH(1,($A5='Offer Statistics'!$EN$2:$EN$145)*($S$2='Offer Statistics'!$EO$2:$EO$145),0)),"/")</f>
        <v>56</v>
      </c>
      <c r="AC5" s="375" cm="1">
        <f t="array" ref="AC5">IFERROR(INDEX('Offer Statistics'!EQ$2:EQ$145,MATCH(1,($A5='Offer Statistics'!$EN$2:$EN$145)*($S$2='Offer Statistics'!$EO$2:$EO$145),0)),"/")</f>
        <v>119</v>
      </c>
      <c r="AD5" s="375" cm="1">
        <f t="array" ref="AD5">IFERROR(INDEX('Offer Statistics'!ER$2:ER$145,MATCH(1,($A5='Offer Statistics'!$EN$2:$EN$145)*($S$2='Offer Statistics'!$EO$2:$EO$145),0)),"/")</f>
        <v>160</v>
      </c>
      <c r="AE5" s="375" cm="1">
        <f t="array" ref="AE5">IFERROR(INDEX('Offer Statistics'!ES$2:ES$145,MATCH(1,($A5='Offer Statistics'!$EN$2:$EN$145)*($S$2='Offer Statistics'!$EO$2:$EO$145),0)),"/")</f>
        <v>211</v>
      </c>
      <c r="AF5" s="375" cm="1">
        <f t="array" ref="AF5">IFERROR(INDEX('Offer Statistics'!ET$2:ET$145,MATCH(1,($A5='Offer Statistics'!$EN$2:$EN$145)*($S$2='Offer Statistics'!$EO$2:$EO$145),0)),"/")</f>
        <v>250</v>
      </c>
      <c r="AG5" s="15"/>
      <c r="AH5" s="354" t="str">
        <f t="shared" si="0"/>
        <v>JS9005</v>
      </c>
    </row>
    <row r="6" spans="1:34" ht="18" customHeight="1" x14ac:dyDescent="0.3">
      <c r="A6" s="346" t="str">
        <f>'Reference Score Calculation'!A337</f>
        <v>JS9006</v>
      </c>
      <c r="B6" s="346" t="str">
        <f>'Reference Score Calculation'!C337</f>
        <v>人文社會科學院</v>
      </c>
      <c r="C6" s="346" t="str">
        <f>'Reference Score Calculation'!D337</f>
        <v>高齡社會與服務研究榮譽社會科學學士</v>
      </c>
      <c r="D6" s="4" t="s">
        <v>1585</v>
      </c>
      <c r="E6" s="354" t="str">
        <f>'Reference Score Calculation'!E337</f>
        <v>4C1X</v>
      </c>
      <c r="F6" s="347">
        <f>'Reference Score Calculation'!G337</f>
        <v>15</v>
      </c>
      <c r="G6" s="347">
        <f>'Reference Score Calculation'!H337</f>
        <v>15</v>
      </c>
      <c r="H6" s="368">
        <f>計分版!H358</f>
        <v>1.9500000000000001E-9</v>
      </c>
      <c r="I6" s="469">
        <f>IF(I$1="差距(Median)",H6-F6,IF(I$1="差距(UQ)",H6-#REF!,IF(I$1="差距(LQ)",H6-G6)))</f>
        <v>-14.999999998050001</v>
      </c>
      <c r="J6" s="470">
        <f>IF(I$1="差距(Median)",(H6-F6)/H6,IF(I$1="差距(UQ)",(H6-#REF!)/H6,IF(I$1="差距(LQ)",(H6-G6)/H6)))</f>
        <v>-7692307691.3076925</v>
      </c>
      <c r="K6" s="365">
        <f>入學要求!C346</f>
        <v>15</v>
      </c>
      <c r="L6" s="379">
        <f>入學要求!R346</f>
        <v>0</v>
      </c>
      <c r="M6" s="15"/>
      <c r="N6" s="465">
        <f>入學要求!D346</f>
        <v>3</v>
      </c>
      <c r="O6" s="465">
        <f>入學要求!E346</f>
        <v>3</v>
      </c>
      <c r="P6" s="465">
        <f>入學要求!F346</f>
        <v>2</v>
      </c>
      <c r="Q6" s="465">
        <f>入學要求!G346</f>
        <v>2</v>
      </c>
      <c r="R6" s="465">
        <f>入學要求!H346</f>
        <v>2</v>
      </c>
      <c r="S6" s="576"/>
      <c r="T6" s="365" cm="1">
        <f t="array" ref="T6">IFERROR(INDEX('Offer Statistics'!FC$2:FC$145,MATCH(1,($A6='Offer Statistics'!$EN$2:$EN$145)*($S$2='Offer Statistics'!$EO$2:$EO$145),0)),"/")</f>
        <v>22</v>
      </c>
      <c r="U6" s="375" cm="1">
        <f t="array" ref="U6">IFERROR(INDEX('Offer Statistics'!EX$2:EX$145,MATCH(1,($A6='Offer Statistics'!$EN$2:$EN$145)*($S$2='Offer Statistics'!$EO$2:$EO$145),0)),"/")</f>
        <v>8</v>
      </c>
      <c r="V6" s="375" cm="1">
        <f t="array" ref="V6">IFERROR(INDEX('Offer Statistics'!EY$2:EY$145,MATCH(1,($A6='Offer Statistics'!$EN$2:$EN$145)*($S$2='Offer Statistics'!$EO$2:$EO$145),0)),"/")</f>
        <v>5</v>
      </c>
      <c r="W6" s="375" cm="1">
        <f t="array" ref="W6">IFERROR(INDEX('Offer Statistics'!EZ$2:EZ$145,MATCH(1,($A6='Offer Statistics'!$EN$2:$EN$145)*($S$2='Offer Statistics'!$EO$2:$EO$145),0)),"/")</f>
        <v>3</v>
      </c>
      <c r="X6" s="375" cm="1">
        <f t="array" ref="X6">IFERROR(INDEX('Offer Statistics'!FA$2:FA$145,MATCH(1,($A6='Offer Statistics'!$EN$2:$EN$145)*($S$2='Offer Statistics'!$EO$2:$EO$145),0)),"/")</f>
        <v>3</v>
      </c>
      <c r="Y6" s="375" cm="1">
        <f t="array" ref="Y6">IFERROR(INDEX('Offer Statistics'!FB$2:FB$145,MATCH(1,($A6='Offer Statistics'!$EN$2:$EN$145)*($S$2='Offer Statistics'!$EO$2:$EO$145),0)),"/")</f>
        <v>3</v>
      </c>
      <c r="Z6" s="580"/>
      <c r="AA6" s="365" cm="1">
        <f t="array" ref="AA6">IFERROR(INDEX('Offer Statistics'!EU$2:EU$145,MATCH(1,($A6='Offer Statistics'!$EN$2:$EN$145)*($S$2='Offer Statistics'!$EO$2:$EO$145),0)),"/")</f>
        <v>1130</v>
      </c>
      <c r="AB6" s="375" cm="1">
        <f t="array" ref="AB6">IFERROR(INDEX('Offer Statistics'!EP$2:EP$145,MATCH(1,($A6='Offer Statistics'!$EN$2:$EN$145)*($S$2='Offer Statistics'!$EO$2:$EO$145),0)),"/")</f>
        <v>90</v>
      </c>
      <c r="AC6" s="375" cm="1">
        <f t="array" ref="AC6">IFERROR(INDEX('Offer Statistics'!EQ$2:EQ$145,MATCH(1,($A6='Offer Statistics'!$EN$2:$EN$145)*($S$2='Offer Statistics'!$EO$2:$EO$145),0)),"/")</f>
        <v>179</v>
      </c>
      <c r="AD6" s="375" cm="1">
        <f t="array" ref="AD6">IFERROR(INDEX('Offer Statistics'!ER$2:ER$145,MATCH(1,($A6='Offer Statistics'!$EN$2:$EN$145)*($S$2='Offer Statistics'!$EO$2:$EO$145),0)),"/")</f>
        <v>256</v>
      </c>
      <c r="AE6" s="375" cm="1">
        <f t="array" ref="AE6">IFERROR(INDEX('Offer Statistics'!ES$2:ES$145,MATCH(1,($A6='Offer Statistics'!$EN$2:$EN$145)*($S$2='Offer Statistics'!$EO$2:$EO$145),0)),"/")</f>
        <v>292</v>
      </c>
      <c r="AF6" s="375" cm="1">
        <f t="array" ref="AF6">IFERROR(INDEX('Offer Statistics'!ET$2:ET$145,MATCH(1,($A6='Offer Statistics'!$EN$2:$EN$145)*($S$2='Offer Statistics'!$EO$2:$EO$145),0)),"/")</f>
        <v>313</v>
      </c>
      <c r="AG6" s="15"/>
      <c r="AH6" s="354" t="str">
        <f t="shared" si="0"/>
        <v>JS9006</v>
      </c>
    </row>
    <row r="7" spans="1:34" ht="18" customHeight="1" x14ac:dyDescent="0.3">
      <c r="A7" s="346" t="str">
        <f>'Reference Score Calculation'!A338</f>
        <v>JS9007</v>
      </c>
      <c r="B7" s="346" t="str">
        <f>'Reference Score Calculation'!C338</f>
        <v>人文社會科學院</v>
      </c>
      <c r="C7" s="346" t="str">
        <f>'Reference Score Calculation'!D338</f>
        <v>經濟及公共政策分析榮譽社會科學學士</v>
      </c>
      <c r="D7" s="4" t="s">
        <v>1589</v>
      </c>
      <c r="E7" s="354" t="str">
        <f>'Reference Score Calculation'!E338</f>
        <v>4C1X</v>
      </c>
      <c r="F7" s="347" t="str">
        <f>'Reference Score Calculation'!G338</f>
        <v>/</v>
      </c>
      <c r="G7" s="347" t="str">
        <f>'Reference Score Calculation'!H338</f>
        <v>/</v>
      </c>
      <c r="H7" s="368">
        <f>計分版!H359</f>
        <v>1.9500000000000001E-9</v>
      </c>
      <c r="I7" s="471" t="s">
        <v>1978</v>
      </c>
      <c r="J7" s="471" t="s">
        <v>1978</v>
      </c>
      <c r="K7" s="365">
        <f>入學要求!C347</f>
        <v>20</v>
      </c>
      <c r="L7" s="379">
        <f>入學要求!R347</f>
        <v>0</v>
      </c>
      <c r="M7" s="15"/>
      <c r="N7" s="465">
        <f>入學要求!D347</f>
        <v>3</v>
      </c>
      <c r="O7" s="465">
        <f>入學要求!E347</f>
        <v>3</v>
      </c>
      <c r="P7" s="465">
        <f>入學要求!F347</f>
        <v>2</v>
      </c>
      <c r="Q7" s="465">
        <f>入學要求!G347</f>
        <v>2</v>
      </c>
      <c r="R7" s="465">
        <f>入學要求!H347</f>
        <v>2</v>
      </c>
      <c r="S7" s="576"/>
      <c r="T7" s="365" cm="1">
        <f t="array" ref="T7">IFERROR(INDEX('Offer Statistics'!FC$2:FC$145,MATCH(1,($A7='Offer Statistics'!$EN$2:$EN$145)*($S$2='Offer Statistics'!$EO$2:$EO$145),0)),"/")</f>
        <v>7</v>
      </c>
      <c r="U7" s="375" cm="1">
        <f t="array" ref="U7">IFERROR(INDEX('Offer Statistics'!EX$2:EX$145,MATCH(1,($A7='Offer Statistics'!$EN$2:$EN$145)*($S$2='Offer Statistics'!$EO$2:$EO$145),0)),"/")</f>
        <v>3</v>
      </c>
      <c r="V7" s="375" cm="1">
        <f t="array" ref="V7">IFERROR(INDEX('Offer Statistics'!EY$2:EY$145,MATCH(1,($A7='Offer Statistics'!$EN$2:$EN$145)*($S$2='Offer Statistics'!$EO$2:$EO$145),0)),"/")</f>
        <v>1</v>
      </c>
      <c r="W7" s="375" cm="1">
        <f t="array" ref="W7">IFERROR(INDEX('Offer Statistics'!EZ$2:EZ$145,MATCH(1,($A7='Offer Statistics'!$EN$2:$EN$145)*($S$2='Offer Statistics'!$EO$2:$EO$145),0)),"/")</f>
        <v>1</v>
      </c>
      <c r="X7" s="375" cm="1">
        <f t="array" ref="X7">IFERROR(INDEX('Offer Statistics'!FA$2:FA$145,MATCH(1,($A7='Offer Statistics'!$EN$2:$EN$145)*($S$2='Offer Statistics'!$EO$2:$EO$145),0)),"/")</f>
        <v>2</v>
      </c>
      <c r="Y7" s="375" cm="1">
        <f t="array" ref="Y7">IFERROR(INDEX('Offer Statistics'!FB$2:FB$145,MATCH(1,($A7='Offer Statistics'!$EN$2:$EN$145)*($S$2='Offer Statistics'!$EO$2:$EO$145),0)),"/")</f>
        <v>0</v>
      </c>
      <c r="Z7" s="580"/>
      <c r="AA7" s="365" cm="1">
        <f t="array" ref="AA7">IFERROR(INDEX('Offer Statistics'!EU$2:EU$145,MATCH(1,($A7='Offer Statistics'!$EN$2:$EN$145)*($S$2='Offer Statistics'!$EO$2:$EO$145),0)),"/")</f>
        <v>756</v>
      </c>
      <c r="AB7" s="375" cm="1">
        <f t="array" ref="AB7">IFERROR(INDEX('Offer Statistics'!EP$2:EP$145,MATCH(1,($A7='Offer Statistics'!$EN$2:$EN$145)*($S$2='Offer Statistics'!$EO$2:$EO$145),0)),"/")</f>
        <v>30</v>
      </c>
      <c r="AC7" s="375" cm="1">
        <f t="array" ref="AC7">IFERROR(INDEX('Offer Statistics'!EQ$2:EQ$145,MATCH(1,($A7='Offer Statistics'!$EN$2:$EN$145)*($S$2='Offer Statistics'!$EO$2:$EO$145),0)),"/")</f>
        <v>77</v>
      </c>
      <c r="AD7" s="375" cm="1">
        <f t="array" ref="AD7">IFERROR(INDEX('Offer Statistics'!ER$2:ER$145,MATCH(1,($A7='Offer Statistics'!$EN$2:$EN$145)*($S$2='Offer Statistics'!$EO$2:$EO$145),0)),"/")</f>
        <v>146</v>
      </c>
      <c r="AE7" s="375" cm="1">
        <f t="array" ref="AE7">IFERROR(INDEX('Offer Statistics'!ES$2:ES$145,MATCH(1,($A7='Offer Statistics'!$EN$2:$EN$145)*($S$2='Offer Statistics'!$EO$2:$EO$145),0)),"/")</f>
        <v>235</v>
      </c>
      <c r="AF7" s="375" cm="1">
        <f t="array" ref="AF7">IFERROR(INDEX('Offer Statistics'!ET$2:ET$145,MATCH(1,($A7='Offer Statistics'!$EN$2:$EN$145)*($S$2='Offer Statistics'!$EO$2:$EO$145),0)),"/")</f>
        <v>268</v>
      </c>
      <c r="AG7" s="15"/>
      <c r="AH7" s="354" t="str">
        <f t="shared" si="0"/>
        <v>JS9007</v>
      </c>
    </row>
    <row r="8" spans="1:34" ht="18" customHeight="1" x14ac:dyDescent="0.3">
      <c r="A8" s="346" t="str">
        <f>'Reference Score Calculation'!A339</f>
        <v>JS9008</v>
      </c>
      <c r="B8" s="346" t="str">
        <f>'Reference Score Calculation'!C339</f>
        <v>人文社會科學院</v>
      </c>
      <c r="C8" s="346" t="str">
        <f>'Reference Score Calculation'!D339</f>
        <v>心理學與精神健康榮譽社會科學學士</v>
      </c>
      <c r="D8" s="4" t="s">
        <v>1593</v>
      </c>
      <c r="E8" s="354" t="str">
        <f>'Reference Score Calculation'!E339</f>
        <v>4C1X</v>
      </c>
      <c r="F8" s="347">
        <f>'Reference Score Calculation'!G339</f>
        <v>16</v>
      </c>
      <c r="G8" s="347">
        <f>'Reference Score Calculation'!H339</f>
        <v>15</v>
      </c>
      <c r="H8" s="368">
        <f>計分版!H360</f>
        <v>1.9500000000000001E-9</v>
      </c>
      <c r="I8" s="469">
        <f>IF(I$1="差距(Median)",H8-F8,IF(I$1="差距(UQ)",H8-#REF!,IF(I$1="差距(LQ)",H8-G8)))</f>
        <v>-15.999999998050001</v>
      </c>
      <c r="J8" s="470">
        <f>IF(I$1="差距(Median)",(H8-F8)/H8,IF(I$1="差距(UQ)",(H8-#REF!)/H8,IF(I$1="差距(LQ)",(H8-G8)/H8)))</f>
        <v>-8205128204.1282053</v>
      </c>
      <c r="K8" s="365">
        <f>入學要求!C348</f>
        <v>60</v>
      </c>
      <c r="L8" s="379">
        <f>入學要求!R348</f>
        <v>0</v>
      </c>
      <c r="M8" s="15"/>
      <c r="N8" s="465">
        <f>入學要求!D348</f>
        <v>3</v>
      </c>
      <c r="O8" s="465">
        <f>入學要求!E348</f>
        <v>3</v>
      </c>
      <c r="P8" s="465">
        <f>入學要求!F348</f>
        <v>2</v>
      </c>
      <c r="Q8" s="465">
        <f>入學要求!G348</f>
        <v>2</v>
      </c>
      <c r="R8" s="465">
        <f>入學要求!H348</f>
        <v>2</v>
      </c>
      <c r="S8" s="576"/>
      <c r="T8" s="365" cm="1">
        <f t="array" ref="T8">IFERROR(INDEX('Offer Statistics'!FC$2:FC$145,MATCH(1,($A8='Offer Statistics'!$EN$2:$EN$145)*($S$2='Offer Statistics'!$EO$2:$EO$145),0)),"/")</f>
        <v>120</v>
      </c>
      <c r="U8" s="375" cm="1">
        <f t="array" ref="U8">IFERROR(INDEX('Offer Statistics'!EX$2:EX$145,MATCH(1,($A8='Offer Statistics'!$EN$2:$EN$145)*($S$2='Offer Statistics'!$EO$2:$EO$145),0)),"/")</f>
        <v>65</v>
      </c>
      <c r="V8" s="375" cm="1">
        <f t="array" ref="V8">IFERROR(INDEX('Offer Statistics'!EY$2:EY$145,MATCH(1,($A8='Offer Statistics'!$EN$2:$EN$145)*($S$2='Offer Statistics'!$EO$2:$EO$145),0)),"/")</f>
        <v>23</v>
      </c>
      <c r="W8" s="375" cm="1">
        <f t="array" ref="W8">IFERROR(INDEX('Offer Statistics'!EZ$2:EZ$145,MATCH(1,($A8='Offer Statistics'!$EN$2:$EN$145)*($S$2='Offer Statistics'!$EO$2:$EO$145),0)),"/")</f>
        <v>11</v>
      </c>
      <c r="X8" s="375" cm="1">
        <f t="array" ref="X8">IFERROR(INDEX('Offer Statistics'!FA$2:FA$145,MATCH(1,($A8='Offer Statistics'!$EN$2:$EN$145)*($S$2='Offer Statistics'!$EO$2:$EO$145),0)),"/")</f>
        <v>12</v>
      </c>
      <c r="Y8" s="375" cm="1">
        <f t="array" ref="Y8">IFERROR(INDEX('Offer Statistics'!FB$2:FB$145,MATCH(1,($A8='Offer Statistics'!$EN$2:$EN$145)*($S$2='Offer Statistics'!$EO$2:$EO$145),0)),"/")</f>
        <v>9</v>
      </c>
      <c r="Z8" s="580"/>
      <c r="AA8" s="365" cm="1">
        <f t="array" ref="AA8">IFERROR(INDEX('Offer Statistics'!EU$2:EU$145,MATCH(1,($A8='Offer Statistics'!$EN$2:$EN$145)*($S$2='Offer Statistics'!$EO$2:$EO$145),0)),"/")</f>
        <v>3883</v>
      </c>
      <c r="AB8" s="375" cm="1">
        <f t="array" ref="AB8">IFERROR(INDEX('Offer Statistics'!EP$2:EP$145,MATCH(1,($A8='Offer Statistics'!$EN$2:$EN$145)*($S$2='Offer Statistics'!$EO$2:$EO$145),0)),"/")</f>
        <v>374</v>
      </c>
      <c r="AC8" s="375" cm="1">
        <f t="array" ref="AC8">IFERROR(INDEX('Offer Statistics'!EQ$2:EQ$145,MATCH(1,($A8='Offer Statistics'!$EN$2:$EN$145)*($S$2='Offer Statistics'!$EO$2:$EO$145),0)),"/")</f>
        <v>650</v>
      </c>
      <c r="AD8" s="375" cm="1">
        <f t="array" ref="AD8">IFERROR(INDEX('Offer Statistics'!ER$2:ER$145,MATCH(1,($A8='Offer Statistics'!$EN$2:$EN$145)*($S$2='Offer Statistics'!$EO$2:$EO$145),0)),"/")</f>
        <v>849</v>
      </c>
      <c r="AE8" s="375" cm="1">
        <f t="array" ref="AE8">IFERROR(INDEX('Offer Statistics'!ES$2:ES$145,MATCH(1,($A8='Offer Statistics'!$EN$2:$EN$145)*($S$2='Offer Statistics'!$EO$2:$EO$145),0)),"/")</f>
        <v>974</v>
      </c>
      <c r="AF8" s="375" cm="1">
        <f t="array" ref="AF8">IFERROR(INDEX('Offer Statistics'!ET$2:ET$145,MATCH(1,($A8='Offer Statistics'!$EN$2:$EN$145)*($S$2='Offer Statistics'!$EO$2:$EO$145),0)),"/")</f>
        <v>1036</v>
      </c>
      <c r="AG8" s="15"/>
      <c r="AH8" s="354" t="str">
        <f t="shared" si="0"/>
        <v>JS9008</v>
      </c>
    </row>
    <row r="9" spans="1:34" ht="18" customHeight="1" x14ac:dyDescent="0.3">
      <c r="A9" s="346" t="str">
        <f>'Reference Score Calculation'!A340</f>
        <v>JS9011</v>
      </c>
      <c r="B9" s="346" t="str">
        <f>'Reference Score Calculation'!C340</f>
        <v>人文社會科學院</v>
      </c>
      <c r="C9" s="346" t="str">
        <f>'Reference Score Calculation'!D340</f>
        <v>中文榮譽文學士</v>
      </c>
      <c r="D9" s="4" t="s">
        <v>1597</v>
      </c>
      <c r="E9" s="365" t="str">
        <f>'Reference Score Calculation'!E340</f>
        <v>4C1X</v>
      </c>
      <c r="F9" s="347">
        <f>'Reference Score Calculation'!G340</f>
        <v>20</v>
      </c>
      <c r="G9" s="347">
        <f>'Reference Score Calculation'!H340</f>
        <v>19</v>
      </c>
      <c r="H9" s="368">
        <f>計分版!H361</f>
        <v>2.0500000000000002E-9</v>
      </c>
      <c r="I9" s="469">
        <f>IF(I$1="差距(Median)",H9-F9,IF(I$1="差距(UQ)",H9-#REF!,IF(I$1="差距(LQ)",H9-G9)))</f>
        <v>-19.999999997949999</v>
      </c>
      <c r="J9" s="470">
        <f>IF(I$1="差距(Median)",(H9-F9)/H9,IF(I$1="差距(UQ)",(H9-#REF!)/H9,IF(I$1="差距(LQ)",(H9-G9)/H9)))</f>
        <v>-9756097559.9756088</v>
      </c>
      <c r="K9" s="365">
        <f>入學要求!C349</f>
        <v>30</v>
      </c>
      <c r="L9" s="379">
        <f>入學要求!R349</f>
        <v>0</v>
      </c>
      <c r="M9" s="15"/>
      <c r="N9" s="465">
        <f>入學要求!D349</f>
        <v>3</v>
      </c>
      <c r="O9" s="465">
        <f>入學要求!E349</f>
        <v>3</v>
      </c>
      <c r="P9" s="465">
        <f>入學要求!F349</f>
        <v>2</v>
      </c>
      <c r="Q9" s="465">
        <f>入學要求!G349</f>
        <v>2</v>
      </c>
      <c r="R9" s="465">
        <f>入學要求!H349</f>
        <v>2</v>
      </c>
      <c r="S9" s="576"/>
      <c r="T9" s="365" cm="1">
        <f t="array" ref="T9">IFERROR(INDEX('Offer Statistics'!FC$2:FC$145,MATCH(1,($A9='Offer Statistics'!$EN$2:$EN$145)*($S$2='Offer Statistics'!$EO$2:$EO$145),0)),"/")</f>
        <v>70</v>
      </c>
      <c r="U9" s="375" cm="1">
        <f t="array" ref="U9">IFERROR(INDEX('Offer Statistics'!EX$2:EX$145,MATCH(1,($A9='Offer Statistics'!$EN$2:$EN$145)*($S$2='Offer Statistics'!$EO$2:$EO$145),0)),"/")</f>
        <v>35</v>
      </c>
      <c r="V9" s="375" cm="1">
        <f t="array" ref="V9">IFERROR(INDEX('Offer Statistics'!EY$2:EY$145,MATCH(1,($A9='Offer Statistics'!$EN$2:$EN$145)*($S$2='Offer Statistics'!$EO$2:$EO$145),0)),"/")</f>
        <v>17</v>
      </c>
      <c r="W9" s="375" cm="1">
        <f t="array" ref="W9">IFERROR(INDEX('Offer Statistics'!EZ$2:EZ$145,MATCH(1,($A9='Offer Statistics'!$EN$2:$EN$145)*($S$2='Offer Statistics'!$EO$2:$EO$145),0)),"/")</f>
        <v>4</v>
      </c>
      <c r="X9" s="375" cm="1">
        <f t="array" ref="X9">IFERROR(INDEX('Offer Statistics'!FA$2:FA$145,MATCH(1,($A9='Offer Statistics'!$EN$2:$EN$145)*($S$2='Offer Statistics'!$EO$2:$EO$145),0)),"/")</f>
        <v>8</v>
      </c>
      <c r="Y9" s="375" cm="1">
        <f t="array" ref="Y9">IFERROR(INDEX('Offer Statistics'!FB$2:FB$145,MATCH(1,($A9='Offer Statistics'!$EN$2:$EN$145)*($S$2='Offer Statistics'!$EO$2:$EO$145),0)),"/")</f>
        <v>6</v>
      </c>
      <c r="Z9" s="580"/>
      <c r="AA9" s="365" cm="1">
        <f t="array" ref="AA9">IFERROR(INDEX('Offer Statistics'!EU$2:EU$145,MATCH(1,($A9='Offer Statistics'!$EN$2:$EN$145)*($S$2='Offer Statistics'!$EO$2:$EO$145),0)),"/")</f>
        <v>1289</v>
      </c>
      <c r="AB9" s="375" cm="1">
        <f t="array" ref="AB9">IFERROR(INDEX('Offer Statistics'!EP$2:EP$145,MATCH(1,($A9='Offer Statistics'!$EN$2:$EN$145)*($S$2='Offer Statistics'!$EO$2:$EO$145),0)),"/")</f>
        <v>125</v>
      </c>
      <c r="AC9" s="375" cm="1">
        <f t="array" ref="AC9">IFERROR(INDEX('Offer Statistics'!EQ$2:EQ$145,MATCH(1,($A9='Offer Statistics'!$EN$2:$EN$145)*($S$2='Offer Statistics'!$EO$2:$EO$145),0)),"/")</f>
        <v>202</v>
      </c>
      <c r="AD9" s="375" cm="1">
        <f t="array" ref="AD9">IFERROR(INDEX('Offer Statistics'!ER$2:ER$145,MATCH(1,($A9='Offer Statistics'!$EN$2:$EN$145)*($S$2='Offer Statistics'!$EO$2:$EO$145),0)),"/")</f>
        <v>232</v>
      </c>
      <c r="AE9" s="375" cm="1">
        <f t="array" ref="AE9">IFERROR(INDEX('Offer Statistics'!ES$2:ES$145,MATCH(1,($A9='Offer Statistics'!$EN$2:$EN$145)*($S$2='Offer Statistics'!$EO$2:$EO$145),0)),"/")</f>
        <v>333</v>
      </c>
      <c r="AF9" s="375" cm="1">
        <f t="array" ref="AF9">IFERROR(INDEX('Offer Statistics'!ET$2:ET$145,MATCH(1,($A9='Offer Statistics'!$EN$2:$EN$145)*($S$2='Offer Statistics'!$EO$2:$EO$145),0)),"/")</f>
        <v>397</v>
      </c>
      <c r="AG9" s="15"/>
      <c r="AH9" s="354" t="str">
        <f t="shared" si="0"/>
        <v>JS9011</v>
      </c>
    </row>
    <row r="10" spans="1:34" ht="18" customHeight="1" x14ac:dyDescent="0.3">
      <c r="A10" s="346" t="str">
        <f>'Reference Score Calculation'!A341</f>
        <v>JS9013</v>
      </c>
      <c r="B10" s="346" t="str">
        <f>'Reference Score Calculation'!C341</f>
        <v>人文社會科學院</v>
      </c>
      <c r="C10" s="346" t="str">
        <f>'Reference Score Calculation'!D341</f>
        <v>語言研究與翻譯榮譽文學士</v>
      </c>
      <c r="D10" s="4" t="s">
        <v>1602</v>
      </c>
      <c r="E10" s="365" t="str">
        <f>'Reference Score Calculation'!E341</f>
        <v>4C1X</v>
      </c>
      <c r="F10" s="347">
        <f>'Reference Score Calculation'!G341</f>
        <v>20</v>
      </c>
      <c r="G10" s="347">
        <f>'Reference Score Calculation'!H341</f>
        <v>18</v>
      </c>
      <c r="H10" s="368">
        <f>計分版!H362</f>
        <v>2.0999999999999998E-9</v>
      </c>
      <c r="I10" s="469">
        <f>IF(I$1="差距(Median)",H10-F10,IF(I$1="差距(UQ)",H10-#REF!,IF(I$1="差距(LQ)",H10-G10)))</f>
        <v>-19.999999997900002</v>
      </c>
      <c r="J10" s="470">
        <f>IF(I$1="差距(Median)",(H10-F10)/H10,IF(I$1="差距(UQ)",(H10-#REF!)/H10,IF(I$1="差距(LQ)",(H10-G10)/H10)))</f>
        <v>-9523809522.8095264</v>
      </c>
      <c r="K10" s="365">
        <f>入學要求!C350</f>
        <v>45</v>
      </c>
      <c r="L10" s="379">
        <f>入學要求!R350</f>
        <v>0</v>
      </c>
      <c r="M10" s="15"/>
      <c r="N10" s="465">
        <f>入學要求!D350</f>
        <v>3</v>
      </c>
      <c r="O10" s="465">
        <f>入學要求!E350</f>
        <v>3</v>
      </c>
      <c r="P10" s="465">
        <f>入學要求!F350</f>
        <v>2</v>
      </c>
      <c r="Q10" s="465">
        <f>入學要求!G350</f>
        <v>2</v>
      </c>
      <c r="R10" s="465">
        <f>入學要求!H350</f>
        <v>2</v>
      </c>
      <c r="S10" s="576"/>
      <c r="T10" s="365" cm="1">
        <f t="array" ref="T10">IFERROR(INDEX('Offer Statistics'!FC$2:FC$145,MATCH(1,($A10='Offer Statistics'!$EN$2:$EN$145)*($S$2='Offer Statistics'!$EO$2:$EO$145),0)),"/")</f>
        <v>89</v>
      </c>
      <c r="U10" s="375" cm="1">
        <f t="array" ref="U10">IFERROR(INDEX('Offer Statistics'!EX$2:EX$145,MATCH(1,($A10='Offer Statistics'!$EN$2:$EN$145)*($S$2='Offer Statistics'!$EO$2:$EO$145),0)),"/")</f>
        <v>53</v>
      </c>
      <c r="V10" s="375" cm="1">
        <f t="array" ref="V10">IFERROR(INDEX('Offer Statistics'!EY$2:EY$145,MATCH(1,($A10='Offer Statistics'!$EN$2:$EN$145)*($S$2='Offer Statistics'!$EO$2:$EO$145),0)),"/")</f>
        <v>16</v>
      </c>
      <c r="W10" s="375" cm="1">
        <f t="array" ref="W10">IFERROR(INDEX('Offer Statistics'!EZ$2:EZ$145,MATCH(1,($A10='Offer Statistics'!$EN$2:$EN$145)*($S$2='Offer Statistics'!$EO$2:$EO$145),0)),"/")</f>
        <v>9</v>
      </c>
      <c r="X10" s="375" cm="1">
        <f t="array" ref="X10">IFERROR(INDEX('Offer Statistics'!FA$2:FA$145,MATCH(1,($A10='Offer Statistics'!$EN$2:$EN$145)*($S$2='Offer Statistics'!$EO$2:$EO$145),0)),"/")</f>
        <v>7</v>
      </c>
      <c r="Y10" s="375" cm="1">
        <f t="array" ref="Y10">IFERROR(INDEX('Offer Statistics'!FB$2:FB$145,MATCH(1,($A10='Offer Statistics'!$EN$2:$EN$145)*($S$2='Offer Statistics'!$EO$2:$EO$145),0)),"/")</f>
        <v>4</v>
      </c>
      <c r="Z10" s="580"/>
      <c r="AA10" s="365" cm="1">
        <f t="array" ref="AA10">IFERROR(INDEX('Offer Statistics'!EU$2:EU$145,MATCH(1,($A10='Offer Statistics'!$EN$2:$EN$145)*($S$2='Offer Statistics'!$EO$2:$EO$145),0)),"/")</f>
        <v>1416</v>
      </c>
      <c r="AB10" s="375" cm="1">
        <f t="array" ref="AB10">IFERROR(INDEX('Offer Statistics'!EP$2:EP$145,MATCH(1,($A10='Offer Statistics'!$EN$2:$EN$145)*($S$2='Offer Statistics'!$EO$2:$EO$145),0)),"/")</f>
        <v>129</v>
      </c>
      <c r="AC10" s="375" cm="1">
        <f t="array" ref="AC10">IFERROR(INDEX('Offer Statistics'!EQ$2:EQ$145,MATCH(1,($A10='Offer Statistics'!$EN$2:$EN$145)*($S$2='Offer Statistics'!$EO$2:$EO$145),0)),"/")</f>
        <v>204</v>
      </c>
      <c r="AD10" s="375" cm="1">
        <f t="array" ref="AD10">IFERROR(INDEX('Offer Statistics'!ER$2:ER$145,MATCH(1,($A10='Offer Statistics'!$EN$2:$EN$145)*($S$2='Offer Statistics'!$EO$2:$EO$145),0)),"/")</f>
        <v>283</v>
      </c>
      <c r="AE10" s="375" cm="1">
        <f t="array" ref="AE10">IFERROR(INDEX('Offer Statistics'!ES$2:ES$145,MATCH(1,($A10='Offer Statistics'!$EN$2:$EN$145)*($S$2='Offer Statistics'!$EO$2:$EO$145),0)),"/")</f>
        <v>363</v>
      </c>
      <c r="AF10" s="375" cm="1">
        <f t="array" ref="AF10">IFERROR(INDEX('Offer Statistics'!ET$2:ET$145,MATCH(1,($A10='Offer Statistics'!$EN$2:$EN$145)*($S$2='Offer Statistics'!$EO$2:$EO$145),0)),"/")</f>
        <v>437</v>
      </c>
      <c r="AG10" s="15"/>
      <c r="AH10" s="354" t="str">
        <f t="shared" si="0"/>
        <v>JS9013</v>
      </c>
    </row>
    <row r="11" spans="1:34" ht="18" customHeight="1" x14ac:dyDescent="0.3">
      <c r="A11" s="346" t="str">
        <f>'Reference Score Calculation'!A342</f>
        <v>JS9016</v>
      </c>
      <c r="B11" s="346" t="str">
        <f>'Reference Score Calculation'!C342</f>
        <v>人文社會科學院</v>
      </c>
      <c r="C11" s="346" t="str">
        <f>'Reference Score Calculation'!D342</f>
        <v>創意廣告及媒體設計榮譽文學士</v>
      </c>
      <c r="D11" s="4" t="s">
        <v>1606</v>
      </c>
      <c r="E11" s="365" t="str">
        <f>'Reference Score Calculation'!E342</f>
        <v>4C1X</v>
      </c>
      <c r="F11" s="347">
        <f>'Reference Score Calculation'!G342</f>
        <v>20</v>
      </c>
      <c r="G11" s="347">
        <f>'Reference Score Calculation'!H342</f>
        <v>19</v>
      </c>
      <c r="H11" s="368">
        <f>計分版!H363</f>
        <v>2.0999999999999998E-9</v>
      </c>
      <c r="I11" s="469">
        <f>IF(I$1="差距(Median)",H11-F11,IF(I$1="差距(UQ)",H11-#REF!,IF(I$1="差距(LQ)",H11-G11)))</f>
        <v>-19.999999997900002</v>
      </c>
      <c r="J11" s="470">
        <f>IF(I$1="差距(Median)",(H11-F11)/H11,IF(I$1="差距(UQ)",(H11-#REF!)/H11,IF(I$1="差距(LQ)",(H11-G11)/H11)))</f>
        <v>-9523809522.8095264</v>
      </c>
      <c r="K11" s="365">
        <f>入學要求!C351</f>
        <v>70</v>
      </c>
      <c r="L11" s="379">
        <f>入學要求!R351</f>
        <v>0</v>
      </c>
      <c r="M11" s="15"/>
      <c r="N11" s="465">
        <f>入學要求!D351</f>
        <v>3</v>
      </c>
      <c r="O11" s="465">
        <f>入學要求!E351</f>
        <v>3</v>
      </c>
      <c r="P11" s="465">
        <f>入學要求!F351</f>
        <v>2</v>
      </c>
      <c r="Q11" s="465">
        <f>入學要求!G351</f>
        <v>2</v>
      </c>
      <c r="R11" s="465">
        <f>入學要求!H351</f>
        <v>2</v>
      </c>
      <c r="S11" s="576"/>
      <c r="T11" s="365" cm="1">
        <f t="array" ref="T11">IFERROR(INDEX('Offer Statistics'!FC$2:FC$145,MATCH(1,($A11='Offer Statistics'!$EN$2:$EN$145)*($S$2='Offer Statistics'!$EO$2:$EO$145),0)),"/")</f>
        <v>148</v>
      </c>
      <c r="U11" s="375" cm="1">
        <f t="array" ref="U11">IFERROR(INDEX('Offer Statistics'!EX$2:EX$145,MATCH(1,($A11='Offer Statistics'!$EN$2:$EN$145)*($S$2='Offer Statistics'!$EO$2:$EO$145),0)),"/")</f>
        <v>75</v>
      </c>
      <c r="V11" s="375" cm="1">
        <f t="array" ref="V11">IFERROR(INDEX('Offer Statistics'!EY$2:EY$145,MATCH(1,($A11='Offer Statistics'!$EN$2:$EN$145)*($S$2='Offer Statistics'!$EO$2:$EO$145),0)),"/")</f>
        <v>28</v>
      </c>
      <c r="W11" s="375" cm="1">
        <f t="array" ref="W11">IFERROR(INDEX('Offer Statistics'!EZ$2:EZ$145,MATCH(1,($A11='Offer Statistics'!$EN$2:$EN$145)*($S$2='Offer Statistics'!$EO$2:$EO$145),0)),"/")</f>
        <v>21</v>
      </c>
      <c r="X11" s="375" cm="1">
        <f t="array" ref="X11">IFERROR(INDEX('Offer Statistics'!FA$2:FA$145,MATCH(1,($A11='Offer Statistics'!$EN$2:$EN$145)*($S$2='Offer Statistics'!$EO$2:$EO$145),0)),"/")</f>
        <v>16</v>
      </c>
      <c r="Y11" s="375" cm="1">
        <f t="array" ref="Y11">IFERROR(INDEX('Offer Statistics'!FB$2:FB$145,MATCH(1,($A11='Offer Statistics'!$EN$2:$EN$145)*($S$2='Offer Statistics'!$EO$2:$EO$145),0)),"/")</f>
        <v>8</v>
      </c>
      <c r="Z11" s="580"/>
      <c r="AA11" s="365" cm="1">
        <f t="array" ref="AA11">IFERROR(INDEX('Offer Statistics'!EU$2:EU$145,MATCH(1,($A11='Offer Statistics'!$EN$2:$EN$145)*($S$2='Offer Statistics'!$EO$2:$EO$145),0)),"/")</f>
        <v>3624</v>
      </c>
      <c r="AB11" s="375" cm="1">
        <f t="array" ref="AB11">IFERROR(INDEX('Offer Statistics'!EP$2:EP$145,MATCH(1,($A11='Offer Statistics'!$EN$2:$EN$145)*($S$2='Offer Statistics'!$EO$2:$EO$145),0)),"/")</f>
        <v>458</v>
      </c>
      <c r="AC11" s="375" cm="1">
        <f t="array" ref="AC11">IFERROR(INDEX('Offer Statistics'!EQ$2:EQ$145,MATCH(1,($A11='Offer Statistics'!$EN$2:$EN$145)*($S$2='Offer Statistics'!$EO$2:$EO$145),0)),"/")</f>
        <v>647</v>
      </c>
      <c r="AD11" s="375" cm="1">
        <f t="array" ref="AD11">IFERROR(INDEX('Offer Statistics'!ER$2:ER$145,MATCH(1,($A11='Offer Statistics'!$EN$2:$EN$145)*($S$2='Offer Statistics'!$EO$2:$EO$145),0)),"/")</f>
        <v>779</v>
      </c>
      <c r="AE11" s="375" cm="1">
        <f t="array" ref="AE11">IFERROR(INDEX('Offer Statistics'!ES$2:ES$145,MATCH(1,($A11='Offer Statistics'!$EN$2:$EN$145)*($S$2='Offer Statistics'!$EO$2:$EO$145),0)),"/")</f>
        <v>884</v>
      </c>
      <c r="AF11" s="375" cm="1">
        <f t="array" ref="AF11">IFERROR(INDEX('Offer Statistics'!ET$2:ET$145,MATCH(1,($A11='Offer Statistics'!$EN$2:$EN$145)*($S$2='Offer Statistics'!$EO$2:$EO$145),0)),"/")</f>
        <v>856</v>
      </c>
      <c r="AG11" s="15"/>
      <c r="AH11" s="354" t="str">
        <f t="shared" si="0"/>
        <v>JS9016</v>
      </c>
    </row>
    <row r="12" spans="1:34" ht="18" customHeight="1" x14ac:dyDescent="0.3">
      <c r="A12" s="346" t="str">
        <f>'Reference Score Calculation'!A343</f>
        <v>JS9019</v>
      </c>
      <c r="B12" s="346" t="str">
        <f>'Reference Score Calculation'!C343</f>
        <v>人文社會科學院</v>
      </c>
      <c r="C12" s="346" t="str">
        <f>'Reference Score Calculation'!D343</f>
        <v>英語及文化榮譽文學士</v>
      </c>
      <c r="D12" s="4" t="s">
        <v>1610</v>
      </c>
      <c r="E12" s="354" t="str">
        <f>'Reference Score Calculation'!E343</f>
        <v>4C1X</v>
      </c>
      <c r="F12" s="347">
        <f>'Reference Score Calculation'!G343</f>
        <v>14</v>
      </c>
      <c r="G12" s="347">
        <f>'Reference Score Calculation'!H343</f>
        <v>14</v>
      </c>
      <c r="H12" s="368">
        <f>計分版!H364</f>
        <v>1.9500000000000001E-9</v>
      </c>
      <c r="I12" s="469">
        <f>IF(I$1="差距(Median)",H12-F12,IF(I$1="差距(UQ)",H12-#REF!,IF(I$1="差距(LQ)",H12-G12)))</f>
        <v>-13.999999998050001</v>
      </c>
      <c r="J12" s="470">
        <f>IF(I$1="差距(Median)",(H12-F12)/H12,IF(I$1="差距(UQ)",(H12-#REF!)/H12,IF(I$1="差距(LQ)",(H12-G12)/H12)))</f>
        <v>-7179487178.4871798</v>
      </c>
      <c r="K12" s="365">
        <f>入學要求!C352</f>
        <v>20</v>
      </c>
      <c r="L12" s="379">
        <f>入學要求!R352</f>
        <v>0</v>
      </c>
      <c r="M12" s="15"/>
      <c r="N12" s="465">
        <f>入學要求!D352</f>
        <v>3</v>
      </c>
      <c r="O12" s="465">
        <f>入學要求!E352</f>
        <v>3</v>
      </c>
      <c r="P12" s="465">
        <f>入學要求!F352</f>
        <v>2</v>
      </c>
      <c r="Q12" s="465">
        <f>入學要求!G352</f>
        <v>2</v>
      </c>
      <c r="R12" s="465">
        <f>入學要求!H352</f>
        <v>2</v>
      </c>
      <c r="S12" s="576"/>
      <c r="T12" s="365" cm="1">
        <f t="array" ref="T12">IFERROR(INDEX('Offer Statistics'!FC$2:FC$145,MATCH(1,($A12='Offer Statistics'!$EN$2:$EN$145)*($S$2='Offer Statistics'!$EO$2:$EO$145),0)),"/")</f>
        <v>32</v>
      </c>
      <c r="U12" s="375" cm="1">
        <f t="array" ref="U12">IFERROR(INDEX('Offer Statistics'!EX$2:EX$145,MATCH(1,($A12='Offer Statistics'!$EN$2:$EN$145)*($S$2='Offer Statistics'!$EO$2:$EO$145),0)),"/")</f>
        <v>23</v>
      </c>
      <c r="V12" s="375" cm="1">
        <f t="array" ref="V12">IFERROR(INDEX('Offer Statistics'!EY$2:EY$145,MATCH(1,($A12='Offer Statistics'!$EN$2:$EN$145)*($S$2='Offer Statistics'!$EO$2:$EO$145),0)),"/")</f>
        <v>4</v>
      </c>
      <c r="W12" s="375" cm="1">
        <f t="array" ref="W12">IFERROR(INDEX('Offer Statistics'!EZ$2:EZ$145,MATCH(1,($A12='Offer Statistics'!$EN$2:$EN$145)*($S$2='Offer Statistics'!$EO$2:$EO$145),0)),"/")</f>
        <v>2</v>
      </c>
      <c r="X12" s="375" cm="1">
        <f t="array" ref="X12">IFERROR(INDEX('Offer Statistics'!FA$2:FA$145,MATCH(1,($A12='Offer Statistics'!$EN$2:$EN$145)*($S$2='Offer Statistics'!$EO$2:$EO$145),0)),"/")</f>
        <v>1</v>
      </c>
      <c r="Y12" s="375" cm="1">
        <f t="array" ref="Y12">IFERROR(INDEX('Offer Statistics'!FB$2:FB$145,MATCH(1,($A12='Offer Statistics'!$EN$2:$EN$145)*($S$2='Offer Statistics'!$EO$2:$EO$145),0)),"/")</f>
        <v>2</v>
      </c>
      <c r="Z12" s="580"/>
      <c r="AA12" s="365" cm="1">
        <f t="array" ref="AA12">IFERROR(INDEX('Offer Statistics'!EU$2:EU$145,MATCH(1,($A12='Offer Statistics'!$EN$2:$EN$145)*($S$2='Offer Statistics'!$EO$2:$EO$145),0)),"/")</f>
        <v>821</v>
      </c>
      <c r="AB12" s="375" cm="1">
        <f t="array" ref="AB12">IFERROR(INDEX('Offer Statistics'!EP$2:EP$145,MATCH(1,($A12='Offer Statistics'!$EN$2:$EN$145)*($S$2='Offer Statistics'!$EO$2:$EO$145),0)),"/")</f>
        <v>97</v>
      </c>
      <c r="AC12" s="375" cm="1">
        <f t="array" ref="AC12">IFERROR(INDEX('Offer Statistics'!EQ$2:EQ$145,MATCH(1,($A12='Offer Statistics'!$EN$2:$EN$145)*($S$2='Offer Statistics'!$EO$2:$EO$145),0)),"/")</f>
        <v>139</v>
      </c>
      <c r="AD12" s="375" cm="1">
        <f t="array" ref="AD12">IFERROR(INDEX('Offer Statistics'!ER$2:ER$145,MATCH(1,($A12='Offer Statistics'!$EN$2:$EN$145)*($S$2='Offer Statistics'!$EO$2:$EO$145),0)),"/")</f>
        <v>150</v>
      </c>
      <c r="AE12" s="375" cm="1">
        <f t="array" ref="AE12">IFERROR(INDEX('Offer Statistics'!ES$2:ES$145,MATCH(1,($A12='Offer Statistics'!$EN$2:$EN$145)*($S$2='Offer Statistics'!$EO$2:$EO$145),0)),"/")</f>
        <v>202</v>
      </c>
      <c r="AF12" s="375" cm="1">
        <f t="array" ref="AF12">IFERROR(INDEX('Offer Statistics'!ET$2:ET$145,MATCH(1,($A12='Offer Statistics'!$EN$2:$EN$145)*($S$2='Offer Statistics'!$EO$2:$EO$145),0)),"/")</f>
        <v>233</v>
      </c>
      <c r="AG12" s="15"/>
      <c r="AH12" s="354" t="str">
        <f t="shared" si="0"/>
        <v>JS9019</v>
      </c>
    </row>
    <row r="13" spans="1:34" ht="18" customHeight="1" x14ac:dyDescent="0.3">
      <c r="A13" s="346" t="str">
        <f>'Reference Score Calculation'!A344</f>
        <v>JS9220</v>
      </c>
      <c r="B13" s="346" t="str">
        <f>'Reference Score Calculation'!C344</f>
        <v>李兆基商業管理學院</v>
      </c>
      <c r="C13" s="346" t="str">
        <f>'Reference Score Calculation'!D344</f>
        <v>專業會計榮譽工商管理學士</v>
      </c>
      <c r="D13" s="4" t="s">
        <v>1614</v>
      </c>
      <c r="E13" s="354" t="str">
        <f>'Reference Score Calculation'!E344</f>
        <v>4C1X</v>
      </c>
      <c r="F13" s="347">
        <f>'Reference Score Calculation'!G344</f>
        <v>17</v>
      </c>
      <c r="G13" s="347">
        <f>'Reference Score Calculation'!H344</f>
        <v>16</v>
      </c>
      <c r="H13" s="368">
        <f>計分版!H365</f>
        <v>1.9500000000000001E-9</v>
      </c>
      <c r="I13" s="469">
        <f>IF(I$1="差距(Median)",H13-F13,IF(I$1="差距(UQ)",H13-#REF!,IF(I$1="差距(LQ)",H13-G13)))</f>
        <v>-16.999999998050001</v>
      </c>
      <c r="J13" s="470">
        <f>IF(I$1="差距(Median)",(H13-F13)/H13,IF(I$1="差距(UQ)",(H13-#REF!)/H13,IF(I$1="差距(LQ)",(H13-G13)/H13)))</f>
        <v>-8717948716.9487171</v>
      </c>
      <c r="K13" s="365">
        <f>入學要求!C353</f>
        <v>40</v>
      </c>
      <c r="L13" s="379">
        <f>入學要求!R353</f>
        <v>0</v>
      </c>
      <c r="M13" s="15"/>
      <c r="N13" s="465">
        <f>入學要求!D353</f>
        <v>3</v>
      </c>
      <c r="O13" s="465">
        <f>入學要求!E353</f>
        <v>3</v>
      </c>
      <c r="P13" s="465">
        <f>入學要求!F353</f>
        <v>2</v>
      </c>
      <c r="Q13" s="465">
        <f>入學要求!G353</f>
        <v>2</v>
      </c>
      <c r="R13" s="465">
        <f>入學要求!H353</f>
        <v>2</v>
      </c>
      <c r="S13" s="576"/>
      <c r="T13" s="365" cm="1">
        <f t="array" ref="T13">IFERROR(INDEX('Offer Statistics'!FC$2:FC$145,MATCH(1,($A13='Offer Statistics'!$EN$2:$EN$145)*($S$2='Offer Statistics'!$EO$2:$EO$145),0)),"/")</f>
        <v>69</v>
      </c>
      <c r="U13" s="375" cm="1">
        <f t="array" ref="U13">IFERROR(INDEX('Offer Statistics'!EX$2:EX$145,MATCH(1,($A13='Offer Statistics'!$EN$2:$EN$145)*($S$2='Offer Statistics'!$EO$2:$EO$145),0)),"/")</f>
        <v>41</v>
      </c>
      <c r="V13" s="375" cm="1">
        <f t="array" ref="V13">IFERROR(INDEX('Offer Statistics'!EY$2:EY$145,MATCH(1,($A13='Offer Statistics'!$EN$2:$EN$145)*($S$2='Offer Statistics'!$EO$2:$EO$145),0)),"/")</f>
        <v>14</v>
      </c>
      <c r="W13" s="375" cm="1">
        <f t="array" ref="W13">IFERROR(INDEX('Offer Statistics'!EZ$2:EZ$145,MATCH(1,($A13='Offer Statistics'!$EN$2:$EN$145)*($S$2='Offer Statistics'!$EO$2:$EO$145),0)),"/")</f>
        <v>7</v>
      </c>
      <c r="X13" s="375" cm="1">
        <f t="array" ref="X13">IFERROR(INDEX('Offer Statistics'!FA$2:FA$145,MATCH(1,($A13='Offer Statistics'!$EN$2:$EN$145)*($S$2='Offer Statistics'!$EO$2:$EO$145),0)),"/")</f>
        <v>3</v>
      </c>
      <c r="Y13" s="375" cm="1">
        <f t="array" ref="Y13">IFERROR(INDEX('Offer Statistics'!FB$2:FB$145,MATCH(1,($A13='Offer Statistics'!$EN$2:$EN$145)*($S$2='Offer Statistics'!$EO$2:$EO$145),0)),"/")</f>
        <v>4</v>
      </c>
      <c r="Z13" s="580"/>
      <c r="AA13" s="365" cm="1">
        <f t="array" ref="AA13">IFERROR(INDEX('Offer Statistics'!EU$2:EU$145,MATCH(1,($A13='Offer Statistics'!$EN$2:$EN$145)*($S$2='Offer Statistics'!$EO$2:$EO$145),0)),"/")</f>
        <v>1569</v>
      </c>
      <c r="AB13" s="375" cm="1">
        <f t="array" ref="AB13">IFERROR(INDEX('Offer Statistics'!EP$2:EP$145,MATCH(1,($A13='Offer Statistics'!$EN$2:$EN$145)*($S$2='Offer Statistics'!$EO$2:$EO$145),0)),"/")</f>
        <v>189</v>
      </c>
      <c r="AC13" s="375" cm="1">
        <f t="array" ref="AC13">IFERROR(INDEX('Offer Statistics'!EQ$2:EQ$145,MATCH(1,($A13='Offer Statistics'!$EN$2:$EN$145)*($S$2='Offer Statistics'!$EO$2:$EO$145),0)),"/")</f>
        <v>234</v>
      </c>
      <c r="AD13" s="375" cm="1">
        <f t="array" ref="AD13">IFERROR(INDEX('Offer Statistics'!ER$2:ER$145,MATCH(1,($A13='Offer Statistics'!$EN$2:$EN$145)*($S$2='Offer Statistics'!$EO$2:$EO$145),0)),"/")</f>
        <v>301</v>
      </c>
      <c r="AE13" s="375" cm="1">
        <f t="array" ref="AE13">IFERROR(INDEX('Offer Statistics'!ES$2:ES$145,MATCH(1,($A13='Offer Statistics'!$EN$2:$EN$145)*($S$2='Offer Statistics'!$EO$2:$EO$145),0)),"/")</f>
        <v>396</v>
      </c>
      <c r="AF13" s="375" cm="1">
        <f t="array" ref="AF13">IFERROR(INDEX('Offer Statistics'!ET$2:ET$145,MATCH(1,($A13='Offer Statistics'!$EN$2:$EN$145)*($S$2='Offer Statistics'!$EO$2:$EO$145),0)),"/")</f>
        <v>449</v>
      </c>
      <c r="AG13" s="15"/>
      <c r="AH13" s="354" t="str">
        <f t="shared" si="0"/>
        <v>JS9220</v>
      </c>
    </row>
    <row r="14" spans="1:34" ht="18" customHeight="1" x14ac:dyDescent="0.3">
      <c r="A14" s="346" t="str">
        <f>'Reference Score Calculation'!A345</f>
        <v>JS9222</v>
      </c>
      <c r="B14" s="346" t="str">
        <f>'Reference Score Calculation'!C345</f>
        <v>李兆基商業管理學院</v>
      </c>
      <c r="C14" s="346" t="str">
        <f>'Reference Score Calculation'!D345</f>
        <v>會計及稅務學榮譽工商管理學士</v>
      </c>
      <c r="D14" s="4" t="s">
        <v>1618</v>
      </c>
      <c r="E14" s="354" t="str">
        <f>'Reference Score Calculation'!E345</f>
        <v>4C1X</v>
      </c>
      <c r="F14" s="347">
        <f>'Reference Score Calculation'!G345</f>
        <v>17</v>
      </c>
      <c r="G14" s="347">
        <f>'Reference Score Calculation'!H345</f>
        <v>17</v>
      </c>
      <c r="H14" s="368">
        <f>計分版!H366</f>
        <v>1.9500000000000001E-9</v>
      </c>
      <c r="I14" s="469">
        <f>IF(I$1="差距(Median)",H14-F14,IF(I$1="差距(UQ)",H14-#REF!,IF(I$1="差距(LQ)",H14-G14)))</f>
        <v>-16.999999998050001</v>
      </c>
      <c r="J14" s="470">
        <f>IF(I$1="差距(Median)",(H14-F14)/H14,IF(I$1="差距(UQ)",(H14-#REF!)/H14,IF(I$1="差距(LQ)",(H14-G14)/H14)))</f>
        <v>-8717948716.9487171</v>
      </c>
      <c r="K14" s="365">
        <f>入學要求!C354</f>
        <v>20</v>
      </c>
      <c r="L14" s="379">
        <f>入學要求!R354</f>
        <v>0</v>
      </c>
      <c r="M14" s="15"/>
      <c r="N14" s="465">
        <f>入學要求!D354</f>
        <v>3</v>
      </c>
      <c r="O14" s="465">
        <f>入學要求!E354</f>
        <v>3</v>
      </c>
      <c r="P14" s="465">
        <f>入學要求!F354</f>
        <v>2</v>
      </c>
      <c r="Q14" s="465">
        <f>入學要求!G354</f>
        <v>2</v>
      </c>
      <c r="R14" s="465">
        <f>入學要求!H354</f>
        <v>2</v>
      </c>
      <c r="S14" s="576"/>
      <c r="T14" s="365" cm="1">
        <f t="array" ref="T14">IFERROR(INDEX('Offer Statistics'!FC$2:FC$145,MATCH(1,($A14='Offer Statistics'!$EN$2:$EN$145)*($S$2='Offer Statistics'!$EO$2:$EO$145),0)),"/")</f>
        <v>14</v>
      </c>
      <c r="U14" s="375" cm="1">
        <f t="array" ref="U14">IFERROR(INDEX('Offer Statistics'!EX$2:EX$145,MATCH(1,($A14='Offer Statistics'!$EN$2:$EN$145)*($S$2='Offer Statistics'!$EO$2:$EO$145),0)),"/")</f>
        <v>7</v>
      </c>
      <c r="V14" s="375" cm="1">
        <f t="array" ref="V14">IFERROR(INDEX('Offer Statistics'!EY$2:EY$145,MATCH(1,($A14='Offer Statistics'!$EN$2:$EN$145)*($S$2='Offer Statistics'!$EO$2:$EO$145),0)),"/")</f>
        <v>1</v>
      </c>
      <c r="W14" s="375" cm="1">
        <f t="array" ref="W14">IFERROR(INDEX('Offer Statistics'!EZ$2:EZ$145,MATCH(1,($A14='Offer Statistics'!$EN$2:$EN$145)*($S$2='Offer Statistics'!$EO$2:$EO$145),0)),"/")</f>
        <v>4</v>
      </c>
      <c r="X14" s="375" cm="1">
        <f t="array" ref="X14">IFERROR(INDEX('Offer Statistics'!FA$2:FA$145,MATCH(1,($A14='Offer Statistics'!$EN$2:$EN$145)*($S$2='Offer Statistics'!$EO$2:$EO$145),0)),"/")</f>
        <v>2</v>
      </c>
      <c r="Y14" s="375" cm="1">
        <f t="array" ref="Y14">IFERROR(INDEX('Offer Statistics'!FB$2:FB$145,MATCH(1,($A14='Offer Statistics'!$EN$2:$EN$145)*($S$2='Offer Statistics'!$EO$2:$EO$145),0)),"/")</f>
        <v>0</v>
      </c>
      <c r="Z14" s="580"/>
      <c r="AA14" s="365" cm="1">
        <f t="array" ref="AA14">IFERROR(INDEX('Offer Statistics'!EU$2:EU$145,MATCH(1,($A14='Offer Statistics'!$EN$2:$EN$145)*($S$2='Offer Statistics'!$EO$2:$EO$145),0)),"/")</f>
        <v>1170</v>
      </c>
      <c r="AB14" s="375" cm="1">
        <f t="array" ref="AB14">IFERROR(INDEX('Offer Statistics'!EP$2:EP$145,MATCH(1,($A14='Offer Statistics'!$EN$2:$EN$145)*($S$2='Offer Statistics'!$EO$2:$EO$145),0)),"/")</f>
        <v>73</v>
      </c>
      <c r="AC14" s="375" cm="1">
        <f t="array" ref="AC14">IFERROR(INDEX('Offer Statistics'!EQ$2:EQ$145,MATCH(1,($A14='Offer Statistics'!$EN$2:$EN$145)*($S$2='Offer Statistics'!$EO$2:$EO$145),0)),"/")</f>
        <v>159</v>
      </c>
      <c r="AD14" s="375" cm="1">
        <f t="array" ref="AD14">IFERROR(INDEX('Offer Statistics'!ER$2:ER$145,MATCH(1,($A14='Offer Statistics'!$EN$2:$EN$145)*($S$2='Offer Statistics'!$EO$2:$EO$145),0)),"/")</f>
        <v>239</v>
      </c>
      <c r="AE14" s="375" cm="1">
        <f t="array" ref="AE14">IFERROR(INDEX('Offer Statistics'!ES$2:ES$145,MATCH(1,($A14='Offer Statistics'!$EN$2:$EN$145)*($S$2='Offer Statistics'!$EO$2:$EO$145),0)),"/")</f>
        <v>301</v>
      </c>
      <c r="AF14" s="375" cm="1">
        <f t="array" ref="AF14">IFERROR(INDEX('Offer Statistics'!ET$2:ET$145,MATCH(1,($A14='Offer Statistics'!$EN$2:$EN$145)*($S$2='Offer Statistics'!$EO$2:$EO$145),0)),"/")</f>
        <v>398</v>
      </c>
      <c r="AG14" s="15"/>
      <c r="AH14" s="354" t="str">
        <f t="shared" si="0"/>
        <v>JS9222</v>
      </c>
    </row>
    <row r="15" spans="1:34" ht="18" customHeight="1" x14ac:dyDescent="0.3">
      <c r="A15" s="346" t="str">
        <f>'Reference Score Calculation'!A346</f>
        <v>JS9230</v>
      </c>
      <c r="B15" s="346" t="str">
        <f>'Reference Score Calculation'!C346</f>
        <v>李兆基商業管理學院</v>
      </c>
      <c r="C15" s="346" t="str">
        <f>'Reference Score Calculation'!D346</f>
        <v>商業管理學榮譽工商管理學士</v>
      </c>
      <c r="D15" s="4" t="s">
        <v>1622</v>
      </c>
      <c r="E15" s="354" t="str">
        <f>'Reference Score Calculation'!E346</f>
        <v>4C1X</v>
      </c>
      <c r="F15" s="347">
        <f>'Reference Score Calculation'!G346</f>
        <v>16</v>
      </c>
      <c r="G15" s="347">
        <f>'Reference Score Calculation'!H346</f>
        <v>15</v>
      </c>
      <c r="H15" s="368">
        <f>計分版!H367</f>
        <v>1.9500000000000001E-9</v>
      </c>
      <c r="I15" s="469">
        <f>IF(I$1="差距(Median)",H15-F15,IF(I$1="差距(UQ)",H15-#REF!,IF(I$1="差距(LQ)",H15-G15)))</f>
        <v>-15.999999998050001</v>
      </c>
      <c r="J15" s="470">
        <f>IF(I$1="差距(Median)",(H15-F15)/H15,IF(I$1="差距(UQ)",(H15-#REF!)/H15,IF(I$1="差距(LQ)",(H15-G15)/H15)))</f>
        <v>-8205128204.1282053</v>
      </c>
      <c r="K15" s="365">
        <f>入學要求!C355</f>
        <v>40</v>
      </c>
      <c r="L15" s="379">
        <f>入學要求!R355</f>
        <v>0</v>
      </c>
      <c r="M15" s="15"/>
      <c r="N15" s="465">
        <f>入學要求!D355</f>
        <v>3</v>
      </c>
      <c r="O15" s="465">
        <f>入學要求!E355</f>
        <v>3</v>
      </c>
      <c r="P15" s="465">
        <f>入學要求!F355</f>
        <v>2</v>
      </c>
      <c r="Q15" s="465">
        <f>入學要求!G355</f>
        <v>2</v>
      </c>
      <c r="R15" s="465">
        <f>入學要求!H355</f>
        <v>2</v>
      </c>
      <c r="S15" s="576"/>
      <c r="T15" s="365" cm="1">
        <f t="array" ref="T15">IFERROR(INDEX('Offer Statistics'!FC$2:FC$145,MATCH(1,($A15='Offer Statistics'!$EN$2:$EN$145)*($S$2='Offer Statistics'!$EO$2:$EO$145),0)),"/")</f>
        <v>88</v>
      </c>
      <c r="U15" s="375" cm="1">
        <f t="array" ref="U15">IFERROR(INDEX('Offer Statistics'!EX$2:EX$145,MATCH(1,($A15='Offer Statistics'!$EN$2:$EN$145)*($S$2='Offer Statistics'!$EO$2:$EO$145),0)),"/")</f>
        <v>42</v>
      </c>
      <c r="V15" s="375" cm="1">
        <f t="array" ref="V15">IFERROR(INDEX('Offer Statistics'!EY$2:EY$145,MATCH(1,($A15='Offer Statistics'!$EN$2:$EN$145)*($S$2='Offer Statistics'!$EO$2:$EO$145),0)),"/")</f>
        <v>16</v>
      </c>
      <c r="W15" s="375" cm="1">
        <f t="array" ref="W15">IFERROR(INDEX('Offer Statistics'!EZ$2:EZ$145,MATCH(1,($A15='Offer Statistics'!$EN$2:$EN$145)*($S$2='Offer Statistics'!$EO$2:$EO$145),0)),"/")</f>
        <v>7</v>
      </c>
      <c r="X15" s="375" cm="1">
        <f t="array" ref="X15">IFERROR(INDEX('Offer Statistics'!FA$2:FA$145,MATCH(1,($A15='Offer Statistics'!$EN$2:$EN$145)*($S$2='Offer Statistics'!$EO$2:$EO$145),0)),"/")</f>
        <v>14</v>
      </c>
      <c r="Y15" s="375" cm="1">
        <f t="array" ref="Y15">IFERROR(INDEX('Offer Statistics'!FB$2:FB$145,MATCH(1,($A15='Offer Statistics'!$EN$2:$EN$145)*($S$2='Offer Statistics'!$EO$2:$EO$145),0)),"/")</f>
        <v>9</v>
      </c>
      <c r="Z15" s="580"/>
      <c r="AA15" s="365" cm="1">
        <f t="array" ref="AA15">IFERROR(INDEX('Offer Statistics'!EU$2:EU$145,MATCH(1,($A15='Offer Statistics'!$EN$2:$EN$145)*($S$2='Offer Statistics'!$EO$2:$EO$145),0)),"/")</f>
        <v>3250</v>
      </c>
      <c r="AB15" s="375" cm="1">
        <f t="array" ref="AB15">IFERROR(INDEX('Offer Statistics'!EP$2:EP$145,MATCH(1,($A15='Offer Statistics'!$EN$2:$EN$145)*($S$2='Offer Statistics'!$EO$2:$EO$145),0)),"/")</f>
        <v>360</v>
      </c>
      <c r="AC15" s="375" cm="1">
        <f t="array" ref="AC15">IFERROR(INDEX('Offer Statistics'!EQ$2:EQ$145,MATCH(1,($A15='Offer Statistics'!$EN$2:$EN$145)*($S$2='Offer Statistics'!$EO$2:$EO$145),0)),"/")</f>
        <v>542</v>
      </c>
      <c r="AD15" s="375" cm="1">
        <f t="array" ref="AD15">IFERROR(INDEX('Offer Statistics'!ER$2:ER$145,MATCH(1,($A15='Offer Statistics'!$EN$2:$EN$145)*($S$2='Offer Statistics'!$EO$2:$EO$145),0)),"/")</f>
        <v>607</v>
      </c>
      <c r="AE15" s="375" cm="1">
        <f t="array" ref="AE15">IFERROR(INDEX('Offer Statistics'!ES$2:ES$145,MATCH(1,($A15='Offer Statistics'!$EN$2:$EN$145)*($S$2='Offer Statistics'!$EO$2:$EO$145),0)),"/")</f>
        <v>784</v>
      </c>
      <c r="AF15" s="375" cm="1">
        <f t="array" ref="AF15">IFERROR(INDEX('Offer Statistics'!ET$2:ET$145,MATCH(1,($A15='Offer Statistics'!$EN$2:$EN$145)*($S$2='Offer Statistics'!$EO$2:$EO$145),0)),"/")</f>
        <v>957</v>
      </c>
      <c r="AG15" s="15"/>
      <c r="AH15" s="354" t="str">
        <f t="shared" si="0"/>
        <v>JS9230</v>
      </c>
    </row>
    <row r="16" spans="1:34" ht="18" customHeight="1" x14ac:dyDescent="0.3">
      <c r="A16" s="346" t="str">
        <f>'Reference Score Calculation'!A347</f>
        <v>JS9240</v>
      </c>
      <c r="B16" s="346" t="str">
        <f>'Reference Score Calculation'!C347</f>
        <v>李兆基商業管理學院</v>
      </c>
      <c r="C16" s="346" t="str">
        <f>'Reference Score Calculation'!D347</f>
        <v>環球商業及市場學榮譽工商管理學士</v>
      </c>
      <c r="D16" s="4" t="s">
        <v>1626</v>
      </c>
      <c r="E16" s="354" t="str">
        <f>'Reference Score Calculation'!E347</f>
        <v>4C1X</v>
      </c>
      <c r="F16" s="347">
        <f>'Reference Score Calculation'!G347</f>
        <v>17</v>
      </c>
      <c r="G16" s="347">
        <f>'Reference Score Calculation'!H347</f>
        <v>16</v>
      </c>
      <c r="H16" s="368">
        <f>計分版!H368</f>
        <v>1.9500000000000001E-9</v>
      </c>
      <c r="I16" s="469">
        <f>IF(I$1="差距(Median)",H16-F16,IF(I$1="差距(UQ)",H16-#REF!,IF(I$1="差距(LQ)",H16-G16)))</f>
        <v>-16.999999998050001</v>
      </c>
      <c r="J16" s="470">
        <f>IF(I$1="差距(Median)",(H16-F16)/H16,IF(I$1="差距(UQ)",(H16-#REF!)/H16,IF(I$1="差距(LQ)",(H16-G16)/H16)))</f>
        <v>-8717948716.9487171</v>
      </c>
      <c r="K16" s="365">
        <f>入學要求!C356</f>
        <v>40</v>
      </c>
      <c r="L16" s="379">
        <f>入學要求!R356</f>
        <v>0</v>
      </c>
      <c r="M16" s="15"/>
      <c r="N16" s="465">
        <f>入學要求!D356</f>
        <v>3</v>
      </c>
      <c r="O16" s="465">
        <f>入學要求!E356</f>
        <v>3</v>
      </c>
      <c r="P16" s="465">
        <f>入學要求!F356</f>
        <v>2</v>
      </c>
      <c r="Q16" s="465">
        <f>入學要求!G356</f>
        <v>2</v>
      </c>
      <c r="R16" s="465">
        <f>入學要求!H356</f>
        <v>2</v>
      </c>
      <c r="S16" s="576"/>
      <c r="T16" s="365" cm="1">
        <f t="array" ref="T16">IFERROR(INDEX('Offer Statistics'!FC$2:FC$145,MATCH(1,($A16='Offer Statistics'!$EN$2:$EN$145)*($S$2='Offer Statistics'!$EO$2:$EO$145),0)),"/")</f>
        <v>88</v>
      </c>
      <c r="U16" s="375" cm="1">
        <f t="array" ref="U16">IFERROR(INDEX('Offer Statistics'!EX$2:EX$145,MATCH(1,($A16='Offer Statistics'!$EN$2:$EN$145)*($S$2='Offer Statistics'!$EO$2:$EO$145),0)),"/")</f>
        <v>45</v>
      </c>
      <c r="V16" s="375" cm="1">
        <f t="array" ref="V16">IFERROR(INDEX('Offer Statistics'!EY$2:EY$145,MATCH(1,($A16='Offer Statistics'!$EN$2:$EN$145)*($S$2='Offer Statistics'!$EO$2:$EO$145),0)),"/")</f>
        <v>13</v>
      </c>
      <c r="W16" s="375" cm="1">
        <f t="array" ref="W16">IFERROR(INDEX('Offer Statistics'!EZ$2:EZ$145,MATCH(1,($A16='Offer Statistics'!$EN$2:$EN$145)*($S$2='Offer Statistics'!$EO$2:$EO$145),0)),"/")</f>
        <v>12</v>
      </c>
      <c r="X16" s="375" cm="1">
        <f t="array" ref="X16">IFERROR(INDEX('Offer Statistics'!FA$2:FA$145,MATCH(1,($A16='Offer Statistics'!$EN$2:$EN$145)*($S$2='Offer Statistics'!$EO$2:$EO$145),0)),"/")</f>
        <v>8</v>
      </c>
      <c r="Y16" s="375" cm="1">
        <f t="array" ref="Y16">IFERROR(INDEX('Offer Statistics'!FB$2:FB$145,MATCH(1,($A16='Offer Statistics'!$EN$2:$EN$145)*($S$2='Offer Statistics'!$EO$2:$EO$145),0)),"/")</f>
        <v>10</v>
      </c>
      <c r="Z16" s="580"/>
      <c r="AA16" s="365" cm="1">
        <f t="array" ref="AA16">IFERROR(INDEX('Offer Statistics'!EU$2:EU$145,MATCH(1,($A16='Offer Statistics'!$EN$2:$EN$145)*($S$2='Offer Statistics'!$EO$2:$EO$145),0)),"/")</f>
        <v>2328</v>
      </c>
      <c r="AB16" s="375" cm="1">
        <f t="array" ref="AB16">IFERROR(INDEX('Offer Statistics'!EP$2:EP$145,MATCH(1,($A16='Offer Statistics'!$EN$2:$EN$145)*($S$2='Offer Statistics'!$EO$2:$EO$145),0)),"/")</f>
        <v>216</v>
      </c>
      <c r="AC16" s="375" cm="1">
        <f t="array" ref="AC16">IFERROR(INDEX('Offer Statistics'!EQ$2:EQ$145,MATCH(1,($A16='Offer Statistics'!$EN$2:$EN$145)*($S$2='Offer Statistics'!$EO$2:$EO$145),0)),"/")</f>
        <v>384</v>
      </c>
      <c r="AD16" s="375" cm="1">
        <f t="array" ref="AD16">IFERROR(INDEX('Offer Statistics'!ER$2:ER$145,MATCH(1,($A16='Offer Statistics'!$EN$2:$EN$145)*($S$2='Offer Statistics'!$EO$2:$EO$145),0)),"/")</f>
        <v>432</v>
      </c>
      <c r="AE16" s="375" cm="1">
        <f t="array" ref="AE16">IFERROR(INDEX('Offer Statistics'!ES$2:ES$145,MATCH(1,($A16='Offer Statistics'!$EN$2:$EN$145)*($S$2='Offer Statistics'!$EO$2:$EO$145),0)),"/")</f>
        <v>587</v>
      </c>
      <c r="AF16" s="375" cm="1">
        <f t="array" ref="AF16">IFERROR(INDEX('Offer Statistics'!ET$2:ET$145,MATCH(1,($A16='Offer Statistics'!$EN$2:$EN$145)*($S$2='Offer Statistics'!$EO$2:$EO$145),0)),"/")</f>
        <v>709</v>
      </c>
      <c r="AG16" s="15"/>
      <c r="AH16" s="354" t="str">
        <f t="shared" si="0"/>
        <v>JS9240</v>
      </c>
    </row>
    <row r="17" spans="1:34" ht="18" customHeight="1" x14ac:dyDescent="0.3">
      <c r="A17" s="346" t="str">
        <f>'Reference Score Calculation'!A348</f>
        <v>JS9250</v>
      </c>
      <c r="B17" s="346" t="str">
        <f>'Reference Score Calculation'!C348</f>
        <v>李兆基商業管理學院</v>
      </c>
      <c r="C17" s="346" t="str">
        <f>'Reference Score Calculation'!D348</f>
        <v>企業管治榮譽工商管理學士</v>
      </c>
      <c r="D17" s="4" t="s">
        <v>1630</v>
      </c>
      <c r="E17" s="354" t="str">
        <f>'Reference Score Calculation'!E348</f>
        <v>4C1X</v>
      </c>
      <c r="F17" s="347">
        <f>'Reference Score Calculation'!G348</f>
        <v>17</v>
      </c>
      <c r="G17" s="347">
        <f>'Reference Score Calculation'!H348</f>
        <v>17</v>
      </c>
      <c r="H17" s="368">
        <f>計分版!H369</f>
        <v>1.9500000000000001E-9</v>
      </c>
      <c r="I17" s="469">
        <f>IF(I$1="差距(Median)",H17-F17,IF(I$1="差距(UQ)",H17-#REF!,IF(I$1="差距(LQ)",H17-G17)))</f>
        <v>-16.999999998050001</v>
      </c>
      <c r="J17" s="470">
        <f>IF(I$1="差距(Median)",(H17-F17)/H17,IF(I$1="差距(UQ)",(H17-#REF!)/H17,IF(I$1="差距(LQ)",(H17-G17)/H17)))</f>
        <v>-8717948716.9487171</v>
      </c>
      <c r="K17" s="365">
        <f>入學要求!C357</f>
        <v>10</v>
      </c>
      <c r="L17" s="379">
        <f>入學要求!R357</f>
        <v>0</v>
      </c>
      <c r="M17" s="15"/>
      <c r="N17" s="465">
        <f>入學要求!D357</f>
        <v>3</v>
      </c>
      <c r="O17" s="465">
        <f>入學要求!E357</f>
        <v>3</v>
      </c>
      <c r="P17" s="465">
        <f>入學要求!F357</f>
        <v>2</v>
      </c>
      <c r="Q17" s="465">
        <f>入學要求!G357</f>
        <v>2</v>
      </c>
      <c r="R17" s="465">
        <f>入學要求!H357</f>
        <v>2</v>
      </c>
      <c r="S17" s="576"/>
      <c r="T17" s="365" cm="1">
        <f t="array" ref="T17">IFERROR(INDEX('Offer Statistics'!FC$2:FC$145,MATCH(1,($A17='Offer Statistics'!$EN$2:$EN$145)*($S$2='Offer Statistics'!$EO$2:$EO$145),0)),"/")</f>
        <v>9</v>
      </c>
      <c r="U17" s="375" cm="1">
        <f t="array" ref="U17">IFERROR(INDEX('Offer Statistics'!EX$2:EX$145,MATCH(1,($A17='Offer Statistics'!$EN$2:$EN$145)*($S$2='Offer Statistics'!$EO$2:$EO$145),0)),"/")</f>
        <v>5</v>
      </c>
      <c r="V17" s="375" cm="1">
        <f t="array" ref="V17">IFERROR(INDEX('Offer Statistics'!EY$2:EY$145,MATCH(1,($A17='Offer Statistics'!$EN$2:$EN$145)*($S$2='Offer Statistics'!$EO$2:$EO$145),0)),"/")</f>
        <v>1</v>
      </c>
      <c r="W17" s="375" cm="1">
        <f t="array" ref="W17">IFERROR(INDEX('Offer Statistics'!EZ$2:EZ$145,MATCH(1,($A17='Offer Statistics'!$EN$2:$EN$145)*($S$2='Offer Statistics'!$EO$2:$EO$145),0)),"/")</f>
        <v>1</v>
      </c>
      <c r="X17" s="375" cm="1">
        <f t="array" ref="X17">IFERROR(INDEX('Offer Statistics'!FA$2:FA$145,MATCH(1,($A17='Offer Statistics'!$EN$2:$EN$145)*($S$2='Offer Statistics'!$EO$2:$EO$145),0)),"/")</f>
        <v>0</v>
      </c>
      <c r="Y17" s="375" cm="1">
        <f t="array" ref="Y17">IFERROR(INDEX('Offer Statistics'!FB$2:FB$145,MATCH(1,($A17='Offer Statistics'!$EN$2:$EN$145)*($S$2='Offer Statistics'!$EO$2:$EO$145),0)),"/")</f>
        <v>2</v>
      </c>
      <c r="Z17" s="580"/>
      <c r="AA17" s="365" cm="1">
        <f t="array" ref="AA17">IFERROR(INDEX('Offer Statistics'!EU$2:EU$145,MATCH(1,($A17='Offer Statistics'!$EN$2:$EN$145)*($S$2='Offer Statistics'!$EO$2:$EO$145),0)),"/")</f>
        <v>1218</v>
      </c>
      <c r="AB17" s="375" cm="1">
        <f t="array" ref="AB17">IFERROR(INDEX('Offer Statistics'!EP$2:EP$145,MATCH(1,($A17='Offer Statistics'!$EN$2:$EN$145)*($S$2='Offer Statistics'!$EO$2:$EO$145),0)),"/")</f>
        <v>63</v>
      </c>
      <c r="AC17" s="375" cm="1">
        <f t="array" ref="AC17">IFERROR(INDEX('Offer Statistics'!EQ$2:EQ$145,MATCH(1,($A17='Offer Statistics'!$EN$2:$EN$145)*($S$2='Offer Statistics'!$EO$2:$EO$145),0)),"/")</f>
        <v>132</v>
      </c>
      <c r="AD17" s="375" cm="1">
        <f t="array" ref="AD17">IFERROR(INDEX('Offer Statistics'!ER$2:ER$145,MATCH(1,($A17='Offer Statistics'!$EN$2:$EN$145)*($S$2='Offer Statistics'!$EO$2:$EO$145),0)),"/")</f>
        <v>239</v>
      </c>
      <c r="AE17" s="375" cm="1">
        <f t="array" ref="AE17">IFERROR(INDEX('Offer Statistics'!ES$2:ES$145,MATCH(1,($A17='Offer Statistics'!$EN$2:$EN$145)*($S$2='Offer Statistics'!$EO$2:$EO$145),0)),"/")</f>
        <v>369</v>
      </c>
      <c r="AF17" s="375" cm="1">
        <f t="array" ref="AF17">IFERROR(INDEX('Offer Statistics'!ET$2:ET$145,MATCH(1,($A17='Offer Statistics'!$EN$2:$EN$145)*($S$2='Offer Statistics'!$EO$2:$EO$145),0)),"/")</f>
        <v>415</v>
      </c>
      <c r="AG17" s="15"/>
      <c r="AH17" s="354" t="str">
        <f t="shared" si="0"/>
        <v>JS9250</v>
      </c>
    </row>
    <row r="18" spans="1:34" ht="18" customHeight="1" x14ac:dyDescent="0.3">
      <c r="A18" s="346" t="str">
        <f>'Reference Score Calculation'!A349</f>
        <v>JS9261</v>
      </c>
      <c r="B18" s="346" t="str">
        <f>'Reference Score Calculation'!C349</f>
        <v>李兆基商業管理學院</v>
      </c>
      <c r="C18" s="346" t="str">
        <f>'Reference Score Calculation'!D349</f>
        <v>數碼商業榮譽工商管理學士</v>
      </c>
      <c r="D18" s="4" t="s">
        <v>1634</v>
      </c>
      <c r="E18" s="354" t="str">
        <f>'Reference Score Calculation'!E349</f>
        <v>4C1X</v>
      </c>
      <c r="F18" s="347" t="str">
        <f>'Reference Score Calculation'!G349</f>
        <v>/</v>
      </c>
      <c r="G18" s="347" t="str">
        <f>'Reference Score Calculation'!H349</f>
        <v>/</v>
      </c>
      <c r="H18" s="368">
        <f>計分版!H370</f>
        <v>1.9500000000000001E-9</v>
      </c>
      <c r="I18" s="471" t="s">
        <v>1978</v>
      </c>
      <c r="J18" s="471" t="s">
        <v>1978</v>
      </c>
      <c r="K18" s="365">
        <f>入學要求!C358</f>
        <v>10</v>
      </c>
      <c r="L18" s="379">
        <f>入學要求!R358</f>
        <v>0</v>
      </c>
      <c r="M18" s="15"/>
      <c r="N18" s="465">
        <f>入學要求!D358</f>
        <v>3</v>
      </c>
      <c r="O18" s="465">
        <f>入學要求!E358</f>
        <v>3</v>
      </c>
      <c r="P18" s="465">
        <f>入學要求!F358</f>
        <v>2</v>
      </c>
      <c r="Q18" s="465">
        <f>入學要求!G358</f>
        <v>2</v>
      </c>
      <c r="R18" s="465">
        <f>入學要求!H358</f>
        <v>2</v>
      </c>
      <c r="S18" s="576"/>
      <c r="T18" s="365" cm="1">
        <f t="array" ref="T18">IFERROR(INDEX('Offer Statistics'!FC$2:FC$145,MATCH(1,($A18='Offer Statistics'!$EN$2:$EN$145)*($S$2='Offer Statistics'!$EO$2:$EO$145),0)),"/")</f>
        <v>14</v>
      </c>
      <c r="U18" s="375" cm="1">
        <f t="array" ref="U18">IFERROR(INDEX('Offer Statistics'!EX$2:EX$145,MATCH(1,($A18='Offer Statistics'!$EN$2:$EN$145)*($S$2='Offer Statistics'!$EO$2:$EO$145),0)),"/")</f>
        <v>11</v>
      </c>
      <c r="V18" s="375" cm="1">
        <f t="array" ref="V18">IFERROR(INDEX('Offer Statistics'!EY$2:EY$145,MATCH(1,($A18='Offer Statistics'!$EN$2:$EN$145)*($S$2='Offer Statistics'!$EO$2:$EO$145),0)),"/")</f>
        <v>1</v>
      </c>
      <c r="W18" s="375" cm="1">
        <f t="array" ref="W18">IFERROR(INDEX('Offer Statistics'!EZ$2:EZ$145,MATCH(1,($A18='Offer Statistics'!$EN$2:$EN$145)*($S$2='Offer Statistics'!$EO$2:$EO$145),0)),"/")</f>
        <v>0</v>
      </c>
      <c r="X18" s="375" cm="1">
        <f t="array" ref="X18">IFERROR(INDEX('Offer Statistics'!FA$2:FA$145,MATCH(1,($A18='Offer Statistics'!$EN$2:$EN$145)*($S$2='Offer Statistics'!$EO$2:$EO$145),0)),"/")</f>
        <v>1</v>
      </c>
      <c r="Y18" s="375" cm="1">
        <f t="array" ref="Y18">IFERROR(INDEX('Offer Statistics'!FB$2:FB$145,MATCH(1,($A18='Offer Statistics'!$EN$2:$EN$145)*($S$2='Offer Statistics'!$EO$2:$EO$145),0)),"/")</f>
        <v>1</v>
      </c>
      <c r="Z18" s="580"/>
      <c r="AA18" s="365" cm="1">
        <f t="array" ref="AA18">IFERROR(INDEX('Offer Statistics'!EU$2:EU$145,MATCH(1,($A18='Offer Statistics'!$EN$2:$EN$145)*($S$2='Offer Statistics'!$EO$2:$EO$145),0)),"/")</f>
        <v>1062</v>
      </c>
      <c r="AB18" s="375" cm="1">
        <f t="array" ref="AB18">IFERROR(INDEX('Offer Statistics'!EP$2:EP$145,MATCH(1,($A18='Offer Statistics'!$EN$2:$EN$145)*($S$2='Offer Statistics'!$EO$2:$EO$145),0)),"/")</f>
        <v>159</v>
      </c>
      <c r="AC18" s="375" cm="1">
        <f t="array" ref="AC18">IFERROR(INDEX('Offer Statistics'!EQ$2:EQ$145,MATCH(1,($A18='Offer Statistics'!$EN$2:$EN$145)*($S$2='Offer Statistics'!$EO$2:$EO$145),0)),"/")</f>
        <v>162</v>
      </c>
      <c r="AD18" s="375" cm="1">
        <f t="array" ref="AD18">IFERROR(INDEX('Offer Statistics'!ER$2:ER$145,MATCH(1,($A18='Offer Statistics'!$EN$2:$EN$145)*($S$2='Offer Statistics'!$EO$2:$EO$145),0)),"/")</f>
        <v>175</v>
      </c>
      <c r="AE18" s="375" cm="1">
        <f t="array" ref="AE18">IFERROR(INDEX('Offer Statistics'!ES$2:ES$145,MATCH(1,($A18='Offer Statistics'!$EN$2:$EN$145)*($S$2='Offer Statistics'!$EO$2:$EO$145),0)),"/")</f>
        <v>232</v>
      </c>
      <c r="AF18" s="375" cm="1">
        <f t="array" ref="AF18">IFERROR(INDEX('Offer Statistics'!ET$2:ET$145,MATCH(1,($A18='Offer Statistics'!$EN$2:$EN$145)*($S$2='Offer Statistics'!$EO$2:$EO$145),0)),"/")</f>
        <v>334</v>
      </c>
      <c r="AG18" s="15"/>
      <c r="AH18" s="354" t="str">
        <f t="shared" si="0"/>
        <v>JS9261</v>
      </c>
    </row>
    <row r="19" spans="1:34" ht="18" customHeight="1" x14ac:dyDescent="0.3">
      <c r="A19" s="346" t="str">
        <f>'Reference Score Calculation'!A350</f>
        <v>JS9272</v>
      </c>
      <c r="B19" s="346" t="str">
        <f>'Reference Score Calculation'!C350</f>
        <v>李兆基商業管理學院</v>
      </c>
      <c r="C19" s="346" t="str">
        <f>'Reference Score Calculation'!D350</f>
        <v>財務及風險管理榮譽工商管理學士</v>
      </c>
      <c r="D19" s="4" t="s">
        <v>1638</v>
      </c>
      <c r="E19" s="354" t="str">
        <f>'Reference Score Calculation'!E350</f>
        <v>4C1X</v>
      </c>
      <c r="F19" s="347">
        <f>'Reference Score Calculation'!G350</f>
        <v>16</v>
      </c>
      <c r="G19" s="347">
        <f>'Reference Score Calculation'!H350</f>
        <v>16</v>
      </c>
      <c r="H19" s="368">
        <f>計分版!H371</f>
        <v>1.9500000000000001E-9</v>
      </c>
      <c r="I19" s="469">
        <f>IF(I$1="差距(Median)",H19-F19,IF(I$1="差距(UQ)",H19-#REF!,IF(I$1="差距(LQ)",H19-G19)))</f>
        <v>-15.999999998050001</v>
      </c>
      <c r="J19" s="470">
        <f>IF(I$1="差距(Median)",(H19-F19)/H19,IF(I$1="差距(UQ)",(H19-#REF!)/H19,IF(I$1="差距(LQ)",(H19-G19)/H19)))</f>
        <v>-8205128204.1282053</v>
      </c>
      <c r="K19" s="365">
        <f>入學要求!C359</f>
        <v>10</v>
      </c>
      <c r="L19" s="379">
        <f>入學要求!R359</f>
        <v>0</v>
      </c>
      <c r="M19" s="15"/>
      <c r="N19" s="465">
        <f>入學要求!D359</f>
        <v>3</v>
      </c>
      <c r="O19" s="465">
        <f>入學要求!E359</f>
        <v>3</v>
      </c>
      <c r="P19" s="465">
        <f>入學要求!F359</f>
        <v>2</v>
      </c>
      <c r="Q19" s="465">
        <f>入學要求!G359</f>
        <v>2</v>
      </c>
      <c r="R19" s="465">
        <f>入學要求!H359</f>
        <v>2</v>
      </c>
      <c r="S19" s="576"/>
      <c r="T19" s="365" cm="1">
        <f t="array" ref="T19">IFERROR(INDEX('Offer Statistics'!FC$2:FC$145,MATCH(1,($A19='Offer Statistics'!$EN$2:$EN$145)*($S$2='Offer Statistics'!$EO$2:$EO$145),0)),"/")</f>
        <v>13</v>
      </c>
      <c r="U19" s="375" cm="1">
        <f t="array" ref="U19">IFERROR(INDEX('Offer Statistics'!EX$2:EX$145,MATCH(1,($A19='Offer Statistics'!$EN$2:$EN$145)*($S$2='Offer Statistics'!$EO$2:$EO$145),0)),"/")</f>
        <v>6</v>
      </c>
      <c r="V19" s="375" cm="1">
        <f t="array" ref="V19">IFERROR(INDEX('Offer Statistics'!EY$2:EY$145,MATCH(1,($A19='Offer Statistics'!$EN$2:$EN$145)*($S$2='Offer Statistics'!$EO$2:$EO$145),0)),"/")</f>
        <v>5</v>
      </c>
      <c r="W19" s="375" cm="1">
        <f t="array" ref="W19">IFERROR(INDEX('Offer Statistics'!EZ$2:EZ$145,MATCH(1,($A19='Offer Statistics'!$EN$2:$EN$145)*($S$2='Offer Statistics'!$EO$2:$EO$145),0)),"/")</f>
        <v>0</v>
      </c>
      <c r="X19" s="375" cm="1">
        <f t="array" ref="X19">IFERROR(INDEX('Offer Statistics'!FA$2:FA$145,MATCH(1,($A19='Offer Statistics'!$EN$2:$EN$145)*($S$2='Offer Statistics'!$EO$2:$EO$145),0)),"/")</f>
        <v>0</v>
      </c>
      <c r="Y19" s="375" cm="1">
        <f t="array" ref="Y19">IFERROR(INDEX('Offer Statistics'!FB$2:FB$145,MATCH(1,($A19='Offer Statistics'!$EN$2:$EN$145)*($S$2='Offer Statistics'!$EO$2:$EO$145),0)),"/")</f>
        <v>2</v>
      </c>
      <c r="Z19" s="580"/>
      <c r="AA19" s="365" cm="1">
        <f t="array" ref="AA19">IFERROR(INDEX('Offer Statistics'!EU$2:EU$145,MATCH(1,($A19='Offer Statistics'!$EN$2:$EN$145)*($S$2='Offer Statistics'!$EO$2:$EO$145),0)),"/")</f>
        <v>958</v>
      </c>
      <c r="AB19" s="375" cm="1">
        <f t="array" ref="AB19">IFERROR(INDEX('Offer Statistics'!EP$2:EP$145,MATCH(1,($A19='Offer Statistics'!$EN$2:$EN$145)*($S$2='Offer Statistics'!$EO$2:$EO$145),0)),"/")</f>
        <v>43</v>
      </c>
      <c r="AC19" s="375" cm="1">
        <f t="array" ref="AC19">IFERROR(INDEX('Offer Statistics'!EQ$2:EQ$145,MATCH(1,($A19='Offer Statistics'!$EN$2:$EN$145)*($S$2='Offer Statistics'!$EO$2:$EO$145),0)),"/")</f>
        <v>124</v>
      </c>
      <c r="AD19" s="375" cm="1">
        <f t="array" ref="AD19">IFERROR(INDEX('Offer Statistics'!ER$2:ER$145,MATCH(1,($A19='Offer Statistics'!$EN$2:$EN$145)*($S$2='Offer Statistics'!$EO$2:$EO$145),0)),"/")</f>
        <v>168</v>
      </c>
      <c r="AE19" s="375" cm="1">
        <f t="array" ref="AE19">IFERROR(INDEX('Offer Statistics'!ES$2:ES$145,MATCH(1,($A19='Offer Statistics'!$EN$2:$EN$145)*($S$2='Offer Statistics'!$EO$2:$EO$145),0)),"/")</f>
        <v>275</v>
      </c>
      <c r="AF19" s="375" cm="1">
        <f t="array" ref="AF19">IFERROR(INDEX('Offer Statistics'!ET$2:ET$145,MATCH(1,($A19='Offer Statistics'!$EN$2:$EN$145)*($S$2='Offer Statistics'!$EO$2:$EO$145),0)),"/")</f>
        <v>348</v>
      </c>
      <c r="AG19" s="15"/>
      <c r="AH19" s="354" t="str">
        <f t="shared" si="0"/>
        <v>JS9272</v>
      </c>
    </row>
    <row r="20" spans="1:34" ht="18" customHeight="1" x14ac:dyDescent="0.3">
      <c r="A20" s="346" t="str">
        <f>'Reference Score Calculation'!A351</f>
        <v>JS9276</v>
      </c>
      <c r="B20" s="346" t="str">
        <f>'Reference Score Calculation'!C351</f>
        <v>李兆基商業管理學院</v>
      </c>
      <c r="C20" s="346" t="str">
        <f>'Reference Score Calculation'!D351</f>
        <v>房地產及設施管理榮譽工商管理學士</v>
      </c>
      <c r="D20" s="4" t="s">
        <v>1642</v>
      </c>
      <c r="E20" s="354" t="str">
        <f>'Reference Score Calculation'!E351</f>
        <v>4C1X</v>
      </c>
      <c r="F20" s="347">
        <f>'Reference Score Calculation'!G351</f>
        <v>16</v>
      </c>
      <c r="G20" s="347">
        <f>'Reference Score Calculation'!H351</f>
        <v>16</v>
      </c>
      <c r="H20" s="368">
        <f>計分版!H372</f>
        <v>1.9500000000000001E-9</v>
      </c>
      <c r="I20" s="469">
        <f>IF(I$1="差距(Median)",H20-F20,IF(I$1="差距(UQ)",H20-#REF!,IF(I$1="差距(LQ)",H20-G20)))</f>
        <v>-15.999999998050001</v>
      </c>
      <c r="J20" s="470">
        <f>IF(I$1="差距(Median)",(H20-F20)/H20,IF(I$1="差距(UQ)",(H20-#REF!)/H20,IF(I$1="差距(LQ)",(H20-G20)/H20)))</f>
        <v>-8205128204.1282053</v>
      </c>
      <c r="K20" s="365">
        <f>入學要求!C360</f>
        <v>10</v>
      </c>
      <c r="L20" s="379">
        <f>入學要求!R360</f>
        <v>0</v>
      </c>
      <c r="M20" s="15"/>
      <c r="N20" s="465">
        <f>入學要求!D360</f>
        <v>3</v>
      </c>
      <c r="O20" s="465">
        <f>入學要求!E360</f>
        <v>3</v>
      </c>
      <c r="P20" s="465">
        <f>入學要求!F360</f>
        <v>2</v>
      </c>
      <c r="Q20" s="465">
        <f>入學要求!G360</f>
        <v>2</v>
      </c>
      <c r="R20" s="465">
        <f>入學要求!H360</f>
        <v>2</v>
      </c>
      <c r="S20" s="576"/>
      <c r="T20" s="365" cm="1">
        <f t="array" ref="T20">IFERROR(INDEX('Offer Statistics'!FC$2:FC$145,MATCH(1,($A20='Offer Statistics'!$EN$2:$EN$145)*($S$2='Offer Statistics'!$EO$2:$EO$145),0)),"/")</f>
        <v>5</v>
      </c>
      <c r="U20" s="375" cm="1">
        <f t="array" ref="U20">IFERROR(INDEX('Offer Statistics'!EX$2:EX$145,MATCH(1,($A20='Offer Statistics'!$EN$2:$EN$145)*($S$2='Offer Statistics'!$EO$2:$EO$145),0)),"/")</f>
        <v>3</v>
      </c>
      <c r="V20" s="375" cm="1">
        <f t="array" ref="V20">IFERROR(INDEX('Offer Statistics'!EY$2:EY$145,MATCH(1,($A20='Offer Statistics'!$EN$2:$EN$145)*($S$2='Offer Statistics'!$EO$2:$EO$145),0)),"/")</f>
        <v>0</v>
      </c>
      <c r="W20" s="375" cm="1">
        <f t="array" ref="W20">IFERROR(INDEX('Offer Statistics'!EZ$2:EZ$145,MATCH(1,($A20='Offer Statistics'!$EN$2:$EN$145)*($S$2='Offer Statistics'!$EO$2:$EO$145),0)),"/")</f>
        <v>2</v>
      </c>
      <c r="X20" s="375" cm="1">
        <f t="array" ref="X20">IFERROR(INDEX('Offer Statistics'!FA$2:FA$145,MATCH(1,($A20='Offer Statistics'!$EN$2:$EN$145)*($S$2='Offer Statistics'!$EO$2:$EO$145),0)),"/")</f>
        <v>0</v>
      </c>
      <c r="Y20" s="375" cm="1">
        <f t="array" ref="Y20">IFERROR(INDEX('Offer Statistics'!FB$2:FB$145,MATCH(1,($A20='Offer Statistics'!$EN$2:$EN$145)*($S$2='Offer Statistics'!$EO$2:$EO$145),0)),"/")</f>
        <v>0</v>
      </c>
      <c r="Z20" s="580"/>
      <c r="AA20" s="365" cm="1">
        <f t="array" ref="AA20">IFERROR(INDEX('Offer Statistics'!EU$2:EU$145,MATCH(1,($A20='Offer Statistics'!$EN$2:$EN$145)*($S$2='Offer Statistics'!$EO$2:$EO$145),0)),"/")</f>
        <v>718</v>
      </c>
      <c r="AB20" s="375" cm="1">
        <f t="array" ref="AB20">IFERROR(INDEX('Offer Statistics'!EP$2:EP$145,MATCH(1,($A20='Offer Statistics'!$EN$2:$EN$145)*($S$2='Offer Statistics'!$EO$2:$EO$145),0)),"/")</f>
        <v>38</v>
      </c>
      <c r="AC20" s="375" cm="1">
        <f t="array" ref="AC20">IFERROR(INDEX('Offer Statistics'!EQ$2:EQ$145,MATCH(1,($A20='Offer Statistics'!$EN$2:$EN$145)*($S$2='Offer Statistics'!$EO$2:$EO$145),0)),"/")</f>
        <v>65</v>
      </c>
      <c r="AD20" s="375" cm="1">
        <f t="array" ref="AD20">IFERROR(INDEX('Offer Statistics'!ER$2:ER$145,MATCH(1,($A20='Offer Statistics'!$EN$2:$EN$145)*($S$2='Offer Statistics'!$EO$2:$EO$145),0)),"/")</f>
        <v>146</v>
      </c>
      <c r="AE20" s="375" cm="1">
        <f t="array" ref="AE20">IFERROR(INDEX('Offer Statistics'!ES$2:ES$145,MATCH(1,($A20='Offer Statistics'!$EN$2:$EN$145)*($S$2='Offer Statistics'!$EO$2:$EO$145),0)),"/")</f>
        <v>207</v>
      </c>
      <c r="AF20" s="375" cm="1">
        <f t="array" ref="AF20">IFERROR(INDEX('Offer Statistics'!ET$2:ET$145,MATCH(1,($A20='Offer Statistics'!$EN$2:$EN$145)*($S$2='Offer Statistics'!$EO$2:$EO$145),0)),"/")</f>
        <v>262</v>
      </c>
      <c r="AG20" s="15"/>
      <c r="AH20" s="354" t="str">
        <f t="shared" si="0"/>
        <v>JS9276</v>
      </c>
    </row>
    <row r="21" spans="1:34" ht="18" customHeight="1" x14ac:dyDescent="0.3">
      <c r="A21" s="346" t="str">
        <f>'Reference Score Calculation'!A352</f>
        <v>JS9280</v>
      </c>
      <c r="B21" s="346" t="str">
        <f>'Reference Score Calculation'!C352</f>
        <v>李兆基商業管理學院</v>
      </c>
      <c r="C21" s="346" t="str">
        <f>'Reference Score Calculation'!D352</f>
        <v>應用心理學榮譽學士，商業管理榮譽學士</v>
      </c>
      <c r="D21" s="4" t="s">
        <v>1646</v>
      </c>
      <c r="E21" s="354" t="str">
        <f>'Reference Score Calculation'!E352</f>
        <v>4C1X</v>
      </c>
      <c r="F21" s="347">
        <f>'Reference Score Calculation'!G352</f>
        <v>15</v>
      </c>
      <c r="G21" s="347">
        <f>'Reference Score Calculation'!H352</f>
        <v>15</v>
      </c>
      <c r="H21" s="368">
        <f>計分版!H373</f>
        <v>1.9500000000000001E-9</v>
      </c>
      <c r="I21" s="469">
        <f>IF(I$1="差距(Median)",H21-F21,IF(I$1="差距(UQ)",H21-#REF!,IF(I$1="差距(LQ)",H21-G21)))</f>
        <v>-14.999999998050001</v>
      </c>
      <c r="J21" s="470">
        <f>IF(I$1="差距(Median)",(H21-F21)/H21,IF(I$1="差距(UQ)",(H21-#REF!)/H21,IF(I$1="差距(LQ)",(H21-G21)/H21)))</f>
        <v>-7692307691.3076925</v>
      </c>
      <c r="K21" s="365">
        <f>入學要求!C361</f>
        <v>30</v>
      </c>
      <c r="L21" s="379">
        <f>入學要求!R361</f>
        <v>0</v>
      </c>
      <c r="M21" s="15"/>
      <c r="N21" s="465">
        <f>入學要求!D361</f>
        <v>3</v>
      </c>
      <c r="O21" s="465">
        <f>入學要求!E361</f>
        <v>3</v>
      </c>
      <c r="P21" s="465">
        <f>入學要求!F361</f>
        <v>2</v>
      </c>
      <c r="Q21" s="465">
        <f>入學要求!G361</f>
        <v>2</v>
      </c>
      <c r="R21" s="465">
        <f>入學要求!H361</f>
        <v>2</v>
      </c>
      <c r="S21" s="576"/>
      <c r="T21" s="365" cm="1">
        <f t="array" ref="T21">IFERROR(INDEX('Offer Statistics'!FC$2:FC$145,MATCH(1,($A21='Offer Statistics'!$EN$2:$EN$145)*($S$2='Offer Statistics'!$EO$2:$EO$145),0)),"/")</f>
        <v>34</v>
      </c>
      <c r="U21" s="375" cm="1">
        <f t="array" ref="U21">IFERROR(INDEX('Offer Statistics'!EX$2:EX$145,MATCH(1,($A21='Offer Statistics'!$EN$2:$EN$145)*($S$2='Offer Statistics'!$EO$2:$EO$145),0)),"/")</f>
        <v>20</v>
      </c>
      <c r="V21" s="375" cm="1">
        <f t="array" ref="V21">IFERROR(INDEX('Offer Statistics'!EY$2:EY$145,MATCH(1,($A21='Offer Statistics'!$EN$2:$EN$145)*($S$2='Offer Statistics'!$EO$2:$EO$145),0)),"/")</f>
        <v>7</v>
      </c>
      <c r="W21" s="375" cm="1">
        <f t="array" ref="W21">IFERROR(INDEX('Offer Statistics'!EZ$2:EZ$145,MATCH(1,($A21='Offer Statistics'!$EN$2:$EN$145)*($S$2='Offer Statistics'!$EO$2:$EO$145),0)),"/")</f>
        <v>2</v>
      </c>
      <c r="X21" s="375" cm="1">
        <f t="array" ref="X21">IFERROR(INDEX('Offer Statistics'!FA$2:FA$145,MATCH(1,($A21='Offer Statistics'!$EN$2:$EN$145)*($S$2='Offer Statistics'!$EO$2:$EO$145),0)),"/")</f>
        <v>3</v>
      </c>
      <c r="Y21" s="375" cm="1">
        <f t="array" ref="Y21">IFERROR(INDEX('Offer Statistics'!FB$2:FB$145,MATCH(1,($A21='Offer Statistics'!$EN$2:$EN$145)*($S$2='Offer Statistics'!$EO$2:$EO$145),0)),"/")</f>
        <v>2</v>
      </c>
      <c r="Z21" s="580"/>
      <c r="AA21" s="365" cm="1">
        <f t="array" ref="AA21">IFERROR(INDEX('Offer Statistics'!EU$2:EU$145,MATCH(1,($A21='Offer Statistics'!$EN$2:$EN$145)*($S$2='Offer Statistics'!$EO$2:$EO$145),0)),"/")</f>
        <v>1972</v>
      </c>
      <c r="AB21" s="375" cm="1">
        <f t="array" ref="AB21">IFERROR(INDEX('Offer Statistics'!EP$2:EP$145,MATCH(1,($A21='Offer Statistics'!$EN$2:$EN$145)*($S$2='Offer Statistics'!$EO$2:$EO$145),0)),"/")</f>
        <v>115</v>
      </c>
      <c r="AC21" s="375" cm="1">
        <f t="array" ref="AC21">IFERROR(INDEX('Offer Statistics'!EQ$2:EQ$145,MATCH(1,($A21='Offer Statistics'!$EN$2:$EN$145)*($S$2='Offer Statistics'!$EO$2:$EO$145),0)),"/")</f>
        <v>314</v>
      </c>
      <c r="AD21" s="375" cm="1">
        <f t="array" ref="AD21">IFERROR(INDEX('Offer Statistics'!ER$2:ER$145,MATCH(1,($A21='Offer Statistics'!$EN$2:$EN$145)*($S$2='Offer Statistics'!$EO$2:$EO$145),0)),"/")</f>
        <v>384</v>
      </c>
      <c r="AE21" s="375" cm="1">
        <f t="array" ref="AE21">IFERROR(INDEX('Offer Statistics'!ES$2:ES$145,MATCH(1,($A21='Offer Statistics'!$EN$2:$EN$145)*($S$2='Offer Statistics'!$EO$2:$EO$145),0)),"/")</f>
        <v>520</v>
      </c>
      <c r="AF21" s="375" cm="1">
        <f t="array" ref="AF21">IFERROR(INDEX('Offer Statistics'!ET$2:ET$145,MATCH(1,($A21='Offer Statistics'!$EN$2:$EN$145)*($S$2='Offer Statistics'!$EO$2:$EO$145),0)),"/")</f>
        <v>639</v>
      </c>
      <c r="AG21" s="15"/>
      <c r="AH21" s="354" t="str">
        <f t="shared" si="0"/>
        <v>JS9280</v>
      </c>
    </row>
    <row r="22" spans="1:34" ht="18" customHeight="1" x14ac:dyDescent="0.3">
      <c r="A22" s="346" t="str">
        <f>'Reference Score Calculation'!A353</f>
        <v>JS9291</v>
      </c>
      <c r="B22" s="346" t="str">
        <f>'Reference Score Calculation'!C353</f>
        <v>李兆基商業管理學院</v>
      </c>
      <c r="C22" s="346" t="str">
        <f>'Reference Score Calculation'!D353</f>
        <v>酒店及可持續旅遊管理榮譽工商管理學士</v>
      </c>
      <c r="D22" s="4" t="s">
        <v>1650</v>
      </c>
      <c r="E22" s="354" t="str">
        <f>'Reference Score Calculation'!E353</f>
        <v>4C1X</v>
      </c>
      <c r="F22" s="347">
        <f>'Reference Score Calculation'!G353</f>
        <v>15</v>
      </c>
      <c r="G22" s="347">
        <f>'Reference Score Calculation'!H353</f>
        <v>15</v>
      </c>
      <c r="H22" s="368">
        <f>計分版!H374</f>
        <v>1.9500000000000001E-9</v>
      </c>
      <c r="I22" s="469">
        <f>IF(I$1="差距(Median)",H22-F22,IF(I$1="差距(UQ)",H22-#REF!,IF(I$1="差距(LQ)",H22-G22)))</f>
        <v>-14.999999998050001</v>
      </c>
      <c r="J22" s="470">
        <f>IF(I$1="差距(Median)",(H22-F22)/H22,IF(I$1="差距(UQ)",(H22-#REF!)/H22,IF(I$1="差距(LQ)",(H22-G22)/H22)))</f>
        <v>-7692307691.3076925</v>
      </c>
      <c r="K22" s="365">
        <f>入學要求!C362</f>
        <v>30</v>
      </c>
      <c r="L22" s="379">
        <f>入學要求!R362</f>
        <v>0</v>
      </c>
      <c r="M22" s="15"/>
      <c r="N22" s="465">
        <f>入學要求!D362</f>
        <v>3</v>
      </c>
      <c r="O22" s="465">
        <f>入學要求!E362</f>
        <v>3</v>
      </c>
      <c r="P22" s="465">
        <f>入學要求!F362</f>
        <v>2</v>
      </c>
      <c r="Q22" s="465">
        <f>入學要求!G362</f>
        <v>2</v>
      </c>
      <c r="R22" s="465">
        <f>入學要求!H362</f>
        <v>2</v>
      </c>
      <c r="S22" s="576"/>
      <c r="T22" s="365" cm="1">
        <f t="array" ref="T22">IFERROR(INDEX('Offer Statistics'!FC$2:FC$145,MATCH(1,($A22='Offer Statistics'!$EN$2:$EN$145)*($S$2='Offer Statistics'!$EO$2:$EO$145),0)),"/")</f>
        <v>75</v>
      </c>
      <c r="U22" s="375" cm="1">
        <f t="array" ref="U22">IFERROR(INDEX('Offer Statistics'!EX$2:EX$145,MATCH(1,($A22='Offer Statistics'!$EN$2:$EN$145)*($S$2='Offer Statistics'!$EO$2:$EO$145),0)),"/")</f>
        <v>44</v>
      </c>
      <c r="V22" s="375" cm="1">
        <f t="array" ref="V22">IFERROR(INDEX('Offer Statistics'!EY$2:EY$145,MATCH(1,($A22='Offer Statistics'!$EN$2:$EN$145)*($S$2='Offer Statistics'!$EO$2:$EO$145),0)),"/")</f>
        <v>8</v>
      </c>
      <c r="W22" s="375" cm="1">
        <f t="array" ref="W22">IFERROR(INDEX('Offer Statistics'!EZ$2:EZ$145,MATCH(1,($A22='Offer Statistics'!$EN$2:$EN$145)*($S$2='Offer Statistics'!$EO$2:$EO$145),0)),"/")</f>
        <v>9</v>
      </c>
      <c r="X22" s="375" cm="1">
        <f t="array" ref="X22">IFERROR(INDEX('Offer Statistics'!FA$2:FA$145,MATCH(1,($A22='Offer Statistics'!$EN$2:$EN$145)*($S$2='Offer Statistics'!$EO$2:$EO$145),0)),"/")</f>
        <v>7</v>
      </c>
      <c r="Y22" s="375" cm="1">
        <f t="array" ref="Y22">IFERROR(INDEX('Offer Statistics'!FB$2:FB$145,MATCH(1,($A22='Offer Statistics'!$EN$2:$EN$145)*($S$2='Offer Statistics'!$EO$2:$EO$145),0)),"/")</f>
        <v>7</v>
      </c>
      <c r="Z22" s="580"/>
      <c r="AA22" s="365" cm="1">
        <f t="array" ref="AA22">IFERROR(INDEX('Offer Statistics'!EU$2:EU$145,MATCH(1,($A22='Offer Statistics'!$EN$2:$EN$145)*($S$2='Offer Statistics'!$EO$2:$EO$145),0)),"/")</f>
        <v>3682</v>
      </c>
      <c r="AB22" s="375" cm="1">
        <f t="array" ref="AB22">IFERROR(INDEX('Offer Statistics'!EP$2:EP$145,MATCH(1,($A22='Offer Statistics'!$EN$2:$EN$145)*($S$2='Offer Statistics'!$EO$2:$EO$145),0)),"/")</f>
        <v>482</v>
      </c>
      <c r="AC22" s="375" cm="1">
        <f t="array" ref="AC22">IFERROR(INDEX('Offer Statistics'!EQ$2:EQ$145,MATCH(1,($A22='Offer Statistics'!$EN$2:$EN$145)*($S$2='Offer Statistics'!$EO$2:$EO$145),0)),"/")</f>
        <v>617</v>
      </c>
      <c r="AD22" s="375" cm="1">
        <f t="array" ref="AD22">IFERROR(INDEX('Offer Statistics'!ER$2:ER$145,MATCH(1,($A22='Offer Statistics'!$EN$2:$EN$145)*($S$2='Offer Statistics'!$EO$2:$EO$145),0)),"/")</f>
        <v>740</v>
      </c>
      <c r="AE22" s="375" cm="1">
        <f t="array" ref="AE22">IFERROR(INDEX('Offer Statistics'!ES$2:ES$145,MATCH(1,($A22='Offer Statistics'!$EN$2:$EN$145)*($S$2='Offer Statistics'!$EO$2:$EO$145),0)),"/")</f>
        <v>889</v>
      </c>
      <c r="AF22" s="375" cm="1">
        <f t="array" ref="AF22">IFERROR(INDEX('Offer Statistics'!ET$2:ET$145,MATCH(1,($A22='Offer Statistics'!$EN$2:$EN$145)*($S$2='Offer Statistics'!$EO$2:$EO$145),0)),"/")</f>
        <v>954</v>
      </c>
      <c r="AG22" s="15"/>
      <c r="AH22" s="354" t="str">
        <f t="shared" si="0"/>
        <v>JS9291</v>
      </c>
    </row>
    <row r="23" spans="1:34" ht="18" customHeight="1" x14ac:dyDescent="0.3">
      <c r="A23" s="346" t="str">
        <f>'Reference Score Calculation'!A354</f>
        <v>JS9294</v>
      </c>
      <c r="B23" s="346" t="str">
        <f>'Reference Score Calculation'!C354</f>
        <v>李兆基商業管理學院</v>
      </c>
      <c r="C23" s="346" t="str">
        <f>'Reference Score Calculation'!D354</f>
        <v>運動及電競運動管理榮譽工商管理學士</v>
      </c>
      <c r="D23" s="4" t="s">
        <v>1654</v>
      </c>
      <c r="E23" s="354" t="str">
        <f>'Reference Score Calculation'!E354</f>
        <v>4C1X</v>
      </c>
      <c r="F23" s="347">
        <f>'Reference Score Calculation'!G354</f>
        <v>16</v>
      </c>
      <c r="G23" s="347">
        <f>'Reference Score Calculation'!H354</f>
        <v>14</v>
      </c>
      <c r="H23" s="368">
        <f>計分版!H375</f>
        <v>1.9500000000000001E-9</v>
      </c>
      <c r="I23" s="469">
        <f>IF(I$1="差距(Median)",H23-F23,IF(I$1="差距(UQ)",H23-#REF!,IF(I$1="差距(LQ)",H23-G23)))</f>
        <v>-15.999999998050001</v>
      </c>
      <c r="J23" s="470">
        <f>IF(I$1="差距(Median)",(H23-F23)/H23,IF(I$1="差距(UQ)",(H23-#REF!)/H23,IF(I$1="差距(LQ)",(H23-G23)/H23)))</f>
        <v>-8205128204.1282053</v>
      </c>
      <c r="K23" s="365">
        <f>入學要求!C363</f>
        <v>30</v>
      </c>
      <c r="L23" s="379">
        <f>入學要求!R363</f>
        <v>0</v>
      </c>
      <c r="M23" s="15"/>
      <c r="N23" s="465">
        <f>入學要求!D363</f>
        <v>3</v>
      </c>
      <c r="O23" s="465">
        <f>入學要求!E363</f>
        <v>3</v>
      </c>
      <c r="P23" s="465">
        <f>入學要求!F363</f>
        <v>2</v>
      </c>
      <c r="Q23" s="465">
        <f>入學要求!G363</f>
        <v>2</v>
      </c>
      <c r="R23" s="465">
        <f>入學要求!H363</f>
        <v>2</v>
      </c>
      <c r="S23" s="576"/>
      <c r="T23" s="365" cm="1">
        <f t="array" ref="T23">IFERROR(INDEX('Offer Statistics'!FC$2:FC$145,MATCH(1,($A23='Offer Statistics'!$EN$2:$EN$145)*($S$2='Offer Statistics'!$EO$2:$EO$145),0)),"/")</f>
        <v>40</v>
      </c>
      <c r="U23" s="375" cm="1">
        <f t="array" ref="U23">IFERROR(INDEX('Offer Statistics'!EX$2:EX$145,MATCH(1,($A23='Offer Statistics'!$EN$2:$EN$145)*($S$2='Offer Statistics'!$EO$2:$EO$145),0)),"/")</f>
        <v>21</v>
      </c>
      <c r="V23" s="375" cm="1">
        <f t="array" ref="V23">IFERROR(INDEX('Offer Statistics'!EY$2:EY$145,MATCH(1,($A23='Offer Statistics'!$EN$2:$EN$145)*($S$2='Offer Statistics'!$EO$2:$EO$145),0)),"/")</f>
        <v>10</v>
      </c>
      <c r="W23" s="375" cm="1">
        <f t="array" ref="W23">IFERROR(INDEX('Offer Statistics'!EZ$2:EZ$145,MATCH(1,($A23='Offer Statistics'!$EN$2:$EN$145)*($S$2='Offer Statistics'!$EO$2:$EO$145),0)),"/")</f>
        <v>2</v>
      </c>
      <c r="X23" s="375" cm="1">
        <f t="array" ref="X23">IFERROR(INDEX('Offer Statistics'!FA$2:FA$145,MATCH(1,($A23='Offer Statistics'!$EN$2:$EN$145)*($S$2='Offer Statistics'!$EO$2:$EO$145),0)),"/")</f>
        <v>2</v>
      </c>
      <c r="Y23" s="375" cm="1">
        <f t="array" ref="Y23">IFERROR(INDEX('Offer Statistics'!FB$2:FB$145,MATCH(1,($A23='Offer Statistics'!$EN$2:$EN$145)*($S$2='Offer Statistics'!$EO$2:$EO$145),0)),"/")</f>
        <v>5</v>
      </c>
      <c r="Z23" s="580"/>
      <c r="AA23" s="365" cm="1">
        <f t="array" ref="AA23">IFERROR(INDEX('Offer Statistics'!EU$2:EU$145,MATCH(1,($A23='Offer Statistics'!$EN$2:$EN$145)*($S$2='Offer Statistics'!$EO$2:$EO$145),0)),"/")</f>
        <v>2061</v>
      </c>
      <c r="AB23" s="375" cm="1">
        <f t="array" ref="AB23">IFERROR(INDEX('Offer Statistics'!EP$2:EP$145,MATCH(1,($A23='Offer Statistics'!$EN$2:$EN$145)*($S$2='Offer Statistics'!$EO$2:$EO$145),0)),"/")</f>
        <v>308</v>
      </c>
      <c r="AC23" s="375" cm="1">
        <f t="array" ref="AC23">IFERROR(INDEX('Offer Statistics'!EQ$2:EQ$145,MATCH(1,($A23='Offer Statistics'!$EN$2:$EN$145)*($S$2='Offer Statistics'!$EO$2:$EO$145),0)),"/")</f>
        <v>373</v>
      </c>
      <c r="AD23" s="375" cm="1">
        <f t="array" ref="AD23">IFERROR(INDEX('Offer Statistics'!ER$2:ER$145,MATCH(1,($A23='Offer Statistics'!$EN$2:$EN$145)*($S$2='Offer Statistics'!$EO$2:$EO$145),0)),"/")</f>
        <v>394</v>
      </c>
      <c r="AE23" s="375" cm="1">
        <f t="array" ref="AE23">IFERROR(INDEX('Offer Statistics'!ES$2:ES$145,MATCH(1,($A23='Offer Statistics'!$EN$2:$EN$145)*($S$2='Offer Statistics'!$EO$2:$EO$145),0)),"/")</f>
        <v>481</v>
      </c>
      <c r="AF23" s="375" cm="1">
        <f t="array" ref="AF23">IFERROR(INDEX('Offer Statistics'!ET$2:ET$145,MATCH(1,($A23='Offer Statistics'!$EN$2:$EN$145)*($S$2='Offer Statistics'!$EO$2:$EO$145),0)),"/")</f>
        <v>505</v>
      </c>
      <c r="AG23" s="15"/>
      <c r="AH23" s="354" t="str">
        <f t="shared" si="0"/>
        <v>JS9294</v>
      </c>
    </row>
    <row r="24" spans="1:34" ht="18" customHeight="1" x14ac:dyDescent="0.3">
      <c r="A24" s="346" t="str">
        <f>'Reference Score Calculation'!A355</f>
        <v>JS9530</v>
      </c>
      <c r="B24" s="346" t="str">
        <f>'Reference Score Calculation'!C355</f>
        <v>教育及語文學院</v>
      </c>
      <c r="C24" s="346" t="str">
        <f>'Reference Score Calculation'!D355</f>
        <v>英語教學榮譽教育學士及英語研究榮譽學士</v>
      </c>
      <c r="D24" s="4" t="s">
        <v>1658</v>
      </c>
      <c r="E24" s="365" t="str">
        <f>'Reference Score Calculation'!E355</f>
        <v>Best 5</v>
      </c>
      <c r="F24" s="347">
        <f>'Reference Score Calculation'!G355</f>
        <v>21</v>
      </c>
      <c r="G24" s="347">
        <f>'Reference Score Calculation'!H355</f>
        <v>20</v>
      </c>
      <c r="H24" s="368">
        <f>計分版!H376</f>
        <v>3.9500000000000006E-9</v>
      </c>
      <c r="I24" s="469">
        <f>IF(I$1="差距(Median)",H24-F24,IF(I$1="差距(UQ)",H24-#REF!,IF(I$1="差距(LQ)",H24-G24)))</f>
        <v>-20.999999996050001</v>
      </c>
      <c r="J24" s="470">
        <f>IF(I$1="差距(Median)",(H24-F24)/H24,IF(I$1="差距(UQ)",(H24-#REF!)/H24,IF(I$1="差距(LQ)",(H24-G24)/H24)))</f>
        <v>-5316455695.2025309</v>
      </c>
      <c r="K24" s="365">
        <f>入學要求!C364</f>
        <v>30</v>
      </c>
      <c r="L24" s="379">
        <f>入學要求!R364</f>
        <v>0</v>
      </c>
      <c r="M24" s="101"/>
      <c r="N24" s="465">
        <f>入學要求!D364</f>
        <v>3</v>
      </c>
      <c r="O24" s="465">
        <f>入學要求!E364</f>
        <v>3</v>
      </c>
      <c r="P24" s="465">
        <f>入學要求!F364</f>
        <v>2</v>
      </c>
      <c r="Q24" s="465">
        <f>入學要求!G364</f>
        <v>2</v>
      </c>
      <c r="R24" s="465">
        <f>入學要求!H364</f>
        <v>2</v>
      </c>
      <c r="S24" s="576"/>
      <c r="T24" s="365" cm="1">
        <f t="array" ref="T24">IFERROR(INDEX('Offer Statistics'!FC$2:FC$145,MATCH(1,($A24='Offer Statistics'!$EN$2:$EN$145)*($S$2='Offer Statistics'!$EO$2:$EO$145),0)),"/")</f>
        <v>28</v>
      </c>
      <c r="U24" s="375" cm="1">
        <f t="array" ref="U24">IFERROR(INDEX('Offer Statistics'!EX$2:EX$145,MATCH(1,($A24='Offer Statistics'!$EN$2:$EN$145)*($S$2='Offer Statistics'!$EO$2:$EO$145),0)),"/")</f>
        <v>20</v>
      </c>
      <c r="V24" s="375" cm="1">
        <f t="array" ref="V24">IFERROR(INDEX('Offer Statistics'!EY$2:EY$145,MATCH(1,($A24='Offer Statistics'!$EN$2:$EN$145)*($S$2='Offer Statistics'!$EO$2:$EO$145),0)),"/")</f>
        <v>2</v>
      </c>
      <c r="W24" s="375" cm="1">
        <f t="array" ref="W24">IFERROR(INDEX('Offer Statistics'!EZ$2:EZ$145,MATCH(1,($A24='Offer Statistics'!$EN$2:$EN$145)*($S$2='Offer Statistics'!$EO$2:$EO$145),0)),"/")</f>
        <v>5</v>
      </c>
      <c r="X24" s="375" cm="1">
        <f t="array" ref="X24">IFERROR(INDEX('Offer Statistics'!FA$2:FA$145,MATCH(1,($A24='Offer Statistics'!$EN$2:$EN$145)*($S$2='Offer Statistics'!$EO$2:$EO$145),0)),"/")</f>
        <v>1</v>
      </c>
      <c r="Y24" s="375" cm="1">
        <f t="array" ref="Y24">IFERROR(INDEX('Offer Statistics'!FB$2:FB$145,MATCH(1,($A24='Offer Statistics'!$EN$2:$EN$145)*($S$2='Offer Statistics'!$EO$2:$EO$145),0)),"/")</f>
        <v>0</v>
      </c>
      <c r="Z24" s="580"/>
      <c r="AA24" s="365" cm="1">
        <f t="array" ref="AA24">IFERROR(INDEX('Offer Statistics'!EU$2:EU$145,MATCH(1,($A24='Offer Statistics'!$EN$2:$EN$145)*($S$2='Offer Statistics'!$EO$2:$EO$145),0)),"/")</f>
        <v>617</v>
      </c>
      <c r="AB24" s="375" cm="1">
        <f t="array" ref="AB24">IFERROR(INDEX('Offer Statistics'!EP$2:EP$145,MATCH(1,($A24='Offer Statistics'!$EN$2:$EN$145)*($S$2='Offer Statistics'!$EO$2:$EO$145),0)),"/")</f>
        <v>70</v>
      </c>
      <c r="AC24" s="375" cm="1">
        <f t="array" ref="AC24">IFERROR(INDEX('Offer Statistics'!EQ$2:EQ$145,MATCH(1,($A24='Offer Statistics'!$EN$2:$EN$145)*($S$2='Offer Statistics'!$EO$2:$EO$145),0)),"/")</f>
        <v>90</v>
      </c>
      <c r="AD24" s="375" cm="1">
        <f t="array" ref="AD24">IFERROR(INDEX('Offer Statistics'!ER$2:ER$145,MATCH(1,($A24='Offer Statistics'!$EN$2:$EN$145)*($S$2='Offer Statistics'!$EO$2:$EO$145),0)),"/")</f>
        <v>122</v>
      </c>
      <c r="AE24" s="375" cm="1">
        <f t="array" ref="AE24">IFERROR(INDEX('Offer Statistics'!ES$2:ES$145,MATCH(1,($A24='Offer Statistics'!$EN$2:$EN$145)*($S$2='Offer Statistics'!$EO$2:$EO$145),0)),"/")</f>
        <v>143</v>
      </c>
      <c r="AF24" s="375" cm="1">
        <f t="array" ref="AF24">IFERROR(INDEX('Offer Statistics'!ET$2:ET$145,MATCH(1,($A24='Offer Statistics'!$EN$2:$EN$145)*($S$2='Offer Statistics'!$EO$2:$EO$145),0)),"/")</f>
        <v>192</v>
      </c>
      <c r="AG24" s="15"/>
      <c r="AH24" s="354" t="str">
        <f t="shared" si="0"/>
        <v>JS9530</v>
      </c>
    </row>
    <row r="25" spans="1:34" ht="18" customHeight="1" x14ac:dyDescent="0.3">
      <c r="A25" s="346" t="str">
        <f>'Reference Score Calculation'!A356</f>
        <v>JS9540</v>
      </c>
      <c r="B25" s="346" t="str">
        <f>'Reference Score Calculation'!C356</f>
        <v>教育及語文學院</v>
      </c>
      <c r="C25" s="346" t="str">
        <f>'Reference Score Calculation'!D356</f>
        <v>英語研究榮譽學士</v>
      </c>
      <c r="D25" s="4" t="s">
        <v>1662</v>
      </c>
      <c r="E25" s="365" t="str">
        <f>'Reference Score Calculation'!E356</f>
        <v>Best 5</v>
      </c>
      <c r="F25" s="347">
        <f>'Reference Score Calculation'!G356</f>
        <v>20</v>
      </c>
      <c r="G25" s="347">
        <f>'Reference Score Calculation'!H356</f>
        <v>19</v>
      </c>
      <c r="H25" s="368">
        <f>計分版!H377</f>
        <v>3.9500000000000006E-9</v>
      </c>
      <c r="I25" s="469">
        <f>IF(I$1="差距(Median)",H25-F25,IF(I$1="差距(UQ)",H25-#REF!,IF(I$1="差距(LQ)",H25-G25)))</f>
        <v>-19.999999996050001</v>
      </c>
      <c r="J25" s="470">
        <f>IF(I$1="差距(Median)",(H25-F25)/H25,IF(I$1="差距(UQ)",(H25-#REF!)/H25,IF(I$1="差距(LQ)",(H25-G25)/H25)))</f>
        <v>-5063291138.2405052</v>
      </c>
      <c r="K25" s="365">
        <f>入學要求!C365</f>
        <v>20</v>
      </c>
      <c r="L25" s="379">
        <f>入學要求!R365</f>
        <v>0</v>
      </c>
      <c r="M25" s="15"/>
      <c r="N25" s="465">
        <f>入學要求!D365</f>
        <v>3</v>
      </c>
      <c r="O25" s="465">
        <f>入學要求!E365</f>
        <v>3</v>
      </c>
      <c r="P25" s="465">
        <f>入學要求!F365</f>
        <v>2</v>
      </c>
      <c r="Q25" s="465">
        <f>入學要求!G365</f>
        <v>2</v>
      </c>
      <c r="R25" s="465">
        <f>入學要求!H365</f>
        <v>2</v>
      </c>
      <c r="S25" s="576"/>
      <c r="T25" s="365" cm="1">
        <f t="array" ref="T25">IFERROR(INDEX('Offer Statistics'!FC$2:FC$145,MATCH(1,($A25='Offer Statistics'!$EN$2:$EN$145)*($S$2='Offer Statistics'!$EO$2:$EO$145),0)),"/")</f>
        <v>38</v>
      </c>
      <c r="U25" s="375" cm="1">
        <f t="array" ref="U25">IFERROR(INDEX('Offer Statistics'!EX$2:EX$145,MATCH(1,($A25='Offer Statistics'!$EN$2:$EN$145)*($S$2='Offer Statistics'!$EO$2:$EO$145),0)),"/")</f>
        <v>21</v>
      </c>
      <c r="V25" s="375" cm="1">
        <f t="array" ref="V25">IFERROR(INDEX('Offer Statistics'!EY$2:EY$145,MATCH(1,($A25='Offer Statistics'!$EN$2:$EN$145)*($S$2='Offer Statistics'!$EO$2:$EO$145),0)),"/")</f>
        <v>7</v>
      </c>
      <c r="W25" s="375" cm="1">
        <f t="array" ref="W25">IFERROR(INDEX('Offer Statistics'!EZ$2:EZ$145,MATCH(1,($A25='Offer Statistics'!$EN$2:$EN$145)*($S$2='Offer Statistics'!$EO$2:$EO$145),0)),"/")</f>
        <v>6</v>
      </c>
      <c r="X25" s="375" cm="1">
        <f t="array" ref="X25">IFERROR(INDEX('Offer Statistics'!FA$2:FA$145,MATCH(1,($A25='Offer Statistics'!$EN$2:$EN$145)*($S$2='Offer Statistics'!$EO$2:$EO$145),0)),"/")</f>
        <v>1</v>
      </c>
      <c r="Y25" s="375" cm="1">
        <f t="array" ref="Y25">IFERROR(INDEX('Offer Statistics'!FB$2:FB$145,MATCH(1,($A25='Offer Statistics'!$EN$2:$EN$145)*($S$2='Offer Statistics'!$EO$2:$EO$145),0)),"/")</f>
        <v>3</v>
      </c>
      <c r="Z25" s="580"/>
      <c r="AA25" s="365" cm="1">
        <f t="array" ref="AA25">IFERROR(INDEX('Offer Statistics'!EU$2:EU$145,MATCH(1,($A25='Offer Statistics'!$EN$2:$EN$145)*($S$2='Offer Statistics'!$EO$2:$EO$145),0)),"/")</f>
        <v>708</v>
      </c>
      <c r="AB25" s="375" cm="1">
        <f t="array" ref="AB25">IFERROR(INDEX('Offer Statistics'!EP$2:EP$145,MATCH(1,($A25='Offer Statistics'!$EN$2:$EN$145)*($S$2='Offer Statistics'!$EO$2:$EO$145),0)),"/")</f>
        <v>76</v>
      </c>
      <c r="AC25" s="375" cm="1">
        <f t="array" ref="AC25">IFERROR(INDEX('Offer Statistics'!EQ$2:EQ$145,MATCH(1,($A25='Offer Statistics'!$EN$2:$EN$145)*($S$2='Offer Statistics'!$EO$2:$EO$145),0)),"/")</f>
        <v>112</v>
      </c>
      <c r="AD25" s="375" cm="1">
        <f t="array" ref="AD25">IFERROR(INDEX('Offer Statistics'!ER$2:ER$145,MATCH(1,($A25='Offer Statistics'!$EN$2:$EN$145)*($S$2='Offer Statistics'!$EO$2:$EO$145),0)),"/")</f>
        <v>132</v>
      </c>
      <c r="AE25" s="375" cm="1">
        <f t="array" ref="AE25">IFERROR(INDEX('Offer Statistics'!ES$2:ES$145,MATCH(1,($A25='Offer Statistics'!$EN$2:$EN$145)*($S$2='Offer Statistics'!$EO$2:$EO$145),0)),"/")</f>
        <v>163</v>
      </c>
      <c r="AF25" s="375" cm="1">
        <f t="array" ref="AF25">IFERROR(INDEX('Offer Statistics'!ET$2:ET$145,MATCH(1,($A25='Offer Statistics'!$EN$2:$EN$145)*($S$2='Offer Statistics'!$EO$2:$EO$145),0)),"/")</f>
        <v>225</v>
      </c>
      <c r="AG25" s="15"/>
      <c r="AH25" s="354" t="str">
        <f t="shared" si="0"/>
        <v>JS9540</v>
      </c>
    </row>
    <row r="26" spans="1:34" ht="18" customHeight="1" x14ac:dyDescent="0.3">
      <c r="A26" s="346" t="str">
        <f>'Reference Score Calculation'!A357</f>
        <v>JS9550</v>
      </c>
      <c r="B26" s="346" t="str">
        <f>'Reference Score Calculation'!C357</f>
        <v>教育及語文學院</v>
      </c>
      <c r="C26" s="346" t="str">
        <f>'Reference Score Calculation'!D357</f>
        <v>語言研究榮譽學士（應用中國語言）</v>
      </c>
      <c r="D26" s="4" t="s">
        <v>1666</v>
      </c>
      <c r="E26" s="365" t="str">
        <f>'Reference Score Calculation'!E357</f>
        <v>Best 5</v>
      </c>
      <c r="F26" s="347">
        <f>'Reference Score Calculation'!G357</f>
        <v>22</v>
      </c>
      <c r="G26" s="347">
        <f>'Reference Score Calculation'!H357</f>
        <v>21</v>
      </c>
      <c r="H26" s="368">
        <f>計分版!H378</f>
        <v>3.9500000000000006E-9</v>
      </c>
      <c r="I26" s="469">
        <f>IF(I$1="差距(Median)",H26-F26,IF(I$1="差距(UQ)",H26-#REF!,IF(I$1="差距(LQ)",H26-G26)))</f>
        <v>-21.999999996050001</v>
      </c>
      <c r="J26" s="470">
        <f>IF(I$1="差距(Median)",(H26-F26)/H26,IF(I$1="差距(UQ)",(H26-#REF!)/H26,IF(I$1="差距(LQ)",(H26-G26)/H26)))</f>
        <v>-5569620252.1645565</v>
      </c>
      <c r="K26" s="365">
        <f>入學要求!C366</f>
        <v>20</v>
      </c>
      <c r="L26" s="379">
        <f>入學要求!R366</f>
        <v>0</v>
      </c>
      <c r="M26" s="15"/>
      <c r="N26" s="465">
        <f>入學要求!D366</f>
        <v>3</v>
      </c>
      <c r="O26" s="465">
        <f>入學要求!E366</f>
        <v>3</v>
      </c>
      <c r="P26" s="465">
        <f>入學要求!F366</f>
        <v>2</v>
      </c>
      <c r="Q26" s="465">
        <f>入學要求!G366</f>
        <v>2</v>
      </c>
      <c r="R26" s="465">
        <f>入學要求!H366</f>
        <v>2</v>
      </c>
      <c r="S26" s="576"/>
      <c r="T26" s="365" cm="1">
        <f t="array" ref="T26">IFERROR(INDEX('Offer Statistics'!FC$2:FC$145,MATCH(1,($A26='Offer Statistics'!$EN$2:$EN$145)*($S$2='Offer Statistics'!$EO$2:$EO$145),0)),"/")</f>
        <v>21</v>
      </c>
      <c r="U26" s="375" cm="1">
        <f t="array" ref="U26">IFERROR(INDEX('Offer Statistics'!EX$2:EX$145,MATCH(1,($A26='Offer Statistics'!$EN$2:$EN$145)*($S$2='Offer Statistics'!$EO$2:$EO$145),0)),"/")</f>
        <v>13</v>
      </c>
      <c r="V26" s="375" cm="1">
        <f t="array" ref="V26">IFERROR(INDEX('Offer Statistics'!EY$2:EY$145,MATCH(1,($A26='Offer Statistics'!$EN$2:$EN$145)*($S$2='Offer Statistics'!$EO$2:$EO$145),0)),"/")</f>
        <v>4</v>
      </c>
      <c r="W26" s="375" cm="1">
        <f t="array" ref="W26">IFERROR(INDEX('Offer Statistics'!EZ$2:EZ$145,MATCH(1,($A26='Offer Statistics'!$EN$2:$EN$145)*($S$2='Offer Statistics'!$EO$2:$EO$145),0)),"/")</f>
        <v>1</v>
      </c>
      <c r="X26" s="375" cm="1">
        <f t="array" ref="X26">IFERROR(INDEX('Offer Statistics'!FA$2:FA$145,MATCH(1,($A26='Offer Statistics'!$EN$2:$EN$145)*($S$2='Offer Statistics'!$EO$2:$EO$145),0)),"/")</f>
        <v>3</v>
      </c>
      <c r="Y26" s="375" cm="1">
        <f t="array" ref="Y26">IFERROR(INDEX('Offer Statistics'!FB$2:FB$145,MATCH(1,($A26='Offer Statistics'!$EN$2:$EN$145)*($S$2='Offer Statistics'!$EO$2:$EO$145),0)),"/")</f>
        <v>0</v>
      </c>
      <c r="Z26" s="580"/>
      <c r="AA26" s="365" cm="1">
        <f t="array" ref="AA26">IFERROR(INDEX('Offer Statistics'!EU$2:EU$145,MATCH(1,($A26='Offer Statistics'!$EN$2:$EN$145)*($S$2='Offer Statistics'!$EO$2:$EO$145),0)),"/")</f>
        <v>681</v>
      </c>
      <c r="AB26" s="375" cm="1">
        <f t="array" ref="AB26">IFERROR(INDEX('Offer Statistics'!EP$2:EP$145,MATCH(1,($A26='Offer Statistics'!$EN$2:$EN$145)*($S$2='Offer Statistics'!$EO$2:$EO$145),0)),"/")</f>
        <v>46</v>
      </c>
      <c r="AC26" s="375" cm="1">
        <f t="array" ref="AC26">IFERROR(INDEX('Offer Statistics'!EQ$2:EQ$145,MATCH(1,($A26='Offer Statistics'!$EN$2:$EN$145)*($S$2='Offer Statistics'!$EO$2:$EO$145),0)),"/")</f>
        <v>103</v>
      </c>
      <c r="AD26" s="375" cm="1">
        <f t="array" ref="AD26">IFERROR(INDEX('Offer Statistics'!ER$2:ER$145,MATCH(1,($A26='Offer Statistics'!$EN$2:$EN$145)*($S$2='Offer Statistics'!$EO$2:$EO$145),0)),"/")</f>
        <v>135</v>
      </c>
      <c r="AE26" s="375" cm="1">
        <f t="array" ref="AE26">IFERROR(INDEX('Offer Statistics'!ES$2:ES$145,MATCH(1,($A26='Offer Statistics'!$EN$2:$EN$145)*($S$2='Offer Statistics'!$EO$2:$EO$145),0)),"/")</f>
        <v>176</v>
      </c>
      <c r="AF26" s="375" cm="1">
        <f t="array" ref="AF26">IFERROR(INDEX('Offer Statistics'!ET$2:ET$145,MATCH(1,($A26='Offer Statistics'!$EN$2:$EN$145)*($S$2='Offer Statistics'!$EO$2:$EO$145),0)),"/")</f>
        <v>221</v>
      </c>
      <c r="AG26" s="15"/>
      <c r="AH26" s="354" t="str">
        <f t="shared" si="0"/>
        <v>JS9550</v>
      </c>
    </row>
    <row r="27" spans="1:34" ht="18" customHeight="1" x14ac:dyDescent="0.3">
      <c r="A27" s="346" t="str">
        <f>'Reference Score Calculation'!A358</f>
        <v>JS9560</v>
      </c>
      <c r="B27" s="346" t="str">
        <f>'Reference Score Calculation'!C358</f>
        <v>教育及語文學院</v>
      </c>
      <c r="C27" s="346" t="str">
        <f>'Reference Score Calculation'!D358</f>
        <v>教育榮譽學士（中國語文教學）及語言研究榮譽學士（應用中國語言）</v>
      </c>
      <c r="D27" s="4" t="s">
        <v>1670</v>
      </c>
      <c r="E27" s="365" t="str">
        <f>'Reference Score Calculation'!E358</f>
        <v>Best 5</v>
      </c>
      <c r="F27" s="347">
        <f>'Reference Score Calculation'!G358</f>
        <v>20</v>
      </c>
      <c r="G27" s="347">
        <f>'Reference Score Calculation'!H358</f>
        <v>19</v>
      </c>
      <c r="H27" s="368">
        <f>計分版!H379</f>
        <v>3.9500000000000006E-9</v>
      </c>
      <c r="I27" s="469">
        <f>IF(I$1="差距(Median)",H27-F27,IF(I$1="差距(UQ)",H27-#REF!,IF(I$1="差距(LQ)",H27-G27)))</f>
        <v>-19.999999996050001</v>
      </c>
      <c r="J27" s="470">
        <f>IF(I$1="差距(Median)",(H27-F27)/H27,IF(I$1="差距(UQ)",(H27-#REF!)/H27,IF(I$1="差距(LQ)",(H27-G27)/H27)))</f>
        <v>-5063291138.2405052</v>
      </c>
      <c r="K27" s="365">
        <f>入學要求!C367</f>
        <v>35</v>
      </c>
      <c r="L27" s="379">
        <f>入學要求!R367</f>
        <v>0</v>
      </c>
      <c r="M27" s="15"/>
      <c r="N27" s="465">
        <f>入學要求!D367</f>
        <v>3</v>
      </c>
      <c r="O27" s="465">
        <f>入學要求!E367</f>
        <v>3</v>
      </c>
      <c r="P27" s="465">
        <f>入學要求!F367</f>
        <v>2</v>
      </c>
      <c r="Q27" s="465">
        <f>入學要求!G367</f>
        <v>2</v>
      </c>
      <c r="R27" s="465">
        <f>入學要求!H367</f>
        <v>2</v>
      </c>
      <c r="S27" s="576"/>
      <c r="T27" s="365" cm="1">
        <f t="array" ref="T27">IFERROR(INDEX('Offer Statistics'!FC$2:FC$145,MATCH(1,($A27='Offer Statistics'!$EN$2:$EN$145)*($S$2='Offer Statistics'!$EO$2:$EO$145),0)),"/")</f>
        <v>25</v>
      </c>
      <c r="U27" s="375" cm="1">
        <f t="array" ref="U27">IFERROR(INDEX('Offer Statistics'!EX$2:EX$145,MATCH(1,($A27='Offer Statistics'!$EN$2:$EN$145)*($S$2='Offer Statistics'!$EO$2:$EO$145),0)),"/")</f>
        <v>20</v>
      </c>
      <c r="V27" s="375" cm="1">
        <f t="array" ref="V27">IFERROR(INDEX('Offer Statistics'!EY$2:EY$145,MATCH(1,($A27='Offer Statistics'!$EN$2:$EN$145)*($S$2='Offer Statistics'!$EO$2:$EO$145),0)),"/")</f>
        <v>5</v>
      </c>
      <c r="W27" s="375" cm="1">
        <f t="array" ref="W27">IFERROR(INDEX('Offer Statistics'!EZ$2:EZ$145,MATCH(1,($A27='Offer Statistics'!$EN$2:$EN$145)*($S$2='Offer Statistics'!$EO$2:$EO$145),0)),"/")</f>
        <v>0</v>
      </c>
      <c r="X27" s="375" cm="1">
        <f t="array" ref="X27">IFERROR(INDEX('Offer Statistics'!FA$2:FA$145,MATCH(1,($A27='Offer Statistics'!$EN$2:$EN$145)*($S$2='Offer Statistics'!$EO$2:$EO$145),0)),"/")</f>
        <v>0</v>
      </c>
      <c r="Y27" s="375" cm="1">
        <f t="array" ref="Y27">IFERROR(INDEX('Offer Statistics'!FB$2:FB$145,MATCH(1,($A27='Offer Statistics'!$EN$2:$EN$145)*($S$2='Offer Statistics'!$EO$2:$EO$145),0)),"/")</f>
        <v>0</v>
      </c>
      <c r="Z27" s="580"/>
      <c r="AA27" s="365" cm="1">
        <f t="array" ref="AA27">IFERROR(INDEX('Offer Statistics'!EU$2:EU$145,MATCH(1,($A27='Offer Statistics'!$EN$2:$EN$145)*($S$2='Offer Statistics'!$EO$2:$EO$145),0)),"/")</f>
        <v>826</v>
      </c>
      <c r="AB27" s="375" cm="1">
        <f t="array" ref="AB27">IFERROR(INDEX('Offer Statistics'!EP$2:EP$145,MATCH(1,($A27='Offer Statistics'!$EN$2:$EN$145)*($S$2='Offer Statistics'!$EO$2:$EO$145),0)),"/")</f>
        <v>95</v>
      </c>
      <c r="AC27" s="375" cm="1">
        <f t="array" ref="AC27">IFERROR(INDEX('Offer Statistics'!EQ$2:EQ$145,MATCH(1,($A27='Offer Statistics'!$EN$2:$EN$145)*($S$2='Offer Statistics'!$EO$2:$EO$145),0)),"/")</f>
        <v>111</v>
      </c>
      <c r="AD27" s="375" cm="1">
        <f t="array" ref="AD27">IFERROR(INDEX('Offer Statistics'!ER$2:ER$145,MATCH(1,($A27='Offer Statistics'!$EN$2:$EN$145)*($S$2='Offer Statistics'!$EO$2:$EO$145),0)),"/")</f>
        <v>167</v>
      </c>
      <c r="AE27" s="375" cm="1">
        <f t="array" ref="AE27">IFERROR(INDEX('Offer Statistics'!ES$2:ES$145,MATCH(1,($A27='Offer Statistics'!$EN$2:$EN$145)*($S$2='Offer Statistics'!$EO$2:$EO$145),0)),"/")</f>
        <v>196</v>
      </c>
      <c r="AF27" s="375" cm="1">
        <f t="array" ref="AF27">IFERROR(INDEX('Offer Statistics'!ET$2:ET$145,MATCH(1,($A27='Offer Statistics'!$EN$2:$EN$145)*($S$2='Offer Statistics'!$EO$2:$EO$145),0)),"/")</f>
        <v>257</v>
      </c>
      <c r="AG27" s="15"/>
      <c r="AH27" s="354" t="str">
        <f t="shared" si="0"/>
        <v>JS9560</v>
      </c>
    </row>
    <row r="28" spans="1:34" ht="18" customHeight="1" x14ac:dyDescent="0.3">
      <c r="A28" s="346" t="str">
        <f>'Reference Score Calculation'!A359</f>
        <v>JS9570</v>
      </c>
      <c r="B28" s="346" t="str">
        <f>'Reference Score Calculation'!C359</f>
        <v>教育及語文學院</v>
      </c>
      <c r="C28" s="346" t="str">
        <f>'Reference Score Calculation'!D359</f>
        <v>語言硏究（雙語傳意）榮譽學士，國際商業榮譽學士</v>
      </c>
      <c r="D28" s="4" t="s">
        <v>1674</v>
      </c>
      <c r="E28" s="354" t="str">
        <f>'Reference Score Calculation'!E359</f>
        <v>Best 5</v>
      </c>
      <c r="F28" s="347">
        <f>'Reference Score Calculation'!G359</f>
        <v>17</v>
      </c>
      <c r="G28" s="347">
        <f>'Reference Score Calculation'!H359</f>
        <v>17</v>
      </c>
      <c r="H28" s="368">
        <f>計分版!H380</f>
        <v>3.9500000000000006E-9</v>
      </c>
      <c r="I28" s="469">
        <f>IF(I$1="差距(Median)",H28-F28,IF(I$1="差距(UQ)",H28-#REF!,IF(I$1="差距(LQ)",H28-G28)))</f>
        <v>-16.999999996050001</v>
      </c>
      <c r="J28" s="470">
        <f>IF(I$1="差距(Median)",(H28-F28)/H28,IF(I$1="差距(UQ)",(H28-#REF!)/H28,IF(I$1="差距(LQ)",(H28-G28)/H28)))</f>
        <v>-4303797467.3544302</v>
      </c>
      <c r="K28" s="365">
        <f>入學要求!C368</f>
        <v>15</v>
      </c>
      <c r="L28" s="379">
        <f>入學要求!R368</f>
        <v>0</v>
      </c>
      <c r="M28" s="15"/>
      <c r="N28" s="465">
        <f>入學要求!D368</f>
        <v>3</v>
      </c>
      <c r="O28" s="465">
        <f>入學要求!E368</f>
        <v>3</v>
      </c>
      <c r="P28" s="465">
        <f>入學要求!F368</f>
        <v>2</v>
      </c>
      <c r="Q28" s="465">
        <f>入學要求!G368</f>
        <v>2</v>
      </c>
      <c r="R28" s="465">
        <f>入學要求!H368</f>
        <v>2</v>
      </c>
      <c r="S28" s="576"/>
      <c r="T28" s="365" cm="1">
        <f t="array" ref="T28">IFERROR(INDEX('Offer Statistics'!FC$2:FC$145,MATCH(1,($A28='Offer Statistics'!$EN$2:$EN$145)*($S$2='Offer Statistics'!$EO$2:$EO$145),0)),"/")</f>
        <v>14</v>
      </c>
      <c r="U28" s="375" cm="1">
        <f t="array" ref="U28">IFERROR(INDEX('Offer Statistics'!EX$2:EX$145,MATCH(1,($A28='Offer Statistics'!$EN$2:$EN$145)*($S$2='Offer Statistics'!$EO$2:$EO$145),0)),"/")</f>
        <v>9</v>
      </c>
      <c r="V28" s="375" cm="1">
        <f t="array" ref="V28">IFERROR(INDEX('Offer Statistics'!EY$2:EY$145,MATCH(1,($A28='Offer Statistics'!$EN$2:$EN$145)*($S$2='Offer Statistics'!$EO$2:$EO$145),0)),"/")</f>
        <v>3</v>
      </c>
      <c r="W28" s="375" cm="1">
        <f t="array" ref="W28">IFERROR(INDEX('Offer Statistics'!EZ$2:EZ$145,MATCH(1,($A28='Offer Statistics'!$EN$2:$EN$145)*($S$2='Offer Statistics'!$EO$2:$EO$145),0)),"/")</f>
        <v>2</v>
      </c>
      <c r="X28" s="375" cm="1">
        <f t="array" ref="X28">IFERROR(INDEX('Offer Statistics'!FA$2:FA$145,MATCH(1,($A28='Offer Statistics'!$EN$2:$EN$145)*($S$2='Offer Statistics'!$EO$2:$EO$145),0)),"/")</f>
        <v>0</v>
      </c>
      <c r="Y28" s="375" cm="1">
        <f t="array" ref="Y28">IFERROR(INDEX('Offer Statistics'!FB$2:FB$145,MATCH(1,($A28='Offer Statistics'!$EN$2:$EN$145)*($S$2='Offer Statistics'!$EO$2:$EO$145),0)),"/")</f>
        <v>0</v>
      </c>
      <c r="Z28" s="580"/>
      <c r="AA28" s="365" cm="1">
        <f t="array" ref="AA28">IFERROR(INDEX('Offer Statistics'!EU$2:EU$145,MATCH(1,($A28='Offer Statistics'!$EN$2:$EN$145)*($S$2='Offer Statistics'!$EO$2:$EO$145),0)),"/")</f>
        <v>635</v>
      </c>
      <c r="AB28" s="375" cm="1">
        <f t="array" ref="AB28">IFERROR(INDEX('Offer Statistics'!EP$2:EP$145,MATCH(1,($A28='Offer Statistics'!$EN$2:$EN$145)*($S$2='Offer Statistics'!$EO$2:$EO$145),0)),"/")</f>
        <v>48</v>
      </c>
      <c r="AC28" s="375" cm="1">
        <f t="array" ref="AC28">IFERROR(INDEX('Offer Statistics'!EQ$2:EQ$145,MATCH(1,($A28='Offer Statistics'!$EN$2:$EN$145)*($S$2='Offer Statistics'!$EO$2:$EO$145),0)),"/")</f>
        <v>106</v>
      </c>
      <c r="AD28" s="375" cm="1">
        <f t="array" ref="AD28">IFERROR(INDEX('Offer Statistics'!ER$2:ER$145,MATCH(1,($A28='Offer Statistics'!$EN$2:$EN$145)*($S$2='Offer Statistics'!$EO$2:$EO$145),0)),"/")</f>
        <v>116</v>
      </c>
      <c r="AE28" s="375" cm="1">
        <f t="array" ref="AE28">IFERROR(INDEX('Offer Statistics'!ES$2:ES$145,MATCH(1,($A28='Offer Statistics'!$EN$2:$EN$145)*($S$2='Offer Statistics'!$EO$2:$EO$145),0)),"/")</f>
        <v>161</v>
      </c>
      <c r="AF28" s="375" cm="1">
        <f t="array" ref="AF28">IFERROR(INDEX('Offer Statistics'!ET$2:ET$145,MATCH(1,($A28='Offer Statistics'!$EN$2:$EN$145)*($S$2='Offer Statistics'!$EO$2:$EO$145),0)),"/")</f>
        <v>204</v>
      </c>
      <c r="AG28" s="15"/>
      <c r="AH28" s="354" t="str">
        <f t="shared" si="0"/>
        <v>JS9570</v>
      </c>
    </row>
    <row r="29" spans="1:34" ht="18" customHeight="1" x14ac:dyDescent="0.3">
      <c r="A29" s="346" t="str">
        <f>'Reference Score Calculation'!A360</f>
        <v>JS9580</v>
      </c>
      <c r="B29" s="346" t="str">
        <f>'Reference Score Calculation'!C360</f>
        <v>教育及語文學院</v>
      </c>
      <c r="C29" s="346" t="str">
        <f>'Reference Score Calculation'!D360</f>
        <v>教育榮譽學士（幼兒教育：領導及特殊教育需要）</v>
      </c>
      <c r="D29" s="4" t="s">
        <v>1678</v>
      </c>
      <c r="E29" s="365" t="str">
        <f>'Reference Score Calculation'!E360</f>
        <v>Best 5</v>
      </c>
      <c r="F29" s="347">
        <f>'Reference Score Calculation'!G360</f>
        <v>16</v>
      </c>
      <c r="G29" s="347">
        <f>'Reference Score Calculation'!H360</f>
        <v>15</v>
      </c>
      <c r="H29" s="368">
        <f>計分版!H381</f>
        <v>3.9500000000000006E-9</v>
      </c>
      <c r="I29" s="469">
        <f>IF(I$1="差距(Median)",H29-F29,IF(I$1="差距(UQ)",H29-#REF!,IF(I$1="差距(LQ)",H29-G29)))</f>
        <v>-15.999999996050001</v>
      </c>
      <c r="J29" s="470">
        <f>IF(I$1="差距(Median)",(H29-F29)/H29,IF(I$1="差距(UQ)",(H29-#REF!)/H29,IF(I$1="差距(LQ)",(H29-G29)/H29)))</f>
        <v>-4050632910.3924046</v>
      </c>
      <c r="K29" s="365">
        <f>入學要求!C369</f>
        <v>40</v>
      </c>
      <c r="L29" s="379">
        <f>入學要求!R369</f>
        <v>0</v>
      </c>
      <c r="M29" s="15"/>
      <c r="N29" s="465">
        <f>入學要求!D369</f>
        <v>3</v>
      </c>
      <c r="O29" s="465">
        <f>入學要求!E369</f>
        <v>3</v>
      </c>
      <c r="P29" s="465">
        <f>入學要求!F369</f>
        <v>2</v>
      </c>
      <c r="Q29" s="465">
        <f>入學要求!G369</f>
        <v>2</v>
      </c>
      <c r="R29" s="465">
        <f>入學要求!H369</f>
        <v>2</v>
      </c>
      <c r="S29" s="576"/>
      <c r="T29" s="365" cm="1">
        <f t="array" ref="T29">IFERROR(INDEX('Offer Statistics'!FC$2:FC$145,MATCH(1,($A29='Offer Statistics'!$EN$2:$EN$145)*($S$2='Offer Statistics'!$EO$2:$EO$145),0)),"/")</f>
        <v>93</v>
      </c>
      <c r="U29" s="375" cm="1">
        <f t="array" ref="U29">IFERROR(INDEX('Offer Statistics'!EX$2:EX$145,MATCH(1,($A29='Offer Statistics'!$EN$2:$EN$145)*($S$2='Offer Statistics'!$EO$2:$EO$145),0)),"/")</f>
        <v>80</v>
      </c>
      <c r="V29" s="375" cm="1">
        <f t="array" ref="V29">IFERROR(INDEX('Offer Statistics'!EY$2:EY$145,MATCH(1,($A29='Offer Statistics'!$EN$2:$EN$145)*($S$2='Offer Statistics'!$EO$2:$EO$145),0)),"/")</f>
        <v>9</v>
      </c>
      <c r="W29" s="375" cm="1">
        <f t="array" ref="W29">IFERROR(INDEX('Offer Statistics'!EZ$2:EZ$145,MATCH(1,($A29='Offer Statistics'!$EN$2:$EN$145)*($S$2='Offer Statistics'!$EO$2:$EO$145),0)),"/")</f>
        <v>3</v>
      </c>
      <c r="X29" s="375" cm="1">
        <f t="array" ref="X29">IFERROR(INDEX('Offer Statistics'!FA$2:FA$145,MATCH(1,($A29='Offer Statistics'!$EN$2:$EN$145)*($S$2='Offer Statistics'!$EO$2:$EO$145),0)),"/")</f>
        <v>1</v>
      </c>
      <c r="Y29" s="375" cm="1">
        <f t="array" ref="Y29">IFERROR(INDEX('Offer Statistics'!FB$2:FB$145,MATCH(1,($A29='Offer Statistics'!$EN$2:$EN$145)*($S$2='Offer Statistics'!$EO$2:$EO$145),0)),"/")</f>
        <v>0</v>
      </c>
      <c r="Z29" s="580"/>
      <c r="AA29" s="365" cm="1">
        <f t="array" ref="AA29">IFERROR(INDEX('Offer Statistics'!EU$2:EU$145,MATCH(1,($A29='Offer Statistics'!$EN$2:$EN$145)*($S$2='Offer Statistics'!$EO$2:$EO$145),0)),"/")</f>
        <v>3080</v>
      </c>
      <c r="AB29" s="375" cm="1">
        <f t="array" ref="AB29">IFERROR(INDEX('Offer Statistics'!EP$2:EP$145,MATCH(1,($A29='Offer Statistics'!$EN$2:$EN$145)*($S$2='Offer Statistics'!$EO$2:$EO$145),0)),"/")</f>
        <v>709</v>
      </c>
      <c r="AC29" s="375" cm="1">
        <f t="array" ref="AC29">IFERROR(INDEX('Offer Statistics'!EQ$2:EQ$145,MATCH(1,($A29='Offer Statistics'!$EN$2:$EN$145)*($S$2='Offer Statistics'!$EO$2:$EO$145),0)),"/")</f>
        <v>653</v>
      </c>
      <c r="AD29" s="375" cm="1">
        <f t="array" ref="AD29">IFERROR(INDEX('Offer Statistics'!ER$2:ER$145,MATCH(1,($A29='Offer Statistics'!$EN$2:$EN$145)*($S$2='Offer Statistics'!$EO$2:$EO$145),0)),"/")</f>
        <v>531</v>
      </c>
      <c r="AE29" s="375" cm="1">
        <f t="array" ref="AE29">IFERROR(INDEX('Offer Statistics'!ES$2:ES$145,MATCH(1,($A29='Offer Statistics'!$EN$2:$EN$145)*($S$2='Offer Statistics'!$EO$2:$EO$145),0)),"/")</f>
        <v>551</v>
      </c>
      <c r="AF29" s="375" cm="1">
        <f t="array" ref="AF29">IFERROR(INDEX('Offer Statistics'!ET$2:ET$145,MATCH(1,($A29='Offer Statistics'!$EN$2:$EN$145)*($S$2='Offer Statistics'!$EO$2:$EO$145),0)),"/")</f>
        <v>636</v>
      </c>
      <c r="AG29" s="15"/>
      <c r="AH29" s="354" t="str">
        <f t="shared" si="0"/>
        <v>JS9580</v>
      </c>
    </row>
    <row r="30" spans="1:34" ht="18" customHeight="1" x14ac:dyDescent="0.3">
      <c r="A30" s="346" t="str">
        <f>'Reference Score Calculation'!A361</f>
        <v>JS9718</v>
      </c>
      <c r="B30" s="346" t="str">
        <f>'Reference Score Calculation'!C361</f>
        <v>科技學院</v>
      </c>
      <c r="C30" s="346" t="str">
        <f>'Reference Score Calculation'!D361</f>
        <v>電腦科學榮譽理學士</v>
      </c>
      <c r="D30" s="4" t="s">
        <v>1682</v>
      </c>
      <c r="E30" s="354" t="str">
        <f>'Reference Score Calculation'!E361</f>
        <v>4C1X</v>
      </c>
      <c r="F30" s="347">
        <f>'Reference Score Calculation'!G361</f>
        <v>16</v>
      </c>
      <c r="G30" s="347">
        <f>'Reference Score Calculation'!H361</f>
        <v>15</v>
      </c>
      <c r="H30" s="368">
        <f>計分版!H382</f>
        <v>1.9500000000000001E-9</v>
      </c>
      <c r="I30" s="469">
        <f>IF(I$1="差距(Median)",H30-F30,IF(I$1="差距(UQ)",H30-#REF!,IF(I$1="差距(LQ)",H30-G30)))</f>
        <v>-15.999999998050001</v>
      </c>
      <c r="J30" s="470">
        <f>IF(I$1="差距(Median)",(H30-F30)/H30,IF(I$1="差距(UQ)",(H30-#REF!)/H30,IF(I$1="差距(LQ)",(H30-G30)/H30)))</f>
        <v>-8205128204.1282053</v>
      </c>
      <c r="K30" s="365">
        <f>入學要求!C370</f>
        <v>35</v>
      </c>
      <c r="L30" s="379">
        <f>入學要求!R370</f>
        <v>0</v>
      </c>
      <c r="M30" s="15"/>
      <c r="N30" s="465">
        <f>入學要求!D370</f>
        <v>3</v>
      </c>
      <c r="O30" s="465">
        <f>入學要求!E370</f>
        <v>3</v>
      </c>
      <c r="P30" s="465">
        <f>入學要求!F370</f>
        <v>2</v>
      </c>
      <c r="Q30" s="465">
        <f>入學要求!G370</f>
        <v>2</v>
      </c>
      <c r="R30" s="465">
        <f>入學要求!H370</f>
        <v>2</v>
      </c>
      <c r="S30" s="576"/>
      <c r="T30" s="365" cm="1">
        <f t="array" ref="T30">IFERROR(INDEX('Offer Statistics'!FC$2:FC$145,MATCH(1,($A30='Offer Statistics'!$EN$2:$EN$145)*($S$2='Offer Statistics'!$EO$2:$EO$145),0)),"/")</f>
        <v>22</v>
      </c>
      <c r="U30" s="375" cm="1">
        <f t="array" ref="U30">IFERROR(INDEX('Offer Statistics'!EX$2:EX$145,MATCH(1,($A30='Offer Statistics'!$EN$2:$EN$145)*($S$2='Offer Statistics'!$EO$2:$EO$145),0)),"/")</f>
        <v>13</v>
      </c>
      <c r="V30" s="375" cm="1">
        <f t="array" ref="V30">IFERROR(INDEX('Offer Statistics'!EY$2:EY$145,MATCH(1,($A30='Offer Statistics'!$EN$2:$EN$145)*($S$2='Offer Statistics'!$EO$2:$EO$145),0)),"/")</f>
        <v>3</v>
      </c>
      <c r="W30" s="375" cm="1">
        <f t="array" ref="W30">IFERROR(INDEX('Offer Statistics'!EZ$2:EZ$145,MATCH(1,($A30='Offer Statistics'!$EN$2:$EN$145)*($S$2='Offer Statistics'!$EO$2:$EO$145),0)),"/")</f>
        <v>0</v>
      </c>
      <c r="X30" s="375" cm="1">
        <f t="array" ref="X30">IFERROR(INDEX('Offer Statistics'!FA$2:FA$145,MATCH(1,($A30='Offer Statistics'!$EN$2:$EN$145)*($S$2='Offer Statistics'!$EO$2:$EO$145),0)),"/")</f>
        <v>2</v>
      </c>
      <c r="Y30" s="375" cm="1">
        <f t="array" ref="Y30">IFERROR(INDEX('Offer Statistics'!FB$2:FB$145,MATCH(1,($A30='Offer Statistics'!$EN$2:$EN$145)*($S$2='Offer Statistics'!$EO$2:$EO$145),0)),"/")</f>
        <v>4</v>
      </c>
      <c r="Z30" s="580"/>
      <c r="AA30" s="365" cm="1">
        <f t="array" ref="AA30">IFERROR(INDEX('Offer Statistics'!EU$2:EU$145,MATCH(1,($A30='Offer Statistics'!$EN$2:$EN$145)*($S$2='Offer Statistics'!$EO$2:$EO$145),0)),"/")</f>
        <v>1166</v>
      </c>
      <c r="AB30" s="375" cm="1">
        <f t="array" ref="AB30">IFERROR(INDEX('Offer Statistics'!EP$2:EP$145,MATCH(1,($A30='Offer Statistics'!$EN$2:$EN$145)*($S$2='Offer Statistics'!$EO$2:$EO$145),0)),"/")</f>
        <v>112</v>
      </c>
      <c r="AC30" s="375" cm="1">
        <f t="array" ref="AC30">IFERROR(INDEX('Offer Statistics'!EQ$2:EQ$145,MATCH(1,($A30='Offer Statistics'!$EN$2:$EN$145)*($S$2='Offer Statistics'!$EO$2:$EO$145),0)),"/")</f>
        <v>182</v>
      </c>
      <c r="AD30" s="375" cm="1">
        <f t="array" ref="AD30">IFERROR(INDEX('Offer Statistics'!ER$2:ER$145,MATCH(1,($A30='Offer Statistics'!$EN$2:$EN$145)*($S$2='Offer Statistics'!$EO$2:$EO$145),0)),"/")</f>
        <v>222</v>
      </c>
      <c r="AE30" s="375" cm="1">
        <f t="array" ref="AE30">IFERROR(INDEX('Offer Statistics'!ES$2:ES$145,MATCH(1,($A30='Offer Statistics'!$EN$2:$EN$145)*($S$2='Offer Statistics'!$EO$2:$EO$145),0)),"/")</f>
        <v>304</v>
      </c>
      <c r="AF30" s="375" cm="1">
        <f t="array" ref="AF30">IFERROR(INDEX('Offer Statistics'!ET$2:ET$145,MATCH(1,($A30='Offer Statistics'!$EN$2:$EN$145)*($S$2='Offer Statistics'!$EO$2:$EO$145),0)),"/")</f>
        <v>346</v>
      </c>
      <c r="AG30" s="15"/>
      <c r="AH30" s="354" t="str">
        <f t="shared" si="0"/>
        <v>JS9718</v>
      </c>
    </row>
    <row r="31" spans="1:34" ht="18" customHeight="1" x14ac:dyDescent="0.3">
      <c r="A31" s="346" t="str">
        <f>'Reference Score Calculation'!A362</f>
        <v>JS9719</v>
      </c>
      <c r="B31" s="346" t="str">
        <f>'Reference Score Calculation'!C362</f>
        <v>科技學院</v>
      </c>
      <c r="C31" s="346" t="str">
        <f>'Reference Score Calculation'!D362</f>
        <v>網路及電腦安全榮譽理學士</v>
      </c>
      <c r="D31" s="4" t="s">
        <v>1686</v>
      </c>
      <c r="E31" s="354" t="str">
        <f>'Reference Score Calculation'!E362</f>
        <v>4C1X</v>
      </c>
      <c r="F31" s="347">
        <f>'Reference Score Calculation'!G362</f>
        <v>16</v>
      </c>
      <c r="G31" s="347">
        <f>'Reference Score Calculation'!H362</f>
        <v>15</v>
      </c>
      <c r="H31" s="368">
        <f>計分版!H383</f>
        <v>1.9500000000000001E-9</v>
      </c>
      <c r="I31" s="469">
        <f>IF(I$1="差距(Median)",H31-F31,IF(I$1="差距(UQ)",H31-#REF!,IF(I$1="差距(LQ)",H31-G31)))</f>
        <v>-15.999999998050001</v>
      </c>
      <c r="J31" s="470">
        <f>IF(I$1="差距(Median)",(H31-F31)/H31,IF(I$1="差距(UQ)",(H31-#REF!)/H31,IF(I$1="差距(LQ)",(H31-G31)/H31)))</f>
        <v>-8205128204.1282053</v>
      </c>
      <c r="K31" s="365">
        <f>入學要求!C371</f>
        <v>30</v>
      </c>
      <c r="L31" s="379">
        <f>入學要求!R371</f>
        <v>0</v>
      </c>
      <c r="M31" s="15"/>
      <c r="N31" s="465">
        <f>入學要求!D371</f>
        <v>3</v>
      </c>
      <c r="O31" s="465">
        <f>入學要求!E371</f>
        <v>3</v>
      </c>
      <c r="P31" s="465">
        <f>入學要求!F371</f>
        <v>2</v>
      </c>
      <c r="Q31" s="465">
        <f>入學要求!G371</f>
        <v>2</v>
      </c>
      <c r="R31" s="465">
        <f>入學要求!H371</f>
        <v>2</v>
      </c>
      <c r="S31" s="576"/>
      <c r="T31" s="365" cm="1">
        <f t="array" ref="T31">IFERROR(INDEX('Offer Statistics'!FC$2:FC$145,MATCH(1,($A31='Offer Statistics'!$EN$2:$EN$145)*($S$2='Offer Statistics'!$EO$2:$EO$145),0)),"/")</f>
        <v>7</v>
      </c>
      <c r="U31" s="375" cm="1">
        <f t="array" ref="U31">IFERROR(INDEX('Offer Statistics'!EX$2:EX$145,MATCH(1,($A31='Offer Statistics'!$EN$2:$EN$145)*($S$2='Offer Statistics'!$EO$2:$EO$145),0)),"/")</f>
        <v>4</v>
      </c>
      <c r="V31" s="375" cm="1">
        <f t="array" ref="V31">IFERROR(INDEX('Offer Statistics'!EY$2:EY$145,MATCH(1,($A31='Offer Statistics'!$EN$2:$EN$145)*($S$2='Offer Statistics'!$EO$2:$EO$145),0)),"/")</f>
        <v>1</v>
      </c>
      <c r="W31" s="375" cm="1">
        <f t="array" ref="W31">IFERROR(INDEX('Offer Statistics'!EZ$2:EZ$145,MATCH(1,($A31='Offer Statistics'!$EN$2:$EN$145)*($S$2='Offer Statistics'!$EO$2:$EO$145),0)),"/")</f>
        <v>0</v>
      </c>
      <c r="X31" s="375" cm="1">
        <f t="array" ref="X31">IFERROR(INDEX('Offer Statistics'!FA$2:FA$145,MATCH(1,($A31='Offer Statistics'!$EN$2:$EN$145)*($S$2='Offer Statistics'!$EO$2:$EO$145),0)),"/")</f>
        <v>0</v>
      </c>
      <c r="Y31" s="375" cm="1">
        <f t="array" ref="Y31">IFERROR(INDEX('Offer Statistics'!FB$2:FB$145,MATCH(1,($A31='Offer Statistics'!$EN$2:$EN$145)*($S$2='Offer Statistics'!$EO$2:$EO$145),0)),"/")</f>
        <v>2</v>
      </c>
      <c r="Z31" s="580"/>
      <c r="AA31" s="365" cm="1">
        <f t="array" ref="AA31">IFERROR(INDEX('Offer Statistics'!EU$2:EU$145,MATCH(1,($A31='Offer Statistics'!$EN$2:$EN$145)*($S$2='Offer Statistics'!$EO$2:$EO$145),0)),"/")</f>
        <v>965</v>
      </c>
      <c r="AB31" s="375" cm="1">
        <f t="array" ref="AB31">IFERROR(INDEX('Offer Statistics'!EP$2:EP$145,MATCH(1,($A31='Offer Statistics'!$EN$2:$EN$145)*($S$2='Offer Statistics'!$EO$2:$EO$145),0)),"/")</f>
        <v>77</v>
      </c>
      <c r="AC31" s="375" cm="1">
        <f t="array" ref="AC31">IFERROR(INDEX('Offer Statistics'!EQ$2:EQ$145,MATCH(1,($A31='Offer Statistics'!$EN$2:$EN$145)*($S$2='Offer Statistics'!$EO$2:$EO$145),0)),"/")</f>
        <v>142</v>
      </c>
      <c r="AD31" s="375" cm="1">
        <f t="array" ref="AD31">IFERROR(INDEX('Offer Statistics'!ER$2:ER$145,MATCH(1,($A31='Offer Statistics'!$EN$2:$EN$145)*($S$2='Offer Statistics'!$EO$2:$EO$145),0)),"/")</f>
        <v>205</v>
      </c>
      <c r="AE31" s="375" cm="1">
        <f t="array" ref="AE31">IFERROR(INDEX('Offer Statistics'!ES$2:ES$145,MATCH(1,($A31='Offer Statistics'!$EN$2:$EN$145)*($S$2='Offer Statistics'!$EO$2:$EO$145),0)),"/")</f>
        <v>254</v>
      </c>
      <c r="AF31" s="375" cm="1">
        <f t="array" ref="AF31">IFERROR(INDEX('Offer Statistics'!ET$2:ET$145,MATCH(1,($A31='Offer Statistics'!$EN$2:$EN$145)*($S$2='Offer Statistics'!$EO$2:$EO$145),0)),"/")</f>
        <v>287</v>
      </c>
      <c r="AG31" s="15"/>
      <c r="AH31" s="354" t="str">
        <f t="shared" si="0"/>
        <v>JS9719</v>
      </c>
    </row>
    <row r="32" spans="1:34" ht="18" customHeight="1" x14ac:dyDescent="0.3">
      <c r="A32" s="346" t="str">
        <f>'Reference Score Calculation'!A363</f>
        <v>JS9720</v>
      </c>
      <c r="B32" s="346" t="str">
        <f>'Reference Score Calculation'!C363</f>
        <v>科技學院</v>
      </c>
      <c r="C32" s="346" t="str">
        <f>'Reference Score Calculation'!D363</f>
        <v>電子及電腦工程學榮譽工學士</v>
      </c>
      <c r="D32" s="4" t="s">
        <v>1690</v>
      </c>
      <c r="E32" s="354" t="str">
        <f>'Reference Score Calculation'!E363</f>
        <v>4C1X</v>
      </c>
      <c r="F32" s="347">
        <f>'Reference Score Calculation'!G363</f>
        <v>16</v>
      </c>
      <c r="G32" s="347">
        <f>'Reference Score Calculation'!H363</f>
        <v>16</v>
      </c>
      <c r="H32" s="368">
        <f>計分版!H384</f>
        <v>1.9500000000000001E-9</v>
      </c>
      <c r="I32" s="469">
        <f>IF(I$1="差距(Median)",H32-F32,IF(I$1="差距(UQ)",H32-#REF!,IF(I$1="差距(LQ)",H32-G32)))</f>
        <v>-15.999999998050001</v>
      </c>
      <c r="J32" s="470">
        <f>IF(I$1="差距(Median)",(H32-F32)/H32,IF(I$1="差距(UQ)",(H32-#REF!)/H32,IF(I$1="差距(LQ)",(H32-G32)/H32)))</f>
        <v>-8205128204.1282053</v>
      </c>
      <c r="K32" s="365">
        <f>入學要求!C372</f>
        <v>30</v>
      </c>
      <c r="L32" s="379">
        <f>入學要求!R372</f>
        <v>0</v>
      </c>
      <c r="M32" s="15"/>
      <c r="N32" s="465">
        <f>入學要求!D372</f>
        <v>3</v>
      </c>
      <c r="O32" s="465">
        <f>入學要求!E372</f>
        <v>3</v>
      </c>
      <c r="P32" s="465">
        <f>入學要求!F372</f>
        <v>2</v>
      </c>
      <c r="Q32" s="465">
        <f>入學要求!G372</f>
        <v>2</v>
      </c>
      <c r="R32" s="465">
        <f>入學要求!H372</f>
        <v>2</v>
      </c>
      <c r="S32" s="576"/>
      <c r="T32" s="365" cm="1">
        <f t="array" ref="T32">IFERROR(INDEX('Offer Statistics'!FC$2:FC$145,MATCH(1,($A32='Offer Statistics'!$EN$2:$EN$145)*($S$2='Offer Statistics'!$EO$2:$EO$145),0)),"/")</f>
        <v>25</v>
      </c>
      <c r="U32" s="375" cm="1">
        <f t="array" ref="U32">IFERROR(INDEX('Offer Statistics'!EX$2:EX$145,MATCH(1,($A32='Offer Statistics'!$EN$2:$EN$145)*($S$2='Offer Statistics'!$EO$2:$EO$145),0)),"/")</f>
        <v>15</v>
      </c>
      <c r="V32" s="375" cm="1">
        <f t="array" ref="V32">IFERROR(INDEX('Offer Statistics'!EY$2:EY$145,MATCH(1,($A32='Offer Statistics'!$EN$2:$EN$145)*($S$2='Offer Statistics'!$EO$2:$EO$145),0)),"/")</f>
        <v>4</v>
      </c>
      <c r="W32" s="375" cm="1">
        <f t="array" ref="W32">IFERROR(INDEX('Offer Statistics'!EZ$2:EZ$145,MATCH(1,($A32='Offer Statistics'!$EN$2:$EN$145)*($S$2='Offer Statistics'!$EO$2:$EO$145),0)),"/")</f>
        <v>5</v>
      </c>
      <c r="X32" s="375" cm="1">
        <f t="array" ref="X32">IFERROR(INDEX('Offer Statistics'!FA$2:FA$145,MATCH(1,($A32='Offer Statistics'!$EN$2:$EN$145)*($S$2='Offer Statistics'!$EO$2:$EO$145),0)),"/")</f>
        <v>1</v>
      </c>
      <c r="Y32" s="375" cm="1">
        <f t="array" ref="Y32">IFERROR(INDEX('Offer Statistics'!FB$2:FB$145,MATCH(1,($A32='Offer Statistics'!$EN$2:$EN$145)*($S$2='Offer Statistics'!$EO$2:$EO$145),0)),"/")</f>
        <v>0</v>
      </c>
      <c r="Z32" s="580"/>
      <c r="AA32" s="365" cm="1">
        <f t="array" ref="AA32">IFERROR(INDEX('Offer Statistics'!EU$2:EU$145,MATCH(1,($A32='Offer Statistics'!$EN$2:$EN$145)*($S$2='Offer Statistics'!$EO$2:$EO$145),0)),"/")</f>
        <v>1393</v>
      </c>
      <c r="AB32" s="375" cm="1">
        <f t="array" ref="AB32">IFERROR(INDEX('Offer Statistics'!EP$2:EP$145,MATCH(1,($A32='Offer Statistics'!$EN$2:$EN$145)*($S$2='Offer Statistics'!$EO$2:$EO$145),0)),"/")</f>
        <v>133</v>
      </c>
      <c r="AC32" s="375" cm="1">
        <f t="array" ref="AC32">IFERROR(INDEX('Offer Statistics'!EQ$2:EQ$145,MATCH(1,($A32='Offer Statistics'!$EN$2:$EN$145)*($S$2='Offer Statistics'!$EO$2:$EO$145),0)),"/")</f>
        <v>195</v>
      </c>
      <c r="AD32" s="375" cm="1">
        <f t="array" ref="AD32">IFERROR(INDEX('Offer Statistics'!ER$2:ER$145,MATCH(1,($A32='Offer Statistics'!$EN$2:$EN$145)*($S$2='Offer Statistics'!$EO$2:$EO$145),0)),"/")</f>
        <v>274</v>
      </c>
      <c r="AE32" s="375" cm="1">
        <f t="array" ref="AE32">IFERROR(INDEX('Offer Statistics'!ES$2:ES$145,MATCH(1,($A32='Offer Statistics'!$EN$2:$EN$145)*($S$2='Offer Statistics'!$EO$2:$EO$145),0)),"/")</f>
        <v>383</v>
      </c>
      <c r="AF32" s="375" cm="1">
        <f t="array" ref="AF32">IFERROR(INDEX('Offer Statistics'!ET$2:ET$145,MATCH(1,($A32='Offer Statistics'!$EN$2:$EN$145)*($S$2='Offer Statistics'!$EO$2:$EO$145),0)),"/")</f>
        <v>408</v>
      </c>
      <c r="AG32" s="15"/>
      <c r="AH32" s="354" t="str">
        <f t="shared" si="0"/>
        <v>JS9720</v>
      </c>
    </row>
    <row r="33" spans="1:36" ht="18" customHeight="1" x14ac:dyDescent="0.3">
      <c r="A33" s="346" t="str">
        <f>'Reference Score Calculation'!A364</f>
        <v>JS9721</v>
      </c>
      <c r="B33" s="346" t="str">
        <f>'Reference Score Calculation'!C364</f>
        <v>科技學院</v>
      </c>
      <c r="C33" s="346" t="str">
        <f>'Reference Score Calculation'!D364</f>
        <v>屋宇設備工程及可持續發展榮譽工學士</v>
      </c>
      <c r="D33" s="4" t="s">
        <v>1694</v>
      </c>
      <c r="E33" s="354" t="str">
        <f>'Reference Score Calculation'!E364</f>
        <v>4C1X</v>
      </c>
      <c r="F33" s="347">
        <f>'Reference Score Calculation'!G364</f>
        <v>16</v>
      </c>
      <c r="G33" s="347">
        <f>'Reference Score Calculation'!H364</f>
        <v>16</v>
      </c>
      <c r="H33" s="368">
        <f>計分版!H385</f>
        <v>1.9500000000000001E-9</v>
      </c>
      <c r="I33" s="469">
        <f>IF(I$1="差距(Median)",H33-F33,IF(I$1="差距(UQ)",H33-#REF!,IF(I$1="差距(LQ)",H33-G33)))</f>
        <v>-15.999999998050001</v>
      </c>
      <c r="J33" s="470">
        <f>IF(I$1="差距(Median)",(H33-F33)/H33,IF(I$1="差距(UQ)",(H33-#REF!)/H33,IF(I$1="差距(LQ)",(H33-G33)/H33)))</f>
        <v>-8205128204.1282053</v>
      </c>
      <c r="K33" s="365">
        <f>入學要求!C373</f>
        <v>30</v>
      </c>
      <c r="L33" s="379">
        <f>入學要求!R373</f>
        <v>0</v>
      </c>
      <c r="M33" s="15"/>
      <c r="N33" s="465">
        <f>入學要求!D373</f>
        <v>3</v>
      </c>
      <c r="O33" s="465">
        <f>入學要求!E373</f>
        <v>3</v>
      </c>
      <c r="P33" s="465">
        <f>入學要求!F373</f>
        <v>2</v>
      </c>
      <c r="Q33" s="465">
        <f>入學要求!G373</f>
        <v>2</v>
      </c>
      <c r="R33" s="465">
        <f>入學要求!H373</f>
        <v>2</v>
      </c>
      <c r="S33" s="576"/>
      <c r="T33" s="365" cm="1">
        <f t="array" ref="T33">IFERROR(INDEX('Offer Statistics'!FC$2:FC$145,MATCH(1,($A33='Offer Statistics'!$EN$2:$EN$145)*($S$2='Offer Statistics'!$EO$2:$EO$145),0)),"/")</f>
        <v>4</v>
      </c>
      <c r="U33" s="375" cm="1">
        <f t="array" ref="U33">IFERROR(INDEX('Offer Statistics'!EX$2:EX$145,MATCH(1,($A33='Offer Statistics'!$EN$2:$EN$145)*($S$2='Offer Statistics'!$EO$2:$EO$145),0)),"/")</f>
        <v>4</v>
      </c>
      <c r="V33" s="375" cm="1">
        <f t="array" ref="V33">IFERROR(INDEX('Offer Statistics'!EY$2:EY$145,MATCH(1,($A33='Offer Statistics'!$EN$2:$EN$145)*($S$2='Offer Statistics'!$EO$2:$EO$145),0)),"/")</f>
        <v>0</v>
      </c>
      <c r="W33" s="375" cm="1">
        <f t="array" ref="W33">IFERROR(INDEX('Offer Statistics'!EZ$2:EZ$145,MATCH(1,($A33='Offer Statistics'!$EN$2:$EN$145)*($S$2='Offer Statistics'!$EO$2:$EO$145),0)),"/")</f>
        <v>0</v>
      </c>
      <c r="X33" s="375" cm="1">
        <f t="array" ref="X33">IFERROR(INDEX('Offer Statistics'!FA$2:FA$145,MATCH(1,($A33='Offer Statistics'!$EN$2:$EN$145)*($S$2='Offer Statistics'!$EO$2:$EO$145),0)),"/")</f>
        <v>0</v>
      </c>
      <c r="Y33" s="375" cm="1">
        <f t="array" ref="Y33">IFERROR(INDEX('Offer Statistics'!FB$2:FB$145,MATCH(1,($A33='Offer Statistics'!$EN$2:$EN$145)*($S$2='Offer Statistics'!$EO$2:$EO$145),0)),"/")</f>
        <v>0</v>
      </c>
      <c r="Z33" s="580"/>
      <c r="AA33" s="365" cm="1">
        <f t="array" ref="AA33">IFERROR(INDEX('Offer Statistics'!EU$2:EU$145,MATCH(1,($A33='Offer Statistics'!$EN$2:$EN$145)*($S$2='Offer Statistics'!$EO$2:$EO$145),0)),"/")</f>
        <v>527</v>
      </c>
      <c r="AB33" s="375" cm="1">
        <f t="array" ref="AB33">IFERROR(INDEX('Offer Statistics'!EP$2:EP$145,MATCH(1,($A33='Offer Statistics'!$EN$2:$EN$145)*($S$2='Offer Statistics'!$EO$2:$EO$145),0)),"/")</f>
        <v>33</v>
      </c>
      <c r="AC33" s="375" cm="1">
        <f t="array" ref="AC33">IFERROR(INDEX('Offer Statistics'!EQ$2:EQ$145,MATCH(1,($A33='Offer Statistics'!$EN$2:$EN$145)*($S$2='Offer Statistics'!$EO$2:$EO$145),0)),"/")</f>
        <v>63</v>
      </c>
      <c r="AD33" s="375" cm="1">
        <f t="array" ref="AD33">IFERROR(INDEX('Offer Statistics'!ER$2:ER$145,MATCH(1,($A33='Offer Statistics'!$EN$2:$EN$145)*($S$2='Offer Statistics'!$EO$2:$EO$145),0)),"/")</f>
        <v>96</v>
      </c>
      <c r="AE33" s="375" cm="1">
        <f t="array" ref="AE33">IFERROR(INDEX('Offer Statistics'!ES$2:ES$145,MATCH(1,($A33='Offer Statistics'!$EN$2:$EN$145)*($S$2='Offer Statistics'!$EO$2:$EO$145),0)),"/")</f>
        <v>130</v>
      </c>
      <c r="AF33" s="375" cm="1">
        <f t="array" ref="AF33">IFERROR(INDEX('Offer Statistics'!ET$2:ET$145,MATCH(1,($A33='Offer Statistics'!$EN$2:$EN$145)*($S$2='Offer Statistics'!$EO$2:$EO$145),0)),"/")</f>
        <v>205</v>
      </c>
      <c r="AG33" s="15"/>
      <c r="AH33" s="354" t="str">
        <f t="shared" si="0"/>
        <v>JS9721</v>
      </c>
    </row>
    <row r="34" spans="1:36" ht="18" customHeight="1" x14ac:dyDescent="0.3">
      <c r="A34" s="346" t="str">
        <f>'Reference Score Calculation'!A365</f>
        <v>JS9722</v>
      </c>
      <c r="B34" s="346" t="str">
        <f>'Reference Score Calculation'!C365</f>
        <v>科技學院</v>
      </c>
      <c r="C34" s="346" t="str">
        <f>'Reference Score Calculation'!D365</f>
        <v>土木及環境工程榮譽工學士</v>
      </c>
      <c r="D34" s="4" t="s">
        <v>1698</v>
      </c>
      <c r="E34" s="354" t="str">
        <f>'Reference Score Calculation'!E365</f>
        <v>4C1X</v>
      </c>
      <c r="F34" s="347">
        <f>'Reference Score Calculation'!G365</f>
        <v>15</v>
      </c>
      <c r="G34" s="347">
        <f>'Reference Score Calculation'!H365</f>
        <v>15</v>
      </c>
      <c r="H34" s="368">
        <f>計分版!H386</f>
        <v>1.9500000000000001E-9</v>
      </c>
      <c r="I34" s="469">
        <f>IF(I$1="差距(Median)",H34-F34,IF(I$1="差距(UQ)",H34-#REF!,IF(I$1="差距(LQ)",H34-G34)))</f>
        <v>-14.999999998050001</v>
      </c>
      <c r="J34" s="470">
        <f>IF(I$1="差距(Median)",(H34-F34)/H34,IF(I$1="差距(UQ)",(H34-#REF!)/H34,IF(I$1="差距(LQ)",(H34-G34)/H34)))</f>
        <v>-7692307691.3076925</v>
      </c>
      <c r="K34" s="365">
        <f>入學要求!C374</f>
        <v>30</v>
      </c>
      <c r="L34" s="379">
        <f>入學要求!R374</f>
        <v>0</v>
      </c>
      <c r="M34" s="15"/>
      <c r="N34" s="465">
        <f>入學要求!D374</f>
        <v>3</v>
      </c>
      <c r="O34" s="465">
        <f>入學要求!E374</f>
        <v>3</v>
      </c>
      <c r="P34" s="465">
        <f>入學要求!F374</f>
        <v>2</v>
      </c>
      <c r="Q34" s="465">
        <f>入學要求!G374</f>
        <v>2</v>
      </c>
      <c r="R34" s="465">
        <f>入學要求!H374</f>
        <v>2</v>
      </c>
      <c r="S34" s="576"/>
      <c r="T34" s="365" cm="1">
        <f t="array" ref="T34">IFERROR(INDEX('Offer Statistics'!FC$2:FC$145,MATCH(1,($A34='Offer Statistics'!$EN$2:$EN$145)*($S$2='Offer Statistics'!$EO$2:$EO$145),0)),"/")</f>
        <v>18</v>
      </c>
      <c r="U34" s="375" cm="1">
        <f t="array" ref="U34">IFERROR(INDEX('Offer Statistics'!EX$2:EX$145,MATCH(1,($A34='Offer Statistics'!$EN$2:$EN$145)*($S$2='Offer Statistics'!$EO$2:$EO$145),0)),"/")</f>
        <v>11</v>
      </c>
      <c r="V34" s="375" cm="1">
        <f t="array" ref="V34">IFERROR(INDEX('Offer Statistics'!EY$2:EY$145,MATCH(1,($A34='Offer Statistics'!$EN$2:$EN$145)*($S$2='Offer Statistics'!$EO$2:$EO$145),0)),"/")</f>
        <v>3</v>
      </c>
      <c r="W34" s="375" cm="1">
        <f t="array" ref="W34">IFERROR(INDEX('Offer Statistics'!EZ$2:EZ$145,MATCH(1,($A34='Offer Statistics'!$EN$2:$EN$145)*($S$2='Offer Statistics'!$EO$2:$EO$145),0)),"/")</f>
        <v>3</v>
      </c>
      <c r="X34" s="375" cm="1">
        <f t="array" ref="X34">IFERROR(INDEX('Offer Statistics'!FA$2:FA$145,MATCH(1,($A34='Offer Statistics'!$EN$2:$EN$145)*($S$2='Offer Statistics'!$EO$2:$EO$145),0)),"/")</f>
        <v>1</v>
      </c>
      <c r="Y34" s="375" cm="1">
        <f t="array" ref="Y34">IFERROR(INDEX('Offer Statistics'!FB$2:FB$145,MATCH(1,($A34='Offer Statistics'!$EN$2:$EN$145)*($S$2='Offer Statistics'!$EO$2:$EO$145),0)),"/")</f>
        <v>0</v>
      </c>
      <c r="Z34" s="580"/>
      <c r="AA34" s="365" cm="1">
        <f t="array" ref="AA34">IFERROR(INDEX('Offer Statistics'!EU$2:EU$145,MATCH(1,($A34='Offer Statistics'!$EN$2:$EN$145)*($S$2='Offer Statistics'!$EO$2:$EO$145),0)),"/")</f>
        <v>850</v>
      </c>
      <c r="AB34" s="375" cm="1">
        <f t="array" ref="AB34">IFERROR(INDEX('Offer Statistics'!EP$2:EP$145,MATCH(1,($A34='Offer Statistics'!$EN$2:$EN$145)*($S$2='Offer Statistics'!$EO$2:$EO$145),0)),"/")</f>
        <v>51</v>
      </c>
      <c r="AC34" s="375" cm="1">
        <f t="array" ref="AC34">IFERROR(INDEX('Offer Statistics'!EQ$2:EQ$145,MATCH(1,($A34='Offer Statistics'!$EN$2:$EN$145)*($S$2='Offer Statistics'!$EO$2:$EO$145),0)),"/")</f>
        <v>103</v>
      </c>
      <c r="AD34" s="375" cm="1">
        <f t="array" ref="AD34">IFERROR(INDEX('Offer Statistics'!ER$2:ER$145,MATCH(1,($A34='Offer Statistics'!$EN$2:$EN$145)*($S$2='Offer Statistics'!$EO$2:$EO$145),0)),"/")</f>
        <v>167</v>
      </c>
      <c r="AE34" s="375" cm="1">
        <f t="array" ref="AE34">IFERROR(INDEX('Offer Statistics'!ES$2:ES$145,MATCH(1,($A34='Offer Statistics'!$EN$2:$EN$145)*($S$2='Offer Statistics'!$EO$2:$EO$145),0)),"/")</f>
        <v>241</v>
      </c>
      <c r="AF34" s="375" cm="1">
        <f t="array" ref="AF34">IFERROR(INDEX('Offer Statistics'!ET$2:ET$145,MATCH(1,($A34='Offer Statistics'!$EN$2:$EN$145)*($S$2='Offer Statistics'!$EO$2:$EO$145),0)),"/")</f>
        <v>288</v>
      </c>
      <c r="AG34" s="15"/>
      <c r="AH34" s="354" t="str">
        <f t="shared" si="0"/>
        <v>JS9722</v>
      </c>
    </row>
    <row r="35" spans="1:36" ht="18" customHeight="1" x14ac:dyDescent="0.3">
      <c r="A35" s="346" t="str">
        <f>'Reference Score Calculation'!A366</f>
        <v>JS9731</v>
      </c>
      <c r="B35" s="346" t="str">
        <f>'Reference Score Calculation'!C366</f>
        <v>科技學院</v>
      </c>
      <c r="C35" s="346" t="str">
        <f>'Reference Score Calculation'!D366</f>
        <v>環境科學與綠色管理榮譽理學士</v>
      </c>
      <c r="D35" s="4" t="s">
        <v>1702</v>
      </c>
      <c r="E35" s="354" t="str">
        <f>'Reference Score Calculation'!E366</f>
        <v>4C1X</v>
      </c>
      <c r="F35" s="347">
        <f>'Reference Score Calculation'!G366</f>
        <v>15</v>
      </c>
      <c r="G35" s="347">
        <f>'Reference Score Calculation'!H366</f>
        <v>15</v>
      </c>
      <c r="H35" s="368">
        <f>計分版!H387</f>
        <v>1.9500000000000001E-9</v>
      </c>
      <c r="I35" s="469">
        <f>IF(I$1="差距(Median)",H35-F35,IF(I$1="差距(UQ)",H35-#REF!,IF(I$1="差距(LQ)",H35-G35)))</f>
        <v>-14.999999998050001</v>
      </c>
      <c r="J35" s="470">
        <f>IF(I$1="差距(Median)",(H35-F35)/H35,IF(I$1="差距(UQ)",(H35-#REF!)/H35,IF(I$1="差距(LQ)",(H35-G35)/H35)))</f>
        <v>-7692307691.3076925</v>
      </c>
      <c r="K35" s="365">
        <f>入學要求!C375</f>
        <v>35</v>
      </c>
      <c r="L35" s="379">
        <f>入學要求!R375</f>
        <v>0</v>
      </c>
      <c r="M35" s="15"/>
      <c r="N35" s="465">
        <f>入學要求!D375</f>
        <v>3</v>
      </c>
      <c r="O35" s="465">
        <f>入學要求!E375</f>
        <v>3</v>
      </c>
      <c r="P35" s="465">
        <f>入學要求!F375</f>
        <v>2</v>
      </c>
      <c r="Q35" s="465">
        <f>入學要求!G375</f>
        <v>2</v>
      </c>
      <c r="R35" s="465">
        <f>入學要求!H375</f>
        <v>2</v>
      </c>
      <c r="S35" s="576"/>
      <c r="T35" s="365" cm="1">
        <f t="array" ref="T35">IFERROR(INDEX('Offer Statistics'!FC$2:FC$145,MATCH(1,($A35='Offer Statistics'!$EN$2:$EN$145)*($S$2='Offer Statistics'!$EO$2:$EO$145),0)),"/")</f>
        <v>27</v>
      </c>
      <c r="U35" s="375" cm="1">
        <f t="array" ref="U35">IFERROR(INDEX('Offer Statistics'!EX$2:EX$145,MATCH(1,($A35='Offer Statistics'!$EN$2:$EN$145)*($S$2='Offer Statistics'!$EO$2:$EO$145),0)),"/")</f>
        <v>20</v>
      </c>
      <c r="V35" s="375" cm="1">
        <f t="array" ref="V35">IFERROR(INDEX('Offer Statistics'!EY$2:EY$145,MATCH(1,($A35='Offer Statistics'!$EN$2:$EN$145)*($S$2='Offer Statistics'!$EO$2:$EO$145),0)),"/")</f>
        <v>4</v>
      </c>
      <c r="W35" s="375" cm="1">
        <f t="array" ref="W35">IFERROR(INDEX('Offer Statistics'!EZ$2:EZ$145,MATCH(1,($A35='Offer Statistics'!$EN$2:$EN$145)*($S$2='Offer Statistics'!$EO$2:$EO$145),0)),"/")</f>
        <v>2</v>
      </c>
      <c r="X35" s="375" cm="1">
        <f t="array" ref="X35">IFERROR(INDEX('Offer Statistics'!FA$2:FA$145,MATCH(1,($A35='Offer Statistics'!$EN$2:$EN$145)*($S$2='Offer Statistics'!$EO$2:$EO$145),0)),"/")</f>
        <v>0</v>
      </c>
      <c r="Y35" s="375" cm="1">
        <f t="array" ref="Y35">IFERROR(INDEX('Offer Statistics'!FB$2:FB$145,MATCH(1,($A35='Offer Statistics'!$EN$2:$EN$145)*($S$2='Offer Statistics'!$EO$2:$EO$145),0)),"/")</f>
        <v>1</v>
      </c>
      <c r="Z35" s="580"/>
      <c r="AA35" s="365" cm="1">
        <f t="array" ref="AA35">IFERROR(INDEX('Offer Statistics'!EU$2:EU$145,MATCH(1,($A35='Offer Statistics'!$EN$2:$EN$145)*($S$2='Offer Statistics'!$EO$2:$EO$145),0)),"/")</f>
        <v>1424</v>
      </c>
      <c r="AB35" s="375" cm="1">
        <f t="array" ref="AB35">IFERROR(INDEX('Offer Statistics'!EP$2:EP$145,MATCH(1,($A35='Offer Statistics'!$EN$2:$EN$145)*($S$2='Offer Statistics'!$EO$2:$EO$145),0)),"/")</f>
        <v>129</v>
      </c>
      <c r="AC35" s="375" cm="1">
        <f t="array" ref="AC35">IFERROR(INDEX('Offer Statistics'!EQ$2:EQ$145,MATCH(1,($A35='Offer Statistics'!$EN$2:$EN$145)*($S$2='Offer Statistics'!$EO$2:$EO$145),0)),"/")</f>
        <v>212</v>
      </c>
      <c r="AD35" s="375" cm="1">
        <f t="array" ref="AD35">IFERROR(INDEX('Offer Statistics'!ER$2:ER$145,MATCH(1,($A35='Offer Statistics'!$EN$2:$EN$145)*($S$2='Offer Statistics'!$EO$2:$EO$145),0)),"/")</f>
        <v>305</v>
      </c>
      <c r="AE35" s="375" cm="1">
        <f t="array" ref="AE35">IFERROR(INDEX('Offer Statistics'!ES$2:ES$145,MATCH(1,($A35='Offer Statistics'!$EN$2:$EN$145)*($S$2='Offer Statistics'!$EO$2:$EO$145),0)),"/")</f>
        <v>329</v>
      </c>
      <c r="AF35" s="375" cm="1">
        <f t="array" ref="AF35">IFERROR(INDEX('Offer Statistics'!ET$2:ET$145,MATCH(1,($A35='Offer Statistics'!$EN$2:$EN$145)*($S$2='Offer Statistics'!$EO$2:$EO$145),0)),"/")</f>
        <v>449</v>
      </c>
      <c r="AG35" s="15"/>
      <c r="AH35" s="354" t="str">
        <f t="shared" si="0"/>
        <v>JS9731</v>
      </c>
    </row>
    <row r="36" spans="1:36" ht="18" customHeight="1" x14ac:dyDescent="0.3">
      <c r="A36" s="346" t="str">
        <f>'Reference Score Calculation'!A367</f>
        <v>JS9732</v>
      </c>
      <c r="B36" s="346" t="str">
        <f>'Reference Score Calculation'!C367</f>
        <v>科技學院</v>
      </c>
      <c r="C36" s="346" t="str">
        <f>'Reference Score Calculation'!D367</f>
        <v>生命科學榮譽理學士</v>
      </c>
      <c r="D36" s="4" t="s">
        <v>1706</v>
      </c>
      <c r="E36" s="354" t="str">
        <f>'Reference Score Calculation'!E367</f>
        <v>4C1X</v>
      </c>
      <c r="F36" s="347">
        <f>'Reference Score Calculation'!G367</f>
        <v>16</v>
      </c>
      <c r="G36" s="347">
        <f>'Reference Score Calculation'!H367</f>
        <v>15</v>
      </c>
      <c r="H36" s="368">
        <f>計分版!H388</f>
        <v>1.9500000000000001E-9</v>
      </c>
      <c r="I36" s="469">
        <f>IF(I$1="差距(Median)",H36-F36,IF(I$1="差距(UQ)",H36-#REF!,IF(I$1="差距(LQ)",H36-G36)))</f>
        <v>-15.999999998050001</v>
      </c>
      <c r="J36" s="470">
        <f>IF(I$1="差距(Median)",(H36-F36)/H36,IF(I$1="差距(UQ)",(H36-#REF!)/H36,IF(I$1="差距(LQ)",(H36-G36)/H36)))</f>
        <v>-8205128204.1282053</v>
      </c>
      <c r="K36" s="365">
        <f>入學要求!C376</f>
        <v>30</v>
      </c>
      <c r="L36" s="379">
        <f>入學要求!R376</f>
        <v>0</v>
      </c>
      <c r="M36" s="15"/>
      <c r="N36" s="465">
        <f>入學要求!D376</f>
        <v>3</v>
      </c>
      <c r="O36" s="465">
        <f>入學要求!E376</f>
        <v>3</v>
      </c>
      <c r="P36" s="465">
        <f>入學要求!F376</f>
        <v>2</v>
      </c>
      <c r="Q36" s="465">
        <f>入學要求!G376</f>
        <v>2</v>
      </c>
      <c r="R36" s="465">
        <f>入學要求!H376</f>
        <v>2</v>
      </c>
      <c r="S36" s="576"/>
      <c r="T36" s="365" cm="1">
        <f t="array" ref="T36">IFERROR(INDEX('Offer Statistics'!FC$2:FC$145,MATCH(1,($A36='Offer Statistics'!$EN$2:$EN$145)*($S$2='Offer Statistics'!$EO$2:$EO$145),0)),"/")</f>
        <v>25</v>
      </c>
      <c r="U36" s="375" cm="1">
        <f t="array" ref="U36">IFERROR(INDEX('Offer Statistics'!EX$2:EX$145,MATCH(1,($A36='Offer Statistics'!$EN$2:$EN$145)*($S$2='Offer Statistics'!$EO$2:$EO$145),0)),"/")</f>
        <v>17</v>
      </c>
      <c r="V36" s="375" cm="1">
        <f t="array" ref="V36">IFERROR(INDEX('Offer Statistics'!EY$2:EY$145,MATCH(1,($A36='Offer Statistics'!$EN$2:$EN$145)*($S$2='Offer Statistics'!$EO$2:$EO$145),0)),"/")</f>
        <v>1</v>
      </c>
      <c r="W36" s="375" cm="1">
        <f t="array" ref="W36">IFERROR(INDEX('Offer Statistics'!EZ$2:EZ$145,MATCH(1,($A36='Offer Statistics'!$EN$2:$EN$145)*($S$2='Offer Statistics'!$EO$2:$EO$145),0)),"/")</f>
        <v>3</v>
      </c>
      <c r="X36" s="375" cm="1">
        <f t="array" ref="X36">IFERROR(INDEX('Offer Statistics'!FA$2:FA$145,MATCH(1,($A36='Offer Statistics'!$EN$2:$EN$145)*($S$2='Offer Statistics'!$EO$2:$EO$145),0)),"/")</f>
        <v>3</v>
      </c>
      <c r="Y36" s="375" cm="1">
        <f t="array" ref="Y36">IFERROR(INDEX('Offer Statistics'!FB$2:FB$145,MATCH(1,($A36='Offer Statistics'!$EN$2:$EN$145)*($S$2='Offer Statistics'!$EO$2:$EO$145),0)),"/")</f>
        <v>1</v>
      </c>
      <c r="Z36" s="580"/>
      <c r="AA36" s="365" cm="1">
        <f t="array" ref="AA36">IFERROR(INDEX('Offer Statistics'!EU$2:EU$145,MATCH(1,($A36='Offer Statistics'!$EN$2:$EN$145)*($S$2='Offer Statistics'!$EO$2:$EO$145),0)),"/")</f>
        <v>1044</v>
      </c>
      <c r="AB36" s="375" cm="1">
        <f t="array" ref="AB36">IFERROR(INDEX('Offer Statistics'!EP$2:EP$145,MATCH(1,($A36='Offer Statistics'!$EN$2:$EN$145)*($S$2='Offer Statistics'!$EO$2:$EO$145),0)),"/")</f>
        <v>63</v>
      </c>
      <c r="AC36" s="375" cm="1">
        <f t="array" ref="AC36">IFERROR(INDEX('Offer Statistics'!EQ$2:EQ$145,MATCH(1,($A36='Offer Statistics'!$EN$2:$EN$145)*($S$2='Offer Statistics'!$EO$2:$EO$145),0)),"/")</f>
        <v>127</v>
      </c>
      <c r="AD36" s="375" cm="1">
        <f t="array" ref="AD36">IFERROR(INDEX('Offer Statistics'!ER$2:ER$145,MATCH(1,($A36='Offer Statistics'!$EN$2:$EN$145)*($S$2='Offer Statistics'!$EO$2:$EO$145),0)),"/")</f>
        <v>221</v>
      </c>
      <c r="AE36" s="375" cm="1">
        <f t="array" ref="AE36">IFERROR(INDEX('Offer Statistics'!ES$2:ES$145,MATCH(1,($A36='Offer Statistics'!$EN$2:$EN$145)*($S$2='Offer Statistics'!$EO$2:$EO$145),0)),"/")</f>
        <v>272</v>
      </c>
      <c r="AF36" s="375" cm="1">
        <f t="array" ref="AF36">IFERROR(INDEX('Offer Statistics'!ET$2:ET$145,MATCH(1,($A36='Offer Statistics'!$EN$2:$EN$145)*($S$2='Offer Statistics'!$EO$2:$EO$145),0)),"/")</f>
        <v>361</v>
      </c>
      <c r="AG36" s="15"/>
      <c r="AH36" s="354" t="str">
        <f t="shared" si="0"/>
        <v>JS9732</v>
      </c>
    </row>
    <row r="37" spans="1:36" s="344" customFormat="1" ht="18" customHeight="1" x14ac:dyDescent="0.3">
      <c r="A37" s="346" t="str">
        <f>'Reference Score Calculation'!A368</f>
        <v>JS9733</v>
      </c>
      <c r="B37" s="346" t="str">
        <f>'Reference Score Calculation'!C368</f>
        <v>科技學院</v>
      </c>
      <c r="C37" s="346" t="str">
        <f>'Reference Score Calculation'!D368</f>
        <v>科學（ＳＴＥＭ）榮譽理學士</v>
      </c>
      <c r="D37" s="346"/>
      <c r="E37" s="354" t="str">
        <f>'Reference Score Calculation'!AD368</f>
        <v>4C1X</v>
      </c>
      <c r="F37" s="347" t="str">
        <f>'Reference Score Calculation'!G368</f>
        <v>/</v>
      </c>
      <c r="G37" s="347" t="str">
        <f>'Reference Score Calculation'!H368</f>
        <v>/</v>
      </c>
      <c r="H37" s="368">
        <f>計分版!H389</f>
        <v>1.9500000000000001E-9</v>
      </c>
      <c r="I37" s="472" t="s">
        <v>1978</v>
      </c>
      <c r="J37" s="472" t="s">
        <v>1978</v>
      </c>
      <c r="K37" s="365">
        <f>入學要求!C377</f>
        <v>30</v>
      </c>
      <c r="L37" s="379">
        <f>入學要求!R377</f>
        <v>0</v>
      </c>
      <c r="M37" s="354"/>
      <c r="N37" s="466">
        <f>入學要求!D377</f>
        <v>3</v>
      </c>
      <c r="O37" s="466">
        <f>入學要求!E377</f>
        <v>3</v>
      </c>
      <c r="P37" s="466">
        <f>入學要求!F377</f>
        <v>2</v>
      </c>
      <c r="Q37" s="466">
        <f>入學要求!G377</f>
        <v>2</v>
      </c>
      <c r="R37" s="466">
        <f>入學要求!H377</f>
        <v>2</v>
      </c>
      <c r="S37" s="576"/>
      <c r="T37" s="365" t="str" cm="1">
        <f t="array" ref="T37">IFERROR(INDEX('Offer Statistics'!FC$2:FC$145,MATCH(1,($A37='Offer Statistics'!$EN$2:$EN$145)*($S$2='Offer Statistics'!$EO$2:$EO$145),0)),"/")</f>
        <v>/</v>
      </c>
      <c r="U37" s="375" t="str" cm="1">
        <f t="array" ref="U37">IFERROR(INDEX('Offer Statistics'!EX$2:EX$145,MATCH(1,($A37='Offer Statistics'!$EN$2:$EN$145)*($S$2='Offer Statistics'!$EO$2:$EO$145),0)),"/")</f>
        <v>/</v>
      </c>
      <c r="V37" s="375" t="str" cm="1">
        <f t="array" ref="V37">IFERROR(INDEX('Offer Statistics'!EY$2:EY$145,MATCH(1,($A37='Offer Statistics'!$EN$2:$EN$145)*($S$2='Offer Statistics'!$EO$2:$EO$145),0)),"/")</f>
        <v>/</v>
      </c>
      <c r="W37" s="375" t="str" cm="1">
        <f t="array" ref="W37">IFERROR(INDEX('Offer Statistics'!EZ$2:EZ$145,MATCH(1,($A37='Offer Statistics'!$EN$2:$EN$145)*($S$2='Offer Statistics'!$EO$2:$EO$145),0)),"/")</f>
        <v>/</v>
      </c>
      <c r="X37" s="375" t="str" cm="1">
        <f t="array" ref="X37">IFERROR(INDEX('Offer Statistics'!FA$2:FA$145,MATCH(1,($A37='Offer Statistics'!$EN$2:$EN$145)*($S$2='Offer Statistics'!$EO$2:$EO$145),0)),"/")</f>
        <v>/</v>
      </c>
      <c r="Y37" s="375" t="str" cm="1">
        <f t="array" ref="Y37">IFERROR(INDEX('Offer Statistics'!FB$2:FB$145,MATCH(1,($A37='Offer Statistics'!$EN$2:$EN$145)*($S$2='Offer Statistics'!$EO$2:$EO$145),0)),"/")</f>
        <v>/</v>
      </c>
      <c r="Z37" s="580"/>
      <c r="AA37" s="365" t="str" cm="1">
        <f t="array" ref="AA37">IFERROR(INDEX('Offer Statistics'!EU$2:EU$145,MATCH(1,($A37='Offer Statistics'!$EN$2:$EN$145)*($S$2='Offer Statistics'!$EO$2:$EO$145),0)),"/")</f>
        <v>/</v>
      </c>
      <c r="AB37" s="375" t="str" cm="1">
        <f t="array" ref="AB37">IFERROR(INDEX('Offer Statistics'!EP$2:EP$145,MATCH(1,($A37='Offer Statistics'!$EN$2:$EN$145)*($S$2='Offer Statistics'!$EO$2:$EO$145),0)),"/")</f>
        <v>/</v>
      </c>
      <c r="AC37" s="375" t="str" cm="1">
        <f t="array" ref="AC37">IFERROR(INDEX('Offer Statistics'!EQ$2:EQ$145,MATCH(1,($A37='Offer Statistics'!$EN$2:$EN$145)*($S$2='Offer Statistics'!$EO$2:$EO$145),0)),"/")</f>
        <v>/</v>
      </c>
      <c r="AD37" s="375" t="str" cm="1">
        <f t="array" ref="AD37">IFERROR(INDEX('Offer Statistics'!ER$2:ER$145,MATCH(1,($A37='Offer Statistics'!$EN$2:$EN$145)*($S$2='Offer Statistics'!$EO$2:$EO$145),0)),"/")</f>
        <v>/</v>
      </c>
      <c r="AE37" s="375" t="str" cm="1">
        <f t="array" ref="AE37">IFERROR(INDEX('Offer Statistics'!ES$2:ES$145,MATCH(1,($A37='Offer Statistics'!$EN$2:$EN$145)*($S$2='Offer Statistics'!$EO$2:$EO$145),0)),"/")</f>
        <v>/</v>
      </c>
      <c r="AF37" s="375" t="str" cm="1">
        <f t="array" ref="AF37">IFERROR(INDEX('Offer Statistics'!ET$2:ET$145,MATCH(1,($A37='Offer Statistics'!$EN$2:$EN$145)*($S$2='Offer Statistics'!$EO$2:$EO$145),0)),"/")</f>
        <v>/</v>
      </c>
      <c r="AG37" s="354"/>
      <c r="AH37" s="354" t="str">
        <f t="shared" si="0"/>
        <v>JS9733</v>
      </c>
    </row>
    <row r="38" spans="1:36" ht="18" customHeight="1" x14ac:dyDescent="0.3">
      <c r="AA38" s="4"/>
      <c r="AE38" s="4"/>
      <c r="AF38" s="4"/>
      <c r="AG38" s="4"/>
      <c r="AH38" s="4"/>
    </row>
    <row r="39" spans="1:36" ht="18" customHeight="1" x14ac:dyDescent="0.3">
      <c r="A39" s="4" t="s">
        <v>3475</v>
      </c>
      <c r="B39" s="4"/>
      <c r="C39" s="4"/>
      <c r="D39" s="4"/>
      <c r="F39" s="15"/>
      <c r="G39" s="15"/>
      <c r="H39" s="15"/>
      <c r="I39" s="22"/>
      <c r="J39" s="23"/>
      <c r="K39" s="15"/>
      <c r="L39" s="15"/>
      <c r="M39" s="15"/>
      <c r="N39" s="15"/>
      <c r="O39" s="15"/>
      <c r="P39" s="15"/>
      <c r="Q39" s="15"/>
      <c r="R39" s="15"/>
      <c r="AA39" s="4"/>
      <c r="AE39" s="4"/>
      <c r="AF39" s="4"/>
      <c r="AG39" s="4"/>
      <c r="AH39" s="4"/>
    </row>
    <row r="40" spans="1:36" ht="18" customHeight="1" x14ac:dyDescent="0.3">
      <c r="A40" s="4" t="s">
        <v>2589</v>
      </c>
      <c r="B40" s="4"/>
      <c r="C40" s="4"/>
      <c r="D40" s="4"/>
      <c r="F40" s="15"/>
      <c r="G40" s="15"/>
      <c r="H40" s="15"/>
      <c r="I40" s="22"/>
      <c r="J40" s="23"/>
      <c r="K40" s="15"/>
      <c r="L40" s="15"/>
      <c r="M40" s="15"/>
      <c r="N40" s="15"/>
      <c r="O40" s="15"/>
      <c r="P40" s="15"/>
      <c r="Q40" s="15"/>
      <c r="R40" s="15"/>
      <c r="AA40" s="4"/>
      <c r="AE40" s="4"/>
      <c r="AF40" s="4"/>
      <c r="AG40" s="4"/>
      <c r="AH40" s="4"/>
    </row>
    <row r="41" spans="1:36" s="4" customFormat="1" ht="18" customHeight="1" x14ac:dyDescent="0.3">
      <c r="C41" s="23"/>
      <c r="E41" s="15"/>
      <c r="H41" s="15"/>
      <c r="K41" s="37"/>
      <c r="L41" s="15"/>
    </row>
    <row r="42" spans="1:36" s="4" customFormat="1" ht="18" customHeight="1" x14ac:dyDescent="0.3">
      <c r="A42" s="4" t="s">
        <v>2870</v>
      </c>
      <c r="E42" s="37"/>
      <c r="F42" s="15"/>
      <c r="G42" s="15"/>
      <c r="H42" s="15"/>
      <c r="I42" s="15"/>
      <c r="J42" s="22"/>
      <c r="K42" s="23"/>
      <c r="L42" s="15"/>
      <c r="N42" s="15"/>
      <c r="O42" s="15"/>
      <c r="P42" s="15"/>
      <c r="Q42" s="15"/>
      <c r="R42" s="15"/>
      <c r="S42" s="15"/>
      <c r="T42" s="15"/>
      <c r="U42" s="528" t="s">
        <v>3539</v>
      </c>
      <c r="V42" s="15"/>
      <c r="W42" s="15"/>
      <c r="X42" s="15"/>
      <c r="Y42" s="15"/>
      <c r="Z42" s="15"/>
      <c r="AA42" s="15"/>
      <c r="AB42" s="15"/>
      <c r="AC42" s="15"/>
      <c r="AD42" s="15"/>
      <c r="AE42" s="15"/>
      <c r="AF42" s="15"/>
      <c r="AG42" s="15"/>
      <c r="AH42" s="15"/>
      <c r="AJ42" s="15"/>
    </row>
    <row r="43" spans="1:36" ht="18" customHeight="1" x14ac:dyDescent="0.3">
      <c r="A43" s="4"/>
      <c r="B43" s="4"/>
      <c r="C43" s="4"/>
      <c r="D43" s="4"/>
      <c r="F43" s="15"/>
      <c r="G43" s="15"/>
      <c r="H43" s="15"/>
      <c r="I43" s="22"/>
      <c r="J43" s="23"/>
      <c r="K43" s="15"/>
      <c r="L43" s="15"/>
      <c r="M43" s="15"/>
      <c r="N43" s="15"/>
      <c r="O43" s="15"/>
      <c r="P43" s="15"/>
      <c r="Q43" s="15"/>
      <c r="R43" s="15"/>
      <c r="AA43" s="4"/>
      <c r="AE43" s="4"/>
      <c r="AF43" s="4"/>
      <c r="AG43" s="4"/>
      <c r="AH43" s="4"/>
    </row>
    <row r="44" spans="1:36" ht="18" customHeight="1" x14ac:dyDescent="0.3">
      <c r="A44" s="3" t="s">
        <v>1986</v>
      </c>
      <c r="B44" s="4"/>
      <c r="C44" s="4"/>
      <c r="D44" s="4"/>
      <c r="F44" s="15"/>
      <c r="G44" s="15"/>
      <c r="H44" s="15"/>
      <c r="I44" s="22"/>
      <c r="J44" s="23"/>
      <c r="K44" s="15"/>
      <c r="L44" s="15"/>
      <c r="M44" s="15"/>
      <c r="N44" s="15"/>
      <c r="O44" s="15"/>
      <c r="P44" s="15"/>
      <c r="Q44" s="15"/>
      <c r="R44" s="15"/>
      <c r="AA44" s="4"/>
      <c r="AE44" s="4"/>
      <c r="AF44" s="4"/>
      <c r="AG44" s="4"/>
      <c r="AH44" s="4"/>
    </row>
    <row r="45" spans="1:36" ht="18" customHeight="1" x14ac:dyDescent="0.3">
      <c r="A45" s="4" t="s">
        <v>3810</v>
      </c>
      <c r="W45" s="528"/>
      <c r="AA45" s="4"/>
      <c r="AE45" s="4"/>
      <c r="AF45" s="4"/>
      <c r="AG45" s="4"/>
      <c r="AH45" s="4"/>
    </row>
    <row r="46" spans="1:36" ht="18" customHeight="1" x14ac:dyDescent="0.3">
      <c r="A46" s="4"/>
      <c r="W46" s="528"/>
      <c r="AA46" s="4"/>
      <c r="AE46" s="4"/>
      <c r="AF46" s="4"/>
      <c r="AG46" s="4"/>
      <c r="AH46" s="4"/>
    </row>
    <row r="47" spans="1:36" ht="18" customHeight="1" x14ac:dyDescent="0.3">
      <c r="A47" s="4" t="s">
        <v>1988</v>
      </c>
      <c r="B47" s="4"/>
      <c r="C47" s="4"/>
      <c r="D47" s="4"/>
      <c r="F47" s="15"/>
      <c r="G47" s="15"/>
      <c r="H47" s="15"/>
      <c r="I47" s="22"/>
      <c r="J47" s="23"/>
      <c r="K47" s="15"/>
      <c r="L47" s="15"/>
      <c r="M47" s="15"/>
      <c r="N47" s="15"/>
      <c r="O47" s="15"/>
      <c r="P47" s="15"/>
      <c r="Q47" s="15"/>
      <c r="R47" s="15"/>
      <c r="AA47" s="4"/>
      <c r="AE47" s="4"/>
      <c r="AF47" s="4"/>
      <c r="AG47" s="4"/>
      <c r="AH47" s="4"/>
    </row>
    <row r="48" spans="1:36" ht="18" customHeight="1" x14ac:dyDescent="0.3">
      <c r="A48" s="49" t="s">
        <v>2644</v>
      </c>
      <c r="B48" s="4"/>
      <c r="C48" s="4"/>
      <c r="D48" s="4"/>
      <c r="F48" s="15"/>
      <c r="G48" s="15"/>
      <c r="H48" s="15"/>
      <c r="I48" s="22"/>
      <c r="J48" s="23"/>
      <c r="K48" s="15"/>
      <c r="L48" s="15"/>
      <c r="M48" s="15"/>
      <c r="N48" s="15"/>
      <c r="O48" s="15"/>
      <c r="P48" s="15"/>
      <c r="Q48" s="15"/>
      <c r="R48" s="15"/>
      <c r="S48" s="4"/>
      <c r="AA48" s="4"/>
      <c r="AE48" s="4"/>
      <c r="AF48" s="4"/>
      <c r="AG48" s="4"/>
      <c r="AH48" s="4"/>
    </row>
    <row r="49" spans="1:34" ht="18" customHeight="1" x14ac:dyDescent="0.3">
      <c r="A49" s="48" t="s">
        <v>2645</v>
      </c>
      <c r="B49" s="4"/>
      <c r="C49" s="4"/>
      <c r="D49" s="4"/>
      <c r="F49" s="15"/>
      <c r="G49" s="15"/>
      <c r="H49" s="15"/>
      <c r="I49" s="22"/>
      <c r="J49" s="23"/>
      <c r="K49" s="15"/>
      <c r="L49" s="15"/>
      <c r="M49" s="15"/>
      <c r="N49" s="15"/>
      <c r="O49" s="15"/>
      <c r="P49" s="15"/>
      <c r="Q49" s="15"/>
      <c r="R49" s="15"/>
      <c r="S49" s="4"/>
      <c r="AA49" s="4"/>
      <c r="AE49" s="4"/>
      <c r="AF49" s="4"/>
      <c r="AG49" s="4"/>
      <c r="AH49" s="4"/>
    </row>
    <row r="50" spans="1:34" ht="18" customHeight="1" x14ac:dyDescent="0.3">
      <c r="A50" s="4"/>
      <c r="B50" s="4"/>
      <c r="C50" s="4"/>
      <c r="D50" s="4"/>
      <c r="AA50" s="4"/>
      <c r="AE50" s="4"/>
      <c r="AF50" s="4"/>
      <c r="AG50" s="4"/>
      <c r="AH50" s="4"/>
    </row>
    <row r="51" spans="1:34" ht="15.6" hidden="1" x14ac:dyDescent="0.3">
      <c r="AA51" s="4"/>
      <c r="AE51" s="4"/>
      <c r="AF51" s="4"/>
      <c r="AG51" s="4"/>
      <c r="AH51" s="4"/>
    </row>
    <row r="52" spans="1:34" ht="15.6" hidden="1" x14ac:dyDescent="0.3">
      <c r="AA52" s="4"/>
      <c r="AE52" s="4"/>
      <c r="AF52" s="4"/>
      <c r="AG52" s="4"/>
      <c r="AH52" s="4"/>
    </row>
    <row r="53" spans="1:34" ht="15.6" hidden="1" x14ac:dyDescent="0.3">
      <c r="AA53" s="4"/>
      <c r="AE53" s="4"/>
      <c r="AF53" s="4"/>
      <c r="AG53" s="4"/>
      <c r="AH53" s="4"/>
    </row>
    <row r="54" spans="1:34" ht="16.5" hidden="1" customHeight="1" x14ac:dyDescent="0.3"/>
    <row r="55" spans="1:34" ht="16.5" hidden="1" customHeight="1" x14ac:dyDescent="0.3"/>
    <row r="56" spans="1:34" ht="16.5" hidden="1" customHeight="1" x14ac:dyDescent="0.3"/>
    <row r="57" spans="1:34" ht="16.5" hidden="1" customHeight="1" x14ac:dyDescent="0.3"/>
    <row r="58" spans="1:34" ht="16.5" hidden="1" customHeight="1" x14ac:dyDescent="0.3"/>
    <row r="59" spans="1:34" ht="16.5" hidden="1" customHeight="1" x14ac:dyDescent="0.3"/>
    <row r="60" spans="1:34" ht="16.5" hidden="1" customHeight="1" x14ac:dyDescent="0.3"/>
    <row r="61" spans="1:34" ht="16.5" hidden="1" customHeight="1" x14ac:dyDescent="0.3"/>
    <row r="62" spans="1:34" ht="16.5" hidden="1" customHeight="1" x14ac:dyDescent="0.3"/>
    <row r="63" spans="1:34" ht="16.5" hidden="1" customHeight="1" x14ac:dyDescent="0.3"/>
    <row r="64" spans="1:34" ht="16.5" hidden="1" customHeight="1" x14ac:dyDescent="0.3"/>
    <row r="65" ht="16.5" hidden="1" customHeight="1" x14ac:dyDescent="0.3"/>
    <row r="66" ht="16.5" hidden="1" customHeight="1" x14ac:dyDescent="0.3"/>
    <row r="67" ht="16.5" hidden="1" customHeight="1" x14ac:dyDescent="0.3"/>
    <row r="68" ht="16.5" hidden="1" customHeight="1" x14ac:dyDescent="0.3"/>
    <row r="69" ht="16.5" hidden="1" customHeight="1" x14ac:dyDescent="0.3"/>
    <row r="70" ht="16.5" hidden="1" customHeight="1" x14ac:dyDescent="0.3"/>
    <row r="71" ht="16.5" hidden="1" customHeight="1" x14ac:dyDescent="0.3"/>
    <row r="72" ht="16.5" hidden="1" customHeight="1" x14ac:dyDescent="0.3"/>
    <row r="73" ht="16.5" hidden="1" customHeight="1" x14ac:dyDescent="0.3"/>
    <row r="74" ht="16.5" hidden="1" customHeight="1" x14ac:dyDescent="0.3"/>
    <row r="75" ht="16.5" hidden="1" customHeight="1" x14ac:dyDescent="0.3"/>
    <row r="76" ht="16.5" hidden="1" customHeight="1" x14ac:dyDescent="0.3"/>
    <row r="77" ht="16.5" hidden="1" customHeight="1" x14ac:dyDescent="0.3"/>
    <row r="78" ht="16.5" hidden="1" customHeight="1" x14ac:dyDescent="0.3"/>
    <row r="79" ht="16.5" hidden="1" customHeight="1" x14ac:dyDescent="0.3"/>
    <row r="80" ht="16.5" hidden="1" customHeight="1" x14ac:dyDescent="0.3"/>
    <row r="81" ht="16.5" hidden="1" customHeight="1" x14ac:dyDescent="0.3"/>
    <row r="82" ht="16.5" hidden="1" customHeight="1" x14ac:dyDescent="0.3"/>
    <row r="83" ht="16.5" hidden="1" customHeight="1" x14ac:dyDescent="0.3"/>
    <row r="84" ht="16.5" hidden="1" customHeight="1" x14ac:dyDescent="0.3"/>
    <row r="85" ht="16.5" hidden="1" customHeight="1" x14ac:dyDescent="0.3"/>
    <row r="86" ht="16.5" hidden="1" customHeight="1" x14ac:dyDescent="0.3"/>
    <row r="87" ht="16.5" hidden="1" customHeight="1" x14ac:dyDescent="0.3"/>
    <row r="88" ht="16.5" hidden="1" customHeight="1" x14ac:dyDescent="0.3"/>
    <row r="89" ht="16.5" hidden="1" customHeight="1" x14ac:dyDescent="0.3"/>
    <row r="90" ht="16.5" hidden="1" customHeight="1" x14ac:dyDescent="0.3"/>
    <row r="91" ht="16.5" hidden="1" customHeight="1" x14ac:dyDescent="0.3"/>
    <row r="92" ht="16.5" hidden="1" customHeight="1" x14ac:dyDescent="0.3"/>
    <row r="93" ht="16.5" hidden="1" customHeight="1" x14ac:dyDescent="0.3"/>
    <row r="94" ht="16.5" hidden="1" customHeight="1" x14ac:dyDescent="0.3"/>
    <row r="95" ht="16.5" hidden="1" customHeight="1" x14ac:dyDescent="0.3"/>
    <row r="96" ht="16.5" hidden="1" customHeight="1" x14ac:dyDescent="0.3"/>
    <row r="97" ht="16.5" hidden="1" customHeight="1" x14ac:dyDescent="0.3"/>
    <row r="98" ht="16.5" hidden="1" customHeight="1" x14ac:dyDescent="0.3"/>
    <row r="99" ht="16.5" hidden="1" customHeight="1" x14ac:dyDescent="0.3"/>
    <row r="100" ht="16.5" hidden="1" customHeight="1" x14ac:dyDescent="0.3"/>
    <row r="101" ht="16.5" hidden="1" customHeight="1" x14ac:dyDescent="0.3"/>
    <row r="102" ht="16.5" hidden="1" customHeight="1" x14ac:dyDescent="0.3"/>
    <row r="103" ht="16.5" hidden="1" customHeight="1" x14ac:dyDescent="0.3"/>
    <row r="104" ht="16.5" hidden="1" customHeight="1" x14ac:dyDescent="0.3"/>
    <row r="105" ht="16.5" hidden="1" customHeight="1" x14ac:dyDescent="0.3"/>
    <row r="106" ht="16.5" hidden="1" customHeight="1" x14ac:dyDescent="0.3"/>
    <row r="107" ht="16.5" hidden="1" customHeight="1" x14ac:dyDescent="0.3"/>
    <row r="108" ht="16.5" hidden="1" customHeight="1" x14ac:dyDescent="0.3"/>
    <row r="109" ht="16.5" hidden="1" customHeight="1" x14ac:dyDescent="0.3"/>
    <row r="110" ht="16.5" hidden="1" customHeight="1" x14ac:dyDescent="0.3"/>
    <row r="111" ht="16.5" hidden="1" customHeight="1" x14ac:dyDescent="0.3"/>
    <row r="112" ht="16.5" hidden="1" customHeight="1" x14ac:dyDescent="0.3"/>
    <row r="113" ht="15.6" hidden="1" x14ac:dyDescent="0.3"/>
    <row r="114" ht="15.6" hidden="1" x14ac:dyDescent="0.3"/>
    <row r="115" ht="16.5" hidden="1" customHeight="1" x14ac:dyDescent="0.3"/>
    <row r="116" ht="16.5" hidden="1" customHeight="1" x14ac:dyDescent="0.3"/>
    <row r="117" ht="16.5" hidden="1" customHeight="1" x14ac:dyDescent="0.3"/>
    <row r="118" ht="16.5" hidden="1" customHeight="1" x14ac:dyDescent="0.3"/>
    <row r="119" ht="16.5" hidden="1" customHeight="1" x14ac:dyDescent="0.3"/>
    <row r="120" ht="16.5" hidden="1" customHeight="1" x14ac:dyDescent="0.3"/>
    <row r="121" ht="16.5" hidden="1" customHeight="1" x14ac:dyDescent="0.3"/>
    <row r="122" ht="16.5" hidden="1" customHeight="1" x14ac:dyDescent="0.3"/>
    <row r="123" ht="16.5" hidden="1" customHeight="1" x14ac:dyDescent="0.3"/>
    <row r="124" ht="16.5" hidden="1" customHeight="1" x14ac:dyDescent="0.3"/>
    <row r="125" ht="16.5" hidden="1" customHeight="1" x14ac:dyDescent="0.3"/>
    <row r="126" ht="16.5" hidden="1" customHeight="1" x14ac:dyDescent="0.3"/>
    <row r="127" ht="16.5" hidden="1" customHeight="1" x14ac:dyDescent="0.3"/>
    <row r="128" ht="16.5" hidden="1" customHeight="1" x14ac:dyDescent="0.3"/>
  </sheetData>
  <mergeCells count="3">
    <mergeCell ref="I1:J1"/>
    <mergeCell ref="S2:S37"/>
    <mergeCell ref="Z2:Z37"/>
  </mergeCells>
  <phoneticPr fontId="2" type="noConversion"/>
  <conditionalFormatting sqref="I2:J37">
    <cfRule type="cellIs" dxfId="117" priority="76" operator="equal">
      <formula>"/"</formula>
    </cfRule>
    <cfRule type="cellIs" dxfId="116" priority="78" operator="lessThan">
      <formula>0</formula>
    </cfRule>
    <cfRule type="cellIs" dxfId="115" priority="79" operator="greaterThan">
      <formula>0</formula>
    </cfRule>
  </conditionalFormatting>
  <conditionalFormatting sqref="F2:F37">
    <cfRule type="expression" dxfId="114" priority="75">
      <formula>$I$1="差距(Median)"</formula>
    </cfRule>
  </conditionalFormatting>
  <conditionalFormatting sqref="G2:G37">
    <cfRule type="expression" dxfId="113" priority="73">
      <formula>$I$1="差距(LQ)"</formula>
    </cfRule>
  </conditionalFormatting>
  <conditionalFormatting sqref="L2:L37">
    <cfRule type="cellIs" dxfId="112" priority="70" operator="equal">
      <formula>2</formula>
    </cfRule>
    <cfRule type="cellIs" dxfId="111" priority="71" operator="equal">
      <formula>1</formula>
    </cfRule>
    <cfRule type="cellIs" dxfId="110" priority="72" operator="equal">
      <formula>0</formula>
    </cfRule>
  </conditionalFormatting>
  <conditionalFormatting sqref="F24">
    <cfRule type="expression" dxfId="109" priority="26">
      <formula>$I$1="差距(Median)"</formula>
    </cfRule>
  </conditionalFormatting>
  <conditionalFormatting sqref="G24">
    <cfRule type="expression" dxfId="108" priority="25">
      <formula>$I$1="差距(LQ)"</formula>
    </cfRule>
  </conditionalFormatting>
  <conditionalFormatting sqref="I24:J24">
    <cfRule type="cellIs" dxfId="107" priority="19" operator="equal">
      <formula>"/"</formula>
    </cfRule>
    <cfRule type="cellIs" dxfId="106" priority="23" operator="lessThan">
      <formula>0</formula>
    </cfRule>
    <cfRule type="cellIs" dxfId="105" priority="24" operator="greaterThan">
      <formula>0</formula>
    </cfRule>
  </conditionalFormatting>
  <conditionalFormatting sqref="T3:Y37 AF2:AH37 S2:AE2 AA3:AE37 A2:M37">
    <cfRule type="expression" dxfId="104" priority="1212">
      <formula>MOD(ROW(),2)=0</formula>
    </cfRule>
  </conditionalFormatting>
  <conditionalFormatting sqref="S2">
    <cfRule type="expression" dxfId="103" priority="6">
      <formula>MOD(ROW(),2)=0</formula>
    </cfRule>
  </conditionalFormatting>
  <conditionalFormatting sqref="S2 Z2 AG2:AG37">
    <cfRule type="expression" dxfId="102" priority="5">
      <formula>TRUE</formula>
    </cfRule>
  </conditionalFormatting>
  <hyperlinks>
    <hyperlink ref="A49" r:id="rId1" xr:uid="{00000000-0004-0000-0F00-000000000000}"/>
    <hyperlink ref="A48" r:id="rId2" xr:uid="{00000000-0004-0000-0F00-000001000000}"/>
  </hyperlinks>
  <pageMargins left="0.7" right="0.7" top="0.75" bottom="0.75" header="0.3" footer="0.3"/>
  <drawing r:id="rId3"/>
  <legacyDrawing r:id="rId4"/>
  <extLst>
    <ext xmlns:x14="http://schemas.microsoft.com/office/spreadsheetml/2009/9/main" uri="{78C0D931-6437-407d-A8EE-F0AAD7539E65}">
      <x14:conditionalFormattings>
        <x14:conditionalFormatting xmlns:xm="http://schemas.microsoft.com/office/excel/2006/main">
          <x14:cfRule type="expression" priority="1" id="{6BD1C9A1-1339-4491-AE20-2BEF8BA8F63F}">
            <xm:f>入學要求!K342=0</xm:f>
            <x14:dxf>
              <font>
                <color rgb="FF9C0006"/>
              </font>
              <fill>
                <patternFill>
                  <bgColor rgb="FFFFC7CE"/>
                </patternFill>
              </fill>
            </x14:dxf>
          </x14:cfRule>
          <x14:cfRule type="expression" priority="2" id="{D4D083F8-DFAF-466C-A570-1284BA9E116D}">
            <xm:f>入學要求!K342=2</xm:f>
            <x14:dxf>
              <font>
                <color rgb="FF9C5700"/>
              </font>
              <fill>
                <patternFill>
                  <bgColor rgb="FFFFEB9C"/>
                </patternFill>
              </fill>
            </x14:dxf>
          </x14:cfRule>
          <x14:cfRule type="expression" priority="3" id="{6ACB1930-D99F-4C1E-8F71-8206FF132CAA}">
            <xm:f>入學要求!K342=1</xm:f>
            <x14:dxf>
              <font>
                <color rgb="FF006100"/>
              </font>
              <fill>
                <patternFill>
                  <bgColor rgb="FFC6EFCE"/>
                </patternFill>
              </fill>
            </x14:dxf>
          </x14:cfRule>
          <xm:sqref>N2:R37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F00-000000000000}">
          <x14:formula1>
            <xm:f>選單!$J$2:$J$3</xm:f>
          </x14:formula1>
          <xm:sqref>I1:J1</xm:sqref>
        </x14:dataValidation>
        <x14:dataValidation type="list" allowBlank="1" showInputMessage="1" showErrorMessage="1" xr:uid="{EB7FF561-5015-428D-BDE6-A331502AF690}">
          <x14:formula1>
            <xm:f>選單!$I$1:$I$4</xm:f>
          </x14:formula1>
          <xm:sqref>S2</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工作表14">
    <tabColor rgb="FFA88000"/>
  </sheetPr>
  <dimension ref="A1:AK150"/>
  <sheetViews>
    <sheetView zoomScaleNormal="100" workbookViewId="0">
      <pane ySplit="1" topLeftCell="A2" activePane="bottomLeft" state="frozen"/>
      <selection pane="bottomLeft" activeCell="J15" sqref="J15"/>
    </sheetView>
  </sheetViews>
  <sheetFormatPr defaultColWidth="0" defaultRowHeight="0" customHeight="1" zeroHeight="1" x14ac:dyDescent="0.3"/>
  <cols>
    <col min="1" max="1" width="7.109375" style="5" customWidth="1"/>
    <col min="2" max="2" width="9.109375" style="5" customWidth="1"/>
    <col min="3" max="3" width="25.77734375" style="5" customWidth="1"/>
    <col min="4" max="4" width="10.6640625" style="5" hidden="1" customWidth="1"/>
    <col min="5" max="6" width="7.77734375" style="37" customWidth="1"/>
    <col min="7" max="9" width="7.77734375" style="14" customWidth="1"/>
    <col min="10" max="10" width="7.6640625" style="17" customWidth="1"/>
    <col min="11" max="11" width="7.6640625" style="18" customWidth="1"/>
    <col min="12" max="12" width="4.88671875" style="14" customWidth="1"/>
    <col min="13" max="13" width="4.6640625" style="14" customWidth="1"/>
    <col min="14" max="14" width="9.77734375" style="14" hidden="1" customWidth="1"/>
    <col min="15" max="15" width="9.77734375" style="353" customWidth="1"/>
    <col min="16" max="20" width="2.21875" style="14" customWidth="1"/>
    <col min="21" max="21" width="8.88671875" style="15" customWidth="1"/>
    <col min="22" max="22" width="6.33203125" style="16" customWidth="1"/>
    <col min="23" max="27" width="6.33203125" style="15" customWidth="1"/>
    <col min="28" max="28" width="8.88671875" style="16" customWidth="1"/>
    <col min="29" max="34" width="6.33203125" style="16" customWidth="1"/>
    <col min="35" max="35" width="3.109375" style="2" customWidth="1"/>
    <col min="36" max="36" width="8.109375" style="16" customWidth="1"/>
    <col min="37" max="16384" width="9.109375" style="2" hidden="1"/>
  </cols>
  <sheetData>
    <row r="1" spans="1:36" s="67" customFormat="1" ht="18" customHeight="1" x14ac:dyDescent="0.3">
      <c r="A1" s="51" t="s">
        <v>1942</v>
      </c>
      <c r="B1" s="51" t="s">
        <v>1943</v>
      </c>
      <c r="C1" s="51" t="s">
        <v>1944</v>
      </c>
      <c r="D1" s="51"/>
      <c r="E1" s="52" t="s">
        <v>1945</v>
      </c>
      <c r="F1" s="52" t="s">
        <v>2021</v>
      </c>
      <c r="G1" s="52" t="s">
        <v>1946</v>
      </c>
      <c r="H1" s="52" t="s">
        <v>1947</v>
      </c>
      <c r="I1" s="52" t="s">
        <v>1948</v>
      </c>
      <c r="J1" s="600" t="s">
        <v>1949</v>
      </c>
      <c r="K1" s="600"/>
      <c r="L1" s="52" t="s">
        <v>1950</v>
      </c>
      <c r="M1" s="52" t="s">
        <v>1951</v>
      </c>
      <c r="N1" s="52" t="s">
        <v>2027</v>
      </c>
      <c r="O1" s="532" t="s">
        <v>2027</v>
      </c>
      <c r="P1" s="52" t="s">
        <v>1953</v>
      </c>
      <c r="Q1" s="52" t="s">
        <v>1954</v>
      </c>
      <c r="R1" s="52" t="s">
        <v>1955</v>
      </c>
      <c r="S1" s="52" t="s">
        <v>1956</v>
      </c>
      <c r="T1" s="52" t="s">
        <v>1957</v>
      </c>
      <c r="U1" s="52" t="s">
        <v>1959</v>
      </c>
      <c r="V1" s="52" t="s">
        <v>2363</v>
      </c>
      <c r="W1" s="52" t="s">
        <v>1961</v>
      </c>
      <c r="X1" s="52" t="s">
        <v>1962</v>
      </c>
      <c r="Y1" s="52" t="s">
        <v>1963</v>
      </c>
      <c r="Z1" s="52" t="s">
        <v>1964</v>
      </c>
      <c r="AA1" s="52" t="s">
        <v>1965</v>
      </c>
      <c r="AB1" s="52" t="s">
        <v>2364</v>
      </c>
      <c r="AC1" s="52" t="s">
        <v>2363</v>
      </c>
      <c r="AD1" s="52" t="s">
        <v>1961</v>
      </c>
      <c r="AE1" s="52" t="s">
        <v>1962</v>
      </c>
      <c r="AF1" s="52" t="s">
        <v>1963</v>
      </c>
      <c r="AG1" s="52" t="s">
        <v>1964</v>
      </c>
      <c r="AH1" s="52" t="s">
        <v>1965</v>
      </c>
      <c r="AI1" s="51"/>
      <c r="AJ1" s="52"/>
    </row>
    <row r="2" spans="1:36" ht="18" customHeight="1" x14ac:dyDescent="0.3">
      <c r="A2" s="4" t="str">
        <f>'Reference Score Calculation'!A371</f>
        <v>JSSA01</v>
      </c>
      <c r="B2" s="4" t="s">
        <v>2646</v>
      </c>
      <c r="C2" s="4" t="s">
        <v>2260</v>
      </c>
      <c r="D2" s="4" t="s">
        <v>1715</v>
      </c>
      <c r="E2" s="15" t="s">
        <v>2354</v>
      </c>
      <c r="F2" s="347" t="str">
        <f>'Reference Score Calculation'!F371</f>
        <v>/</v>
      </c>
      <c r="G2" s="533">
        <f>'Reference Score Calculation'!G371</f>
        <v>16.2</v>
      </c>
      <c r="H2" s="347" t="str">
        <f>'Reference Score Calculation'!H371</f>
        <v>/</v>
      </c>
      <c r="I2" s="46">
        <f>計分版!H392</f>
        <v>1.9000000000000001E-9</v>
      </c>
      <c r="J2" s="25">
        <f>I2-G2</f>
        <v>-16.199999998100001</v>
      </c>
      <c r="K2" s="26">
        <f>(I2-G2)/I2</f>
        <v>-8526315788.4736843</v>
      </c>
      <c r="L2" s="37">
        <f>入學要求!C380</f>
        <v>520</v>
      </c>
      <c r="M2" s="102">
        <f>入學要求!R380</f>
        <v>0</v>
      </c>
      <c r="N2" s="37" t="s">
        <v>2165</v>
      </c>
      <c r="O2" s="530"/>
      <c r="P2" s="15">
        <v>3</v>
      </c>
      <c r="Q2" s="15">
        <v>3</v>
      </c>
      <c r="R2" s="15">
        <v>2</v>
      </c>
      <c r="S2" s="15">
        <v>2</v>
      </c>
      <c r="T2" s="15">
        <v>2</v>
      </c>
      <c r="U2" s="576" t="s">
        <v>2840</v>
      </c>
      <c r="V2" s="37" cm="1">
        <f t="array" ref="V2">IFERROR(INDEX('Offer Statistics'!FU$2:FU$183,MATCH(1,($A2='Offer Statistics'!$FF$2:$FF$183)*($U$2='Offer Statistics'!$FG$2:$FG$183),0)),"/")</f>
        <v>530</v>
      </c>
      <c r="W2" s="375" cm="1">
        <f t="array" ref="W2">IFERROR(INDEX('Offer Statistics'!FP$2:FP$183,MATCH(1,($A2='Offer Statistics'!$FF$2:$FF$183)*($U$2='Offer Statistics'!$FG$2:$FG$183),0)),"/")</f>
        <v>477</v>
      </c>
      <c r="X2" s="375" cm="1">
        <f t="array" ref="X2">IFERROR(INDEX('Offer Statistics'!FQ$2:FQ$183,MATCH(1,($A2='Offer Statistics'!$FF$2:$FF$183)*($U$2='Offer Statistics'!$FG$2:$FG$183),0)),"/")</f>
        <v>50</v>
      </c>
      <c r="Y2" s="375" cm="1">
        <f t="array" ref="Y2">IFERROR(INDEX('Offer Statistics'!FR$2:FR$183,MATCH(1,($A2='Offer Statistics'!$FF$2:$FF$183)*($U$2='Offer Statistics'!$FG$2:$FG$183),0)),"/")</f>
        <v>3</v>
      </c>
      <c r="Z2" s="375" cm="1">
        <f t="array" ref="Z2">IFERROR(INDEX('Offer Statistics'!FS$2:FS$183,MATCH(1,($A2='Offer Statistics'!$FF$2:$FF$183)*($U$2='Offer Statistics'!$FG$2:$FG$183),0)),"/")</f>
        <v>0</v>
      </c>
      <c r="AA2" s="375" cm="1">
        <f t="array" ref="AA2">IFERROR(INDEX('Offer Statistics'!FT$2:FT$183,MATCH(1,($A2='Offer Statistics'!$FF$2:$FF$183)*($U$2='Offer Statistics'!$FG$2:$FG$183),0)),"/")</f>
        <v>0</v>
      </c>
      <c r="AB2" s="601" t="str">
        <f>U2</f>
        <v>2021年</v>
      </c>
      <c r="AC2" s="537" cm="1">
        <f t="array" ref="AC2">IFERROR(INDEX('Offer Statistics'!FM$2:FM$183,MATCH(1,($A2='Offer Statistics'!$FF$2:$FF$183)*($U$2='Offer Statistics'!$FG$2:$FG$183),0)),"/")</f>
        <v>5986</v>
      </c>
      <c r="AD2" s="375" cm="1">
        <f t="array" ref="AD2">IFERROR(INDEX('Offer Statistics'!FH$2:FH$183,MATCH(1,($A2='Offer Statistics'!$FF$2:$FF$183)*($U$2='Offer Statistics'!$FG$2:$FG$183),0)),"/")</f>
        <v>2412</v>
      </c>
      <c r="AE2" s="375" cm="1">
        <f t="array" ref="AE2">IFERROR(INDEX('Offer Statistics'!FI$2:FI$183,MATCH(1,($A2='Offer Statistics'!$FF$2:$FF$183)*($U$2='Offer Statistics'!$FG$2:$FG$183),0)),"/")</f>
        <v>1193</v>
      </c>
      <c r="AF2" s="375" cm="1">
        <f t="array" ref="AF2">IFERROR(INDEX('Offer Statistics'!FJ$2:FJ$183,MATCH(1,($A2='Offer Statistics'!$FF$2:$FF$183)*($U$2='Offer Statistics'!$FG$2:$FG$183),0)),"/")</f>
        <v>782</v>
      </c>
      <c r="AG2" s="375" cm="1">
        <f t="array" ref="AG2">IFERROR(INDEX('Offer Statistics'!FK$2:FK$183,MATCH(1,($A2='Offer Statistics'!$FF$2:$FF$183)*($U$2='Offer Statistics'!$FG$2:$FG$183),0)),"/")</f>
        <v>733</v>
      </c>
      <c r="AH2" s="375" cm="1">
        <f t="array" ref="AH2">IFERROR(INDEX('Offer Statistics'!FL$2:FL$183,MATCH(1,($A2='Offer Statistics'!$FF$2:$FF$183)*($U$2='Offer Statistics'!$FG$2:$FG$183),0)),"/")</f>
        <v>866</v>
      </c>
      <c r="AI2" s="4"/>
      <c r="AJ2" s="15" t="str">
        <f t="shared" ref="AJ2:AJ45" si="0">A2</f>
        <v>JSSA01</v>
      </c>
    </row>
    <row r="3" spans="1:36" ht="18" customHeight="1" x14ac:dyDescent="0.3">
      <c r="A3" s="346" t="str">
        <f>'Reference Score Calculation'!A372</f>
        <v>JSSA02</v>
      </c>
      <c r="B3" s="4" t="s">
        <v>2646</v>
      </c>
      <c r="C3" s="4" t="s">
        <v>2261</v>
      </c>
      <c r="D3" s="346" t="s">
        <v>1719</v>
      </c>
      <c r="E3" s="531" t="s">
        <v>2354</v>
      </c>
      <c r="F3" s="347" t="str">
        <f>'Reference Score Calculation'!F372</f>
        <v>/</v>
      </c>
      <c r="G3" s="533">
        <f>'Reference Score Calculation'!G372</f>
        <v>14.4</v>
      </c>
      <c r="H3" s="347" t="str">
        <f>'Reference Score Calculation'!H372</f>
        <v>/</v>
      </c>
      <c r="I3" s="368">
        <f>計分版!H393</f>
        <v>1.9000000000000001E-9</v>
      </c>
      <c r="J3" s="25">
        <f>I3-G3</f>
        <v>-14.3999999981</v>
      </c>
      <c r="K3" s="26">
        <f>(I3-G3)/I3</f>
        <v>-7578947367.4210529</v>
      </c>
      <c r="L3" s="530">
        <f>入學要求!C381</f>
        <v>30</v>
      </c>
      <c r="M3" s="103">
        <f>入學要求!R381</f>
        <v>0</v>
      </c>
      <c r="N3" s="37" t="s">
        <v>2165</v>
      </c>
      <c r="O3" s="530"/>
      <c r="P3" s="15">
        <v>3</v>
      </c>
      <c r="Q3" s="15">
        <v>3</v>
      </c>
      <c r="R3" s="15">
        <v>2</v>
      </c>
      <c r="S3" s="15">
        <v>2</v>
      </c>
      <c r="T3" s="15">
        <v>2</v>
      </c>
      <c r="U3" s="576"/>
      <c r="V3" s="537" cm="1">
        <f t="array" ref="V3">IFERROR(INDEX('Offer Statistics'!FU$2:FU$183,MATCH(1,($A3='Offer Statistics'!$FF$2:$FF$183)*($U$2='Offer Statistics'!$FG$2:$FG$183),0)),"/")</f>
        <v>19</v>
      </c>
      <c r="W3" s="375" cm="1">
        <f t="array" ref="W3">IFERROR(INDEX('Offer Statistics'!FP$2:FP$183,MATCH(1,($A3='Offer Statistics'!$FF$2:$FF$183)*($U$2='Offer Statistics'!$FG$2:$FG$183),0)),"/")</f>
        <v>11</v>
      </c>
      <c r="X3" s="375" cm="1">
        <f t="array" ref="X3">IFERROR(INDEX('Offer Statistics'!FQ$2:FQ$183,MATCH(1,($A3='Offer Statistics'!$FF$2:$FF$183)*($U$2='Offer Statistics'!$FG$2:$FG$183),0)),"/")</f>
        <v>1</v>
      </c>
      <c r="Y3" s="375" cm="1">
        <f t="array" ref="Y3">IFERROR(INDEX('Offer Statistics'!FR$2:FR$183,MATCH(1,($A3='Offer Statistics'!$FF$2:$FF$183)*($U$2='Offer Statistics'!$FG$2:$FG$183),0)),"/")</f>
        <v>2</v>
      </c>
      <c r="Z3" s="375" cm="1">
        <f t="array" ref="Z3">IFERROR(INDEX('Offer Statistics'!FS$2:FS$183,MATCH(1,($A3='Offer Statistics'!$FF$2:$FF$183)*($U$2='Offer Statistics'!$FG$2:$FG$183),0)),"/")</f>
        <v>3</v>
      </c>
      <c r="AA3" s="375" cm="1">
        <f t="array" ref="AA3">IFERROR(INDEX('Offer Statistics'!FT$2:FT$183,MATCH(1,($A3='Offer Statistics'!$FF$2:$FF$183)*($U$2='Offer Statistics'!$FG$2:$FG$183),0)),"/")</f>
        <v>2</v>
      </c>
      <c r="AB3" s="601"/>
      <c r="AC3" s="537" cm="1">
        <f t="array" ref="AC3">IFERROR(INDEX('Offer Statistics'!FM$2:FM$183,MATCH(1,($A3='Offer Statistics'!$FF$2:$FF$183)*($U$2='Offer Statistics'!$FG$2:$FG$183),0)),"/")</f>
        <v>1369</v>
      </c>
      <c r="AD3" s="375" cm="1">
        <f t="array" ref="AD3">IFERROR(INDEX('Offer Statistics'!FH$2:FH$183,MATCH(1,($A3='Offer Statistics'!$FF$2:$FF$183)*($U$2='Offer Statistics'!$FG$2:$FG$183),0)),"/")</f>
        <v>163</v>
      </c>
      <c r="AE3" s="375" cm="1">
        <f t="array" ref="AE3">IFERROR(INDEX('Offer Statistics'!FI$2:FI$183,MATCH(1,($A3='Offer Statistics'!$FF$2:$FF$183)*($U$2='Offer Statistics'!$FG$2:$FG$183),0)),"/")</f>
        <v>187</v>
      </c>
      <c r="AF3" s="375" cm="1">
        <f t="array" ref="AF3">IFERROR(INDEX('Offer Statistics'!FJ$2:FJ$183,MATCH(1,($A3='Offer Statistics'!$FF$2:$FF$183)*($U$2='Offer Statistics'!$FG$2:$FG$183),0)),"/")</f>
        <v>242</v>
      </c>
      <c r="AG3" s="375" cm="1">
        <f t="array" ref="AG3">IFERROR(INDEX('Offer Statistics'!FK$2:FK$183,MATCH(1,($A3='Offer Statistics'!$FF$2:$FF$183)*($U$2='Offer Statistics'!$FG$2:$FG$183),0)),"/")</f>
        <v>348</v>
      </c>
      <c r="AH3" s="375" cm="1">
        <f t="array" ref="AH3">IFERROR(INDEX('Offer Statistics'!FL$2:FL$183,MATCH(1,($A3='Offer Statistics'!$FF$2:$FF$183)*($U$2='Offer Statistics'!$FG$2:$FG$183),0)),"/")</f>
        <v>429</v>
      </c>
      <c r="AI3" s="4"/>
      <c r="AJ3" s="538" t="str">
        <f t="shared" si="0"/>
        <v>JSSA02</v>
      </c>
    </row>
    <row r="4" spans="1:36" ht="18" customHeight="1" x14ac:dyDescent="0.3">
      <c r="A4" s="346" t="str">
        <f>'Reference Score Calculation'!A373</f>
        <v>JSSA03</v>
      </c>
      <c r="B4" s="4" t="s">
        <v>2647</v>
      </c>
      <c r="C4" s="4" t="s">
        <v>2262</v>
      </c>
      <c r="D4" s="346" t="s">
        <v>1723</v>
      </c>
      <c r="E4" s="531" t="s">
        <v>2259</v>
      </c>
      <c r="F4" s="347" t="str">
        <f>'Reference Score Calculation'!F373</f>
        <v>/</v>
      </c>
      <c r="G4" s="533">
        <f>'Reference Score Calculation'!G373</f>
        <v>18.8</v>
      </c>
      <c r="H4" s="347" t="str">
        <f>'Reference Score Calculation'!H373</f>
        <v>/</v>
      </c>
      <c r="I4" s="368">
        <f>計分版!H394</f>
        <v>1.9000000000000001E-9</v>
      </c>
      <c r="J4" s="361">
        <f t="shared" ref="J4:J5" si="1">I4-G4</f>
        <v>-18.799999998100002</v>
      </c>
      <c r="K4" s="362">
        <f t="shared" ref="K4:K5" si="2">(I4-G4)/I4</f>
        <v>-9894736841.1052647</v>
      </c>
      <c r="L4" s="530">
        <f>入學要求!C382</f>
        <v>50</v>
      </c>
      <c r="M4" s="103">
        <f>入學要求!R382</f>
        <v>0</v>
      </c>
      <c r="N4" s="101" t="s">
        <v>2366</v>
      </c>
      <c r="O4" s="278"/>
      <c r="P4" s="15">
        <v>3</v>
      </c>
      <c r="Q4" s="15">
        <v>3</v>
      </c>
      <c r="R4" s="15">
        <v>2</v>
      </c>
      <c r="S4" s="15">
        <v>2</v>
      </c>
      <c r="T4" s="15">
        <v>2</v>
      </c>
      <c r="U4" s="576"/>
      <c r="V4" s="537" cm="1">
        <f t="array" ref="V4">IFERROR(INDEX('Offer Statistics'!FU$2:FU$183,MATCH(1,($A4='Offer Statistics'!$FF$2:$FF$183)*($U$2='Offer Statistics'!$FG$2:$FG$183),0)),"/")</f>
        <v>70</v>
      </c>
      <c r="W4" s="375" cm="1">
        <f t="array" ref="W4">IFERROR(INDEX('Offer Statistics'!FP$2:FP$183,MATCH(1,($A4='Offer Statistics'!$FF$2:$FF$183)*($U$2='Offer Statistics'!$FG$2:$FG$183),0)),"/")</f>
        <v>70</v>
      </c>
      <c r="X4" s="375" cm="1">
        <f t="array" ref="X4">IFERROR(INDEX('Offer Statistics'!FQ$2:FQ$183,MATCH(1,($A4='Offer Statistics'!$FF$2:$FF$183)*($U$2='Offer Statistics'!$FG$2:$FG$183),0)),"/")</f>
        <v>0</v>
      </c>
      <c r="Y4" s="375" cm="1">
        <f t="array" ref="Y4">IFERROR(INDEX('Offer Statistics'!FR$2:FR$183,MATCH(1,($A4='Offer Statistics'!$FF$2:$FF$183)*($U$2='Offer Statistics'!$FG$2:$FG$183),0)),"/")</f>
        <v>0</v>
      </c>
      <c r="Z4" s="375" cm="1">
        <f t="array" ref="Z4">IFERROR(INDEX('Offer Statistics'!FS$2:FS$183,MATCH(1,($A4='Offer Statistics'!$FF$2:$FF$183)*($U$2='Offer Statistics'!$FG$2:$FG$183),0)),"/")</f>
        <v>0</v>
      </c>
      <c r="AA4" s="375" cm="1">
        <f t="array" ref="AA4">IFERROR(INDEX('Offer Statistics'!FT$2:FT$183,MATCH(1,($A4='Offer Statistics'!$FF$2:$FF$183)*($U$2='Offer Statistics'!$FG$2:$FG$183),0)),"/")</f>
        <v>0</v>
      </c>
      <c r="AB4" s="601"/>
      <c r="AC4" s="537" cm="1">
        <f t="array" ref="AC4">IFERROR(INDEX('Offer Statistics'!FM$2:FM$183,MATCH(1,($A4='Offer Statistics'!$FF$2:$FF$183)*($U$2='Offer Statistics'!$FG$2:$FG$183),0)),"/")</f>
        <v>2105</v>
      </c>
      <c r="AD4" s="375" cm="1">
        <f t="array" ref="AD4">IFERROR(INDEX('Offer Statistics'!FH$2:FH$183,MATCH(1,($A4='Offer Statistics'!$FF$2:$FF$183)*($U$2='Offer Statistics'!$FG$2:$FG$183),0)),"/")</f>
        <v>396</v>
      </c>
      <c r="AE4" s="375" cm="1">
        <f t="array" ref="AE4">IFERROR(INDEX('Offer Statistics'!FI$2:FI$183,MATCH(1,($A4='Offer Statistics'!$FF$2:$FF$183)*($U$2='Offer Statistics'!$FG$2:$FG$183),0)),"/")</f>
        <v>423</v>
      </c>
      <c r="AF4" s="375" cm="1">
        <f t="array" ref="AF4">IFERROR(INDEX('Offer Statistics'!FJ$2:FJ$183,MATCH(1,($A4='Offer Statistics'!$FF$2:$FF$183)*($U$2='Offer Statistics'!$FG$2:$FG$183),0)),"/")</f>
        <v>437</v>
      </c>
      <c r="AG4" s="375" cm="1">
        <f t="array" ref="AG4">IFERROR(INDEX('Offer Statistics'!FK$2:FK$183,MATCH(1,($A4='Offer Statistics'!$FF$2:$FF$183)*($U$2='Offer Statistics'!$FG$2:$FG$183),0)),"/")</f>
        <v>426</v>
      </c>
      <c r="AH4" s="375" cm="1">
        <f t="array" ref="AH4">IFERROR(INDEX('Offer Statistics'!FL$2:FL$183,MATCH(1,($A4='Offer Statistics'!$FF$2:$FF$183)*($U$2='Offer Statistics'!$FG$2:$FG$183),0)),"/")</f>
        <v>423</v>
      </c>
      <c r="AI4" s="4"/>
      <c r="AJ4" s="538" t="str">
        <f t="shared" si="0"/>
        <v>JSSA03</v>
      </c>
    </row>
    <row r="5" spans="1:36" ht="18" customHeight="1" x14ac:dyDescent="0.3">
      <c r="A5" s="346" t="str">
        <f>'Reference Score Calculation'!A374</f>
        <v>JSSA04</v>
      </c>
      <c r="B5" s="4" t="s">
        <v>2647</v>
      </c>
      <c r="C5" s="4" t="s">
        <v>2263</v>
      </c>
      <c r="D5" s="346" t="s">
        <v>1727</v>
      </c>
      <c r="E5" s="531" t="s">
        <v>2259</v>
      </c>
      <c r="F5" s="347" t="str">
        <f>'Reference Score Calculation'!F374</f>
        <v>/</v>
      </c>
      <c r="G5" s="533">
        <f>'Reference Score Calculation'!G374</f>
        <v>14.4</v>
      </c>
      <c r="H5" s="347" t="str">
        <f>'Reference Score Calculation'!H374</f>
        <v>/</v>
      </c>
      <c r="I5" s="368">
        <f>計分版!H395</f>
        <v>1.9000000000000001E-9</v>
      </c>
      <c r="J5" s="361">
        <f t="shared" si="1"/>
        <v>-14.3999999981</v>
      </c>
      <c r="K5" s="362">
        <f t="shared" si="2"/>
        <v>-7578947367.4210529</v>
      </c>
      <c r="L5" s="530">
        <f>入學要求!C383</f>
        <v>30</v>
      </c>
      <c r="M5" s="103">
        <f>入學要求!R383</f>
        <v>0</v>
      </c>
      <c r="N5" s="15" t="s">
        <v>2165</v>
      </c>
      <c r="O5" s="531"/>
      <c r="P5" s="15">
        <v>3</v>
      </c>
      <c r="Q5" s="15">
        <v>3</v>
      </c>
      <c r="R5" s="15">
        <v>2</v>
      </c>
      <c r="S5" s="15">
        <v>2</v>
      </c>
      <c r="T5" s="15">
        <v>2</v>
      </c>
      <c r="U5" s="576"/>
      <c r="V5" s="537" cm="1">
        <f t="array" ref="V5">IFERROR(INDEX('Offer Statistics'!FU$2:FU$183,MATCH(1,($A5='Offer Statistics'!$FF$2:$FF$183)*($U$2='Offer Statistics'!$FG$2:$FG$183),0)),"/")</f>
        <v>18</v>
      </c>
      <c r="W5" s="375" cm="1">
        <f t="array" ref="W5">IFERROR(INDEX('Offer Statistics'!FP$2:FP$183,MATCH(1,($A5='Offer Statistics'!$FF$2:$FF$183)*($U$2='Offer Statistics'!$FG$2:$FG$183),0)),"/")</f>
        <v>13</v>
      </c>
      <c r="X5" s="375" cm="1">
        <f t="array" ref="X5">IFERROR(INDEX('Offer Statistics'!FQ$2:FQ$183,MATCH(1,($A5='Offer Statistics'!$FF$2:$FF$183)*($U$2='Offer Statistics'!$FG$2:$FG$183),0)),"/")</f>
        <v>2</v>
      </c>
      <c r="Y5" s="375" cm="1">
        <f t="array" ref="Y5">IFERROR(INDEX('Offer Statistics'!FR$2:FR$183,MATCH(1,($A5='Offer Statistics'!$FF$2:$FF$183)*($U$2='Offer Statistics'!$FG$2:$FG$183),0)),"/")</f>
        <v>1</v>
      </c>
      <c r="Z5" s="375" cm="1">
        <f t="array" ref="Z5">IFERROR(INDEX('Offer Statistics'!FS$2:FS$183,MATCH(1,($A5='Offer Statistics'!$FF$2:$FF$183)*($U$2='Offer Statistics'!$FG$2:$FG$183),0)),"/")</f>
        <v>2</v>
      </c>
      <c r="AA5" s="375" cm="1">
        <f t="array" ref="AA5">IFERROR(INDEX('Offer Statistics'!FT$2:FT$183,MATCH(1,($A5='Offer Statistics'!$FF$2:$FF$183)*($U$2='Offer Statistics'!$FG$2:$FG$183),0)),"/")</f>
        <v>0</v>
      </c>
      <c r="AB5" s="601"/>
      <c r="AC5" s="37" cm="1">
        <f t="array" ref="AC5">IFERROR(INDEX('Offer Statistics'!FM$2:FM$183,MATCH(1,($A5='Offer Statistics'!$FF$2:$FF$183)*($U$2='Offer Statistics'!$FG$2:$FG$183),0)),"/")</f>
        <v>1014</v>
      </c>
      <c r="AD5" s="375" cm="1">
        <f t="array" ref="AD5">IFERROR(INDEX('Offer Statistics'!FH$2:FH$183,MATCH(1,($A5='Offer Statistics'!$FF$2:$FF$183)*($U$2='Offer Statistics'!$FG$2:$FG$183),0)),"/")</f>
        <v>108</v>
      </c>
      <c r="AE5" s="375" cm="1">
        <f t="array" ref="AE5">IFERROR(INDEX('Offer Statistics'!FI$2:FI$183,MATCH(1,($A5='Offer Statistics'!$FF$2:$FF$183)*($U$2='Offer Statistics'!$FG$2:$FG$183),0)),"/")</f>
        <v>132</v>
      </c>
      <c r="AF5" s="375" cm="1">
        <f t="array" ref="AF5">IFERROR(INDEX('Offer Statistics'!FJ$2:FJ$183,MATCH(1,($A5='Offer Statistics'!$FF$2:$FF$183)*($U$2='Offer Statistics'!$FG$2:$FG$183),0)),"/")</f>
        <v>192</v>
      </c>
      <c r="AG5" s="375" cm="1">
        <f t="array" ref="AG5">IFERROR(INDEX('Offer Statistics'!FK$2:FK$183,MATCH(1,($A5='Offer Statistics'!$FF$2:$FF$183)*($U$2='Offer Statistics'!$FG$2:$FG$183),0)),"/")</f>
        <v>256</v>
      </c>
      <c r="AH5" s="375" cm="1">
        <f t="array" ref="AH5">IFERROR(INDEX('Offer Statistics'!FL$2:FL$183,MATCH(1,($A5='Offer Statistics'!$FF$2:$FF$183)*($U$2='Offer Statistics'!$FG$2:$FG$183),0)),"/")</f>
        <v>326</v>
      </c>
      <c r="AI5" s="4"/>
      <c r="AJ5" s="538" t="str">
        <f t="shared" si="0"/>
        <v>JSSA04</v>
      </c>
    </row>
    <row r="6" spans="1:36" ht="18" customHeight="1" x14ac:dyDescent="0.3">
      <c r="A6" s="346" t="str">
        <f>'Reference Score Calculation'!A375</f>
        <v>JSSC02</v>
      </c>
      <c r="B6" s="4" t="s">
        <v>2648</v>
      </c>
      <c r="C6" s="4" t="s">
        <v>2264</v>
      </c>
      <c r="D6" s="346" t="s">
        <v>1731</v>
      </c>
      <c r="E6" s="531" t="s">
        <v>2259</v>
      </c>
      <c r="F6" s="347">
        <f>'Reference Score Calculation'!F375</f>
        <v>20</v>
      </c>
      <c r="G6" s="347" t="str">
        <f>'Reference Score Calculation'!G375</f>
        <v>/</v>
      </c>
      <c r="H6" s="347">
        <f>'Reference Score Calculation'!H375</f>
        <v>15</v>
      </c>
      <c r="I6" s="368">
        <f>計分版!H396</f>
        <v>1.9500000000000001E-9</v>
      </c>
      <c r="J6" s="25">
        <f>IF(J$1="差距(Median)",I6-F6,IF(J$1="差距(UQ)",I6-F6,IF(J$1="差距(LQ)",I6-H6)))</f>
        <v>-19.999999998050001</v>
      </c>
      <c r="K6" s="26">
        <f>IF(J$1="差距(Median)",(I6-F6)/I6,IF(J$1="差距(UQ)",(I6-F6)/I6,IF(J$1="差距(LQ)",(I6-H6)/I6)))</f>
        <v>-10256410255.410255</v>
      </c>
      <c r="L6" s="530">
        <f>入學要求!C384</f>
        <v>60</v>
      </c>
      <c r="M6" s="103">
        <f>入學要求!R384</f>
        <v>0</v>
      </c>
      <c r="N6" s="586" t="s">
        <v>2165</v>
      </c>
      <c r="O6" s="531"/>
      <c r="P6" s="15">
        <v>3</v>
      </c>
      <c r="Q6" s="15">
        <v>3</v>
      </c>
      <c r="R6" s="15">
        <v>2</v>
      </c>
      <c r="S6" s="15">
        <v>2</v>
      </c>
      <c r="T6" s="15">
        <v>2</v>
      </c>
      <c r="U6" s="576"/>
      <c r="V6" s="537" cm="1">
        <f t="array" ref="V6">IFERROR(INDEX('Offer Statistics'!FU$2:FU$183,MATCH(1,($A6='Offer Statistics'!$FF$2:$FF$183)*($U$2='Offer Statistics'!$FG$2:$FG$183),0)),"/")</f>
        <v>15</v>
      </c>
      <c r="W6" s="375" cm="1">
        <f t="array" ref="W6">IFERROR(INDEX('Offer Statistics'!FP$2:FP$183,MATCH(1,($A6='Offer Statistics'!$FF$2:$FF$183)*($U$2='Offer Statistics'!$FG$2:$FG$183),0)),"/")</f>
        <v>8</v>
      </c>
      <c r="X6" s="375" cm="1">
        <f t="array" ref="X6">IFERROR(INDEX('Offer Statistics'!FQ$2:FQ$183,MATCH(1,($A6='Offer Statistics'!$FF$2:$FF$183)*($U$2='Offer Statistics'!$FG$2:$FG$183),0)),"/")</f>
        <v>3</v>
      </c>
      <c r="Y6" s="375" cm="1">
        <f t="array" ref="Y6">IFERROR(INDEX('Offer Statistics'!FR$2:FR$183,MATCH(1,($A6='Offer Statistics'!$FF$2:$FF$183)*($U$2='Offer Statistics'!$FG$2:$FG$183),0)),"/")</f>
        <v>2</v>
      </c>
      <c r="Z6" s="375" cm="1">
        <f t="array" ref="Z6">IFERROR(INDEX('Offer Statistics'!FS$2:FS$183,MATCH(1,($A6='Offer Statistics'!$FF$2:$FF$183)*($U$2='Offer Statistics'!$FG$2:$FG$183),0)),"/")</f>
        <v>1</v>
      </c>
      <c r="AA6" s="375" cm="1">
        <f t="array" ref="AA6">IFERROR(INDEX('Offer Statistics'!FT$2:FT$183,MATCH(1,($A6='Offer Statistics'!$FF$2:$FF$183)*($U$2='Offer Statistics'!$FG$2:$FG$183),0)),"/")</f>
        <v>1</v>
      </c>
      <c r="AB6" s="601"/>
      <c r="AC6" s="537" cm="1">
        <f t="array" ref="AC6">IFERROR(INDEX('Offer Statistics'!FM$2:FM$183,MATCH(1,($A6='Offer Statistics'!$FF$2:$FF$183)*($U$2='Offer Statistics'!$FG$2:$FG$183),0)),"/")</f>
        <v>821</v>
      </c>
      <c r="AD6" s="375" cm="1">
        <f t="array" ref="AD6">IFERROR(INDEX('Offer Statistics'!FH$2:FH$183,MATCH(1,($A6='Offer Statistics'!$FF$2:$FF$183)*($U$2='Offer Statistics'!$FG$2:$FG$183),0)),"/")</f>
        <v>64</v>
      </c>
      <c r="AE6" s="375" cm="1">
        <f t="array" ref="AE6">IFERROR(INDEX('Offer Statistics'!FI$2:FI$183,MATCH(1,($A6='Offer Statistics'!$FF$2:$FF$183)*($U$2='Offer Statistics'!$FG$2:$FG$183),0)),"/")</f>
        <v>88</v>
      </c>
      <c r="AF6" s="375" cm="1">
        <f t="array" ref="AF6">IFERROR(INDEX('Offer Statistics'!FJ$2:FJ$183,MATCH(1,($A6='Offer Statistics'!$FF$2:$FF$183)*($U$2='Offer Statistics'!$FG$2:$FG$183),0)),"/")</f>
        <v>164</v>
      </c>
      <c r="AG6" s="375" cm="1">
        <f t="array" ref="AG6">IFERROR(INDEX('Offer Statistics'!FK$2:FK$183,MATCH(1,($A6='Offer Statistics'!$FF$2:$FF$183)*($U$2='Offer Statistics'!$FG$2:$FG$183),0)),"/")</f>
        <v>211</v>
      </c>
      <c r="AH6" s="375" cm="1">
        <f t="array" ref="AH6">IFERROR(INDEX('Offer Statistics'!FL$2:FL$183,MATCH(1,($A6='Offer Statistics'!$FF$2:$FF$183)*($U$2='Offer Statistics'!$FG$2:$FG$183),0)),"/")</f>
        <v>294</v>
      </c>
      <c r="AI6" s="4"/>
      <c r="AJ6" s="538" t="str">
        <f t="shared" si="0"/>
        <v>JSSC02</v>
      </c>
    </row>
    <row r="7" spans="1:36" ht="18" customHeight="1" x14ac:dyDescent="0.3">
      <c r="A7" s="346" t="str">
        <f>'Reference Score Calculation'!A376</f>
        <v>JSSC03</v>
      </c>
      <c r="B7" s="4" t="s">
        <v>2648</v>
      </c>
      <c r="C7" s="4" t="s">
        <v>2265</v>
      </c>
      <c r="D7" s="346" t="s">
        <v>1735</v>
      </c>
      <c r="E7" s="15" t="s">
        <v>2259</v>
      </c>
      <c r="F7" s="347">
        <f>'Reference Score Calculation'!F376</f>
        <v>19</v>
      </c>
      <c r="G7" s="347" t="str">
        <f>'Reference Score Calculation'!G376</f>
        <v>/</v>
      </c>
      <c r="H7" s="347">
        <f>'Reference Score Calculation'!H376</f>
        <v>17</v>
      </c>
      <c r="I7" s="368">
        <f>計分版!H397</f>
        <v>1.9500000000000001E-9</v>
      </c>
      <c r="J7" s="25">
        <f>IF(J$1="差距(Median)",I7-F7,IF(J$1="差距(UQ)",I7-F7,IF(J$1="差距(LQ)",I7-H7)))</f>
        <v>-18.999999998050001</v>
      </c>
      <c r="K7" s="26">
        <f t="shared" ref="K7" si="3">IF(J$1="差距(Median)",(I7-F7)/I7,IF(J$1="差距(UQ)",(I7-F7)/I7,IF(J$1="差距(LQ)",(I7-H7)/I7)))</f>
        <v>-9743589742.5897427</v>
      </c>
      <c r="L7" s="530">
        <f>入學要求!C385</f>
        <v>20</v>
      </c>
      <c r="M7" s="103">
        <f>入學要求!R385</f>
        <v>0</v>
      </c>
      <c r="N7" s="586"/>
      <c r="O7" s="531"/>
      <c r="P7" s="15">
        <v>3</v>
      </c>
      <c r="Q7" s="15">
        <v>3</v>
      </c>
      <c r="R7" s="15">
        <v>2</v>
      </c>
      <c r="S7" s="15">
        <v>2</v>
      </c>
      <c r="T7" s="15">
        <v>2</v>
      </c>
      <c r="U7" s="576"/>
      <c r="V7" s="537" cm="1">
        <f t="array" ref="V7">IFERROR(INDEX('Offer Statistics'!FU$2:FU$183,MATCH(1,($A7='Offer Statistics'!$FF$2:$FF$183)*($U$2='Offer Statistics'!$FG$2:$FG$183),0)),"/")</f>
        <v>7</v>
      </c>
      <c r="W7" s="375" cm="1">
        <f t="array" ref="W7">IFERROR(INDEX('Offer Statistics'!FP$2:FP$183,MATCH(1,($A7='Offer Statistics'!$FF$2:$FF$183)*($U$2='Offer Statistics'!$FG$2:$FG$183),0)),"/")</f>
        <v>2</v>
      </c>
      <c r="X7" s="375" cm="1">
        <f t="array" ref="X7">IFERROR(INDEX('Offer Statistics'!FQ$2:FQ$183,MATCH(1,($A7='Offer Statistics'!$FF$2:$FF$183)*($U$2='Offer Statistics'!$FG$2:$FG$183),0)),"/")</f>
        <v>3</v>
      </c>
      <c r="Y7" s="375" cm="1">
        <f t="array" ref="Y7">IFERROR(INDEX('Offer Statistics'!FR$2:FR$183,MATCH(1,($A7='Offer Statistics'!$FF$2:$FF$183)*($U$2='Offer Statistics'!$FG$2:$FG$183),0)),"/")</f>
        <v>0</v>
      </c>
      <c r="Z7" s="375" cm="1">
        <f t="array" ref="Z7">IFERROR(INDEX('Offer Statistics'!FS$2:FS$183,MATCH(1,($A7='Offer Statistics'!$FF$2:$FF$183)*($U$2='Offer Statistics'!$FG$2:$FG$183),0)),"/")</f>
        <v>2</v>
      </c>
      <c r="AA7" s="375" cm="1">
        <f t="array" ref="AA7">IFERROR(INDEX('Offer Statistics'!FT$2:FT$183,MATCH(1,($A7='Offer Statistics'!$FF$2:$FF$183)*($U$2='Offer Statistics'!$FG$2:$FG$183),0)),"/")</f>
        <v>0</v>
      </c>
      <c r="AB7" s="601"/>
      <c r="AC7" s="537" cm="1">
        <f t="array" ref="AC7">IFERROR(INDEX('Offer Statistics'!FM$2:FM$183,MATCH(1,($A7='Offer Statistics'!$FF$2:$FF$183)*($U$2='Offer Statistics'!$FG$2:$FG$183),0)),"/")</f>
        <v>1165</v>
      </c>
      <c r="AD7" s="375" cm="1">
        <f t="array" ref="AD7">IFERROR(INDEX('Offer Statistics'!FH$2:FH$183,MATCH(1,($A7='Offer Statistics'!$FF$2:$FF$183)*($U$2='Offer Statistics'!$FG$2:$FG$183),0)),"/")</f>
        <v>96</v>
      </c>
      <c r="AE7" s="375" cm="1">
        <f t="array" ref="AE7">IFERROR(INDEX('Offer Statistics'!FI$2:FI$183,MATCH(1,($A7='Offer Statistics'!$FF$2:$FF$183)*($U$2='Offer Statistics'!$FG$2:$FG$183),0)),"/")</f>
        <v>145</v>
      </c>
      <c r="AF7" s="375" cm="1">
        <f t="array" ref="AF7">IFERROR(INDEX('Offer Statistics'!FJ$2:FJ$183,MATCH(1,($A7='Offer Statistics'!$FF$2:$FF$183)*($U$2='Offer Statistics'!$FG$2:$FG$183),0)),"/")</f>
        <v>219</v>
      </c>
      <c r="AG7" s="375" cm="1">
        <f t="array" ref="AG7">IFERROR(INDEX('Offer Statistics'!FK$2:FK$183,MATCH(1,($A7='Offer Statistics'!$FF$2:$FF$183)*($U$2='Offer Statistics'!$FG$2:$FG$183),0)),"/")</f>
        <v>302</v>
      </c>
      <c r="AH7" s="375" cm="1">
        <f t="array" ref="AH7">IFERROR(INDEX('Offer Statistics'!FL$2:FL$183,MATCH(1,($A7='Offer Statistics'!$FF$2:$FF$183)*($U$2='Offer Statistics'!$FG$2:$FG$183),0)),"/")</f>
        <v>403</v>
      </c>
      <c r="AI7" s="4"/>
      <c r="AJ7" s="538" t="str">
        <f t="shared" si="0"/>
        <v>JSSC03</v>
      </c>
    </row>
    <row r="8" spans="1:36" ht="18" customHeight="1" x14ac:dyDescent="0.3">
      <c r="A8" s="346" t="str">
        <f>'Reference Score Calculation'!A377</f>
        <v>JSSC04</v>
      </c>
      <c r="B8" s="4" t="s">
        <v>2648</v>
      </c>
      <c r="C8" s="4" t="s">
        <v>2266</v>
      </c>
      <c r="D8" s="346" t="s">
        <v>1739</v>
      </c>
      <c r="E8" s="15" t="s">
        <v>2259</v>
      </c>
      <c r="F8" s="347">
        <f>'Reference Score Calculation'!F377</f>
        <v>14</v>
      </c>
      <c r="G8" s="347" t="str">
        <f>'Reference Score Calculation'!G377</f>
        <v>/</v>
      </c>
      <c r="H8" s="347" t="str">
        <f>'Reference Score Calculation'!H377</f>
        <v>/</v>
      </c>
      <c r="I8" s="368">
        <f>計分版!H398</f>
        <v>1.9500000000000001E-9</v>
      </c>
      <c r="J8" s="25">
        <f>IFERROR(IF(J$1="差距(Median)",I8-F8,IF(J$1="差距(UQ)",I8-F8,IF(J$1="差距(LQ)",I8-H8))),"/")</f>
        <v>-13.999999998050001</v>
      </c>
      <c r="K8" s="26">
        <f>IFERROR(IF(J$1="差距(Median)",(I8-F8)/I8,IF(J$1="差距(UQ)",(I8-F8)/I8,IF(J$1="差距(LQ)",(I8-H8)/I8))),"/")</f>
        <v>-7179487178.4871798</v>
      </c>
      <c r="L8" s="530">
        <f>入學要求!C386</f>
        <v>20</v>
      </c>
      <c r="M8" s="103">
        <f>入學要求!R386</f>
        <v>0</v>
      </c>
      <c r="N8" s="586"/>
      <c r="O8" s="531"/>
      <c r="P8" s="15">
        <v>3</v>
      </c>
      <c r="Q8" s="15">
        <v>3</v>
      </c>
      <c r="R8" s="15">
        <v>2</v>
      </c>
      <c r="S8" s="15">
        <v>2</v>
      </c>
      <c r="T8" s="15">
        <v>2</v>
      </c>
      <c r="U8" s="576"/>
      <c r="V8" s="537" cm="1">
        <f t="array" ref="V8">IFERROR(INDEX('Offer Statistics'!FU$2:FU$183,MATCH(1,($A8='Offer Statistics'!$FF$2:$FF$183)*($U$2='Offer Statistics'!$FG$2:$FG$183),0)),"/")</f>
        <v>33</v>
      </c>
      <c r="W8" s="375" cm="1">
        <f t="array" ref="W8">IFERROR(INDEX('Offer Statistics'!FP$2:FP$183,MATCH(1,($A8='Offer Statistics'!$FF$2:$FF$183)*($U$2='Offer Statistics'!$FG$2:$FG$183),0)),"/")</f>
        <v>9</v>
      </c>
      <c r="X8" s="375" cm="1">
        <f t="array" ref="X8">IFERROR(INDEX('Offer Statistics'!FQ$2:FQ$183,MATCH(1,($A8='Offer Statistics'!$FF$2:$FF$183)*($U$2='Offer Statistics'!$FG$2:$FG$183),0)),"/")</f>
        <v>6</v>
      </c>
      <c r="Y8" s="375" cm="1">
        <f t="array" ref="Y8">IFERROR(INDEX('Offer Statistics'!FR$2:FR$183,MATCH(1,($A8='Offer Statistics'!$FF$2:$FF$183)*($U$2='Offer Statistics'!$FG$2:$FG$183),0)),"/")</f>
        <v>7</v>
      </c>
      <c r="Z8" s="375" cm="1">
        <f t="array" ref="Z8">IFERROR(INDEX('Offer Statistics'!FS$2:FS$183,MATCH(1,($A8='Offer Statistics'!$FF$2:$FF$183)*($U$2='Offer Statistics'!$FG$2:$FG$183),0)),"/")</f>
        <v>4</v>
      </c>
      <c r="AA8" s="375" cm="1">
        <f t="array" ref="AA8">IFERROR(INDEX('Offer Statistics'!FT$2:FT$183,MATCH(1,($A8='Offer Statistics'!$FF$2:$FF$183)*($U$2='Offer Statistics'!$FG$2:$FG$183),0)),"/")</f>
        <v>7</v>
      </c>
      <c r="AB8" s="601"/>
      <c r="AC8" s="537" cm="1">
        <f t="array" ref="AC8">IFERROR(INDEX('Offer Statistics'!FM$2:FM$183,MATCH(1,($A8='Offer Statistics'!$FF$2:$FF$183)*($U$2='Offer Statistics'!$FG$2:$FG$183),0)),"/")</f>
        <v>1868</v>
      </c>
      <c r="AD8" s="375" cm="1">
        <f t="array" ref="AD8">IFERROR(INDEX('Offer Statistics'!FH$2:FH$183,MATCH(1,($A8='Offer Statistics'!$FF$2:$FF$183)*($U$2='Offer Statistics'!$FG$2:$FG$183),0)),"/")</f>
        <v>169</v>
      </c>
      <c r="AE8" s="375" cm="1">
        <f t="array" ref="AE8">IFERROR(INDEX('Offer Statistics'!FI$2:FI$183,MATCH(1,($A8='Offer Statistics'!$FF$2:$FF$183)*($U$2='Offer Statistics'!$FG$2:$FG$183),0)),"/")</f>
        <v>263</v>
      </c>
      <c r="AF8" s="375" cm="1">
        <f t="array" ref="AF8">IFERROR(INDEX('Offer Statistics'!FJ$2:FJ$183,MATCH(1,($A8='Offer Statistics'!$FF$2:$FF$183)*($U$2='Offer Statistics'!$FG$2:$FG$183),0)),"/")</f>
        <v>354</v>
      </c>
      <c r="AG8" s="375" cm="1">
        <f t="array" ref="AG8">IFERROR(INDEX('Offer Statistics'!FK$2:FK$183,MATCH(1,($A8='Offer Statistics'!$FF$2:$FF$183)*($U$2='Offer Statistics'!$FG$2:$FG$183),0)),"/")</f>
        <v>448</v>
      </c>
      <c r="AH8" s="375" cm="1">
        <f t="array" ref="AH8">IFERROR(INDEX('Offer Statistics'!FL$2:FL$183,MATCH(1,($A8='Offer Statistics'!$FF$2:$FF$183)*($U$2='Offer Statistics'!$FG$2:$FG$183),0)),"/")</f>
        <v>634</v>
      </c>
      <c r="AI8" s="4"/>
      <c r="AJ8" s="538" t="str">
        <f t="shared" si="0"/>
        <v>JSSC04</v>
      </c>
    </row>
    <row r="9" spans="1:36" ht="18" customHeight="1" x14ac:dyDescent="0.3">
      <c r="A9" s="346" t="str">
        <f>'Reference Score Calculation'!A378</f>
        <v>JSSH01</v>
      </c>
      <c r="B9" s="4" t="s">
        <v>2649</v>
      </c>
      <c r="C9" s="4" t="s">
        <v>2267</v>
      </c>
      <c r="D9" s="346" t="s">
        <v>1743</v>
      </c>
      <c r="E9" s="19" t="s">
        <v>2171</v>
      </c>
      <c r="F9" s="347" t="str">
        <f>'Reference Score Calculation'!F378</f>
        <v>/</v>
      </c>
      <c r="G9" s="533">
        <f>'Reference Score Calculation'!G378</f>
        <v>16.29</v>
      </c>
      <c r="H9" s="347" t="str">
        <f>'Reference Score Calculation'!H378</f>
        <v>/</v>
      </c>
      <c r="I9" s="368">
        <f>計分版!H399</f>
        <v>1.9000000000000001E-9</v>
      </c>
      <c r="J9" s="25">
        <f>I9-G9</f>
        <v>-16.289999998100001</v>
      </c>
      <c r="K9" s="26">
        <f>(I9-G9)/I9</f>
        <v>-8573684209.5263157</v>
      </c>
      <c r="L9" s="530">
        <f>入學要求!C387</f>
        <v>105</v>
      </c>
      <c r="M9" s="103">
        <f>入學要求!R387</f>
        <v>0</v>
      </c>
      <c r="N9" s="15" t="s">
        <v>2165</v>
      </c>
      <c r="O9" s="531"/>
      <c r="P9" s="15">
        <v>3</v>
      </c>
      <c r="Q9" s="15">
        <v>3</v>
      </c>
      <c r="R9" s="15">
        <v>2</v>
      </c>
      <c r="S9" s="15">
        <v>2</v>
      </c>
      <c r="T9" s="15">
        <v>2</v>
      </c>
      <c r="U9" s="576"/>
      <c r="V9" s="537" cm="1">
        <f t="array" ref="V9">IFERROR(INDEX('Offer Statistics'!FU$2:FU$183,MATCH(1,($A9='Offer Statistics'!$FF$2:$FF$183)*($U$2='Offer Statistics'!$FG$2:$FG$183),0)),"/")</f>
        <v>231</v>
      </c>
      <c r="W9" s="375" cm="1">
        <f t="array" ref="W9">IFERROR(INDEX('Offer Statistics'!FP$2:FP$183,MATCH(1,($A9='Offer Statistics'!$FF$2:$FF$183)*($U$2='Offer Statistics'!$FG$2:$FG$183),0)),"/")</f>
        <v>184</v>
      </c>
      <c r="X9" s="375" cm="1">
        <f t="array" ref="X9">IFERROR(INDEX('Offer Statistics'!FQ$2:FQ$183,MATCH(1,($A9='Offer Statistics'!$FF$2:$FF$183)*($U$2='Offer Statistics'!$FG$2:$FG$183),0)),"/")</f>
        <v>38</v>
      </c>
      <c r="Y9" s="375" cm="1">
        <f t="array" ref="Y9">IFERROR(INDEX('Offer Statistics'!FR$2:FR$183,MATCH(1,($A9='Offer Statistics'!$FF$2:$FF$183)*($U$2='Offer Statistics'!$FG$2:$FG$183),0)),"/")</f>
        <v>9</v>
      </c>
      <c r="Z9" s="375" cm="1">
        <f t="array" ref="Z9">IFERROR(INDEX('Offer Statistics'!FS$2:FS$183,MATCH(1,($A9='Offer Statistics'!$FF$2:$FF$183)*($U$2='Offer Statistics'!$FG$2:$FG$183),0)),"/")</f>
        <v>0</v>
      </c>
      <c r="AA9" s="375" cm="1">
        <f t="array" ref="AA9">IFERROR(INDEX('Offer Statistics'!FT$2:FT$183,MATCH(1,($A9='Offer Statistics'!$FF$2:$FF$183)*($U$2='Offer Statistics'!$FG$2:$FG$183),0)),"/")</f>
        <v>0</v>
      </c>
      <c r="AB9" s="601"/>
      <c r="AC9" s="537" cm="1">
        <f t="array" ref="AC9">IFERROR(INDEX('Offer Statistics'!FM$2:FM$183,MATCH(1,($A9='Offer Statistics'!$FF$2:$FF$183)*($U$2='Offer Statistics'!$FG$2:$FG$183),0)),"/")</f>
        <v>2958</v>
      </c>
      <c r="AD9" s="375" cm="1">
        <f t="array" ref="AD9">IFERROR(INDEX('Offer Statistics'!FH$2:FH$183,MATCH(1,($A9='Offer Statistics'!$FF$2:$FF$183)*($U$2='Offer Statistics'!$FG$2:$FG$183),0)),"/")</f>
        <v>599</v>
      </c>
      <c r="AE9" s="375" cm="1">
        <f t="array" ref="AE9">IFERROR(INDEX('Offer Statistics'!FI$2:FI$183,MATCH(1,($A9='Offer Statistics'!$FF$2:$FF$183)*($U$2='Offer Statistics'!$FG$2:$FG$183),0)),"/")</f>
        <v>583</v>
      </c>
      <c r="AF9" s="375" cm="1">
        <f t="array" ref="AF9">IFERROR(INDEX('Offer Statistics'!FJ$2:FJ$183,MATCH(1,($A9='Offer Statistics'!$FF$2:$FF$183)*($U$2='Offer Statistics'!$FG$2:$FG$183),0)),"/")</f>
        <v>506</v>
      </c>
      <c r="AG9" s="375" cm="1">
        <f t="array" ref="AG9">IFERROR(INDEX('Offer Statistics'!FK$2:FK$183,MATCH(1,($A9='Offer Statistics'!$FF$2:$FF$183)*($U$2='Offer Statistics'!$FG$2:$FG$183),0)),"/")</f>
        <v>538</v>
      </c>
      <c r="AH9" s="375" cm="1">
        <f t="array" ref="AH9">IFERROR(INDEX('Offer Statistics'!FL$2:FL$183,MATCH(1,($A9='Offer Statistics'!$FF$2:$FF$183)*($U$2='Offer Statistics'!$FG$2:$FG$183),0)),"/")</f>
        <v>732</v>
      </c>
      <c r="AI9" s="4"/>
      <c r="AJ9" s="538" t="str">
        <f t="shared" si="0"/>
        <v>JSSH01</v>
      </c>
    </row>
    <row r="10" spans="1:36" ht="18" customHeight="1" x14ac:dyDescent="0.3">
      <c r="A10" s="346" t="str">
        <f>'Reference Score Calculation'!A379</f>
        <v>JSSH02</v>
      </c>
      <c r="B10" s="4" t="s">
        <v>2649</v>
      </c>
      <c r="C10" s="4" t="s">
        <v>2268</v>
      </c>
      <c r="D10" s="346" t="s">
        <v>1747</v>
      </c>
      <c r="E10" s="19" t="s">
        <v>2171</v>
      </c>
      <c r="F10" s="347" t="str">
        <f>'Reference Score Calculation'!F379</f>
        <v>/</v>
      </c>
      <c r="G10" s="533">
        <f>'Reference Score Calculation'!G379</f>
        <v>16.649999999999999</v>
      </c>
      <c r="H10" s="347" t="str">
        <f>'Reference Score Calculation'!H379</f>
        <v>/</v>
      </c>
      <c r="I10" s="368">
        <f>計分版!H400</f>
        <v>1.9000000000000001E-9</v>
      </c>
      <c r="J10" s="25">
        <f t="shared" ref="J10:J19" si="4">I10-G10</f>
        <v>-16.6499999981</v>
      </c>
      <c r="K10" s="26">
        <f>(I10-G10)/I10</f>
        <v>-8763157893.7368412</v>
      </c>
      <c r="L10" s="530">
        <f>入學要求!C388</f>
        <v>35</v>
      </c>
      <c r="M10" s="103">
        <f>入學要求!R388</f>
        <v>0</v>
      </c>
      <c r="N10" s="15" t="s">
        <v>2165</v>
      </c>
      <c r="O10" s="531"/>
      <c r="P10" s="15">
        <v>3</v>
      </c>
      <c r="Q10" s="15">
        <v>3</v>
      </c>
      <c r="R10" s="15">
        <v>2</v>
      </c>
      <c r="S10" s="15">
        <v>2</v>
      </c>
      <c r="T10" s="15">
        <v>2</v>
      </c>
      <c r="U10" s="576"/>
      <c r="V10" s="537" cm="1">
        <f t="array" ref="V10">IFERROR(INDEX('Offer Statistics'!FU$2:FU$183,MATCH(1,($A10='Offer Statistics'!$FF$2:$FF$183)*($U$2='Offer Statistics'!$FG$2:$FG$183),0)),"/")</f>
        <v>46</v>
      </c>
      <c r="W10" s="375" cm="1">
        <f t="array" ref="W10">IFERROR(INDEX('Offer Statistics'!FP$2:FP$183,MATCH(1,($A10='Offer Statistics'!$FF$2:$FF$183)*($U$2='Offer Statistics'!$FG$2:$FG$183),0)),"/")</f>
        <v>31</v>
      </c>
      <c r="X10" s="375" cm="1">
        <f t="array" ref="X10">IFERROR(INDEX('Offer Statistics'!FQ$2:FQ$183,MATCH(1,($A10='Offer Statistics'!$FF$2:$FF$183)*($U$2='Offer Statistics'!$FG$2:$FG$183),0)),"/")</f>
        <v>7</v>
      </c>
      <c r="Y10" s="375" cm="1">
        <f t="array" ref="Y10">IFERROR(INDEX('Offer Statistics'!FR$2:FR$183,MATCH(1,($A10='Offer Statistics'!$FF$2:$FF$183)*($U$2='Offer Statistics'!$FG$2:$FG$183),0)),"/")</f>
        <v>4</v>
      </c>
      <c r="Z10" s="375" cm="1">
        <f t="array" ref="Z10">IFERROR(INDEX('Offer Statistics'!FS$2:FS$183,MATCH(1,($A10='Offer Statistics'!$FF$2:$FF$183)*($U$2='Offer Statistics'!$FG$2:$FG$183),0)),"/")</f>
        <v>3</v>
      </c>
      <c r="AA10" s="375" cm="1">
        <f t="array" ref="AA10">IFERROR(INDEX('Offer Statistics'!FT$2:FT$183,MATCH(1,($A10='Offer Statistics'!$FF$2:$FF$183)*($U$2='Offer Statistics'!$FG$2:$FG$183),0)),"/")</f>
        <v>1</v>
      </c>
      <c r="AB10" s="601"/>
      <c r="AC10" s="537" cm="1">
        <f t="array" ref="AC10">IFERROR(INDEX('Offer Statistics'!FM$2:FM$183,MATCH(1,($A10='Offer Statistics'!$FF$2:$FF$183)*($U$2='Offer Statistics'!$FG$2:$FG$183),0)),"/")</f>
        <v>1210</v>
      </c>
      <c r="AD10" s="375" cm="1">
        <f t="array" ref="AD10">IFERROR(INDEX('Offer Statistics'!FH$2:FH$183,MATCH(1,($A10='Offer Statistics'!$FF$2:$FF$183)*($U$2='Offer Statistics'!$FG$2:$FG$183),0)),"/")</f>
        <v>136</v>
      </c>
      <c r="AE10" s="375" cm="1">
        <f t="array" ref="AE10">IFERROR(INDEX('Offer Statistics'!FI$2:FI$183,MATCH(1,($A10='Offer Statistics'!$FF$2:$FF$183)*($U$2='Offer Statistics'!$FG$2:$FG$183),0)),"/")</f>
        <v>185</v>
      </c>
      <c r="AF10" s="375" cm="1">
        <f t="array" ref="AF10">IFERROR(INDEX('Offer Statistics'!FJ$2:FJ$183,MATCH(1,($A10='Offer Statistics'!$FF$2:$FF$183)*($U$2='Offer Statistics'!$FG$2:$FG$183),0)),"/")</f>
        <v>231</v>
      </c>
      <c r="AG10" s="375" cm="1">
        <f t="array" ref="AG10">IFERROR(INDEX('Offer Statistics'!FK$2:FK$183,MATCH(1,($A10='Offer Statistics'!$FF$2:$FF$183)*($U$2='Offer Statistics'!$FG$2:$FG$183),0)),"/")</f>
        <v>287</v>
      </c>
      <c r="AH10" s="375" cm="1">
        <f t="array" ref="AH10">IFERROR(INDEX('Offer Statistics'!FL$2:FL$183,MATCH(1,($A10='Offer Statistics'!$FF$2:$FF$183)*($U$2='Offer Statistics'!$FG$2:$FG$183),0)),"/")</f>
        <v>371</v>
      </c>
      <c r="AI10" s="4"/>
      <c r="AJ10" s="538" t="str">
        <f t="shared" si="0"/>
        <v>JSSH02</v>
      </c>
    </row>
    <row r="11" spans="1:36" ht="18" customHeight="1" x14ac:dyDescent="0.3">
      <c r="A11" s="346" t="str">
        <f>'Reference Score Calculation'!A380</f>
        <v>JSSH03</v>
      </c>
      <c r="B11" s="4" t="s">
        <v>2649</v>
      </c>
      <c r="C11" s="4" t="s">
        <v>2269</v>
      </c>
      <c r="D11" s="346" t="s">
        <v>1754</v>
      </c>
      <c r="E11" s="19" t="s">
        <v>2171</v>
      </c>
      <c r="F11" s="347" t="str">
        <f>'Reference Score Calculation'!F380</f>
        <v>/</v>
      </c>
      <c r="G11" s="533">
        <f>'Reference Score Calculation'!G380</f>
        <v>16.03</v>
      </c>
      <c r="H11" s="347" t="str">
        <f>'Reference Score Calculation'!H380</f>
        <v>/</v>
      </c>
      <c r="I11" s="368">
        <f>計分版!H401</f>
        <v>1.9000000000000001E-9</v>
      </c>
      <c r="J11" s="25">
        <f t="shared" si="4"/>
        <v>-16.029999998100003</v>
      </c>
      <c r="K11" s="26">
        <f t="shared" ref="K11:K19" si="5">(I11-G11)/I11</f>
        <v>-8436842104.2631588</v>
      </c>
      <c r="L11" s="530">
        <f>入學要求!C389</f>
        <v>60</v>
      </c>
      <c r="M11" s="103">
        <f>入學要求!R389</f>
        <v>0</v>
      </c>
      <c r="N11" s="15" t="s">
        <v>2165</v>
      </c>
      <c r="O11" s="531"/>
      <c r="P11" s="15">
        <v>3</v>
      </c>
      <c r="Q11" s="15">
        <v>3</v>
      </c>
      <c r="R11" s="15">
        <v>2</v>
      </c>
      <c r="S11" s="15">
        <v>2</v>
      </c>
      <c r="T11" s="15">
        <v>2</v>
      </c>
      <c r="U11" s="576"/>
      <c r="V11" s="537" cm="1">
        <f t="array" ref="V11">IFERROR(INDEX('Offer Statistics'!FU$2:FU$183,MATCH(1,($A11='Offer Statistics'!$FF$2:$FF$183)*($U$2='Offer Statistics'!$FG$2:$FG$183),0)),"/")</f>
        <v>48</v>
      </c>
      <c r="W11" s="375" cm="1">
        <f t="array" ref="W11">IFERROR(INDEX('Offer Statistics'!FP$2:FP$183,MATCH(1,($A11='Offer Statistics'!$FF$2:$FF$183)*($U$2='Offer Statistics'!$FG$2:$FG$183),0)),"/")</f>
        <v>41</v>
      </c>
      <c r="X11" s="375" cm="1">
        <f t="array" ref="X11">IFERROR(INDEX('Offer Statistics'!FQ$2:FQ$183,MATCH(1,($A11='Offer Statistics'!$FF$2:$FF$183)*($U$2='Offer Statistics'!$FG$2:$FG$183),0)),"/")</f>
        <v>7</v>
      </c>
      <c r="Y11" s="375" cm="1">
        <f t="array" ref="Y11">IFERROR(INDEX('Offer Statistics'!FR$2:FR$183,MATCH(1,($A11='Offer Statistics'!$FF$2:$FF$183)*($U$2='Offer Statistics'!$FG$2:$FG$183),0)),"/")</f>
        <v>0</v>
      </c>
      <c r="Z11" s="375" cm="1">
        <f t="array" ref="Z11">IFERROR(INDEX('Offer Statistics'!FS$2:FS$183,MATCH(1,($A11='Offer Statistics'!$FF$2:$FF$183)*($U$2='Offer Statistics'!$FG$2:$FG$183),0)),"/")</f>
        <v>0</v>
      </c>
      <c r="AA11" s="375" cm="1">
        <f t="array" ref="AA11">IFERROR(INDEX('Offer Statistics'!FT$2:FT$183,MATCH(1,($A11='Offer Statistics'!$FF$2:$FF$183)*($U$2='Offer Statistics'!$FG$2:$FG$183),0)),"/")</f>
        <v>0</v>
      </c>
      <c r="AB11" s="601"/>
      <c r="AC11" s="537" cm="1">
        <f t="array" ref="AC11">IFERROR(INDEX('Offer Statistics'!FM$2:FM$183,MATCH(1,($A11='Offer Statistics'!$FF$2:$FF$183)*($U$2='Offer Statistics'!$FG$2:$FG$183),0)),"/")</f>
        <v>992</v>
      </c>
      <c r="AD11" s="375" cm="1">
        <f t="array" ref="AD11">IFERROR(INDEX('Offer Statistics'!FH$2:FH$183,MATCH(1,($A11='Offer Statistics'!$FF$2:$FF$183)*($U$2='Offer Statistics'!$FG$2:$FG$183),0)),"/")</f>
        <v>203</v>
      </c>
      <c r="AE11" s="375" cm="1">
        <f t="array" ref="AE11">IFERROR(INDEX('Offer Statistics'!FI$2:FI$183,MATCH(1,($A11='Offer Statistics'!$FF$2:$FF$183)*($U$2='Offer Statistics'!$FG$2:$FG$183),0)),"/")</f>
        <v>169</v>
      </c>
      <c r="AF11" s="375" cm="1">
        <f t="array" ref="AF11">IFERROR(INDEX('Offer Statistics'!FJ$2:FJ$183,MATCH(1,($A11='Offer Statistics'!$FF$2:$FF$183)*($U$2='Offer Statistics'!$FG$2:$FG$183),0)),"/")</f>
        <v>149</v>
      </c>
      <c r="AG11" s="375" cm="1">
        <f t="array" ref="AG11">IFERROR(INDEX('Offer Statistics'!FK$2:FK$183,MATCH(1,($A11='Offer Statistics'!$FF$2:$FF$183)*($U$2='Offer Statistics'!$FG$2:$FG$183),0)),"/")</f>
        <v>202</v>
      </c>
      <c r="AH11" s="375" cm="1">
        <f t="array" ref="AH11">IFERROR(INDEX('Offer Statistics'!FL$2:FL$183,MATCH(1,($A11='Offer Statistics'!$FF$2:$FF$183)*($U$2='Offer Statistics'!$FG$2:$FG$183),0)),"/")</f>
        <v>269</v>
      </c>
      <c r="AI11" s="4"/>
      <c r="AJ11" s="538" t="str">
        <f t="shared" si="0"/>
        <v>JSSH03</v>
      </c>
    </row>
    <row r="12" spans="1:36" ht="18" customHeight="1" x14ac:dyDescent="0.3">
      <c r="A12" s="346" t="str">
        <f>'Reference Score Calculation'!A381</f>
        <v>JSSH04</v>
      </c>
      <c r="B12" s="4" t="s">
        <v>2649</v>
      </c>
      <c r="C12" s="4" t="s">
        <v>2270</v>
      </c>
      <c r="D12" s="346" t="s">
        <v>1758</v>
      </c>
      <c r="E12" s="16" t="s">
        <v>2171</v>
      </c>
      <c r="F12" s="347" t="str">
        <f>'Reference Score Calculation'!F381</f>
        <v>/</v>
      </c>
      <c r="G12" s="533">
        <f>'Reference Score Calculation'!G381</f>
        <v>16.239999999999998</v>
      </c>
      <c r="H12" s="347" t="str">
        <f>'Reference Score Calculation'!H381</f>
        <v>/</v>
      </c>
      <c r="I12" s="368">
        <f>計分版!H402</f>
        <v>1.9000000000000001E-9</v>
      </c>
      <c r="J12" s="25">
        <f t="shared" si="4"/>
        <v>-16.2399999981</v>
      </c>
      <c r="K12" s="26">
        <f t="shared" si="5"/>
        <v>-8547368420.0526314</v>
      </c>
      <c r="L12" s="530">
        <f>入學要求!C390</f>
        <v>70</v>
      </c>
      <c r="M12" s="103">
        <f>入學要求!R390</f>
        <v>0</v>
      </c>
      <c r="N12" s="15" t="s">
        <v>2165</v>
      </c>
      <c r="O12" s="531"/>
      <c r="P12" s="15">
        <v>3</v>
      </c>
      <c r="Q12" s="15">
        <v>3</v>
      </c>
      <c r="R12" s="15">
        <v>2</v>
      </c>
      <c r="S12" s="15">
        <v>2</v>
      </c>
      <c r="T12" s="15">
        <v>2</v>
      </c>
      <c r="U12" s="576"/>
      <c r="V12" s="537" cm="1">
        <f t="array" ref="V12">IFERROR(INDEX('Offer Statistics'!FU$2:FU$183,MATCH(1,($A12='Offer Statistics'!$FF$2:$FF$183)*($U$2='Offer Statistics'!$FG$2:$FG$183),0)),"/")</f>
        <v>82</v>
      </c>
      <c r="W12" s="375" cm="1">
        <f t="array" ref="W12">IFERROR(INDEX('Offer Statistics'!FP$2:FP$183,MATCH(1,($A12='Offer Statistics'!$FF$2:$FF$183)*($U$2='Offer Statistics'!$FG$2:$FG$183),0)),"/")</f>
        <v>61</v>
      </c>
      <c r="X12" s="375" cm="1">
        <f t="array" ref="X12">IFERROR(INDEX('Offer Statistics'!FQ$2:FQ$183,MATCH(1,($A12='Offer Statistics'!$FF$2:$FF$183)*($U$2='Offer Statistics'!$FG$2:$FG$183),0)),"/")</f>
        <v>14</v>
      </c>
      <c r="Y12" s="375" cm="1">
        <f t="array" ref="Y12">IFERROR(INDEX('Offer Statistics'!FR$2:FR$183,MATCH(1,($A12='Offer Statistics'!$FF$2:$FF$183)*($U$2='Offer Statistics'!$FG$2:$FG$183),0)),"/")</f>
        <v>1</v>
      </c>
      <c r="Z12" s="375" cm="1">
        <f t="array" ref="Z12">IFERROR(INDEX('Offer Statistics'!FS$2:FS$183,MATCH(1,($A12='Offer Statistics'!$FF$2:$FF$183)*($U$2='Offer Statistics'!$FG$2:$FG$183),0)),"/")</f>
        <v>1</v>
      </c>
      <c r="AA12" s="375" cm="1">
        <f t="array" ref="AA12">IFERROR(INDEX('Offer Statistics'!FT$2:FT$183,MATCH(1,($A12='Offer Statistics'!$FF$2:$FF$183)*($U$2='Offer Statistics'!$FG$2:$FG$183),0)),"/")</f>
        <v>5</v>
      </c>
      <c r="AB12" s="601"/>
      <c r="AC12" s="537" cm="1">
        <f t="array" ref="AC12">IFERROR(INDEX('Offer Statistics'!FM$2:FM$183,MATCH(1,($A12='Offer Statistics'!$FF$2:$FF$183)*($U$2='Offer Statistics'!$FG$2:$FG$183),0)),"/")</f>
        <v>1690</v>
      </c>
      <c r="AD12" s="375" cm="1">
        <f t="array" ref="AD12">IFERROR(INDEX('Offer Statistics'!FH$2:FH$183,MATCH(1,($A12='Offer Statistics'!$FF$2:$FF$183)*($U$2='Offer Statistics'!$FG$2:$FG$183),0)),"/")</f>
        <v>261</v>
      </c>
      <c r="AE12" s="375" cm="1">
        <f t="array" ref="AE12">IFERROR(INDEX('Offer Statistics'!FI$2:FI$183,MATCH(1,($A12='Offer Statistics'!$FF$2:$FF$183)*($U$2='Offer Statistics'!$FG$2:$FG$183),0)),"/")</f>
        <v>349</v>
      </c>
      <c r="AF12" s="375" cm="1">
        <f t="array" ref="AF12">IFERROR(INDEX('Offer Statistics'!FJ$2:FJ$183,MATCH(1,($A12='Offer Statistics'!$FF$2:$FF$183)*($U$2='Offer Statistics'!$FG$2:$FG$183),0)),"/")</f>
        <v>280</v>
      </c>
      <c r="AG12" s="375" cm="1">
        <f t="array" ref="AG12">IFERROR(INDEX('Offer Statistics'!FK$2:FK$183,MATCH(1,($A12='Offer Statistics'!$FF$2:$FF$183)*($U$2='Offer Statistics'!$FG$2:$FG$183),0)),"/")</f>
        <v>330</v>
      </c>
      <c r="AH12" s="375" cm="1">
        <f t="array" ref="AH12">IFERROR(INDEX('Offer Statistics'!FL$2:FL$183,MATCH(1,($A12='Offer Statistics'!$FF$2:$FF$183)*($U$2='Offer Statistics'!$FG$2:$FG$183),0)),"/")</f>
        <v>470</v>
      </c>
      <c r="AI12" s="4"/>
      <c r="AJ12" s="538" t="str">
        <f t="shared" si="0"/>
        <v>JSSH04</v>
      </c>
    </row>
    <row r="13" spans="1:36" ht="18" customHeight="1" x14ac:dyDescent="0.3">
      <c r="A13" s="346" t="str">
        <f>'Reference Score Calculation'!A382</f>
        <v>JSSH05</v>
      </c>
      <c r="B13" s="4" t="s">
        <v>2649</v>
      </c>
      <c r="C13" s="4" t="s">
        <v>2271</v>
      </c>
      <c r="D13" s="346" t="s">
        <v>1762</v>
      </c>
      <c r="E13" s="19" t="s">
        <v>2171</v>
      </c>
      <c r="F13" s="347" t="str">
        <f>'Reference Score Calculation'!F382</f>
        <v>/</v>
      </c>
      <c r="G13" s="533">
        <f>'Reference Score Calculation'!G382</f>
        <v>16.559999999999999</v>
      </c>
      <c r="H13" s="347" t="str">
        <f>'Reference Score Calculation'!H382</f>
        <v>/</v>
      </c>
      <c r="I13" s="368">
        <f>計分版!H403</f>
        <v>1.9000000000000001E-9</v>
      </c>
      <c r="J13" s="361">
        <f t="shared" ref="J13:J16" si="6">I13-G13</f>
        <v>-16.5599999981</v>
      </c>
      <c r="K13" s="362">
        <f t="shared" ref="K13:K16" si="7">(I13-G13)/I13</f>
        <v>-8715789472.6842098</v>
      </c>
      <c r="L13" s="530">
        <f>入學要求!C391</f>
        <v>65</v>
      </c>
      <c r="M13" s="103">
        <f>入學要求!R391</f>
        <v>0</v>
      </c>
      <c r="N13" s="15" t="s">
        <v>2165</v>
      </c>
      <c r="O13" s="531"/>
      <c r="P13" s="15">
        <v>3</v>
      </c>
      <c r="Q13" s="15">
        <v>3</v>
      </c>
      <c r="R13" s="15">
        <v>2</v>
      </c>
      <c r="S13" s="15">
        <v>2</v>
      </c>
      <c r="T13" s="15">
        <v>2</v>
      </c>
      <c r="U13" s="576"/>
      <c r="V13" s="537" cm="1">
        <f t="array" ref="V13">IFERROR(INDEX('Offer Statistics'!FU$2:FU$183,MATCH(1,($A13='Offer Statistics'!$FF$2:$FF$183)*($U$2='Offer Statistics'!$FG$2:$FG$183),0)),"/")</f>
        <v>98</v>
      </c>
      <c r="W13" s="375" cm="1">
        <f t="array" ref="W13">IFERROR(INDEX('Offer Statistics'!FP$2:FP$183,MATCH(1,($A13='Offer Statistics'!$FF$2:$FF$183)*($U$2='Offer Statistics'!$FG$2:$FG$183),0)),"/")</f>
        <v>63</v>
      </c>
      <c r="X13" s="375" cm="1">
        <f t="array" ref="X13">IFERROR(INDEX('Offer Statistics'!FQ$2:FQ$183,MATCH(1,($A13='Offer Statistics'!$FF$2:$FF$183)*($U$2='Offer Statistics'!$FG$2:$FG$183),0)),"/")</f>
        <v>21</v>
      </c>
      <c r="Y13" s="375" cm="1">
        <f t="array" ref="Y13">IFERROR(INDEX('Offer Statistics'!FR$2:FR$183,MATCH(1,($A13='Offer Statistics'!$FF$2:$FF$183)*($U$2='Offer Statistics'!$FG$2:$FG$183),0)),"/")</f>
        <v>4</v>
      </c>
      <c r="Z13" s="375" cm="1">
        <f t="array" ref="Z13">IFERROR(INDEX('Offer Statistics'!FS$2:FS$183,MATCH(1,($A13='Offer Statistics'!$FF$2:$FF$183)*($U$2='Offer Statistics'!$FG$2:$FG$183),0)),"/")</f>
        <v>5</v>
      </c>
      <c r="AA13" s="375" cm="1">
        <f t="array" ref="AA13">IFERROR(INDEX('Offer Statistics'!FT$2:FT$183,MATCH(1,($A13='Offer Statistics'!$FF$2:$FF$183)*($U$2='Offer Statistics'!$FG$2:$FG$183),0)),"/")</f>
        <v>5</v>
      </c>
      <c r="AB13" s="601"/>
      <c r="AC13" s="537" cm="1">
        <f t="array" ref="AC13">IFERROR(INDEX('Offer Statistics'!FM$2:FM$183,MATCH(1,($A13='Offer Statistics'!$FF$2:$FF$183)*($U$2='Offer Statistics'!$FG$2:$FG$183),0)),"/")</f>
        <v>2054</v>
      </c>
      <c r="AD13" s="375" cm="1">
        <f t="array" ref="AD13">IFERROR(INDEX('Offer Statistics'!FH$2:FH$183,MATCH(1,($A13='Offer Statistics'!$FF$2:$FF$183)*($U$2='Offer Statistics'!$FG$2:$FG$183),0)),"/")</f>
        <v>312</v>
      </c>
      <c r="AE13" s="375" cm="1">
        <f t="array" ref="AE13">IFERROR(INDEX('Offer Statistics'!FI$2:FI$183,MATCH(1,($A13='Offer Statistics'!$FF$2:$FF$183)*($U$2='Offer Statistics'!$FG$2:$FG$183),0)),"/")</f>
        <v>425</v>
      </c>
      <c r="AF13" s="375" cm="1">
        <f t="array" ref="AF13">IFERROR(INDEX('Offer Statistics'!FJ$2:FJ$183,MATCH(1,($A13='Offer Statistics'!$FF$2:$FF$183)*($U$2='Offer Statistics'!$FG$2:$FG$183),0)),"/")</f>
        <v>341</v>
      </c>
      <c r="AG13" s="375" cm="1">
        <f t="array" ref="AG13">IFERROR(INDEX('Offer Statistics'!FK$2:FK$183,MATCH(1,($A13='Offer Statistics'!$FF$2:$FF$183)*($U$2='Offer Statistics'!$FG$2:$FG$183),0)),"/")</f>
        <v>423</v>
      </c>
      <c r="AH13" s="375" cm="1">
        <f t="array" ref="AH13">IFERROR(INDEX('Offer Statistics'!FL$2:FL$183,MATCH(1,($A13='Offer Statistics'!$FF$2:$FF$183)*($U$2='Offer Statistics'!$FG$2:$FG$183),0)),"/")</f>
        <v>553</v>
      </c>
      <c r="AI13" s="4"/>
      <c r="AJ13" s="538" t="str">
        <f t="shared" si="0"/>
        <v>JSSH05</v>
      </c>
    </row>
    <row r="14" spans="1:36" ht="18" customHeight="1" x14ac:dyDescent="0.3">
      <c r="A14" s="346" t="str">
        <f>'Reference Score Calculation'!A383</f>
        <v>JSSH06</v>
      </c>
      <c r="B14" s="4" t="s">
        <v>2649</v>
      </c>
      <c r="C14" s="4" t="s">
        <v>2272</v>
      </c>
      <c r="D14" s="346" t="s">
        <v>1766</v>
      </c>
      <c r="E14" s="355" t="s">
        <v>2354</v>
      </c>
      <c r="F14" s="347" t="str">
        <f>'Reference Score Calculation'!F383</f>
        <v>/</v>
      </c>
      <c r="G14" s="533">
        <f>'Reference Score Calculation'!G383</f>
        <v>16.440000000000001</v>
      </c>
      <c r="H14" s="347" t="str">
        <f>'Reference Score Calculation'!H383</f>
        <v>/</v>
      </c>
      <c r="I14" s="368">
        <f>計分版!H404</f>
        <v>1.9000000000000001E-9</v>
      </c>
      <c r="J14" s="361">
        <f t="shared" si="6"/>
        <v>-16.439999998100003</v>
      </c>
      <c r="K14" s="362">
        <f t="shared" si="7"/>
        <v>-8652631577.9473705</v>
      </c>
      <c r="L14" s="530">
        <f>入學要求!C392</f>
        <v>40</v>
      </c>
      <c r="M14" s="103">
        <f>入學要求!R392</f>
        <v>0</v>
      </c>
      <c r="N14" s="15" t="s">
        <v>2165</v>
      </c>
      <c r="O14" s="531"/>
      <c r="P14" s="15">
        <v>3</v>
      </c>
      <c r="Q14" s="15">
        <v>3</v>
      </c>
      <c r="R14" s="15">
        <v>2</v>
      </c>
      <c r="S14" s="15">
        <v>2</v>
      </c>
      <c r="T14" s="15">
        <v>2</v>
      </c>
      <c r="U14" s="576"/>
      <c r="V14" s="537" cm="1">
        <f t="array" ref="V14">IFERROR(INDEX('Offer Statistics'!FU$2:FU$183,MATCH(1,($A14='Offer Statistics'!$FF$2:$FF$183)*($U$2='Offer Statistics'!$FG$2:$FG$183),0)),"/")</f>
        <v>61</v>
      </c>
      <c r="W14" s="375" cm="1">
        <f t="array" ref="W14">IFERROR(INDEX('Offer Statistics'!FP$2:FP$183,MATCH(1,($A14='Offer Statistics'!$FF$2:$FF$183)*($U$2='Offer Statistics'!$FG$2:$FG$183),0)),"/")</f>
        <v>48</v>
      </c>
      <c r="X14" s="375" cm="1">
        <f t="array" ref="X14">IFERROR(INDEX('Offer Statistics'!FQ$2:FQ$183,MATCH(1,($A14='Offer Statistics'!$FF$2:$FF$183)*($U$2='Offer Statistics'!$FG$2:$FG$183),0)),"/")</f>
        <v>13</v>
      </c>
      <c r="Y14" s="375" cm="1">
        <f t="array" ref="Y14">IFERROR(INDEX('Offer Statistics'!FR$2:FR$183,MATCH(1,($A14='Offer Statistics'!$FF$2:$FF$183)*($U$2='Offer Statistics'!$FG$2:$FG$183),0)),"/")</f>
        <v>0</v>
      </c>
      <c r="Z14" s="375" cm="1">
        <f t="array" ref="Z14">IFERROR(INDEX('Offer Statistics'!FS$2:FS$183,MATCH(1,($A14='Offer Statistics'!$FF$2:$FF$183)*($U$2='Offer Statistics'!$FG$2:$FG$183),0)),"/")</f>
        <v>0</v>
      </c>
      <c r="AA14" s="375" cm="1">
        <f t="array" ref="AA14">IFERROR(INDEX('Offer Statistics'!FT$2:FT$183,MATCH(1,($A14='Offer Statistics'!$FF$2:$FF$183)*($U$2='Offer Statistics'!$FG$2:$FG$183),0)),"/")</f>
        <v>0</v>
      </c>
      <c r="AB14" s="601"/>
      <c r="AC14" s="537" cm="1">
        <f t="array" ref="AC14">IFERROR(INDEX('Offer Statistics'!FM$2:FM$183,MATCH(1,($A14='Offer Statistics'!$FF$2:$FF$183)*($U$2='Offer Statistics'!$FG$2:$FG$183),0)),"/")</f>
        <v>2170</v>
      </c>
      <c r="AD14" s="375" cm="1">
        <f t="array" ref="AD14">IFERROR(INDEX('Offer Statistics'!FH$2:FH$183,MATCH(1,($A14='Offer Statistics'!$FF$2:$FF$183)*($U$2='Offer Statistics'!$FG$2:$FG$183),0)),"/")</f>
        <v>321</v>
      </c>
      <c r="AE14" s="375" cm="1">
        <f t="array" ref="AE14">IFERROR(INDEX('Offer Statistics'!FI$2:FI$183,MATCH(1,($A14='Offer Statistics'!$FF$2:$FF$183)*($U$2='Offer Statistics'!$FG$2:$FG$183),0)),"/")</f>
        <v>456</v>
      </c>
      <c r="AF14" s="375" cm="1">
        <f t="array" ref="AF14">IFERROR(INDEX('Offer Statistics'!FJ$2:FJ$183,MATCH(1,($A14='Offer Statistics'!$FF$2:$FF$183)*($U$2='Offer Statistics'!$FG$2:$FG$183),0)),"/")</f>
        <v>437</v>
      </c>
      <c r="AG14" s="375" cm="1">
        <f t="array" ref="AG14">IFERROR(INDEX('Offer Statistics'!FK$2:FK$183,MATCH(1,($A14='Offer Statistics'!$FF$2:$FF$183)*($U$2='Offer Statistics'!$FG$2:$FG$183),0)),"/")</f>
        <v>492</v>
      </c>
      <c r="AH14" s="375" cm="1">
        <f t="array" ref="AH14">IFERROR(INDEX('Offer Statistics'!FL$2:FL$183,MATCH(1,($A14='Offer Statistics'!$FF$2:$FF$183)*($U$2='Offer Statistics'!$FG$2:$FG$183),0)),"/")</f>
        <v>464</v>
      </c>
      <c r="AI14" s="4"/>
      <c r="AJ14" s="538" t="str">
        <f t="shared" si="0"/>
        <v>JSSH06</v>
      </c>
    </row>
    <row r="15" spans="1:36" ht="18" customHeight="1" x14ac:dyDescent="0.3">
      <c r="A15" s="346" t="str">
        <f>'Reference Score Calculation'!A384</f>
        <v>JSST01</v>
      </c>
      <c r="B15" s="4" t="s">
        <v>2650</v>
      </c>
      <c r="C15" s="4" t="s">
        <v>2273</v>
      </c>
      <c r="D15" s="346" t="s">
        <v>1770</v>
      </c>
      <c r="E15" s="15" t="s">
        <v>2171</v>
      </c>
      <c r="F15" s="347" t="str">
        <f>'Reference Score Calculation'!F384</f>
        <v>/</v>
      </c>
      <c r="G15" s="533">
        <f>'Reference Score Calculation'!G384</f>
        <v>17.5</v>
      </c>
      <c r="H15" s="347" t="str">
        <f>'Reference Score Calculation'!H384</f>
        <v>/</v>
      </c>
      <c r="I15" s="368">
        <f>計分版!H405</f>
        <v>3.3999999999999998E-9</v>
      </c>
      <c r="J15" s="361">
        <f t="shared" si="6"/>
        <v>-17.4999999966</v>
      </c>
      <c r="K15" s="362">
        <f t="shared" si="7"/>
        <v>-5147058822.5294123</v>
      </c>
      <c r="L15" s="530">
        <f>入學要求!C393</f>
        <v>350</v>
      </c>
      <c r="M15" s="103">
        <f>入學要求!R393</f>
        <v>0</v>
      </c>
      <c r="N15" s="15" t="s">
        <v>2165</v>
      </c>
      <c r="O15" s="531"/>
      <c r="P15" s="15">
        <v>3</v>
      </c>
      <c r="Q15" s="15">
        <v>3</v>
      </c>
      <c r="R15" s="15">
        <v>2</v>
      </c>
      <c r="S15" s="15">
        <v>2</v>
      </c>
      <c r="T15" s="15">
        <v>2</v>
      </c>
      <c r="U15" s="576"/>
      <c r="V15" s="537" cm="1">
        <f t="array" ref="V15">IFERROR(INDEX('Offer Statistics'!FU$2:FU$183,MATCH(1,($A15='Offer Statistics'!$FF$2:$FF$183)*($U$2='Offer Statistics'!$FG$2:$FG$183),0)),"/")</f>
        <v>550</v>
      </c>
      <c r="W15" s="375" cm="1">
        <f t="array" ref="W15">IFERROR(INDEX('Offer Statistics'!FP$2:FP$183,MATCH(1,($A15='Offer Statistics'!$FF$2:$FF$183)*($U$2='Offer Statistics'!$FG$2:$FG$183),0)),"/")</f>
        <v>477</v>
      </c>
      <c r="X15" s="375" cm="1">
        <f t="array" ref="X15">IFERROR(INDEX('Offer Statistics'!FQ$2:FQ$183,MATCH(1,($A15='Offer Statistics'!$FF$2:$FF$183)*($U$2='Offer Statistics'!$FG$2:$FG$183),0)),"/")</f>
        <v>66</v>
      </c>
      <c r="Y15" s="375" cm="1">
        <f t="array" ref="Y15">IFERROR(INDEX('Offer Statistics'!FR$2:FR$183,MATCH(1,($A15='Offer Statistics'!$FF$2:$FF$183)*($U$2='Offer Statistics'!$FG$2:$FG$183),0)),"/")</f>
        <v>7</v>
      </c>
      <c r="Z15" s="375" cm="1">
        <f t="array" ref="Z15">IFERROR(INDEX('Offer Statistics'!FS$2:FS$183,MATCH(1,($A15='Offer Statistics'!$FF$2:$FF$183)*($U$2='Offer Statistics'!$FG$2:$FG$183),0)),"/")</f>
        <v>0</v>
      </c>
      <c r="AA15" s="375" cm="1">
        <f t="array" ref="AA15">IFERROR(INDEX('Offer Statistics'!FT$2:FT$183,MATCH(1,($A15='Offer Statistics'!$FF$2:$FF$183)*($U$2='Offer Statistics'!$FG$2:$FG$183),0)),"/")</f>
        <v>0</v>
      </c>
      <c r="AB15" s="601"/>
      <c r="AC15" s="537" cm="1">
        <f t="array" ref="AC15">IFERROR(INDEX('Offer Statistics'!FM$2:FM$183,MATCH(1,($A15='Offer Statistics'!$FF$2:$FF$183)*($U$2='Offer Statistics'!$FG$2:$FG$183),0)),"/")</f>
        <v>5962</v>
      </c>
      <c r="AD15" s="375" cm="1">
        <f t="array" ref="AD15">IFERROR(INDEX('Offer Statistics'!FH$2:FH$183,MATCH(1,($A15='Offer Statistics'!$FF$2:$FF$183)*($U$2='Offer Statistics'!$FG$2:$FG$183),0)),"/")</f>
        <v>1995</v>
      </c>
      <c r="AE15" s="375" cm="1">
        <f t="array" ref="AE15">IFERROR(INDEX('Offer Statistics'!FI$2:FI$183,MATCH(1,($A15='Offer Statistics'!$FF$2:$FF$183)*($U$2='Offer Statistics'!$FG$2:$FG$183),0)),"/")</f>
        <v>1515</v>
      </c>
      <c r="AF15" s="375" cm="1">
        <f t="array" ref="AF15">IFERROR(INDEX('Offer Statistics'!FJ$2:FJ$183,MATCH(1,($A15='Offer Statistics'!$FF$2:$FF$183)*($U$2='Offer Statistics'!$FG$2:$FG$183),0)),"/")</f>
        <v>818</v>
      </c>
      <c r="AG15" s="375" cm="1">
        <f t="array" ref="AG15">IFERROR(INDEX('Offer Statistics'!FK$2:FK$183,MATCH(1,($A15='Offer Statistics'!$FF$2:$FF$183)*($U$2='Offer Statistics'!$FG$2:$FG$183),0)),"/")</f>
        <v>760</v>
      </c>
      <c r="AH15" s="375" cm="1">
        <f t="array" ref="AH15">IFERROR(INDEX('Offer Statistics'!FL$2:FL$183,MATCH(1,($A15='Offer Statistics'!$FF$2:$FF$183)*($U$2='Offer Statistics'!$FG$2:$FG$183),0)),"/")</f>
        <v>874</v>
      </c>
      <c r="AI15" s="4"/>
      <c r="AJ15" s="538" t="str">
        <f t="shared" si="0"/>
        <v>JSST01</v>
      </c>
    </row>
    <row r="16" spans="1:36" ht="18" customHeight="1" x14ac:dyDescent="0.3">
      <c r="A16" s="346" t="str">
        <f>'Reference Score Calculation'!A385</f>
        <v>JSST02</v>
      </c>
      <c r="B16" s="4" t="s">
        <v>2650</v>
      </c>
      <c r="C16" s="4" t="s">
        <v>2274</v>
      </c>
      <c r="D16" s="346" t="s">
        <v>1774</v>
      </c>
      <c r="E16" s="15" t="s">
        <v>2171</v>
      </c>
      <c r="F16" s="347" t="str">
        <f>'Reference Score Calculation'!F385</f>
        <v>/</v>
      </c>
      <c r="G16" s="533">
        <f>'Reference Score Calculation'!G385</f>
        <v>21.5</v>
      </c>
      <c r="H16" s="347" t="str">
        <f>'Reference Score Calculation'!H385</f>
        <v>/</v>
      </c>
      <c r="I16" s="368">
        <f>計分版!H406</f>
        <v>3.3999999999999998E-9</v>
      </c>
      <c r="J16" s="361">
        <f t="shared" si="6"/>
        <v>-21.4999999966</v>
      </c>
      <c r="K16" s="362">
        <f t="shared" si="7"/>
        <v>-6323529410.7647057</v>
      </c>
      <c r="L16" s="530">
        <f>入學要求!C394</f>
        <v>45</v>
      </c>
      <c r="M16" s="103">
        <f>入學要求!R394</f>
        <v>0</v>
      </c>
      <c r="N16" s="15" t="s">
        <v>2165</v>
      </c>
      <c r="O16" s="531"/>
      <c r="P16" s="15">
        <v>3</v>
      </c>
      <c r="Q16" s="15">
        <v>3</v>
      </c>
      <c r="R16" s="15">
        <v>2</v>
      </c>
      <c r="S16" s="15">
        <v>2</v>
      </c>
      <c r="T16" s="15">
        <v>2</v>
      </c>
      <c r="U16" s="576"/>
      <c r="V16" s="537" cm="1">
        <f t="array" ref="V16">IFERROR(INDEX('Offer Statistics'!FU$2:FU$183,MATCH(1,($A16='Offer Statistics'!$FF$2:$FF$183)*($U$2='Offer Statistics'!$FG$2:$FG$183),0)),"/")</f>
        <v>52</v>
      </c>
      <c r="W16" s="375" cm="1">
        <f t="array" ref="W16">IFERROR(INDEX('Offer Statistics'!FP$2:FP$183,MATCH(1,($A16='Offer Statistics'!$FF$2:$FF$183)*($U$2='Offer Statistics'!$FG$2:$FG$183),0)),"/")</f>
        <v>51</v>
      </c>
      <c r="X16" s="375" cm="1">
        <f t="array" ref="X16">IFERROR(INDEX('Offer Statistics'!FQ$2:FQ$183,MATCH(1,($A16='Offer Statistics'!$FF$2:$FF$183)*($U$2='Offer Statistics'!$FG$2:$FG$183),0)),"/")</f>
        <v>1</v>
      </c>
      <c r="Y16" s="375" cm="1">
        <f t="array" ref="Y16">IFERROR(INDEX('Offer Statistics'!FR$2:FR$183,MATCH(1,($A16='Offer Statistics'!$FF$2:$FF$183)*($U$2='Offer Statistics'!$FG$2:$FG$183),0)),"/")</f>
        <v>0</v>
      </c>
      <c r="Z16" s="375" cm="1">
        <f t="array" ref="Z16">IFERROR(INDEX('Offer Statistics'!FS$2:FS$183,MATCH(1,($A16='Offer Statistics'!$FF$2:$FF$183)*($U$2='Offer Statistics'!$FG$2:$FG$183),0)),"/")</f>
        <v>0</v>
      </c>
      <c r="AA16" s="375" cm="1">
        <f t="array" ref="AA16">IFERROR(INDEX('Offer Statistics'!FT$2:FT$183,MATCH(1,($A16='Offer Statistics'!$FF$2:$FF$183)*($U$2='Offer Statistics'!$FG$2:$FG$183),0)),"/")</f>
        <v>0</v>
      </c>
      <c r="AB16" s="601"/>
      <c r="AC16" s="537" cm="1">
        <f t="array" ref="AC16">IFERROR(INDEX('Offer Statistics'!FM$2:FM$183,MATCH(1,($A16='Offer Statistics'!$FF$2:$FF$183)*($U$2='Offer Statistics'!$FG$2:$FG$183),0)),"/")</f>
        <v>2233</v>
      </c>
      <c r="AD16" s="375" cm="1">
        <f t="array" ref="AD16">IFERROR(INDEX('Offer Statistics'!FH$2:FH$183,MATCH(1,($A16='Offer Statistics'!$FF$2:$FF$183)*($U$2='Offer Statistics'!$FG$2:$FG$183),0)),"/")</f>
        <v>246</v>
      </c>
      <c r="AE16" s="375" cm="1">
        <f t="array" ref="AE16">IFERROR(INDEX('Offer Statistics'!FI$2:FI$183,MATCH(1,($A16='Offer Statistics'!$FF$2:$FF$183)*($U$2='Offer Statistics'!$FG$2:$FG$183),0)),"/")</f>
        <v>387</v>
      </c>
      <c r="AF16" s="375" cm="1">
        <f t="array" ref="AF16">IFERROR(INDEX('Offer Statistics'!FJ$2:FJ$183,MATCH(1,($A16='Offer Statistics'!$FF$2:$FF$183)*($U$2='Offer Statistics'!$FG$2:$FG$183),0)),"/")</f>
        <v>493</v>
      </c>
      <c r="AG16" s="375" cm="1">
        <f t="array" ref="AG16">IFERROR(INDEX('Offer Statistics'!FK$2:FK$183,MATCH(1,($A16='Offer Statistics'!$FF$2:$FF$183)*($U$2='Offer Statistics'!$FG$2:$FG$183),0)),"/")</f>
        <v>522</v>
      </c>
      <c r="AH16" s="375" cm="1">
        <f t="array" ref="AH16">IFERROR(INDEX('Offer Statistics'!FL$2:FL$183,MATCH(1,($A16='Offer Statistics'!$FF$2:$FF$183)*($U$2='Offer Statistics'!$FG$2:$FG$183),0)),"/")</f>
        <v>585</v>
      </c>
      <c r="AI16" s="4"/>
      <c r="AJ16" s="538" t="str">
        <f t="shared" si="0"/>
        <v>JSST02</v>
      </c>
    </row>
    <row r="17" spans="1:36" ht="18" customHeight="1" x14ac:dyDescent="0.3">
      <c r="A17" s="346" t="str">
        <f>'Reference Score Calculation'!A386</f>
        <v>JSST03</v>
      </c>
      <c r="B17" s="4" t="s">
        <v>2650</v>
      </c>
      <c r="C17" s="4" t="s">
        <v>2275</v>
      </c>
      <c r="D17" s="346" t="s">
        <v>1778</v>
      </c>
      <c r="E17" s="15" t="s">
        <v>2171</v>
      </c>
      <c r="F17" s="347" t="str">
        <f>'Reference Score Calculation'!F386</f>
        <v>/</v>
      </c>
      <c r="G17" s="533">
        <f>'Reference Score Calculation'!G386</f>
        <v>23.9</v>
      </c>
      <c r="H17" s="347" t="str">
        <f>'Reference Score Calculation'!H386</f>
        <v>/</v>
      </c>
      <c r="I17" s="368">
        <f>計分版!H407</f>
        <v>3.3999999999999998E-9</v>
      </c>
      <c r="J17" s="25">
        <f t="shared" si="4"/>
        <v>-23.899999996599998</v>
      </c>
      <c r="K17" s="26">
        <f t="shared" si="5"/>
        <v>-7029411763.7058821</v>
      </c>
      <c r="L17" s="530">
        <f>入學要求!C395</f>
        <v>20</v>
      </c>
      <c r="M17" s="103">
        <f>入學要求!R395</f>
        <v>0</v>
      </c>
      <c r="N17" s="15" t="s">
        <v>2165</v>
      </c>
      <c r="O17" s="531"/>
      <c r="P17" s="15">
        <v>3</v>
      </c>
      <c r="Q17" s="15">
        <v>3</v>
      </c>
      <c r="R17" s="15">
        <v>2</v>
      </c>
      <c r="S17" s="15">
        <v>2</v>
      </c>
      <c r="T17" s="15">
        <v>3</v>
      </c>
      <c r="U17" s="576"/>
      <c r="V17" s="537" cm="1">
        <f t="array" ref="V17">IFERROR(INDEX('Offer Statistics'!FU$2:FU$183,MATCH(1,($A17='Offer Statistics'!$FF$2:$FF$183)*($U$2='Offer Statistics'!$FG$2:$FG$183),0)),"/")</f>
        <v>17</v>
      </c>
      <c r="W17" s="375" cm="1">
        <f t="array" ref="W17">IFERROR(INDEX('Offer Statistics'!FP$2:FP$183,MATCH(1,($A17='Offer Statistics'!$FF$2:$FF$183)*($U$2='Offer Statistics'!$FG$2:$FG$183),0)),"/")</f>
        <v>17</v>
      </c>
      <c r="X17" s="375" cm="1">
        <f t="array" ref="X17">IFERROR(INDEX('Offer Statistics'!FQ$2:FQ$183,MATCH(1,($A17='Offer Statistics'!$FF$2:$FF$183)*($U$2='Offer Statistics'!$FG$2:$FG$183),0)),"/")</f>
        <v>0</v>
      </c>
      <c r="Y17" s="375" cm="1">
        <f t="array" ref="Y17">IFERROR(INDEX('Offer Statistics'!FR$2:FR$183,MATCH(1,($A17='Offer Statistics'!$FF$2:$FF$183)*($U$2='Offer Statistics'!$FG$2:$FG$183),0)),"/")</f>
        <v>0</v>
      </c>
      <c r="Z17" s="375" cm="1">
        <f t="array" ref="Z17">IFERROR(INDEX('Offer Statistics'!FS$2:FS$183,MATCH(1,($A17='Offer Statistics'!$FF$2:$FF$183)*($U$2='Offer Statistics'!$FG$2:$FG$183),0)),"/")</f>
        <v>0</v>
      </c>
      <c r="AA17" s="375" cm="1">
        <f t="array" ref="AA17">IFERROR(INDEX('Offer Statistics'!FT$2:FT$183,MATCH(1,($A17='Offer Statistics'!$FF$2:$FF$183)*($U$2='Offer Statistics'!$FG$2:$FG$183),0)),"/")</f>
        <v>0</v>
      </c>
      <c r="AB17" s="601"/>
      <c r="AC17" s="537" cm="1">
        <f t="array" ref="AC17">IFERROR(INDEX('Offer Statistics'!FM$2:FM$183,MATCH(1,($A17='Offer Statistics'!$FF$2:$FF$183)*($U$2='Offer Statistics'!$FG$2:$FG$183),0)),"/")</f>
        <v>2065</v>
      </c>
      <c r="AD17" s="375" cm="1">
        <f t="array" ref="AD17">IFERROR(INDEX('Offer Statistics'!FH$2:FH$183,MATCH(1,($A17='Offer Statistics'!$FF$2:$FF$183)*($U$2='Offer Statistics'!$FG$2:$FG$183),0)),"/")</f>
        <v>203</v>
      </c>
      <c r="AE17" s="375" cm="1">
        <f t="array" ref="AE17">IFERROR(INDEX('Offer Statistics'!FI$2:FI$183,MATCH(1,($A17='Offer Statistics'!$FF$2:$FF$183)*($U$2='Offer Statistics'!$FG$2:$FG$183),0)),"/")</f>
        <v>305</v>
      </c>
      <c r="AF17" s="375" cm="1">
        <f t="array" ref="AF17">IFERROR(INDEX('Offer Statistics'!FJ$2:FJ$183,MATCH(1,($A17='Offer Statistics'!$FF$2:$FF$183)*($U$2='Offer Statistics'!$FG$2:$FG$183),0)),"/")</f>
        <v>489</v>
      </c>
      <c r="AG17" s="375" cm="1">
        <f t="array" ref="AG17">IFERROR(INDEX('Offer Statistics'!FK$2:FK$183,MATCH(1,($A17='Offer Statistics'!$FF$2:$FF$183)*($U$2='Offer Statistics'!$FG$2:$FG$183),0)),"/")</f>
        <v>486</v>
      </c>
      <c r="AH17" s="375" cm="1">
        <f t="array" ref="AH17">IFERROR(INDEX('Offer Statistics'!FL$2:FL$183,MATCH(1,($A17='Offer Statistics'!$FF$2:$FF$183)*($U$2='Offer Statistics'!$FG$2:$FG$183),0)),"/")</f>
        <v>582</v>
      </c>
      <c r="AI17" s="4"/>
      <c r="AJ17" s="538" t="str">
        <f t="shared" si="0"/>
        <v>JSST03</v>
      </c>
    </row>
    <row r="18" spans="1:36" ht="18" customHeight="1" x14ac:dyDescent="0.3">
      <c r="A18" s="346" t="str">
        <f>'Reference Score Calculation'!A387</f>
        <v>JSST04</v>
      </c>
      <c r="B18" s="4" t="s">
        <v>2650</v>
      </c>
      <c r="C18" s="4" t="s">
        <v>2276</v>
      </c>
      <c r="D18" s="346" t="s">
        <v>1782</v>
      </c>
      <c r="E18" s="15" t="s">
        <v>2171</v>
      </c>
      <c r="F18" s="347" t="str">
        <f>'Reference Score Calculation'!F387</f>
        <v>/</v>
      </c>
      <c r="G18" s="533">
        <f>'Reference Score Calculation'!G387</f>
        <v>21.9</v>
      </c>
      <c r="H18" s="347" t="str">
        <f>'Reference Score Calculation'!H387</f>
        <v>/</v>
      </c>
      <c r="I18" s="368">
        <f>計分版!H408</f>
        <v>3.3999999999999998E-9</v>
      </c>
      <c r="J18" s="25">
        <f t="shared" si="4"/>
        <v>-21.899999996599998</v>
      </c>
      <c r="K18" s="26">
        <f t="shared" si="5"/>
        <v>-6441176469.5882349</v>
      </c>
      <c r="L18" s="530">
        <f>入學要求!C396</f>
        <v>60</v>
      </c>
      <c r="M18" s="103">
        <f>入學要求!R396</f>
        <v>0</v>
      </c>
      <c r="N18" s="15" t="s">
        <v>2165</v>
      </c>
      <c r="O18" s="531"/>
      <c r="P18" s="15">
        <v>3</v>
      </c>
      <c r="Q18" s="15">
        <v>3</v>
      </c>
      <c r="R18" s="15">
        <v>2</v>
      </c>
      <c r="S18" s="15">
        <v>2</v>
      </c>
      <c r="T18" s="15">
        <v>2</v>
      </c>
      <c r="U18" s="576"/>
      <c r="V18" s="537" cm="1">
        <f t="array" ref="V18">IFERROR(INDEX('Offer Statistics'!FU$2:FU$183,MATCH(1,($A18='Offer Statistics'!$FF$2:$FF$183)*($U$2='Offer Statistics'!$FG$2:$FG$183),0)),"/")</f>
        <v>69</v>
      </c>
      <c r="W18" s="375" cm="1">
        <f t="array" ref="W18">IFERROR(INDEX('Offer Statistics'!FP$2:FP$183,MATCH(1,($A18='Offer Statistics'!$FF$2:$FF$183)*($U$2='Offer Statistics'!$FG$2:$FG$183),0)),"/")</f>
        <v>69</v>
      </c>
      <c r="X18" s="375" cm="1">
        <f t="array" ref="X18">IFERROR(INDEX('Offer Statistics'!FQ$2:FQ$183,MATCH(1,($A18='Offer Statistics'!$FF$2:$FF$183)*($U$2='Offer Statistics'!$FG$2:$FG$183),0)),"/")</f>
        <v>0</v>
      </c>
      <c r="Y18" s="375" cm="1">
        <f t="array" ref="Y18">IFERROR(INDEX('Offer Statistics'!FR$2:FR$183,MATCH(1,($A18='Offer Statistics'!$FF$2:$FF$183)*($U$2='Offer Statistics'!$FG$2:$FG$183),0)),"/")</f>
        <v>0</v>
      </c>
      <c r="Z18" s="375" cm="1">
        <f t="array" ref="Z18">IFERROR(INDEX('Offer Statistics'!FS$2:FS$183,MATCH(1,($A18='Offer Statistics'!$FF$2:$FF$183)*($U$2='Offer Statistics'!$FG$2:$FG$183),0)),"/")</f>
        <v>0</v>
      </c>
      <c r="AA18" s="375" cm="1">
        <f t="array" ref="AA18">IFERROR(INDEX('Offer Statistics'!FT$2:FT$183,MATCH(1,($A18='Offer Statistics'!$FF$2:$FF$183)*($U$2='Offer Statistics'!$FG$2:$FG$183),0)),"/")</f>
        <v>0</v>
      </c>
      <c r="AB18" s="601"/>
      <c r="AC18" s="537" cm="1">
        <f t="array" ref="AC18">IFERROR(INDEX('Offer Statistics'!FM$2:FM$183,MATCH(1,($A18='Offer Statistics'!$FF$2:$FF$183)*($U$2='Offer Statistics'!$FG$2:$FG$183),0)),"/")</f>
        <v>2815</v>
      </c>
      <c r="AD18" s="375" cm="1">
        <f t="array" ref="AD18">IFERROR(INDEX('Offer Statistics'!FH$2:FH$183,MATCH(1,($A18='Offer Statistics'!$FF$2:$FF$183)*($U$2='Offer Statistics'!$FG$2:$FG$183),0)),"/")</f>
        <v>387</v>
      </c>
      <c r="AE18" s="375" cm="1">
        <f t="array" ref="AE18">IFERROR(INDEX('Offer Statistics'!FI$2:FI$183,MATCH(1,($A18='Offer Statistics'!$FF$2:$FF$183)*($U$2='Offer Statistics'!$FG$2:$FG$183),0)),"/")</f>
        <v>498</v>
      </c>
      <c r="AF18" s="375" cm="1">
        <f t="array" ref="AF18">IFERROR(INDEX('Offer Statistics'!FJ$2:FJ$183,MATCH(1,($A18='Offer Statistics'!$FF$2:$FF$183)*($U$2='Offer Statistics'!$FG$2:$FG$183),0)),"/")</f>
        <v>638</v>
      </c>
      <c r="AG18" s="375" cm="1">
        <f t="array" ref="AG18">IFERROR(INDEX('Offer Statistics'!FK$2:FK$183,MATCH(1,($A18='Offer Statistics'!$FF$2:$FF$183)*($U$2='Offer Statistics'!$FG$2:$FG$183),0)),"/")</f>
        <v>636</v>
      </c>
      <c r="AH18" s="375" cm="1">
        <f t="array" ref="AH18">IFERROR(INDEX('Offer Statistics'!FL$2:FL$183,MATCH(1,($A18='Offer Statistics'!$FF$2:$FF$183)*($U$2='Offer Statistics'!$FG$2:$FG$183),0)),"/")</f>
        <v>656</v>
      </c>
      <c r="AI18" s="4"/>
      <c r="AJ18" s="538" t="str">
        <f t="shared" si="0"/>
        <v>JSST04</v>
      </c>
    </row>
    <row r="19" spans="1:36" ht="18" customHeight="1" x14ac:dyDescent="0.3">
      <c r="A19" s="346" t="str">
        <f>'Reference Score Calculation'!A388</f>
        <v>JSST05</v>
      </c>
      <c r="B19" s="4" t="s">
        <v>2650</v>
      </c>
      <c r="C19" s="4" t="s">
        <v>2277</v>
      </c>
      <c r="D19" s="346" t="s">
        <v>1786</v>
      </c>
      <c r="E19" s="15" t="s">
        <v>2171</v>
      </c>
      <c r="F19" s="347" t="str">
        <f>'Reference Score Calculation'!F388</f>
        <v>/</v>
      </c>
      <c r="G19" s="533">
        <f>'Reference Score Calculation'!G388</f>
        <v>24</v>
      </c>
      <c r="H19" s="347" t="str">
        <f>'Reference Score Calculation'!H388</f>
        <v>/</v>
      </c>
      <c r="I19" s="368">
        <f>計分版!H409</f>
        <v>3.3999999999999998E-9</v>
      </c>
      <c r="J19" s="25">
        <f t="shared" si="4"/>
        <v>-23.9999999966</v>
      </c>
      <c r="K19" s="26">
        <f t="shared" si="5"/>
        <v>-7058823528.4117651</v>
      </c>
      <c r="L19" s="530">
        <f>入學要求!C397</f>
        <v>50</v>
      </c>
      <c r="M19" s="103">
        <f>入學要求!R397</f>
        <v>0</v>
      </c>
      <c r="N19" s="15" t="s">
        <v>2165</v>
      </c>
      <c r="O19" s="531"/>
      <c r="P19" s="15">
        <v>3</v>
      </c>
      <c r="Q19" s="15">
        <v>3</v>
      </c>
      <c r="R19" s="15">
        <v>2</v>
      </c>
      <c r="S19" s="15">
        <v>2</v>
      </c>
      <c r="T19" s="15">
        <v>2</v>
      </c>
      <c r="U19" s="576"/>
      <c r="V19" s="537" cm="1">
        <f t="array" ref="V19">IFERROR(INDEX('Offer Statistics'!FU$2:FU$183,MATCH(1,($A19='Offer Statistics'!$FF$2:$FF$183)*($U$2='Offer Statistics'!$FG$2:$FG$183),0)),"/")</f>
        <v>58</v>
      </c>
      <c r="W19" s="375" cm="1">
        <f t="array" ref="W19">IFERROR(INDEX('Offer Statistics'!FP$2:FP$183,MATCH(1,($A19='Offer Statistics'!$FF$2:$FF$183)*($U$2='Offer Statistics'!$FG$2:$FG$183),0)),"/")</f>
        <v>57</v>
      </c>
      <c r="X19" s="375" cm="1">
        <f t="array" ref="X19">IFERROR(INDEX('Offer Statistics'!FQ$2:FQ$183,MATCH(1,($A19='Offer Statistics'!$FF$2:$FF$183)*($U$2='Offer Statistics'!$FG$2:$FG$183),0)),"/")</f>
        <v>1</v>
      </c>
      <c r="Y19" s="375" cm="1">
        <f t="array" ref="Y19">IFERROR(INDEX('Offer Statistics'!FR$2:FR$183,MATCH(1,($A19='Offer Statistics'!$FF$2:$FF$183)*($U$2='Offer Statistics'!$FG$2:$FG$183),0)),"/")</f>
        <v>0</v>
      </c>
      <c r="Z19" s="375" cm="1">
        <f t="array" ref="Z19">IFERROR(INDEX('Offer Statistics'!FS$2:FS$183,MATCH(1,($A19='Offer Statistics'!$FF$2:$FF$183)*($U$2='Offer Statistics'!$FG$2:$FG$183),0)),"/")</f>
        <v>0</v>
      </c>
      <c r="AA19" s="375" cm="1">
        <f t="array" ref="AA19">IFERROR(INDEX('Offer Statistics'!FT$2:FT$183,MATCH(1,($A19='Offer Statistics'!$FF$2:$FF$183)*($U$2='Offer Statistics'!$FG$2:$FG$183),0)),"/")</f>
        <v>0</v>
      </c>
      <c r="AB19" s="601"/>
      <c r="AC19" s="537" cm="1">
        <f t="array" ref="AC19">IFERROR(INDEX('Offer Statistics'!FM$2:FM$183,MATCH(1,($A19='Offer Statistics'!$FF$2:$FF$183)*($U$2='Offer Statistics'!$FG$2:$FG$183),0)),"/")</f>
        <v>3028</v>
      </c>
      <c r="AD19" s="375" cm="1">
        <f t="array" ref="AD19">IFERROR(INDEX('Offer Statistics'!FH$2:FH$183,MATCH(1,($A19='Offer Statistics'!$FF$2:$FF$183)*($U$2='Offer Statistics'!$FG$2:$FG$183),0)),"/")</f>
        <v>381</v>
      </c>
      <c r="AE19" s="375" cm="1">
        <f t="array" ref="AE19">IFERROR(INDEX('Offer Statistics'!FI$2:FI$183,MATCH(1,($A19='Offer Statistics'!$FF$2:$FF$183)*($U$2='Offer Statistics'!$FG$2:$FG$183),0)),"/")</f>
        <v>540</v>
      </c>
      <c r="AF19" s="375" cm="1">
        <f t="array" ref="AF19">IFERROR(INDEX('Offer Statistics'!FJ$2:FJ$183,MATCH(1,($A19='Offer Statistics'!$FF$2:$FF$183)*($U$2='Offer Statistics'!$FG$2:$FG$183),0)),"/")</f>
        <v>693</v>
      </c>
      <c r="AG19" s="375" cm="1">
        <f t="array" ref="AG19">IFERROR(INDEX('Offer Statistics'!FK$2:FK$183,MATCH(1,($A19='Offer Statistics'!$FF$2:$FF$183)*($U$2='Offer Statistics'!$FG$2:$FG$183),0)),"/")</f>
        <v>650</v>
      </c>
      <c r="AH19" s="375" cm="1">
        <f t="array" ref="AH19">IFERROR(INDEX('Offer Statistics'!FL$2:FL$183,MATCH(1,($A19='Offer Statistics'!$FF$2:$FF$183)*($U$2='Offer Statistics'!$FG$2:$FG$183),0)),"/")</f>
        <v>764</v>
      </c>
      <c r="AI19" s="4"/>
      <c r="AJ19" s="538" t="str">
        <f t="shared" si="0"/>
        <v>JSST05</v>
      </c>
    </row>
    <row r="20" spans="1:36" s="344" customFormat="1" ht="18" customHeight="1" x14ac:dyDescent="0.3">
      <c r="A20" s="346" t="str">
        <f>'Reference Score Calculation'!A389</f>
        <v>JSST06</v>
      </c>
      <c r="B20" s="346" t="s">
        <v>3568</v>
      </c>
      <c r="C20" s="346" t="s">
        <v>3512</v>
      </c>
      <c r="D20" s="346" t="s">
        <v>1790</v>
      </c>
      <c r="E20" s="278" t="s">
        <v>2171</v>
      </c>
      <c r="F20" s="347" t="str">
        <f>'Reference Score Calculation'!F389</f>
        <v>/</v>
      </c>
      <c r="G20" s="533" t="str">
        <f>'Reference Score Calculation'!G389</f>
        <v>/</v>
      </c>
      <c r="H20" s="347" t="str">
        <f>'Reference Score Calculation'!H389</f>
        <v>/</v>
      </c>
      <c r="I20" s="368">
        <f>計分版!H410</f>
        <v>3.3999999999999998E-9</v>
      </c>
      <c r="J20" s="348" t="s">
        <v>1978</v>
      </c>
      <c r="K20" s="349" t="s">
        <v>1978</v>
      </c>
      <c r="L20" s="530">
        <f>入學要求!C398</f>
        <v>50</v>
      </c>
      <c r="M20" s="103">
        <f>入學要求!R398</f>
        <v>0</v>
      </c>
      <c r="N20" s="531"/>
      <c r="O20" s="531"/>
      <c r="P20" s="531">
        <v>3</v>
      </c>
      <c r="Q20" s="531">
        <v>3</v>
      </c>
      <c r="R20" s="531">
        <v>2</v>
      </c>
      <c r="S20" s="531">
        <v>2</v>
      </c>
      <c r="T20" s="531">
        <v>2</v>
      </c>
      <c r="U20" s="576"/>
      <c r="V20" s="537" t="str" cm="1">
        <f t="array" ref="V20">IFERROR(INDEX('Offer Statistics'!FU$2:FU$183,MATCH(1,($A20='Offer Statistics'!$FF$2:$FF$183)*($U$2='Offer Statistics'!$FG$2:$FG$183),0)),"/")</f>
        <v>/</v>
      </c>
      <c r="W20" s="375" t="str" cm="1">
        <f t="array" ref="W20">IFERROR(INDEX('Offer Statistics'!FP$2:FP$183,MATCH(1,($A20='Offer Statistics'!$FF$2:$FF$183)*($U$2='Offer Statistics'!$FG$2:$FG$183),0)),"/")</f>
        <v>/</v>
      </c>
      <c r="X20" s="375" t="str" cm="1">
        <f t="array" ref="X20">IFERROR(INDEX('Offer Statistics'!FQ$2:FQ$183,MATCH(1,($A20='Offer Statistics'!$FF$2:$FF$183)*($U$2='Offer Statistics'!$FG$2:$FG$183),0)),"/")</f>
        <v>/</v>
      </c>
      <c r="Y20" s="375" t="str" cm="1">
        <f t="array" ref="Y20">IFERROR(INDEX('Offer Statistics'!FR$2:FR$183,MATCH(1,($A20='Offer Statistics'!$FF$2:$FF$183)*($U$2='Offer Statistics'!$FG$2:$FG$183),0)),"/")</f>
        <v>/</v>
      </c>
      <c r="Z20" s="375" t="str" cm="1">
        <f t="array" ref="Z20">IFERROR(INDEX('Offer Statistics'!FS$2:FS$183,MATCH(1,($A20='Offer Statistics'!$FF$2:$FF$183)*($U$2='Offer Statistics'!$FG$2:$FG$183),0)),"/")</f>
        <v>/</v>
      </c>
      <c r="AA20" s="375" t="str" cm="1">
        <f t="array" ref="AA20">IFERROR(INDEX('Offer Statistics'!FT$2:FT$183,MATCH(1,($A20='Offer Statistics'!$FF$2:$FF$183)*($U$2='Offer Statistics'!$FG$2:$FG$183),0)),"/")</f>
        <v>/</v>
      </c>
      <c r="AB20" s="601"/>
      <c r="AC20" s="537" t="str" cm="1">
        <f t="array" ref="AC20">IFERROR(INDEX('Offer Statistics'!FM$2:FM$183,MATCH(1,($A20='Offer Statistics'!$FF$2:$FF$183)*($U$2='Offer Statistics'!$FG$2:$FG$183),0)),"/")</f>
        <v>/</v>
      </c>
      <c r="AD20" s="375" t="str" cm="1">
        <f t="array" ref="AD20">IFERROR(INDEX('Offer Statistics'!FH$2:FH$183,MATCH(1,($A20='Offer Statistics'!$FF$2:$FF$183)*($U$2='Offer Statistics'!$FG$2:$FG$183),0)),"/")</f>
        <v>/</v>
      </c>
      <c r="AE20" s="375" t="str" cm="1">
        <f t="array" ref="AE20">IFERROR(INDEX('Offer Statistics'!FI$2:FI$183,MATCH(1,($A20='Offer Statistics'!$FF$2:$FF$183)*($U$2='Offer Statistics'!$FG$2:$FG$183),0)),"/")</f>
        <v>/</v>
      </c>
      <c r="AF20" s="375" t="str" cm="1">
        <f t="array" ref="AF20">IFERROR(INDEX('Offer Statistics'!FJ$2:FJ$183,MATCH(1,($A20='Offer Statistics'!$FF$2:$FF$183)*($U$2='Offer Statistics'!$FG$2:$FG$183),0)),"/")</f>
        <v>/</v>
      </c>
      <c r="AG20" s="375" t="str" cm="1">
        <f t="array" ref="AG20">IFERROR(INDEX('Offer Statistics'!FK$2:FK$183,MATCH(1,($A20='Offer Statistics'!$FF$2:$FF$183)*($U$2='Offer Statistics'!$FG$2:$FG$183),0)),"/")</f>
        <v>/</v>
      </c>
      <c r="AH20" s="375" t="str" cm="1">
        <f t="array" ref="AH20">IFERROR(INDEX('Offer Statistics'!FL$2:FL$183,MATCH(1,($A20='Offer Statistics'!$FF$2:$FF$183)*($U$2='Offer Statistics'!$FG$2:$FG$183),0)),"/")</f>
        <v>/</v>
      </c>
      <c r="AI20" s="346"/>
      <c r="AJ20" s="538" t="str">
        <f t="shared" si="0"/>
        <v>JSST06</v>
      </c>
    </row>
    <row r="21" spans="1:36" ht="18" customHeight="1" x14ac:dyDescent="0.3">
      <c r="A21" s="346" t="str">
        <f>'Reference Score Calculation'!A390</f>
        <v>JSSU12</v>
      </c>
      <c r="B21" s="4" t="s">
        <v>2651</v>
      </c>
      <c r="C21" s="4" t="s">
        <v>2278</v>
      </c>
      <c r="D21" s="346" t="s">
        <v>1794</v>
      </c>
      <c r="E21" s="37" t="s">
        <v>2259</v>
      </c>
      <c r="F21" s="347" t="str">
        <f>'Reference Score Calculation'!F390</f>
        <v>/</v>
      </c>
      <c r="G21" s="347">
        <f>'Reference Score Calculation'!G390</f>
        <v>19</v>
      </c>
      <c r="H21" s="347">
        <f>'Reference Score Calculation'!H390</f>
        <v>18</v>
      </c>
      <c r="I21" s="368">
        <f>計分版!H411</f>
        <v>2.0999999999999998E-9</v>
      </c>
      <c r="J21" s="25">
        <f>IF(J$1="差距(Median)",I21-G21,IF(J$1="差距(UQ)",I21-G21,IF(J$1="差距(LQ)",I21-H21)))</f>
        <v>-18.999999997900002</v>
      </c>
      <c r="K21" s="26">
        <f>IF(J$1="差距(Median)",(I21-G21)/I21,IF(J$1="差距(UQ)",(I21-G21)/I21,IF(J$1="差距(LQ)",(I21-H21)/I21)))</f>
        <v>-9047619046.6190491</v>
      </c>
      <c r="L21" s="530">
        <f>入學要求!C399</f>
        <v>80</v>
      </c>
      <c r="M21" s="103">
        <f>入學要求!R399</f>
        <v>0</v>
      </c>
      <c r="N21" s="15" t="s">
        <v>1978</v>
      </c>
      <c r="O21" s="531"/>
      <c r="P21" s="15">
        <v>3</v>
      </c>
      <c r="Q21" s="15">
        <v>3</v>
      </c>
      <c r="R21" s="15">
        <v>2</v>
      </c>
      <c r="S21" s="15">
        <v>2</v>
      </c>
      <c r="T21" s="15">
        <v>2</v>
      </c>
      <c r="U21" s="576"/>
      <c r="V21" s="537" cm="1">
        <f t="array" ref="V21">IFERROR(INDEX('Offer Statistics'!FU$2:FU$183,MATCH(1,($A21='Offer Statistics'!$FF$2:$FF$183)*($U$2='Offer Statistics'!$FG$2:$FG$183),0)),"/")</f>
        <v>113</v>
      </c>
      <c r="W21" s="375" cm="1">
        <f t="array" ref="W21">IFERROR(INDEX('Offer Statistics'!FP$2:FP$183,MATCH(1,($A21='Offer Statistics'!$FF$2:$FF$183)*($U$2='Offer Statistics'!$FG$2:$FG$183),0)),"/")</f>
        <v>73</v>
      </c>
      <c r="X21" s="375" cm="1">
        <f t="array" ref="X21">IFERROR(INDEX('Offer Statistics'!FQ$2:FQ$183,MATCH(1,($A21='Offer Statistics'!$FF$2:$FF$183)*($U$2='Offer Statistics'!$FG$2:$FG$183),0)),"/")</f>
        <v>21</v>
      </c>
      <c r="Y21" s="375" cm="1">
        <f t="array" ref="Y21">IFERROR(INDEX('Offer Statistics'!FR$2:FR$183,MATCH(1,($A21='Offer Statistics'!$FF$2:$FF$183)*($U$2='Offer Statistics'!$FG$2:$FG$183),0)),"/")</f>
        <v>7</v>
      </c>
      <c r="Z21" s="375" cm="1">
        <f t="array" ref="Z21">IFERROR(INDEX('Offer Statistics'!FS$2:FS$183,MATCH(1,($A21='Offer Statistics'!$FF$2:$FF$183)*($U$2='Offer Statistics'!$FG$2:$FG$183),0)),"/")</f>
        <v>2</v>
      </c>
      <c r="AA21" s="375" cm="1">
        <f t="array" ref="AA21">IFERROR(INDEX('Offer Statistics'!FT$2:FT$183,MATCH(1,($A21='Offer Statistics'!$FF$2:$FF$183)*($U$2='Offer Statistics'!$FG$2:$FG$183),0)),"/")</f>
        <v>10</v>
      </c>
      <c r="AB21" s="601"/>
      <c r="AC21" s="537" cm="1">
        <f t="array" ref="AC21">IFERROR(INDEX('Offer Statistics'!FM$2:FM$183,MATCH(1,($A21='Offer Statistics'!$FF$2:$FF$183)*($U$2='Offer Statistics'!$FG$2:$FG$183),0)),"/")</f>
        <v>2489</v>
      </c>
      <c r="AD21" s="375" cm="1">
        <f t="array" ref="AD21">IFERROR(INDEX('Offer Statistics'!FH$2:FH$183,MATCH(1,($A21='Offer Statistics'!$FF$2:$FF$183)*($U$2='Offer Statistics'!$FG$2:$FG$183),0)),"/")</f>
        <v>355</v>
      </c>
      <c r="AE21" s="375" cm="1">
        <f t="array" ref="AE21">IFERROR(INDEX('Offer Statistics'!FI$2:FI$183,MATCH(1,($A21='Offer Statistics'!$FF$2:$FF$183)*($U$2='Offer Statistics'!$FG$2:$FG$183),0)),"/")</f>
        <v>397</v>
      </c>
      <c r="AF21" s="375" cm="1">
        <f t="array" ref="AF21">IFERROR(INDEX('Offer Statistics'!FJ$2:FJ$183,MATCH(1,($A21='Offer Statistics'!$FF$2:$FF$183)*($U$2='Offer Statistics'!$FG$2:$FG$183),0)),"/")</f>
        <v>507</v>
      </c>
      <c r="AG21" s="375" cm="1">
        <f t="array" ref="AG21">IFERROR(INDEX('Offer Statistics'!FK$2:FK$183,MATCH(1,($A21='Offer Statistics'!$FF$2:$FF$183)*($U$2='Offer Statistics'!$FG$2:$FG$183),0)),"/")</f>
        <v>573</v>
      </c>
      <c r="AH21" s="375" cm="1">
        <f t="array" ref="AH21">IFERROR(INDEX('Offer Statistics'!FL$2:FL$183,MATCH(1,($A21='Offer Statistics'!$FF$2:$FF$183)*($U$2='Offer Statistics'!$FG$2:$FG$183),0)),"/")</f>
        <v>657</v>
      </c>
      <c r="AI21" s="4"/>
      <c r="AJ21" s="538" t="str">
        <f t="shared" si="0"/>
        <v>JSSU12</v>
      </c>
    </row>
    <row r="22" spans="1:36" ht="18" customHeight="1" x14ac:dyDescent="0.3">
      <c r="A22" s="346" t="str">
        <f>'Reference Score Calculation'!A391</f>
        <v>JSSU14</v>
      </c>
      <c r="B22" s="4" t="s">
        <v>2651</v>
      </c>
      <c r="C22" s="4" t="s">
        <v>2279</v>
      </c>
      <c r="D22" s="346" t="s">
        <v>1800</v>
      </c>
      <c r="E22" s="15" t="s">
        <v>2259</v>
      </c>
      <c r="F22" s="347" t="str">
        <f>'Reference Score Calculation'!F391</f>
        <v>/</v>
      </c>
      <c r="G22" s="347">
        <f>'Reference Score Calculation'!G391</f>
        <v>16</v>
      </c>
      <c r="H22" s="347">
        <f>'Reference Score Calculation'!H391</f>
        <v>15</v>
      </c>
      <c r="I22" s="368">
        <f>計分版!H412</f>
        <v>1.9500000000000001E-9</v>
      </c>
      <c r="J22" s="25">
        <f t="shared" ref="J22:J35" si="8">IF(J$1="差距(Median)",I22-G22,IF(J$1="差距(UQ)",I22-G22,IF(J$1="差距(LQ)",I22-H22)))</f>
        <v>-15.999999998050001</v>
      </c>
      <c r="K22" s="26">
        <f t="shared" ref="K22:K35" si="9">IF(J$1="差距(Median)",(I22-G22)/I22,IF(J$1="差距(UQ)",(I22-G22)/I22,IF(J$1="差距(LQ)",(I22-H22)/I22)))</f>
        <v>-8205128204.1282053</v>
      </c>
      <c r="L22" s="530">
        <f>入學要求!C400</f>
        <v>80</v>
      </c>
      <c r="M22" s="103">
        <f>入學要求!R400</f>
        <v>0</v>
      </c>
      <c r="N22" s="15" t="s">
        <v>1978</v>
      </c>
      <c r="O22" s="531"/>
      <c r="P22" s="15">
        <v>3</v>
      </c>
      <c r="Q22" s="15">
        <v>3</v>
      </c>
      <c r="R22" s="15">
        <v>2</v>
      </c>
      <c r="S22" s="15">
        <v>2</v>
      </c>
      <c r="T22" s="15">
        <v>2</v>
      </c>
      <c r="U22" s="576"/>
      <c r="V22" s="537" cm="1">
        <f t="array" ref="V22">IFERROR(INDEX('Offer Statistics'!FU$2:FU$183,MATCH(1,($A22='Offer Statistics'!$FF$2:$FF$183)*($U$2='Offer Statistics'!$FG$2:$FG$183),0)),"/")</f>
        <v>86</v>
      </c>
      <c r="W22" s="375" cm="1">
        <f t="array" ref="W22">IFERROR(INDEX('Offer Statistics'!FP$2:FP$183,MATCH(1,($A22='Offer Statistics'!$FF$2:$FF$183)*($U$2='Offer Statistics'!$FG$2:$FG$183),0)),"/")</f>
        <v>61</v>
      </c>
      <c r="X22" s="375" cm="1">
        <f t="array" ref="X22">IFERROR(INDEX('Offer Statistics'!FQ$2:FQ$183,MATCH(1,($A22='Offer Statistics'!$FF$2:$FF$183)*($U$2='Offer Statistics'!$FG$2:$FG$183),0)),"/")</f>
        <v>14</v>
      </c>
      <c r="Y22" s="375" cm="1">
        <f t="array" ref="Y22">IFERROR(INDEX('Offer Statistics'!FR$2:FR$183,MATCH(1,($A22='Offer Statistics'!$FF$2:$FF$183)*($U$2='Offer Statistics'!$FG$2:$FG$183),0)),"/")</f>
        <v>5</v>
      </c>
      <c r="Z22" s="375" cm="1">
        <f t="array" ref="Z22">IFERROR(INDEX('Offer Statistics'!FS$2:FS$183,MATCH(1,($A22='Offer Statistics'!$FF$2:$FF$183)*($U$2='Offer Statistics'!$FG$2:$FG$183),0)),"/")</f>
        <v>2</v>
      </c>
      <c r="AA22" s="375" cm="1">
        <f t="array" ref="AA22">IFERROR(INDEX('Offer Statistics'!FT$2:FT$183,MATCH(1,($A22='Offer Statistics'!$FF$2:$FF$183)*($U$2='Offer Statistics'!$FG$2:$FG$183),0)),"/")</f>
        <v>4</v>
      </c>
      <c r="AB22" s="601"/>
      <c r="AC22" s="537" cm="1">
        <f t="array" ref="AC22">IFERROR(INDEX('Offer Statistics'!FM$2:FM$183,MATCH(1,($A22='Offer Statistics'!$FF$2:$FF$183)*($U$2='Offer Statistics'!$FG$2:$FG$183),0)),"/")</f>
        <v>2990</v>
      </c>
      <c r="AD22" s="375" cm="1">
        <f t="array" ref="AD22">IFERROR(INDEX('Offer Statistics'!FH$2:FH$183,MATCH(1,($A22='Offer Statistics'!$FF$2:$FF$183)*($U$2='Offer Statistics'!$FG$2:$FG$183),0)),"/")</f>
        <v>532</v>
      </c>
      <c r="AE22" s="375" cm="1">
        <f t="array" ref="AE22">IFERROR(INDEX('Offer Statistics'!FI$2:FI$183,MATCH(1,($A22='Offer Statistics'!$FF$2:$FF$183)*($U$2='Offer Statistics'!$FG$2:$FG$183),0)),"/")</f>
        <v>510</v>
      </c>
      <c r="AF22" s="375" cm="1">
        <f t="array" ref="AF22">IFERROR(INDEX('Offer Statistics'!FJ$2:FJ$183,MATCH(1,($A22='Offer Statistics'!$FF$2:$FF$183)*($U$2='Offer Statistics'!$FG$2:$FG$183),0)),"/")</f>
        <v>574</v>
      </c>
      <c r="AG22" s="375" cm="1">
        <f t="array" ref="AG22">IFERROR(INDEX('Offer Statistics'!FK$2:FK$183,MATCH(1,($A22='Offer Statistics'!$FF$2:$FF$183)*($U$2='Offer Statistics'!$FG$2:$FG$183),0)),"/")</f>
        <v>703</v>
      </c>
      <c r="AH22" s="375" cm="1">
        <f t="array" ref="AH22">IFERROR(INDEX('Offer Statistics'!FL$2:FL$183,MATCH(1,($A22='Offer Statistics'!$FF$2:$FF$183)*($U$2='Offer Statistics'!$FG$2:$FG$183),0)),"/")</f>
        <v>671</v>
      </c>
      <c r="AI22" s="4"/>
      <c r="AJ22" s="538" t="str">
        <f t="shared" si="0"/>
        <v>JSSU14</v>
      </c>
    </row>
    <row r="23" spans="1:36" ht="18" customHeight="1" x14ac:dyDescent="0.3">
      <c r="A23" s="346" t="str">
        <f>'Reference Score Calculation'!A392</f>
        <v>JSSU15</v>
      </c>
      <c r="B23" s="4" t="s">
        <v>2651</v>
      </c>
      <c r="C23" s="4" t="s">
        <v>2280</v>
      </c>
      <c r="D23" s="346" t="s">
        <v>1806</v>
      </c>
      <c r="E23" s="37" t="s">
        <v>2259</v>
      </c>
      <c r="F23" s="347" t="str">
        <f>'Reference Score Calculation'!F392</f>
        <v>/</v>
      </c>
      <c r="G23" s="347">
        <f>'Reference Score Calculation'!G392</f>
        <v>17</v>
      </c>
      <c r="H23" s="347">
        <f>'Reference Score Calculation'!H392</f>
        <v>15</v>
      </c>
      <c r="I23" s="368">
        <f>計分版!H413</f>
        <v>1.9500000000000001E-9</v>
      </c>
      <c r="J23" s="25">
        <f t="shared" si="8"/>
        <v>-16.999999998050001</v>
      </c>
      <c r="K23" s="26">
        <f t="shared" si="9"/>
        <v>-8717948716.9487171</v>
      </c>
      <c r="L23" s="530">
        <f>入學要求!C401</f>
        <v>80</v>
      </c>
      <c r="M23" s="103">
        <f>入學要求!R401</f>
        <v>0</v>
      </c>
      <c r="N23" s="15" t="s">
        <v>1978</v>
      </c>
      <c r="O23" s="531"/>
      <c r="P23" s="15">
        <v>3</v>
      </c>
      <c r="Q23" s="15">
        <v>3</v>
      </c>
      <c r="R23" s="15">
        <v>2</v>
      </c>
      <c r="S23" s="15">
        <v>2</v>
      </c>
      <c r="T23" s="15">
        <v>2</v>
      </c>
      <c r="U23" s="576"/>
      <c r="V23" s="537" cm="1">
        <f t="array" ref="V23">IFERROR(INDEX('Offer Statistics'!FU$2:FU$183,MATCH(1,($A23='Offer Statistics'!$FF$2:$FF$183)*($U$2='Offer Statistics'!$FG$2:$FG$183),0)),"/")</f>
        <v>47</v>
      </c>
      <c r="W23" s="375" cm="1">
        <f t="array" ref="W23">IFERROR(INDEX('Offer Statistics'!FP$2:FP$183,MATCH(1,($A23='Offer Statistics'!$FF$2:$FF$183)*($U$2='Offer Statistics'!$FG$2:$FG$183),0)),"/")</f>
        <v>30</v>
      </c>
      <c r="X23" s="375" cm="1">
        <f t="array" ref="X23">IFERROR(INDEX('Offer Statistics'!FQ$2:FQ$183,MATCH(1,($A23='Offer Statistics'!$FF$2:$FF$183)*($U$2='Offer Statistics'!$FG$2:$FG$183),0)),"/")</f>
        <v>4</v>
      </c>
      <c r="Y23" s="375" cm="1">
        <f t="array" ref="Y23">IFERROR(INDEX('Offer Statistics'!FR$2:FR$183,MATCH(1,($A23='Offer Statistics'!$FF$2:$FF$183)*($U$2='Offer Statistics'!$FG$2:$FG$183),0)),"/")</f>
        <v>9</v>
      </c>
      <c r="Z23" s="375" cm="1">
        <f t="array" ref="Z23">IFERROR(INDEX('Offer Statistics'!FS$2:FS$183,MATCH(1,($A23='Offer Statistics'!$FF$2:$FF$183)*($U$2='Offer Statistics'!$FG$2:$FG$183),0)),"/")</f>
        <v>3</v>
      </c>
      <c r="AA23" s="375" cm="1">
        <f t="array" ref="AA23">IFERROR(INDEX('Offer Statistics'!FT$2:FT$183,MATCH(1,($A23='Offer Statistics'!$FF$2:$FF$183)*($U$2='Offer Statistics'!$FG$2:$FG$183),0)),"/")</f>
        <v>1</v>
      </c>
      <c r="AB23" s="601"/>
      <c r="AC23" s="537" cm="1">
        <f t="array" ref="AC23">IFERROR(INDEX('Offer Statistics'!FM$2:FM$183,MATCH(1,($A23='Offer Statistics'!$FF$2:$FF$183)*($U$2='Offer Statistics'!$FG$2:$FG$183),0)),"/")</f>
        <v>2441</v>
      </c>
      <c r="AD23" s="375" cm="1">
        <f t="array" ref="AD23">IFERROR(INDEX('Offer Statistics'!FH$2:FH$183,MATCH(1,($A23='Offer Statistics'!$FF$2:$FF$183)*($U$2='Offer Statistics'!$FG$2:$FG$183),0)),"/")</f>
        <v>270</v>
      </c>
      <c r="AE23" s="375" cm="1">
        <f t="array" ref="AE23">IFERROR(INDEX('Offer Statistics'!FI$2:FI$183,MATCH(1,($A23='Offer Statistics'!$FF$2:$FF$183)*($U$2='Offer Statistics'!$FG$2:$FG$183),0)),"/")</f>
        <v>428</v>
      </c>
      <c r="AF23" s="375" cm="1">
        <f t="array" ref="AF23">IFERROR(INDEX('Offer Statistics'!FJ$2:FJ$183,MATCH(1,($A23='Offer Statistics'!$FF$2:$FF$183)*($U$2='Offer Statistics'!$FG$2:$FG$183),0)),"/")</f>
        <v>566</v>
      </c>
      <c r="AG23" s="375" cm="1">
        <f t="array" ref="AG23">IFERROR(INDEX('Offer Statistics'!FK$2:FK$183,MATCH(1,($A23='Offer Statistics'!$FF$2:$FF$183)*($U$2='Offer Statistics'!$FG$2:$FG$183),0)),"/")</f>
        <v>584</v>
      </c>
      <c r="AH23" s="375" cm="1">
        <f t="array" ref="AH23">IFERROR(INDEX('Offer Statistics'!FL$2:FL$183,MATCH(1,($A23='Offer Statistics'!$FF$2:$FF$183)*($U$2='Offer Statistics'!$FG$2:$FG$183),0)),"/")</f>
        <v>593</v>
      </c>
      <c r="AI23" s="4"/>
      <c r="AJ23" s="538" t="str">
        <f t="shared" si="0"/>
        <v>JSSU15</v>
      </c>
    </row>
    <row r="24" spans="1:36" ht="18" customHeight="1" x14ac:dyDescent="0.3">
      <c r="A24" s="346" t="str">
        <f>'Reference Score Calculation'!A393</f>
        <v>JSSU40</v>
      </c>
      <c r="B24" s="4" t="s">
        <v>2651</v>
      </c>
      <c r="C24" s="4" t="s">
        <v>2281</v>
      </c>
      <c r="D24" s="346" t="s">
        <v>1812</v>
      </c>
      <c r="E24" s="37" t="s">
        <v>2259</v>
      </c>
      <c r="F24" s="347" t="str">
        <f>'Reference Score Calculation'!F393</f>
        <v>/</v>
      </c>
      <c r="G24" s="347">
        <f>'Reference Score Calculation'!G393</f>
        <v>20</v>
      </c>
      <c r="H24" s="347">
        <f>'Reference Score Calculation'!H393</f>
        <v>19</v>
      </c>
      <c r="I24" s="368">
        <f>計分版!H414</f>
        <v>1.9500000000000001E-9</v>
      </c>
      <c r="J24" s="25">
        <f t="shared" si="8"/>
        <v>-19.999999998050001</v>
      </c>
      <c r="K24" s="26">
        <f t="shared" si="9"/>
        <v>-10256410255.410255</v>
      </c>
      <c r="L24" s="530">
        <f>入學要求!C402</f>
        <v>385</v>
      </c>
      <c r="M24" s="103">
        <f>入學要求!R402</f>
        <v>0</v>
      </c>
      <c r="N24" s="15" t="s">
        <v>2366</v>
      </c>
      <c r="O24" s="531"/>
      <c r="P24" s="15">
        <v>3</v>
      </c>
      <c r="Q24" s="15">
        <v>3</v>
      </c>
      <c r="R24" s="15">
        <v>2</v>
      </c>
      <c r="S24" s="15">
        <v>2</v>
      </c>
      <c r="T24" s="15">
        <v>2</v>
      </c>
      <c r="U24" s="576"/>
      <c r="V24" s="537" cm="1">
        <f t="array" ref="V24">IFERROR(INDEX('Offer Statistics'!FU$2:FU$183,MATCH(1,($A24='Offer Statistics'!$FF$2:$FF$183)*($U$2='Offer Statistics'!$FG$2:$FG$183),0)),"/")</f>
        <v>375</v>
      </c>
      <c r="W24" s="375" cm="1">
        <f t="array" ref="W24">IFERROR(INDEX('Offer Statistics'!FP$2:FP$183,MATCH(1,($A24='Offer Statistics'!$FF$2:$FF$183)*($U$2='Offer Statistics'!$FG$2:$FG$183),0)),"/")</f>
        <v>375</v>
      </c>
      <c r="X24" s="375" cm="1">
        <f t="array" ref="X24">IFERROR(INDEX('Offer Statistics'!FQ$2:FQ$183,MATCH(1,($A24='Offer Statistics'!$FF$2:$FF$183)*($U$2='Offer Statistics'!$FG$2:$FG$183),0)),"/")</f>
        <v>0</v>
      </c>
      <c r="Y24" s="375" cm="1">
        <f t="array" ref="Y24">IFERROR(INDEX('Offer Statistics'!FR$2:FR$183,MATCH(1,($A24='Offer Statistics'!$FF$2:$FF$183)*($U$2='Offer Statistics'!$FG$2:$FG$183),0)),"/")</f>
        <v>0</v>
      </c>
      <c r="Z24" s="375" cm="1">
        <f t="array" ref="Z24">IFERROR(INDEX('Offer Statistics'!FS$2:FS$183,MATCH(1,($A24='Offer Statistics'!$FF$2:$FF$183)*($U$2='Offer Statistics'!$FG$2:$FG$183),0)),"/")</f>
        <v>0</v>
      </c>
      <c r="AA24" s="375" cm="1">
        <f t="array" ref="AA24">IFERROR(INDEX('Offer Statistics'!FT$2:FT$183,MATCH(1,($A24='Offer Statistics'!$FF$2:$FF$183)*($U$2='Offer Statistics'!$FG$2:$FG$183),0)),"/")</f>
        <v>0</v>
      </c>
      <c r="AB24" s="601"/>
      <c r="AC24" s="537" cm="1">
        <f t="array" ref="AC24">IFERROR(INDEX('Offer Statistics'!FM$2:FM$183,MATCH(1,($A24='Offer Statistics'!$FF$2:$FF$183)*($U$2='Offer Statistics'!$FG$2:$FG$183),0)),"/")</f>
        <v>5250</v>
      </c>
      <c r="AD24" s="375" cm="1">
        <f t="array" ref="AD24">IFERROR(INDEX('Offer Statistics'!FH$2:FH$183,MATCH(1,($A24='Offer Statistics'!$FF$2:$FF$183)*($U$2='Offer Statistics'!$FG$2:$FG$183),0)),"/")</f>
        <v>2181</v>
      </c>
      <c r="AE24" s="375" cm="1">
        <f t="array" ref="AE24">IFERROR(INDEX('Offer Statistics'!FI$2:FI$183,MATCH(1,($A24='Offer Statistics'!$FF$2:$FF$183)*($U$2='Offer Statistics'!$FG$2:$FG$183),0)),"/")</f>
        <v>983</v>
      </c>
      <c r="AF24" s="375" cm="1">
        <f t="array" ref="AF24">IFERROR(INDEX('Offer Statistics'!FJ$2:FJ$183,MATCH(1,($A24='Offer Statistics'!$FF$2:$FF$183)*($U$2='Offer Statistics'!$FG$2:$FG$183),0)),"/")</f>
        <v>751</v>
      </c>
      <c r="AG24" s="375" cm="1">
        <f t="array" ref="AG24">IFERROR(INDEX('Offer Statistics'!FK$2:FK$183,MATCH(1,($A24='Offer Statistics'!$FF$2:$FF$183)*($U$2='Offer Statistics'!$FG$2:$FG$183),0)),"/")</f>
        <v>649</v>
      </c>
      <c r="AH24" s="375" cm="1">
        <f t="array" ref="AH24">IFERROR(INDEX('Offer Statistics'!FL$2:FL$183,MATCH(1,($A24='Offer Statistics'!$FF$2:$FF$183)*($U$2='Offer Statistics'!$FG$2:$FG$183),0)),"/")</f>
        <v>686</v>
      </c>
      <c r="AI24" s="4"/>
      <c r="AJ24" s="538" t="str">
        <f t="shared" si="0"/>
        <v>JSSU40</v>
      </c>
    </row>
    <row r="25" spans="1:36" ht="18" customHeight="1" x14ac:dyDescent="0.3">
      <c r="A25" s="346" t="str">
        <f>'Reference Score Calculation'!A394</f>
        <v>JSSU50</v>
      </c>
      <c r="B25" s="4" t="s">
        <v>2651</v>
      </c>
      <c r="C25" s="4" t="s">
        <v>2282</v>
      </c>
      <c r="D25" s="346" t="s">
        <v>1818</v>
      </c>
      <c r="E25" s="37" t="s">
        <v>2259</v>
      </c>
      <c r="F25" s="347" t="str">
        <f>'Reference Score Calculation'!F394</f>
        <v>/</v>
      </c>
      <c r="G25" s="347">
        <f>'Reference Score Calculation'!G394</f>
        <v>17</v>
      </c>
      <c r="H25" s="347">
        <f>'Reference Score Calculation'!H394</f>
        <v>16</v>
      </c>
      <c r="I25" s="368">
        <f>計分版!H415</f>
        <v>1.9500000000000001E-9</v>
      </c>
      <c r="J25" s="25">
        <f t="shared" si="8"/>
        <v>-16.999999998050001</v>
      </c>
      <c r="K25" s="26">
        <f t="shared" si="9"/>
        <v>-8717948716.9487171</v>
      </c>
      <c r="L25" s="530">
        <f>入學要求!C403</f>
        <v>125</v>
      </c>
      <c r="M25" s="103">
        <f>入學要求!R403</f>
        <v>0</v>
      </c>
      <c r="N25" s="15" t="s">
        <v>2366</v>
      </c>
      <c r="O25" s="531"/>
      <c r="P25" s="15">
        <v>3</v>
      </c>
      <c r="Q25" s="15">
        <v>3</v>
      </c>
      <c r="R25" s="15">
        <v>2</v>
      </c>
      <c r="S25" s="15">
        <v>2</v>
      </c>
      <c r="T25" s="15">
        <v>2</v>
      </c>
      <c r="U25" s="576"/>
      <c r="V25" s="537" cm="1">
        <f t="array" ref="V25">IFERROR(INDEX('Offer Statistics'!FU$2:FU$183,MATCH(1,($A25='Offer Statistics'!$FF$2:$FF$183)*($U$2='Offer Statistics'!$FG$2:$FG$183),0)),"/")</f>
        <v>170</v>
      </c>
      <c r="W25" s="375" cm="1">
        <f t="array" ref="W25">IFERROR(INDEX('Offer Statistics'!FP$2:FP$183,MATCH(1,($A25='Offer Statistics'!$FF$2:$FF$183)*($U$2='Offer Statistics'!$FG$2:$FG$183),0)),"/")</f>
        <v>165</v>
      </c>
      <c r="X25" s="375" cm="1">
        <f t="array" ref="X25">IFERROR(INDEX('Offer Statistics'!FQ$2:FQ$183,MATCH(1,($A25='Offer Statistics'!$FF$2:$FF$183)*($U$2='Offer Statistics'!$FG$2:$FG$183),0)),"/")</f>
        <v>5</v>
      </c>
      <c r="Y25" s="375" cm="1">
        <f t="array" ref="Y25">IFERROR(INDEX('Offer Statistics'!FR$2:FR$183,MATCH(1,($A25='Offer Statistics'!$FF$2:$FF$183)*($U$2='Offer Statistics'!$FG$2:$FG$183),0)),"/")</f>
        <v>0</v>
      </c>
      <c r="Z25" s="375" cm="1">
        <f t="array" ref="Z25">IFERROR(INDEX('Offer Statistics'!FS$2:FS$183,MATCH(1,($A25='Offer Statistics'!$FF$2:$FF$183)*($U$2='Offer Statistics'!$FG$2:$FG$183),0)),"/")</f>
        <v>0</v>
      </c>
      <c r="AA25" s="375" cm="1">
        <f t="array" ref="AA25">IFERROR(INDEX('Offer Statistics'!FT$2:FT$183,MATCH(1,($A25='Offer Statistics'!$FF$2:$FF$183)*($U$2='Offer Statistics'!$FG$2:$FG$183),0)),"/")</f>
        <v>0</v>
      </c>
      <c r="AB25" s="601"/>
      <c r="AC25" s="537" cm="1">
        <f t="array" ref="AC25">IFERROR(INDEX('Offer Statistics'!FM$2:FM$183,MATCH(1,($A25='Offer Statistics'!$FF$2:$FF$183)*($U$2='Offer Statistics'!$FG$2:$FG$183),0)),"/")</f>
        <v>3694</v>
      </c>
      <c r="AD25" s="375" cm="1">
        <f t="array" ref="AD25">IFERROR(INDEX('Offer Statistics'!FH$2:FH$183,MATCH(1,($A25='Offer Statistics'!$FF$2:$FF$183)*($U$2='Offer Statistics'!$FG$2:$FG$183),0)),"/")</f>
        <v>817</v>
      </c>
      <c r="AE25" s="375" cm="1">
        <f t="array" ref="AE25">IFERROR(INDEX('Offer Statistics'!FI$2:FI$183,MATCH(1,($A25='Offer Statistics'!$FF$2:$FF$183)*($U$2='Offer Statistics'!$FG$2:$FG$183),0)),"/")</f>
        <v>1041</v>
      </c>
      <c r="AF25" s="375" cm="1">
        <f t="array" ref="AF25">IFERROR(INDEX('Offer Statistics'!FJ$2:FJ$183,MATCH(1,($A25='Offer Statistics'!$FF$2:$FF$183)*($U$2='Offer Statistics'!$FG$2:$FG$183),0)),"/")</f>
        <v>672</v>
      </c>
      <c r="AG25" s="375" cm="1">
        <f t="array" ref="AG25">IFERROR(INDEX('Offer Statistics'!FK$2:FK$183,MATCH(1,($A25='Offer Statistics'!$FF$2:$FF$183)*($U$2='Offer Statistics'!$FG$2:$FG$183),0)),"/")</f>
        <v>585</v>
      </c>
      <c r="AH25" s="375" cm="1">
        <f t="array" ref="AH25">IFERROR(INDEX('Offer Statistics'!FL$2:FL$183,MATCH(1,($A25='Offer Statistics'!$FF$2:$FF$183)*($U$2='Offer Statistics'!$FG$2:$FG$183),0)),"/")</f>
        <v>579</v>
      </c>
      <c r="AI25" s="4"/>
      <c r="AJ25" s="538" t="str">
        <f t="shared" si="0"/>
        <v>JSSU50</v>
      </c>
    </row>
    <row r="26" spans="1:36" ht="18" customHeight="1" x14ac:dyDescent="0.3">
      <c r="A26" s="346" t="str">
        <f>'Reference Score Calculation'!A395</f>
        <v>JSSU55</v>
      </c>
      <c r="B26" s="4" t="s">
        <v>2651</v>
      </c>
      <c r="C26" s="4" t="s">
        <v>2283</v>
      </c>
      <c r="D26" s="346" t="s">
        <v>1824</v>
      </c>
      <c r="E26" s="530" t="s">
        <v>2171</v>
      </c>
      <c r="F26" s="347" t="str">
        <f>'Reference Score Calculation'!F395</f>
        <v>/</v>
      </c>
      <c r="G26" s="347">
        <f>'Reference Score Calculation'!G395</f>
        <v>34</v>
      </c>
      <c r="H26" s="347">
        <f>'Reference Score Calculation'!H395</f>
        <v>31</v>
      </c>
      <c r="I26" s="368">
        <f>計分版!H416</f>
        <v>3.9500000000000006E-9</v>
      </c>
      <c r="J26" s="25">
        <f t="shared" ref="J26" si="10">IF(J$1="差距(Median)",I26-G26,IF(J$1="差距(UQ)",I26-G26,IF(J$1="差距(LQ)",I26-H26)))</f>
        <v>-33.999999996050001</v>
      </c>
      <c r="K26" s="26">
        <f t="shared" ref="K26" si="11">IF(J$1="差距(Median)",(I26-G26)/I26,IF(J$1="差距(UQ)",(I26-G26)/I26,IF(J$1="差距(LQ)",(I26-H26)/I26)))</f>
        <v>-8607594935.7088604</v>
      </c>
      <c r="L26" s="530">
        <f>入學要求!C404</f>
        <v>50</v>
      </c>
      <c r="M26" s="103">
        <f>入學要求!R404</f>
        <v>0</v>
      </c>
      <c r="N26" s="15" t="s">
        <v>2366</v>
      </c>
      <c r="O26" s="531"/>
      <c r="P26" s="15">
        <v>3</v>
      </c>
      <c r="Q26" s="15">
        <v>3</v>
      </c>
      <c r="R26" s="15">
        <v>2</v>
      </c>
      <c r="S26" s="15">
        <v>2</v>
      </c>
      <c r="T26" s="15">
        <v>2</v>
      </c>
      <c r="U26" s="576"/>
      <c r="V26" s="537" cm="1">
        <f t="array" ref="V26">IFERROR(INDEX('Offer Statistics'!FU$2:FU$183,MATCH(1,($A26='Offer Statistics'!$FF$2:$FF$183)*($U$2='Offer Statistics'!$FG$2:$FG$183),0)),"/")</f>
        <v>55</v>
      </c>
      <c r="W26" s="375" cm="1">
        <f t="array" ref="W26">IFERROR(INDEX('Offer Statistics'!FP$2:FP$183,MATCH(1,($A26='Offer Statistics'!$FF$2:$FF$183)*($U$2='Offer Statistics'!$FG$2:$FG$183),0)),"/")</f>
        <v>54</v>
      </c>
      <c r="X26" s="375" cm="1">
        <f t="array" ref="X26">IFERROR(INDEX('Offer Statistics'!FQ$2:FQ$183,MATCH(1,($A26='Offer Statistics'!$FF$2:$FF$183)*($U$2='Offer Statistics'!$FG$2:$FG$183),0)),"/")</f>
        <v>1</v>
      </c>
      <c r="Y26" s="375" cm="1">
        <f t="array" ref="Y26">IFERROR(INDEX('Offer Statistics'!FR$2:FR$183,MATCH(1,($A26='Offer Statistics'!$FF$2:$FF$183)*($U$2='Offer Statistics'!$FG$2:$FG$183),0)),"/")</f>
        <v>0</v>
      </c>
      <c r="Z26" s="375" cm="1">
        <f t="array" ref="Z26">IFERROR(INDEX('Offer Statistics'!FS$2:FS$183,MATCH(1,($A26='Offer Statistics'!$FF$2:$FF$183)*($U$2='Offer Statistics'!$FG$2:$FG$183),0)),"/")</f>
        <v>0</v>
      </c>
      <c r="AA26" s="375" cm="1">
        <f t="array" ref="AA26">IFERROR(INDEX('Offer Statistics'!FT$2:FT$183,MATCH(1,($A26='Offer Statistics'!$FF$2:$FF$183)*($U$2='Offer Statistics'!$FG$2:$FG$183),0)),"/")</f>
        <v>0</v>
      </c>
      <c r="AB26" s="601"/>
      <c r="AC26" s="537" cm="1">
        <f t="array" ref="AC26">IFERROR(INDEX('Offer Statistics'!FM$2:FM$183,MATCH(1,($A26='Offer Statistics'!$FF$2:$FF$183)*($U$2='Offer Statistics'!$FG$2:$FG$183),0)),"/")</f>
        <v>2135</v>
      </c>
      <c r="AD26" s="375" cm="1">
        <f t="array" ref="AD26">IFERROR(INDEX('Offer Statistics'!FH$2:FH$183,MATCH(1,($A26='Offer Statistics'!$FF$2:$FF$183)*($U$2='Offer Statistics'!$FG$2:$FG$183),0)),"/")</f>
        <v>288</v>
      </c>
      <c r="AE26" s="375" cm="1">
        <f t="array" ref="AE26">IFERROR(INDEX('Offer Statistics'!FI$2:FI$183,MATCH(1,($A26='Offer Statistics'!$FF$2:$FF$183)*($U$2='Offer Statistics'!$FG$2:$FG$183),0)),"/")</f>
        <v>354</v>
      </c>
      <c r="AF26" s="375" cm="1">
        <f t="array" ref="AF26">IFERROR(INDEX('Offer Statistics'!FJ$2:FJ$183,MATCH(1,($A26='Offer Statistics'!$FF$2:$FF$183)*($U$2='Offer Statistics'!$FG$2:$FG$183),0)),"/")</f>
        <v>481</v>
      </c>
      <c r="AG26" s="375" cm="1">
        <f t="array" ref="AG26">IFERROR(INDEX('Offer Statistics'!FK$2:FK$183,MATCH(1,($A26='Offer Statistics'!$FF$2:$FF$183)*($U$2='Offer Statistics'!$FG$2:$FG$183),0)),"/")</f>
        <v>496</v>
      </c>
      <c r="AH26" s="375" cm="1">
        <f t="array" ref="AH26">IFERROR(INDEX('Offer Statistics'!FL$2:FL$183,MATCH(1,($A26='Offer Statistics'!$FF$2:$FF$183)*($U$2='Offer Statistics'!$FG$2:$FG$183),0)),"/")</f>
        <v>516</v>
      </c>
      <c r="AI26" s="4"/>
      <c r="AJ26" s="538" t="str">
        <f t="shared" si="0"/>
        <v>JSSU55</v>
      </c>
    </row>
    <row r="27" spans="1:36" ht="18" customHeight="1" x14ac:dyDescent="0.3">
      <c r="A27" s="346" t="str">
        <f>'Reference Score Calculation'!A396</f>
        <v>JSSU61</v>
      </c>
      <c r="B27" s="4" t="s">
        <v>2651</v>
      </c>
      <c r="C27" s="4" t="s">
        <v>3518</v>
      </c>
      <c r="D27" s="346" t="s">
        <v>1834</v>
      </c>
      <c r="E27" s="530" t="s">
        <v>2354</v>
      </c>
      <c r="F27" s="347" t="str">
        <f>'Reference Score Calculation'!F396</f>
        <v>/</v>
      </c>
      <c r="G27" s="347">
        <f>'Reference Score Calculation'!G396</f>
        <v>14</v>
      </c>
      <c r="H27" s="347">
        <f>'Reference Score Calculation'!H396</f>
        <v>13</v>
      </c>
      <c r="I27" s="368">
        <f>計分版!H417</f>
        <v>1.9500000000000001E-9</v>
      </c>
      <c r="J27" s="25">
        <f t="shared" si="8"/>
        <v>-13.999999998050001</v>
      </c>
      <c r="K27" s="26">
        <f t="shared" si="9"/>
        <v>-7179487178.4871798</v>
      </c>
      <c r="L27" s="530">
        <f>入學要求!C405</f>
        <v>50</v>
      </c>
      <c r="M27" s="103">
        <f>入學要求!R405</f>
        <v>0</v>
      </c>
      <c r="N27" s="15" t="s">
        <v>1978</v>
      </c>
      <c r="O27" s="531"/>
      <c r="P27" s="15">
        <v>3</v>
      </c>
      <c r="Q27" s="15">
        <v>3</v>
      </c>
      <c r="R27" s="15">
        <v>2</v>
      </c>
      <c r="S27" s="15">
        <v>2</v>
      </c>
      <c r="T27" s="15">
        <v>2</v>
      </c>
      <c r="U27" s="576"/>
      <c r="V27" s="537" t="str" cm="1">
        <f t="array" ref="V27">IFERROR(INDEX('Offer Statistics'!FU$2:FU$183,MATCH(1,($A27='Offer Statistics'!$FF$2:$FF$183)*($U$2='Offer Statistics'!$FG$2:$FG$183),0)),"/")</f>
        <v>/</v>
      </c>
      <c r="W27" s="375" t="str" cm="1">
        <f t="array" ref="W27">IFERROR(INDEX('Offer Statistics'!FP$2:FP$183,MATCH(1,($A27='Offer Statistics'!$FF$2:$FF$183)*($U$2='Offer Statistics'!$FG$2:$FG$183),0)),"/")</f>
        <v>/</v>
      </c>
      <c r="X27" s="375" t="str" cm="1">
        <f t="array" ref="X27">IFERROR(INDEX('Offer Statistics'!FQ$2:FQ$183,MATCH(1,($A27='Offer Statistics'!$FF$2:$FF$183)*($U$2='Offer Statistics'!$FG$2:$FG$183),0)),"/")</f>
        <v>/</v>
      </c>
      <c r="Y27" s="375" t="str" cm="1">
        <f t="array" ref="Y27">IFERROR(INDEX('Offer Statistics'!FR$2:FR$183,MATCH(1,($A27='Offer Statistics'!$FF$2:$FF$183)*($U$2='Offer Statistics'!$FG$2:$FG$183),0)),"/")</f>
        <v>/</v>
      </c>
      <c r="Z27" s="375" t="str" cm="1">
        <f t="array" ref="Z27">IFERROR(INDEX('Offer Statistics'!FS$2:FS$183,MATCH(1,($A27='Offer Statistics'!$FF$2:$FF$183)*($U$2='Offer Statistics'!$FG$2:$FG$183),0)),"/")</f>
        <v>/</v>
      </c>
      <c r="AA27" s="375" t="str" cm="1">
        <f t="array" ref="AA27">IFERROR(INDEX('Offer Statistics'!FT$2:FT$183,MATCH(1,($A27='Offer Statistics'!$FF$2:$FF$183)*($U$2='Offer Statistics'!$FG$2:$FG$183),0)),"/")</f>
        <v>/</v>
      </c>
      <c r="AB27" s="601"/>
      <c r="AC27" s="537" t="str" cm="1">
        <f t="array" ref="AC27">IFERROR(INDEX('Offer Statistics'!FM$2:FM$183,MATCH(1,($A27='Offer Statistics'!$FF$2:$FF$183)*($U$2='Offer Statistics'!$FG$2:$FG$183),0)),"/")</f>
        <v>/</v>
      </c>
      <c r="AD27" s="375" t="str" cm="1">
        <f t="array" ref="AD27">IFERROR(INDEX('Offer Statistics'!FH$2:FH$183,MATCH(1,($A27='Offer Statistics'!$FF$2:$FF$183)*($U$2='Offer Statistics'!$FG$2:$FG$183),0)),"/")</f>
        <v>/</v>
      </c>
      <c r="AE27" s="375" t="str" cm="1">
        <f t="array" ref="AE27">IFERROR(INDEX('Offer Statistics'!FI$2:FI$183,MATCH(1,($A27='Offer Statistics'!$FF$2:$FF$183)*($U$2='Offer Statistics'!$FG$2:$FG$183),0)),"/")</f>
        <v>/</v>
      </c>
      <c r="AF27" s="375" t="str" cm="1">
        <f t="array" ref="AF27">IFERROR(INDEX('Offer Statistics'!FJ$2:FJ$183,MATCH(1,($A27='Offer Statistics'!$FF$2:$FF$183)*($U$2='Offer Statistics'!$FG$2:$FG$183),0)),"/")</f>
        <v>/</v>
      </c>
      <c r="AG27" s="375" t="str" cm="1">
        <f t="array" ref="AG27">IFERROR(INDEX('Offer Statistics'!FK$2:FK$183,MATCH(1,($A27='Offer Statistics'!$FF$2:$FF$183)*($U$2='Offer Statistics'!$FG$2:$FG$183),0)),"/")</f>
        <v>/</v>
      </c>
      <c r="AH27" s="375" t="str" cm="1">
        <f t="array" ref="AH27">IFERROR(INDEX('Offer Statistics'!FL$2:FL$183,MATCH(1,($A27='Offer Statistics'!$FF$2:$FF$183)*($U$2='Offer Statistics'!$FG$2:$FG$183),0)),"/")</f>
        <v>/</v>
      </c>
      <c r="AI27" s="4"/>
      <c r="AJ27" s="538" t="str">
        <f t="shared" si="0"/>
        <v>JSSU61</v>
      </c>
    </row>
    <row r="28" spans="1:36" ht="18" customHeight="1" x14ac:dyDescent="0.3">
      <c r="A28" s="346" t="str">
        <f>'Reference Score Calculation'!A397</f>
        <v>JSSU68</v>
      </c>
      <c r="B28" s="4" t="s">
        <v>2651</v>
      </c>
      <c r="C28" s="4" t="s">
        <v>2284</v>
      </c>
      <c r="D28" s="346" t="s">
        <v>1838</v>
      </c>
      <c r="E28" s="531" t="s">
        <v>2259</v>
      </c>
      <c r="F28" s="347" t="str">
        <f>'Reference Score Calculation'!F397</f>
        <v>/</v>
      </c>
      <c r="G28" s="347">
        <f>'Reference Score Calculation'!G397</f>
        <v>16</v>
      </c>
      <c r="H28" s="347">
        <f>'Reference Score Calculation'!H397</f>
        <v>16</v>
      </c>
      <c r="I28" s="368">
        <f>計分版!H418</f>
        <v>1.9500000000000001E-9</v>
      </c>
      <c r="J28" s="25">
        <f t="shared" si="8"/>
        <v>-15.999999998050001</v>
      </c>
      <c r="K28" s="26">
        <f t="shared" si="9"/>
        <v>-8205128204.1282053</v>
      </c>
      <c r="L28" s="530">
        <f>入學要求!C406</f>
        <v>55</v>
      </c>
      <c r="M28" s="103">
        <f>入學要求!R406</f>
        <v>0</v>
      </c>
      <c r="N28" s="15" t="s">
        <v>1978</v>
      </c>
      <c r="O28" s="531"/>
      <c r="P28" s="15">
        <v>3</v>
      </c>
      <c r="Q28" s="15">
        <v>3</v>
      </c>
      <c r="R28" s="15">
        <v>2</v>
      </c>
      <c r="S28" s="15">
        <v>2</v>
      </c>
      <c r="T28" s="15">
        <v>2</v>
      </c>
      <c r="U28" s="576"/>
      <c r="V28" s="537" cm="1">
        <f t="array" ref="V28">IFERROR(INDEX('Offer Statistics'!FU$2:FU$183,MATCH(1,($A28='Offer Statistics'!$FF$2:$FF$183)*($U$2='Offer Statistics'!$FG$2:$FG$183),0)),"/")</f>
        <v>28</v>
      </c>
      <c r="W28" s="375" cm="1">
        <f t="array" ref="W28">IFERROR(INDEX('Offer Statistics'!FP$2:FP$183,MATCH(1,($A28='Offer Statistics'!$FF$2:$FF$183)*($U$2='Offer Statistics'!$FG$2:$FG$183),0)),"/")</f>
        <v>13</v>
      </c>
      <c r="X28" s="375" cm="1">
        <f t="array" ref="X28">IFERROR(INDEX('Offer Statistics'!FQ$2:FQ$183,MATCH(1,($A28='Offer Statistics'!$FF$2:$FF$183)*($U$2='Offer Statistics'!$FG$2:$FG$183),0)),"/")</f>
        <v>9</v>
      </c>
      <c r="Y28" s="375" cm="1">
        <f t="array" ref="Y28">IFERROR(INDEX('Offer Statistics'!FR$2:FR$183,MATCH(1,($A28='Offer Statistics'!$FF$2:$FF$183)*($U$2='Offer Statistics'!$FG$2:$FG$183),0)),"/")</f>
        <v>0</v>
      </c>
      <c r="Z28" s="375" cm="1">
        <f t="array" ref="Z28">IFERROR(INDEX('Offer Statistics'!FS$2:FS$183,MATCH(1,($A28='Offer Statistics'!$FF$2:$FF$183)*($U$2='Offer Statistics'!$FG$2:$FG$183),0)),"/")</f>
        <v>4</v>
      </c>
      <c r="AA28" s="375" cm="1">
        <f t="array" ref="AA28">IFERROR(INDEX('Offer Statistics'!FT$2:FT$183,MATCH(1,($A28='Offer Statistics'!$FF$2:$FF$183)*($U$2='Offer Statistics'!$FG$2:$FG$183),0)),"/")</f>
        <v>2</v>
      </c>
      <c r="AB28" s="601"/>
      <c r="AC28" s="537" cm="1">
        <f t="array" ref="AC28">IFERROR(INDEX('Offer Statistics'!FM$2:FM$183,MATCH(1,($A28='Offer Statistics'!$FF$2:$FF$183)*($U$2='Offer Statistics'!$FG$2:$FG$183),0)),"/")</f>
        <v>1355</v>
      </c>
      <c r="AD28" s="375" cm="1">
        <f t="array" ref="AD28">IFERROR(INDEX('Offer Statistics'!FH$2:FH$183,MATCH(1,($A28='Offer Statistics'!$FF$2:$FF$183)*($U$2='Offer Statistics'!$FG$2:$FG$183),0)),"/")</f>
        <v>117</v>
      </c>
      <c r="AE28" s="375" cm="1">
        <f t="array" ref="AE28">IFERROR(INDEX('Offer Statistics'!FI$2:FI$183,MATCH(1,($A28='Offer Statistics'!$FF$2:$FF$183)*($U$2='Offer Statistics'!$FG$2:$FG$183),0)),"/")</f>
        <v>226</v>
      </c>
      <c r="AF28" s="375" cm="1">
        <f t="array" ref="AF28">IFERROR(INDEX('Offer Statistics'!FJ$2:FJ$183,MATCH(1,($A28='Offer Statistics'!$FF$2:$FF$183)*($U$2='Offer Statistics'!$FG$2:$FG$183),0)),"/")</f>
        <v>258</v>
      </c>
      <c r="AG28" s="375" cm="1">
        <f t="array" ref="AG28">IFERROR(INDEX('Offer Statistics'!FK$2:FK$183,MATCH(1,($A28='Offer Statistics'!$FF$2:$FF$183)*($U$2='Offer Statistics'!$FG$2:$FG$183),0)),"/")</f>
        <v>345</v>
      </c>
      <c r="AH28" s="375" cm="1">
        <f t="array" ref="AH28">IFERROR(INDEX('Offer Statistics'!FL$2:FL$183,MATCH(1,($A28='Offer Statistics'!$FF$2:$FF$183)*($U$2='Offer Statistics'!$FG$2:$FG$183),0)),"/")</f>
        <v>409</v>
      </c>
      <c r="AI28" s="4"/>
      <c r="AJ28" s="538" t="str">
        <f t="shared" si="0"/>
        <v>JSSU68</v>
      </c>
    </row>
    <row r="29" spans="1:36" ht="18" customHeight="1" x14ac:dyDescent="0.3">
      <c r="A29" s="346" t="str">
        <f>'Reference Score Calculation'!A398</f>
        <v>JSSU69</v>
      </c>
      <c r="B29" s="4" t="s">
        <v>2651</v>
      </c>
      <c r="C29" s="4" t="s">
        <v>2285</v>
      </c>
      <c r="D29" s="346" t="s">
        <v>1844</v>
      </c>
      <c r="E29" s="531" t="s">
        <v>2354</v>
      </c>
      <c r="F29" s="347" t="str">
        <f>'Reference Score Calculation'!F398</f>
        <v>/</v>
      </c>
      <c r="G29" s="347">
        <f>'Reference Score Calculation'!G398</f>
        <v>16</v>
      </c>
      <c r="H29" s="347">
        <f>'Reference Score Calculation'!H398</f>
        <v>15</v>
      </c>
      <c r="I29" s="368">
        <f>計分版!H419</f>
        <v>1.9500000000000001E-9</v>
      </c>
      <c r="J29" s="25">
        <f>IF(J$1="差距(Median)",I29-G29,IF(J$1="差距(UQ)",I29-G29,IF(J$1="差距(LQ)",I29-H29)))</f>
        <v>-15.999999998050001</v>
      </c>
      <c r="K29" s="26">
        <f t="shared" ref="K29:K30" si="12">IF(J$1="差距(Median)",(I29-G29)/I29,IF(J$1="差距(UQ)",(I29-G29)/I29,IF(J$1="差距(LQ)",(I29-H29)/I29)))</f>
        <v>-8205128204.1282053</v>
      </c>
      <c r="L29" s="530">
        <f>入學要求!C407</f>
        <v>55</v>
      </c>
      <c r="M29" s="103">
        <f>入學要求!R407</f>
        <v>0</v>
      </c>
      <c r="N29" s="15" t="s">
        <v>1978</v>
      </c>
      <c r="O29" s="531"/>
      <c r="P29" s="15">
        <v>3</v>
      </c>
      <c r="Q29" s="15">
        <v>3</v>
      </c>
      <c r="R29" s="15">
        <v>2</v>
      </c>
      <c r="S29" s="15">
        <v>2</v>
      </c>
      <c r="T29" s="15">
        <v>2</v>
      </c>
      <c r="U29" s="576"/>
      <c r="V29" s="537" cm="1">
        <f t="array" ref="V29">IFERROR(INDEX('Offer Statistics'!FU$2:FU$183,MATCH(1,($A29='Offer Statistics'!$FF$2:$FF$183)*($U$2='Offer Statistics'!$FG$2:$FG$183),0)),"/")</f>
        <v>57</v>
      </c>
      <c r="W29" s="375" cm="1">
        <f t="array" ref="W29">IFERROR(INDEX('Offer Statistics'!FP$2:FP$183,MATCH(1,($A29='Offer Statistics'!$FF$2:$FF$183)*($U$2='Offer Statistics'!$FG$2:$FG$183),0)),"/")</f>
        <v>41</v>
      </c>
      <c r="X29" s="375" cm="1">
        <f t="array" ref="X29">IFERROR(INDEX('Offer Statistics'!FQ$2:FQ$183,MATCH(1,($A29='Offer Statistics'!$FF$2:$FF$183)*($U$2='Offer Statistics'!$FG$2:$FG$183),0)),"/")</f>
        <v>11</v>
      </c>
      <c r="Y29" s="375" cm="1">
        <f t="array" ref="Y29">IFERROR(INDEX('Offer Statistics'!FR$2:FR$183,MATCH(1,($A29='Offer Statistics'!$FF$2:$FF$183)*($U$2='Offer Statistics'!$FG$2:$FG$183),0)),"/")</f>
        <v>2</v>
      </c>
      <c r="Z29" s="375" cm="1">
        <f t="array" ref="Z29">IFERROR(INDEX('Offer Statistics'!FS$2:FS$183,MATCH(1,($A29='Offer Statistics'!$FF$2:$FF$183)*($U$2='Offer Statistics'!$FG$2:$FG$183),0)),"/")</f>
        <v>1</v>
      </c>
      <c r="AA29" s="375" cm="1">
        <f t="array" ref="AA29">IFERROR(INDEX('Offer Statistics'!FT$2:FT$183,MATCH(1,($A29='Offer Statistics'!$FF$2:$FF$183)*($U$2='Offer Statistics'!$FG$2:$FG$183),0)),"/")</f>
        <v>2</v>
      </c>
      <c r="AB29" s="601"/>
      <c r="AC29" s="537" cm="1">
        <f t="array" ref="AC29">IFERROR(INDEX('Offer Statistics'!FM$2:FM$183,MATCH(1,($A29='Offer Statistics'!$FF$2:$FF$183)*($U$2='Offer Statistics'!$FG$2:$FG$183),0)),"/")</f>
        <v>2300</v>
      </c>
      <c r="AD29" s="375" cm="1">
        <f t="array" ref="AD29">IFERROR(INDEX('Offer Statistics'!FH$2:FH$183,MATCH(1,($A29='Offer Statistics'!$FF$2:$FF$183)*($U$2='Offer Statistics'!$FG$2:$FG$183),0)),"/")</f>
        <v>237</v>
      </c>
      <c r="AE29" s="375" cm="1">
        <f t="array" ref="AE29">IFERROR(INDEX('Offer Statistics'!FI$2:FI$183,MATCH(1,($A29='Offer Statistics'!$FF$2:$FF$183)*($U$2='Offer Statistics'!$FG$2:$FG$183),0)),"/")</f>
        <v>423</v>
      </c>
      <c r="AF29" s="375" cm="1">
        <f t="array" ref="AF29">IFERROR(INDEX('Offer Statistics'!FJ$2:FJ$183,MATCH(1,($A29='Offer Statistics'!$FF$2:$FF$183)*($U$2='Offer Statistics'!$FG$2:$FG$183),0)),"/")</f>
        <v>471</v>
      </c>
      <c r="AG29" s="375" cm="1">
        <f t="array" ref="AG29">IFERROR(INDEX('Offer Statistics'!FK$2:FK$183,MATCH(1,($A29='Offer Statistics'!$FF$2:$FF$183)*($U$2='Offer Statistics'!$FG$2:$FG$183),0)),"/")</f>
        <v>528</v>
      </c>
      <c r="AH29" s="375" cm="1">
        <f t="array" ref="AH29">IFERROR(INDEX('Offer Statistics'!FL$2:FL$183,MATCH(1,($A29='Offer Statistics'!$FF$2:$FF$183)*($U$2='Offer Statistics'!$FG$2:$FG$183),0)),"/")</f>
        <v>641</v>
      </c>
      <c r="AI29" s="4"/>
      <c r="AJ29" s="538" t="str">
        <f t="shared" si="0"/>
        <v>JSSU69</v>
      </c>
    </row>
    <row r="30" spans="1:36" ht="18" customHeight="1" x14ac:dyDescent="0.3">
      <c r="A30" s="346" t="str">
        <f>'Reference Score Calculation'!A399</f>
        <v>JSSU70</v>
      </c>
      <c r="B30" s="4" t="s">
        <v>2651</v>
      </c>
      <c r="C30" s="4" t="s">
        <v>2286</v>
      </c>
      <c r="D30" s="346" t="s">
        <v>1850</v>
      </c>
      <c r="E30" s="531" t="s">
        <v>2354</v>
      </c>
      <c r="F30" s="347" t="str">
        <f>'Reference Score Calculation'!F399</f>
        <v>/</v>
      </c>
      <c r="G30" s="347">
        <f>'Reference Score Calculation'!G399</f>
        <v>15</v>
      </c>
      <c r="H30" s="347">
        <f>'Reference Score Calculation'!H399</f>
        <v>15</v>
      </c>
      <c r="I30" s="368">
        <f>計分版!H420</f>
        <v>1.9500000000000001E-9</v>
      </c>
      <c r="J30" s="25">
        <f t="shared" ref="J30" si="13">IF(J$1="差距(Median)",I30-G30,IF(J$1="差距(UQ)",I30-G30,IF(J$1="差距(LQ)",I30-H30)))</f>
        <v>-14.999999998050001</v>
      </c>
      <c r="K30" s="26">
        <f t="shared" si="12"/>
        <v>-7692307691.3076925</v>
      </c>
      <c r="L30" s="530">
        <f>入學要求!C408</f>
        <v>25</v>
      </c>
      <c r="M30" s="103">
        <f>入學要求!R408</f>
        <v>0</v>
      </c>
      <c r="N30" s="15" t="s">
        <v>1978</v>
      </c>
      <c r="O30" s="531"/>
      <c r="P30" s="15">
        <v>3</v>
      </c>
      <c r="Q30" s="15">
        <v>3</v>
      </c>
      <c r="R30" s="15">
        <v>2</v>
      </c>
      <c r="S30" s="15">
        <v>2</v>
      </c>
      <c r="T30" s="15">
        <v>2</v>
      </c>
      <c r="U30" s="576"/>
      <c r="V30" s="537" cm="1">
        <f t="array" ref="V30">IFERROR(INDEX('Offer Statistics'!FU$2:FU$183,MATCH(1,($A30='Offer Statistics'!$FF$2:$FF$183)*($U$2='Offer Statistics'!$FG$2:$FG$183),0)),"/")</f>
        <v>30</v>
      </c>
      <c r="W30" s="375" cm="1">
        <f t="array" ref="W30">IFERROR(INDEX('Offer Statistics'!FP$2:FP$183,MATCH(1,($A30='Offer Statistics'!$FF$2:$FF$183)*($U$2='Offer Statistics'!$FG$2:$FG$183),0)),"/")</f>
        <v>25</v>
      </c>
      <c r="X30" s="375" cm="1">
        <f t="array" ref="X30">IFERROR(INDEX('Offer Statistics'!FQ$2:FQ$183,MATCH(1,($A30='Offer Statistics'!$FF$2:$FF$183)*($U$2='Offer Statistics'!$FG$2:$FG$183),0)),"/")</f>
        <v>4</v>
      </c>
      <c r="Y30" s="375" cm="1">
        <f t="array" ref="Y30">IFERROR(INDEX('Offer Statistics'!FR$2:FR$183,MATCH(1,($A30='Offer Statistics'!$FF$2:$FF$183)*($U$2='Offer Statistics'!$FG$2:$FG$183),0)),"/")</f>
        <v>0</v>
      </c>
      <c r="Z30" s="375" cm="1">
        <f t="array" ref="Z30">IFERROR(INDEX('Offer Statistics'!FS$2:FS$183,MATCH(1,($A30='Offer Statistics'!$FF$2:$FF$183)*($U$2='Offer Statistics'!$FG$2:$FG$183),0)),"/")</f>
        <v>0</v>
      </c>
      <c r="AA30" s="375" cm="1">
        <f t="array" ref="AA30">IFERROR(INDEX('Offer Statistics'!FT$2:FT$183,MATCH(1,($A30='Offer Statistics'!$FF$2:$FF$183)*($U$2='Offer Statistics'!$FG$2:$FG$183),0)),"/")</f>
        <v>1</v>
      </c>
      <c r="AB30" s="601"/>
      <c r="AC30" s="537" cm="1">
        <f t="array" ref="AC30">IFERROR(INDEX('Offer Statistics'!FM$2:FM$183,MATCH(1,($A30='Offer Statistics'!$FF$2:$FF$183)*($U$2='Offer Statistics'!$FG$2:$FG$183),0)),"/")</f>
        <v>1224</v>
      </c>
      <c r="AD30" s="375" cm="1">
        <f t="array" ref="AD30">IFERROR(INDEX('Offer Statistics'!FH$2:FH$183,MATCH(1,($A30='Offer Statistics'!$FF$2:$FF$183)*($U$2='Offer Statistics'!$FG$2:$FG$183),0)),"/")</f>
        <v>114</v>
      </c>
      <c r="AE30" s="375" cm="1">
        <f t="array" ref="AE30">IFERROR(INDEX('Offer Statistics'!FI$2:FI$183,MATCH(1,($A30='Offer Statistics'!$FF$2:$FF$183)*($U$2='Offer Statistics'!$FG$2:$FG$183),0)),"/")</f>
        <v>214</v>
      </c>
      <c r="AF30" s="375" cm="1">
        <f t="array" ref="AF30">IFERROR(INDEX('Offer Statistics'!FJ$2:FJ$183,MATCH(1,($A30='Offer Statistics'!$FF$2:$FF$183)*($U$2='Offer Statistics'!$FG$2:$FG$183),0)),"/")</f>
        <v>235</v>
      </c>
      <c r="AG30" s="375" cm="1">
        <f t="array" ref="AG30">IFERROR(INDEX('Offer Statistics'!FK$2:FK$183,MATCH(1,($A30='Offer Statistics'!$FF$2:$FF$183)*($U$2='Offer Statistics'!$FG$2:$FG$183),0)),"/")</f>
        <v>295</v>
      </c>
      <c r="AH30" s="375" cm="1">
        <f t="array" ref="AH30">IFERROR(INDEX('Offer Statistics'!FL$2:FL$183,MATCH(1,($A30='Offer Statistics'!$FF$2:$FF$183)*($U$2='Offer Statistics'!$FG$2:$FG$183),0)),"/")</f>
        <v>366</v>
      </c>
      <c r="AI30" s="4"/>
      <c r="AJ30" s="538" t="str">
        <f t="shared" si="0"/>
        <v>JSSU70</v>
      </c>
    </row>
    <row r="31" spans="1:36" ht="18" customHeight="1" x14ac:dyDescent="0.3">
      <c r="A31" s="346" t="str">
        <f>'Reference Score Calculation'!A400</f>
        <v>JSSU71</v>
      </c>
      <c r="B31" s="4" t="s">
        <v>2651</v>
      </c>
      <c r="C31" s="4" t="s">
        <v>2287</v>
      </c>
      <c r="D31" s="346" t="s">
        <v>1856</v>
      </c>
      <c r="E31" s="531" t="s">
        <v>2171</v>
      </c>
      <c r="F31" s="347" t="str">
        <f>'Reference Score Calculation'!F400</f>
        <v>/</v>
      </c>
      <c r="G31" s="347">
        <f>'Reference Score Calculation'!G400</f>
        <v>16</v>
      </c>
      <c r="H31" s="347">
        <f>'Reference Score Calculation'!H400</f>
        <v>16</v>
      </c>
      <c r="I31" s="368">
        <f>計分版!H421</f>
        <v>1.9500000000000001E-9</v>
      </c>
      <c r="J31" s="25">
        <f t="shared" si="8"/>
        <v>-15.999999998050001</v>
      </c>
      <c r="K31" s="26">
        <f t="shared" si="9"/>
        <v>-8205128204.1282053</v>
      </c>
      <c r="L31" s="530">
        <f>入學要求!C409</f>
        <v>60</v>
      </c>
      <c r="M31" s="103">
        <f>入學要求!R409</f>
        <v>0</v>
      </c>
      <c r="N31" s="15" t="s">
        <v>1978</v>
      </c>
      <c r="O31" s="531"/>
      <c r="P31" s="15">
        <v>3</v>
      </c>
      <c r="Q31" s="15">
        <v>3</v>
      </c>
      <c r="R31" s="15">
        <v>2</v>
      </c>
      <c r="S31" s="15">
        <v>2</v>
      </c>
      <c r="T31" s="15">
        <v>2</v>
      </c>
      <c r="U31" s="576"/>
      <c r="V31" s="537" cm="1">
        <f t="array" ref="V31">IFERROR(INDEX('Offer Statistics'!FU$2:FU$183,MATCH(1,($A31='Offer Statistics'!$FF$2:$FF$183)*($U$2='Offer Statistics'!$FG$2:$FG$183),0)),"/")</f>
        <v>26</v>
      </c>
      <c r="W31" s="375" cm="1">
        <f t="array" ref="W31">IFERROR(INDEX('Offer Statistics'!FP$2:FP$183,MATCH(1,($A31='Offer Statistics'!$FF$2:$FF$183)*($U$2='Offer Statistics'!$FG$2:$FG$183),0)),"/")</f>
        <v>21</v>
      </c>
      <c r="X31" s="375" cm="1">
        <f t="array" ref="X31">IFERROR(INDEX('Offer Statistics'!FQ$2:FQ$183,MATCH(1,($A31='Offer Statistics'!$FF$2:$FF$183)*($U$2='Offer Statistics'!$FG$2:$FG$183),0)),"/")</f>
        <v>2</v>
      </c>
      <c r="Y31" s="375" cm="1">
        <f t="array" ref="Y31">IFERROR(INDEX('Offer Statistics'!FR$2:FR$183,MATCH(1,($A31='Offer Statistics'!$FF$2:$FF$183)*($U$2='Offer Statistics'!$FG$2:$FG$183),0)),"/")</f>
        <v>2</v>
      </c>
      <c r="Z31" s="375" cm="1">
        <f t="array" ref="Z31">IFERROR(INDEX('Offer Statistics'!FS$2:FS$183,MATCH(1,($A31='Offer Statistics'!$FF$2:$FF$183)*($U$2='Offer Statistics'!$FG$2:$FG$183),0)),"/")</f>
        <v>0</v>
      </c>
      <c r="AA31" s="375" cm="1">
        <f t="array" ref="AA31">IFERROR(INDEX('Offer Statistics'!FT$2:FT$183,MATCH(1,($A31='Offer Statistics'!$FF$2:$FF$183)*($U$2='Offer Statistics'!$FG$2:$FG$183),0)),"/")</f>
        <v>1</v>
      </c>
      <c r="AB31" s="601"/>
      <c r="AC31" s="537" cm="1">
        <f t="array" ref="AC31">IFERROR(INDEX('Offer Statistics'!FM$2:FM$183,MATCH(1,($A31='Offer Statistics'!$FF$2:$FF$183)*($U$2='Offer Statistics'!$FG$2:$FG$183),0)),"/")</f>
        <v>1398</v>
      </c>
      <c r="AD31" s="375" cm="1">
        <f t="array" ref="AD31">IFERROR(INDEX('Offer Statistics'!FH$2:FH$183,MATCH(1,($A31='Offer Statistics'!$FF$2:$FF$183)*($U$2='Offer Statistics'!$FG$2:$FG$183),0)),"/")</f>
        <v>145</v>
      </c>
      <c r="AE31" s="375" cm="1">
        <f t="array" ref="AE31">IFERROR(INDEX('Offer Statistics'!FI$2:FI$183,MATCH(1,($A31='Offer Statistics'!$FF$2:$FF$183)*($U$2='Offer Statistics'!$FG$2:$FG$183),0)),"/")</f>
        <v>209</v>
      </c>
      <c r="AF31" s="375" cm="1">
        <f t="array" ref="AF31">IFERROR(INDEX('Offer Statistics'!FJ$2:FJ$183,MATCH(1,($A31='Offer Statistics'!$FF$2:$FF$183)*($U$2='Offer Statistics'!$FG$2:$FG$183),0)),"/")</f>
        <v>294</v>
      </c>
      <c r="AG31" s="375" cm="1">
        <f t="array" ref="AG31">IFERROR(INDEX('Offer Statistics'!FK$2:FK$183,MATCH(1,($A31='Offer Statistics'!$FF$2:$FF$183)*($U$2='Offer Statistics'!$FG$2:$FG$183),0)),"/")</f>
        <v>340</v>
      </c>
      <c r="AH31" s="375" cm="1">
        <f t="array" ref="AH31">IFERROR(INDEX('Offer Statistics'!FL$2:FL$183,MATCH(1,($A31='Offer Statistics'!$FF$2:$FF$183)*($U$2='Offer Statistics'!$FG$2:$FG$183),0)),"/")</f>
        <v>410</v>
      </c>
      <c r="AI31" s="4"/>
      <c r="AJ31" s="538" t="str">
        <f t="shared" si="0"/>
        <v>JSSU71</v>
      </c>
    </row>
    <row r="32" spans="1:36" ht="18" customHeight="1" x14ac:dyDescent="0.3">
      <c r="A32" s="346" t="str">
        <f>'Reference Score Calculation'!A401</f>
        <v>JSSU90</v>
      </c>
      <c r="B32" s="4" t="s">
        <v>2651</v>
      </c>
      <c r="C32" s="4" t="s">
        <v>2288</v>
      </c>
      <c r="D32" s="346" t="s">
        <v>1862</v>
      </c>
      <c r="E32" s="531" t="s">
        <v>2171</v>
      </c>
      <c r="F32" s="347" t="str">
        <f>'Reference Score Calculation'!F401</f>
        <v>/</v>
      </c>
      <c r="G32" s="347">
        <f>'Reference Score Calculation'!G401</f>
        <v>16</v>
      </c>
      <c r="H32" s="347">
        <f>'Reference Score Calculation'!H401</f>
        <v>15</v>
      </c>
      <c r="I32" s="368">
        <f>計分版!H422</f>
        <v>1.9500000000000001E-9</v>
      </c>
      <c r="J32" s="25">
        <f t="shared" si="8"/>
        <v>-15.999999998050001</v>
      </c>
      <c r="K32" s="26">
        <f t="shared" si="9"/>
        <v>-8205128204.1282053</v>
      </c>
      <c r="L32" s="530">
        <f>入學要求!C410</f>
        <v>80</v>
      </c>
      <c r="M32" s="103">
        <f>入學要求!R410</f>
        <v>0</v>
      </c>
      <c r="N32" s="15" t="s">
        <v>1978</v>
      </c>
      <c r="O32" s="531"/>
      <c r="P32" s="15">
        <v>3</v>
      </c>
      <c r="Q32" s="15">
        <v>3</v>
      </c>
      <c r="R32" s="15">
        <v>2</v>
      </c>
      <c r="S32" s="15">
        <v>2</v>
      </c>
      <c r="T32" s="15">
        <v>2</v>
      </c>
      <c r="U32" s="576"/>
      <c r="V32" s="537" cm="1">
        <f t="array" ref="V32">IFERROR(INDEX('Offer Statistics'!FU$2:FU$183,MATCH(1,($A32='Offer Statistics'!$FF$2:$FF$183)*($U$2='Offer Statistics'!$FG$2:$FG$183),0)),"/")</f>
        <v>52</v>
      </c>
      <c r="W32" s="375" cm="1">
        <f t="array" ref="W32">IFERROR(INDEX('Offer Statistics'!FP$2:FP$183,MATCH(1,($A32='Offer Statistics'!$FF$2:$FF$183)*($U$2='Offer Statistics'!$FG$2:$FG$183),0)),"/")</f>
        <v>33</v>
      </c>
      <c r="X32" s="375" cm="1">
        <f t="array" ref="X32">IFERROR(INDEX('Offer Statistics'!FQ$2:FQ$183,MATCH(1,($A32='Offer Statistics'!$FF$2:$FF$183)*($U$2='Offer Statistics'!$FG$2:$FG$183),0)),"/")</f>
        <v>7</v>
      </c>
      <c r="Y32" s="375" cm="1">
        <f t="array" ref="Y32">IFERROR(INDEX('Offer Statistics'!FR$2:FR$183,MATCH(1,($A32='Offer Statistics'!$FF$2:$FF$183)*($U$2='Offer Statistics'!$FG$2:$FG$183),0)),"/")</f>
        <v>1</v>
      </c>
      <c r="Z32" s="375" cm="1">
        <f t="array" ref="Z32">IFERROR(INDEX('Offer Statistics'!FS$2:FS$183,MATCH(1,($A32='Offer Statistics'!$FF$2:$FF$183)*($U$2='Offer Statistics'!$FG$2:$FG$183),0)),"/")</f>
        <v>6</v>
      </c>
      <c r="AA32" s="375" cm="1">
        <f t="array" ref="AA32">IFERROR(INDEX('Offer Statistics'!FT$2:FT$183,MATCH(1,($A32='Offer Statistics'!$FF$2:$FF$183)*($U$2='Offer Statistics'!$FG$2:$FG$183),0)),"/")</f>
        <v>5</v>
      </c>
      <c r="AB32" s="601"/>
      <c r="AC32" s="537" cm="1">
        <f t="array" ref="AC32">IFERROR(INDEX('Offer Statistics'!FM$2:FM$183,MATCH(1,($A32='Offer Statistics'!$FF$2:$FF$183)*($U$2='Offer Statistics'!$FG$2:$FG$183),0)),"/")</f>
        <v>2519</v>
      </c>
      <c r="AD32" s="375" cm="1">
        <f t="array" ref="AD32">IFERROR(INDEX('Offer Statistics'!FH$2:FH$183,MATCH(1,($A32='Offer Statistics'!$FF$2:$FF$183)*($U$2='Offer Statistics'!$FG$2:$FG$183),0)),"/")</f>
        <v>344</v>
      </c>
      <c r="AE32" s="375" cm="1">
        <f t="array" ref="AE32">IFERROR(INDEX('Offer Statistics'!FI$2:FI$183,MATCH(1,($A32='Offer Statistics'!$FF$2:$FF$183)*($U$2='Offer Statistics'!$FG$2:$FG$183),0)),"/")</f>
        <v>485</v>
      </c>
      <c r="AF32" s="375" cm="1">
        <f t="array" ref="AF32">IFERROR(INDEX('Offer Statistics'!FJ$2:FJ$183,MATCH(1,($A32='Offer Statistics'!$FF$2:$FF$183)*($U$2='Offer Statistics'!$FG$2:$FG$183),0)),"/")</f>
        <v>470</v>
      </c>
      <c r="AG32" s="375" cm="1">
        <f t="array" ref="AG32">IFERROR(INDEX('Offer Statistics'!FK$2:FK$183,MATCH(1,($A32='Offer Statistics'!$FF$2:$FF$183)*($U$2='Offer Statistics'!$FG$2:$FG$183),0)),"/")</f>
        <v>559</v>
      </c>
      <c r="AH32" s="375" cm="1">
        <f t="array" ref="AH32">IFERROR(INDEX('Offer Statistics'!FL$2:FL$183,MATCH(1,($A32='Offer Statistics'!$FF$2:$FF$183)*($U$2='Offer Statistics'!$FG$2:$FG$183),0)),"/")</f>
        <v>661</v>
      </c>
      <c r="AI32" s="4"/>
      <c r="AJ32" s="538" t="str">
        <f t="shared" si="0"/>
        <v>JSSU90</v>
      </c>
    </row>
    <row r="33" spans="1:36" ht="18" customHeight="1" x14ac:dyDescent="0.3">
      <c r="A33" s="346" t="str">
        <f>'Reference Score Calculation'!A402</f>
        <v>JSSU95</v>
      </c>
      <c r="B33" s="4" t="s">
        <v>2651</v>
      </c>
      <c r="C33" s="4" t="s">
        <v>2289</v>
      </c>
      <c r="D33" s="346" t="s">
        <v>1868</v>
      </c>
      <c r="E33" s="15" t="s">
        <v>1977</v>
      </c>
      <c r="F33" s="347" t="str">
        <f>'Reference Score Calculation'!F402</f>
        <v>/</v>
      </c>
      <c r="G33" s="347">
        <f>'Reference Score Calculation'!G402</f>
        <v>16</v>
      </c>
      <c r="H33" s="347">
        <f>'Reference Score Calculation'!H402</f>
        <v>15</v>
      </c>
      <c r="I33" s="368">
        <f>計分版!H423</f>
        <v>1.9500000000000001E-9</v>
      </c>
      <c r="J33" s="25">
        <f t="shared" si="8"/>
        <v>-15.999999998050001</v>
      </c>
      <c r="K33" s="26">
        <f t="shared" si="9"/>
        <v>-8205128204.1282053</v>
      </c>
      <c r="L33" s="530">
        <f>入學要求!C411</f>
        <v>40</v>
      </c>
      <c r="M33" s="103">
        <f>入學要求!R411</f>
        <v>0</v>
      </c>
      <c r="N33" s="15" t="s">
        <v>1978</v>
      </c>
      <c r="O33" s="531"/>
      <c r="P33" s="15">
        <v>3</v>
      </c>
      <c r="Q33" s="15">
        <v>3</v>
      </c>
      <c r="R33" s="15">
        <v>2</v>
      </c>
      <c r="S33" s="15">
        <v>2</v>
      </c>
      <c r="T33" s="15">
        <v>2</v>
      </c>
      <c r="U33" s="576"/>
      <c r="V33" s="537" cm="1">
        <f t="array" ref="V33">IFERROR(INDEX('Offer Statistics'!FU$2:FU$183,MATCH(1,($A33='Offer Statistics'!$FF$2:$FF$183)*($U$2='Offer Statistics'!$FG$2:$FG$183),0)),"/")</f>
        <v>94</v>
      </c>
      <c r="W33" s="375" cm="1">
        <f t="array" ref="W33">IFERROR(INDEX('Offer Statistics'!FP$2:FP$183,MATCH(1,($A33='Offer Statistics'!$FF$2:$FF$183)*($U$2='Offer Statistics'!$FG$2:$FG$183),0)),"/")</f>
        <v>68</v>
      </c>
      <c r="X33" s="375" cm="1">
        <f t="array" ref="X33">IFERROR(INDEX('Offer Statistics'!FQ$2:FQ$183,MATCH(1,($A33='Offer Statistics'!$FF$2:$FF$183)*($U$2='Offer Statistics'!$FG$2:$FG$183),0)),"/")</f>
        <v>14</v>
      </c>
      <c r="Y33" s="375" cm="1">
        <f t="array" ref="Y33">IFERROR(INDEX('Offer Statistics'!FR$2:FR$183,MATCH(1,($A33='Offer Statistics'!$FF$2:$FF$183)*($U$2='Offer Statistics'!$FG$2:$FG$183),0)),"/")</f>
        <v>5</v>
      </c>
      <c r="Z33" s="375" cm="1">
        <f t="array" ref="Z33">IFERROR(INDEX('Offer Statistics'!FS$2:FS$183,MATCH(1,($A33='Offer Statistics'!$FF$2:$FF$183)*($U$2='Offer Statistics'!$FG$2:$FG$183),0)),"/")</f>
        <v>0</v>
      </c>
      <c r="AA33" s="375" cm="1">
        <f t="array" ref="AA33">IFERROR(INDEX('Offer Statistics'!FT$2:FT$183,MATCH(1,($A33='Offer Statistics'!$FF$2:$FF$183)*($U$2='Offer Statistics'!$FG$2:$FG$183),0)),"/")</f>
        <v>7</v>
      </c>
      <c r="AB33" s="601"/>
      <c r="AC33" s="537" cm="1">
        <f t="array" ref="AC33">IFERROR(INDEX('Offer Statistics'!FM$2:FM$183,MATCH(1,($A33='Offer Statistics'!$FF$2:$FF$183)*($U$2='Offer Statistics'!$FG$2:$FG$183),0)),"/")</f>
        <v>1956</v>
      </c>
      <c r="AD33" s="375" cm="1">
        <f t="array" ref="AD33">IFERROR(INDEX('Offer Statistics'!FH$2:FH$183,MATCH(1,($A33='Offer Statistics'!$FF$2:$FF$183)*($U$2='Offer Statistics'!$FG$2:$FG$183),0)),"/")</f>
        <v>387</v>
      </c>
      <c r="AE33" s="375" cm="1">
        <f t="array" ref="AE33">IFERROR(INDEX('Offer Statistics'!FI$2:FI$183,MATCH(1,($A33='Offer Statistics'!$FF$2:$FF$183)*($U$2='Offer Statistics'!$FG$2:$FG$183),0)),"/")</f>
        <v>388</v>
      </c>
      <c r="AF33" s="375" cm="1">
        <f t="array" ref="AF33">IFERROR(INDEX('Offer Statistics'!FJ$2:FJ$183,MATCH(1,($A33='Offer Statistics'!$FF$2:$FF$183)*($U$2='Offer Statistics'!$FG$2:$FG$183),0)),"/")</f>
        <v>349</v>
      </c>
      <c r="AG33" s="375" cm="1">
        <f t="array" ref="AG33">IFERROR(INDEX('Offer Statistics'!FK$2:FK$183,MATCH(1,($A33='Offer Statistics'!$FF$2:$FF$183)*($U$2='Offer Statistics'!$FG$2:$FG$183),0)),"/")</f>
        <v>383</v>
      </c>
      <c r="AH33" s="375" cm="1">
        <f t="array" ref="AH33">IFERROR(INDEX('Offer Statistics'!FL$2:FL$183,MATCH(1,($A33='Offer Statistics'!$FF$2:$FF$183)*($U$2='Offer Statistics'!$FG$2:$FG$183),0)),"/")</f>
        <v>449</v>
      </c>
      <c r="AI33" s="4"/>
      <c r="AJ33" s="538" t="str">
        <f t="shared" si="0"/>
        <v>JSSU95</v>
      </c>
    </row>
    <row r="34" spans="1:36" ht="18" customHeight="1" x14ac:dyDescent="0.3">
      <c r="A34" s="346" t="str">
        <f>'Reference Score Calculation'!A403</f>
        <v>JSSU96</v>
      </c>
      <c r="B34" s="4" t="s">
        <v>2651</v>
      </c>
      <c r="C34" s="4" t="s">
        <v>2290</v>
      </c>
      <c r="D34" s="346" t="s">
        <v>1874</v>
      </c>
      <c r="E34" s="15" t="s">
        <v>1977</v>
      </c>
      <c r="F34" s="347" t="str">
        <f>'Reference Score Calculation'!F403</f>
        <v>/</v>
      </c>
      <c r="G34" s="347">
        <f>'Reference Score Calculation'!G403</f>
        <v>17</v>
      </c>
      <c r="H34" s="347">
        <f>'Reference Score Calculation'!H403</f>
        <v>15</v>
      </c>
      <c r="I34" s="368">
        <f>計分版!H424</f>
        <v>1.9500000000000001E-9</v>
      </c>
      <c r="J34" s="25">
        <f t="shared" si="8"/>
        <v>-16.999999998050001</v>
      </c>
      <c r="K34" s="26">
        <f t="shared" si="9"/>
        <v>-8717948716.9487171</v>
      </c>
      <c r="L34" s="530">
        <f>入學要求!C412</f>
        <v>30</v>
      </c>
      <c r="M34" s="103">
        <f>入學要求!R412</f>
        <v>0</v>
      </c>
      <c r="N34" s="15" t="s">
        <v>1978</v>
      </c>
      <c r="O34" s="531"/>
      <c r="P34" s="15">
        <v>3</v>
      </c>
      <c r="Q34" s="15">
        <v>3</v>
      </c>
      <c r="R34" s="15">
        <v>2</v>
      </c>
      <c r="S34" s="15">
        <v>2</v>
      </c>
      <c r="T34" s="15">
        <v>2</v>
      </c>
      <c r="U34" s="576"/>
      <c r="V34" s="537" cm="1">
        <f t="array" ref="V34">IFERROR(INDEX('Offer Statistics'!FU$2:FU$183,MATCH(1,($A34='Offer Statistics'!$FF$2:$FF$183)*($U$2='Offer Statistics'!$FG$2:$FG$183),0)),"/")</f>
        <v>27</v>
      </c>
      <c r="W34" s="375" cm="1">
        <f t="array" ref="W34">IFERROR(INDEX('Offer Statistics'!FP$2:FP$183,MATCH(1,($A34='Offer Statistics'!$FF$2:$FF$183)*($U$2='Offer Statistics'!$FG$2:$FG$183),0)),"/")</f>
        <v>13</v>
      </c>
      <c r="X34" s="375" cm="1">
        <f t="array" ref="X34">IFERROR(INDEX('Offer Statistics'!FQ$2:FQ$183,MATCH(1,($A34='Offer Statistics'!$FF$2:$FF$183)*($U$2='Offer Statistics'!$FG$2:$FG$183),0)),"/")</f>
        <v>6</v>
      </c>
      <c r="Y34" s="375" cm="1">
        <f t="array" ref="Y34">IFERROR(INDEX('Offer Statistics'!FR$2:FR$183,MATCH(1,($A34='Offer Statistics'!$FF$2:$FF$183)*($U$2='Offer Statistics'!$FG$2:$FG$183),0)),"/")</f>
        <v>1</v>
      </c>
      <c r="Z34" s="375" cm="1">
        <f t="array" ref="Z34">IFERROR(INDEX('Offer Statistics'!FS$2:FS$183,MATCH(1,($A34='Offer Statistics'!$FF$2:$FF$183)*($U$2='Offer Statistics'!$FG$2:$FG$183),0)),"/")</f>
        <v>4</v>
      </c>
      <c r="AA34" s="375" cm="1">
        <f t="array" ref="AA34">IFERROR(INDEX('Offer Statistics'!FT$2:FT$183,MATCH(1,($A34='Offer Statistics'!$FF$2:$FF$183)*($U$2='Offer Statistics'!$FG$2:$FG$183),0)),"/")</f>
        <v>3</v>
      </c>
      <c r="AB34" s="601"/>
      <c r="AC34" s="537" cm="1">
        <f t="array" ref="AC34">IFERROR(INDEX('Offer Statistics'!FM$2:FM$183,MATCH(1,($A34='Offer Statistics'!$FF$2:$FF$183)*($U$2='Offer Statistics'!$FG$2:$FG$183),0)),"/")</f>
        <v>1480</v>
      </c>
      <c r="AD34" s="375" cm="1">
        <f t="array" ref="AD34">IFERROR(INDEX('Offer Statistics'!FH$2:FH$183,MATCH(1,($A34='Offer Statistics'!$FF$2:$FF$183)*($U$2='Offer Statistics'!$FG$2:$FG$183),0)),"/")</f>
        <v>107</v>
      </c>
      <c r="AE34" s="375" cm="1">
        <f t="array" ref="AE34">IFERROR(INDEX('Offer Statistics'!FI$2:FI$183,MATCH(1,($A34='Offer Statistics'!$FF$2:$FF$183)*($U$2='Offer Statistics'!$FG$2:$FG$183),0)),"/")</f>
        <v>212</v>
      </c>
      <c r="AF34" s="375" cm="1">
        <f t="array" ref="AF34">IFERROR(INDEX('Offer Statistics'!FJ$2:FJ$183,MATCH(1,($A34='Offer Statistics'!$FF$2:$FF$183)*($U$2='Offer Statistics'!$FG$2:$FG$183),0)),"/")</f>
        <v>301</v>
      </c>
      <c r="AG34" s="375" cm="1">
        <f t="array" ref="AG34">IFERROR(INDEX('Offer Statistics'!FK$2:FK$183,MATCH(1,($A34='Offer Statistics'!$FF$2:$FF$183)*($U$2='Offer Statistics'!$FG$2:$FG$183),0)),"/")</f>
        <v>362</v>
      </c>
      <c r="AH34" s="375" cm="1">
        <f t="array" ref="AH34">IFERROR(INDEX('Offer Statistics'!FL$2:FL$183,MATCH(1,($A34='Offer Statistics'!$FF$2:$FF$183)*($U$2='Offer Statistics'!$FG$2:$FG$183),0)),"/")</f>
        <v>498</v>
      </c>
      <c r="AI34" s="4"/>
      <c r="AJ34" s="538" t="str">
        <f t="shared" si="0"/>
        <v>JSSU96</v>
      </c>
    </row>
    <row r="35" spans="1:36" ht="18" customHeight="1" x14ac:dyDescent="0.3">
      <c r="A35" s="346" t="str">
        <f>'Reference Score Calculation'!A404</f>
        <v>JSSU97</v>
      </c>
      <c r="B35" s="4" t="s">
        <v>2651</v>
      </c>
      <c r="C35" s="4" t="s">
        <v>2291</v>
      </c>
      <c r="D35" s="346" t="s">
        <v>1880</v>
      </c>
      <c r="E35" s="15" t="s">
        <v>1977</v>
      </c>
      <c r="F35" s="347" t="str">
        <f>'Reference Score Calculation'!F404</f>
        <v>/</v>
      </c>
      <c r="G35" s="347">
        <f>'Reference Score Calculation'!G404</f>
        <v>15</v>
      </c>
      <c r="H35" s="347">
        <f>'Reference Score Calculation'!H404</f>
        <v>15</v>
      </c>
      <c r="I35" s="368">
        <f>計分版!H425</f>
        <v>1.9500000000000001E-9</v>
      </c>
      <c r="J35" s="25">
        <f t="shared" si="8"/>
        <v>-14.999999998050001</v>
      </c>
      <c r="K35" s="26">
        <f t="shared" si="9"/>
        <v>-7692307691.3076925</v>
      </c>
      <c r="L35" s="530">
        <f>入學要求!C413</f>
        <v>40</v>
      </c>
      <c r="M35" s="103">
        <f>入學要求!R413</f>
        <v>0</v>
      </c>
      <c r="N35" s="15" t="s">
        <v>1978</v>
      </c>
      <c r="O35" s="531"/>
      <c r="P35" s="15">
        <v>3</v>
      </c>
      <c r="Q35" s="15">
        <v>3</v>
      </c>
      <c r="R35" s="15">
        <v>2</v>
      </c>
      <c r="S35" s="15">
        <v>2</v>
      </c>
      <c r="T35" s="15">
        <v>2</v>
      </c>
      <c r="U35" s="576"/>
      <c r="V35" s="537" cm="1">
        <f t="array" ref="V35">IFERROR(INDEX('Offer Statistics'!FU$2:FU$183,MATCH(1,($A35='Offer Statistics'!$FF$2:$FF$183)*($U$2='Offer Statistics'!$FG$2:$FG$183),0)),"/")</f>
        <v>43</v>
      </c>
      <c r="W35" s="375" cm="1">
        <f t="array" ref="W35">IFERROR(INDEX('Offer Statistics'!FP$2:FP$183,MATCH(1,($A35='Offer Statistics'!$FF$2:$FF$183)*($U$2='Offer Statistics'!$FG$2:$FG$183),0)),"/")</f>
        <v>21</v>
      </c>
      <c r="X35" s="375" cm="1">
        <f t="array" ref="X35">IFERROR(INDEX('Offer Statistics'!FQ$2:FQ$183,MATCH(1,($A35='Offer Statistics'!$FF$2:$FF$183)*($U$2='Offer Statistics'!$FG$2:$FG$183),0)),"/")</f>
        <v>12</v>
      </c>
      <c r="Y35" s="375" cm="1">
        <f t="array" ref="Y35">IFERROR(INDEX('Offer Statistics'!FR$2:FR$183,MATCH(1,($A35='Offer Statistics'!$FF$2:$FF$183)*($U$2='Offer Statistics'!$FG$2:$FG$183),0)),"/")</f>
        <v>3</v>
      </c>
      <c r="Z35" s="375" cm="1">
        <f t="array" ref="Z35">IFERROR(INDEX('Offer Statistics'!FS$2:FS$183,MATCH(1,($A35='Offer Statistics'!$FF$2:$FF$183)*($U$2='Offer Statistics'!$FG$2:$FG$183),0)),"/")</f>
        <v>2</v>
      </c>
      <c r="AA35" s="375" cm="1">
        <f t="array" ref="AA35">IFERROR(INDEX('Offer Statistics'!FT$2:FT$183,MATCH(1,($A35='Offer Statistics'!$FF$2:$FF$183)*($U$2='Offer Statistics'!$FG$2:$FG$183),0)),"/")</f>
        <v>5</v>
      </c>
      <c r="AB35" s="601"/>
      <c r="AC35" s="537" cm="1">
        <f t="array" ref="AC35">IFERROR(INDEX('Offer Statistics'!FM$2:FM$183,MATCH(1,($A35='Offer Statistics'!$FF$2:$FF$183)*($U$2='Offer Statistics'!$FG$2:$FG$183),0)),"/")</f>
        <v>2099</v>
      </c>
      <c r="AD35" s="375" cm="1">
        <f t="array" ref="AD35">IFERROR(INDEX('Offer Statistics'!FH$2:FH$183,MATCH(1,($A35='Offer Statistics'!$FF$2:$FF$183)*($U$2='Offer Statistics'!$FG$2:$FG$183),0)),"/")</f>
        <v>214</v>
      </c>
      <c r="AE35" s="375" cm="1">
        <f t="array" ref="AE35">IFERROR(INDEX('Offer Statistics'!FI$2:FI$183,MATCH(1,($A35='Offer Statistics'!$FF$2:$FF$183)*($U$2='Offer Statistics'!$FG$2:$FG$183),0)),"/")</f>
        <v>372</v>
      </c>
      <c r="AF35" s="375" cm="1">
        <f t="array" ref="AF35">IFERROR(INDEX('Offer Statistics'!FJ$2:FJ$183,MATCH(1,($A35='Offer Statistics'!$FF$2:$FF$183)*($U$2='Offer Statistics'!$FG$2:$FG$183),0)),"/")</f>
        <v>384</v>
      </c>
      <c r="AG35" s="375" cm="1">
        <f t="array" ref="AG35">IFERROR(INDEX('Offer Statistics'!FK$2:FK$183,MATCH(1,($A35='Offer Statistics'!$FF$2:$FF$183)*($U$2='Offer Statistics'!$FG$2:$FG$183),0)),"/")</f>
        <v>464</v>
      </c>
      <c r="AH35" s="375" cm="1">
        <f t="array" ref="AH35">IFERROR(INDEX('Offer Statistics'!FL$2:FL$183,MATCH(1,($A35='Offer Statistics'!$FF$2:$FF$183)*($U$2='Offer Statistics'!$FG$2:$FG$183),0)),"/")</f>
        <v>665</v>
      </c>
      <c r="AI35" s="4"/>
      <c r="AJ35" s="538" t="str">
        <f t="shared" si="0"/>
        <v>JSSU97</v>
      </c>
    </row>
    <row r="36" spans="1:36" ht="18" customHeight="1" x14ac:dyDescent="0.3">
      <c r="A36" s="346" t="str">
        <f>'Reference Score Calculation'!A405</f>
        <v>JSSV01</v>
      </c>
      <c r="B36" s="4" t="s">
        <v>2652</v>
      </c>
      <c r="C36" s="4" t="s">
        <v>2292</v>
      </c>
      <c r="D36" s="346" t="s">
        <v>1886</v>
      </c>
      <c r="E36" s="15" t="s">
        <v>1977</v>
      </c>
      <c r="F36" s="347" t="str">
        <f>'Reference Score Calculation'!F405</f>
        <v>/</v>
      </c>
      <c r="G36" s="533">
        <f>'Reference Score Calculation'!G405</f>
        <v>16</v>
      </c>
      <c r="H36" s="347" t="str">
        <f>'Reference Score Calculation'!H405</f>
        <v>/</v>
      </c>
      <c r="I36" s="368">
        <f>計分版!H426</f>
        <v>1.9000000000000001E-9</v>
      </c>
      <c r="J36" s="25">
        <f t="shared" ref="J36:J41" si="14">I36-G36</f>
        <v>-15.9999999981</v>
      </c>
      <c r="K36" s="26">
        <f t="shared" ref="K36:K41" si="15">(I36-G36)/I36</f>
        <v>-8421052630.5789471</v>
      </c>
      <c r="L36" s="530">
        <f>入學要求!C414</f>
        <v>40</v>
      </c>
      <c r="M36" s="103">
        <f>入學要求!R414</f>
        <v>0</v>
      </c>
      <c r="N36" s="15" t="s">
        <v>2653</v>
      </c>
      <c r="O36" s="531"/>
      <c r="P36" s="15">
        <v>3</v>
      </c>
      <c r="Q36" s="15">
        <v>3</v>
      </c>
      <c r="R36" s="15">
        <v>2</v>
      </c>
      <c r="S36" s="15">
        <v>2</v>
      </c>
      <c r="T36" s="15">
        <v>2</v>
      </c>
      <c r="U36" s="576"/>
      <c r="V36" s="537" cm="1">
        <f t="array" ref="V36">IFERROR(INDEX('Offer Statistics'!FU$2:FU$183,MATCH(1,($A36='Offer Statistics'!$FF$2:$FF$183)*($U$2='Offer Statistics'!$FG$2:$FG$183),0)),"/")</f>
        <v>45</v>
      </c>
      <c r="W36" s="375" cm="1">
        <f t="array" ref="W36">IFERROR(INDEX('Offer Statistics'!FP$2:FP$183,MATCH(1,($A36='Offer Statistics'!$FF$2:$FF$183)*($U$2='Offer Statistics'!$FG$2:$FG$183),0)),"/")</f>
        <v>28</v>
      </c>
      <c r="X36" s="375" cm="1">
        <f t="array" ref="X36">IFERROR(INDEX('Offer Statistics'!FQ$2:FQ$183,MATCH(1,($A36='Offer Statistics'!$FF$2:$FF$183)*($U$2='Offer Statistics'!$FG$2:$FG$183),0)),"/")</f>
        <v>7</v>
      </c>
      <c r="Y36" s="375" cm="1">
        <f t="array" ref="Y36">IFERROR(INDEX('Offer Statistics'!FR$2:FR$183,MATCH(1,($A36='Offer Statistics'!$FF$2:$FF$183)*($U$2='Offer Statistics'!$FG$2:$FG$183),0)),"/")</f>
        <v>3</v>
      </c>
      <c r="Z36" s="375" cm="1">
        <f t="array" ref="Z36">IFERROR(INDEX('Offer Statistics'!FS$2:FS$183,MATCH(1,($A36='Offer Statistics'!$FF$2:$FF$183)*($U$2='Offer Statistics'!$FG$2:$FG$183),0)),"/")</f>
        <v>4</v>
      </c>
      <c r="AA36" s="375" cm="1">
        <f t="array" ref="AA36">IFERROR(INDEX('Offer Statistics'!FT$2:FT$183,MATCH(1,($A36='Offer Statistics'!$FF$2:$FF$183)*($U$2='Offer Statistics'!$FG$2:$FG$183),0)),"/")</f>
        <v>3</v>
      </c>
      <c r="AB36" s="601"/>
      <c r="AC36" s="537" cm="1">
        <f t="array" ref="AC36">IFERROR(INDEX('Offer Statistics'!FM$2:FM$183,MATCH(1,($A36='Offer Statistics'!$FF$2:$FF$183)*($U$2='Offer Statistics'!$FG$2:$FG$183),0)),"/")</f>
        <v>1738</v>
      </c>
      <c r="AD36" s="375" cm="1">
        <f t="array" ref="AD36">IFERROR(INDEX('Offer Statistics'!FH$2:FH$183,MATCH(1,($A36='Offer Statistics'!$FF$2:$FF$183)*($U$2='Offer Statistics'!$FG$2:$FG$183),0)),"/")</f>
        <v>279</v>
      </c>
      <c r="AE36" s="375" cm="1">
        <f t="array" ref="AE36">IFERROR(INDEX('Offer Statistics'!FI$2:FI$183,MATCH(1,($A36='Offer Statistics'!$FF$2:$FF$183)*($U$2='Offer Statistics'!$FG$2:$FG$183),0)),"/")</f>
        <v>281</v>
      </c>
      <c r="AF36" s="375" cm="1">
        <f t="array" ref="AF36">IFERROR(INDEX('Offer Statistics'!FJ$2:FJ$183,MATCH(1,($A36='Offer Statistics'!$FF$2:$FF$183)*($U$2='Offer Statistics'!$FG$2:$FG$183),0)),"/")</f>
        <v>340</v>
      </c>
      <c r="AG36" s="375" cm="1">
        <f t="array" ref="AG36">IFERROR(INDEX('Offer Statistics'!FK$2:FK$183,MATCH(1,($A36='Offer Statistics'!$FF$2:$FF$183)*($U$2='Offer Statistics'!$FG$2:$FG$183),0)),"/")</f>
        <v>393</v>
      </c>
      <c r="AH36" s="375" cm="1">
        <f t="array" ref="AH36">IFERROR(INDEX('Offer Statistics'!FL$2:FL$183,MATCH(1,($A36='Offer Statistics'!$FF$2:$FF$183)*($U$2='Offer Statistics'!$FG$2:$FG$183),0)),"/")</f>
        <v>445</v>
      </c>
      <c r="AI36" s="4"/>
      <c r="AJ36" s="538" t="str">
        <f t="shared" si="0"/>
        <v>JSSV01</v>
      </c>
    </row>
    <row r="37" spans="1:36" ht="18" customHeight="1" x14ac:dyDescent="0.3">
      <c r="A37" s="346" t="str">
        <f>'Reference Score Calculation'!A406</f>
        <v>JSSV02</v>
      </c>
      <c r="B37" s="4" t="s">
        <v>2652</v>
      </c>
      <c r="C37" s="4" t="s">
        <v>2293</v>
      </c>
      <c r="D37" s="346" t="s">
        <v>1891</v>
      </c>
      <c r="E37" s="15" t="s">
        <v>2259</v>
      </c>
      <c r="F37" s="347" t="str">
        <f>'Reference Score Calculation'!F406</f>
        <v>/</v>
      </c>
      <c r="G37" s="533">
        <f>'Reference Score Calculation'!G406</f>
        <v>16</v>
      </c>
      <c r="H37" s="347" t="str">
        <f>'Reference Score Calculation'!H406</f>
        <v>/</v>
      </c>
      <c r="I37" s="368">
        <f>計分版!H427</f>
        <v>1.9000000000000001E-9</v>
      </c>
      <c r="J37" s="25">
        <f t="shared" si="14"/>
        <v>-15.9999999981</v>
      </c>
      <c r="K37" s="26">
        <f t="shared" si="15"/>
        <v>-8421052630.5789471</v>
      </c>
      <c r="L37" s="530">
        <f>入學要求!C415</f>
        <v>25</v>
      </c>
      <c r="M37" s="103">
        <f>入學要求!R415</f>
        <v>0</v>
      </c>
      <c r="N37" s="15" t="s">
        <v>2653</v>
      </c>
      <c r="O37" s="531"/>
      <c r="P37" s="15">
        <v>3</v>
      </c>
      <c r="Q37" s="15">
        <v>3</v>
      </c>
      <c r="R37" s="15">
        <v>2</v>
      </c>
      <c r="S37" s="15">
        <v>2</v>
      </c>
      <c r="T37" s="15">
        <v>2</v>
      </c>
      <c r="U37" s="576"/>
      <c r="V37" s="537" cm="1">
        <f t="array" ref="V37">IFERROR(INDEX('Offer Statistics'!FU$2:FU$183,MATCH(1,($A37='Offer Statistics'!$FF$2:$FF$183)*($U$2='Offer Statistics'!$FG$2:$FG$183),0)),"/")</f>
        <v>32</v>
      </c>
      <c r="W37" s="375" cm="1">
        <f t="array" ref="W37">IFERROR(INDEX('Offer Statistics'!FP$2:FP$183,MATCH(1,($A37='Offer Statistics'!$FF$2:$FF$183)*($U$2='Offer Statistics'!$FG$2:$FG$183),0)),"/")</f>
        <v>17</v>
      </c>
      <c r="X37" s="375" cm="1">
        <f t="array" ref="X37">IFERROR(INDEX('Offer Statistics'!FQ$2:FQ$183,MATCH(1,($A37='Offer Statistics'!$FF$2:$FF$183)*($U$2='Offer Statistics'!$FG$2:$FG$183),0)),"/")</f>
        <v>4</v>
      </c>
      <c r="Y37" s="375" cm="1">
        <f t="array" ref="Y37">IFERROR(INDEX('Offer Statistics'!FR$2:FR$183,MATCH(1,($A37='Offer Statistics'!$FF$2:$FF$183)*($U$2='Offer Statistics'!$FG$2:$FG$183),0)),"/")</f>
        <v>2</v>
      </c>
      <c r="Z37" s="375" cm="1">
        <f t="array" ref="Z37">IFERROR(INDEX('Offer Statistics'!FS$2:FS$183,MATCH(1,($A37='Offer Statistics'!$FF$2:$FF$183)*($U$2='Offer Statistics'!$FG$2:$FG$183),0)),"/")</f>
        <v>3</v>
      </c>
      <c r="AA37" s="375" cm="1">
        <f t="array" ref="AA37">IFERROR(INDEX('Offer Statistics'!FT$2:FT$183,MATCH(1,($A37='Offer Statistics'!$FF$2:$FF$183)*($U$2='Offer Statistics'!$FG$2:$FG$183),0)),"/")</f>
        <v>6</v>
      </c>
      <c r="AB37" s="601"/>
      <c r="AC37" s="537" cm="1">
        <f t="array" ref="AC37">IFERROR(INDEX('Offer Statistics'!FM$2:FM$183,MATCH(1,($A37='Offer Statistics'!$FF$2:$FF$183)*($U$2='Offer Statistics'!$FG$2:$FG$183),0)),"/")</f>
        <v>1879</v>
      </c>
      <c r="AD37" s="375" cm="1">
        <f t="array" ref="AD37">IFERROR(INDEX('Offer Statistics'!FH$2:FH$183,MATCH(1,($A37='Offer Statistics'!$FF$2:$FF$183)*($U$2='Offer Statistics'!$FG$2:$FG$183),0)),"/")</f>
        <v>221</v>
      </c>
      <c r="AE37" s="375" cm="1">
        <f t="array" ref="AE37">IFERROR(INDEX('Offer Statistics'!FI$2:FI$183,MATCH(1,($A37='Offer Statistics'!$FF$2:$FF$183)*($U$2='Offer Statistics'!$FG$2:$FG$183),0)),"/")</f>
        <v>316</v>
      </c>
      <c r="AF37" s="375" cm="1">
        <f t="array" ref="AF37">IFERROR(INDEX('Offer Statistics'!FJ$2:FJ$183,MATCH(1,($A37='Offer Statistics'!$FF$2:$FF$183)*($U$2='Offer Statistics'!$FG$2:$FG$183),0)),"/")</f>
        <v>380</v>
      </c>
      <c r="AG37" s="375" cm="1">
        <f t="array" ref="AG37">IFERROR(INDEX('Offer Statistics'!FK$2:FK$183,MATCH(1,($A37='Offer Statistics'!$FF$2:$FF$183)*($U$2='Offer Statistics'!$FG$2:$FG$183),0)),"/")</f>
        <v>428</v>
      </c>
      <c r="AH37" s="375" cm="1">
        <f t="array" ref="AH37">IFERROR(INDEX('Offer Statistics'!FL$2:FL$183,MATCH(1,($A37='Offer Statistics'!$FF$2:$FF$183)*($U$2='Offer Statistics'!$FG$2:$FG$183),0)),"/")</f>
        <v>534</v>
      </c>
      <c r="AI37" s="4"/>
      <c r="AJ37" s="538" t="str">
        <f t="shared" si="0"/>
        <v>JSSV02</v>
      </c>
    </row>
    <row r="38" spans="1:36" ht="18" customHeight="1" x14ac:dyDescent="0.3">
      <c r="A38" s="346" t="str">
        <f>'Reference Score Calculation'!A407</f>
        <v>JSSV03</v>
      </c>
      <c r="B38" s="4" t="s">
        <v>2652</v>
      </c>
      <c r="C38" s="4" t="s">
        <v>2294</v>
      </c>
      <c r="D38" s="346" t="s">
        <v>1896</v>
      </c>
      <c r="E38" s="15" t="s">
        <v>2259</v>
      </c>
      <c r="F38" s="347" t="str">
        <f>'Reference Score Calculation'!F407</f>
        <v>/</v>
      </c>
      <c r="G38" s="533">
        <f>'Reference Score Calculation'!G407</f>
        <v>17</v>
      </c>
      <c r="H38" s="347" t="str">
        <f>'Reference Score Calculation'!H407</f>
        <v>/</v>
      </c>
      <c r="I38" s="368">
        <f>計分版!H428</f>
        <v>1.9000000000000001E-9</v>
      </c>
      <c r="J38" s="25">
        <f t="shared" si="14"/>
        <v>-16.999999998100002</v>
      </c>
      <c r="K38" s="26">
        <f t="shared" si="15"/>
        <v>-8947368420.0526314</v>
      </c>
      <c r="L38" s="530">
        <f>入學要求!C416</f>
        <v>25</v>
      </c>
      <c r="M38" s="103">
        <f>入學要求!R416</f>
        <v>0</v>
      </c>
      <c r="N38" s="15" t="s">
        <v>2653</v>
      </c>
      <c r="O38" s="531"/>
      <c r="P38" s="15">
        <v>3</v>
      </c>
      <c r="Q38" s="15">
        <v>3</v>
      </c>
      <c r="R38" s="15">
        <v>2</v>
      </c>
      <c r="S38" s="15">
        <v>2</v>
      </c>
      <c r="T38" s="15">
        <v>2</v>
      </c>
      <c r="U38" s="576"/>
      <c r="V38" s="537" cm="1">
        <f t="array" ref="V38">IFERROR(INDEX('Offer Statistics'!FU$2:FU$183,MATCH(1,($A38='Offer Statistics'!$FF$2:$FF$183)*($U$2='Offer Statistics'!$FG$2:$FG$183),0)),"/")</f>
        <v>10</v>
      </c>
      <c r="W38" s="375" cm="1">
        <f t="array" ref="W38">IFERROR(INDEX('Offer Statistics'!FP$2:FP$183,MATCH(1,($A38='Offer Statistics'!$FF$2:$FF$183)*($U$2='Offer Statistics'!$FG$2:$FG$183),0)),"/")</f>
        <v>6</v>
      </c>
      <c r="X38" s="375" cm="1">
        <f t="array" ref="X38">IFERROR(INDEX('Offer Statistics'!FQ$2:FQ$183,MATCH(1,($A38='Offer Statistics'!$FF$2:$FF$183)*($U$2='Offer Statistics'!$FG$2:$FG$183),0)),"/")</f>
        <v>2</v>
      </c>
      <c r="Y38" s="375" cm="1">
        <f t="array" ref="Y38">IFERROR(INDEX('Offer Statistics'!FR$2:FR$183,MATCH(1,($A38='Offer Statistics'!$FF$2:$FF$183)*($U$2='Offer Statistics'!$FG$2:$FG$183),0)),"/")</f>
        <v>0</v>
      </c>
      <c r="Z38" s="375" cm="1">
        <f t="array" ref="Z38">IFERROR(INDEX('Offer Statistics'!FS$2:FS$183,MATCH(1,($A38='Offer Statistics'!$FF$2:$FF$183)*($U$2='Offer Statistics'!$FG$2:$FG$183),0)),"/")</f>
        <v>1</v>
      </c>
      <c r="AA38" s="375" cm="1">
        <f t="array" ref="AA38">IFERROR(INDEX('Offer Statistics'!FT$2:FT$183,MATCH(1,($A38='Offer Statistics'!$FF$2:$FF$183)*($U$2='Offer Statistics'!$FG$2:$FG$183),0)),"/")</f>
        <v>1</v>
      </c>
      <c r="AB38" s="601"/>
      <c r="AC38" s="537" cm="1">
        <f t="array" ref="AC38">IFERROR(INDEX('Offer Statistics'!FM$2:FM$183,MATCH(1,($A38='Offer Statistics'!$FF$2:$FF$183)*($U$2='Offer Statistics'!$FG$2:$FG$183),0)),"/")</f>
        <v>802</v>
      </c>
      <c r="AD38" s="375" cm="1">
        <f t="array" ref="AD38">IFERROR(INDEX('Offer Statistics'!FH$2:FH$183,MATCH(1,($A38='Offer Statistics'!$FF$2:$FF$183)*($U$2='Offer Statistics'!$FG$2:$FG$183),0)),"/")</f>
        <v>67</v>
      </c>
      <c r="AE38" s="375" cm="1">
        <f t="array" ref="AE38">IFERROR(INDEX('Offer Statistics'!FI$2:FI$183,MATCH(1,($A38='Offer Statistics'!$FF$2:$FF$183)*($U$2='Offer Statistics'!$FG$2:$FG$183),0)),"/")</f>
        <v>115</v>
      </c>
      <c r="AF38" s="375" cm="1">
        <f t="array" ref="AF38">IFERROR(INDEX('Offer Statistics'!FJ$2:FJ$183,MATCH(1,($A38='Offer Statistics'!$FF$2:$FF$183)*($U$2='Offer Statistics'!$FG$2:$FG$183),0)),"/")</f>
        <v>153</v>
      </c>
      <c r="AG38" s="375" cm="1">
        <f t="array" ref="AG38">IFERROR(INDEX('Offer Statistics'!FK$2:FK$183,MATCH(1,($A38='Offer Statistics'!$FF$2:$FF$183)*($U$2='Offer Statistics'!$FG$2:$FG$183),0)),"/")</f>
        <v>217</v>
      </c>
      <c r="AH38" s="375" cm="1">
        <f t="array" ref="AH38">IFERROR(INDEX('Offer Statistics'!FL$2:FL$183,MATCH(1,($A38='Offer Statistics'!$FF$2:$FF$183)*($U$2='Offer Statistics'!$FG$2:$FG$183),0)),"/")</f>
        <v>250</v>
      </c>
      <c r="AI38" s="4"/>
      <c r="AJ38" s="538" t="str">
        <f t="shared" si="0"/>
        <v>JSSV03</v>
      </c>
    </row>
    <row r="39" spans="1:36" ht="18" customHeight="1" x14ac:dyDescent="0.3">
      <c r="A39" s="346" t="str">
        <f>'Reference Score Calculation'!A408</f>
        <v>JSSV04</v>
      </c>
      <c r="B39" s="4" t="s">
        <v>2652</v>
      </c>
      <c r="C39" s="4" t="s">
        <v>2295</v>
      </c>
      <c r="D39" s="346" t="s">
        <v>1901</v>
      </c>
      <c r="E39" s="15" t="s">
        <v>2259</v>
      </c>
      <c r="F39" s="347" t="str">
        <f>'Reference Score Calculation'!F408</f>
        <v>/</v>
      </c>
      <c r="G39" s="533">
        <f>'Reference Score Calculation'!G408</f>
        <v>17</v>
      </c>
      <c r="H39" s="347" t="str">
        <f>'Reference Score Calculation'!H408</f>
        <v>/</v>
      </c>
      <c r="I39" s="368">
        <f>計分版!H429</f>
        <v>1.9000000000000001E-9</v>
      </c>
      <c r="J39" s="25">
        <f t="shared" si="14"/>
        <v>-16.999999998100002</v>
      </c>
      <c r="K39" s="26">
        <f t="shared" si="15"/>
        <v>-8947368420.0526314</v>
      </c>
      <c r="L39" s="530">
        <f>入學要求!C417</f>
        <v>25</v>
      </c>
      <c r="M39" s="103">
        <f>入學要求!R417</f>
        <v>0</v>
      </c>
      <c r="N39" s="15" t="s">
        <v>2653</v>
      </c>
      <c r="O39" s="531"/>
      <c r="P39" s="15">
        <v>3</v>
      </c>
      <c r="Q39" s="15">
        <v>3</v>
      </c>
      <c r="R39" s="15">
        <v>2</v>
      </c>
      <c r="S39" s="15">
        <v>2</v>
      </c>
      <c r="T39" s="15">
        <v>2</v>
      </c>
      <c r="U39" s="576"/>
      <c r="V39" s="537" cm="1">
        <f t="array" ref="V39">IFERROR(INDEX('Offer Statistics'!FU$2:FU$183,MATCH(1,($A39='Offer Statistics'!$FF$2:$FF$183)*($U$2='Offer Statistics'!$FG$2:$FG$183),0)),"/")</f>
        <v>29</v>
      </c>
      <c r="W39" s="375" cm="1">
        <f t="array" ref="W39">IFERROR(INDEX('Offer Statistics'!FP$2:FP$183,MATCH(1,($A39='Offer Statistics'!$FF$2:$FF$183)*($U$2='Offer Statistics'!$FG$2:$FG$183),0)),"/")</f>
        <v>19</v>
      </c>
      <c r="X39" s="375" cm="1">
        <f t="array" ref="X39">IFERROR(INDEX('Offer Statistics'!FQ$2:FQ$183,MATCH(1,($A39='Offer Statistics'!$FF$2:$FF$183)*($U$2='Offer Statistics'!$FG$2:$FG$183),0)),"/")</f>
        <v>4</v>
      </c>
      <c r="Y39" s="375" cm="1">
        <f t="array" ref="Y39">IFERROR(INDEX('Offer Statistics'!FR$2:FR$183,MATCH(1,($A39='Offer Statistics'!$FF$2:$FF$183)*($U$2='Offer Statistics'!$FG$2:$FG$183),0)),"/")</f>
        <v>1</v>
      </c>
      <c r="Z39" s="375" cm="1">
        <f t="array" ref="Z39">IFERROR(INDEX('Offer Statistics'!FS$2:FS$183,MATCH(1,($A39='Offer Statistics'!$FF$2:$FF$183)*($U$2='Offer Statistics'!$FG$2:$FG$183),0)),"/")</f>
        <v>2</v>
      </c>
      <c r="AA39" s="375" cm="1">
        <f t="array" ref="AA39">IFERROR(INDEX('Offer Statistics'!FT$2:FT$183,MATCH(1,($A39='Offer Statistics'!$FF$2:$FF$183)*($U$2='Offer Statistics'!$FG$2:$FG$183),0)),"/")</f>
        <v>3</v>
      </c>
      <c r="AB39" s="601"/>
      <c r="AC39" s="537" cm="1">
        <f t="array" ref="AC39">IFERROR(INDEX('Offer Statistics'!FM$2:FM$183,MATCH(1,($A39='Offer Statistics'!$FF$2:$FF$183)*($U$2='Offer Statistics'!$FG$2:$FG$183),0)),"/")</f>
        <v>1791</v>
      </c>
      <c r="AD39" s="375" cm="1">
        <f t="array" ref="AD39">IFERROR(INDEX('Offer Statistics'!FH$2:FH$183,MATCH(1,($A39='Offer Statistics'!$FF$2:$FF$183)*($U$2='Offer Statistics'!$FG$2:$FG$183),0)),"/")</f>
        <v>305</v>
      </c>
      <c r="AE39" s="375" cm="1">
        <f t="array" ref="AE39">IFERROR(INDEX('Offer Statistics'!FI$2:FI$183,MATCH(1,($A39='Offer Statistics'!$FF$2:$FF$183)*($U$2='Offer Statistics'!$FG$2:$FG$183),0)),"/")</f>
        <v>267</v>
      </c>
      <c r="AF39" s="375" cm="1">
        <f t="array" ref="AF39">IFERROR(INDEX('Offer Statistics'!FJ$2:FJ$183,MATCH(1,($A39='Offer Statistics'!$FF$2:$FF$183)*($U$2='Offer Statistics'!$FG$2:$FG$183),0)),"/")</f>
        <v>317</v>
      </c>
      <c r="AG39" s="375" cm="1">
        <f t="array" ref="AG39">IFERROR(INDEX('Offer Statistics'!FK$2:FK$183,MATCH(1,($A39='Offer Statistics'!$FF$2:$FF$183)*($U$2='Offer Statistics'!$FG$2:$FG$183),0)),"/")</f>
        <v>381</v>
      </c>
      <c r="AH39" s="375" cm="1">
        <f t="array" ref="AH39">IFERROR(INDEX('Offer Statistics'!FL$2:FL$183,MATCH(1,($A39='Offer Statistics'!$FF$2:$FF$183)*($U$2='Offer Statistics'!$FG$2:$FG$183),0)),"/")</f>
        <v>521</v>
      </c>
      <c r="AI39" s="4"/>
      <c r="AJ39" s="538" t="str">
        <f t="shared" si="0"/>
        <v>JSSV04</v>
      </c>
    </row>
    <row r="40" spans="1:36" ht="18" customHeight="1" x14ac:dyDescent="0.3">
      <c r="A40" s="346" t="str">
        <f>'Reference Score Calculation'!A409</f>
        <v>JSSV05</v>
      </c>
      <c r="B40" s="4" t="s">
        <v>2652</v>
      </c>
      <c r="C40" s="4" t="s">
        <v>2296</v>
      </c>
      <c r="D40" s="346" t="s">
        <v>1906</v>
      </c>
      <c r="E40" s="15" t="s">
        <v>2259</v>
      </c>
      <c r="F40" s="347" t="str">
        <f>'Reference Score Calculation'!F409</f>
        <v>/</v>
      </c>
      <c r="G40" s="533">
        <f>'Reference Score Calculation'!G409</f>
        <v>16</v>
      </c>
      <c r="H40" s="347" t="str">
        <f>'Reference Score Calculation'!H409</f>
        <v>/</v>
      </c>
      <c r="I40" s="368">
        <f>計分版!H430</f>
        <v>1.9000000000000001E-9</v>
      </c>
      <c r="J40" s="25">
        <f t="shared" si="14"/>
        <v>-15.9999999981</v>
      </c>
      <c r="K40" s="26">
        <f t="shared" si="15"/>
        <v>-8421052630.5789471</v>
      </c>
      <c r="L40" s="530">
        <f>入學要求!C418</f>
        <v>30</v>
      </c>
      <c r="M40" s="103">
        <f>入學要求!R418</f>
        <v>0</v>
      </c>
      <c r="N40" s="15" t="s">
        <v>2653</v>
      </c>
      <c r="O40" s="531"/>
      <c r="P40" s="15">
        <v>3</v>
      </c>
      <c r="Q40" s="15">
        <v>3</v>
      </c>
      <c r="R40" s="15">
        <v>2</v>
      </c>
      <c r="S40" s="15">
        <v>2</v>
      </c>
      <c r="T40" s="15">
        <v>2</v>
      </c>
      <c r="U40" s="576"/>
      <c r="V40" s="537" cm="1">
        <f t="array" ref="V40">IFERROR(INDEX('Offer Statistics'!FU$2:FU$183,MATCH(1,($A40='Offer Statistics'!$FF$2:$FF$183)*($U$2='Offer Statistics'!$FG$2:$FG$183),0)),"/")</f>
        <v>19</v>
      </c>
      <c r="W40" s="375" cm="1">
        <f t="array" ref="W40">IFERROR(INDEX('Offer Statistics'!FP$2:FP$183,MATCH(1,($A40='Offer Statistics'!$FF$2:$FF$183)*($U$2='Offer Statistics'!$FG$2:$FG$183),0)),"/")</f>
        <v>17</v>
      </c>
      <c r="X40" s="375" cm="1">
        <f t="array" ref="X40">IFERROR(INDEX('Offer Statistics'!FQ$2:FQ$183,MATCH(1,($A40='Offer Statistics'!$FF$2:$FF$183)*($U$2='Offer Statistics'!$FG$2:$FG$183),0)),"/")</f>
        <v>2</v>
      </c>
      <c r="Y40" s="375" cm="1">
        <f t="array" ref="Y40">IFERROR(INDEX('Offer Statistics'!FR$2:FR$183,MATCH(1,($A40='Offer Statistics'!$FF$2:$FF$183)*($U$2='Offer Statistics'!$FG$2:$FG$183),0)),"/")</f>
        <v>0</v>
      </c>
      <c r="Z40" s="375" cm="1">
        <f t="array" ref="Z40">IFERROR(INDEX('Offer Statistics'!FS$2:FS$183,MATCH(1,($A40='Offer Statistics'!$FF$2:$FF$183)*($U$2='Offer Statistics'!$FG$2:$FG$183),0)),"/")</f>
        <v>0</v>
      </c>
      <c r="AA40" s="375" cm="1">
        <f t="array" ref="AA40">IFERROR(INDEX('Offer Statistics'!FT$2:FT$183,MATCH(1,($A40='Offer Statistics'!$FF$2:$FF$183)*($U$2='Offer Statistics'!$FG$2:$FG$183),0)),"/")</f>
        <v>0</v>
      </c>
      <c r="AB40" s="601"/>
      <c r="AC40" s="537" cm="1">
        <f t="array" ref="AC40">IFERROR(INDEX('Offer Statistics'!FM$2:FM$183,MATCH(1,($A40='Offer Statistics'!$FF$2:$FF$183)*($U$2='Offer Statistics'!$FG$2:$FG$183),0)),"/")</f>
        <v>1053</v>
      </c>
      <c r="AD40" s="375" cm="1">
        <f t="array" ref="AD40">IFERROR(INDEX('Offer Statistics'!FH$2:FH$183,MATCH(1,($A40='Offer Statistics'!$FF$2:$FF$183)*($U$2='Offer Statistics'!$FG$2:$FG$183),0)),"/")</f>
        <v>86</v>
      </c>
      <c r="AE40" s="375" cm="1">
        <f t="array" ref="AE40">IFERROR(INDEX('Offer Statistics'!FI$2:FI$183,MATCH(1,($A40='Offer Statistics'!$FF$2:$FF$183)*($U$2='Offer Statistics'!$FG$2:$FG$183),0)),"/")</f>
        <v>141</v>
      </c>
      <c r="AF40" s="375" cm="1">
        <f t="array" ref="AF40">IFERROR(INDEX('Offer Statistics'!FJ$2:FJ$183,MATCH(1,($A40='Offer Statistics'!$FF$2:$FF$183)*($U$2='Offer Statistics'!$FG$2:$FG$183),0)),"/")</f>
        <v>179</v>
      </c>
      <c r="AG40" s="375" cm="1">
        <f t="array" ref="AG40">IFERROR(INDEX('Offer Statistics'!FK$2:FK$183,MATCH(1,($A40='Offer Statistics'!$FF$2:$FF$183)*($U$2='Offer Statistics'!$FG$2:$FG$183),0)),"/")</f>
        <v>253</v>
      </c>
      <c r="AH40" s="375" cm="1">
        <f t="array" ref="AH40">IFERROR(INDEX('Offer Statistics'!FL$2:FL$183,MATCH(1,($A40='Offer Statistics'!$FF$2:$FF$183)*($U$2='Offer Statistics'!$FG$2:$FG$183),0)),"/")</f>
        <v>394</v>
      </c>
      <c r="AI40" s="4"/>
      <c r="AJ40" s="538" t="str">
        <f t="shared" si="0"/>
        <v>JSSV05</v>
      </c>
    </row>
    <row r="41" spans="1:36" ht="18" customHeight="1" x14ac:dyDescent="0.3">
      <c r="A41" s="346" t="str">
        <f>'Reference Score Calculation'!A410</f>
        <v>JSSV07</v>
      </c>
      <c r="B41" s="4" t="s">
        <v>2652</v>
      </c>
      <c r="C41" s="4" t="s">
        <v>2297</v>
      </c>
      <c r="D41" s="346" t="s">
        <v>1911</v>
      </c>
      <c r="E41" s="15" t="s">
        <v>2259</v>
      </c>
      <c r="F41" s="347" t="str">
        <f>'Reference Score Calculation'!F410</f>
        <v>/</v>
      </c>
      <c r="G41" s="533">
        <f>'Reference Score Calculation'!G410</f>
        <v>17</v>
      </c>
      <c r="H41" s="347" t="str">
        <f>'Reference Score Calculation'!H410</f>
        <v>/</v>
      </c>
      <c r="I41" s="368">
        <f>計分版!H431</f>
        <v>1.9000000000000001E-9</v>
      </c>
      <c r="J41" s="25">
        <f t="shared" si="14"/>
        <v>-16.999999998100002</v>
      </c>
      <c r="K41" s="26">
        <f t="shared" si="15"/>
        <v>-8947368420.0526314</v>
      </c>
      <c r="L41" s="530">
        <f>入學要求!C419</f>
        <v>25</v>
      </c>
      <c r="M41" s="103">
        <f>入學要求!R419</f>
        <v>0</v>
      </c>
      <c r="N41" s="15" t="s">
        <v>2653</v>
      </c>
      <c r="O41" s="531"/>
      <c r="P41" s="15">
        <v>3</v>
      </c>
      <c r="Q41" s="15">
        <v>3</v>
      </c>
      <c r="R41" s="15">
        <v>2</v>
      </c>
      <c r="S41" s="15">
        <v>2</v>
      </c>
      <c r="T41" s="15">
        <v>2</v>
      </c>
      <c r="U41" s="576"/>
      <c r="V41" s="537" cm="1">
        <f t="array" ref="V41">IFERROR(INDEX('Offer Statistics'!FU$2:FU$183,MATCH(1,($A41='Offer Statistics'!$FF$2:$FF$183)*($U$2='Offer Statistics'!$FG$2:$FG$183),0)),"/")</f>
        <v>13</v>
      </c>
      <c r="W41" s="375" cm="1">
        <f t="array" ref="W41">IFERROR(INDEX('Offer Statistics'!FP$2:FP$183,MATCH(1,($A41='Offer Statistics'!$FF$2:$FF$183)*($U$2='Offer Statistics'!$FG$2:$FG$183),0)),"/")</f>
        <v>9</v>
      </c>
      <c r="X41" s="375" cm="1">
        <f t="array" ref="X41">IFERROR(INDEX('Offer Statistics'!FQ$2:FQ$183,MATCH(1,($A41='Offer Statistics'!$FF$2:$FF$183)*($U$2='Offer Statistics'!$FG$2:$FG$183),0)),"/")</f>
        <v>1</v>
      </c>
      <c r="Y41" s="375" cm="1">
        <f t="array" ref="Y41">IFERROR(INDEX('Offer Statistics'!FR$2:FR$183,MATCH(1,($A41='Offer Statistics'!$FF$2:$FF$183)*($U$2='Offer Statistics'!$FG$2:$FG$183),0)),"/")</f>
        <v>1</v>
      </c>
      <c r="Z41" s="375" cm="1">
        <f t="array" ref="Z41">IFERROR(INDEX('Offer Statistics'!FS$2:FS$183,MATCH(1,($A41='Offer Statistics'!$FF$2:$FF$183)*($U$2='Offer Statistics'!$FG$2:$FG$183),0)),"/")</f>
        <v>1</v>
      </c>
      <c r="AA41" s="375" cm="1">
        <f t="array" ref="AA41">IFERROR(INDEX('Offer Statistics'!FT$2:FT$183,MATCH(1,($A41='Offer Statistics'!$FF$2:$FF$183)*($U$2='Offer Statistics'!$FG$2:$FG$183),0)),"/")</f>
        <v>1</v>
      </c>
      <c r="AB41" s="601"/>
      <c r="AC41" s="537" cm="1">
        <f t="array" ref="AC41">IFERROR(INDEX('Offer Statistics'!FM$2:FM$183,MATCH(1,($A41='Offer Statistics'!$FF$2:$FF$183)*($U$2='Offer Statistics'!$FG$2:$FG$183),0)),"/")</f>
        <v>863</v>
      </c>
      <c r="AD41" s="375" cm="1">
        <f t="array" ref="AD41">IFERROR(INDEX('Offer Statistics'!FH$2:FH$183,MATCH(1,($A41='Offer Statistics'!$FF$2:$FF$183)*($U$2='Offer Statistics'!$FG$2:$FG$183),0)),"/")</f>
        <v>82</v>
      </c>
      <c r="AE41" s="375" cm="1">
        <f t="array" ref="AE41">IFERROR(INDEX('Offer Statistics'!FI$2:FI$183,MATCH(1,($A41='Offer Statistics'!$FF$2:$FF$183)*($U$2='Offer Statistics'!$FG$2:$FG$183),0)),"/")</f>
        <v>115</v>
      </c>
      <c r="AF41" s="375" cm="1">
        <f t="array" ref="AF41">IFERROR(INDEX('Offer Statistics'!FJ$2:FJ$183,MATCH(1,($A41='Offer Statistics'!$FF$2:$FF$183)*($U$2='Offer Statistics'!$FG$2:$FG$183),0)),"/")</f>
        <v>156</v>
      </c>
      <c r="AG41" s="375" cm="1">
        <f t="array" ref="AG41">IFERROR(INDEX('Offer Statistics'!FK$2:FK$183,MATCH(1,($A41='Offer Statistics'!$FF$2:$FF$183)*($U$2='Offer Statistics'!$FG$2:$FG$183),0)),"/")</f>
        <v>226</v>
      </c>
      <c r="AH41" s="375" cm="1">
        <f t="array" ref="AH41">IFERROR(INDEX('Offer Statistics'!FL$2:FL$183,MATCH(1,($A41='Offer Statistics'!$FF$2:$FF$183)*($U$2='Offer Statistics'!$FG$2:$FG$183),0)),"/")</f>
        <v>284</v>
      </c>
      <c r="AI41" s="4"/>
      <c r="AJ41" s="538" t="str">
        <f t="shared" si="0"/>
        <v>JSSV07</v>
      </c>
    </row>
    <row r="42" spans="1:36" ht="18" customHeight="1" x14ac:dyDescent="0.3">
      <c r="A42" s="346" t="str">
        <f>'Reference Score Calculation'!A411</f>
        <v>JSSV08</v>
      </c>
      <c r="B42" s="4" t="s">
        <v>2652</v>
      </c>
      <c r="C42" s="4" t="s">
        <v>2298</v>
      </c>
      <c r="D42" s="346" t="s">
        <v>1916</v>
      </c>
      <c r="E42" s="15" t="s">
        <v>2259</v>
      </c>
      <c r="F42" s="347" t="str">
        <f>'Reference Score Calculation'!F411</f>
        <v>/</v>
      </c>
      <c r="G42" s="533">
        <f>'Reference Score Calculation'!G411</f>
        <v>17</v>
      </c>
      <c r="H42" s="347" t="str">
        <f>'Reference Score Calculation'!H411</f>
        <v>/</v>
      </c>
      <c r="I42" s="368">
        <f>計分版!H432</f>
        <v>1.9000000000000001E-9</v>
      </c>
      <c r="J42" s="25">
        <f t="shared" ref="J42:J43" si="16">I42-G42</f>
        <v>-16.999999998100002</v>
      </c>
      <c r="K42" s="26">
        <f t="shared" ref="K42:K43" si="17">(I42-G42)/I42</f>
        <v>-8947368420.0526314</v>
      </c>
      <c r="L42" s="530">
        <f>入學要求!C420</f>
        <v>25</v>
      </c>
      <c r="M42" s="103">
        <f>入學要求!R420</f>
        <v>0</v>
      </c>
      <c r="N42" s="15" t="s">
        <v>2653</v>
      </c>
      <c r="O42" s="531"/>
      <c r="P42" s="15">
        <v>3</v>
      </c>
      <c r="Q42" s="15">
        <v>3</v>
      </c>
      <c r="R42" s="15">
        <v>2</v>
      </c>
      <c r="S42" s="15">
        <v>2</v>
      </c>
      <c r="T42" s="15">
        <v>2</v>
      </c>
      <c r="U42" s="576"/>
      <c r="V42" s="537" cm="1">
        <f t="array" ref="V42">IFERROR(INDEX('Offer Statistics'!FU$2:FU$183,MATCH(1,($A42='Offer Statistics'!$FF$2:$FF$183)*($U$2='Offer Statistics'!$FG$2:$FG$183),0)),"/")</f>
        <v>21</v>
      </c>
      <c r="W42" s="375" cm="1">
        <f t="array" ref="W42">IFERROR(INDEX('Offer Statistics'!FP$2:FP$183,MATCH(1,($A42='Offer Statistics'!$FF$2:$FF$183)*($U$2='Offer Statistics'!$FG$2:$FG$183),0)),"/")</f>
        <v>13</v>
      </c>
      <c r="X42" s="375" cm="1">
        <f t="array" ref="X42">IFERROR(INDEX('Offer Statistics'!FQ$2:FQ$183,MATCH(1,($A42='Offer Statistics'!$FF$2:$FF$183)*($U$2='Offer Statistics'!$FG$2:$FG$183),0)),"/")</f>
        <v>5</v>
      </c>
      <c r="Y42" s="375" cm="1">
        <f t="array" ref="Y42">IFERROR(INDEX('Offer Statistics'!FR$2:FR$183,MATCH(1,($A42='Offer Statistics'!$FF$2:$FF$183)*($U$2='Offer Statistics'!$FG$2:$FG$183),0)),"/")</f>
        <v>2</v>
      </c>
      <c r="Z42" s="375" cm="1">
        <f t="array" ref="Z42">IFERROR(INDEX('Offer Statistics'!FS$2:FS$183,MATCH(1,($A42='Offer Statistics'!$FF$2:$FF$183)*($U$2='Offer Statistics'!$FG$2:$FG$183),0)),"/")</f>
        <v>1</v>
      </c>
      <c r="AA42" s="375" cm="1">
        <f t="array" ref="AA42">IFERROR(INDEX('Offer Statistics'!FT$2:FT$183,MATCH(1,($A42='Offer Statistics'!$FF$2:$FF$183)*($U$2='Offer Statistics'!$FG$2:$FG$183),0)),"/")</f>
        <v>0</v>
      </c>
      <c r="AB42" s="601"/>
      <c r="AC42" s="537" cm="1">
        <f t="array" ref="AC42">IFERROR(INDEX('Offer Statistics'!FM$2:FM$183,MATCH(1,($A42='Offer Statistics'!$FF$2:$FF$183)*($U$2='Offer Statistics'!$FG$2:$FG$183),0)),"/")</f>
        <v>761</v>
      </c>
      <c r="AD42" s="375" cm="1">
        <f t="array" ref="AD42">IFERROR(INDEX('Offer Statistics'!FH$2:FH$183,MATCH(1,($A42='Offer Statistics'!$FF$2:$FF$183)*($U$2='Offer Statistics'!$FG$2:$FG$183),0)),"/")</f>
        <v>65</v>
      </c>
      <c r="AE42" s="375" cm="1">
        <f t="array" ref="AE42">IFERROR(INDEX('Offer Statistics'!FI$2:FI$183,MATCH(1,($A42='Offer Statistics'!$FF$2:$FF$183)*($U$2='Offer Statistics'!$FG$2:$FG$183),0)),"/")</f>
        <v>102</v>
      </c>
      <c r="AF42" s="375" cm="1">
        <f t="array" ref="AF42">IFERROR(INDEX('Offer Statistics'!FJ$2:FJ$183,MATCH(1,($A42='Offer Statistics'!$FF$2:$FF$183)*($U$2='Offer Statistics'!$FG$2:$FG$183),0)),"/")</f>
        <v>141</v>
      </c>
      <c r="AG42" s="375" cm="1">
        <f t="array" ref="AG42">IFERROR(INDEX('Offer Statistics'!FK$2:FK$183,MATCH(1,($A42='Offer Statistics'!$FF$2:$FF$183)*($U$2='Offer Statistics'!$FG$2:$FG$183),0)),"/")</f>
        <v>191</v>
      </c>
      <c r="AH42" s="375" cm="1">
        <f t="array" ref="AH42">IFERROR(INDEX('Offer Statistics'!FL$2:FL$183,MATCH(1,($A42='Offer Statistics'!$FF$2:$FF$183)*($U$2='Offer Statistics'!$FG$2:$FG$183),0)),"/")</f>
        <v>262</v>
      </c>
      <c r="AI42" s="4"/>
      <c r="AJ42" s="538" t="str">
        <f t="shared" si="0"/>
        <v>JSSV08</v>
      </c>
    </row>
    <row r="43" spans="1:36" ht="18" customHeight="1" x14ac:dyDescent="0.3">
      <c r="A43" s="346" t="str">
        <f>'Reference Score Calculation'!A412</f>
        <v>JSSV09</v>
      </c>
      <c r="B43" s="4" t="s">
        <v>2652</v>
      </c>
      <c r="C43" s="4" t="s">
        <v>2654</v>
      </c>
      <c r="D43" s="346" t="s">
        <v>1921</v>
      </c>
      <c r="E43" s="37" t="s">
        <v>2259</v>
      </c>
      <c r="F43" s="347" t="str">
        <f>'Reference Score Calculation'!F412</f>
        <v>/</v>
      </c>
      <c r="G43" s="533">
        <f>'Reference Score Calculation'!G412</f>
        <v>16</v>
      </c>
      <c r="H43" s="347" t="str">
        <f>'Reference Score Calculation'!H412</f>
        <v>/</v>
      </c>
      <c r="I43" s="368">
        <f>計分版!H433</f>
        <v>1.9000000000000001E-9</v>
      </c>
      <c r="J43" s="25">
        <f t="shared" si="16"/>
        <v>-15.9999999981</v>
      </c>
      <c r="K43" s="26">
        <f t="shared" si="17"/>
        <v>-8421052630.5789471</v>
      </c>
      <c r="L43" s="530">
        <f>入學要求!C421</f>
        <v>30</v>
      </c>
      <c r="M43" s="103">
        <f>入學要求!R421</f>
        <v>0</v>
      </c>
      <c r="N43" s="15" t="s">
        <v>2653</v>
      </c>
      <c r="O43" s="531"/>
      <c r="P43" s="15">
        <v>3</v>
      </c>
      <c r="Q43" s="15">
        <v>3</v>
      </c>
      <c r="R43" s="15">
        <v>2</v>
      </c>
      <c r="S43" s="15">
        <v>2</v>
      </c>
      <c r="T43" s="15">
        <v>2</v>
      </c>
      <c r="U43" s="576"/>
      <c r="V43" s="537" cm="1">
        <f t="array" ref="V43">IFERROR(INDEX('Offer Statistics'!FU$2:FU$183,MATCH(1,($A43='Offer Statistics'!$FF$2:$FF$183)*($U$2='Offer Statistics'!$FG$2:$FG$183),0)),"/")</f>
        <v>42</v>
      </c>
      <c r="W43" s="375" cm="1">
        <f t="array" ref="W43">IFERROR(INDEX('Offer Statistics'!FP$2:FP$183,MATCH(1,($A43='Offer Statistics'!$FF$2:$FF$183)*($U$2='Offer Statistics'!$FG$2:$FG$183),0)),"/")</f>
        <v>28</v>
      </c>
      <c r="X43" s="375" cm="1">
        <f t="array" ref="X43">IFERROR(INDEX('Offer Statistics'!FQ$2:FQ$183,MATCH(1,($A43='Offer Statistics'!$FF$2:$FF$183)*($U$2='Offer Statistics'!$FG$2:$FG$183),0)),"/")</f>
        <v>6</v>
      </c>
      <c r="Y43" s="375" cm="1">
        <f t="array" ref="Y43">IFERROR(INDEX('Offer Statistics'!FR$2:FR$183,MATCH(1,($A43='Offer Statistics'!$FF$2:$FF$183)*($U$2='Offer Statistics'!$FG$2:$FG$183),0)),"/")</f>
        <v>6</v>
      </c>
      <c r="Z43" s="375" cm="1">
        <f t="array" ref="Z43">IFERROR(INDEX('Offer Statistics'!FS$2:FS$183,MATCH(1,($A43='Offer Statistics'!$FF$2:$FF$183)*($U$2='Offer Statistics'!$FG$2:$FG$183),0)),"/")</f>
        <v>1</v>
      </c>
      <c r="AA43" s="375" cm="1">
        <f t="array" ref="AA43">IFERROR(INDEX('Offer Statistics'!FT$2:FT$183,MATCH(1,($A43='Offer Statistics'!$FF$2:$FF$183)*($U$2='Offer Statistics'!$FG$2:$FG$183),0)),"/")</f>
        <v>1</v>
      </c>
      <c r="AB43" s="601"/>
      <c r="AC43" s="537" cm="1">
        <f t="array" ref="AC43">IFERROR(INDEX('Offer Statistics'!FM$2:FM$183,MATCH(1,($A43='Offer Statistics'!$FF$2:$FF$183)*($U$2='Offer Statistics'!$FG$2:$FG$183),0)),"/")</f>
        <v>1517</v>
      </c>
      <c r="AD43" s="375" cm="1">
        <f t="array" ref="AD43">IFERROR(INDEX('Offer Statistics'!FH$2:FH$183,MATCH(1,($A43='Offer Statistics'!$FF$2:$FF$183)*($U$2='Offer Statistics'!$FG$2:$FG$183),0)),"/")</f>
        <v>264</v>
      </c>
      <c r="AE43" s="375" cm="1">
        <f t="array" ref="AE43">IFERROR(INDEX('Offer Statistics'!FI$2:FI$183,MATCH(1,($A43='Offer Statistics'!$FF$2:$FF$183)*($U$2='Offer Statistics'!$FG$2:$FG$183),0)),"/")</f>
        <v>342</v>
      </c>
      <c r="AF43" s="375" cm="1">
        <f t="array" ref="AF43">IFERROR(INDEX('Offer Statistics'!FJ$2:FJ$183,MATCH(1,($A43='Offer Statistics'!$FF$2:$FF$183)*($U$2='Offer Statistics'!$FG$2:$FG$183),0)),"/")</f>
        <v>267</v>
      </c>
      <c r="AG43" s="375" cm="1">
        <f t="array" ref="AG43">IFERROR(INDEX('Offer Statistics'!FK$2:FK$183,MATCH(1,($A43='Offer Statistics'!$FF$2:$FF$183)*($U$2='Offer Statistics'!$FG$2:$FG$183),0)),"/")</f>
        <v>291</v>
      </c>
      <c r="AH43" s="375" cm="1">
        <f t="array" ref="AH43">IFERROR(INDEX('Offer Statistics'!FL$2:FL$183,MATCH(1,($A43='Offer Statistics'!$FF$2:$FF$183)*($U$2='Offer Statistics'!$FG$2:$FG$183),0)),"/")</f>
        <v>353</v>
      </c>
      <c r="AI43" s="4"/>
      <c r="AJ43" s="538" t="str">
        <f t="shared" si="0"/>
        <v>JSSV09</v>
      </c>
    </row>
    <row r="44" spans="1:36" ht="18" customHeight="1" x14ac:dyDescent="0.3">
      <c r="A44" s="346" t="str">
        <f>'Reference Score Calculation'!A413</f>
        <v>JSSW01</v>
      </c>
      <c r="B44" s="4" t="s">
        <v>2655</v>
      </c>
      <c r="C44" s="4" t="s">
        <v>2299</v>
      </c>
      <c r="D44" s="4" t="s">
        <v>1934</v>
      </c>
      <c r="E44" s="531" t="s">
        <v>2656</v>
      </c>
      <c r="F44" s="347" t="str">
        <f>'Reference Score Calculation'!F413</f>
        <v>/</v>
      </c>
      <c r="G44" s="533">
        <f>'Reference Score Calculation'!G413</f>
        <v>15.5</v>
      </c>
      <c r="H44" s="347" t="str">
        <f>'Reference Score Calculation'!H413</f>
        <v>/</v>
      </c>
      <c r="I44" s="368">
        <f>計分版!H434</f>
        <v>1.9000000000000001E-9</v>
      </c>
      <c r="J44" s="361">
        <f t="shared" ref="J44" si="18">I44-G44</f>
        <v>-15.4999999981</v>
      </c>
      <c r="K44" s="362">
        <f t="shared" ref="K44" si="19">(I44-G44)/I44</f>
        <v>-8157894735.8421049</v>
      </c>
      <c r="L44" s="530">
        <f>入學要求!C422</f>
        <v>25</v>
      </c>
      <c r="M44" s="103">
        <f>入學要求!R422</f>
        <v>0</v>
      </c>
      <c r="N44" s="15" t="s">
        <v>2165</v>
      </c>
      <c r="O44" s="531"/>
      <c r="P44" s="15">
        <v>3</v>
      </c>
      <c r="Q44" s="15">
        <v>3</v>
      </c>
      <c r="R44" s="15">
        <v>2</v>
      </c>
      <c r="S44" s="15">
        <v>2</v>
      </c>
      <c r="T44" s="15">
        <v>2</v>
      </c>
      <c r="U44" s="576"/>
      <c r="V44" s="537" cm="1">
        <f t="array" ref="V44">IFERROR(INDEX('Offer Statistics'!FU$2:FU$183,MATCH(1,($A44='Offer Statistics'!$FF$2:$FF$183)*($U$2='Offer Statistics'!$FG$2:$FG$183),0)),"/")</f>
        <v>13</v>
      </c>
      <c r="W44" s="375" cm="1">
        <f t="array" ref="W44">IFERROR(INDEX('Offer Statistics'!FP$2:FP$183,MATCH(1,($A44='Offer Statistics'!$FF$2:$FF$183)*($U$2='Offer Statistics'!$FG$2:$FG$183),0)),"/")</f>
        <v>11</v>
      </c>
      <c r="X44" s="375" cm="1">
        <f t="array" ref="X44">IFERROR(INDEX('Offer Statistics'!FQ$2:FQ$183,MATCH(1,($A44='Offer Statistics'!$FF$2:$FF$183)*($U$2='Offer Statistics'!$FG$2:$FG$183),0)),"/")</f>
        <v>2</v>
      </c>
      <c r="Y44" s="375" cm="1">
        <f t="array" ref="Y44">IFERROR(INDEX('Offer Statistics'!FR$2:FR$183,MATCH(1,($A44='Offer Statistics'!$FF$2:$FF$183)*($U$2='Offer Statistics'!$FG$2:$FG$183),0)),"/")</f>
        <v>0</v>
      </c>
      <c r="Z44" s="375" cm="1">
        <f t="array" ref="Z44">IFERROR(INDEX('Offer Statistics'!FS$2:FS$183,MATCH(1,($A44='Offer Statistics'!$FF$2:$FF$183)*($U$2='Offer Statistics'!$FG$2:$FG$183),0)),"/")</f>
        <v>0</v>
      </c>
      <c r="AA44" s="375" cm="1">
        <f t="array" ref="AA44">IFERROR(INDEX('Offer Statistics'!FT$2:FT$183,MATCH(1,($A44='Offer Statistics'!$FF$2:$FF$183)*($U$2='Offer Statistics'!$FG$2:$FG$183),0)),"/")</f>
        <v>0</v>
      </c>
      <c r="AB44" s="601"/>
      <c r="AC44" s="537" cm="1">
        <f t="array" ref="AC44">IFERROR(INDEX('Offer Statistics'!FM$2:FM$183,MATCH(1,($A44='Offer Statistics'!$FF$2:$FF$183)*($U$2='Offer Statistics'!$FG$2:$FG$183),0)),"/")</f>
        <v>963</v>
      </c>
      <c r="AD44" s="375" cm="1">
        <f t="array" ref="AD44">IFERROR(INDEX('Offer Statistics'!FH$2:FH$183,MATCH(1,($A44='Offer Statistics'!$FF$2:$FF$183)*($U$2='Offer Statistics'!$FG$2:$FG$183),0)),"/")</f>
        <v>124</v>
      </c>
      <c r="AE44" s="375" cm="1">
        <f t="array" ref="AE44">IFERROR(INDEX('Offer Statistics'!FI$2:FI$183,MATCH(1,($A44='Offer Statistics'!$FF$2:$FF$183)*($U$2='Offer Statistics'!$FG$2:$FG$183),0)),"/")</f>
        <v>148</v>
      </c>
      <c r="AF44" s="375" cm="1">
        <f t="array" ref="AF44">IFERROR(INDEX('Offer Statistics'!FJ$2:FJ$183,MATCH(1,($A44='Offer Statistics'!$FF$2:$FF$183)*($U$2='Offer Statistics'!$FG$2:$FG$183),0)),"/")</f>
        <v>160</v>
      </c>
      <c r="AG44" s="375" cm="1">
        <f t="array" ref="AG44">IFERROR(INDEX('Offer Statistics'!FK$2:FK$183,MATCH(1,($A44='Offer Statistics'!$FF$2:$FF$183)*($U$2='Offer Statistics'!$FG$2:$FG$183),0)),"/")</f>
        <v>232</v>
      </c>
      <c r="AH44" s="375" cm="1">
        <f t="array" ref="AH44">IFERROR(INDEX('Offer Statistics'!FL$2:FL$183,MATCH(1,($A44='Offer Statistics'!$FF$2:$FF$183)*($U$2='Offer Statistics'!$FG$2:$FG$183),0)),"/")</f>
        <v>299</v>
      </c>
      <c r="AI44" s="4"/>
      <c r="AJ44" s="538" t="str">
        <f t="shared" si="0"/>
        <v>JSSW01</v>
      </c>
    </row>
    <row r="45" spans="1:36" ht="18" customHeight="1" x14ac:dyDescent="0.3">
      <c r="A45" s="346" t="str">
        <f>'Reference Score Calculation'!A414</f>
        <v>JSSY01</v>
      </c>
      <c r="B45" s="4" t="s">
        <v>2657</v>
      </c>
      <c r="C45" s="4" t="s">
        <v>2300</v>
      </c>
      <c r="D45" s="4" t="s">
        <v>1939</v>
      </c>
      <c r="E45" s="531" t="s">
        <v>2354</v>
      </c>
      <c r="F45" s="347" t="str">
        <f>'Reference Score Calculation'!F414</f>
        <v>/</v>
      </c>
      <c r="G45" s="533">
        <f>'Reference Score Calculation'!G414</f>
        <v>16.670000000000002</v>
      </c>
      <c r="H45" s="347" t="str">
        <f>'Reference Score Calculation'!H414</f>
        <v>/</v>
      </c>
      <c r="I45" s="368">
        <f>計分版!H435</f>
        <v>3.3999999999999998E-9</v>
      </c>
      <c r="J45" s="25">
        <f t="shared" ref="J45" si="20">I45-G45</f>
        <v>-16.669999996600001</v>
      </c>
      <c r="K45" s="26">
        <f t="shared" ref="K45" si="21">(I45-G45)/I45</f>
        <v>-4902941175.4705887</v>
      </c>
      <c r="L45" s="530">
        <f>入學要求!C423</f>
        <v>30</v>
      </c>
      <c r="M45" s="103">
        <f>入學要求!R423</f>
        <v>0</v>
      </c>
      <c r="N45" s="15" t="s">
        <v>2653</v>
      </c>
      <c r="O45" s="531"/>
      <c r="P45" s="15">
        <v>3</v>
      </c>
      <c r="Q45" s="15">
        <v>3</v>
      </c>
      <c r="R45" s="15">
        <v>2</v>
      </c>
      <c r="S45" s="15">
        <v>2</v>
      </c>
      <c r="T45" s="15">
        <v>2</v>
      </c>
      <c r="U45" s="576"/>
      <c r="V45" s="537" cm="1">
        <f t="array" ref="V45">IFERROR(INDEX('Offer Statistics'!FU$2:FU$183,MATCH(1,($A45='Offer Statistics'!$FF$2:$FF$183)*($U$2='Offer Statistics'!$FG$2:$FG$183),0)),"/")</f>
        <v>22</v>
      </c>
      <c r="W45" s="375" cm="1">
        <f t="array" ref="W45">IFERROR(INDEX('Offer Statistics'!FP$2:FP$183,MATCH(1,($A45='Offer Statistics'!$FF$2:$FF$183)*($U$2='Offer Statistics'!$FG$2:$FG$183),0)),"/")</f>
        <v>14</v>
      </c>
      <c r="X45" s="375" cm="1">
        <f t="array" ref="X45">IFERROR(INDEX('Offer Statistics'!FQ$2:FQ$183,MATCH(1,($A45='Offer Statistics'!$FF$2:$FF$183)*($U$2='Offer Statistics'!$FG$2:$FG$183),0)),"/")</f>
        <v>4</v>
      </c>
      <c r="Y45" s="375" cm="1">
        <f t="array" ref="Y45">IFERROR(INDEX('Offer Statistics'!FR$2:FR$183,MATCH(1,($A45='Offer Statistics'!$FF$2:$FF$183)*($U$2='Offer Statistics'!$FG$2:$FG$183),0)),"/")</f>
        <v>2</v>
      </c>
      <c r="Z45" s="375" cm="1">
        <f t="array" ref="Z45">IFERROR(INDEX('Offer Statistics'!FS$2:FS$183,MATCH(1,($A45='Offer Statistics'!$FF$2:$FF$183)*($U$2='Offer Statistics'!$FG$2:$FG$183),0)),"/")</f>
        <v>2</v>
      </c>
      <c r="AA45" s="375" cm="1">
        <f t="array" ref="AA45">IFERROR(INDEX('Offer Statistics'!FT$2:FT$183,MATCH(1,($A45='Offer Statistics'!$FF$2:$FF$183)*($U$2='Offer Statistics'!$FG$2:$FG$183),0)),"/")</f>
        <v>0</v>
      </c>
      <c r="AB45" s="601"/>
      <c r="AC45" s="537" cm="1">
        <f t="array" ref="AC45">IFERROR(INDEX('Offer Statistics'!FM$2:FM$183,MATCH(1,($A45='Offer Statistics'!$FF$2:$FF$183)*($U$2='Offer Statistics'!$FG$2:$FG$183),0)),"/")</f>
        <v>984</v>
      </c>
      <c r="AD45" s="375" cm="1">
        <f t="array" ref="AD45">IFERROR(INDEX('Offer Statistics'!FH$2:FH$183,MATCH(1,($A45='Offer Statistics'!$FF$2:$FF$183)*($U$2='Offer Statistics'!$FG$2:$FG$183),0)),"/")</f>
        <v>96</v>
      </c>
      <c r="AE45" s="375" cm="1">
        <f t="array" ref="AE45">IFERROR(INDEX('Offer Statistics'!FI$2:FI$183,MATCH(1,($A45='Offer Statistics'!$FF$2:$FF$183)*($U$2='Offer Statistics'!$FG$2:$FG$183),0)),"/")</f>
        <v>151</v>
      </c>
      <c r="AF45" s="375" cm="1">
        <f t="array" ref="AF45">IFERROR(INDEX('Offer Statistics'!FJ$2:FJ$183,MATCH(1,($A45='Offer Statistics'!$FF$2:$FF$183)*($U$2='Offer Statistics'!$FG$2:$FG$183),0)),"/")</f>
        <v>183</v>
      </c>
      <c r="AG45" s="375" cm="1">
        <f t="array" ref="AG45">IFERROR(INDEX('Offer Statistics'!FK$2:FK$183,MATCH(1,($A45='Offer Statistics'!$FF$2:$FF$183)*($U$2='Offer Statistics'!$FG$2:$FG$183),0)),"/")</f>
        <v>220</v>
      </c>
      <c r="AH45" s="375" cm="1">
        <f t="array" ref="AH45">IFERROR(INDEX('Offer Statistics'!FL$2:FL$183,MATCH(1,($A45='Offer Statistics'!$FF$2:$FF$183)*($U$2='Offer Statistics'!$FG$2:$FG$183),0)),"/")</f>
        <v>334</v>
      </c>
      <c r="AI45" s="4"/>
      <c r="AJ45" s="538" t="str">
        <f t="shared" si="0"/>
        <v>JSSY01</v>
      </c>
    </row>
    <row r="46" spans="1:36" ht="18" customHeight="1" x14ac:dyDescent="0.3">
      <c r="B46" s="4"/>
      <c r="C46" s="4"/>
      <c r="D46" s="4"/>
      <c r="G46" s="15"/>
      <c r="H46" s="15"/>
      <c r="V46" s="15"/>
      <c r="AB46" s="15"/>
      <c r="AC46" s="15"/>
      <c r="AD46" s="15"/>
      <c r="AE46" s="15"/>
      <c r="AF46" s="15"/>
      <c r="AG46" s="15"/>
      <c r="AH46" s="15"/>
      <c r="AI46" s="4"/>
      <c r="AJ46" s="15"/>
    </row>
    <row r="47" spans="1:36" ht="18" customHeight="1" x14ac:dyDescent="0.3">
      <c r="A47" s="4" t="s">
        <v>2658</v>
      </c>
      <c r="I47" s="15"/>
      <c r="J47" s="22"/>
      <c r="K47" s="23"/>
      <c r="L47" s="15"/>
      <c r="M47" s="15"/>
      <c r="N47" s="15"/>
      <c r="O47" s="531"/>
      <c r="P47" s="15"/>
      <c r="Q47" s="15"/>
      <c r="R47" s="15"/>
      <c r="S47" s="15"/>
      <c r="T47" s="15"/>
      <c r="V47" s="15"/>
      <c r="AB47" s="15"/>
      <c r="AC47" s="15"/>
      <c r="AD47" s="15"/>
      <c r="AE47" s="15"/>
      <c r="AF47" s="15"/>
      <c r="AG47" s="15"/>
      <c r="AH47" s="15"/>
      <c r="AI47" s="4"/>
      <c r="AJ47" s="15"/>
    </row>
    <row r="48" spans="1:36" ht="18" customHeight="1" x14ac:dyDescent="0.3">
      <c r="A48" s="4" t="s">
        <v>2589</v>
      </c>
      <c r="D48" s="4"/>
      <c r="G48" s="15"/>
      <c r="H48" s="15"/>
      <c r="I48" s="15"/>
      <c r="J48" s="22"/>
      <c r="K48" s="23"/>
      <c r="L48" s="15"/>
      <c r="M48" s="15"/>
      <c r="N48" s="15"/>
      <c r="O48" s="531"/>
      <c r="P48" s="15"/>
      <c r="Q48" s="15"/>
      <c r="R48" s="15"/>
      <c r="S48" s="15"/>
      <c r="T48" s="15"/>
      <c r="V48" s="15"/>
      <c r="AB48" s="15"/>
      <c r="AC48" s="15"/>
      <c r="AD48" s="15"/>
      <c r="AE48" s="15"/>
      <c r="AF48" s="15"/>
      <c r="AG48" s="15"/>
      <c r="AH48" s="15"/>
      <c r="AI48" s="4"/>
      <c r="AJ48" s="15"/>
    </row>
    <row r="49" spans="1:37" s="4" customFormat="1" ht="18" customHeight="1" x14ac:dyDescent="0.3">
      <c r="C49" s="23"/>
      <c r="E49" s="15"/>
      <c r="H49" s="15"/>
      <c r="K49" s="37"/>
      <c r="L49" s="15"/>
      <c r="O49" s="346"/>
      <c r="T49" s="346"/>
    </row>
    <row r="50" spans="1:37" s="4" customFormat="1" ht="18" customHeight="1" x14ac:dyDescent="0.3">
      <c r="A50" s="4" t="s">
        <v>2870</v>
      </c>
      <c r="E50" s="37"/>
      <c r="F50" s="15"/>
      <c r="G50" s="15"/>
      <c r="H50" s="15"/>
      <c r="I50" s="15"/>
      <c r="J50" s="22"/>
      <c r="K50" s="23"/>
      <c r="L50" s="15"/>
      <c r="N50" s="15"/>
      <c r="O50" s="531"/>
      <c r="P50" s="15"/>
      <c r="Q50" s="15"/>
      <c r="R50" s="15"/>
      <c r="S50" s="15"/>
      <c r="T50" s="15"/>
      <c r="U50" s="15"/>
      <c r="V50" s="15"/>
      <c r="W50" s="537" t="s">
        <v>3539</v>
      </c>
      <c r="X50" s="15"/>
      <c r="Y50" s="15"/>
      <c r="Z50" s="15"/>
      <c r="AA50" s="15"/>
      <c r="AB50" s="15"/>
      <c r="AC50" s="15"/>
      <c r="AD50" s="15"/>
      <c r="AE50" s="15"/>
      <c r="AF50" s="15"/>
      <c r="AG50" s="15"/>
      <c r="AH50" s="15"/>
      <c r="AI50" s="15"/>
      <c r="AK50" s="15"/>
    </row>
    <row r="51" spans="1:37" ht="18" customHeight="1" x14ac:dyDescent="0.3">
      <c r="A51" s="4"/>
      <c r="D51" s="4"/>
      <c r="G51" s="15"/>
      <c r="H51" s="15"/>
      <c r="I51" s="15"/>
      <c r="J51" s="22"/>
      <c r="K51" s="23"/>
      <c r="L51" s="15"/>
      <c r="M51" s="15"/>
      <c r="N51" s="15"/>
      <c r="O51" s="531"/>
      <c r="P51" s="15"/>
      <c r="Q51" s="15"/>
      <c r="R51" s="15"/>
      <c r="S51" s="15"/>
      <c r="T51" s="15"/>
      <c r="V51" s="15"/>
      <c r="AB51" s="15"/>
      <c r="AC51" s="15"/>
      <c r="AD51" s="15"/>
      <c r="AE51" s="15"/>
      <c r="AF51" s="15"/>
      <c r="AG51" s="15"/>
      <c r="AH51" s="15"/>
      <c r="AI51" s="4"/>
      <c r="AJ51" s="15"/>
    </row>
    <row r="52" spans="1:37" ht="18" customHeight="1" x14ac:dyDescent="0.3">
      <c r="A52" s="3" t="s">
        <v>2640</v>
      </c>
      <c r="D52" s="4"/>
      <c r="G52" s="15"/>
      <c r="H52" s="15"/>
      <c r="I52" s="15"/>
      <c r="J52" s="22"/>
      <c r="K52" s="23"/>
      <c r="L52" s="15"/>
      <c r="M52" s="15"/>
      <c r="N52" s="15"/>
      <c r="O52" s="531"/>
      <c r="P52" s="15"/>
      <c r="Q52" s="15"/>
      <c r="R52" s="15"/>
      <c r="S52" s="15"/>
      <c r="T52" s="15"/>
      <c r="V52" s="15"/>
      <c r="AB52" s="15"/>
      <c r="AC52" s="15"/>
      <c r="AD52" s="15"/>
      <c r="AE52" s="15"/>
      <c r="AF52" s="15"/>
      <c r="AG52" s="15"/>
      <c r="AH52" s="15"/>
      <c r="AI52" s="4"/>
      <c r="AJ52" s="15"/>
    </row>
    <row r="53" spans="1:37" ht="18" customHeight="1" x14ac:dyDescent="0.3">
      <c r="A53" s="2" t="s">
        <v>2659</v>
      </c>
      <c r="D53" s="4"/>
      <c r="G53" s="15"/>
      <c r="H53" s="15"/>
      <c r="I53" s="15"/>
      <c r="J53" s="22"/>
      <c r="K53" s="23"/>
      <c r="L53" s="15"/>
      <c r="M53" s="15"/>
      <c r="N53" s="15"/>
      <c r="O53" s="531"/>
      <c r="P53" s="15"/>
      <c r="Q53" s="15"/>
      <c r="R53" s="15"/>
      <c r="S53" s="15"/>
      <c r="T53" s="15"/>
      <c r="V53" s="15"/>
      <c r="AB53" s="15"/>
      <c r="AC53" s="15"/>
      <c r="AD53" s="15"/>
      <c r="AE53" s="15"/>
      <c r="AF53" s="15"/>
      <c r="AG53" s="15"/>
      <c r="AH53" s="15"/>
      <c r="AI53" s="4"/>
      <c r="AJ53" s="15"/>
    </row>
    <row r="54" spans="1:37" ht="18" customHeight="1" x14ac:dyDescent="0.3">
      <c r="A54" s="107" t="s">
        <v>2660</v>
      </c>
      <c r="B54" s="23" t="s">
        <v>2661</v>
      </c>
      <c r="D54" s="4"/>
      <c r="G54" s="15"/>
      <c r="H54" s="15"/>
      <c r="I54" s="15"/>
      <c r="J54" s="22"/>
      <c r="K54" s="23"/>
      <c r="L54" s="15"/>
      <c r="M54" s="15"/>
      <c r="N54" s="15"/>
      <c r="O54" s="531"/>
      <c r="P54" s="15"/>
      <c r="Q54" s="15"/>
      <c r="R54" s="15"/>
      <c r="S54" s="15"/>
      <c r="T54" s="15"/>
      <c r="V54" s="15"/>
      <c r="AB54" s="15"/>
      <c r="AC54" s="15"/>
      <c r="AD54" s="15"/>
      <c r="AE54" s="15"/>
      <c r="AF54" s="15"/>
      <c r="AG54" s="15"/>
      <c r="AH54" s="15"/>
      <c r="AI54" s="4"/>
      <c r="AJ54" s="15"/>
    </row>
    <row r="55" spans="1:37" ht="18" customHeight="1" x14ac:dyDescent="0.3">
      <c r="A55" s="108" t="s">
        <v>2662</v>
      </c>
      <c r="B55" s="23" t="s">
        <v>2663</v>
      </c>
      <c r="D55" s="4"/>
      <c r="G55" s="15"/>
      <c r="H55" s="15"/>
      <c r="I55" s="15"/>
      <c r="J55" s="22"/>
      <c r="K55" s="23"/>
      <c r="L55" s="15"/>
      <c r="M55" s="15"/>
      <c r="N55" s="15"/>
      <c r="O55" s="531"/>
      <c r="P55" s="15"/>
      <c r="Q55" s="15"/>
      <c r="R55" s="15"/>
      <c r="S55" s="15"/>
      <c r="T55" s="15"/>
      <c r="V55" s="15"/>
      <c r="AB55" s="15"/>
      <c r="AC55" s="15"/>
      <c r="AD55" s="15"/>
      <c r="AE55" s="15"/>
      <c r="AF55" s="15"/>
      <c r="AG55" s="15"/>
      <c r="AH55" s="15"/>
      <c r="AI55" s="4"/>
      <c r="AJ55" s="15"/>
    </row>
    <row r="56" spans="1:37" ht="18" customHeight="1" x14ac:dyDescent="0.3">
      <c r="A56" s="107" t="s">
        <v>3824</v>
      </c>
      <c r="B56" s="4" t="s">
        <v>2665</v>
      </c>
      <c r="D56" s="4"/>
      <c r="G56" s="15"/>
      <c r="H56" s="15"/>
      <c r="I56" s="15"/>
      <c r="J56" s="22"/>
      <c r="K56" s="23"/>
      <c r="L56" s="15"/>
      <c r="M56" s="15"/>
      <c r="N56" s="15"/>
      <c r="O56" s="531"/>
      <c r="P56" s="15"/>
      <c r="Q56" s="15"/>
      <c r="R56" s="15"/>
      <c r="S56" s="15"/>
      <c r="T56" s="15"/>
      <c r="V56" s="15"/>
      <c r="AB56" s="15"/>
      <c r="AC56" s="15"/>
      <c r="AD56" s="15"/>
      <c r="AE56" s="15"/>
      <c r="AF56" s="15"/>
      <c r="AG56" s="15"/>
      <c r="AH56" s="15"/>
      <c r="AI56" s="4"/>
      <c r="AJ56" s="15"/>
    </row>
    <row r="57" spans="1:37" ht="18" customHeight="1" x14ac:dyDescent="0.3">
      <c r="A57" s="108" t="s">
        <v>2666</v>
      </c>
      <c r="B57" s="23" t="s">
        <v>2661</v>
      </c>
      <c r="D57" s="4"/>
      <c r="G57" s="15"/>
      <c r="H57" s="15"/>
      <c r="I57" s="15"/>
      <c r="J57" s="22"/>
      <c r="K57" s="23"/>
      <c r="L57" s="15"/>
      <c r="M57" s="15"/>
      <c r="N57" s="15"/>
      <c r="O57" s="531"/>
      <c r="P57" s="15"/>
      <c r="Q57" s="15"/>
      <c r="R57" s="15"/>
      <c r="S57" s="15"/>
      <c r="T57" s="15"/>
      <c r="V57" s="15"/>
      <c r="AB57" s="15"/>
      <c r="AC57" s="15"/>
      <c r="AD57" s="15"/>
      <c r="AE57" s="15"/>
      <c r="AF57" s="15"/>
      <c r="AG57" s="15"/>
      <c r="AH57" s="15"/>
      <c r="AI57" s="4"/>
      <c r="AJ57" s="15"/>
    </row>
    <row r="58" spans="1:37" ht="18" customHeight="1" x14ac:dyDescent="0.3">
      <c r="A58" s="107" t="s">
        <v>3476</v>
      </c>
      <c r="B58" s="4" t="s">
        <v>3477</v>
      </c>
      <c r="D58" s="4"/>
      <c r="G58" s="15"/>
      <c r="H58" s="15"/>
      <c r="I58" s="15"/>
      <c r="J58" s="22"/>
      <c r="K58" s="23"/>
      <c r="L58" s="15"/>
      <c r="M58" s="15"/>
      <c r="N58" s="15"/>
      <c r="O58" s="531"/>
      <c r="P58" s="15"/>
      <c r="Q58" s="15"/>
      <c r="R58" s="15"/>
      <c r="S58" s="15"/>
      <c r="T58" s="15"/>
      <c r="V58" s="15"/>
      <c r="AB58" s="15"/>
      <c r="AC58" s="15"/>
      <c r="AD58" s="15"/>
      <c r="AE58" s="15"/>
      <c r="AF58" s="15"/>
      <c r="AG58" s="15"/>
      <c r="AH58" s="15"/>
      <c r="AI58" s="4"/>
      <c r="AJ58" s="15"/>
    </row>
    <row r="59" spans="1:37" ht="18" customHeight="1" x14ac:dyDescent="0.3">
      <c r="A59" s="108" t="s">
        <v>2667</v>
      </c>
      <c r="B59" s="4" t="s">
        <v>2665</v>
      </c>
      <c r="D59" s="4"/>
      <c r="G59" s="15"/>
      <c r="H59" s="15"/>
      <c r="I59" s="15"/>
      <c r="J59" s="22"/>
      <c r="K59" s="23"/>
      <c r="L59" s="15"/>
      <c r="M59" s="15"/>
      <c r="N59" s="15"/>
      <c r="O59" s="531"/>
      <c r="P59" s="15"/>
      <c r="Q59" s="15"/>
      <c r="R59" s="15"/>
      <c r="S59" s="15"/>
      <c r="T59" s="15"/>
      <c r="V59" s="15"/>
      <c r="AB59" s="15"/>
      <c r="AC59" s="15"/>
      <c r="AD59" s="15"/>
      <c r="AE59" s="15"/>
      <c r="AF59" s="15"/>
      <c r="AG59" s="15"/>
      <c r="AH59" s="15"/>
      <c r="AI59" s="4"/>
      <c r="AJ59" s="15"/>
    </row>
    <row r="60" spans="1:37" ht="18" customHeight="1" x14ac:dyDescent="0.3">
      <c r="A60" s="108" t="s">
        <v>2668</v>
      </c>
      <c r="B60" s="64" t="s">
        <v>2661</v>
      </c>
      <c r="D60" s="4"/>
      <c r="G60" s="15"/>
      <c r="H60" s="15"/>
      <c r="I60" s="15"/>
      <c r="J60" s="22"/>
      <c r="K60" s="23"/>
      <c r="L60" s="15"/>
      <c r="M60" s="15"/>
      <c r="N60" s="15"/>
      <c r="O60" s="531"/>
      <c r="P60" s="15"/>
      <c r="Q60" s="15"/>
      <c r="R60" s="15"/>
      <c r="S60" s="15"/>
      <c r="T60" s="15"/>
      <c r="V60" s="15"/>
      <c r="AB60" s="15"/>
      <c r="AC60" s="15"/>
      <c r="AD60" s="15"/>
      <c r="AE60" s="15"/>
      <c r="AF60" s="15"/>
      <c r="AG60" s="15"/>
      <c r="AH60" s="15"/>
      <c r="AI60" s="4"/>
      <c r="AJ60" s="15"/>
    </row>
    <row r="61" spans="1:37" ht="18" customHeight="1" x14ac:dyDescent="0.3">
      <c r="A61" s="108" t="s">
        <v>2669</v>
      </c>
      <c r="B61" s="23" t="s">
        <v>2661</v>
      </c>
      <c r="D61" s="4"/>
      <c r="G61" s="15"/>
      <c r="H61" s="15"/>
      <c r="I61" s="15"/>
      <c r="J61" s="22"/>
      <c r="K61" s="23"/>
      <c r="L61" s="15"/>
      <c r="M61" s="15"/>
      <c r="N61" s="15"/>
      <c r="O61" s="531"/>
      <c r="P61" s="15"/>
      <c r="Q61" s="15"/>
      <c r="R61" s="15"/>
      <c r="S61" s="15"/>
      <c r="T61" s="15"/>
      <c r="V61" s="15"/>
      <c r="AB61" s="15"/>
      <c r="AC61" s="15"/>
      <c r="AD61" s="15"/>
      <c r="AE61" s="15"/>
      <c r="AF61" s="15"/>
      <c r="AG61" s="15"/>
      <c r="AH61" s="15"/>
      <c r="AI61" s="4"/>
      <c r="AJ61" s="15"/>
    </row>
    <row r="62" spans="1:37" ht="18" customHeight="1" x14ac:dyDescent="0.3">
      <c r="A62" s="4"/>
      <c r="B62" s="4"/>
      <c r="D62" s="4"/>
      <c r="G62" s="15"/>
      <c r="H62" s="15"/>
      <c r="I62" s="15"/>
      <c r="J62" s="22"/>
      <c r="K62" s="23"/>
      <c r="L62" s="15"/>
      <c r="M62" s="15"/>
      <c r="N62" s="15"/>
      <c r="O62" s="531"/>
      <c r="P62" s="15"/>
      <c r="Q62" s="15"/>
      <c r="R62" s="15"/>
      <c r="S62" s="15"/>
      <c r="T62" s="15"/>
      <c r="V62" s="15"/>
      <c r="AB62" s="15"/>
      <c r="AC62" s="15"/>
      <c r="AD62" s="15"/>
      <c r="AE62" s="15"/>
      <c r="AF62" s="15"/>
      <c r="AG62" s="15"/>
      <c r="AH62" s="15"/>
      <c r="AI62" s="4"/>
      <c r="AJ62" s="15"/>
    </row>
    <row r="63" spans="1:37" ht="18" customHeight="1" x14ac:dyDescent="0.3">
      <c r="A63" s="3" t="s">
        <v>1988</v>
      </c>
      <c r="B63" s="346"/>
      <c r="C63" s="346"/>
      <c r="D63" s="4"/>
      <c r="V63" s="15"/>
      <c r="AB63" s="15"/>
      <c r="AC63" s="15"/>
      <c r="AD63" s="15"/>
      <c r="AE63" s="15"/>
      <c r="AF63" s="15"/>
      <c r="AG63" s="15"/>
      <c r="AH63" s="15"/>
      <c r="AI63" s="4"/>
      <c r="AJ63" s="15"/>
    </row>
    <row r="64" spans="1:37" ht="18" customHeight="1" x14ac:dyDescent="0.3">
      <c r="A64" s="22" t="s">
        <v>2670</v>
      </c>
      <c r="B64" s="369" t="s">
        <v>2671</v>
      </c>
      <c r="C64" s="346"/>
      <c r="D64" s="4"/>
      <c r="V64" s="15"/>
      <c r="AB64" s="15"/>
      <c r="AC64" s="15"/>
      <c r="AD64" s="15"/>
      <c r="AE64" s="15"/>
      <c r="AF64" s="15"/>
      <c r="AG64" s="15"/>
      <c r="AH64" s="15"/>
      <c r="AI64" s="4"/>
      <c r="AJ64" s="15"/>
    </row>
    <row r="65" spans="1:36" ht="18" customHeight="1" x14ac:dyDescent="0.3">
      <c r="A65" s="106" t="s">
        <v>2672</v>
      </c>
      <c r="B65" s="434" t="s">
        <v>3589</v>
      </c>
      <c r="C65" s="346"/>
      <c r="V65" s="15"/>
      <c r="AB65" s="15"/>
      <c r="AC65" s="15"/>
      <c r="AD65" s="15"/>
      <c r="AE65" s="15"/>
      <c r="AF65" s="15"/>
      <c r="AG65" s="15"/>
      <c r="AH65" s="15"/>
      <c r="AI65" s="4"/>
      <c r="AJ65" s="15"/>
    </row>
    <row r="66" spans="1:36" ht="18" customHeight="1" x14ac:dyDescent="0.3">
      <c r="A66" s="17"/>
      <c r="B66" s="433"/>
      <c r="C66" s="346"/>
      <c r="V66" s="15"/>
      <c r="AB66" s="15"/>
      <c r="AC66" s="15"/>
      <c r="AD66" s="15"/>
      <c r="AE66" s="15"/>
      <c r="AF66" s="15"/>
      <c r="AG66" s="15"/>
      <c r="AH66" s="15"/>
      <c r="AI66" s="4"/>
      <c r="AJ66" s="15"/>
    </row>
    <row r="67" spans="1:36" ht="18" customHeight="1" x14ac:dyDescent="0.3">
      <c r="A67" s="22" t="s">
        <v>2660</v>
      </c>
      <c r="B67" s="369" t="s">
        <v>2673</v>
      </c>
      <c r="C67" s="346"/>
      <c r="V67" s="15"/>
      <c r="AB67" s="15"/>
      <c r="AC67" s="15"/>
      <c r="AD67" s="15"/>
      <c r="AE67" s="15"/>
      <c r="AF67" s="15"/>
      <c r="AG67" s="15"/>
      <c r="AH67" s="15"/>
      <c r="AI67" s="4"/>
      <c r="AJ67" s="15"/>
    </row>
    <row r="68" spans="1:36" ht="18" customHeight="1" x14ac:dyDescent="0.3">
      <c r="A68" s="106" t="s">
        <v>2662</v>
      </c>
      <c r="B68" s="369" t="s">
        <v>2674</v>
      </c>
      <c r="C68" s="346"/>
      <c r="V68" s="15"/>
      <c r="AB68" s="15"/>
      <c r="AC68" s="15"/>
      <c r="AD68" s="15"/>
      <c r="AE68" s="15"/>
      <c r="AF68" s="15"/>
      <c r="AG68" s="15"/>
      <c r="AH68" s="15"/>
      <c r="AI68" s="4"/>
      <c r="AJ68" s="15"/>
    </row>
    <row r="69" spans="1:36" ht="18" customHeight="1" x14ac:dyDescent="0.3">
      <c r="A69" s="22" t="s">
        <v>2664</v>
      </c>
      <c r="B69" s="369" t="s">
        <v>2675</v>
      </c>
      <c r="C69" s="346"/>
      <c r="V69" s="15"/>
      <c r="AB69" s="15"/>
      <c r="AC69" s="15"/>
      <c r="AD69" s="15"/>
      <c r="AE69" s="15"/>
      <c r="AF69" s="15"/>
      <c r="AG69" s="15"/>
      <c r="AH69" s="15"/>
      <c r="AI69" s="4"/>
      <c r="AJ69" s="15"/>
    </row>
    <row r="70" spans="1:36" ht="18" customHeight="1" x14ac:dyDescent="0.3">
      <c r="A70" s="106" t="s">
        <v>2666</v>
      </c>
      <c r="B70" s="369" t="s">
        <v>2676</v>
      </c>
      <c r="C70" s="346"/>
      <c r="V70" s="15"/>
      <c r="AB70" s="15"/>
      <c r="AC70" s="15"/>
      <c r="AD70" s="15"/>
      <c r="AE70" s="15"/>
      <c r="AF70" s="15"/>
      <c r="AG70" s="15"/>
      <c r="AH70" s="15"/>
      <c r="AI70" s="4"/>
      <c r="AJ70" s="15"/>
    </row>
    <row r="71" spans="1:36" ht="18" customHeight="1" x14ac:dyDescent="0.3">
      <c r="A71" s="22" t="s">
        <v>3476</v>
      </c>
      <c r="B71" s="369" t="s">
        <v>3588</v>
      </c>
      <c r="C71" s="346"/>
      <c r="V71" s="15"/>
      <c r="AB71" s="15"/>
      <c r="AC71" s="15"/>
      <c r="AD71" s="15"/>
      <c r="AE71" s="15"/>
      <c r="AF71" s="15"/>
      <c r="AG71" s="15"/>
      <c r="AH71" s="15"/>
      <c r="AI71" s="4"/>
      <c r="AJ71" s="15"/>
    </row>
    <row r="72" spans="1:36" ht="18" customHeight="1" x14ac:dyDescent="0.3">
      <c r="A72" s="106" t="s">
        <v>2667</v>
      </c>
      <c r="B72" s="369" t="s">
        <v>2677</v>
      </c>
      <c r="C72" s="346"/>
      <c r="V72" s="15"/>
      <c r="AB72" s="15"/>
      <c r="AC72" s="15"/>
      <c r="AD72" s="15"/>
      <c r="AE72" s="15"/>
      <c r="AF72" s="15"/>
      <c r="AG72" s="15"/>
      <c r="AH72" s="15"/>
      <c r="AI72" s="4"/>
      <c r="AJ72" s="15"/>
    </row>
    <row r="73" spans="1:36" ht="18" customHeight="1" x14ac:dyDescent="0.3">
      <c r="A73" s="106" t="s">
        <v>2668</v>
      </c>
      <c r="B73" s="369" t="s">
        <v>2678</v>
      </c>
      <c r="C73" s="346"/>
      <c r="V73" s="15"/>
      <c r="AB73" s="15"/>
      <c r="AC73" s="15"/>
      <c r="AD73" s="15"/>
      <c r="AE73" s="15"/>
      <c r="AF73" s="15"/>
      <c r="AG73" s="15"/>
      <c r="AH73" s="15"/>
      <c r="AI73" s="4"/>
      <c r="AJ73" s="15"/>
    </row>
    <row r="74" spans="1:36" ht="18" customHeight="1" x14ac:dyDescent="0.3">
      <c r="A74" s="106" t="s">
        <v>2669</v>
      </c>
      <c r="B74" s="369" t="s">
        <v>2679</v>
      </c>
      <c r="C74" s="346"/>
      <c r="V74" s="15"/>
      <c r="AB74" s="15"/>
      <c r="AC74" s="15"/>
      <c r="AD74" s="15"/>
      <c r="AE74" s="15"/>
      <c r="AF74" s="15"/>
      <c r="AG74" s="15"/>
      <c r="AH74" s="15"/>
      <c r="AI74" s="4"/>
      <c r="AJ74" s="15"/>
    </row>
    <row r="75" spans="1:36" ht="18" customHeight="1" x14ac:dyDescent="0.3">
      <c r="B75" s="4"/>
      <c r="V75" s="15"/>
      <c r="AB75" s="15"/>
      <c r="AC75" s="15"/>
      <c r="AD75" s="15"/>
      <c r="AE75" s="15"/>
      <c r="AF75" s="15"/>
      <c r="AG75" s="15"/>
      <c r="AH75" s="15"/>
      <c r="AI75" s="4"/>
      <c r="AJ75" s="15"/>
    </row>
    <row r="76" spans="1:36" ht="18" hidden="1" customHeight="1" x14ac:dyDescent="0.3"/>
    <row r="77" spans="1:36" ht="18" hidden="1" customHeight="1" x14ac:dyDescent="0.3"/>
    <row r="78" spans="1:36" ht="18" hidden="1" customHeight="1" x14ac:dyDescent="0.3"/>
    <row r="79" spans="1:36" ht="18" hidden="1" customHeight="1" x14ac:dyDescent="0.3"/>
    <row r="80" spans="1:36" ht="18" hidden="1" customHeight="1" x14ac:dyDescent="0.3"/>
    <row r="81" ht="18" hidden="1" customHeight="1" x14ac:dyDescent="0.3"/>
    <row r="82" ht="18" hidden="1" customHeight="1" x14ac:dyDescent="0.3"/>
    <row r="83" ht="18" hidden="1" customHeight="1" x14ac:dyDescent="0.3"/>
    <row r="84" ht="18" hidden="1" customHeight="1" x14ac:dyDescent="0.3"/>
    <row r="85" ht="18" hidden="1" customHeight="1" x14ac:dyDescent="0.3"/>
    <row r="86" ht="18" hidden="1" customHeight="1" x14ac:dyDescent="0.3"/>
    <row r="87" ht="18" hidden="1" customHeight="1" x14ac:dyDescent="0.3"/>
    <row r="88" ht="18" hidden="1" customHeight="1" x14ac:dyDescent="0.3"/>
    <row r="89" ht="18" hidden="1" customHeight="1" x14ac:dyDescent="0.3"/>
    <row r="90" ht="18" hidden="1" customHeight="1" x14ac:dyDescent="0.3"/>
    <row r="91" ht="18" hidden="1" customHeight="1" x14ac:dyDescent="0.3"/>
    <row r="92" ht="18" hidden="1" customHeight="1" x14ac:dyDescent="0.3"/>
    <row r="93" ht="18" hidden="1" customHeight="1" x14ac:dyDescent="0.3"/>
    <row r="94" ht="18" hidden="1" customHeight="1" x14ac:dyDescent="0.3"/>
    <row r="95" ht="18" hidden="1" customHeight="1" x14ac:dyDescent="0.3"/>
    <row r="96" ht="18" hidden="1" customHeight="1" x14ac:dyDescent="0.3"/>
    <row r="97" ht="18" hidden="1" customHeight="1" x14ac:dyDescent="0.3"/>
    <row r="98" ht="18" hidden="1" customHeight="1" x14ac:dyDescent="0.3"/>
    <row r="99" ht="18" hidden="1" customHeight="1" x14ac:dyDescent="0.3"/>
    <row r="100" ht="18" hidden="1" customHeight="1" x14ac:dyDescent="0.3"/>
    <row r="101" ht="18" hidden="1" customHeight="1" x14ac:dyDescent="0.3"/>
    <row r="102" ht="18" hidden="1" customHeight="1" x14ac:dyDescent="0.3"/>
    <row r="103" ht="18" hidden="1" customHeight="1" x14ac:dyDescent="0.3"/>
    <row r="104" ht="18" hidden="1" customHeight="1" x14ac:dyDescent="0.3"/>
    <row r="105" ht="18" hidden="1" customHeight="1" x14ac:dyDescent="0.3"/>
    <row r="106" ht="18" hidden="1" customHeight="1" x14ac:dyDescent="0.3"/>
    <row r="107" ht="18" hidden="1" customHeight="1" x14ac:dyDescent="0.3"/>
    <row r="108" ht="18" hidden="1" customHeight="1" x14ac:dyDescent="0.3"/>
    <row r="109" ht="18" hidden="1" customHeight="1" x14ac:dyDescent="0.3"/>
    <row r="110" ht="18" hidden="1" customHeight="1" x14ac:dyDescent="0.3"/>
    <row r="111" ht="18" hidden="1" customHeight="1" x14ac:dyDescent="0.3"/>
    <row r="112" ht="18" hidden="1" customHeight="1" x14ac:dyDescent="0.3"/>
    <row r="113" ht="18" hidden="1" customHeight="1" x14ac:dyDescent="0.3"/>
    <row r="114" ht="18" hidden="1" customHeight="1" x14ac:dyDescent="0.3"/>
    <row r="115" ht="18" hidden="1" customHeight="1" x14ac:dyDescent="0.3"/>
    <row r="116" ht="18" hidden="1" customHeight="1" x14ac:dyDescent="0.3"/>
    <row r="117" ht="18" hidden="1" customHeight="1" x14ac:dyDescent="0.3"/>
    <row r="118" ht="18" hidden="1" customHeight="1" x14ac:dyDescent="0.3"/>
    <row r="119" ht="18" hidden="1" customHeight="1" x14ac:dyDescent="0.3"/>
    <row r="120" ht="18" hidden="1" customHeight="1" x14ac:dyDescent="0.3"/>
    <row r="121" ht="18" hidden="1" customHeight="1" x14ac:dyDescent="0.3"/>
    <row r="122" ht="18" hidden="1" customHeight="1" x14ac:dyDescent="0.3"/>
    <row r="123" ht="18" hidden="1" customHeight="1" x14ac:dyDescent="0.3"/>
    <row r="124" ht="18" hidden="1" customHeight="1" x14ac:dyDescent="0.3"/>
    <row r="125" ht="18" hidden="1" customHeight="1" x14ac:dyDescent="0.3"/>
    <row r="126" ht="18" hidden="1" customHeight="1" x14ac:dyDescent="0.3"/>
    <row r="127" ht="18" hidden="1" customHeight="1" x14ac:dyDescent="0.3"/>
    <row r="128" ht="18" hidden="1" customHeight="1" x14ac:dyDescent="0.3"/>
    <row r="129" ht="18" hidden="1" customHeight="1" x14ac:dyDescent="0.3"/>
    <row r="130" ht="18" hidden="1" customHeight="1" x14ac:dyDescent="0.3"/>
    <row r="131" ht="18" hidden="1" customHeight="1" x14ac:dyDescent="0.3"/>
    <row r="132" ht="18" hidden="1" customHeight="1" x14ac:dyDescent="0.3"/>
    <row r="133" ht="18" hidden="1" customHeight="1" x14ac:dyDescent="0.3"/>
    <row r="134" ht="18" hidden="1" customHeight="1" x14ac:dyDescent="0.3"/>
    <row r="135" ht="16.2" hidden="1" x14ac:dyDescent="0.3"/>
    <row r="136" ht="16.2" hidden="1" x14ac:dyDescent="0.3"/>
    <row r="137" ht="18" hidden="1" customHeight="1" x14ac:dyDescent="0.3"/>
    <row r="138" ht="18" hidden="1" customHeight="1" x14ac:dyDescent="0.3"/>
    <row r="139" ht="18" hidden="1" customHeight="1" x14ac:dyDescent="0.3"/>
    <row r="140" ht="18" hidden="1" customHeight="1" x14ac:dyDescent="0.3"/>
    <row r="141" ht="18" hidden="1" customHeight="1" x14ac:dyDescent="0.3"/>
    <row r="142" ht="18" hidden="1" customHeight="1" x14ac:dyDescent="0.3"/>
    <row r="143" ht="18" hidden="1" customHeight="1" x14ac:dyDescent="0.3"/>
    <row r="144" ht="18" hidden="1" customHeight="1" x14ac:dyDescent="0.3"/>
    <row r="145" ht="18" hidden="1" customHeight="1" x14ac:dyDescent="0.3"/>
    <row r="146" ht="18" hidden="1" customHeight="1" x14ac:dyDescent="0.3"/>
    <row r="147" ht="18" hidden="1" customHeight="1" x14ac:dyDescent="0.3"/>
    <row r="148" ht="18" hidden="1" customHeight="1" x14ac:dyDescent="0.3"/>
    <row r="149" ht="18" hidden="1" customHeight="1" x14ac:dyDescent="0.3"/>
    <row r="150" ht="18" hidden="1" customHeight="1" x14ac:dyDescent="0.3"/>
  </sheetData>
  <mergeCells count="4">
    <mergeCell ref="J1:K1"/>
    <mergeCell ref="N6:N8"/>
    <mergeCell ref="U2:U45"/>
    <mergeCell ref="AB2:AB45"/>
  </mergeCells>
  <phoneticPr fontId="2" type="noConversion"/>
  <conditionalFormatting sqref="J2:K45">
    <cfRule type="cellIs" dxfId="98" priority="9" operator="equal">
      <formula>"/"</formula>
    </cfRule>
    <cfRule type="cellIs" dxfId="97" priority="24" operator="lessThan">
      <formula>0</formula>
    </cfRule>
    <cfRule type="cellIs" dxfId="96" priority="25" operator="greaterThan">
      <formula>0</formula>
    </cfRule>
  </conditionalFormatting>
  <conditionalFormatting sqref="M2:M45">
    <cfRule type="cellIs" dxfId="95" priority="6" operator="equal">
      <formula>2</formula>
    </cfRule>
    <cfRule type="cellIs" dxfId="94" priority="7" operator="equal">
      <formula>1</formula>
    </cfRule>
    <cfRule type="cellIs" dxfId="93" priority="8" operator="equal">
      <formula>0</formula>
    </cfRule>
  </conditionalFormatting>
  <conditionalFormatting sqref="A2:V2 V5:AA45 V3:V4 AB2 W2:AA4 AC2:AJ45 A3:T45">
    <cfRule type="expression" dxfId="92" priority="1242">
      <formula>MOD(ROW(),2)=0</formula>
    </cfRule>
  </conditionalFormatting>
  <conditionalFormatting sqref="U2 AB2 AI2:AI45">
    <cfRule type="expression" dxfId="91" priority="46">
      <formula>TRUE</formula>
    </cfRule>
  </conditionalFormatting>
  <conditionalFormatting sqref="F6:F8 G21:G35">
    <cfRule type="expression" dxfId="90" priority="53">
      <formula>IF(OR($J$1="差距(UQ)",$J$1="差距(Median)"),TRUE)</formula>
    </cfRule>
  </conditionalFormatting>
  <conditionalFormatting sqref="H6:H8 H21:H35">
    <cfRule type="expression" dxfId="89" priority="52">
      <formula>IF($J$1="差距(LQ)",TRUE)</formula>
    </cfRule>
  </conditionalFormatting>
  <hyperlinks>
    <hyperlink ref="B67" r:id="rId1" xr:uid="{00000000-0004-0000-1100-000000000000}"/>
    <hyperlink ref="B70" r:id="rId2" xr:uid="{00000000-0004-0000-1100-000001000000}"/>
    <hyperlink ref="B68" r:id="rId3" xr:uid="{00000000-0004-0000-1100-000002000000}"/>
    <hyperlink ref="B69" r:id="rId4" xr:uid="{00000000-0004-0000-1100-000003000000}"/>
    <hyperlink ref="B71" r:id="rId5" xr:uid="{00000000-0004-0000-1100-000004000000}"/>
    <hyperlink ref="B72" r:id="rId6" xr:uid="{00000000-0004-0000-1100-000005000000}"/>
    <hyperlink ref="B73" r:id="rId7" xr:uid="{00000000-0004-0000-1100-000006000000}"/>
    <hyperlink ref="B74" r:id="rId8" xr:uid="{00000000-0004-0000-1100-000007000000}"/>
    <hyperlink ref="B64" r:id="rId9" xr:uid="{00000000-0004-0000-1100-000008000000}"/>
    <hyperlink ref="B65" r:id="rId10" xr:uid="{00000000-0004-0000-1100-000009000000}"/>
  </hyperlinks>
  <pageMargins left="0.7" right="0.7" top="0.75" bottom="0.75" header="0.3" footer="0.3"/>
  <pageSetup paperSize="9" orientation="portrait"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 id="{1766E465-D837-43E7-A8D6-BB9086A44C00}">
            <xm:f>入學要求!K380=0</xm:f>
            <x14:dxf>
              <font>
                <color rgb="FF9C0006"/>
              </font>
              <fill>
                <patternFill>
                  <bgColor rgb="FFFFC7CE"/>
                </patternFill>
              </fill>
            </x14:dxf>
          </x14:cfRule>
          <x14:cfRule type="expression" priority="3" id="{8ABC3086-BCAD-4EB3-A787-F76B0CAD7E75}">
            <xm:f>入學要求!K380=2</xm:f>
            <x14:dxf>
              <font>
                <color rgb="FF9C5700"/>
              </font>
              <fill>
                <patternFill>
                  <bgColor rgb="FFFFEB9C"/>
                </patternFill>
              </fill>
            </x14:dxf>
          </x14:cfRule>
          <x14:cfRule type="expression" priority="5" id="{ECB77FD5-7882-4253-B8C7-617370B6843C}">
            <xm:f>入學要求!K380=1</xm:f>
            <x14:dxf>
              <font>
                <color rgb="FF006100"/>
              </font>
              <fill>
                <patternFill>
                  <bgColor rgb="FFC6EFCE"/>
                </patternFill>
              </fill>
            </x14:dxf>
          </x14:cfRule>
          <xm:sqref>P2:T45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1100-000000000000}">
          <x14:formula1>
            <xm:f>選單!$J$1:$J$3</xm:f>
          </x14:formula1>
          <xm:sqref>J1</xm:sqref>
        </x14:dataValidation>
        <x14:dataValidation type="list" allowBlank="1" showInputMessage="1" showErrorMessage="1" xr:uid="{F5CA2599-2965-43CF-A68E-09C0D6DAD830}">
          <x14:formula1>
            <xm:f>選單!$I$1:$I$4</xm:f>
          </x14:formula1>
          <xm:sqref>U2:U45</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dimension ref="A1:XFC107"/>
  <sheetViews>
    <sheetView zoomScaleNormal="100" workbookViewId="0">
      <selection activeCell="K12" sqref="K12"/>
    </sheetView>
  </sheetViews>
  <sheetFormatPr defaultColWidth="0" defaultRowHeight="13.8" zeroHeight="1" x14ac:dyDescent="0.3"/>
  <cols>
    <col min="1" max="1" width="9" style="4" customWidth="1"/>
    <col min="2" max="2" width="12.88671875" style="4" customWidth="1"/>
    <col min="3" max="3" width="9" style="4" customWidth="1"/>
    <col min="4" max="4" width="7.6640625" style="4" customWidth="1"/>
    <col min="5" max="6" width="7.6640625" style="15" customWidth="1"/>
    <col min="7" max="7" width="9.44140625" style="15" customWidth="1"/>
    <col min="8" max="14" width="7.6640625" style="15" customWidth="1"/>
    <col min="15" max="17" width="7.6640625" style="4" customWidth="1"/>
    <col min="18" max="18" width="8.33203125" style="15" customWidth="1"/>
    <col min="19" max="19" width="10.21875" style="4" customWidth="1"/>
    <col min="20" max="20" width="7.6640625" style="4" customWidth="1"/>
    <col min="21" max="30" width="9" style="4" customWidth="1"/>
    <col min="31" max="16383" width="9" style="2" hidden="1"/>
    <col min="16384" max="16384" width="5.88671875" style="2" hidden="1"/>
  </cols>
  <sheetData>
    <row r="1" spans="1:18" s="4" customFormat="1" ht="18" x14ac:dyDescent="0.3">
      <c r="A1" s="126" t="s">
        <v>2604</v>
      </c>
      <c r="E1" s="15"/>
      <c r="F1" s="15"/>
      <c r="G1" s="15"/>
      <c r="H1" s="15"/>
      <c r="I1" s="15"/>
      <c r="J1" s="15"/>
      <c r="K1" s="15"/>
      <c r="L1" s="15"/>
      <c r="M1" s="15"/>
      <c r="N1" s="15"/>
      <c r="R1" s="15"/>
    </row>
    <row r="2" spans="1:18" s="4" customFormat="1" ht="13.5" customHeight="1" x14ac:dyDescent="0.3">
      <c r="E2" s="15"/>
      <c r="F2" s="15"/>
      <c r="G2" s="15"/>
      <c r="H2" s="15"/>
      <c r="I2" s="15"/>
      <c r="J2" s="15"/>
      <c r="K2" s="15"/>
      <c r="L2" s="15"/>
      <c r="M2" s="15"/>
      <c r="N2" s="15"/>
      <c r="R2" s="15"/>
    </row>
    <row r="3" spans="1:18" s="4" customFormat="1" ht="13.5" customHeight="1" x14ac:dyDescent="0.3">
      <c r="A3" s="117" t="str">
        <f>主頁!B28</f>
        <v>核心科目</v>
      </c>
      <c r="B3" s="116"/>
      <c r="C3" s="119" t="s">
        <v>2605</v>
      </c>
      <c r="E3" s="117" t="str">
        <f>主頁!B35</f>
        <v>選修科目</v>
      </c>
      <c r="F3" s="116"/>
      <c r="G3" s="119" t="s">
        <v>2605</v>
      </c>
      <c r="H3" s="15"/>
      <c r="I3" s="15"/>
      <c r="J3" s="15"/>
      <c r="K3" s="15"/>
      <c r="L3" s="15"/>
      <c r="M3" s="15"/>
      <c r="N3" s="15"/>
      <c r="R3" s="15"/>
    </row>
    <row r="4" spans="1:18" s="4" customFormat="1" ht="13.5" customHeight="1" x14ac:dyDescent="0.3">
      <c r="A4" s="118" t="str">
        <f>主頁!B29</f>
        <v>中國語文</v>
      </c>
      <c r="B4" s="120" t="str">
        <f>IF(主頁!C29=0,"",主頁!C29)</f>
        <v/>
      </c>
      <c r="C4" s="120" t="str">
        <f>IF(計分版!I15=TRUE,"是","")</f>
        <v/>
      </c>
      <c r="E4" s="118" t="str">
        <f>主頁!B36</f>
        <v/>
      </c>
      <c r="F4" s="120" t="str">
        <f>IF(主頁!C36=0,"",主頁!C36)</f>
        <v/>
      </c>
      <c r="G4" s="120" t="str">
        <f>IF(計分版!N15=TRUE,"是","")</f>
        <v/>
      </c>
      <c r="H4" s="15"/>
      <c r="I4" s="15"/>
      <c r="J4" s="15"/>
      <c r="K4" s="15"/>
      <c r="L4" s="15"/>
      <c r="M4" s="15"/>
      <c r="N4" s="15"/>
      <c r="R4" s="15"/>
    </row>
    <row r="5" spans="1:18" s="4" customFormat="1" ht="13.5" customHeight="1" x14ac:dyDescent="0.3">
      <c r="A5" s="121" t="str">
        <f>主頁!B30</f>
        <v>英國語文</v>
      </c>
      <c r="B5" s="122" t="str">
        <f>IF(主頁!C30=0,"",主頁!C30)</f>
        <v/>
      </c>
      <c r="C5" s="122" t="str">
        <f>IF(計分版!J15=TRUE,"是","")</f>
        <v/>
      </c>
      <c r="E5" s="121" t="str">
        <f>主頁!B37</f>
        <v/>
      </c>
      <c r="F5" s="122" t="str">
        <f>IF(主頁!C37=0,"",主頁!C37)</f>
        <v/>
      </c>
      <c r="G5" s="122" t="str">
        <f>IF(計分版!O15=TRUE,"是","")</f>
        <v/>
      </c>
      <c r="H5" s="15"/>
      <c r="I5" s="15"/>
      <c r="J5" s="15"/>
      <c r="K5" s="15"/>
      <c r="L5" s="15"/>
      <c r="M5" s="15"/>
      <c r="N5" s="15"/>
      <c r="R5" s="15"/>
    </row>
    <row r="6" spans="1:18" s="4" customFormat="1" ht="13.5" customHeight="1" x14ac:dyDescent="0.3">
      <c r="A6" s="118" t="str">
        <f>主頁!B31</f>
        <v>數學</v>
      </c>
      <c r="B6" s="120" t="str">
        <f>IF(主頁!C31=0,"",主頁!C31)</f>
        <v/>
      </c>
      <c r="C6" s="120" t="str">
        <f>IF(計分版!K15=TRUE,"是","")</f>
        <v/>
      </c>
      <c r="E6" s="118" t="str">
        <f>主頁!B38</f>
        <v/>
      </c>
      <c r="F6" s="120" t="str">
        <f>IF(主頁!C38=0,"",主頁!C38)</f>
        <v/>
      </c>
      <c r="G6" s="120" t="str">
        <f>IF(計分版!P15=TRUE,"是","")</f>
        <v/>
      </c>
      <c r="H6" s="15"/>
      <c r="I6" s="15"/>
      <c r="J6" s="15"/>
      <c r="K6" s="15"/>
      <c r="L6" s="15"/>
      <c r="M6" s="15"/>
      <c r="N6" s="15"/>
      <c r="R6" s="15"/>
    </row>
    <row r="7" spans="1:18" s="4" customFormat="1" ht="13.5" customHeight="1" x14ac:dyDescent="0.3">
      <c r="A7" s="121" t="str">
        <f>主頁!B32</f>
        <v>通識教育</v>
      </c>
      <c r="B7" s="122" t="str">
        <f>IF(主頁!C32=0,"",主頁!C32)</f>
        <v/>
      </c>
      <c r="C7" s="122" t="str">
        <f>IF(計分版!L15=TRUE,"是","")</f>
        <v/>
      </c>
      <c r="E7" s="121" t="str">
        <f>主頁!B39</f>
        <v/>
      </c>
      <c r="F7" s="122" t="str">
        <f>IF(主頁!C39=0,"",主頁!C39)</f>
        <v/>
      </c>
      <c r="G7" s="122" t="str">
        <f>IF(計分版!Q15=TRUE,"是","")</f>
        <v/>
      </c>
      <c r="H7" s="15"/>
      <c r="I7" s="15"/>
      <c r="J7" s="15"/>
      <c r="K7" s="15"/>
      <c r="L7" s="15"/>
      <c r="M7" s="15"/>
      <c r="N7" s="15"/>
      <c r="R7" s="15"/>
    </row>
    <row r="8" spans="1:18" s="4" customFormat="1" ht="13.5" customHeight="1" x14ac:dyDescent="0.3">
      <c r="A8" s="118" t="str">
        <f>主頁!B33</f>
        <v>M1/2</v>
      </c>
      <c r="B8" s="120" t="str">
        <f>IF(主頁!C33=0,"",主頁!C33)</f>
        <v/>
      </c>
      <c r="C8" s="120" t="str">
        <f>IF(計分版!M15=TRUE,"是","")</f>
        <v/>
      </c>
      <c r="E8" s="118" t="str">
        <f>主頁!B40</f>
        <v/>
      </c>
      <c r="F8" s="120" t="str">
        <f>IF(主頁!C40=0,"",主頁!C40)</f>
        <v/>
      </c>
      <c r="G8" s="120" t="str">
        <f>IF(計分版!R15=TRUE,"是","")</f>
        <v/>
      </c>
      <c r="H8" s="15"/>
      <c r="I8" s="15"/>
      <c r="J8" s="15"/>
      <c r="K8" s="15"/>
      <c r="L8" s="15"/>
      <c r="M8" s="15"/>
      <c r="N8" s="15"/>
      <c r="R8" s="15"/>
    </row>
    <row r="9" spans="1:18" s="4" customFormat="1" ht="13.5" customHeight="1" x14ac:dyDescent="0.3">
      <c r="A9" s="23"/>
      <c r="B9" s="15"/>
      <c r="C9" s="15"/>
      <c r="E9" s="15"/>
      <c r="F9" s="15"/>
      <c r="G9" s="15"/>
      <c r="H9" s="15"/>
      <c r="I9" s="15"/>
      <c r="J9" s="15"/>
      <c r="K9" s="15"/>
      <c r="L9" s="15"/>
      <c r="M9" s="15"/>
      <c r="N9" s="15"/>
      <c r="R9" s="15"/>
    </row>
    <row r="10" spans="1:18" s="4" customFormat="1" ht="13.5" customHeight="1" x14ac:dyDescent="0.3">
      <c r="A10" s="4" t="s">
        <v>2606</v>
      </c>
      <c r="E10" s="15"/>
      <c r="F10" s="15"/>
      <c r="G10" s="15"/>
      <c r="H10" s="15"/>
      <c r="I10" s="15"/>
      <c r="J10" s="15"/>
      <c r="K10" s="15"/>
      <c r="L10" s="15"/>
      <c r="M10" s="15"/>
      <c r="N10" s="15"/>
      <c r="R10" s="15"/>
    </row>
    <row r="11" spans="1:18" s="4" customFormat="1" ht="13.5" customHeight="1" x14ac:dyDescent="0.3">
      <c r="E11" s="15"/>
      <c r="F11" s="15"/>
      <c r="G11" s="15"/>
      <c r="H11" s="15"/>
      <c r="I11" s="15"/>
      <c r="J11" s="15"/>
      <c r="K11" s="15"/>
      <c r="L11" s="15"/>
      <c r="M11" s="15"/>
      <c r="N11" s="15"/>
      <c r="R11" s="15"/>
    </row>
    <row r="12" spans="1:18" s="37" customFormat="1" ht="13.5" customHeight="1" x14ac:dyDescent="0.3">
      <c r="A12" s="124" t="s">
        <v>747</v>
      </c>
      <c r="B12" s="123"/>
      <c r="C12" s="123"/>
      <c r="D12" s="123" t="s">
        <v>2035</v>
      </c>
      <c r="E12" s="123" t="s">
        <v>1946</v>
      </c>
      <c r="F12" s="123" t="s">
        <v>1947</v>
      </c>
      <c r="G12" s="123" t="s">
        <v>2607</v>
      </c>
      <c r="H12" s="602" t="s">
        <v>2611</v>
      </c>
      <c r="I12" s="602"/>
      <c r="J12" s="123" t="s">
        <v>2612</v>
      </c>
    </row>
    <row r="13" spans="1:18" s="4" customFormat="1" ht="13.5" customHeight="1" x14ac:dyDescent="0.3">
      <c r="A13" s="4" t="s">
        <v>810</v>
      </c>
      <c r="B13" s="4" t="s">
        <v>813</v>
      </c>
      <c r="C13" s="15" t="s">
        <v>1977</v>
      </c>
      <c r="D13" s="385">
        <f>ROUND(INDEX('Reference Score Calculation'!F$139:F$206,MATCH('Retake 扣分'!$A13,'Reference Score Calculation'!$A$139:$A$206,0)),2)</f>
        <v>32</v>
      </c>
      <c r="E13" s="385">
        <f>ROUND(INDEX('Reference Score Calculation'!G$139:G$206,MATCH('Retake 扣分'!$A13,'Reference Score Calculation'!$A$139:$A$206,0)),2)</f>
        <v>26</v>
      </c>
      <c r="F13" s="385">
        <f>ROUND(INDEX('Reference Score Calculation'!H$139:H$206,MATCH('Retake 扣分'!$A13,'Reference Score Calculation'!$A$139:$A$206,0)),2)</f>
        <v>24.5</v>
      </c>
      <c r="G13" s="543">
        <f>ROUND(INDEX(計分版!$H$160:$H$227,MATCH('Retake 扣分'!A13,計分版!$A$160:$A$227,0)),2)</f>
        <v>0</v>
      </c>
      <c r="H13" s="586" t="s">
        <v>2334</v>
      </c>
      <c r="I13" s="586"/>
      <c r="J13" s="15" t="s">
        <v>2613</v>
      </c>
      <c r="M13" s="29"/>
    </row>
    <row r="14" spans="1:18" s="4" customFormat="1" ht="13.5" customHeight="1" x14ac:dyDescent="0.3">
      <c r="A14" s="4" t="s">
        <v>819</v>
      </c>
      <c r="B14" s="4" t="s">
        <v>822</v>
      </c>
      <c r="C14" s="15" t="s">
        <v>1977</v>
      </c>
      <c r="D14" s="385">
        <f>ROUND(INDEX('Reference Score Calculation'!F$139:F$206,MATCH('Retake 扣分'!$A14,'Reference Score Calculation'!$A$139:$A$206,0)),2)</f>
        <v>27.5</v>
      </c>
      <c r="E14" s="385">
        <f>ROUND(INDEX('Reference Score Calculation'!G$139:G$206,MATCH('Retake 扣分'!$A14,'Reference Score Calculation'!$A$139:$A$206,0)),2)</f>
        <v>24.5</v>
      </c>
      <c r="F14" s="385">
        <f>ROUND(INDEX('Reference Score Calculation'!H$139:H$206,MATCH('Retake 扣分'!$A14,'Reference Score Calculation'!$A$139:$A$206,0)),2)</f>
        <v>24.5</v>
      </c>
      <c r="G14" s="543">
        <f>ROUND(INDEX(計分版!$H$160:$H$227,MATCH('Retake 扣分'!A14,計分版!$A$160:$A$227,0)),2)</f>
        <v>0</v>
      </c>
      <c r="H14" s="586" t="s">
        <v>2334</v>
      </c>
      <c r="I14" s="586"/>
      <c r="J14" s="15" t="s">
        <v>2614</v>
      </c>
      <c r="M14" s="29"/>
    </row>
    <row r="15" spans="1:18" s="4" customFormat="1" ht="13.5" customHeight="1" x14ac:dyDescent="0.3">
      <c r="A15" s="4" t="s">
        <v>824</v>
      </c>
      <c r="B15" s="4" t="s">
        <v>827</v>
      </c>
      <c r="C15" s="15" t="s">
        <v>1969</v>
      </c>
      <c r="D15" s="385">
        <f>ROUND(INDEX('Reference Score Calculation'!F$139:F$206,MATCH('Retake 扣分'!$A15,'Reference Score Calculation'!$A$139:$A$206,0)),2)</f>
        <v>49.5</v>
      </c>
      <c r="E15" s="385">
        <f>ROUND(INDEX('Reference Score Calculation'!G$139:G$206,MATCH('Retake 扣分'!$A15,'Reference Score Calculation'!$A$139:$A$206,0)),2)</f>
        <v>45</v>
      </c>
      <c r="F15" s="385">
        <f>ROUND(INDEX('Reference Score Calculation'!H$139:H$206,MATCH('Retake 扣分'!$A15,'Reference Score Calculation'!$A$139:$A$206,0)),2)</f>
        <v>43.5</v>
      </c>
      <c r="G15" s="543">
        <f>ROUND(INDEX(計分版!$H$160:$H$227,MATCH('Retake 扣分'!A15,計分版!$A$160:$A$227,0)),2)</f>
        <v>0</v>
      </c>
      <c r="H15" s="586" t="s">
        <v>2334</v>
      </c>
      <c r="I15" s="586"/>
      <c r="J15" s="15" t="s">
        <v>2614</v>
      </c>
      <c r="M15" s="29"/>
    </row>
    <row r="16" spans="1:18" s="4" customFormat="1" ht="13.5" customHeight="1" x14ac:dyDescent="0.3">
      <c r="A16" s="4" t="s">
        <v>828</v>
      </c>
      <c r="B16" s="4" t="s">
        <v>831</v>
      </c>
      <c r="C16" s="539" t="s">
        <v>1977</v>
      </c>
      <c r="D16" s="385">
        <f>ROUND(INDEX('Reference Score Calculation'!F$139:F$206,MATCH('Retake 扣分'!$A16,'Reference Score Calculation'!$A$139:$A$206,0)),2)</f>
        <v>24.5</v>
      </c>
      <c r="E16" s="385">
        <f>ROUND(INDEX('Reference Score Calculation'!G$139:G$206,MATCH('Retake 扣分'!$A16,'Reference Score Calculation'!$A$139:$A$206,0)),2)</f>
        <v>23</v>
      </c>
      <c r="F16" s="385">
        <f>ROUND(INDEX('Reference Score Calculation'!H$139:H$206,MATCH('Retake 扣分'!$A16,'Reference Score Calculation'!$A$139:$A$206,0)),2)</f>
        <v>23</v>
      </c>
      <c r="G16" s="543">
        <f>ROUND(INDEX(計分版!$H$160:$H$227,MATCH('Retake 扣分'!A16,計分版!$A$160:$A$227,0)),2)</f>
        <v>0</v>
      </c>
      <c r="H16" s="586" t="s">
        <v>2334</v>
      </c>
      <c r="I16" s="586"/>
      <c r="J16" s="15" t="s">
        <v>2614</v>
      </c>
      <c r="M16" s="29"/>
    </row>
    <row r="17" spans="1:27" s="4" customFormat="1" ht="13.5" customHeight="1" x14ac:dyDescent="0.3">
      <c r="A17" s="4" t="s">
        <v>833</v>
      </c>
      <c r="B17" s="4" t="s">
        <v>836</v>
      </c>
      <c r="C17" s="27" t="s">
        <v>1977</v>
      </c>
      <c r="D17" s="385">
        <f>ROUND(INDEX('Reference Score Calculation'!F$139:F$206,MATCH('Retake 扣分'!$A17,'Reference Score Calculation'!$A$139:$A$206,0)),2)</f>
        <v>33.5</v>
      </c>
      <c r="E17" s="385">
        <f>ROUND(INDEX('Reference Score Calculation'!G$139:G$206,MATCH('Retake 扣分'!$A17,'Reference Score Calculation'!$A$139:$A$206,0)),2)</f>
        <v>30.5</v>
      </c>
      <c r="F17" s="385">
        <f>ROUND(INDEX('Reference Score Calculation'!H$139:H$206,MATCH('Retake 扣分'!$A17,'Reference Score Calculation'!$A$139:$A$206,0)),2)</f>
        <v>29</v>
      </c>
      <c r="G17" s="543">
        <f>ROUND(INDEX(計分版!$H$160:$H$227,MATCH('Retake 扣分'!A17,計分版!$A$160:$A$227,0)),2)</f>
        <v>0</v>
      </c>
      <c r="H17" s="586" t="s">
        <v>2335</v>
      </c>
      <c r="I17" s="586"/>
      <c r="J17" s="15" t="s">
        <v>2614</v>
      </c>
      <c r="M17" s="29"/>
    </row>
    <row r="18" spans="1:27" s="4" customFormat="1" ht="13.5" customHeight="1" x14ac:dyDescent="0.3">
      <c r="A18" s="4" t="s">
        <v>838</v>
      </c>
      <c r="B18" s="4" t="s">
        <v>841</v>
      </c>
      <c r="C18" s="27" t="s">
        <v>1977</v>
      </c>
      <c r="D18" s="385">
        <f>ROUND(INDEX('Reference Score Calculation'!F$139:F$206,MATCH('Retake 扣分'!$A18,'Reference Score Calculation'!$A$139:$A$206,0)),2)</f>
        <v>28</v>
      </c>
      <c r="E18" s="385">
        <f>ROUND(INDEX('Reference Score Calculation'!G$139:G$206,MATCH('Retake 扣分'!$A18,'Reference Score Calculation'!$A$139:$A$206,0)),2)</f>
        <v>26</v>
      </c>
      <c r="F18" s="385">
        <f>ROUND(INDEX('Reference Score Calculation'!H$139:H$206,MATCH('Retake 扣分'!$A18,'Reference Score Calculation'!$A$139:$A$206,0)),2)</f>
        <v>25</v>
      </c>
      <c r="G18" s="543">
        <f>ROUND(INDEX(計分版!$H$160:$H$227,MATCH('Retake 扣分'!A18,計分版!$A$160:$A$227,0)),2)</f>
        <v>0</v>
      </c>
      <c r="H18" s="586" t="s">
        <v>2334</v>
      </c>
      <c r="I18" s="586"/>
      <c r="J18" s="15" t="s">
        <v>2614</v>
      </c>
      <c r="M18" s="29"/>
    </row>
    <row r="19" spans="1:27" s="4" customFormat="1" ht="13.5" customHeight="1" x14ac:dyDescent="0.3">
      <c r="A19" s="4" t="s">
        <v>842</v>
      </c>
      <c r="B19" s="4" t="s">
        <v>845</v>
      </c>
      <c r="C19" s="83" t="s">
        <v>1977</v>
      </c>
      <c r="D19" s="385">
        <f>ROUND(INDEX('Reference Score Calculation'!F$139:F$206,MATCH('Retake 扣分'!$A19,'Reference Score Calculation'!$A$139:$A$206,0)),2)</f>
        <v>52.5</v>
      </c>
      <c r="E19" s="385">
        <f>ROUND(INDEX('Reference Score Calculation'!G$139:G$206,MATCH('Retake 扣分'!$A19,'Reference Score Calculation'!$A$139:$A$206,0)),2)</f>
        <v>51</v>
      </c>
      <c r="F19" s="385">
        <f>ROUND(INDEX('Reference Score Calculation'!H$139:H$206,MATCH('Retake 扣分'!$A19,'Reference Score Calculation'!$A$139:$A$206,0)),2)</f>
        <v>48.75</v>
      </c>
      <c r="G19" s="543">
        <f>ROUND(INDEX(計分版!$H$160:$H$227,MATCH('Retake 扣分'!A19,計分版!$A$160:$A$227,0)),2)</f>
        <v>0</v>
      </c>
      <c r="H19" s="586" t="s">
        <v>2334</v>
      </c>
      <c r="I19" s="586"/>
      <c r="J19" s="15" t="s">
        <v>2614</v>
      </c>
      <c r="M19" s="29"/>
    </row>
    <row r="20" spans="1:27" s="4" customFormat="1" ht="13.5" customHeight="1" x14ac:dyDescent="0.3">
      <c r="A20" s="4" t="s">
        <v>852</v>
      </c>
      <c r="B20" s="4" t="s">
        <v>2248</v>
      </c>
      <c r="C20" s="45" t="s">
        <v>1969</v>
      </c>
      <c r="D20" s="385">
        <f>ROUND(INDEX('Reference Score Calculation'!F$139:F$206,MATCH('Retake 扣分'!$A20,'Reference Score Calculation'!$A$139:$A$206,0)),2)</f>
        <v>54.25</v>
      </c>
      <c r="E20" s="385">
        <f>ROUND(INDEX('Reference Score Calculation'!G$139:G$206,MATCH('Retake 扣分'!$A20,'Reference Score Calculation'!$A$139:$A$206,0)),2)</f>
        <v>51.25</v>
      </c>
      <c r="F20" s="385">
        <f>ROUND(INDEX('Reference Score Calculation'!H$139:H$206,MATCH('Retake 扣分'!$A20,'Reference Score Calculation'!$A$139:$A$206,0)),2)</f>
        <v>49</v>
      </c>
      <c r="G20" s="543">
        <f>ROUND(INDEX(計分版!$H$160:$H$227,MATCH('Retake 扣分'!A20,計分版!$A$160:$A$227,0)),2)</f>
        <v>0</v>
      </c>
      <c r="H20" s="586" t="s">
        <v>2334</v>
      </c>
      <c r="I20" s="586"/>
      <c r="J20" s="15" t="s">
        <v>2614</v>
      </c>
      <c r="M20" s="29"/>
    </row>
    <row r="21" spans="1:27" s="4" customFormat="1" ht="13.5" customHeight="1" x14ac:dyDescent="0.3">
      <c r="A21" s="4" t="s">
        <v>860</v>
      </c>
      <c r="B21" s="4" t="s">
        <v>863</v>
      </c>
      <c r="C21" s="15" t="s">
        <v>1977</v>
      </c>
      <c r="D21" s="385">
        <f>ROUND(INDEX('Reference Score Calculation'!F$139:F$206,MATCH('Retake 扣分'!$A21,'Reference Score Calculation'!$A$139:$A$206,0)),2)</f>
        <v>30.5</v>
      </c>
      <c r="E21" s="385">
        <f>ROUND(INDEX('Reference Score Calculation'!G$139:G$206,MATCH('Retake 扣分'!$A21,'Reference Score Calculation'!$A$139:$A$206,0)),2)</f>
        <v>27.5</v>
      </c>
      <c r="F21" s="385">
        <f>ROUND(INDEX('Reference Score Calculation'!H$139:H$206,MATCH('Retake 扣分'!$A21,'Reference Score Calculation'!$A$139:$A$206,0)),2)</f>
        <v>26</v>
      </c>
      <c r="G21" s="543">
        <f>ROUND(INDEX(計分版!$H$160:$H$227,MATCH('Retake 扣分'!A21,計分版!$A$160:$A$227,0)),2)</f>
        <v>0</v>
      </c>
      <c r="H21" s="586" t="s">
        <v>2334</v>
      </c>
      <c r="I21" s="586"/>
      <c r="J21" s="15" t="s">
        <v>2614</v>
      </c>
      <c r="M21" s="29"/>
    </row>
    <row r="22" spans="1:27" s="4" customFormat="1" ht="13.5" customHeight="1" x14ac:dyDescent="0.3">
      <c r="A22" s="4" t="s">
        <v>865</v>
      </c>
      <c r="B22" s="4" t="s">
        <v>2249</v>
      </c>
      <c r="C22" s="37" t="s">
        <v>1977</v>
      </c>
      <c r="D22" s="385">
        <f>ROUND(INDEX('Reference Score Calculation'!F$139:F$206,MATCH('Retake 扣分'!$A22,'Reference Score Calculation'!$A$139:$A$206,0)),2)</f>
        <v>38.5</v>
      </c>
      <c r="E22" s="385">
        <f>ROUND(INDEX('Reference Score Calculation'!G$139:G$206,MATCH('Retake 扣分'!$A22,'Reference Score Calculation'!$A$139:$A$206,0)),2)</f>
        <v>34</v>
      </c>
      <c r="F22" s="385">
        <f>ROUND(INDEX('Reference Score Calculation'!H$139:H$206,MATCH('Retake 扣分'!$A22,'Reference Score Calculation'!$A$139:$A$206,0)),2)</f>
        <v>32.5</v>
      </c>
      <c r="G22" s="543">
        <f>ROUND(INDEX(計分版!$H$160:$H$227,MATCH('Retake 扣分'!A22,計分版!$A$160:$A$227,0)),2)</f>
        <v>0</v>
      </c>
      <c r="H22" s="586" t="s">
        <v>2334</v>
      </c>
      <c r="I22" s="586"/>
      <c r="J22" s="15" t="s">
        <v>2614</v>
      </c>
      <c r="M22" s="29"/>
    </row>
    <row r="23" spans="1:27" s="4" customFormat="1" ht="13.5" customHeight="1" x14ac:dyDescent="0.3">
      <c r="A23" s="4" t="s">
        <v>870</v>
      </c>
      <c r="B23" s="4" t="s">
        <v>873</v>
      </c>
      <c r="C23" s="37" t="s">
        <v>1977</v>
      </c>
      <c r="D23" s="385">
        <f>ROUND(INDEX('Reference Score Calculation'!F$139:F$206,MATCH('Retake 扣分'!$A23,'Reference Score Calculation'!$A$139:$A$206,0)),2)</f>
        <v>36.25</v>
      </c>
      <c r="E23" s="385">
        <f>ROUND(INDEX('Reference Score Calculation'!G$139:G$206,MATCH('Retake 扣分'!$A23,'Reference Score Calculation'!$A$139:$A$206,0)),2)</f>
        <v>34</v>
      </c>
      <c r="F23" s="385">
        <f>ROUND(INDEX('Reference Score Calculation'!H$139:H$206,MATCH('Retake 扣分'!$A23,'Reference Score Calculation'!$A$139:$A$206,0)),2)</f>
        <v>31.75</v>
      </c>
      <c r="G23" s="543">
        <f>ROUND(INDEX(計分版!$H$160:$H$227,MATCH('Retake 扣分'!A23,計分版!$A$160:$A$227,0)),2)</f>
        <v>0</v>
      </c>
      <c r="H23" s="586" t="s">
        <v>2334</v>
      </c>
      <c r="I23" s="586"/>
      <c r="J23" s="15" t="s">
        <v>2614</v>
      </c>
      <c r="M23" s="29"/>
    </row>
    <row r="24" spans="1:27" s="4" customFormat="1" ht="13.5" customHeight="1" x14ac:dyDescent="0.3">
      <c r="A24" s="4" t="s">
        <v>875</v>
      </c>
      <c r="B24" s="4" t="s">
        <v>878</v>
      </c>
      <c r="C24" s="37" t="s">
        <v>1977</v>
      </c>
      <c r="D24" s="385">
        <f>ROUND(INDEX('Reference Score Calculation'!F$139:F$206,MATCH('Retake 扣分'!$A24,'Reference Score Calculation'!$A$139:$A$206,0)),2)</f>
        <v>41.25</v>
      </c>
      <c r="E24" s="385">
        <f>ROUND(INDEX('Reference Score Calculation'!G$139:G$206,MATCH('Retake 扣分'!$A24,'Reference Score Calculation'!$A$139:$A$206,0)),2)</f>
        <v>47.5</v>
      </c>
      <c r="F24" s="385">
        <f>ROUND(INDEX('Reference Score Calculation'!H$139:H$206,MATCH('Retake 扣分'!$A24,'Reference Score Calculation'!$A$139:$A$206,0)),2)</f>
        <v>44.75</v>
      </c>
      <c r="G24" s="543">
        <f>ROUND(INDEX(計分版!$H$160:$H$227,MATCH('Retake 扣分'!A24,計分版!$A$160:$A$227,0)),2)</f>
        <v>0</v>
      </c>
      <c r="H24" s="586" t="s">
        <v>2334</v>
      </c>
      <c r="I24" s="586"/>
      <c r="J24" s="15" t="s">
        <v>2614</v>
      </c>
      <c r="M24" s="29"/>
    </row>
    <row r="25" spans="1:27" s="4" customFormat="1" ht="13.5" customHeight="1" x14ac:dyDescent="0.3">
      <c r="A25" s="4" t="s">
        <v>936</v>
      </c>
      <c r="B25" s="4" t="s">
        <v>939</v>
      </c>
      <c r="C25" s="15" t="s">
        <v>2250</v>
      </c>
      <c r="D25" s="385">
        <f>ROUND(INDEX('Reference Score Calculation'!F$139:F$206,MATCH('Retake 扣分'!$A25,'Reference Score Calculation'!$A$139:$A$206,0)),2)</f>
        <v>44</v>
      </c>
      <c r="E25" s="385">
        <f>ROUND(INDEX('Reference Score Calculation'!G$139:G$206,MATCH('Retake 扣分'!$A25,'Reference Score Calculation'!$A$139:$A$206,0)),2)</f>
        <v>42</v>
      </c>
      <c r="F25" s="385">
        <f>ROUND(INDEX('Reference Score Calculation'!H$139:H$206,MATCH('Retake 扣分'!$A25,'Reference Score Calculation'!$A$139:$A$206,0)),2)</f>
        <v>41</v>
      </c>
      <c r="G25" s="543">
        <f>ROUND(INDEX(計分版!$H$160:$H$227,MATCH('Retake 扣分'!A25,計分版!$A$160:$A$227,0)),2)</f>
        <v>0</v>
      </c>
      <c r="H25" s="586" t="s">
        <v>2335</v>
      </c>
      <c r="I25" s="586"/>
      <c r="J25" s="15" t="s">
        <v>2614</v>
      </c>
      <c r="M25" s="29"/>
    </row>
    <row r="26" spans="1:27" s="4" customFormat="1" ht="13.5" customHeight="1" x14ac:dyDescent="0.3">
      <c r="A26" s="4" t="s">
        <v>940</v>
      </c>
      <c r="B26" s="4" t="s">
        <v>943</v>
      </c>
      <c r="C26" s="15" t="s">
        <v>2250</v>
      </c>
      <c r="D26" s="385">
        <f>ROUND(INDEX('Reference Score Calculation'!F$139:F$206,MATCH('Retake 扣分'!$A26,'Reference Score Calculation'!$A$139:$A$206,0)),2)</f>
        <v>47</v>
      </c>
      <c r="E26" s="385">
        <f>ROUND(INDEX('Reference Score Calculation'!G$139:G$206,MATCH('Retake 扣分'!$A26,'Reference Score Calculation'!$A$139:$A$206,0)),2)</f>
        <v>47</v>
      </c>
      <c r="F26" s="385">
        <f>ROUND(INDEX('Reference Score Calculation'!H$139:H$206,MATCH('Retake 扣分'!$A26,'Reference Score Calculation'!$A$139:$A$206,0)),2)</f>
        <v>46</v>
      </c>
      <c r="G26" s="543">
        <f>ROUND(INDEX(計分版!$H$160:$H$227,MATCH('Retake 扣分'!A26,計分版!$A$160:$A$227,0)),2)</f>
        <v>0</v>
      </c>
      <c r="H26" s="586" t="s">
        <v>2335</v>
      </c>
      <c r="I26" s="586"/>
      <c r="J26" s="15" t="s">
        <v>2614</v>
      </c>
      <c r="M26" s="29"/>
    </row>
    <row r="27" spans="1:27" s="4" customFormat="1" ht="13.5" customHeight="1" x14ac:dyDescent="0.3">
      <c r="A27" s="4" t="s">
        <v>947</v>
      </c>
      <c r="B27" s="4" t="s">
        <v>950</v>
      </c>
      <c r="C27" s="15" t="s">
        <v>1969</v>
      </c>
      <c r="D27" s="385">
        <f>ROUND(INDEX('Reference Score Calculation'!F$139:F$206,MATCH('Retake 扣分'!$A27,'Reference Score Calculation'!$A$139:$A$206,0)),2)</f>
        <v>37.5</v>
      </c>
      <c r="E27" s="385">
        <f>ROUND(INDEX('Reference Score Calculation'!G$139:G$206,MATCH('Retake 扣分'!$A27,'Reference Score Calculation'!$A$139:$A$206,0)),2)</f>
        <v>36</v>
      </c>
      <c r="F27" s="385">
        <f>ROUND(INDEX('Reference Score Calculation'!H$139:H$206,MATCH('Retake 扣分'!$A27,'Reference Score Calculation'!$A$139:$A$206,0)),2)</f>
        <v>34.5</v>
      </c>
      <c r="G27" s="543">
        <f>ROUND(INDEX(計分版!$H$160:$H$227,MATCH('Retake 扣分'!A27,計分版!$A$160:$A$227,0)),2)</f>
        <v>0</v>
      </c>
      <c r="H27" s="586" t="s">
        <v>2334</v>
      </c>
      <c r="I27" s="586"/>
      <c r="J27" s="15" t="s">
        <v>2614</v>
      </c>
      <c r="M27" s="29"/>
    </row>
    <row r="28" spans="1:27" s="4" customFormat="1" ht="13.5" customHeight="1" x14ac:dyDescent="0.3">
      <c r="A28" s="4" t="s">
        <v>1025</v>
      </c>
      <c r="B28" s="4" t="s">
        <v>1028</v>
      </c>
      <c r="C28" s="37" t="s">
        <v>1969</v>
      </c>
      <c r="D28" s="385">
        <f>ROUND(INDEX('Reference Score Calculation'!F$139:F$206,MATCH('Retake 扣分'!$A28,'Reference Score Calculation'!$A$139:$A$206,0)),2)</f>
        <v>38</v>
      </c>
      <c r="E28" s="385">
        <f>ROUND(INDEX('Reference Score Calculation'!G$139:G$206,MATCH('Retake 扣分'!$A28,'Reference Score Calculation'!$A$139:$A$206,0)),2)</f>
        <v>29.5</v>
      </c>
      <c r="F28" s="385">
        <f>ROUND(INDEX('Reference Score Calculation'!H$139:H$206,MATCH('Retake 扣分'!$A28,'Reference Score Calculation'!$A$139:$A$206,0)),2)</f>
        <v>27.25</v>
      </c>
      <c r="G28" s="543">
        <f>ROUND(INDEX(計分版!$H$160:$H$227,MATCH('Retake 扣分'!A28,計分版!$A$160:$A$227,0)),2)</f>
        <v>0</v>
      </c>
      <c r="H28" s="586" t="s">
        <v>2335</v>
      </c>
      <c r="I28" s="586"/>
      <c r="J28" s="15" t="s">
        <v>2614</v>
      </c>
      <c r="M28" s="29"/>
    </row>
    <row r="29" spans="1:27" s="4" customFormat="1" ht="13.5" customHeight="1" x14ac:dyDescent="0.3">
      <c r="A29" s="4" t="s">
        <v>1062</v>
      </c>
      <c r="B29" s="4" t="s">
        <v>1063</v>
      </c>
      <c r="C29" s="37" t="s">
        <v>1969</v>
      </c>
      <c r="D29" s="385">
        <f>ROUND(INDEX('Reference Score Calculation'!F$139:F$206,MATCH('Retake 扣分'!$A29,'Reference Score Calculation'!$A$139:$A$206,0)),2)</f>
        <v>49.75</v>
      </c>
      <c r="E29" s="385">
        <f>ROUND(INDEX('Reference Score Calculation'!G$139:G$206,MATCH('Retake 扣分'!$A29,'Reference Score Calculation'!$A$139:$A$206,0)),2)</f>
        <v>46</v>
      </c>
      <c r="F29" s="385">
        <f>ROUND(INDEX('Reference Score Calculation'!H$139:H$206,MATCH('Retake 扣分'!$A29,'Reference Score Calculation'!$A$139:$A$206,0)),2)</f>
        <v>44.5</v>
      </c>
      <c r="G29" s="543">
        <f>ROUND(INDEX(計分版!$H$160:$H$227,MATCH('Retake 扣分'!A29,計分版!$A$160:$A$227,0)),2)</f>
        <v>0</v>
      </c>
      <c r="H29" s="586" t="s">
        <v>2334</v>
      </c>
      <c r="I29" s="586"/>
      <c r="J29" s="15" t="s">
        <v>2614</v>
      </c>
      <c r="M29" s="29"/>
    </row>
    <row r="30" spans="1:27" s="4" customFormat="1" ht="13.5" customHeight="1" x14ac:dyDescent="0.3">
      <c r="E30" s="15"/>
      <c r="F30" s="15"/>
      <c r="G30" s="180"/>
      <c r="H30" s="15"/>
      <c r="I30" s="15"/>
      <c r="J30" s="15"/>
      <c r="K30" s="15"/>
      <c r="L30" s="15"/>
      <c r="M30" s="15"/>
      <c r="N30" s="15"/>
      <c r="R30" s="15"/>
    </row>
    <row r="31" spans="1:27" s="4" customFormat="1" ht="13.5" customHeight="1" x14ac:dyDescent="0.3">
      <c r="E31" s="15"/>
      <c r="F31" s="15"/>
      <c r="G31" s="180"/>
      <c r="H31" s="15"/>
      <c r="I31" s="15"/>
      <c r="J31" s="15"/>
      <c r="K31" s="15"/>
      <c r="L31" s="15"/>
      <c r="M31" s="15"/>
      <c r="N31" s="15"/>
      <c r="R31" s="15"/>
    </row>
    <row r="32" spans="1:27" s="15" customFormat="1" ht="13.5" customHeight="1" x14ac:dyDescent="0.3">
      <c r="A32" s="125" t="s">
        <v>1172</v>
      </c>
      <c r="B32" s="84"/>
      <c r="C32" s="84"/>
      <c r="D32" s="84" t="s">
        <v>2035</v>
      </c>
      <c r="E32" s="84" t="s">
        <v>1946</v>
      </c>
      <c r="F32" s="84" t="s">
        <v>1947</v>
      </c>
      <c r="G32" s="181" t="s">
        <v>2607</v>
      </c>
      <c r="H32" s="84" t="s">
        <v>2615</v>
      </c>
      <c r="I32" s="84" t="s">
        <v>2608</v>
      </c>
      <c r="J32" s="84" t="s">
        <v>1999</v>
      </c>
      <c r="K32" s="84" t="s">
        <v>2609</v>
      </c>
      <c r="L32" s="84" t="s">
        <v>2610</v>
      </c>
      <c r="M32" s="84" t="s">
        <v>2440</v>
      </c>
      <c r="N32" s="84" t="s">
        <v>2329</v>
      </c>
      <c r="O32" s="84" t="s">
        <v>2616</v>
      </c>
      <c r="P32" s="84" t="s">
        <v>2555</v>
      </c>
      <c r="Q32" s="84" t="s">
        <v>2556</v>
      </c>
      <c r="R32" s="84" t="s">
        <v>2611</v>
      </c>
      <c r="S32" s="84" t="s">
        <v>2612</v>
      </c>
      <c r="T32" s="130"/>
      <c r="U32" s="130"/>
      <c r="V32" s="130"/>
      <c r="W32" s="130"/>
      <c r="X32" s="130"/>
      <c r="Y32" s="130"/>
      <c r="Z32" s="130"/>
      <c r="AA32" s="130"/>
    </row>
    <row r="33" spans="1:19" s="4" customFormat="1" ht="14.4" x14ac:dyDescent="0.3">
      <c r="A33" s="4" t="s">
        <v>1173</v>
      </c>
      <c r="B33" s="4" t="str">
        <f>INDEX('Reference Score Calculation'!$D$237:$D$284,MATCH(A33,'Reference Score Calculation'!$A$237:$A$284,0))</f>
        <v>建築學文學士</v>
      </c>
      <c r="C33" s="346" t="str">
        <f>INDEX('Reference Score Calculation'!$E$237:$E$284,MATCH(A33,'Reference Score Calculation'!$A$237:$A$284,0))</f>
        <v>Best 6</v>
      </c>
      <c r="D33" s="385">
        <f>ROUND(INDEX('Reference Score Calculation'!F$237:F$284,MATCH('Retake 扣分'!$A33,'Reference Score Calculation'!$A$237:$A$284,0)),2)</f>
        <v>38</v>
      </c>
      <c r="E33" s="385">
        <f>ROUND(INDEX('Reference Score Calculation'!G$237:G$284,MATCH('Retake 扣分'!$A33,'Reference Score Calculation'!$A$237:$A$284,0)),2)</f>
        <v>36</v>
      </c>
      <c r="F33" s="385">
        <f>ROUND(INDEX('Reference Score Calculation'!H$237:H$284,MATCH('Retake 扣分'!$A33,'Reference Score Calculation'!$A$237:$A$284,0)),2)</f>
        <v>33</v>
      </c>
      <c r="G33" s="543">
        <f>ROUND(INDEX(計分版!$H$258:$H$305,MATCH('Retake 扣分'!A33,計分版!$A$258:$A$305,0)),2)</f>
        <v>0</v>
      </c>
      <c r="H33" s="560">
        <f>ROUND(INDEX(計分版!T$258:T$305,MATCH('Retake 扣分'!$A33,計分版!$A$258:$A$305,0)),2)</f>
        <v>0</v>
      </c>
      <c r="I33" s="560">
        <f>ROUND(INDEX(計分版!U$258:U$305,MATCH('Retake 扣分'!$A33,計分版!$A$258:$A$305,0)),2)</f>
        <v>0</v>
      </c>
      <c r="J33" s="560">
        <f>ROUND(INDEX(計分版!V$258:V$305,MATCH('Retake 扣分'!$A33,計分版!$A$258:$A$305,0)),2)</f>
        <v>0</v>
      </c>
      <c r="K33" s="560">
        <f>ROUND(INDEX(計分版!W$258:W$305,MATCH('Retake 扣分'!$A33,計分版!$A$258:$A$305,0)),2)</f>
        <v>0</v>
      </c>
      <c r="L33" s="560">
        <f>ROUND(INDEX(計分版!X$258:X$305,MATCH('Retake 扣分'!$A33,計分版!$A$258:$A$305,0)),2)</f>
        <v>0</v>
      </c>
      <c r="M33" s="560">
        <f>ROUND(INDEX(計分版!Y$258:Y$305,MATCH('Retake 扣分'!$A33,計分版!$A$258:$A$305,0)),2)</f>
        <v>0</v>
      </c>
      <c r="N33" s="560">
        <f>ROUND(INDEX(計分版!Z$258:Z$305,MATCH('Retake 扣分'!$A33,計分版!$A$258:$A$305,0)),2)</f>
        <v>0</v>
      </c>
      <c r="O33" s="560">
        <f>ROUND(INDEX(計分版!AA$258:AA$305,MATCH('Retake 扣分'!$A33,計分版!$A$258:$A$305,0)),2)</f>
        <v>0</v>
      </c>
      <c r="P33" s="560">
        <f>ROUND(INDEX(計分版!AB$258:AB$305,MATCH('Retake 扣分'!$A33,計分版!$A$258:$A$305,0)),2)</f>
        <v>0</v>
      </c>
      <c r="Q33" s="560">
        <f>ROUND(INDEX(計分版!AC$258:AC$305,MATCH('Retake 扣分'!$A33,計分版!$A$258:$A$305,0)),2)</f>
        <v>0</v>
      </c>
      <c r="R33" s="129"/>
      <c r="S33" s="4" t="s">
        <v>2617</v>
      </c>
    </row>
    <row r="34" spans="1:19" s="4" customFormat="1" ht="14.4" x14ac:dyDescent="0.3">
      <c r="A34" s="4" t="s">
        <v>1177</v>
      </c>
      <c r="B34" s="346" t="str">
        <f>INDEX('Reference Score Calculation'!$D$237:$D$284,MATCH(A34,'Reference Score Calculation'!$A$237:$A$284,0))</f>
        <v>理學士(測量學)</v>
      </c>
      <c r="C34" s="346" t="str">
        <f>INDEX('Reference Score Calculation'!$E$237:$E$284,MATCH(A34,'Reference Score Calculation'!$A$237:$A$284,0))</f>
        <v>Best 5</v>
      </c>
      <c r="D34" s="385">
        <f>ROUND(INDEX('Reference Score Calculation'!F$237:F$284,MATCH('Retake 扣分'!$A34,'Reference Score Calculation'!$A$237:$A$284,0)),2)</f>
        <v>31</v>
      </c>
      <c r="E34" s="385">
        <f>ROUND(INDEX('Reference Score Calculation'!G$237:G$284,MATCH('Retake 扣分'!$A34,'Reference Score Calculation'!$A$237:$A$284,0)),2)</f>
        <v>29</v>
      </c>
      <c r="F34" s="385">
        <f>ROUND(INDEX('Reference Score Calculation'!H$237:H$284,MATCH('Retake 扣分'!$A34,'Reference Score Calculation'!$A$237:$A$284,0)),2)</f>
        <v>28</v>
      </c>
      <c r="G34" s="543">
        <f>ROUND(INDEX(計分版!$H$258:$H$305,MATCH('Retake 扣分'!A34,計分版!$A$258:$A$305,0)),2)</f>
        <v>0</v>
      </c>
      <c r="H34" s="560">
        <f>ROUND(INDEX(計分版!T$258:T$305,MATCH('Retake 扣分'!$A34,計分版!$A$258:$A$305,0)),2)</f>
        <v>0</v>
      </c>
      <c r="I34" s="560">
        <f>ROUND(INDEX(計分版!U$258:U$305,MATCH('Retake 扣分'!$A34,計分版!$A$258:$A$305,0)),2)</f>
        <v>0</v>
      </c>
      <c r="J34" s="560">
        <f>ROUND(INDEX(計分版!V$258:V$305,MATCH('Retake 扣分'!$A34,計分版!$A$258:$A$305,0)),2)</f>
        <v>0</v>
      </c>
      <c r="K34" s="560">
        <f>ROUND(INDEX(計分版!W$258:W$305,MATCH('Retake 扣分'!$A34,計分版!$A$258:$A$305,0)),2)</f>
        <v>0</v>
      </c>
      <c r="L34" s="560">
        <f>ROUND(INDEX(計分版!X$258:X$305,MATCH('Retake 扣分'!$A34,計分版!$A$258:$A$305,0)),2)</f>
        <v>0</v>
      </c>
      <c r="M34" s="560">
        <f>ROUND(INDEX(計分版!Y$258:Y$305,MATCH('Retake 扣分'!$A34,計分版!$A$258:$A$305,0)),2)</f>
        <v>0</v>
      </c>
      <c r="N34" s="560">
        <f>ROUND(INDEX(計分版!Z$258:Z$305,MATCH('Retake 扣分'!$A34,計分版!$A$258:$A$305,0)),2)</f>
        <v>0</v>
      </c>
      <c r="O34" s="560">
        <f>ROUND(INDEX(計分版!AA$258:AA$305,MATCH('Retake 扣分'!$A34,計分版!$A$258:$A$305,0)),2)</f>
        <v>0</v>
      </c>
      <c r="P34" s="560">
        <f>ROUND(INDEX(計分版!AB$258:AB$305,MATCH('Retake 扣分'!$A34,計分版!$A$258:$A$305,0)),2)</f>
        <v>0</v>
      </c>
      <c r="Q34" s="560">
        <f>ROUND(INDEX(計分版!AC$258:AC$305,MATCH('Retake 扣分'!$A34,計分版!$A$258:$A$305,0)),2)</f>
        <v>0</v>
      </c>
      <c r="R34" s="129"/>
      <c r="S34" s="4" t="s">
        <v>2618</v>
      </c>
    </row>
    <row r="35" spans="1:19" s="4" customFormat="1" ht="14.4" x14ac:dyDescent="0.3">
      <c r="A35" s="4" t="s">
        <v>1181</v>
      </c>
      <c r="B35" s="346" t="str">
        <f>INDEX('Reference Score Calculation'!$D$237:$D$284,MATCH(A35,'Reference Score Calculation'!$A$237:$A$284,0))</f>
        <v>園境學文學士</v>
      </c>
      <c r="C35" s="346" t="str">
        <f>INDEX('Reference Score Calculation'!$E$237:$E$284,MATCH(A35,'Reference Score Calculation'!$A$237:$A$284,0))</f>
        <v>Best 5</v>
      </c>
      <c r="D35" s="385">
        <f>ROUND(INDEX('Reference Score Calculation'!F$237:F$284,MATCH('Retake 扣分'!$A35,'Reference Score Calculation'!$A$237:$A$284,0)),2)</f>
        <v>29</v>
      </c>
      <c r="E35" s="385">
        <f>ROUND(INDEX('Reference Score Calculation'!G$237:G$284,MATCH('Retake 扣分'!$A35,'Reference Score Calculation'!$A$237:$A$284,0)),2)</f>
        <v>28</v>
      </c>
      <c r="F35" s="385">
        <f>ROUND(INDEX('Reference Score Calculation'!H$237:H$284,MATCH('Retake 扣分'!$A35,'Reference Score Calculation'!$A$237:$A$284,0)),2)</f>
        <v>26</v>
      </c>
      <c r="G35" s="543">
        <f>ROUND(INDEX(計分版!$H$258:$H$305,MATCH('Retake 扣分'!A35,計分版!$A$258:$A$305,0)),2)</f>
        <v>0</v>
      </c>
      <c r="H35" s="560">
        <f>ROUND(INDEX(計分版!T$258:T$305,MATCH('Retake 扣分'!$A35,計分版!$A$258:$A$305,0)),2)</f>
        <v>0</v>
      </c>
      <c r="I35" s="560">
        <f>ROUND(INDEX(計分版!U$258:U$305,MATCH('Retake 扣分'!$A35,計分版!$A$258:$A$305,0)),2)</f>
        <v>0</v>
      </c>
      <c r="J35" s="560">
        <f>ROUND(INDEX(計分版!V$258:V$305,MATCH('Retake 扣分'!$A35,計分版!$A$258:$A$305,0)),2)</f>
        <v>0</v>
      </c>
      <c r="K35" s="560">
        <f>ROUND(INDEX(計分版!W$258:W$305,MATCH('Retake 扣分'!$A35,計分版!$A$258:$A$305,0)),2)</f>
        <v>0</v>
      </c>
      <c r="L35" s="560">
        <f>ROUND(INDEX(計分版!X$258:X$305,MATCH('Retake 扣分'!$A35,計分版!$A$258:$A$305,0)),2)</f>
        <v>0</v>
      </c>
      <c r="M35" s="560">
        <f>ROUND(INDEX(計分版!Y$258:Y$305,MATCH('Retake 扣分'!$A35,計分版!$A$258:$A$305,0)),2)</f>
        <v>0</v>
      </c>
      <c r="N35" s="560">
        <f>ROUND(INDEX(計分版!Z$258:Z$305,MATCH('Retake 扣分'!$A35,計分版!$A$258:$A$305,0)),2)</f>
        <v>0</v>
      </c>
      <c r="O35" s="560">
        <f>ROUND(INDEX(計分版!AA$258:AA$305,MATCH('Retake 扣分'!$A35,計分版!$A$258:$A$305,0)),2)</f>
        <v>0</v>
      </c>
      <c r="P35" s="560">
        <f>ROUND(INDEX(計分版!AB$258:AB$305,MATCH('Retake 扣分'!$A35,計分版!$A$258:$A$305,0)),2)</f>
        <v>0</v>
      </c>
      <c r="Q35" s="560">
        <f>ROUND(INDEX(計分版!AC$258:AC$305,MATCH('Retake 扣分'!$A35,計分版!$A$258:$A$305,0)),2)</f>
        <v>0</v>
      </c>
      <c r="R35" s="129"/>
      <c r="S35" s="4" t="s">
        <v>2619</v>
      </c>
    </row>
    <row r="36" spans="1:19" s="4" customFormat="1" ht="14.4" x14ac:dyDescent="0.3">
      <c r="A36" s="4" t="s">
        <v>1186</v>
      </c>
      <c r="B36" s="346" t="str">
        <f>INDEX('Reference Score Calculation'!$D$237:$D$284,MATCH(A36,'Reference Score Calculation'!$A$237:$A$284,0))</f>
        <v>文學士(城市研究)</v>
      </c>
      <c r="C36" s="346" t="str">
        <f>INDEX('Reference Score Calculation'!$E$237:$E$284,MATCH(A36,'Reference Score Calculation'!$A$237:$A$284,0))</f>
        <v>Best 5</v>
      </c>
      <c r="D36" s="385">
        <f>ROUND(INDEX('Reference Score Calculation'!F$237:F$284,MATCH('Retake 扣分'!$A36,'Reference Score Calculation'!$A$237:$A$284,0)),2)</f>
        <v>31</v>
      </c>
      <c r="E36" s="385">
        <f>ROUND(INDEX('Reference Score Calculation'!G$237:G$284,MATCH('Retake 扣分'!$A36,'Reference Score Calculation'!$A$237:$A$284,0)),2)</f>
        <v>28</v>
      </c>
      <c r="F36" s="385">
        <f>ROUND(INDEX('Reference Score Calculation'!H$237:H$284,MATCH('Retake 扣分'!$A36,'Reference Score Calculation'!$A$237:$A$284,0)),2)</f>
        <v>26</v>
      </c>
      <c r="G36" s="543">
        <f>ROUND(INDEX(計分版!$H$258:$H$305,MATCH('Retake 扣分'!A36,計分版!$A$258:$A$305,0)),2)</f>
        <v>0</v>
      </c>
      <c r="H36" s="560">
        <f>ROUND(INDEX(計分版!T$258:T$305,MATCH('Retake 扣分'!$A36,計分版!$A$258:$A$305,0)),2)</f>
        <v>0</v>
      </c>
      <c r="I36" s="560">
        <f>ROUND(INDEX(計分版!U$258:U$305,MATCH('Retake 扣分'!$A36,計分版!$A$258:$A$305,0)),2)</f>
        <v>0</v>
      </c>
      <c r="J36" s="560">
        <f>ROUND(INDEX(計分版!V$258:V$305,MATCH('Retake 扣分'!$A36,計分版!$A$258:$A$305,0)),2)</f>
        <v>0</v>
      </c>
      <c r="K36" s="560">
        <f>ROUND(INDEX(計分版!W$258:W$305,MATCH('Retake 扣分'!$A36,計分版!$A$258:$A$305,0)),2)</f>
        <v>0</v>
      </c>
      <c r="L36" s="560">
        <f>ROUND(INDEX(計分版!X$258:X$305,MATCH('Retake 扣分'!$A36,計分版!$A$258:$A$305,0)),2)</f>
        <v>0</v>
      </c>
      <c r="M36" s="560">
        <f>ROUND(INDEX(計分版!Y$258:Y$305,MATCH('Retake 扣分'!$A36,計分版!$A$258:$A$305,0)),2)</f>
        <v>0</v>
      </c>
      <c r="N36" s="560">
        <f>ROUND(INDEX(計分版!Z$258:Z$305,MATCH('Retake 扣分'!$A36,計分版!$A$258:$A$305,0)),2)</f>
        <v>0</v>
      </c>
      <c r="O36" s="560">
        <f>ROUND(INDEX(計分版!AA$258:AA$305,MATCH('Retake 扣分'!$A36,計分版!$A$258:$A$305,0)),2)</f>
        <v>0</v>
      </c>
      <c r="P36" s="560">
        <f>ROUND(INDEX(計分版!AB$258:AB$305,MATCH('Retake 扣分'!$A36,計分版!$A$258:$A$305,0)),2)</f>
        <v>0</v>
      </c>
      <c r="Q36" s="560">
        <f>ROUND(INDEX(計分版!AC$258:AC$305,MATCH('Retake 扣分'!$A36,計分版!$A$258:$A$305,0)),2)</f>
        <v>0</v>
      </c>
      <c r="R36" s="129"/>
      <c r="S36" s="4" t="s">
        <v>2620</v>
      </c>
    </row>
    <row r="37" spans="1:19" s="4" customFormat="1" ht="14.4" x14ac:dyDescent="0.3">
      <c r="A37" s="4" t="s">
        <v>1190</v>
      </c>
      <c r="B37" s="346" t="str">
        <f>INDEX('Reference Score Calculation'!$D$237:$D$284,MATCH(A37,'Reference Score Calculation'!$A$237:$A$284,0))</f>
        <v>文學士</v>
      </c>
      <c r="C37" s="346" t="str">
        <f>INDEX('Reference Score Calculation'!$E$237:$E$284,MATCH(A37,'Reference Score Calculation'!$A$237:$A$284,0))</f>
        <v>Best 5</v>
      </c>
      <c r="D37" s="385">
        <f>ROUND(INDEX('Reference Score Calculation'!F$237:F$284,MATCH('Retake 扣分'!$A37,'Reference Score Calculation'!$A$237:$A$284,0)),2)</f>
        <v>26</v>
      </c>
      <c r="E37" s="385">
        <f>ROUND(INDEX('Reference Score Calculation'!G$237:G$284,MATCH('Retake 扣分'!$A37,'Reference Score Calculation'!$A$237:$A$284,0)),2)</f>
        <v>25</v>
      </c>
      <c r="F37" s="385">
        <f>ROUND(INDEX('Reference Score Calculation'!H$237:H$284,MATCH('Retake 扣分'!$A37,'Reference Score Calculation'!$A$237:$A$284,0)),2)</f>
        <v>24</v>
      </c>
      <c r="G37" s="543">
        <f>ROUND(INDEX(計分版!$H$258:$H$305,MATCH('Retake 扣分'!A37,計分版!$A$258:$A$305,0)),2)</f>
        <v>0</v>
      </c>
      <c r="H37" s="560">
        <f>ROUND(INDEX(計分版!T$258:T$305,MATCH('Retake 扣分'!$A37,計分版!$A$258:$A$305,0)),2)</f>
        <v>0</v>
      </c>
      <c r="I37" s="560">
        <f>ROUND(INDEX(計分版!U$258:U$305,MATCH('Retake 扣分'!$A37,計分版!$A$258:$A$305,0)),2)</f>
        <v>0</v>
      </c>
      <c r="J37" s="560">
        <f>ROUND(INDEX(計分版!V$258:V$305,MATCH('Retake 扣分'!$A37,計分版!$A$258:$A$305,0)),2)</f>
        <v>0</v>
      </c>
      <c r="K37" s="560">
        <f>ROUND(INDEX(計分版!W$258:W$305,MATCH('Retake 扣分'!$A37,計分版!$A$258:$A$305,0)),2)</f>
        <v>0</v>
      </c>
      <c r="L37" s="560">
        <f>ROUND(INDEX(計分版!X$258:X$305,MATCH('Retake 扣分'!$A37,計分版!$A$258:$A$305,0)),2)</f>
        <v>0</v>
      </c>
      <c r="M37" s="560">
        <f>ROUND(INDEX(計分版!Y$258:Y$305,MATCH('Retake 扣分'!$A37,計分版!$A$258:$A$305,0)),2)</f>
        <v>0</v>
      </c>
      <c r="N37" s="560">
        <f>ROUND(INDEX(計分版!Z$258:Z$305,MATCH('Retake 扣分'!$A37,計分版!$A$258:$A$305,0)),2)</f>
        <v>0</v>
      </c>
      <c r="O37" s="560">
        <f>ROUND(INDEX(計分版!AA$258:AA$305,MATCH('Retake 扣分'!$A37,計分版!$A$258:$A$305,0)),2)</f>
        <v>0</v>
      </c>
      <c r="P37" s="560">
        <f>ROUND(INDEX(計分版!AB$258:AB$305,MATCH('Retake 扣分'!$A37,計分版!$A$258:$A$305,0)),2)</f>
        <v>0</v>
      </c>
      <c r="Q37" s="560">
        <f>ROUND(INDEX(計分版!AC$258:AC$305,MATCH('Retake 扣分'!$A37,計分版!$A$258:$A$305,0)),2)</f>
        <v>0</v>
      </c>
      <c r="R37" s="129"/>
      <c r="S37" s="4" t="s">
        <v>2617</v>
      </c>
    </row>
    <row r="38" spans="1:19" s="4" customFormat="1" ht="14.4" x14ac:dyDescent="0.3">
      <c r="A38" s="4" t="s">
        <v>1249</v>
      </c>
      <c r="B38" s="346" t="str">
        <f>INDEX('Reference Score Calculation'!$D$237:$D$284,MATCH(A38,'Reference Score Calculation'!$A$237:$A$284,0))</f>
        <v>文學士(人文及數碼科技)</v>
      </c>
      <c r="C38" s="346" t="str">
        <f>INDEX('Reference Score Calculation'!$E$237:$E$284,MATCH(A38,'Reference Score Calculation'!$A$237:$A$284,0))</f>
        <v>2022年新科目</v>
      </c>
      <c r="D38" s="385" t="s">
        <v>1978</v>
      </c>
      <c r="E38" s="385" t="s">
        <v>1978</v>
      </c>
      <c r="F38" s="385" t="s">
        <v>1978</v>
      </c>
      <c r="G38" s="543">
        <f>ROUND(INDEX(計分版!$H$258:$H$305,MATCH('Retake 扣分'!A38,計分版!$A$258:$A$305,0)),2)</f>
        <v>0</v>
      </c>
      <c r="H38" s="560">
        <f>ROUND(INDEX(計分版!T$258:T$305,MATCH('Retake 扣分'!$A38,計分版!$A$258:$A$305,0)),2)</f>
        <v>0</v>
      </c>
      <c r="I38" s="560">
        <f>ROUND(INDEX(計分版!U$258:U$305,MATCH('Retake 扣分'!$A38,計分版!$A$258:$A$305,0)),2)</f>
        <v>0</v>
      </c>
      <c r="J38" s="560">
        <f>ROUND(INDEX(計分版!V$258:V$305,MATCH('Retake 扣分'!$A38,計分版!$A$258:$A$305,0)),2)</f>
        <v>0</v>
      </c>
      <c r="K38" s="560">
        <f>ROUND(INDEX(計分版!W$258:W$305,MATCH('Retake 扣分'!$A38,計分版!$A$258:$A$305,0)),2)</f>
        <v>0</v>
      </c>
      <c r="L38" s="560">
        <f>ROUND(INDEX(計分版!X$258:X$305,MATCH('Retake 扣分'!$A38,計分版!$A$258:$A$305,0)),2)</f>
        <v>0</v>
      </c>
      <c r="M38" s="560">
        <f>ROUND(INDEX(計分版!Y$258:Y$305,MATCH('Retake 扣分'!$A38,計分版!$A$258:$A$305,0)),2)</f>
        <v>0</v>
      </c>
      <c r="N38" s="560">
        <f>ROUND(INDEX(計分版!Z$258:Z$305,MATCH('Retake 扣分'!$A38,計分版!$A$258:$A$305,0)),2)</f>
        <v>0</v>
      </c>
      <c r="O38" s="560">
        <f>ROUND(INDEX(計分版!AA$258:AA$305,MATCH('Retake 扣分'!$A38,計分版!$A$258:$A$305,0)),2)</f>
        <v>0</v>
      </c>
      <c r="P38" s="560">
        <f>ROUND(INDEX(計分版!AB$258:AB$305,MATCH('Retake 扣分'!$A38,計分版!$A$258:$A$305,0)),2)</f>
        <v>0</v>
      </c>
      <c r="Q38" s="560">
        <f>ROUND(INDEX(計分版!AC$258:AC$305,MATCH('Retake 扣分'!$A38,計分版!$A$258:$A$305,0)),2)</f>
        <v>0</v>
      </c>
      <c r="R38" s="129"/>
      <c r="S38" s="4" t="s">
        <v>2617</v>
      </c>
    </row>
    <row r="39" spans="1:19" s="4" customFormat="1" ht="14.4" x14ac:dyDescent="0.3">
      <c r="A39" s="4" t="s">
        <v>1298</v>
      </c>
      <c r="B39" s="346" t="str">
        <f>INDEX('Reference Score Calculation'!$D$237:$D$284,MATCH(A39,'Reference Score Calculation'!$A$237:$A$284,0))</f>
        <v>經濟學學士 / 經濟金融學學士</v>
      </c>
      <c r="C39" s="346" t="str">
        <f>INDEX('Reference Score Calculation'!$E$237:$E$284,MATCH(A39,'Reference Score Calculation'!$A$237:$A$284,0))</f>
        <v>Best 6</v>
      </c>
      <c r="D39" s="385">
        <f>ROUND(INDEX('Reference Score Calculation'!F$237:F$284,MATCH('Retake 扣分'!$A39,'Reference Score Calculation'!$A$237:$A$284,0)),2)</f>
        <v>39</v>
      </c>
      <c r="E39" s="385">
        <f>ROUND(INDEX('Reference Score Calculation'!G$237:G$284,MATCH('Retake 扣分'!$A39,'Reference Score Calculation'!$A$237:$A$284,0)),2)</f>
        <v>36</v>
      </c>
      <c r="F39" s="385">
        <f>ROUND(INDEX('Reference Score Calculation'!H$237:H$284,MATCH('Retake 扣分'!$A39,'Reference Score Calculation'!$A$237:$A$284,0)),2)</f>
        <v>35</v>
      </c>
      <c r="G39" s="543">
        <f>ROUND(INDEX(計分版!$H$258:$H$305,MATCH('Retake 扣分'!A39,計分版!$A$258:$A$305,0)),2)</f>
        <v>0</v>
      </c>
      <c r="H39" s="560">
        <f>ROUND(INDEX(計分版!T$258:T$305,MATCH('Retake 扣分'!$A39,計分版!$A$258:$A$305,0)),2)</f>
        <v>0</v>
      </c>
      <c r="I39" s="560">
        <f>ROUND(INDEX(計分版!U$258:U$305,MATCH('Retake 扣分'!$A39,計分版!$A$258:$A$305,0)),2)</f>
        <v>0</v>
      </c>
      <c r="J39" s="560">
        <f>ROUND(INDEX(計分版!V$258:V$305,MATCH('Retake 扣分'!$A39,計分版!$A$258:$A$305,0)),2)</f>
        <v>0</v>
      </c>
      <c r="K39" s="560">
        <f>ROUND(INDEX(計分版!W$258:W$305,MATCH('Retake 扣分'!$A39,計分版!$A$258:$A$305,0)),2)</f>
        <v>0</v>
      </c>
      <c r="L39" s="560">
        <f>ROUND(INDEX(計分版!X$258:X$305,MATCH('Retake 扣分'!$A39,計分版!$A$258:$A$305,0)),2)</f>
        <v>0</v>
      </c>
      <c r="M39" s="560">
        <f>ROUND(INDEX(計分版!Y$258:Y$305,MATCH('Retake 扣分'!$A39,計分版!$A$258:$A$305,0)),2)</f>
        <v>0</v>
      </c>
      <c r="N39" s="560">
        <f>ROUND(INDEX(計分版!Z$258:Z$305,MATCH('Retake 扣分'!$A39,計分版!$A$258:$A$305,0)),2)</f>
        <v>0</v>
      </c>
      <c r="O39" s="560">
        <f>ROUND(INDEX(計分版!AA$258:AA$305,MATCH('Retake 扣分'!$A39,計分版!$A$258:$A$305,0)),2)</f>
        <v>0</v>
      </c>
      <c r="P39" s="560">
        <f>ROUND(INDEX(計分版!AB$258:AB$305,MATCH('Retake 扣分'!$A39,計分版!$A$258:$A$305,0)),2)</f>
        <v>0</v>
      </c>
      <c r="Q39" s="560">
        <f>ROUND(INDEX(計分版!AC$258:AC$305,MATCH('Retake 扣分'!$A39,計分版!$A$258:$A$305,0)),2)</f>
        <v>0</v>
      </c>
      <c r="R39" s="129"/>
      <c r="S39" s="4" t="s">
        <v>2621</v>
      </c>
    </row>
    <row r="40" spans="1:19" s="4" customFormat="1" ht="14.4" x14ac:dyDescent="0.3">
      <c r="A40" s="4" t="s">
        <v>1302</v>
      </c>
      <c r="B40" s="346" t="str">
        <f>INDEX('Reference Score Calculation'!$D$237:$D$284,MATCH(A40,'Reference Score Calculation'!$A$237:$A$284,0))</f>
        <v>工商管理學學士 / 工商管理學學士(會計及財務)</v>
      </c>
      <c r="C40" s="346" t="str">
        <f>INDEX('Reference Score Calculation'!$E$237:$E$284,MATCH(A40,'Reference Score Calculation'!$A$237:$A$284,0))</f>
        <v>Best 6</v>
      </c>
      <c r="D40" s="385">
        <f>ROUND(INDEX('Reference Score Calculation'!F$237:F$284,MATCH('Retake 扣分'!$A40,'Reference Score Calculation'!$A$237:$A$284,0)),2)</f>
        <v>39</v>
      </c>
      <c r="E40" s="385">
        <f>ROUND(INDEX('Reference Score Calculation'!G$237:G$284,MATCH('Retake 扣分'!$A40,'Reference Score Calculation'!$A$237:$A$284,0)),2)</f>
        <v>36</v>
      </c>
      <c r="F40" s="385">
        <f>ROUND(INDEX('Reference Score Calculation'!H$237:H$284,MATCH('Retake 扣分'!$A40,'Reference Score Calculation'!$A$237:$A$284,0)),2)</f>
        <v>35</v>
      </c>
      <c r="G40" s="543">
        <f>ROUND(INDEX(計分版!$H$258:$H$305,MATCH('Retake 扣分'!A40,計分版!$A$258:$A$305,0)),2)</f>
        <v>0</v>
      </c>
      <c r="H40" s="560">
        <f>ROUND(INDEX(計分版!T$258:T$305,MATCH('Retake 扣分'!$A40,計分版!$A$258:$A$305,0)),2)</f>
        <v>0</v>
      </c>
      <c r="I40" s="560">
        <f>ROUND(INDEX(計分版!U$258:U$305,MATCH('Retake 扣分'!$A40,計分版!$A$258:$A$305,0)),2)</f>
        <v>0</v>
      </c>
      <c r="J40" s="560">
        <f>ROUND(INDEX(計分版!V$258:V$305,MATCH('Retake 扣分'!$A40,計分版!$A$258:$A$305,0)),2)</f>
        <v>0</v>
      </c>
      <c r="K40" s="560">
        <f>ROUND(INDEX(計分版!W$258:W$305,MATCH('Retake 扣分'!$A40,計分版!$A$258:$A$305,0)),2)</f>
        <v>0</v>
      </c>
      <c r="L40" s="560">
        <f>ROUND(INDEX(計分版!X$258:X$305,MATCH('Retake 扣分'!$A40,計分版!$A$258:$A$305,0)),2)</f>
        <v>0</v>
      </c>
      <c r="M40" s="560">
        <f>ROUND(INDEX(計分版!Y$258:Y$305,MATCH('Retake 扣分'!$A40,計分版!$A$258:$A$305,0)),2)</f>
        <v>0</v>
      </c>
      <c r="N40" s="560">
        <f>ROUND(INDEX(計分版!Z$258:Z$305,MATCH('Retake 扣分'!$A40,計分版!$A$258:$A$305,0)),2)</f>
        <v>0</v>
      </c>
      <c r="O40" s="560">
        <f>ROUND(INDEX(計分版!AA$258:AA$305,MATCH('Retake 扣分'!$A40,計分版!$A$258:$A$305,0)),2)</f>
        <v>0</v>
      </c>
      <c r="P40" s="560">
        <f>ROUND(INDEX(計分版!AB$258:AB$305,MATCH('Retake 扣分'!$A40,計分版!$A$258:$A$305,0)),2)</f>
        <v>0</v>
      </c>
      <c r="Q40" s="560">
        <f>ROUND(INDEX(計分版!AC$258:AC$305,MATCH('Retake 扣分'!$A40,計分版!$A$258:$A$305,0)),2)</f>
        <v>0</v>
      </c>
      <c r="R40" s="129"/>
      <c r="S40" s="4" t="s">
        <v>2621</v>
      </c>
    </row>
    <row r="41" spans="1:19" s="4" customFormat="1" ht="14.4" x14ac:dyDescent="0.3">
      <c r="A41" s="4" t="s">
        <v>1333</v>
      </c>
      <c r="B41" s="346" t="str">
        <f>INDEX('Reference Score Calculation'!$D$237:$D$284,MATCH(A41,'Reference Score Calculation'!$A$237:$A$284,0))</f>
        <v>金融學學士(資產管理及私人銀行)</v>
      </c>
      <c r="C41" s="346" t="str">
        <f>INDEX('Reference Score Calculation'!$E$237:$E$284,MATCH(A41,'Reference Score Calculation'!$A$237:$A$284,0))</f>
        <v>Best 6</v>
      </c>
      <c r="D41" s="385">
        <f>ROUND(INDEX('Reference Score Calculation'!F$237:F$284,MATCH('Retake 扣分'!$A41,'Reference Score Calculation'!$A$237:$A$284,0)),2)</f>
        <v>46</v>
      </c>
      <c r="E41" s="385">
        <f>ROUND(INDEX('Reference Score Calculation'!G$237:G$284,MATCH('Retake 扣分'!$A41,'Reference Score Calculation'!$A$237:$A$284,0)),2)</f>
        <v>45</v>
      </c>
      <c r="F41" s="385">
        <f>ROUND(INDEX('Reference Score Calculation'!H$237:H$284,MATCH('Retake 扣分'!$A41,'Reference Score Calculation'!$A$237:$A$284,0)),2)</f>
        <v>44</v>
      </c>
      <c r="G41" s="543">
        <f>ROUND(INDEX(計分版!$H$258:$H$305,MATCH('Retake 扣分'!A41,計分版!$A$258:$A$305,0)),2)</f>
        <v>0</v>
      </c>
      <c r="H41" s="560">
        <f>ROUND(INDEX(計分版!T$258:T$305,MATCH('Retake 扣分'!$A41,計分版!$A$258:$A$305,0)),2)</f>
        <v>0</v>
      </c>
      <c r="I41" s="560">
        <f>ROUND(INDEX(計分版!U$258:U$305,MATCH('Retake 扣分'!$A41,計分版!$A$258:$A$305,0)),2)</f>
        <v>0</v>
      </c>
      <c r="J41" s="560">
        <f>ROUND(INDEX(計分版!V$258:V$305,MATCH('Retake 扣分'!$A41,計分版!$A$258:$A$305,0)),2)</f>
        <v>0</v>
      </c>
      <c r="K41" s="560">
        <f>ROUND(INDEX(計分版!W$258:W$305,MATCH('Retake 扣分'!$A41,計分版!$A$258:$A$305,0)),2)</f>
        <v>0</v>
      </c>
      <c r="L41" s="560">
        <f>ROUND(INDEX(計分版!X$258:X$305,MATCH('Retake 扣分'!$A41,計分版!$A$258:$A$305,0)),2)</f>
        <v>0</v>
      </c>
      <c r="M41" s="560">
        <f>ROUND(INDEX(計分版!Y$258:Y$305,MATCH('Retake 扣分'!$A41,計分版!$A$258:$A$305,0)),2)</f>
        <v>0</v>
      </c>
      <c r="N41" s="560">
        <f>ROUND(INDEX(計分版!Z$258:Z$305,MATCH('Retake 扣分'!$A41,計分版!$A$258:$A$305,0)),2)</f>
        <v>0</v>
      </c>
      <c r="O41" s="560">
        <f>ROUND(INDEX(計分版!AA$258:AA$305,MATCH('Retake 扣分'!$A41,計分版!$A$258:$A$305,0)),2)</f>
        <v>0</v>
      </c>
      <c r="P41" s="560">
        <f>ROUND(INDEX(計分版!AB$258:AB$305,MATCH('Retake 扣分'!$A41,計分版!$A$258:$A$305,0)),2)</f>
        <v>0</v>
      </c>
      <c r="Q41" s="560">
        <f>ROUND(INDEX(計分版!AC$258:AC$305,MATCH('Retake 扣分'!$A41,計分版!$A$258:$A$305,0)),2)</f>
        <v>0</v>
      </c>
      <c r="R41" s="129"/>
      <c r="S41" s="4" t="s">
        <v>2621</v>
      </c>
    </row>
    <row r="42" spans="1:19" s="4" customFormat="1" ht="14.4" x14ac:dyDescent="0.3">
      <c r="A42" s="4" t="s">
        <v>1306</v>
      </c>
      <c r="B42" s="346" t="str">
        <f>INDEX('Reference Score Calculation'!$D$237:$D$284,MATCH(A42,'Reference Score Calculation'!$A$237:$A$284,0))</f>
        <v>工商管理學學士(資訊系統)</v>
      </c>
      <c r="C42" s="346" t="str">
        <f>INDEX('Reference Score Calculation'!$E$237:$E$284,MATCH(A42,'Reference Score Calculation'!$A$237:$A$284,0))</f>
        <v>Best 6</v>
      </c>
      <c r="D42" s="385">
        <f>ROUND(INDEX('Reference Score Calculation'!F$237:F$284,MATCH('Retake 扣分'!$A42,'Reference Score Calculation'!$A$237:$A$284,0)),2)</f>
        <v>39</v>
      </c>
      <c r="E42" s="385">
        <f>ROUND(INDEX('Reference Score Calculation'!G$237:G$284,MATCH('Retake 扣分'!$A42,'Reference Score Calculation'!$A$237:$A$284,0)),2)</f>
        <v>37</v>
      </c>
      <c r="F42" s="385">
        <f>ROUND(INDEX('Reference Score Calculation'!H$237:H$284,MATCH('Retake 扣分'!$A42,'Reference Score Calculation'!$A$237:$A$284,0)),2)</f>
        <v>36</v>
      </c>
      <c r="G42" s="543">
        <f>ROUND(INDEX(計分版!$H$258:$H$305,MATCH('Retake 扣分'!A42,計分版!$A$258:$A$305,0)),2)</f>
        <v>0</v>
      </c>
      <c r="H42" s="560">
        <f>ROUND(INDEX(計分版!T$258:T$305,MATCH('Retake 扣分'!$A42,計分版!$A$258:$A$305,0)),2)</f>
        <v>0</v>
      </c>
      <c r="I42" s="560">
        <f>ROUND(INDEX(計分版!U$258:U$305,MATCH('Retake 扣分'!$A42,計分版!$A$258:$A$305,0)),2)</f>
        <v>0</v>
      </c>
      <c r="J42" s="560">
        <f>ROUND(INDEX(計分版!V$258:V$305,MATCH('Retake 扣分'!$A42,計分版!$A$258:$A$305,0)),2)</f>
        <v>0</v>
      </c>
      <c r="K42" s="560">
        <f>ROUND(INDEX(計分版!W$258:W$305,MATCH('Retake 扣分'!$A42,計分版!$A$258:$A$305,0)),2)</f>
        <v>0</v>
      </c>
      <c r="L42" s="560">
        <f>ROUND(INDEX(計分版!X$258:X$305,MATCH('Retake 扣分'!$A42,計分版!$A$258:$A$305,0)),2)</f>
        <v>0</v>
      </c>
      <c r="M42" s="560">
        <f>ROUND(INDEX(計分版!Y$258:Y$305,MATCH('Retake 扣分'!$A42,計分版!$A$258:$A$305,0)),2)</f>
        <v>0</v>
      </c>
      <c r="N42" s="560">
        <f>ROUND(INDEX(計分版!Z$258:Z$305,MATCH('Retake 扣分'!$A42,計分版!$A$258:$A$305,0)),2)</f>
        <v>0</v>
      </c>
      <c r="O42" s="560">
        <f>ROUND(INDEX(計分版!AA$258:AA$305,MATCH('Retake 扣分'!$A42,計分版!$A$258:$A$305,0)),2)</f>
        <v>0</v>
      </c>
      <c r="P42" s="560">
        <f>ROUND(INDEX(計分版!AB$258:AB$305,MATCH('Retake 扣分'!$A42,計分版!$A$258:$A$305,0)),2)</f>
        <v>0</v>
      </c>
      <c r="Q42" s="560">
        <f>ROUND(INDEX(計分版!AC$258:AC$305,MATCH('Retake 扣分'!$A42,計分版!$A$258:$A$305,0)),2)</f>
        <v>0</v>
      </c>
      <c r="R42" s="129"/>
      <c r="S42" s="4" t="s">
        <v>2621</v>
      </c>
    </row>
    <row r="43" spans="1:19" s="4" customFormat="1" ht="14.4" x14ac:dyDescent="0.3">
      <c r="A43" s="4" t="s">
        <v>1313</v>
      </c>
      <c r="B43" s="346" t="str">
        <f>INDEX('Reference Score Calculation'!$D$237:$D$284,MATCH(A43,'Reference Score Calculation'!$A$237:$A$284,0))</f>
        <v>工商管理學學士(法學)及法學士 (雙學位課程)</v>
      </c>
      <c r="C43" s="346" t="str">
        <f>INDEX('Reference Score Calculation'!$E$237:$E$284,MATCH(A43,'Reference Score Calculation'!$A$237:$A$284,0))</f>
        <v>Best 6</v>
      </c>
      <c r="D43" s="385">
        <f>ROUND(INDEX('Reference Score Calculation'!F$237:F$284,MATCH('Retake 扣分'!$A43,'Reference Score Calculation'!$A$237:$A$284,0)),2)</f>
        <v>50</v>
      </c>
      <c r="E43" s="385">
        <f>ROUND(INDEX('Reference Score Calculation'!G$237:G$284,MATCH('Retake 扣分'!$A43,'Reference Score Calculation'!$A$237:$A$284,0)),2)</f>
        <v>47</v>
      </c>
      <c r="F43" s="385">
        <f>ROUND(INDEX('Reference Score Calculation'!H$237:H$284,MATCH('Retake 扣分'!$A43,'Reference Score Calculation'!$A$237:$A$284,0)),2)</f>
        <v>45</v>
      </c>
      <c r="G43" s="543">
        <f>ROUND(INDEX(計分版!$H$258:$H$305,MATCH('Retake 扣分'!A43,計分版!$A$258:$A$305,0)),2)</f>
        <v>0</v>
      </c>
      <c r="H43" s="560">
        <f>ROUND(INDEX(計分版!T$258:T$305,MATCH('Retake 扣分'!$A43,計分版!$A$258:$A$305,0)),2)</f>
        <v>0</v>
      </c>
      <c r="I43" s="560">
        <f>ROUND(INDEX(計分版!U$258:U$305,MATCH('Retake 扣分'!$A43,計分版!$A$258:$A$305,0)),2)</f>
        <v>0</v>
      </c>
      <c r="J43" s="560">
        <f>ROUND(INDEX(計分版!V$258:V$305,MATCH('Retake 扣分'!$A43,計分版!$A$258:$A$305,0)),2)</f>
        <v>0</v>
      </c>
      <c r="K43" s="560">
        <f>ROUND(INDEX(計分版!W$258:W$305,MATCH('Retake 扣分'!$A43,計分版!$A$258:$A$305,0)),2)</f>
        <v>0</v>
      </c>
      <c r="L43" s="560">
        <f>ROUND(INDEX(計分版!X$258:X$305,MATCH('Retake 扣分'!$A43,計分版!$A$258:$A$305,0)),2)</f>
        <v>0</v>
      </c>
      <c r="M43" s="560">
        <f>ROUND(INDEX(計分版!Y$258:Y$305,MATCH('Retake 扣分'!$A43,計分版!$A$258:$A$305,0)),2)</f>
        <v>0</v>
      </c>
      <c r="N43" s="560">
        <f>ROUND(INDEX(計分版!Z$258:Z$305,MATCH('Retake 扣分'!$A43,計分版!$A$258:$A$305,0)),2)</f>
        <v>0</v>
      </c>
      <c r="O43" s="560">
        <f>ROUND(INDEX(計分版!AA$258:AA$305,MATCH('Retake 扣分'!$A43,計分版!$A$258:$A$305,0)),2)</f>
        <v>0</v>
      </c>
      <c r="P43" s="560">
        <f>ROUND(INDEX(計分版!AB$258:AB$305,MATCH('Retake 扣分'!$A43,計分版!$A$258:$A$305,0)),2)</f>
        <v>0</v>
      </c>
      <c r="Q43" s="560">
        <f>ROUND(INDEX(計分版!AC$258:AC$305,MATCH('Retake 扣分'!$A43,計分版!$A$258:$A$305,0)),2)</f>
        <v>0</v>
      </c>
      <c r="R43" s="129"/>
      <c r="S43" s="4" t="s">
        <v>2621</v>
      </c>
    </row>
    <row r="44" spans="1:19" s="4" customFormat="1" ht="14.4" x14ac:dyDescent="0.3">
      <c r="A44" s="4" t="s">
        <v>1325</v>
      </c>
      <c r="B44" s="346" t="str">
        <f>INDEX('Reference Score Calculation'!$D$237:$D$284,MATCH(A44,'Reference Score Calculation'!$A$237:$A$284,0))</f>
        <v>理學士(營銷分析及科技)</v>
      </c>
      <c r="C44" s="346" t="str">
        <f>INDEX('Reference Score Calculation'!$E$237:$E$284,MATCH(A44,'Reference Score Calculation'!$A$237:$A$284,0))</f>
        <v>2022年新科目</v>
      </c>
      <c r="D44" s="385" t="s">
        <v>1978</v>
      </c>
      <c r="E44" s="385" t="s">
        <v>1978</v>
      </c>
      <c r="F44" s="385" t="s">
        <v>1978</v>
      </c>
      <c r="G44" s="543">
        <f>ROUND(INDEX(計分版!$H$258:$H$305,MATCH('Retake 扣分'!A44,計分版!$A$258:$A$305,0)),2)</f>
        <v>0</v>
      </c>
      <c r="H44" s="560">
        <f>ROUND(INDEX(計分版!T$258:T$305,MATCH('Retake 扣分'!$A44,計分版!$A$258:$A$305,0)),2)</f>
        <v>0</v>
      </c>
      <c r="I44" s="560">
        <f>ROUND(INDEX(計分版!U$258:U$305,MATCH('Retake 扣分'!$A44,計分版!$A$258:$A$305,0)),2)</f>
        <v>0</v>
      </c>
      <c r="J44" s="560">
        <f>ROUND(INDEX(計分版!V$258:V$305,MATCH('Retake 扣分'!$A44,計分版!$A$258:$A$305,0)),2)</f>
        <v>0</v>
      </c>
      <c r="K44" s="560">
        <f>ROUND(INDEX(計分版!W$258:W$305,MATCH('Retake 扣分'!$A44,計分版!$A$258:$A$305,0)),2)</f>
        <v>0</v>
      </c>
      <c r="L44" s="560">
        <f>ROUND(INDEX(計分版!X$258:X$305,MATCH('Retake 扣分'!$A44,計分版!$A$258:$A$305,0)),2)</f>
        <v>0</v>
      </c>
      <c r="M44" s="560">
        <f>ROUND(INDEX(計分版!Y$258:Y$305,MATCH('Retake 扣分'!$A44,計分版!$A$258:$A$305,0)),2)</f>
        <v>0</v>
      </c>
      <c r="N44" s="560">
        <f>ROUND(INDEX(計分版!Z$258:Z$305,MATCH('Retake 扣分'!$A44,計分版!$A$258:$A$305,0)),2)</f>
        <v>0</v>
      </c>
      <c r="O44" s="560">
        <f>ROUND(INDEX(計分版!AA$258:AA$305,MATCH('Retake 扣分'!$A44,計分版!$A$258:$A$305,0)),2)</f>
        <v>0</v>
      </c>
      <c r="P44" s="560">
        <f>ROUND(INDEX(計分版!AB$258:AB$305,MATCH('Retake 扣分'!$A44,計分版!$A$258:$A$305,0)),2)</f>
        <v>0</v>
      </c>
      <c r="Q44" s="560">
        <f>ROUND(INDEX(計分版!AC$258:AC$305,MATCH('Retake 扣分'!$A44,計分版!$A$258:$A$305,0)),2)</f>
        <v>0</v>
      </c>
      <c r="R44" s="129"/>
      <c r="S44" s="4" t="s">
        <v>2622</v>
      </c>
    </row>
    <row r="45" spans="1:19" s="4" customFormat="1" ht="14.4" x14ac:dyDescent="0.3">
      <c r="A45" s="4" t="s">
        <v>1329</v>
      </c>
      <c r="B45" s="346" t="str">
        <f>INDEX('Reference Score Calculation'!$D$237:$D$284,MATCH(A45,'Reference Score Calculation'!$A$237:$A$284,0))</f>
        <v>理學士及法學士(雙學位課程)</v>
      </c>
      <c r="C45" s="346" t="str">
        <f>INDEX('Reference Score Calculation'!$E$237:$E$284,MATCH(A45,'Reference Score Calculation'!$A$237:$A$284,0))</f>
        <v>2022年新科目</v>
      </c>
      <c r="D45" s="385" t="s">
        <v>1978</v>
      </c>
      <c r="E45" s="385" t="s">
        <v>1978</v>
      </c>
      <c r="F45" s="385" t="s">
        <v>1978</v>
      </c>
      <c r="G45" s="543">
        <f>ROUND(INDEX(計分版!$H$258:$H$305,MATCH('Retake 扣分'!A45,計分版!$A$258:$A$305,0)),2)</f>
        <v>0</v>
      </c>
      <c r="H45" s="560">
        <f>ROUND(INDEX(計分版!T$258:T$305,MATCH('Retake 扣分'!$A45,計分版!$A$258:$A$305,0)),2)</f>
        <v>0</v>
      </c>
      <c r="I45" s="560">
        <f>ROUND(INDEX(計分版!U$258:U$305,MATCH('Retake 扣分'!$A45,計分版!$A$258:$A$305,0)),2)</f>
        <v>0</v>
      </c>
      <c r="J45" s="560">
        <f>ROUND(INDEX(計分版!V$258:V$305,MATCH('Retake 扣分'!$A45,計分版!$A$258:$A$305,0)),2)</f>
        <v>0</v>
      </c>
      <c r="K45" s="560">
        <f>ROUND(INDEX(計分版!W$258:W$305,MATCH('Retake 扣分'!$A45,計分版!$A$258:$A$305,0)),2)</f>
        <v>0</v>
      </c>
      <c r="L45" s="560">
        <f>ROUND(INDEX(計分版!X$258:X$305,MATCH('Retake 扣分'!$A45,計分版!$A$258:$A$305,0)),2)</f>
        <v>0</v>
      </c>
      <c r="M45" s="560">
        <f>ROUND(INDEX(計分版!Y$258:Y$305,MATCH('Retake 扣分'!$A45,計分版!$A$258:$A$305,0)),2)</f>
        <v>0</v>
      </c>
      <c r="N45" s="560">
        <f>ROUND(INDEX(計分版!Z$258:Z$305,MATCH('Retake 扣分'!$A45,計分版!$A$258:$A$305,0)),2)</f>
        <v>0</v>
      </c>
      <c r="O45" s="560">
        <f>ROUND(INDEX(計分版!AA$258:AA$305,MATCH('Retake 扣分'!$A45,計分版!$A$258:$A$305,0)),2)</f>
        <v>0</v>
      </c>
      <c r="P45" s="560">
        <f>ROUND(INDEX(計分版!AB$258:AB$305,MATCH('Retake 扣分'!$A45,計分版!$A$258:$A$305,0)),2)</f>
        <v>0</v>
      </c>
      <c r="Q45" s="560">
        <f>ROUND(INDEX(計分版!AC$258:AC$305,MATCH('Retake 扣分'!$A45,計分版!$A$258:$A$305,0)),2)</f>
        <v>0</v>
      </c>
      <c r="R45" s="129"/>
      <c r="S45" s="4" t="s">
        <v>2618</v>
      </c>
    </row>
    <row r="46" spans="1:19" s="4" customFormat="1" ht="14.4" x14ac:dyDescent="0.3">
      <c r="A46" s="4" t="s">
        <v>1337</v>
      </c>
      <c r="B46" s="346" t="str">
        <f>INDEX('Reference Score Calculation'!$D$237:$D$284,MATCH(A46,'Reference Score Calculation'!$A$237:$A$284,0))</f>
        <v>理學士(計量金融)</v>
      </c>
      <c r="C46" s="346" t="str">
        <f>INDEX('Reference Score Calculation'!$E$237:$E$284,MATCH(A46,'Reference Score Calculation'!$A$237:$A$284,0))</f>
        <v>Best 6</v>
      </c>
      <c r="D46" s="385">
        <f>ROUND(INDEX('Reference Score Calculation'!F$237:F$284,MATCH('Retake 扣分'!$A46,'Reference Score Calculation'!$A$237:$A$284,0)),2)</f>
        <v>52</v>
      </c>
      <c r="E46" s="385">
        <f>ROUND(INDEX('Reference Score Calculation'!G$237:G$284,MATCH('Retake 扣分'!$A46,'Reference Score Calculation'!$A$237:$A$284,0)),2)</f>
        <v>49</v>
      </c>
      <c r="F46" s="385">
        <f>ROUND(INDEX('Reference Score Calculation'!H$237:H$284,MATCH('Retake 扣分'!$A46,'Reference Score Calculation'!$A$237:$A$284,0)),2)</f>
        <v>48</v>
      </c>
      <c r="G46" s="543">
        <f>ROUND(INDEX(計分版!$H$258:$H$305,MATCH('Retake 扣分'!A46,計分版!$A$258:$A$305,0)),2)</f>
        <v>0</v>
      </c>
      <c r="H46" s="560">
        <f>ROUND(INDEX(計分版!T$258:T$305,MATCH('Retake 扣分'!$A46,計分版!$A$258:$A$305,0)),2)</f>
        <v>0</v>
      </c>
      <c r="I46" s="560">
        <f>ROUND(INDEX(計分版!U$258:U$305,MATCH('Retake 扣分'!$A46,計分版!$A$258:$A$305,0)),2)</f>
        <v>0</v>
      </c>
      <c r="J46" s="560">
        <f>ROUND(INDEX(計分版!V$258:V$305,MATCH('Retake 扣分'!$A46,計分版!$A$258:$A$305,0)),2)</f>
        <v>0</v>
      </c>
      <c r="K46" s="560">
        <f>ROUND(INDEX(計分版!W$258:W$305,MATCH('Retake 扣分'!$A46,計分版!$A$258:$A$305,0)),2)</f>
        <v>0</v>
      </c>
      <c r="L46" s="560">
        <f>ROUND(INDEX(計分版!X$258:X$305,MATCH('Retake 扣分'!$A46,計分版!$A$258:$A$305,0)),2)</f>
        <v>0</v>
      </c>
      <c r="M46" s="560">
        <f>ROUND(INDEX(計分版!Y$258:Y$305,MATCH('Retake 扣分'!$A46,計分版!$A$258:$A$305,0)),2)</f>
        <v>0</v>
      </c>
      <c r="N46" s="560">
        <f>ROUND(INDEX(計分版!Z$258:Z$305,MATCH('Retake 扣分'!$A46,計分版!$A$258:$A$305,0)),2)</f>
        <v>0</v>
      </c>
      <c r="O46" s="560">
        <f>ROUND(INDEX(計分版!AA$258:AA$305,MATCH('Retake 扣分'!$A46,計分版!$A$258:$A$305,0)),2)</f>
        <v>0</v>
      </c>
      <c r="P46" s="560">
        <f>ROUND(INDEX(計分版!AB$258:AB$305,MATCH('Retake 扣分'!$A46,計分版!$A$258:$A$305,0)),2)</f>
        <v>0</v>
      </c>
      <c r="Q46" s="560">
        <f>ROUND(INDEX(計分版!AC$258:AC$305,MATCH('Retake 扣分'!$A46,計分版!$A$258:$A$305,0)),2)</f>
        <v>0</v>
      </c>
      <c r="R46" s="129"/>
      <c r="S46" s="4" t="s">
        <v>2621</v>
      </c>
    </row>
    <row r="47" spans="1:19" s="4" customFormat="1" ht="14.4" x14ac:dyDescent="0.3">
      <c r="A47" s="4" t="s">
        <v>1341</v>
      </c>
      <c r="B47" s="346" t="str">
        <f>INDEX('Reference Score Calculation'!$D$237:$D$284,MATCH(A47,'Reference Score Calculation'!$A$237:$A$284,0))</f>
        <v>工商管理學學士(國際商業及環球管理)</v>
      </c>
      <c r="C47" s="346" t="str">
        <f>INDEX('Reference Score Calculation'!$E$237:$E$284,MATCH(A47,'Reference Score Calculation'!$A$237:$A$284,0))</f>
        <v>Best 6</v>
      </c>
      <c r="D47" s="385">
        <f>ROUND(INDEX('Reference Score Calculation'!F$237:F$284,MATCH('Retake 扣分'!$A47,'Reference Score Calculation'!$A$237:$A$284,0)),2)</f>
        <v>54</v>
      </c>
      <c r="E47" s="385">
        <f>ROUND(INDEX('Reference Score Calculation'!G$237:G$284,MATCH('Retake 扣分'!$A47,'Reference Score Calculation'!$A$237:$A$284,0)),2)</f>
        <v>52</v>
      </c>
      <c r="F47" s="385">
        <f>ROUND(INDEX('Reference Score Calculation'!H$237:H$284,MATCH('Retake 扣分'!$A47,'Reference Score Calculation'!$A$237:$A$284,0)),2)</f>
        <v>50</v>
      </c>
      <c r="G47" s="543">
        <f>ROUND(INDEX(計分版!$H$258:$H$305,MATCH('Retake 扣分'!A47,計分版!$A$258:$A$305,0)),2)</f>
        <v>0</v>
      </c>
      <c r="H47" s="560">
        <f>ROUND(INDEX(計分版!T$258:T$305,MATCH('Retake 扣分'!$A47,計分版!$A$258:$A$305,0)),2)</f>
        <v>0</v>
      </c>
      <c r="I47" s="560">
        <f>ROUND(INDEX(計分版!U$258:U$305,MATCH('Retake 扣分'!$A47,計分版!$A$258:$A$305,0)),2)</f>
        <v>0</v>
      </c>
      <c r="J47" s="560">
        <f>ROUND(INDEX(計分版!V$258:V$305,MATCH('Retake 扣分'!$A47,計分版!$A$258:$A$305,0)),2)</f>
        <v>0</v>
      </c>
      <c r="K47" s="560">
        <f>ROUND(INDEX(計分版!W$258:W$305,MATCH('Retake 扣分'!$A47,計分版!$A$258:$A$305,0)),2)</f>
        <v>0</v>
      </c>
      <c r="L47" s="560">
        <f>ROUND(INDEX(計分版!X$258:X$305,MATCH('Retake 扣分'!$A47,計分版!$A$258:$A$305,0)),2)</f>
        <v>0</v>
      </c>
      <c r="M47" s="560">
        <f>ROUND(INDEX(計分版!Y$258:Y$305,MATCH('Retake 扣分'!$A47,計分版!$A$258:$A$305,0)),2)</f>
        <v>0</v>
      </c>
      <c r="N47" s="560">
        <f>ROUND(INDEX(計分版!Z$258:Z$305,MATCH('Retake 扣分'!$A47,計分版!$A$258:$A$305,0)),2)</f>
        <v>0</v>
      </c>
      <c r="O47" s="560">
        <f>ROUND(INDEX(計分版!AA$258:AA$305,MATCH('Retake 扣分'!$A47,計分版!$A$258:$A$305,0)),2)</f>
        <v>0</v>
      </c>
      <c r="P47" s="560">
        <f>ROUND(INDEX(計分版!AB$258:AB$305,MATCH('Retake 扣分'!$A47,計分版!$A$258:$A$305,0)),2)</f>
        <v>0</v>
      </c>
      <c r="Q47" s="560">
        <f>ROUND(INDEX(計分版!AC$258:AC$305,MATCH('Retake 扣分'!$A47,計分版!$A$258:$A$305,0)),2)</f>
        <v>0</v>
      </c>
      <c r="R47" s="129"/>
      <c r="S47" s="4" t="s">
        <v>2621</v>
      </c>
    </row>
    <row r="48" spans="1:19" s="4" customFormat="1" ht="14.4" x14ac:dyDescent="0.3">
      <c r="A48" s="4" t="s">
        <v>1207</v>
      </c>
      <c r="B48" s="346" t="str">
        <f>INDEX('Reference Score Calculation'!$D$237:$D$284,MATCH(A48,'Reference Score Calculation'!$A$237:$A$284,0))</f>
        <v>牙醫學士</v>
      </c>
      <c r="C48" s="346" t="str">
        <f>INDEX('Reference Score Calculation'!$E$237:$E$284,MATCH(A48,'Reference Score Calculation'!$A$237:$A$284,0))</f>
        <v>Best 6</v>
      </c>
      <c r="D48" s="385">
        <f>ROUND(INDEX('Reference Score Calculation'!F$237:F$284,MATCH('Retake 扣分'!$A48,'Reference Score Calculation'!$A$237:$A$284,0)),2)</f>
        <v>47</v>
      </c>
      <c r="E48" s="385">
        <f>ROUND(INDEX('Reference Score Calculation'!G$237:G$284,MATCH('Retake 扣分'!$A48,'Reference Score Calculation'!$A$237:$A$284,0)),2)</f>
        <v>46</v>
      </c>
      <c r="F48" s="385">
        <f>ROUND(INDEX('Reference Score Calculation'!H$237:H$284,MATCH('Retake 扣分'!$A48,'Reference Score Calculation'!$A$237:$A$284,0)),2)</f>
        <v>45</v>
      </c>
      <c r="G48" s="543">
        <f>ROUND(INDEX(計分版!$H$258:$H$305,MATCH('Retake 扣分'!A48,計分版!$A$258:$A$305,0)),2)</f>
        <v>0</v>
      </c>
      <c r="H48" s="560">
        <f>ROUND(INDEX(計分版!T$258:T$305,MATCH('Retake 扣分'!$A48,計分版!$A$258:$A$305,0)),2)</f>
        <v>0</v>
      </c>
      <c r="I48" s="560">
        <f>ROUND(INDEX(計分版!U$258:U$305,MATCH('Retake 扣分'!$A48,計分版!$A$258:$A$305,0)),2)</f>
        <v>0</v>
      </c>
      <c r="J48" s="560">
        <f>ROUND(INDEX(計分版!V$258:V$305,MATCH('Retake 扣分'!$A48,計分版!$A$258:$A$305,0)),2)</f>
        <v>0</v>
      </c>
      <c r="K48" s="560">
        <f>ROUND(INDEX(計分版!W$258:W$305,MATCH('Retake 扣分'!$A48,計分版!$A$258:$A$305,0)),2)</f>
        <v>0</v>
      </c>
      <c r="L48" s="560">
        <f>ROUND(INDEX(計分版!X$258:X$305,MATCH('Retake 扣分'!$A48,計分版!$A$258:$A$305,0)),2)</f>
        <v>0</v>
      </c>
      <c r="M48" s="560">
        <f>ROUND(INDEX(計分版!Y$258:Y$305,MATCH('Retake 扣分'!$A48,計分版!$A$258:$A$305,0)),2)</f>
        <v>0</v>
      </c>
      <c r="N48" s="560">
        <f>ROUND(INDEX(計分版!Z$258:Z$305,MATCH('Retake 扣分'!$A48,計分版!$A$258:$A$305,0)),2)</f>
        <v>0</v>
      </c>
      <c r="O48" s="560">
        <f>ROUND(INDEX(計分版!AA$258:AA$305,MATCH('Retake 扣分'!$A48,計分版!$A$258:$A$305,0)),2)</f>
        <v>0</v>
      </c>
      <c r="P48" s="560">
        <f>ROUND(INDEX(計分版!AB$258:AB$305,MATCH('Retake 扣分'!$A48,計分版!$A$258:$A$305,0)),2)</f>
        <v>0</v>
      </c>
      <c r="Q48" s="560">
        <f>ROUND(INDEX(計分版!AC$258:AC$305,MATCH('Retake 扣分'!$A48,計分版!$A$258:$A$305,0)),2)</f>
        <v>0</v>
      </c>
      <c r="R48" s="129">
        <v>0.1</v>
      </c>
      <c r="S48" s="4" t="s">
        <v>2618</v>
      </c>
    </row>
    <row r="49" spans="1:19" s="4" customFormat="1" ht="14.4" x14ac:dyDescent="0.3">
      <c r="A49" s="4" t="s">
        <v>1191</v>
      </c>
      <c r="B49" s="346" t="str">
        <f>INDEX('Reference Score Calculation'!$D$237:$D$284,MATCH(A49,'Reference Score Calculation'!$A$237:$A$284,0))</f>
        <v>文學士及教育學士(語文教育) - 英文教育 (雙學位課程)</v>
      </c>
      <c r="C49" s="346" t="str">
        <f>INDEX('Reference Score Calculation'!$E$237:$E$284,MATCH(A49,'Reference Score Calculation'!$A$237:$A$284,0))</f>
        <v>Best 5</v>
      </c>
      <c r="D49" s="385">
        <f>ROUND(INDEX('Reference Score Calculation'!F$237:F$284,MATCH('Retake 扣分'!$A49,'Reference Score Calculation'!$A$237:$A$284,0)),2)</f>
        <v>33</v>
      </c>
      <c r="E49" s="385">
        <f>ROUND(INDEX('Reference Score Calculation'!G$237:G$284,MATCH('Retake 扣分'!$A49,'Reference Score Calculation'!$A$237:$A$284,0)),2)</f>
        <v>31</v>
      </c>
      <c r="F49" s="385">
        <f>ROUND(INDEX('Reference Score Calculation'!H$237:H$284,MATCH('Retake 扣分'!$A49,'Reference Score Calculation'!$A$237:$A$284,0)),2)</f>
        <v>29</v>
      </c>
      <c r="G49" s="543">
        <f>ROUND(INDEX(計分版!$H$258:$H$305,MATCH('Retake 扣分'!A49,計分版!$A$258:$A$305,0)),2)</f>
        <v>0</v>
      </c>
      <c r="H49" s="560">
        <f>ROUND(INDEX(計分版!T$258:T$305,MATCH('Retake 扣分'!$A49,計分版!$A$258:$A$305,0)),2)</f>
        <v>0</v>
      </c>
      <c r="I49" s="560">
        <f>ROUND(INDEX(計分版!U$258:U$305,MATCH('Retake 扣分'!$A49,計分版!$A$258:$A$305,0)),2)</f>
        <v>0</v>
      </c>
      <c r="J49" s="560">
        <f>ROUND(INDEX(計分版!V$258:V$305,MATCH('Retake 扣分'!$A49,計分版!$A$258:$A$305,0)),2)</f>
        <v>0</v>
      </c>
      <c r="K49" s="560">
        <f>ROUND(INDEX(計分版!W$258:W$305,MATCH('Retake 扣分'!$A49,計分版!$A$258:$A$305,0)),2)</f>
        <v>0</v>
      </c>
      <c r="L49" s="560">
        <f>ROUND(INDEX(計分版!X$258:X$305,MATCH('Retake 扣分'!$A49,計分版!$A$258:$A$305,0)),2)</f>
        <v>0</v>
      </c>
      <c r="M49" s="560">
        <f>ROUND(INDEX(計分版!Y$258:Y$305,MATCH('Retake 扣分'!$A49,計分版!$A$258:$A$305,0)),2)</f>
        <v>0</v>
      </c>
      <c r="N49" s="560">
        <f>ROUND(INDEX(計分版!Z$258:Z$305,MATCH('Retake 扣分'!$A49,計分版!$A$258:$A$305,0)),2)</f>
        <v>0</v>
      </c>
      <c r="O49" s="560">
        <f>ROUND(INDEX(計分版!AA$258:AA$305,MATCH('Retake 扣分'!$A49,計分版!$A$258:$A$305,0)),2)</f>
        <v>0</v>
      </c>
      <c r="P49" s="560">
        <f>ROUND(INDEX(計分版!AB$258:AB$305,MATCH('Retake 扣分'!$A49,計分版!$A$258:$A$305,0)),2)</f>
        <v>0</v>
      </c>
      <c r="Q49" s="560">
        <f>ROUND(INDEX(計分版!AC$258:AC$305,MATCH('Retake 扣分'!$A49,計分版!$A$258:$A$305,0)),2)</f>
        <v>0</v>
      </c>
      <c r="R49" s="129"/>
      <c r="S49" s="4" t="s">
        <v>2617</v>
      </c>
    </row>
    <row r="50" spans="1:19" s="4" customFormat="1" ht="14.4" x14ac:dyDescent="0.3">
      <c r="A50" s="4" t="s">
        <v>1199</v>
      </c>
      <c r="B50" s="346" t="str">
        <f>INDEX('Reference Score Calculation'!$D$237:$D$284,MATCH(A50,'Reference Score Calculation'!$A$237:$A$284,0))</f>
        <v>文學士及教育學士(語文教育) - 中文教育 (雙學位課程)</v>
      </c>
      <c r="C50" s="346" t="str">
        <f>INDEX('Reference Score Calculation'!$E$237:$E$284,MATCH(A50,'Reference Score Calculation'!$A$237:$A$284,0))</f>
        <v>Best 5</v>
      </c>
      <c r="D50" s="385">
        <f>ROUND(INDEX('Reference Score Calculation'!F$237:F$284,MATCH('Retake 扣分'!$A50,'Reference Score Calculation'!$A$237:$A$284,0)),2)</f>
        <v>35</v>
      </c>
      <c r="E50" s="385">
        <f>ROUND(INDEX('Reference Score Calculation'!G$237:G$284,MATCH('Retake 扣分'!$A50,'Reference Score Calculation'!$A$237:$A$284,0)),2)</f>
        <v>33</v>
      </c>
      <c r="F50" s="385">
        <f>ROUND(INDEX('Reference Score Calculation'!H$237:H$284,MATCH('Retake 扣分'!$A50,'Reference Score Calculation'!$A$237:$A$284,0)),2)</f>
        <v>32</v>
      </c>
      <c r="G50" s="543">
        <f>ROUND(INDEX(計分版!$H$258:$H$305,MATCH('Retake 扣分'!A50,計分版!$A$258:$A$305,0)),2)</f>
        <v>0</v>
      </c>
      <c r="H50" s="560">
        <f>ROUND(INDEX(計分版!T$258:T$305,MATCH('Retake 扣分'!$A50,計分版!$A$258:$A$305,0)),2)</f>
        <v>0</v>
      </c>
      <c r="I50" s="560">
        <f>ROUND(INDEX(計分版!U$258:U$305,MATCH('Retake 扣分'!$A50,計分版!$A$258:$A$305,0)),2)</f>
        <v>0</v>
      </c>
      <c r="J50" s="560">
        <f>ROUND(INDEX(計分版!V$258:V$305,MATCH('Retake 扣分'!$A50,計分版!$A$258:$A$305,0)),2)</f>
        <v>0</v>
      </c>
      <c r="K50" s="560">
        <f>ROUND(INDEX(計分版!W$258:W$305,MATCH('Retake 扣分'!$A50,計分版!$A$258:$A$305,0)),2)</f>
        <v>0</v>
      </c>
      <c r="L50" s="560">
        <f>ROUND(INDEX(計分版!X$258:X$305,MATCH('Retake 扣分'!$A50,計分版!$A$258:$A$305,0)),2)</f>
        <v>0</v>
      </c>
      <c r="M50" s="560">
        <f>ROUND(INDEX(計分版!Y$258:Y$305,MATCH('Retake 扣分'!$A50,計分版!$A$258:$A$305,0)),2)</f>
        <v>0</v>
      </c>
      <c r="N50" s="560">
        <f>ROUND(INDEX(計分版!Z$258:Z$305,MATCH('Retake 扣分'!$A50,計分版!$A$258:$A$305,0)),2)</f>
        <v>0</v>
      </c>
      <c r="O50" s="560">
        <f>ROUND(INDEX(計分版!AA$258:AA$305,MATCH('Retake 扣分'!$A50,計分版!$A$258:$A$305,0)),2)</f>
        <v>0</v>
      </c>
      <c r="P50" s="560">
        <f>ROUND(INDEX(計分版!AB$258:AB$305,MATCH('Retake 扣分'!$A50,計分版!$A$258:$A$305,0)),2)</f>
        <v>0</v>
      </c>
      <c r="Q50" s="560">
        <f>ROUND(INDEX(計分版!AC$258:AC$305,MATCH('Retake 扣分'!$A50,計分版!$A$258:$A$305,0)),2)</f>
        <v>0</v>
      </c>
      <c r="R50" s="129"/>
      <c r="S50" s="4" t="s">
        <v>2617</v>
      </c>
    </row>
    <row r="51" spans="1:19" s="4" customFormat="1" ht="14.4" x14ac:dyDescent="0.3">
      <c r="A51" s="4" t="s">
        <v>1203</v>
      </c>
      <c r="B51" s="346" t="str">
        <f>INDEX('Reference Score Calculation'!$D$237:$D$284,MATCH(A51,'Reference Score Calculation'!$A$237:$A$284,0))</f>
        <v>教育學士(幼兒教育及特殊教育)</v>
      </c>
      <c r="C51" s="346" t="str">
        <f>INDEX('Reference Score Calculation'!$E$237:$E$284,MATCH(A51,'Reference Score Calculation'!$A$237:$A$284,0))</f>
        <v>Best 5</v>
      </c>
      <c r="D51" s="385">
        <f>ROUND(INDEX('Reference Score Calculation'!F$237:F$284,MATCH('Retake 扣分'!$A51,'Reference Score Calculation'!$A$237:$A$284,0)),2)</f>
        <v>27</v>
      </c>
      <c r="E51" s="385">
        <f>ROUND(INDEX('Reference Score Calculation'!G$237:G$284,MATCH('Retake 扣分'!$A51,'Reference Score Calculation'!$A$237:$A$284,0)),2)</f>
        <v>26</v>
      </c>
      <c r="F51" s="385">
        <f>ROUND(INDEX('Reference Score Calculation'!H$237:H$284,MATCH('Retake 扣分'!$A51,'Reference Score Calculation'!$A$237:$A$284,0)),2)</f>
        <v>25</v>
      </c>
      <c r="G51" s="543">
        <f>ROUND(INDEX(計分版!$H$258:$H$305,MATCH('Retake 扣分'!A51,計分版!$A$258:$A$305,0)),2)</f>
        <v>0</v>
      </c>
      <c r="H51" s="560">
        <f>ROUND(INDEX(計分版!T$258:T$305,MATCH('Retake 扣分'!$A51,計分版!$A$258:$A$305,0)),2)</f>
        <v>0</v>
      </c>
      <c r="I51" s="560">
        <f>ROUND(INDEX(計分版!U$258:U$305,MATCH('Retake 扣分'!$A51,計分版!$A$258:$A$305,0)),2)</f>
        <v>0</v>
      </c>
      <c r="J51" s="560">
        <f>ROUND(INDEX(計分版!V$258:V$305,MATCH('Retake 扣分'!$A51,計分版!$A$258:$A$305,0)),2)</f>
        <v>0</v>
      </c>
      <c r="K51" s="560">
        <f>ROUND(INDEX(計分版!W$258:W$305,MATCH('Retake 扣分'!$A51,計分版!$A$258:$A$305,0)),2)</f>
        <v>0</v>
      </c>
      <c r="L51" s="560">
        <f>ROUND(INDEX(計分版!X$258:X$305,MATCH('Retake 扣分'!$A51,計分版!$A$258:$A$305,0)),2)</f>
        <v>0</v>
      </c>
      <c r="M51" s="560">
        <f>ROUND(INDEX(計分版!Y$258:Y$305,MATCH('Retake 扣分'!$A51,計分版!$A$258:$A$305,0)),2)</f>
        <v>0</v>
      </c>
      <c r="N51" s="560">
        <f>ROUND(INDEX(計分版!Z$258:Z$305,MATCH('Retake 扣分'!$A51,計分版!$A$258:$A$305,0)),2)</f>
        <v>0</v>
      </c>
      <c r="O51" s="560">
        <f>ROUND(INDEX(計分版!AA$258:AA$305,MATCH('Retake 扣分'!$A51,計分版!$A$258:$A$305,0)),2)</f>
        <v>0</v>
      </c>
      <c r="P51" s="560">
        <f>ROUND(INDEX(計分版!AB$258:AB$305,MATCH('Retake 扣分'!$A51,計分版!$A$258:$A$305,0)),2)</f>
        <v>0</v>
      </c>
      <c r="Q51" s="560">
        <f>ROUND(INDEX(計分版!AC$258:AC$305,MATCH('Retake 扣分'!$A51,計分版!$A$258:$A$305,0)),2)</f>
        <v>0</v>
      </c>
      <c r="R51" s="129"/>
      <c r="S51" s="4" t="s">
        <v>2617</v>
      </c>
    </row>
    <row r="52" spans="1:19" s="4" customFormat="1" ht="14.4" x14ac:dyDescent="0.3">
      <c r="A52" s="4" t="s">
        <v>1211</v>
      </c>
      <c r="B52" s="346" t="str">
        <f>INDEX('Reference Score Calculation'!$D$237:$D$284,MATCH(A52,'Reference Score Calculation'!$A$237:$A$284,0))</f>
        <v>教育學士及理學士 (雙學位課程)</v>
      </c>
      <c r="C52" s="346" t="str">
        <f>INDEX('Reference Score Calculation'!$E$237:$E$284,MATCH(A52,'Reference Score Calculation'!$A$237:$A$284,0))</f>
        <v>Best 5</v>
      </c>
      <c r="D52" s="385">
        <f>ROUND(INDEX('Reference Score Calculation'!F$237:F$284,MATCH('Retake 扣分'!$A52,'Reference Score Calculation'!$A$237:$A$284,0)),2)</f>
        <v>59</v>
      </c>
      <c r="E52" s="385">
        <f>ROUND(INDEX('Reference Score Calculation'!G$237:G$284,MATCH('Retake 扣分'!$A52,'Reference Score Calculation'!$A$237:$A$284,0)),2)</f>
        <v>56</v>
      </c>
      <c r="F52" s="385">
        <f>ROUND(INDEX('Reference Score Calculation'!H$237:H$284,MATCH('Retake 扣分'!$A52,'Reference Score Calculation'!$A$237:$A$284,0)),2)</f>
        <v>55</v>
      </c>
      <c r="G52" s="543">
        <f>ROUND(INDEX(計分版!$H$258:$H$305,MATCH('Retake 扣分'!A52,計分版!$A$258:$A$305,0)),2)</f>
        <v>0</v>
      </c>
      <c r="H52" s="560">
        <f>ROUND(INDEX(計分版!T$258:T$305,MATCH('Retake 扣分'!$A52,計分版!$A$258:$A$305,0)),2)</f>
        <v>0</v>
      </c>
      <c r="I52" s="560">
        <f>ROUND(INDEX(計分版!U$258:U$305,MATCH('Retake 扣分'!$A52,計分版!$A$258:$A$305,0)),2)</f>
        <v>0</v>
      </c>
      <c r="J52" s="560">
        <f>ROUND(INDEX(計分版!V$258:V$305,MATCH('Retake 扣分'!$A52,計分版!$A$258:$A$305,0)),2)</f>
        <v>0</v>
      </c>
      <c r="K52" s="560">
        <f>ROUND(INDEX(計分版!W$258:W$305,MATCH('Retake 扣分'!$A52,計分版!$A$258:$A$305,0)),2)</f>
        <v>0</v>
      </c>
      <c r="L52" s="560">
        <f>ROUND(INDEX(計分版!X$258:X$305,MATCH('Retake 扣分'!$A52,計分版!$A$258:$A$305,0)),2)</f>
        <v>0</v>
      </c>
      <c r="M52" s="560">
        <f>ROUND(INDEX(計分版!Y$258:Y$305,MATCH('Retake 扣分'!$A52,計分版!$A$258:$A$305,0)),2)</f>
        <v>0</v>
      </c>
      <c r="N52" s="560">
        <f>ROUND(INDEX(計分版!Z$258:Z$305,MATCH('Retake 扣分'!$A52,計分版!$A$258:$A$305,0)),2)</f>
        <v>0</v>
      </c>
      <c r="O52" s="560">
        <f>ROUND(INDEX(計分版!AA$258:AA$305,MATCH('Retake 扣分'!$A52,計分版!$A$258:$A$305,0)),2)</f>
        <v>0</v>
      </c>
      <c r="P52" s="560">
        <f>ROUND(INDEX(計分版!AB$258:AB$305,MATCH('Retake 扣分'!$A52,計分版!$A$258:$A$305,0)),2)</f>
        <v>0</v>
      </c>
      <c r="Q52" s="560">
        <f>ROUND(INDEX(計分版!AC$258:AC$305,MATCH('Retake 扣分'!$A52,計分版!$A$258:$A$305,0)),2)</f>
        <v>0</v>
      </c>
      <c r="R52" s="129"/>
      <c r="S52" s="4" t="s">
        <v>2618</v>
      </c>
    </row>
    <row r="53" spans="1:19" s="4" customFormat="1" ht="14.4" x14ac:dyDescent="0.3">
      <c r="A53" s="4" t="s">
        <v>1216</v>
      </c>
      <c r="B53" s="346" t="str">
        <f>INDEX('Reference Score Calculation'!$D$237:$D$284,MATCH(A53,'Reference Score Calculation'!$A$237:$A$284,0))</f>
        <v>理學士(言語及聽覺科學)</v>
      </c>
      <c r="C53" s="346" t="str">
        <f>INDEX('Reference Score Calculation'!$E$237:$E$284,MATCH(A53,'Reference Score Calculation'!$A$237:$A$284,0))</f>
        <v>Best 6</v>
      </c>
      <c r="D53" s="385">
        <f>ROUND(INDEX('Reference Score Calculation'!F$237:F$284,MATCH('Retake 扣分'!$A53,'Reference Score Calculation'!$A$237:$A$284,0)),2)</f>
        <v>39</v>
      </c>
      <c r="E53" s="385">
        <f>ROUND(INDEX('Reference Score Calculation'!G$237:G$284,MATCH('Retake 扣分'!$A53,'Reference Score Calculation'!$A$237:$A$284,0)),2)</f>
        <v>38</v>
      </c>
      <c r="F53" s="385">
        <f>ROUND(INDEX('Reference Score Calculation'!H$237:H$284,MATCH('Retake 扣分'!$A53,'Reference Score Calculation'!$A$237:$A$284,0)),2)</f>
        <v>36</v>
      </c>
      <c r="G53" s="543">
        <f>ROUND(INDEX(計分版!$H$258:$H$305,MATCH('Retake 扣分'!A53,計分版!$A$258:$A$305,0)),2)</f>
        <v>0</v>
      </c>
      <c r="H53" s="560">
        <f>ROUND(INDEX(計分版!T$258:T$305,MATCH('Retake 扣分'!$A53,計分版!$A$258:$A$305,0)),2)</f>
        <v>0</v>
      </c>
      <c r="I53" s="560">
        <f>ROUND(INDEX(計分版!U$258:U$305,MATCH('Retake 扣分'!$A53,計分版!$A$258:$A$305,0)),2)</f>
        <v>0</v>
      </c>
      <c r="J53" s="560">
        <f>ROUND(INDEX(計分版!V$258:V$305,MATCH('Retake 扣分'!$A53,計分版!$A$258:$A$305,0)),2)</f>
        <v>0</v>
      </c>
      <c r="K53" s="560">
        <f>ROUND(INDEX(計分版!W$258:W$305,MATCH('Retake 扣分'!$A53,計分版!$A$258:$A$305,0)),2)</f>
        <v>0</v>
      </c>
      <c r="L53" s="560">
        <f>ROUND(INDEX(計分版!X$258:X$305,MATCH('Retake 扣分'!$A53,計分版!$A$258:$A$305,0)),2)</f>
        <v>0</v>
      </c>
      <c r="M53" s="560">
        <f>ROUND(INDEX(計分版!Y$258:Y$305,MATCH('Retake 扣分'!$A53,計分版!$A$258:$A$305,0)),2)</f>
        <v>0</v>
      </c>
      <c r="N53" s="560">
        <f>ROUND(INDEX(計分版!Z$258:Z$305,MATCH('Retake 扣分'!$A53,計分版!$A$258:$A$305,0)),2)</f>
        <v>0</v>
      </c>
      <c r="O53" s="560">
        <f>ROUND(INDEX(計分版!AA$258:AA$305,MATCH('Retake 扣分'!$A53,計分版!$A$258:$A$305,0)),2)</f>
        <v>0</v>
      </c>
      <c r="P53" s="560">
        <f>ROUND(INDEX(計分版!AB$258:AB$305,MATCH('Retake 扣分'!$A53,計分版!$A$258:$A$305,0)),2)</f>
        <v>0</v>
      </c>
      <c r="Q53" s="560">
        <f>ROUND(INDEX(計分版!AC$258:AC$305,MATCH('Retake 扣分'!$A53,計分版!$A$258:$A$305,0)),2)</f>
        <v>0</v>
      </c>
      <c r="R53" s="129"/>
      <c r="S53" s="4" t="s">
        <v>2617</v>
      </c>
    </row>
    <row r="54" spans="1:19" s="4" customFormat="1" ht="14.4" x14ac:dyDescent="0.3">
      <c r="A54" s="4" t="s">
        <v>2623</v>
      </c>
      <c r="B54" s="346" t="str">
        <f>INDEX('Reference Score Calculation'!$D$237:$D$284,MATCH(A54,'Reference Score Calculation'!$A$237:$A$284,0))</f>
        <v>工學學士(數據科學及工程)</v>
      </c>
      <c r="C54" s="346" t="str">
        <f>INDEX('Reference Score Calculation'!$E$237:$E$284,MATCH(A54,'Reference Score Calculation'!$A$237:$A$284,0))</f>
        <v>2022年新科目</v>
      </c>
      <c r="D54" s="385" t="s">
        <v>1978</v>
      </c>
      <c r="E54" s="385" t="s">
        <v>1978</v>
      </c>
      <c r="F54" s="385" t="s">
        <v>1978</v>
      </c>
      <c r="G54" s="543">
        <f>ROUND(INDEX(計分版!$H$258:$H$305,MATCH('Retake 扣分'!A54,計分版!$A$258:$A$305,0)),2)</f>
        <v>0</v>
      </c>
      <c r="H54" s="560">
        <f>ROUND(INDEX(計分版!T$258:T$305,MATCH('Retake 扣分'!$A54,計分版!$A$258:$A$305,0)),2)</f>
        <v>0</v>
      </c>
      <c r="I54" s="560">
        <f>ROUND(INDEX(計分版!U$258:U$305,MATCH('Retake 扣分'!$A54,計分版!$A$258:$A$305,0)),2)</f>
        <v>0</v>
      </c>
      <c r="J54" s="560">
        <f>ROUND(INDEX(計分版!V$258:V$305,MATCH('Retake 扣分'!$A54,計分版!$A$258:$A$305,0)),2)</f>
        <v>0</v>
      </c>
      <c r="K54" s="560">
        <f>ROUND(INDEX(計分版!W$258:W$305,MATCH('Retake 扣分'!$A54,計分版!$A$258:$A$305,0)),2)</f>
        <v>0</v>
      </c>
      <c r="L54" s="560">
        <f>ROUND(INDEX(計分版!X$258:X$305,MATCH('Retake 扣分'!$A54,計分版!$A$258:$A$305,0)),2)</f>
        <v>0</v>
      </c>
      <c r="M54" s="560">
        <f>ROUND(INDEX(計分版!Y$258:Y$305,MATCH('Retake 扣分'!$A54,計分版!$A$258:$A$305,0)),2)</f>
        <v>0</v>
      </c>
      <c r="N54" s="560">
        <f>ROUND(INDEX(計分版!Z$258:Z$305,MATCH('Retake 扣分'!$A54,計分版!$A$258:$A$305,0)),2)</f>
        <v>0</v>
      </c>
      <c r="O54" s="560">
        <f>ROUND(INDEX(計分版!AA$258:AA$305,MATCH('Retake 扣分'!$A54,計分版!$A$258:$A$305,0)),2)</f>
        <v>0</v>
      </c>
      <c r="P54" s="560">
        <f>ROUND(INDEX(計分版!AB$258:AB$305,MATCH('Retake 扣分'!$A54,計分版!$A$258:$A$305,0)),2)</f>
        <v>0</v>
      </c>
      <c r="Q54" s="560">
        <f>ROUND(INDEX(計分版!AC$258:AC$305,MATCH('Retake 扣分'!$A54,計分版!$A$258:$A$305,0)),2)</f>
        <v>0</v>
      </c>
      <c r="R54" s="129"/>
      <c r="S54" s="4" t="s">
        <v>2625</v>
      </c>
    </row>
    <row r="55" spans="1:19" s="4" customFormat="1" ht="14.4" x14ac:dyDescent="0.3">
      <c r="A55" s="4" t="s">
        <v>1348</v>
      </c>
      <c r="B55" s="346" t="str">
        <f>INDEX('Reference Score Calculation'!$D$237:$D$284,MATCH(A55,'Reference Score Calculation'!$A$237:$A$284,0))</f>
        <v>工學學士(生物醫學工程)</v>
      </c>
      <c r="C55" s="346" t="str">
        <f>INDEX('Reference Score Calculation'!$E$237:$E$284,MATCH(A55,'Reference Score Calculation'!$A$237:$A$284,0))</f>
        <v>Best 5</v>
      </c>
      <c r="D55" s="385">
        <f>ROUND(INDEX('Reference Score Calculation'!F$237:F$284,MATCH('Retake 扣分'!$A55,'Reference Score Calculation'!$A$237:$A$284,0)),2)</f>
        <v>31</v>
      </c>
      <c r="E55" s="385">
        <f>ROUND(INDEX('Reference Score Calculation'!G$237:G$284,MATCH('Retake 扣分'!$A55,'Reference Score Calculation'!$A$237:$A$284,0)),2)</f>
        <v>30</v>
      </c>
      <c r="F55" s="385">
        <f>ROUND(INDEX('Reference Score Calculation'!H$237:H$284,MATCH('Retake 扣分'!$A55,'Reference Score Calculation'!$A$237:$A$284,0)),2)</f>
        <v>29</v>
      </c>
      <c r="G55" s="543">
        <f>ROUND(INDEX(計分版!$H$258:$H$305,MATCH('Retake 扣分'!A55,計分版!$A$258:$A$305,0)),2)</f>
        <v>0</v>
      </c>
      <c r="H55" s="560">
        <f>ROUND(INDEX(計分版!T$258:T$305,MATCH('Retake 扣分'!$A55,計分版!$A$258:$A$305,0)),2)</f>
        <v>0</v>
      </c>
      <c r="I55" s="560">
        <f>ROUND(INDEX(計分版!U$258:U$305,MATCH('Retake 扣分'!$A55,計分版!$A$258:$A$305,0)),2)</f>
        <v>0</v>
      </c>
      <c r="J55" s="560">
        <f>ROUND(INDEX(計分版!V$258:V$305,MATCH('Retake 扣分'!$A55,計分版!$A$258:$A$305,0)),2)</f>
        <v>0</v>
      </c>
      <c r="K55" s="560">
        <f>ROUND(INDEX(計分版!W$258:W$305,MATCH('Retake 扣分'!$A55,計分版!$A$258:$A$305,0)),2)</f>
        <v>0</v>
      </c>
      <c r="L55" s="560">
        <f>ROUND(INDEX(計分版!X$258:X$305,MATCH('Retake 扣分'!$A55,計分版!$A$258:$A$305,0)),2)</f>
        <v>0</v>
      </c>
      <c r="M55" s="560">
        <f>ROUND(INDEX(計分版!Y$258:Y$305,MATCH('Retake 扣分'!$A55,計分版!$A$258:$A$305,0)),2)</f>
        <v>0</v>
      </c>
      <c r="N55" s="560">
        <f>ROUND(INDEX(計分版!Z$258:Z$305,MATCH('Retake 扣分'!$A55,計分版!$A$258:$A$305,0)),2)</f>
        <v>0</v>
      </c>
      <c r="O55" s="560">
        <f>ROUND(INDEX(計分版!AA$258:AA$305,MATCH('Retake 扣分'!$A55,計分版!$A$258:$A$305,0)),2)</f>
        <v>0</v>
      </c>
      <c r="P55" s="560">
        <f>ROUND(INDEX(計分版!AB$258:AB$305,MATCH('Retake 扣分'!$A55,計分版!$A$258:$A$305,0)),2)</f>
        <v>0</v>
      </c>
      <c r="Q55" s="560">
        <f>ROUND(INDEX(計分版!AC$258:AC$305,MATCH('Retake 扣分'!$A55,計分版!$A$258:$A$305,0)),2)</f>
        <v>0</v>
      </c>
      <c r="R55" s="129"/>
      <c r="S55" s="4" t="s">
        <v>2625</v>
      </c>
    </row>
    <row r="56" spans="1:19" s="4" customFormat="1" ht="14.4" x14ac:dyDescent="0.3">
      <c r="A56" s="4" t="s">
        <v>1352</v>
      </c>
      <c r="B56" s="346" t="str">
        <f>INDEX('Reference Score Calculation'!$D$237:$D$284,MATCH(A56,'Reference Score Calculation'!$A$237:$A$284,0))</f>
        <v>環球工程與商業課程</v>
      </c>
      <c r="C56" s="346" t="str">
        <f>INDEX('Reference Score Calculation'!$E$237:$E$284,MATCH(A56,'Reference Score Calculation'!$A$237:$A$284,0))</f>
        <v>Best 5</v>
      </c>
      <c r="D56" s="385">
        <f>ROUND(INDEX('Reference Score Calculation'!F$237:F$284,MATCH('Retake 扣分'!$A56,'Reference Score Calculation'!$A$237:$A$284,0)),2)</f>
        <v>34</v>
      </c>
      <c r="E56" s="385">
        <f>ROUND(INDEX('Reference Score Calculation'!G$237:G$284,MATCH('Retake 扣分'!$A56,'Reference Score Calculation'!$A$237:$A$284,0)),2)</f>
        <v>31</v>
      </c>
      <c r="F56" s="385">
        <f>ROUND(INDEX('Reference Score Calculation'!H$237:H$284,MATCH('Retake 扣分'!$A56,'Reference Score Calculation'!$A$237:$A$284,0)),2)</f>
        <v>29</v>
      </c>
      <c r="G56" s="543">
        <f>ROUND(INDEX(計分版!$H$258:$H$305,MATCH('Retake 扣分'!A56,計分版!$A$258:$A$305,0)),2)</f>
        <v>0</v>
      </c>
      <c r="H56" s="560">
        <f>ROUND(INDEX(計分版!T$258:T$305,MATCH('Retake 扣分'!$A56,計分版!$A$258:$A$305,0)),2)</f>
        <v>0</v>
      </c>
      <c r="I56" s="560">
        <f>ROUND(INDEX(計分版!U$258:U$305,MATCH('Retake 扣分'!$A56,計分版!$A$258:$A$305,0)),2)</f>
        <v>0</v>
      </c>
      <c r="J56" s="560">
        <f>ROUND(INDEX(計分版!V$258:V$305,MATCH('Retake 扣分'!$A56,計分版!$A$258:$A$305,0)),2)</f>
        <v>0</v>
      </c>
      <c r="K56" s="560">
        <f>ROUND(INDEX(計分版!W$258:W$305,MATCH('Retake 扣分'!$A56,計分版!$A$258:$A$305,0)),2)</f>
        <v>0</v>
      </c>
      <c r="L56" s="560">
        <f>ROUND(INDEX(計分版!X$258:X$305,MATCH('Retake 扣分'!$A56,計分版!$A$258:$A$305,0)),2)</f>
        <v>0</v>
      </c>
      <c r="M56" s="560">
        <f>ROUND(INDEX(計分版!Y$258:Y$305,MATCH('Retake 扣分'!$A56,計分版!$A$258:$A$305,0)),2)</f>
        <v>0</v>
      </c>
      <c r="N56" s="560">
        <f>ROUND(INDEX(計分版!Z$258:Z$305,MATCH('Retake 扣分'!$A56,計分版!$A$258:$A$305,0)),2)</f>
        <v>0</v>
      </c>
      <c r="O56" s="560">
        <f>ROUND(INDEX(計分版!AA$258:AA$305,MATCH('Retake 扣分'!$A56,計分版!$A$258:$A$305,0)),2)</f>
        <v>0</v>
      </c>
      <c r="P56" s="560">
        <f>ROUND(INDEX(計分版!AB$258:AB$305,MATCH('Retake 扣分'!$A56,計分版!$A$258:$A$305,0)),2)</f>
        <v>0</v>
      </c>
      <c r="Q56" s="560">
        <f>ROUND(INDEX(計分版!AC$258:AC$305,MATCH('Retake 扣分'!$A56,計分版!$A$258:$A$305,0)),2)</f>
        <v>0</v>
      </c>
      <c r="R56" s="129"/>
      <c r="S56" s="4" t="s">
        <v>2618</v>
      </c>
    </row>
    <row r="57" spans="1:19" s="4" customFormat="1" ht="14.4" x14ac:dyDescent="0.3">
      <c r="A57" s="4" t="s">
        <v>1362</v>
      </c>
      <c r="B57" s="346" t="str">
        <f>INDEX('Reference Score Calculation'!$D$237:$D$284,MATCH(A57,'Reference Score Calculation'!$A$237:$A$284,0))</f>
        <v>工學學士(工程科學)</v>
      </c>
      <c r="C57" s="346" t="str">
        <f>INDEX('Reference Score Calculation'!$E$237:$E$284,MATCH(A57,'Reference Score Calculation'!$A$237:$A$284,0))</f>
        <v>Best 5</v>
      </c>
      <c r="D57" s="385">
        <f>ROUND(INDEX('Reference Score Calculation'!F$237:F$284,MATCH('Retake 扣分'!$A57,'Reference Score Calculation'!$A$237:$A$284,0)),2)</f>
        <v>27</v>
      </c>
      <c r="E57" s="385">
        <f>ROUND(INDEX('Reference Score Calculation'!G$237:G$284,MATCH('Retake 扣分'!$A57,'Reference Score Calculation'!$A$237:$A$284,0)),2)</f>
        <v>26</v>
      </c>
      <c r="F57" s="385">
        <f>ROUND(INDEX('Reference Score Calculation'!H$237:H$284,MATCH('Retake 扣分'!$A57,'Reference Score Calculation'!$A$237:$A$284,0)),2)</f>
        <v>25</v>
      </c>
      <c r="G57" s="543">
        <f>ROUND(INDEX(計分版!$H$258:$H$305,MATCH('Retake 扣分'!A57,計分版!$A$258:$A$305,0)),2)</f>
        <v>0</v>
      </c>
      <c r="H57" s="560">
        <f>ROUND(INDEX(計分版!T$258:T$305,MATCH('Retake 扣分'!$A57,計分版!$A$258:$A$305,0)),2)</f>
        <v>0</v>
      </c>
      <c r="I57" s="560">
        <f>ROUND(INDEX(計分版!U$258:U$305,MATCH('Retake 扣分'!$A57,計分版!$A$258:$A$305,0)),2)</f>
        <v>0</v>
      </c>
      <c r="J57" s="560">
        <f>ROUND(INDEX(計分版!V$258:V$305,MATCH('Retake 扣分'!$A57,計分版!$A$258:$A$305,0)),2)</f>
        <v>0</v>
      </c>
      <c r="K57" s="560">
        <f>ROUND(INDEX(計分版!W$258:W$305,MATCH('Retake 扣分'!$A57,計分版!$A$258:$A$305,0)),2)</f>
        <v>0</v>
      </c>
      <c r="L57" s="560">
        <f>ROUND(INDEX(計分版!X$258:X$305,MATCH('Retake 扣分'!$A57,計分版!$A$258:$A$305,0)),2)</f>
        <v>0</v>
      </c>
      <c r="M57" s="560">
        <f>ROUND(INDEX(計分版!Y$258:Y$305,MATCH('Retake 扣分'!$A57,計分版!$A$258:$A$305,0)),2)</f>
        <v>0</v>
      </c>
      <c r="N57" s="560">
        <f>ROUND(INDEX(計分版!Z$258:Z$305,MATCH('Retake 扣分'!$A57,計分版!$A$258:$A$305,0)),2)</f>
        <v>0</v>
      </c>
      <c r="O57" s="560">
        <f>ROUND(INDEX(計分版!AA$258:AA$305,MATCH('Retake 扣分'!$A57,計分版!$A$258:$A$305,0)),2)</f>
        <v>0</v>
      </c>
      <c r="P57" s="560">
        <f>ROUND(INDEX(計分版!AB$258:AB$305,MATCH('Retake 扣分'!$A57,計分版!$A$258:$A$305,0)),2)</f>
        <v>0</v>
      </c>
      <c r="Q57" s="560">
        <f>ROUND(INDEX(計分版!AC$258:AC$305,MATCH('Retake 扣分'!$A57,計分版!$A$258:$A$305,0)),2)</f>
        <v>0</v>
      </c>
      <c r="R57" s="129"/>
      <c r="S57" s="4" t="s">
        <v>2625</v>
      </c>
    </row>
    <row r="58" spans="1:19" s="4" customFormat="1" ht="14.4" x14ac:dyDescent="0.3">
      <c r="A58" s="4" t="s">
        <v>1367</v>
      </c>
      <c r="B58" s="346" t="str">
        <f>INDEX('Reference Score Calculation'!$D$237:$D$284,MATCH(A58,'Reference Score Calculation'!$A$237:$A$284,0))</f>
        <v>工學學士</v>
      </c>
      <c r="C58" s="346" t="str">
        <f>INDEX('Reference Score Calculation'!$E$237:$E$284,MATCH(A58,'Reference Score Calculation'!$A$237:$A$284,0))</f>
        <v>Best 5</v>
      </c>
      <c r="D58" s="385">
        <f>ROUND(INDEX('Reference Score Calculation'!F$237:F$284,MATCH('Retake 扣分'!$A58,'Reference Score Calculation'!$A$237:$A$284,0)),2)</f>
        <v>27</v>
      </c>
      <c r="E58" s="385">
        <f>ROUND(INDEX('Reference Score Calculation'!G$237:G$284,MATCH('Retake 扣分'!$A58,'Reference Score Calculation'!$A$237:$A$284,0)),2)</f>
        <v>25</v>
      </c>
      <c r="F58" s="385">
        <f>ROUND(INDEX('Reference Score Calculation'!H$237:H$284,MATCH('Retake 扣分'!$A58,'Reference Score Calculation'!$A$237:$A$284,0)),2)</f>
        <v>23</v>
      </c>
      <c r="G58" s="543">
        <f>ROUND(INDEX(計分版!$H$258:$H$305,MATCH('Retake 扣分'!A58,計分版!$A$258:$A$305,0)),2)</f>
        <v>0</v>
      </c>
      <c r="H58" s="560">
        <f>ROUND(INDEX(計分版!T$258:T$305,MATCH('Retake 扣分'!$A58,計分版!$A$258:$A$305,0)),2)</f>
        <v>0</v>
      </c>
      <c r="I58" s="560">
        <f>ROUND(INDEX(計分版!U$258:U$305,MATCH('Retake 扣分'!$A58,計分版!$A$258:$A$305,0)),2)</f>
        <v>0</v>
      </c>
      <c r="J58" s="560">
        <f>ROUND(INDEX(計分版!V$258:V$305,MATCH('Retake 扣分'!$A58,計分版!$A$258:$A$305,0)),2)</f>
        <v>0</v>
      </c>
      <c r="K58" s="560">
        <f>ROUND(INDEX(計分版!W$258:W$305,MATCH('Retake 扣分'!$A58,計分版!$A$258:$A$305,0)),2)</f>
        <v>0</v>
      </c>
      <c r="L58" s="560">
        <f>ROUND(INDEX(計分版!X$258:X$305,MATCH('Retake 扣分'!$A58,計分版!$A$258:$A$305,0)),2)</f>
        <v>0</v>
      </c>
      <c r="M58" s="560">
        <f>ROUND(INDEX(計分版!Y$258:Y$305,MATCH('Retake 扣分'!$A58,計分版!$A$258:$A$305,0)),2)</f>
        <v>0</v>
      </c>
      <c r="N58" s="560">
        <f>ROUND(INDEX(計分版!Z$258:Z$305,MATCH('Retake 扣分'!$A58,計分版!$A$258:$A$305,0)),2)</f>
        <v>0</v>
      </c>
      <c r="O58" s="560">
        <f>ROUND(INDEX(計分版!AA$258:AA$305,MATCH('Retake 扣分'!$A58,計分版!$A$258:$A$305,0)),2)</f>
        <v>0</v>
      </c>
      <c r="P58" s="560">
        <f>ROUND(INDEX(計分版!AB$258:AB$305,MATCH('Retake 扣分'!$A58,計分版!$A$258:$A$305,0)),2)</f>
        <v>0</v>
      </c>
      <c r="Q58" s="560">
        <f>ROUND(INDEX(計分版!AC$258:AC$305,MATCH('Retake 扣分'!$A58,計分版!$A$258:$A$305,0)),2)</f>
        <v>0</v>
      </c>
      <c r="R58" s="129"/>
      <c r="S58" s="4" t="s">
        <v>2625</v>
      </c>
    </row>
    <row r="59" spans="1:19" s="4" customFormat="1" ht="14.4" x14ac:dyDescent="0.3">
      <c r="A59" s="4" t="s">
        <v>1195</v>
      </c>
      <c r="B59" s="346" t="str">
        <f>INDEX('Reference Score Calculation'!$D$237:$D$284,MATCH(A59,'Reference Score Calculation'!$A$237:$A$284,0))</f>
        <v>文學士及法學士 (雙學位課程)</v>
      </c>
      <c r="C59" s="346" t="str">
        <f>INDEX('Reference Score Calculation'!$E$237:$E$284,MATCH(A59,'Reference Score Calculation'!$A$237:$A$284,0))</f>
        <v>Best 6</v>
      </c>
      <c r="D59" s="385">
        <f>ROUND(INDEX('Reference Score Calculation'!F$237:F$284,MATCH('Retake 扣分'!$A59,'Reference Score Calculation'!$A$237:$A$284,0)),2)</f>
        <v>41</v>
      </c>
      <c r="E59" s="385">
        <f>ROUND(INDEX('Reference Score Calculation'!G$237:G$284,MATCH('Retake 扣分'!$A59,'Reference Score Calculation'!$A$237:$A$284,0)),2)</f>
        <v>39</v>
      </c>
      <c r="F59" s="385">
        <f>ROUND(INDEX('Reference Score Calculation'!H$237:H$284,MATCH('Retake 扣分'!$A59,'Reference Score Calculation'!$A$237:$A$284,0)),2)</f>
        <v>37</v>
      </c>
      <c r="G59" s="543">
        <f>ROUND(INDEX(計分版!$H$258:$H$305,MATCH('Retake 扣分'!A59,計分版!$A$258:$A$305,0)),2)</f>
        <v>0</v>
      </c>
      <c r="H59" s="560">
        <f>ROUND(INDEX(計分版!T$258:T$305,MATCH('Retake 扣分'!$A59,計分版!$A$258:$A$305,0)),2)</f>
        <v>0</v>
      </c>
      <c r="I59" s="560">
        <f>ROUND(INDEX(計分版!U$258:U$305,MATCH('Retake 扣分'!$A59,計分版!$A$258:$A$305,0)),2)</f>
        <v>0</v>
      </c>
      <c r="J59" s="560">
        <f>ROUND(INDEX(計分版!V$258:V$305,MATCH('Retake 扣分'!$A59,計分版!$A$258:$A$305,0)),2)</f>
        <v>0</v>
      </c>
      <c r="K59" s="560">
        <f>ROUND(INDEX(計分版!W$258:W$305,MATCH('Retake 扣分'!$A59,計分版!$A$258:$A$305,0)),2)</f>
        <v>0</v>
      </c>
      <c r="L59" s="560">
        <f>ROUND(INDEX(計分版!X$258:X$305,MATCH('Retake 扣分'!$A59,計分版!$A$258:$A$305,0)),2)</f>
        <v>0</v>
      </c>
      <c r="M59" s="560">
        <f>ROUND(INDEX(計分版!Y$258:Y$305,MATCH('Retake 扣分'!$A59,計分版!$A$258:$A$305,0)),2)</f>
        <v>0</v>
      </c>
      <c r="N59" s="560">
        <f>ROUND(INDEX(計分版!Z$258:Z$305,MATCH('Retake 扣分'!$A59,計分版!$A$258:$A$305,0)),2)</f>
        <v>0</v>
      </c>
      <c r="O59" s="560">
        <f>ROUND(INDEX(計分版!AA$258:AA$305,MATCH('Retake 扣分'!$A59,計分版!$A$258:$A$305,0)),2)</f>
        <v>0</v>
      </c>
      <c r="P59" s="560">
        <f>ROUND(INDEX(計分版!AB$258:AB$305,MATCH('Retake 扣分'!$A59,計分版!$A$258:$A$305,0)),2)</f>
        <v>0</v>
      </c>
      <c r="Q59" s="560">
        <f>ROUND(INDEX(計分版!AC$258:AC$305,MATCH('Retake 扣分'!$A59,計分版!$A$258:$A$305,0)),2)</f>
        <v>0</v>
      </c>
      <c r="R59" s="129"/>
      <c r="S59" s="4" t="s">
        <v>2618</v>
      </c>
    </row>
    <row r="60" spans="1:19" s="4" customFormat="1" ht="14.4" x14ac:dyDescent="0.3">
      <c r="A60" s="4" t="s">
        <v>1253</v>
      </c>
      <c r="B60" s="346" t="str">
        <f>INDEX('Reference Score Calculation'!$D$237:$D$284,MATCH(A60,'Reference Score Calculation'!$A$237:$A$284,0))</f>
        <v>法學士</v>
      </c>
      <c r="C60" s="346" t="str">
        <f>INDEX('Reference Score Calculation'!$E$237:$E$284,MATCH(A60,'Reference Score Calculation'!$A$237:$A$284,0))</f>
        <v>Best 6</v>
      </c>
      <c r="D60" s="385">
        <f>ROUND(INDEX('Reference Score Calculation'!F$237:F$284,MATCH('Retake 扣分'!$A60,'Reference Score Calculation'!$A$237:$A$284,0)),2)</f>
        <v>38</v>
      </c>
      <c r="E60" s="385">
        <f>ROUND(INDEX('Reference Score Calculation'!G$237:G$284,MATCH('Retake 扣分'!$A60,'Reference Score Calculation'!$A$237:$A$284,0)),2)</f>
        <v>36</v>
      </c>
      <c r="F60" s="385">
        <f>ROUND(INDEX('Reference Score Calculation'!H$237:H$284,MATCH('Retake 扣分'!$A60,'Reference Score Calculation'!$A$237:$A$284,0)),2)</f>
        <v>35</v>
      </c>
      <c r="G60" s="543">
        <f>ROUND(INDEX(計分版!$H$258:$H$305,MATCH('Retake 扣分'!A60,計分版!$A$258:$A$305,0)),2)</f>
        <v>0</v>
      </c>
      <c r="H60" s="560">
        <f>ROUND(INDEX(計分版!T$258:T$305,MATCH('Retake 扣分'!$A60,計分版!$A$258:$A$305,0)),2)</f>
        <v>0</v>
      </c>
      <c r="I60" s="560">
        <f>ROUND(INDEX(計分版!U$258:U$305,MATCH('Retake 扣分'!$A60,計分版!$A$258:$A$305,0)),2)</f>
        <v>0</v>
      </c>
      <c r="J60" s="560">
        <f>ROUND(INDEX(計分版!V$258:V$305,MATCH('Retake 扣分'!$A60,計分版!$A$258:$A$305,0)),2)</f>
        <v>0</v>
      </c>
      <c r="K60" s="560">
        <f>ROUND(INDEX(計分版!W$258:W$305,MATCH('Retake 扣分'!$A60,計分版!$A$258:$A$305,0)),2)</f>
        <v>0</v>
      </c>
      <c r="L60" s="560">
        <f>ROUND(INDEX(計分版!X$258:X$305,MATCH('Retake 扣分'!$A60,計分版!$A$258:$A$305,0)),2)</f>
        <v>0</v>
      </c>
      <c r="M60" s="560">
        <f>ROUND(INDEX(計分版!Y$258:Y$305,MATCH('Retake 扣分'!$A60,計分版!$A$258:$A$305,0)),2)</f>
        <v>0</v>
      </c>
      <c r="N60" s="560">
        <f>ROUND(INDEX(計分版!Z$258:Z$305,MATCH('Retake 扣分'!$A60,計分版!$A$258:$A$305,0)),2)</f>
        <v>0</v>
      </c>
      <c r="O60" s="560">
        <f>ROUND(INDEX(計分版!AA$258:AA$305,MATCH('Retake 扣分'!$A60,計分版!$A$258:$A$305,0)),2)</f>
        <v>0</v>
      </c>
      <c r="P60" s="560">
        <f>ROUND(INDEX(計分版!AB$258:AB$305,MATCH('Retake 扣分'!$A60,計分版!$A$258:$A$305,0)),2)</f>
        <v>0</v>
      </c>
      <c r="Q60" s="560">
        <f>ROUND(INDEX(計分版!AC$258:AC$305,MATCH('Retake 扣分'!$A60,計分版!$A$258:$A$305,0)),2)</f>
        <v>0</v>
      </c>
      <c r="R60" s="129"/>
      <c r="S60" s="4" t="s">
        <v>2618</v>
      </c>
    </row>
    <row r="61" spans="1:19" s="4" customFormat="1" ht="14.4" x14ac:dyDescent="0.3">
      <c r="A61" s="4" t="s">
        <v>1254</v>
      </c>
      <c r="B61" s="346" t="str">
        <f>INDEX('Reference Score Calculation'!$D$237:$D$284,MATCH(A61,'Reference Score Calculation'!$A$237:$A$284,0))</f>
        <v>護理學學士菁英領袖培育專修組別</v>
      </c>
      <c r="C61" s="346" t="str">
        <f>INDEX('Reference Score Calculation'!$E$237:$E$284,MATCH(A61,'Reference Score Calculation'!$A$237:$A$284,0))</f>
        <v>Best 5</v>
      </c>
      <c r="D61" s="385">
        <f>ROUND(INDEX('Reference Score Calculation'!F$237:F$284,MATCH('Retake 扣分'!$A61,'Reference Score Calculation'!$A$237:$A$284,0)),2)</f>
        <v>34</v>
      </c>
      <c r="E61" s="385">
        <f>ROUND(INDEX('Reference Score Calculation'!G$237:G$284,MATCH('Retake 扣分'!$A61,'Reference Score Calculation'!$A$237:$A$284,0)),2)</f>
        <v>34</v>
      </c>
      <c r="F61" s="385">
        <f>ROUND(INDEX('Reference Score Calculation'!H$237:H$284,MATCH('Retake 扣分'!$A61,'Reference Score Calculation'!$A$237:$A$284,0)),2)</f>
        <v>33</v>
      </c>
      <c r="G61" s="543">
        <f>ROUND(INDEX(計分版!$H$258:$H$305,MATCH('Retake 扣分'!A61,計分版!$A$258:$A$305,0)),2)</f>
        <v>0</v>
      </c>
      <c r="H61" s="560">
        <f>ROUND(INDEX(計分版!T$258:T$305,MATCH('Retake 扣分'!$A61,計分版!$A$258:$A$305,0)),2)</f>
        <v>0</v>
      </c>
      <c r="I61" s="560">
        <f>ROUND(INDEX(計分版!U$258:U$305,MATCH('Retake 扣分'!$A61,計分版!$A$258:$A$305,0)),2)</f>
        <v>0</v>
      </c>
      <c r="J61" s="560">
        <f>ROUND(INDEX(計分版!V$258:V$305,MATCH('Retake 扣分'!$A61,計分版!$A$258:$A$305,0)),2)</f>
        <v>0</v>
      </c>
      <c r="K61" s="560">
        <f>ROUND(INDEX(計分版!W$258:W$305,MATCH('Retake 扣分'!$A61,計分版!$A$258:$A$305,0)),2)</f>
        <v>0</v>
      </c>
      <c r="L61" s="560">
        <f>ROUND(INDEX(計分版!X$258:X$305,MATCH('Retake 扣分'!$A61,計分版!$A$258:$A$305,0)),2)</f>
        <v>0</v>
      </c>
      <c r="M61" s="560">
        <f>ROUND(INDEX(計分版!Y$258:Y$305,MATCH('Retake 扣分'!$A61,計分版!$A$258:$A$305,0)),2)</f>
        <v>0</v>
      </c>
      <c r="N61" s="560">
        <f>ROUND(INDEX(計分版!Z$258:Z$305,MATCH('Retake 扣分'!$A61,計分版!$A$258:$A$305,0)),2)</f>
        <v>0</v>
      </c>
      <c r="O61" s="560">
        <f>ROUND(INDEX(計分版!AA$258:AA$305,MATCH('Retake 扣分'!$A61,計分版!$A$258:$A$305,0)),2)</f>
        <v>0</v>
      </c>
      <c r="P61" s="560">
        <f>ROUND(INDEX(計分版!AB$258:AB$305,MATCH('Retake 扣分'!$A61,計分版!$A$258:$A$305,0)),2)</f>
        <v>0</v>
      </c>
      <c r="Q61" s="560">
        <f>ROUND(INDEX(計分版!AC$258:AC$305,MATCH('Retake 扣分'!$A61,計分版!$A$258:$A$305,0)),2)</f>
        <v>0</v>
      </c>
      <c r="R61" s="129"/>
      <c r="S61" s="4" t="s">
        <v>2617</v>
      </c>
    </row>
    <row r="62" spans="1:19" s="4" customFormat="1" ht="14.4" x14ac:dyDescent="0.3">
      <c r="A62" s="4" t="s">
        <v>1258</v>
      </c>
      <c r="B62" s="346" t="str">
        <f>INDEX('Reference Score Calculation'!$D$237:$D$284,MATCH(A62,'Reference Score Calculation'!$A$237:$A$284,0))</f>
        <v>內外全科醫學士</v>
      </c>
      <c r="C62" s="346" t="str">
        <f>INDEX('Reference Score Calculation'!$E$237:$E$284,MATCH(A62,'Reference Score Calculation'!$A$237:$A$284,0))</f>
        <v>Best 6</v>
      </c>
      <c r="D62" s="385">
        <f>ROUND(INDEX('Reference Score Calculation'!F$237:F$284,MATCH('Retake 扣分'!$A62,'Reference Score Calculation'!$A$237:$A$284,0)),2)</f>
        <v>47</v>
      </c>
      <c r="E62" s="385">
        <f>ROUND(INDEX('Reference Score Calculation'!G$237:G$284,MATCH('Retake 扣分'!$A62,'Reference Score Calculation'!$A$237:$A$284,0)),2)</f>
        <v>45</v>
      </c>
      <c r="F62" s="385">
        <f>ROUND(INDEX('Reference Score Calculation'!H$237:H$284,MATCH('Retake 扣分'!$A62,'Reference Score Calculation'!$A$237:$A$284,0)),2)</f>
        <v>42</v>
      </c>
      <c r="G62" s="543">
        <f>ROUND(INDEX(計分版!$H$258:$H$305,MATCH('Retake 扣分'!A62,計分版!$A$258:$A$305,0)),2)</f>
        <v>0</v>
      </c>
      <c r="H62" s="560">
        <f>ROUND(INDEX(計分版!T$258:T$305,MATCH('Retake 扣分'!$A62,計分版!$A$258:$A$305,0)),2)</f>
        <v>0</v>
      </c>
      <c r="I62" s="560">
        <f>ROUND(INDEX(計分版!U$258:U$305,MATCH('Retake 扣分'!$A62,計分版!$A$258:$A$305,0)),2)</f>
        <v>0</v>
      </c>
      <c r="J62" s="560">
        <f>ROUND(INDEX(計分版!V$258:V$305,MATCH('Retake 扣分'!$A62,計分版!$A$258:$A$305,0)),2)</f>
        <v>0</v>
      </c>
      <c r="K62" s="560">
        <f>ROUND(INDEX(計分版!W$258:W$305,MATCH('Retake 扣分'!$A62,計分版!$A$258:$A$305,0)),2)</f>
        <v>0</v>
      </c>
      <c r="L62" s="560">
        <f>ROUND(INDEX(計分版!X$258:X$305,MATCH('Retake 扣分'!$A62,計分版!$A$258:$A$305,0)),2)</f>
        <v>0</v>
      </c>
      <c r="M62" s="560">
        <f>ROUND(INDEX(計分版!Y$258:Y$305,MATCH('Retake 扣分'!$A62,計分版!$A$258:$A$305,0)),2)</f>
        <v>0</v>
      </c>
      <c r="N62" s="560">
        <f>ROUND(INDEX(計分版!Z$258:Z$305,MATCH('Retake 扣分'!$A62,計分版!$A$258:$A$305,0)),2)</f>
        <v>0</v>
      </c>
      <c r="O62" s="560">
        <f>ROUND(INDEX(計分版!AA$258:AA$305,MATCH('Retake 扣分'!$A62,計分版!$A$258:$A$305,0)),2)</f>
        <v>0</v>
      </c>
      <c r="P62" s="560">
        <f>ROUND(INDEX(計分版!AB$258:AB$305,MATCH('Retake 扣分'!$A62,計分版!$A$258:$A$305,0)),2)</f>
        <v>0</v>
      </c>
      <c r="Q62" s="560">
        <f>ROUND(INDEX(計分版!AC$258:AC$305,MATCH('Retake 扣分'!$A62,計分版!$A$258:$A$305,0)),2)</f>
        <v>0</v>
      </c>
      <c r="R62" s="129">
        <v>0.1</v>
      </c>
      <c r="S62" s="4" t="s">
        <v>2626</v>
      </c>
    </row>
    <row r="63" spans="1:19" s="4" customFormat="1" ht="14.4" x14ac:dyDescent="0.3">
      <c r="A63" s="4" t="s">
        <v>1262</v>
      </c>
      <c r="B63" s="346" t="str">
        <f>INDEX('Reference Score Calculation'!$D$237:$D$284,MATCH(A63,'Reference Score Calculation'!$A$237:$A$284,0))</f>
        <v>護理學學士</v>
      </c>
      <c r="C63" s="346" t="str">
        <f>INDEX('Reference Score Calculation'!$E$237:$E$284,MATCH(A63,'Reference Score Calculation'!$A$237:$A$284,0))</f>
        <v>Best 5</v>
      </c>
      <c r="D63" s="385">
        <f>ROUND(INDEX('Reference Score Calculation'!F$237:F$284,MATCH('Retake 扣分'!$A63,'Reference Score Calculation'!$A$237:$A$284,0)),2)</f>
        <v>26</v>
      </c>
      <c r="E63" s="385">
        <f>ROUND(INDEX('Reference Score Calculation'!G$237:G$284,MATCH('Retake 扣分'!$A63,'Reference Score Calculation'!$A$237:$A$284,0)),2)</f>
        <v>25</v>
      </c>
      <c r="F63" s="385">
        <f>ROUND(INDEX('Reference Score Calculation'!H$237:H$284,MATCH('Retake 扣分'!$A63,'Reference Score Calculation'!$A$237:$A$284,0)),2)</f>
        <v>25</v>
      </c>
      <c r="G63" s="543">
        <f>ROUND(INDEX(計分版!$H$258:$H$305,MATCH('Retake 扣分'!A63,計分版!$A$258:$A$305,0)),2)</f>
        <v>0</v>
      </c>
      <c r="H63" s="560">
        <f>ROUND(INDEX(計分版!T$258:T$305,MATCH('Retake 扣分'!$A63,計分版!$A$258:$A$305,0)),2)</f>
        <v>0</v>
      </c>
      <c r="I63" s="560">
        <f>ROUND(INDEX(計分版!U$258:U$305,MATCH('Retake 扣分'!$A63,計分版!$A$258:$A$305,0)),2)</f>
        <v>0</v>
      </c>
      <c r="J63" s="560">
        <f>ROUND(INDEX(計分版!V$258:V$305,MATCH('Retake 扣分'!$A63,計分版!$A$258:$A$305,0)),2)</f>
        <v>0</v>
      </c>
      <c r="K63" s="560">
        <f>ROUND(INDEX(計分版!W$258:W$305,MATCH('Retake 扣分'!$A63,計分版!$A$258:$A$305,0)),2)</f>
        <v>0</v>
      </c>
      <c r="L63" s="560">
        <f>ROUND(INDEX(計分版!X$258:X$305,MATCH('Retake 扣分'!$A63,計分版!$A$258:$A$305,0)),2)</f>
        <v>0</v>
      </c>
      <c r="M63" s="560">
        <f>ROUND(INDEX(計分版!Y$258:Y$305,MATCH('Retake 扣分'!$A63,計分版!$A$258:$A$305,0)),2)</f>
        <v>0</v>
      </c>
      <c r="N63" s="560">
        <f>ROUND(INDEX(計分版!Z$258:Z$305,MATCH('Retake 扣分'!$A63,計分版!$A$258:$A$305,0)),2)</f>
        <v>0</v>
      </c>
      <c r="O63" s="560">
        <f>ROUND(INDEX(計分版!AA$258:AA$305,MATCH('Retake 扣分'!$A63,計分版!$A$258:$A$305,0)),2)</f>
        <v>0</v>
      </c>
      <c r="P63" s="560">
        <f>ROUND(INDEX(計分版!AB$258:AB$305,MATCH('Retake 扣分'!$A63,計分版!$A$258:$A$305,0)),2)</f>
        <v>0</v>
      </c>
      <c r="Q63" s="560">
        <f>ROUND(INDEX(計分版!AC$258:AC$305,MATCH('Retake 扣分'!$A63,計分版!$A$258:$A$305,0)),2)</f>
        <v>0</v>
      </c>
      <c r="R63" s="129"/>
      <c r="S63" s="4" t="s">
        <v>2617</v>
      </c>
    </row>
    <row r="64" spans="1:19" s="4" customFormat="1" ht="14.4" x14ac:dyDescent="0.3">
      <c r="A64" s="4" t="s">
        <v>1266</v>
      </c>
      <c r="B64" s="346" t="str">
        <f>INDEX('Reference Score Calculation'!$D$237:$D$284,MATCH(A64,'Reference Score Calculation'!$A$237:$A$284,0))</f>
        <v>理學士(生物訊息學)</v>
      </c>
      <c r="C64" s="346" t="str">
        <f>INDEX('Reference Score Calculation'!$E$237:$E$284,MATCH(A64,'Reference Score Calculation'!$A$237:$A$284,0))</f>
        <v>2022年新科目</v>
      </c>
      <c r="D64" s="385" t="s">
        <v>1978</v>
      </c>
      <c r="E64" s="385" t="s">
        <v>1978</v>
      </c>
      <c r="F64" s="385" t="s">
        <v>1978</v>
      </c>
      <c r="G64" s="543">
        <f>ROUND(INDEX(計分版!$H$258:$H$305,MATCH('Retake 扣分'!A64,計分版!$A$258:$A$305,0)),2)</f>
        <v>0</v>
      </c>
      <c r="H64" s="560">
        <f>ROUND(INDEX(計分版!T$258:T$305,MATCH('Retake 扣分'!$A64,計分版!$A$258:$A$305,0)),2)</f>
        <v>0</v>
      </c>
      <c r="I64" s="560">
        <f>ROUND(INDEX(計分版!U$258:U$305,MATCH('Retake 扣分'!$A64,計分版!$A$258:$A$305,0)),2)</f>
        <v>0</v>
      </c>
      <c r="J64" s="560">
        <f>ROUND(INDEX(計分版!V$258:V$305,MATCH('Retake 扣分'!$A64,計分版!$A$258:$A$305,0)),2)</f>
        <v>0</v>
      </c>
      <c r="K64" s="560">
        <f>ROUND(INDEX(計分版!W$258:W$305,MATCH('Retake 扣分'!$A64,計分版!$A$258:$A$305,0)),2)</f>
        <v>0</v>
      </c>
      <c r="L64" s="560">
        <f>ROUND(INDEX(計分版!X$258:X$305,MATCH('Retake 扣分'!$A64,計分版!$A$258:$A$305,0)),2)</f>
        <v>0</v>
      </c>
      <c r="M64" s="560">
        <f>ROUND(INDEX(計分版!Y$258:Y$305,MATCH('Retake 扣分'!$A64,計分版!$A$258:$A$305,0)),2)</f>
        <v>0</v>
      </c>
      <c r="N64" s="560">
        <f>ROUND(INDEX(計分版!Z$258:Z$305,MATCH('Retake 扣分'!$A64,計分版!$A$258:$A$305,0)),2)</f>
        <v>0</v>
      </c>
      <c r="O64" s="560">
        <f>ROUND(INDEX(計分版!AA$258:AA$305,MATCH('Retake 扣分'!$A64,計分版!$A$258:$A$305,0)),2)</f>
        <v>0</v>
      </c>
      <c r="P64" s="560">
        <f>ROUND(INDEX(計分版!AB$258:AB$305,MATCH('Retake 扣分'!$A64,計分版!$A$258:$A$305,0)),2)</f>
        <v>0</v>
      </c>
      <c r="Q64" s="560">
        <f>ROUND(INDEX(計分版!AC$258:AC$305,MATCH('Retake 扣分'!$A64,計分版!$A$258:$A$305,0)),2)</f>
        <v>0</v>
      </c>
      <c r="R64" s="129">
        <v>0.1</v>
      </c>
      <c r="S64" s="4" t="s">
        <v>2626</v>
      </c>
    </row>
    <row r="65" spans="1:19" s="4" customFormat="1" ht="14.4" x14ac:dyDescent="0.3">
      <c r="A65" s="4" t="s">
        <v>1270</v>
      </c>
      <c r="B65" s="346" t="str">
        <f>INDEX('Reference Score Calculation'!$D$237:$D$284,MATCH(A65,'Reference Score Calculation'!$A$237:$A$284,0))</f>
        <v>中醫全科學士</v>
      </c>
      <c r="C65" s="346" t="str">
        <f>INDEX('Reference Score Calculation'!$E$237:$E$284,MATCH(A65,'Reference Score Calculation'!$A$237:$A$284,0))</f>
        <v>Best 5</v>
      </c>
      <c r="D65" s="385">
        <f>ROUND(INDEX('Reference Score Calculation'!F$237:F$284,MATCH('Retake 扣分'!$A65,'Reference Score Calculation'!$A$237:$A$284,0)),2)</f>
        <v>31</v>
      </c>
      <c r="E65" s="385">
        <f>ROUND(INDEX('Reference Score Calculation'!G$237:G$284,MATCH('Retake 扣分'!$A65,'Reference Score Calculation'!$A$237:$A$284,0)),2)</f>
        <v>28</v>
      </c>
      <c r="F65" s="385">
        <f>ROUND(INDEX('Reference Score Calculation'!H$237:H$284,MATCH('Retake 扣分'!$A65,'Reference Score Calculation'!$A$237:$A$284,0)),2)</f>
        <v>27</v>
      </c>
      <c r="G65" s="543">
        <f>ROUND(INDEX(計分版!$H$258:$H$305,MATCH('Retake 扣分'!A65,計分版!$A$258:$A$305,0)),2)</f>
        <v>0</v>
      </c>
      <c r="H65" s="560">
        <f>ROUND(INDEX(計分版!T$258:T$305,MATCH('Retake 扣分'!$A65,計分版!$A$258:$A$305,0)),2)</f>
        <v>0</v>
      </c>
      <c r="I65" s="560">
        <f>ROUND(INDEX(計分版!U$258:U$305,MATCH('Retake 扣分'!$A65,計分版!$A$258:$A$305,0)),2)</f>
        <v>0</v>
      </c>
      <c r="J65" s="560">
        <f>ROUND(INDEX(計分版!V$258:V$305,MATCH('Retake 扣分'!$A65,計分版!$A$258:$A$305,0)),2)</f>
        <v>0</v>
      </c>
      <c r="K65" s="560">
        <f>ROUND(INDEX(計分版!W$258:W$305,MATCH('Retake 扣分'!$A65,計分版!$A$258:$A$305,0)),2)</f>
        <v>0</v>
      </c>
      <c r="L65" s="560">
        <f>ROUND(INDEX(計分版!X$258:X$305,MATCH('Retake 扣分'!$A65,計分版!$A$258:$A$305,0)),2)</f>
        <v>0</v>
      </c>
      <c r="M65" s="560">
        <f>ROUND(INDEX(計分版!Y$258:Y$305,MATCH('Retake 扣分'!$A65,計分版!$A$258:$A$305,0)),2)</f>
        <v>0</v>
      </c>
      <c r="N65" s="560">
        <f>ROUND(INDEX(計分版!Z$258:Z$305,MATCH('Retake 扣分'!$A65,計分版!$A$258:$A$305,0)),2)</f>
        <v>0</v>
      </c>
      <c r="O65" s="560">
        <f>ROUND(INDEX(計分版!AA$258:AA$305,MATCH('Retake 扣分'!$A65,計分版!$A$258:$A$305,0)),2)</f>
        <v>0</v>
      </c>
      <c r="P65" s="560">
        <f>ROUND(INDEX(計分版!AB$258:AB$305,MATCH('Retake 扣分'!$A65,計分版!$A$258:$A$305,0)),2)</f>
        <v>0</v>
      </c>
      <c r="Q65" s="560">
        <f>ROUND(INDEX(計分版!AC$258:AC$305,MATCH('Retake 扣分'!$A65,計分版!$A$258:$A$305,0)),2)</f>
        <v>0</v>
      </c>
      <c r="R65" s="129"/>
      <c r="S65" s="4" t="s">
        <v>2617</v>
      </c>
    </row>
    <row r="66" spans="1:19" s="4" customFormat="1" ht="14.4" x14ac:dyDescent="0.3">
      <c r="A66" s="4" t="s">
        <v>1274</v>
      </c>
      <c r="B66" s="346" t="str">
        <f>INDEX('Reference Score Calculation'!$D$237:$D$284,MATCH(A66,'Reference Score Calculation'!$A$237:$A$284,0))</f>
        <v>藥劑學學士</v>
      </c>
      <c r="C66" s="346" t="str">
        <f>INDEX('Reference Score Calculation'!$E$237:$E$284,MATCH(A66,'Reference Score Calculation'!$A$237:$A$284,0))</f>
        <v>Best 6</v>
      </c>
      <c r="D66" s="385">
        <f>ROUND(INDEX('Reference Score Calculation'!F$237:F$284,MATCH('Retake 扣分'!$A66,'Reference Score Calculation'!$A$237:$A$284,0)),2)</f>
        <v>39</v>
      </c>
      <c r="E66" s="385">
        <f>ROUND(INDEX('Reference Score Calculation'!G$237:G$284,MATCH('Retake 扣分'!$A66,'Reference Score Calculation'!$A$237:$A$284,0)),2)</f>
        <v>38</v>
      </c>
      <c r="F66" s="385">
        <f>ROUND(INDEX('Reference Score Calculation'!H$237:H$284,MATCH('Retake 扣分'!$A66,'Reference Score Calculation'!$A$237:$A$284,0)),2)</f>
        <v>37</v>
      </c>
      <c r="G66" s="543">
        <f>ROUND(INDEX(計分版!$H$258:$H$305,MATCH('Retake 扣分'!A66,計分版!$A$258:$A$305,0)),2)</f>
        <v>0</v>
      </c>
      <c r="H66" s="560">
        <f>ROUND(INDEX(計分版!T$258:T$305,MATCH('Retake 扣分'!$A66,計分版!$A$258:$A$305,0)),2)</f>
        <v>0</v>
      </c>
      <c r="I66" s="560">
        <f>ROUND(INDEX(計分版!U$258:U$305,MATCH('Retake 扣分'!$A66,計分版!$A$258:$A$305,0)),2)</f>
        <v>0</v>
      </c>
      <c r="J66" s="560">
        <f>ROUND(INDEX(計分版!V$258:V$305,MATCH('Retake 扣分'!$A66,計分版!$A$258:$A$305,0)),2)</f>
        <v>0</v>
      </c>
      <c r="K66" s="560">
        <f>ROUND(INDEX(計分版!W$258:W$305,MATCH('Retake 扣分'!$A66,計分版!$A$258:$A$305,0)),2)</f>
        <v>0</v>
      </c>
      <c r="L66" s="560">
        <f>ROUND(INDEX(計分版!X$258:X$305,MATCH('Retake 扣分'!$A66,計分版!$A$258:$A$305,0)),2)</f>
        <v>0</v>
      </c>
      <c r="M66" s="560">
        <f>ROUND(INDEX(計分版!Y$258:Y$305,MATCH('Retake 扣分'!$A66,計分版!$A$258:$A$305,0)),2)</f>
        <v>0</v>
      </c>
      <c r="N66" s="560">
        <f>ROUND(INDEX(計分版!Z$258:Z$305,MATCH('Retake 扣分'!$A66,計分版!$A$258:$A$305,0)),2)</f>
        <v>0</v>
      </c>
      <c r="O66" s="560">
        <f>ROUND(INDEX(計分版!AA$258:AA$305,MATCH('Retake 扣分'!$A66,計分版!$A$258:$A$305,0)),2)</f>
        <v>0</v>
      </c>
      <c r="P66" s="560">
        <f>ROUND(INDEX(計分版!AB$258:AB$305,MATCH('Retake 扣分'!$A66,計分版!$A$258:$A$305,0)),2)</f>
        <v>0</v>
      </c>
      <c r="Q66" s="560">
        <f>ROUND(INDEX(計分版!AC$258:AC$305,MATCH('Retake 扣分'!$A66,計分版!$A$258:$A$305,0)),2)</f>
        <v>0</v>
      </c>
      <c r="R66" s="129">
        <v>0.1</v>
      </c>
      <c r="S66" s="4" t="s">
        <v>2626</v>
      </c>
    </row>
    <row r="67" spans="1:19" s="4" customFormat="1" ht="14.4" x14ac:dyDescent="0.3">
      <c r="A67" s="4" t="s">
        <v>1358</v>
      </c>
      <c r="B67" s="346" t="str">
        <f>INDEX('Reference Score Calculation'!$D$237:$D$284,MATCH(A67,'Reference Score Calculation'!$A$237:$A$284,0))</f>
        <v>生物醫學學士</v>
      </c>
      <c r="C67" s="346" t="str">
        <f>INDEX('Reference Score Calculation'!$E$237:$E$284,MATCH(A67,'Reference Score Calculation'!$A$237:$A$284,0))</f>
        <v>Best 6</v>
      </c>
      <c r="D67" s="385">
        <f>ROUND(INDEX('Reference Score Calculation'!F$237:F$284,MATCH('Retake 扣分'!$A67,'Reference Score Calculation'!$A$237:$A$284,0)),2)</f>
        <v>41</v>
      </c>
      <c r="E67" s="385">
        <f>ROUND(INDEX('Reference Score Calculation'!G$237:G$284,MATCH('Retake 扣分'!$A67,'Reference Score Calculation'!$A$237:$A$284,0)),2)</f>
        <v>41</v>
      </c>
      <c r="F67" s="385">
        <f>ROUND(INDEX('Reference Score Calculation'!H$237:H$284,MATCH('Retake 扣分'!$A67,'Reference Score Calculation'!$A$237:$A$284,0)),2)</f>
        <v>40</v>
      </c>
      <c r="G67" s="543">
        <f>ROUND(INDEX(計分版!$H$258:$H$305,MATCH('Retake 扣分'!A67,計分版!$A$258:$A$305,0)),2)</f>
        <v>0</v>
      </c>
      <c r="H67" s="560">
        <f>ROUND(INDEX(計分版!T$258:T$305,MATCH('Retake 扣分'!$A67,計分版!$A$258:$A$305,0)),2)</f>
        <v>0</v>
      </c>
      <c r="I67" s="560">
        <f>ROUND(INDEX(計分版!U$258:U$305,MATCH('Retake 扣分'!$A67,計分版!$A$258:$A$305,0)),2)</f>
        <v>0</v>
      </c>
      <c r="J67" s="560">
        <f>ROUND(INDEX(計分版!V$258:V$305,MATCH('Retake 扣分'!$A67,計分版!$A$258:$A$305,0)),2)</f>
        <v>0</v>
      </c>
      <c r="K67" s="560">
        <f>ROUND(INDEX(計分版!W$258:W$305,MATCH('Retake 扣分'!$A67,計分版!$A$258:$A$305,0)),2)</f>
        <v>0</v>
      </c>
      <c r="L67" s="560">
        <f>ROUND(INDEX(計分版!X$258:X$305,MATCH('Retake 扣分'!$A67,計分版!$A$258:$A$305,0)),2)</f>
        <v>0</v>
      </c>
      <c r="M67" s="560">
        <f>ROUND(INDEX(計分版!Y$258:Y$305,MATCH('Retake 扣分'!$A67,計分版!$A$258:$A$305,0)),2)</f>
        <v>0</v>
      </c>
      <c r="N67" s="560">
        <f>ROUND(INDEX(計分版!Z$258:Z$305,MATCH('Retake 扣分'!$A67,計分版!$A$258:$A$305,0)),2)</f>
        <v>0</v>
      </c>
      <c r="O67" s="560">
        <f>ROUND(INDEX(計分版!AA$258:AA$305,MATCH('Retake 扣分'!$A67,計分版!$A$258:$A$305,0)),2)</f>
        <v>0</v>
      </c>
      <c r="P67" s="560">
        <f>ROUND(INDEX(計分版!AB$258:AB$305,MATCH('Retake 扣分'!$A67,計分版!$A$258:$A$305,0)),2)</f>
        <v>0</v>
      </c>
      <c r="Q67" s="560">
        <f>ROUND(INDEX(計分版!AC$258:AC$305,MATCH('Retake 扣分'!$A67,計分版!$A$258:$A$305,0)),2)</f>
        <v>0</v>
      </c>
      <c r="R67" s="129">
        <v>0.1</v>
      </c>
      <c r="S67" s="4" t="s">
        <v>2626</v>
      </c>
    </row>
    <row r="68" spans="1:19" s="4" customFormat="1" ht="14.4" x14ac:dyDescent="0.3">
      <c r="A68" s="4" t="s">
        <v>1277</v>
      </c>
      <c r="B68" s="346" t="str">
        <f>INDEX('Reference Score Calculation'!$D$237:$D$284,MATCH(A68,'Reference Score Calculation'!$A$237:$A$284,0))</f>
        <v>科研專才啟導課程</v>
      </c>
      <c r="C68" s="346" t="str">
        <f>INDEX('Reference Score Calculation'!$E$237:$E$284,MATCH(A68,'Reference Score Calculation'!$A$237:$A$284,0))</f>
        <v>Best 6</v>
      </c>
      <c r="D68" s="385">
        <f>ROUND(INDEX('Reference Score Calculation'!F$237:F$284,MATCH('Retake 扣分'!$A68,'Reference Score Calculation'!$A$237:$A$284,0)),2)</f>
        <v>82</v>
      </c>
      <c r="E68" s="385">
        <f>ROUND(INDEX('Reference Score Calculation'!G$237:G$284,MATCH('Retake 扣分'!$A68,'Reference Score Calculation'!$A$237:$A$284,0)),2)</f>
        <v>73</v>
      </c>
      <c r="F68" s="385">
        <f>ROUND(INDEX('Reference Score Calculation'!H$237:H$284,MATCH('Retake 扣分'!$A68,'Reference Score Calculation'!$A$237:$A$284,0)),2)</f>
        <v>71</v>
      </c>
      <c r="G68" s="543">
        <f>ROUND(INDEX(計分版!$H$258:$H$305,MATCH('Retake 扣分'!A68,計分版!$A$258:$A$305,0)),2)</f>
        <v>0</v>
      </c>
      <c r="H68" s="560">
        <f>ROUND(INDEX(計分版!T$258:T$305,MATCH('Retake 扣分'!$A68,計分版!$A$258:$A$305,0)),2)</f>
        <v>0</v>
      </c>
      <c r="I68" s="560">
        <f>ROUND(INDEX(計分版!U$258:U$305,MATCH('Retake 扣分'!$A68,計分版!$A$258:$A$305,0)),2)</f>
        <v>0</v>
      </c>
      <c r="J68" s="560">
        <f>ROUND(INDEX(計分版!V$258:V$305,MATCH('Retake 扣分'!$A68,計分版!$A$258:$A$305,0)),2)</f>
        <v>0</v>
      </c>
      <c r="K68" s="560">
        <f>ROUND(INDEX(計分版!W$258:W$305,MATCH('Retake 扣分'!$A68,計分版!$A$258:$A$305,0)),2)</f>
        <v>0</v>
      </c>
      <c r="L68" s="560">
        <f>ROUND(INDEX(計分版!X$258:X$305,MATCH('Retake 扣分'!$A68,計分版!$A$258:$A$305,0)),2)</f>
        <v>0</v>
      </c>
      <c r="M68" s="560">
        <f>ROUND(INDEX(計分版!Y$258:Y$305,MATCH('Retake 扣分'!$A68,計分版!$A$258:$A$305,0)),2)</f>
        <v>0</v>
      </c>
      <c r="N68" s="560">
        <f>ROUND(INDEX(計分版!Z$258:Z$305,MATCH('Retake 扣分'!$A68,計分版!$A$258:$A$305,0)),2)</f>
        <v>0</v>
      </c>
      <c r="O68" s="560">
        <f>ROUND(INDEX(計分版!AA$258:AA$305,MATCH('Retake 扣分'!$A68,計分版!$A$258:$A$305,0)),2)</f>
        <v>0</v>
      </c>
      <c r="P68" s="560">
        <f>ROUND(INDEX(計分版!AB$258:AB$305,MATCH('Retake 扣分'!$A68,計分版!$A$258:$A$305,0)),2)</f>
        <v>0</v>
      </c>
      <c r="Q68" s="560">
        <f>ROUND(INDEX(計分版!AC$258:AC$305,MATCH('Retake 扣分'!$A68,計分版!$A$258:$A$305,0)),2)</f>
        <v>0</v>
      </c>
      <c r="R68" s="129"/>
      <c r="S68" s="4" t="s">
        <v>2618</v>
      </c>
    </row>
    <row r="69" spans="1:19" s="4" customFormat="1" ht="14.4" x14ac:dyDescent="0.3">
      <c r="A69" s="4" t="s">
        <v>1291</v>
      </c>
      <c r="B69" s="346" t="str">
        <f>INDEX('Reference Score Calculation'!$D$237:$D$284,MATCH(A69,'Reference Score Calculation'!$A$237:$A$284,0))</f>
        <v>理學士(精算學)</v>
      </c>
      <c r="C69" s="346" t="str">
        <f>INDEX('Reference Score Calculation'!$E$237:$E$284,MATCH(A69,'Reference Score Calculation'!$A$237:$A$284,0))</f>
        <v>Best 6</v>
      </c>
      <c r="D69" s="385">
        <f>ROUND(INDEX('Reference Score Calculation'!F$237:F$284,MATCH('Retake 扣分'!$A69,'Reference Score Calculation'!$A$237:$A$284,0)),2)</f>
        <v>54</v>
      </c>
      <c r="E69" s="385">
        <f>ROUND(INDEX('Reference Score Calculation'!G$237:G$284,MATCH('Retake 扣分'!$A69,'Reference Score Calculation'!$A$237:$A$284,0)),2)</f>
        <v>51</v>
      </c>
      <c r="F69" s="385">
        <f>ROUND(INDEX('Reference Score Calculation'!H$237:H$284,MATCH('Retake 扣分'!$A69,'Reference Score Calculation'!$A$237:$A$284,0)),2)</f>
        <v>48</v>
      </c>
      <c r="G69" s="543">
        <f>ROUND(INDEX(計分版!$H$258:$H$305,MATCH('Retake 扣分'!A69,計分版!$A$258:$A$305,0)),2)</f>
        <v>0</v>
      </c>
      <c r="H69" s="560">
        <f>ROUND(INDEX(計分版!T$258:T$305,MATCH('Retake 扣分'!$A69,計分版!$A$258:$A$305,0)),2)</f>
        <v>0</v>
      </c>
      <c r="I69" s="560">
        <f>ROUND(INDEX(計分版!U$258:U$305,MATCH('Retake 扣分'!$A69,計分版!$A$258:$A$305,0)),2)</f>
        <v>0</v>
      </c>
      <c r="J69" s="560">
        <f>ROUND(INDEX(計分版!V$258:V$305,MATCH('Retake 扣分'!$A69,計分版!$A$258:$A$305,0)),2)</f>
        <v>0</v>
      </c>
      <c r="K69" s="560">
        <f>ROUND(INDEX(計分版!W$258:W$305,MATCH('Retake 扣分'!$A69,計分版!$A$258:$A$305,0)),2)</f>
        <v>0</v>
      </c>
      <c r="L69" s="560">
        <f>ROUND(INDEX(計分版!X$258:X$305,MATCH('Retake 扣分'!$A69,計分版!$A$258:$A$305,0)),2)</f>
        <v>0</v>
      </c>
      <c r="M69" s="560">
        <f>ROUND(INDEX(計分版!Y$258:Y$305,MATCH('Retake 扣分'!$A69,計分版!$A$258:$A$305,0)),2)</f>
        <v>0</v>
      </c>
      <c r="N69" s="560">
        <f>ROUND(INDEX(計分版!Z$258:Z$305,MATCH('Retake 扣分'!$A69,計分版!$A$258:$A$305,0)),2)</f>
        <v>0</v>
      </c>
      <c r="O69" s="560">
        <f>ROUND(INDEX(計分版!AA$258:AA$305,MATCH('Retake 扣分'!$A69,計分版!$A$258:$A$305,0)),2)</f>
        <v>0</v>
      </c>
      <c r="P69" s="560">
        <f>ROUND(INDEX(計分版!AB$258:AB$305,MATCH('Retake 扣分'!$A69,計分版!$A$258:$A$305,0)),2)</f>
        <v>0</v>
      </c>
      <c r="Q69" s="560">
        <f>ROUND(INDEX(計分版!AC$258:AC$305,MATCH('Retake 扣分'!$A69,計分版!$A$258:$A$305,0)),2)</f>
        <v>0</v>
      </c>
      <c r="R69" s="129"/>
      <c r="S69" s="4" t="s">
        <v>2618</v>
      </c>
    </row>
    <row r="70" spans="1:19" s="4" customFormat="1" ht="14.4" x14ac:dyDescent="0.3">
      <c r="A70" s="4" t="s">
        <v>1345</v>
      </c>
      <c r="B70" s="346" t="str">
        <f>INDEX('Reference Score Calculation'!$D$237:$D$284,MATCH(A70,'Reference Score Calculation'!$A$237:$A$284,0))</f>
        <v>理學士</v>
      </c>
      <c r="C70" s="346" t="str">
        <f>INDEX('Reference Score Calculation'!$E$237:$E$284,MATCH(A70,'Reference Score Calculation'!$A$237:$A$284,0))</f>
        <v>Best 5</v>
      </c>
      <c r="D70" s="385">
        <f>ROUND(INDEX('Reference Score Calculation'!F$237:F$284,MATCH('Retake 扣分'!$A70,'Reference Score Calculation'!$A$237:$A$284,0)),2)</f>
        <v>46</v>
      </c>
      <c r="E70" s="385">
        <f>ROUND(INDEX('Reference Score Calculation'!G$237:G$284,MATCH('Retake 扣分'!$A70,'Reference Score Calculation'!$A$237:$A$284,0)),2)</f>
        <v>41</v>
      </c>
      <c r="F70" s="385">
        <f>ROUND(INDEX('Reference Score Calculation'!H$237:H$284,MATCH('Retake 扣分'!$A70,'Reference Score Calculation'!$A$237:$A$284,0)),2)</f>
        <v>39</v>
      </c>
      <c r="G70" s="543">
        <f>ROUND(INDEX(計分版!$H$258:$H$305,MATCH('Retake 扣分'!A70,計分版!$A$258:$A$305,0)),2)</f>
        <v>0</v>
      </c>
      <c r="H70" s="560">
        <f>ROUND(INDEX(計分版!T$258:T$305,MATCH('Retake 扣分'!$A70,計分版!$A$258:$A$305,0)),2)</f>
        <v>0</v>
      </c>
      <c r="I70" s="560">
        <f>ROUND(INDEX(計分版!U$258:U$305,MATCH('Retake 扣分'!$A70,計分版!$A$258:$A$305,0)),2)</f>
        <v>0</v>
      </c>
      <c r="J70" s="560">
        <f>ROUND(INDEX(計分版!V$258:V$305,MATCH('Retake 扣分'!$A70,計分版!$A$258:$A$305,0)),2)</f>
        <v>0</v>
      </c>
      <c r="K70" s="560">
        <f>ROUND(INDEX(計分版!W$258:W$305,MATCH('Retake 扣分'!$A70,計分版!$A$258:$A$305,0)),2)</f>
        <v>0</v>
      </c>
      <c r="L70" s="560">
        <f>ROUND(INDEX(計分版!X$258:X$305,MATCH('Retake 扣分'!$A70,計分版!$A$258:$A$305,0)),2)</f>
        <v>0</v>
      </c>
      <c r="M70" s="560">
        <f>ROUND(INDEX(計分版!Y$258:Y$305,MATCH('Retake 扣分'!$A70,計分版!$A$258:$A$305,0)),2)</f>
        <v>0</v>
      </c>
      <c r="N70" s="560">
        <f>ROUND(INDEX(計分版!Z$258:Z$305,MATCH('Retake 扣分'!$A70,計分版!$A$258:$A$305,0)),2)</f>
        <v>0</v>
      </c>
      <c r="O70" s="560">
        <f>ROUND(INDEX(計分版!AA$258:AA$305,MATCH('Retake 扣分'!$A70,計分版!$A$258:$A$305,0)),2)</f>
        <v>0</v>
      </c>
      <c r="P70" s="560">
        <f>ROUND(INDEX(計分版!AB$258:AB$305,MATCH('Retake 扣分'!$A70,計分版!$A$258:$A$305,0)),2)</f>
        <v>0</v>
      </c>
      <c r="Q70" s="560">
        <f>ROUND(INDEX(計分版!AC$258:AC$305,MATCH('Retake 扣分'!$A70,計分版!$A$258:$A$305,0)),2)</f>
        <v>0</v>
      </c>
      <c r="R70" s="129"/>
      <c r="S70" s="4" t="s">
        <v>2618</v>
      </c>
    </row>
    <row r="71" spans="1:19" s="4" customFormat="1" ht="14.4" x14ac:dyDescent="0.3">
      <c r="A71" s="4" t="s">
        <v>2586</v>
      </c>
      <c r="B71" s="346" t="str">
        <f>INDEX('Reference Score Calculation'!$D$237:$D$284,MATCH(A71,'Reference Score Calculation'!$A$237:$A$284,0))</f>
        <v>心理學學士</v>
      </c>
      <c r="C71" s="346" t="str">
        <f>INDEX('Reference Score Calculation'!$E$237:$E$284,MATCH(A71,'Reference Score Calculation'!$A$237:$A$284,0))</f>
        <v>2022年新科目</v>
      </c>
      <c r="D71" s="385" t="s">
        <v>1978</v>
      </c>
      <c r="E71" s="385" t="s">
        <v>1978</v>
      </c>
      <c r="F71" s="385" t="s">
        <v>1978</v>
      </c>
      <c r="G71" s="543">
        <f>ROUND(INDEX(計分版!$H$258:$H$305,MATCH('Retake 扣分'!A71,計分版!$A$258:$A$305,0)),2)</f>
        <v>0</v>
      </c>
      <c r="H71" s="560">
        <f>ROUND(INDEX(計分版!T$258:T$305,MATCH('Retake 扣分'!$A71,計分版!$A$258:$A$305,0)),2)</f>
        <v>0</v>
      </c>
      <c r="I71" s="560">
        <f>ROUND(INDEX(計分版!U$258:U$305,MATCH('Retake 扣分'!$A71,計分版!$A$258:$A$305,0)),2)</f>
        <v>0</v>
      </c>
      <c r="J71" s="560">
        <f>ROUND(INDEX(計分版!V$258:V$305,MATCH('Retake 扣分'!$A71,計分版!$A$258:$A$305,0)),2)</f>
        <v>0</v>
      </c>
      <c r="K71" s="560">
        <f>ROUND(INDEX(計分版!W$258:W$305,MATCH('Retake 扣分'!$A71,計分版!$A$258:$A$305,0)),2)</f>
        <v>0</v>
      </c>
      <c r="L71" s="560">
        <f>ROUND(INDEX(計分版!X$258:X$305,MATCH('Retake 扣分'!$A71,計分版!$A$258:$A$305,0)),2)</f>
        <v>0</v>
      </c>
      <c r="M71" s="560">
        <f>ROUND(INDEX(計分版!Y$258:Y$305,MATCH('Retake 扣分'!$A71,計分版!$A$258:$A$305,0)),2)</f>
        <v>0</v>
      </c>
      <c r="N71" s="560">
        <f>ROUND(INDEX(計分版!Z$258:Z$305,MATCH('Retake 扣分'!$A71,計分版!$A$258:$A$305,0)),2)</f>
        <v>0</v>
      </c>
      <c r="O71" s="560">
        <f>ROUND(INDEX(計分版!AA$258:AA$305,MATCH('Retake 扣分'!$A71,計分版!$A$258:$A$305,0)),2)</f>
        <v>0</v>
      </c>
      <c r="P71" s="560">
        <f>ROUND(INDEX(計分版!AB$258:AB$305,MATCH('Retake 扣分'!$A71,計分版!$A$258:$A$305,0)),2)</f>
        <v>0</v>
      </c>
      <c r="Q71" s="560">
        <f>ROUND(INDEX(計分版!AC$258:AC$305,MATCH('Retake 扣分'!$A71,計分版!$A$258:$A$305,0)),2)</f>
        <v>0</v>
      </c>
      <c r="R71" s="129"/>
      <c r="S71" s="4" t="s">
        <v>2618</v>
      </c>
    </row>
    <row r="72" spans="1:19" s="4" customFormat="1" ht="14.4" x14ac:dyDescent="0.3">
      <c r="A72" s="4" t="s">
        <v>1287</v>
      </c>
      <c r="B72" s="346" t="str">
        <f>INDEX('Reference Score Calculation'!$D$237:$D$284,MATCH(A72,'Reference Score Calculation'!$A$237:$A$284,0))</f>
        <v>社會科學學士</v>
      </c>
      <c r="C72" s="346" t="str">
        <f>INDEX('Reference Score Calculation'!$E$237:$E$284,MATCH(A72,'Reference Score Calculation'!$A$237:$A$284,0))</f>
        <v>Best 5</v>
      </c>
      <c r="D72" s="385">
        <f>ROUND(INDEX('Reference Score Calculation'!F$237:F$284,MATCH('Retake 扣分'!$A72,'Reference Score Calculation'!$A$237:$A$284,0)),2)</f>
        <v>29</v>
      </c>
      <c r="E72" s="385">
        <f>ROUND(INDEX('Reference Score Calculation'!G$237:G$284,MATCH('Retake 扣分'!$A72,'Reference Score Calculation'!$A$237:$A$284,0)),2)</f>
        <v>26</v>
      </c>
      <c r="F72" s="385">
        <f>ROUND(INDEX('Reference Score Calculation'!H$237:H$284,MATCH('Retake 扣分'!$A72,'Reference Score Calculation'!$A$237:$A$284,0)),2)</f>
        <v>25</v>
      </c>
      <c r="G72" s="543">
        <f>ROUND(INDEX(計分版!$H$258:$H$305,MATCH('Retake 扣分'!A72,計分版!$A$258:$A$305,0)),2)</f>
        <v>0</v>
      </c>
      <c r="H72" s="560">
        <f>ROUND(INDEX(計分版!T$258:T$305,MATCH('Retake 扣分'!$A72,計分版!$A$258:$A$305,0)),2)</f>
        <v>0</v>
      </c>
      <c r="I72" s="560">
        <f>ROUND(INDEX(計分版!U$258:U$305,MATCH('Retake 扣分'!$A72,計分版!$A$258:$A$305,0)),2)</f>
        <v>0</v>
      </c>
      <c r="J72" s="560">
        <f>ROUND(INDEX(計分版!V$258:V$305,MATCH('Retake 扣分'!$A72,計分版!$A$258:$A$305,0)),2)</f>
        <v>0</v>
      </c>
      <c r="K72" s="560">
        <f>ROUND(INDEX(計分版!W$258:W$305,MATCH('Retake 扣分'!$A72,計分版!$A$258:$A$305,0)),2)</f>
        <v>0</v>
      </c>
      <c r="L72" s="560">
        <f>ROUND(INDEX(計分版!X$258:X$305,MATCH('Retake 扣分'!$A72,計分版!$A$258:$A$305,0)),2)</f>
        <v>0</v>
      </c>
      <c r="M72" s="560">
        <f>ROUND(INDEX(計分版!Y$258:Y$305,MATCH('Retake 扣分'!$A72,計分版!$A$258:$A$305,0)),2)</f>
        <v>0</v>
      </c>
      <c r="N72" s="560">
        <f>ROUND(INDEX(計分版!Z$258:Z$305,MATCH('Retake 扣分'!$A72,計分版!$A$258:$A$305,0)),2)</f>
        <v>0</v>
      </c>
      <c r="O72" s="560">
        <f>ROUND(INDEX(計分版!AA$258:AA$305,MATCH('Retake 扣分'!$A72,計分版!$A$258:$A$305,0)),2)</f>
        <v>0</v>
      </c>
      <c r="P72" s="560">
        <f>ROUND(INDEX(計分版!AB$258:AB$305,MATCH('Retake 扣分'!$A72,計分版!$A$258:$A$305,0)),2)</f>
        <v>0</v>
      </c>
      <c r="Q72" s="560">
        <f>ROUND(INDEX(計分版!AC$258:AC$305,MATCH('Retake 扣分'!$A72,計分版!$A$258:$A$305,0)),2)</f>
        <v>0</v>
      </c>
      <c r="R72" s="129"/>
      <c r="S72" s="4" t="s">
        <v>2618</v>
      </c>
    </row>
    <row r="73" spans="1:19" s="4" customFormat="1" ht="14.4" x14ac:dyDescent="0.3">
      <c r="A73" s="4" t="s">
        <v>1295</v>
      </c>
      <c r="B73" s="346" t="str">
        <f>INDEX('Reference Score Calculation'!$D$237:$D$284,MATCH(A73,'Reference Score Calculation'!$A$237:$A$284,0))</f>
        <v>社會工作學學士</v>
      </c>
      <c r="C73" s="346" t="str">
        <f>INDEX('Reference Score Calculation'!$E$237:$E$284,MATCH(A73,'Reference Score Calculation'!$A$237:$A$284,0))</f>
        <v>Best 5</v>
      </c>
      <c r="D73" s="385">
        <f>ROUND(INDEX('Reference Score Calculation'!F$237:F$284,MATCH('Retake 扣分'!$A73,'Reference Score Calculation'!$A$237:$A$284,0)),2)</f>
        <v>29</v>
      </c>
      <c r="E73" s="385">
        <f>ROUND(INDEX('Reference Score Calculation'!G$237:G$284,MATCH('Retake 扣分'!$A73,'Reference Score Calculation'!$A$237:$A$284,0)),2)</f>
        <v>28</v>
      </c>
      <c r="F73" s="385">
        <f>ROUND(INDEX('Reference Score Calculation'!H$237:H$284,MATCH('Retake 扣分'!$A73,'Reference Score Calculation'!$A$237:$A$284,0)),2)</f>
        <v>26</v>
      </c>
      <c r="G73" s="543">
        <f>ROUND(INDEX(計分版!$H$258:$H$305,MATCH('Retake 扣分'!A73,計分版!$A$258:$A$305,0)),2)</f>
        <v>0</v>
      </c>
      <c r="H73" s="560">
        <f>ROUND(INDEX(計分版!T$258:T$305,MATCH('Retake 扣分'!$A73,計分版!$A$258:$A$305,0)),2)</f>
        <v>0</v>
      </c>
      <c r="I73" s="560">
        <f>ROUND(INDEX(計分版!U$258:U$305,MATCH('Retake 扣分'!$A73,計分版!$A$258:$A$305,0)),2)</f>
        <v>0</v>
      </c>
      <c r="J73" s="560">
        <f>ROUND(INDEX(計分版!V$258:V$305,MATCH('Retake 扣分'!$A73,計分版!$A$258:$A$305,0)),2)</f>
        <v>0</v>
      </c>
      <c r="K73" s="560">
        <f>ROUND(INDEX(計分版!W$258:W$305,MATCH('Retake 扣分'!$A73,計分版!$A$258:$A$305,0)),2)</f>
        <v>0</v>
      </c>
      <c r="L73" s="560">
        <f>ROUND(INDEX(計分版!X$258:X$305,MATCH('Retake 扣分'!$A73,計分版!$A$258:$A$305,0)),2)</f>
        <v>0</v>
      </c>
      <c r="M73" s="560">
        <f>ROUND(INDEX(計分版!Y$258:Y$305,MATCH('Retake 扣分'!$A73,計分版!$A$258:$A$305,0)),2)</f>
        <v>0</v>
      </c>
      <c r="N73" s="560">
        <f>ROUND(INDEX(計分版!Z$258:Z$305,MATCH('Retake 扣分'!$A73,計分版!$A$258:$A$305,0)),2)</f>
        <v>0</v>
      </c>
      <c r="O73" s="560">
        <f>ROUND(INDEX(計分版!AA$258:AA$305,MATCH('Retake 扣分'!$A73,計分版!$A$258:$A$305,0)),2)</f>
        <v>0</v>
      </c>
      <c r="P73" s="560">
        <f>ROUND(INDEX(計分版!AB$258:AB$305,MATCH('Retake 扣分'!$A73,計分版!$A$258:$A$305,0)),2)</f>
        <v>0</v>
      </c>
      <c r="Q73" s="560">
        <f>ROUND(INDEX(計分版!AC$258:AC$305,MATCH('Retake 扣分'!$A73,計分版!$A$258:$A$305,0)),2)</f>
        <v>0</v>
      </c>
      <c r="R73" s="129"/>
      <c r="S73" s="4" t="s">
        <v>2618</v>
      </c>
    </row>
    <row r="74" spans="1:19" s="4" customFormat="1" ht="14.4" x14ac:dyDescent="0.3">
      <c r="A74" s="4" t="s">
        <v>1317</v>
      </c>
      <c r="B74" s="346" t="str">
        <f>INDEX('Reference Score Calculation'!$D$237:$D$284,MATCH(A74,'Reference Score Calculation'!$A$237:$A$284,0))</f>
        <v>社會科學學士(政治學與法學)及法學士 (雙學位課程)</v>
      </c>
      <c r="C74" s="346" t="str">
        <f>INDEX('Reference Score Calculation'!$E$237:$E$284,MATCH(A74,'Reference Score Calculation'!$A$237:$A$284,0))</f>
        <v>Best 6</v>
      </c>
      <c r="D74" s="385">
        <f>ROUND(INDEX('Reference Score Calculation'!F$237:F$284,MATCH('Retake 扣分'!$A74,'Reference Score Calculation'!$A$237:$A$284,0)),2)</f>
        <v>42</v>
      </c>
      <c r="E74" s="385">
        <f>ROUND(INDEX('Reference Score Calculation'!G$237:G$284,MATCH('Retake 扣分'!$A74,'Reference Score Calculation'!$A$237:$A$284,0)),2)</f>
        <v>41</v>
      </c>
      <c r="F74" s="385">
        <f>ROUND(INDEX('Reference Score Calculation'!H$237:H$284,MATCH('Retake 扣分'!$A74,'Reference Score Calculation'!$A$237:$A$284,0)),2)</f>
        <v>38</v>
      </c>
      <c r="G74" s="543">
        <f>ROUND(INDEX(計分版!$H$258:$H$305,MATCH('Retake 扣分'!A74,計分版!$A$258:$A$305,0)),2)</f>
        <v>0</v>
      </c>
      <c r="H74" s="560">
        <f>ROUND(INDEX(計分版!T$258:T$305,MATCH('Retake 扣分'!$A74,計分版!$A$258:$A$305,0)),2)</f>
        <v>0</v>
      </c>
      <c r="I74" s="560">
        <f>ROUND(INDEX(計分版!U$258:U$305,MATCH('Retake 扣分'!$A74,計分版!$A$258:$A$305,0)),2)</f>
        <v>0</v>
      </c>
      <c r="J74" s="560">
        <f>ROUND(INDEX(計分版!V$258:V$305,MATCH('Retake 扣分'!$A74,計分版!$A$258:$A$305,0)),2)</f>
        <v>0</v>
      </c>
      <c r="K74" s="560">
        <f>ROUND(INDEX(計分版!W$258:W$305,MATCH('Retake 扣分'!$A74,計分版!$A$258:$A$305,0)),2)</f>
        <v>0</v>
      </c>
      <c r="L74" s="560">
        <f>ROUND(INDEX(計分版!X$258:X$305,MATCH('Retake 扣分'!$A74,計分版!$A$258:$A$305,0)),2)</f>
        <v>0</v>
      </c>
      <c r="M74" s="560">
        <f>ROUND(INDEX(計分版!Y$258:Y$305,MATCH('Retake 扣分'!$A74,計分版!$A$258:$A$305,0)),2)</f>
        <v>0</v>
      </c>
      <c r="N74" s="560">
        <f>ROUND(INDEX(計分版!Z$258:Z$305,MATCH('Retake 扣分'!$A74,計分版!$A$258:$A$305,0)),2)</f>
        <v>0</v>
      </c>
      <c r="O74" s="560">
        <f>ROUND(INDEX(計分版!AA$258:AA$305,MATCH('Retake 扣分'!$A74,計分版!$A$258:$A$305,0)),2)</f>
        <v>0</v>
      </c>
      <c r="P74" s="560">
        <f>ROUND(INDEX(計分版!AB$258:AB$305,MATCH('Retake 扣分'!$A74,計分版!$A$258:$A$305,0)),2)</f>
        <v>0</v>
      </c>
      <c r="Q74" s="560">
        <f>ROUND(INDEX(計分版!AC$258:AC$305,MATCH('Retake 扣分'!$A74,計分版!$A$258:$A$305,0)),2)</f>
        <v>0</v>
      </c>
      <c r="R74" s="129"/>
      <c r="S74" s="4" t="s">
        <v>2618</v>
      </c>
    </row>
    <row r="75" spans="1:19" s="4" customFormat="1" ht="14.4" x14ac:dyDescent="0.3">
      <c r="A75" s="4" t="s">
        <v>1321</v>
      </c>
      <c r="B75" s="346" t="str">
        <f>INDEX('Reference Score Calculation'!$D$237:$D$284,MATCH(A75,'Reference Score Calculation'!$A$237:$A$284,0))</f>
        <v>新聞學學士</v>
      </c>
      <c r="C75" s="346" t="str">
        <f>INDEX('Reference Score Calculation'!$E$237:$E$284,MATCH(A75,'Reference Score Calculation'!$A$237:$A$284,0))</f>
        <v>Best 5</v>
      </c>
      <c r="D75" s="385">
        <f>ROUND(INDEX('Reference Score Calculation'!F$237:F$284,MATCH('Retake 扣分'!$A75,'Reference Score Calculation'!$A$237:$A$284,0)),2)</f>
        <v>31</v>
      </c>
      <c r="E75" s="385">
        <f>ROUND(INDEX('Reference Score Calculation'!G$237:G$284,MATCH('Retake 扣分'!$A75,'Reference Score Calculation'!$A$237:$A$284,0)),2)</f>
        <v>29</v>
      </c>
      <c r="F75" s="385">
        <f>ROUND(INDEX('Reference Score Calculation'!H$237:H$284,MATCH('Retake 扣分'!$A75,'Reference Score Calculation'!$A$237:$A$284,0)),2)</f>
        <v>28</v>
      </c>
      <c r="G75" s="543">
        <f>ROUND(INDEX(計分版!$H$258:$H$305,MATCH('Retake 扣分'!A75,計分版!$A$258:$A$305,0)),2)</f>
        <v>0</v>
      </c>
      <c r="H75" s="560">
        <f>ROUND(INDEX(計分版!T$258:T$305,MATCH('Retake 扣分'!$A75,計分版!$A$258:$A$305,0)),2)</f>
        <v>0</v>
      </c>
      <c r="I75" s="560">
        <f>ROUND(INDEX(計分版!U$258:U$305,MATCH('Retake 扣分'!$A75,計分版!$A$258:$A$305,0)),2)</f>
        <v>0</v>
      </c>
      <c r="J75" s="560">
        <f>ROUND(INDEX(計分版!V$258:V$305,MATCH('Retake 扣分'!$A75,計分版!$A$258:$A$305,0)),2)</f>
        <v>0</v>
      </c>
      <c r="K75" s="560">
        <f>ROUND(INDEX(計分版!W$258:W$305,MATCH('Retake 扣分'!$A75,計分版!$A$258:$A$305,0)),2)</f>
        <v>0</v>
      </c>
      <c r="L75" s="560">
        <f>ROUND(INDEX(計分版!X$258:X$305,MATCH('Retake 扣分'!$A75,計分版!$A$258:$A$305,0)),2)</f>
        <v>0</v>
      </c>
      <c r="M75" s="560">
        <f>ROUND(INDEX(計分版!Y$258:Y$305,MATCH('Retake 扣分'!$A75,計分版!$A$258:$A$305,0)),2)</f>
        <v>0</v>
      </c>
      <c r="N75" s="560">
        <f>ROUND(INDEX(計分版!Z$258:Z$305,MATCH('Retake 扣分'!$A75,計分版!$A$258:$A$305,0)),2)</f>
        <v>0</v>
      </c>
      <c r="O75" s="560">
        <f>ROUND(INDEX(計分版!AA$258:AA$305,MATCH('Retake 扣分'!$A75,計分版!$A$258:$A$305,0)),2)</f>
        <v>0</v>
      </c>
      <c r="P75" s="560">
        <f>ROUND(INDEX(計分版!AB$258:AB$305,MATCH('Retake 扣分'!$A75,計分版!$A$258:$A$305,0)),2)</f>
        <v>0</v>
      </c>
      <c r="Q75" s="560">
        <f>ROUND(INDEX(計分版!AC$258:AC$305,MATCH('Retake 扣分'!$A75,計分版!$A$258:$A$305,0)),2)</f>
        <v>0</v>
      </c>
      <c r="R75" s="129"/>
      <c r="S75" s="4" t="s">
        <v>2618</v>
      </c>
    </row>
    <row r="76" spans="1:19" s="4" customFormat="1" ht="14.4" x14ac:dyDescent="0.3">
      <c r="A76" s="4" t="s">
        <v>2627</v>
      </c>
      <c r="B76" s="346" t="str">
        <f>INDEX('Reference Score Calculation'!$D$237:$D$284,MATCH(A76,'Reference Score Calculation'!$A$237:$A$284,0))</f>
        <v>文理學士</v>
      </c>
      <c r="C76" s="346" t="str">
        <f>INDEX('Reference Score Calculation'!$E$237:$E$284,MATCH(A76,'Reference Score Calculation'!$A$237:$A$284,0))</f>
        <v>Best 5</v>
      </c>
      <c r="D76" s="385">
        <f>ROUND(INDEX('Reference Score Calculation'!F$237:F$284,MATCH('Retake 扣分'!$A76,'Reference Score Calculation'!$A$237:$A$284,0)),2)</f>
        <v>31</v>
      </c>
      <c r="E76" s="385">
        <f>ROUND(INDEX('Reference Score Calculation'!G$237:G$284,MATCH('Retake 扣分'!$A76,'Reference Score Calculation'!$A$237:$A$284,0)),2)</f>
        <v>29</v>
      </c>
      <c r="F76" s="385">
        <f>ROUND(INDEX('Reference Score Calculation'!H$237:H$284,MATCH('Retake 扣分'!$A76,'Reference Score Calculation'!$A$237:$A$284,0)),2)</f>
        <v>28</v>
      </c>
      <c r="G76" s="543">
        <f>ROUND(INDEX(計分版!$H$258:$H$305,MATCH('Retake 扣分'!A76,計分版!$A$258:$A$305,0)),2)</f>
        <v>0</v>
      </c>
      <c r="H76" s="560">
        <f>ROUND(INDEX(計分版!T$258:T$305,MATCH('Retake 扣分'!$A76,計分版!$A$258:$A$305,0)),2)</f>
        <v>0</v>
      </c>
      <c r="I76" s="560">
        <f>ROUND(INDEX(計分版!U$258:U$305,MATCH('Retake 扣分'!$A76,計分版!$A$258:$A$305,0)),2)</f>
        <v>0</v>
      </c>
      <c r="J76" s="560">
        <f>ROUND(INDEX(計分版!V$258:V$305,MATCH('Retake 扣分'!$A76,計分版!$A$258:$A$305,0)),2)</f>
        <v>0</v>
      </c>
      <c r="K76" s="560">
        <f>ROUND(INDEX(計分版!W$258:W$305,MATCH('Retake 扣分'!$A76,計分版!$A$258:$A$305,0)),2)</f>
        <v>0</v>
      </c>
      <c r="L76" s="560">
        <f>ROUND(INDEX(計分版!X$258:X$305,MATCH('Retake 扣分'!$A76,計分版!$A$258:$A$305,0)),2)</f>
        <v>0</v>
      </c>
      <c r="M76" s="560">
        <f>ROUND(INDEX(計分版!Y$258:Y$305,MATCH('Retake 扣分'!$A76,計分版!$A$258:$A$305,0)),2)</f>
        <v>0</v>
      </c>
      <c r="N76" s="560">
        <f>ROUND(INDEX(計分版!Z$258:Z$305,MATCH('Retake 扣分'!$A76,計分版!$A$258:$A$305,0)),2)</f>
        <v>0</v>
      </c>
      <c r="O76" s="560">
        <f>ROUND(INDEX(計分版!AA$258:AA$305,MATCH('Retake 扣分'!$A76,計分版!$A$258:$A$305,0)),2)</f>
        <v>0</v>
      </c>
      <c r="P76" s="560">
        <f>ROUND(INDEX(計分版!AB$258:AB$305,MATCH('Retake 扣分'!$A76,計分版!$A$258:$A$305,0)),2)</f>
        <v>0</v>
      </c>
      <c r="Q76" s="560">
        <f>ROUND(INDEX(計分版!AC$258:AC$305,MATCH('Retake 扣分'!$A76,計分版!$A$258:$A$305,0)),2)</f>
        <v>0</v>
      </c>
      <c r="R76" s="129"/>
      <c r="S76" s="4" t="s">
        <v>2618</v>
      </c>
    </row>
    <row r="77" spans="1:19" s="4" customFormat="1" ht="14.4" x14ac:dyDescent="0.3">
      <c r="A77" s="4" t="s">
        <v>1229</v>
      </c>
      <c r="B77" s="346" t="str">
        <f>INDEX('Reference Score Calculation'!$D$237:$D$284,MATCH(A77,'Reference Score Calculation'!$A$237:$A$284,0))</f>
        <v>文理學士(應用人工智能)</v>
      </c>
      <c r="C77" s="346" t="str">
        <f>INDEX('Reference Score Calculation'!$E$237:$E$284,MATCH(A77,'Reference Score Calculation'!$A$237:$A$284,0))</f>
        <v>Best 6</v>
      </c>
      <c r="D77" s="385">
        <f>ROUND(INDEX('Reference Score Calculation'!F$237:F$284,MATCH('Retake 扣分'!$A77,'Reference Score Calculation'!$A$237:$A$284,0)),2)</f>
        <v>72</v>
      </c>
      <c r="E77" s="385">
        <f>ROUND(INDEX('Reference Score Calculation'!G$237:G$284,MATCH('Retake 扣分'!$A77,'Reference Score Calculation'!$A$237:$A$284,0)),2)</f>
        <v>68</v>
      </c>
      <c r="F77" s="385">
        <f>ROUND(INDEX('Reference Score Calculation'!H$237:H$284,MATCH('Retake 扣分'!$A77,'Reference Score Calculation'!$A$237:$A$284,0)),2)</f>
        <v>63</v>
      </c>
      <c r="G77" s="543">
        <f>ROUND(INDEX(計分版!$H$258:$H$305,MATCH('Retake 扣分'!A77,計分版!$A$258:$A$305,0)),2)</f>
        <v>0</v>
      </c>
      <c r="H77" s="560">
        <f>ROUND(INDEX(計分版!T$258:T$305,MATCH('Retake 扣分'!$A77,計分版!$A$258:$A$305,0)),2)</f>
        <v>0</v>
      </c>
      <c r="I77" s="560">
        <f>ROUND(INDEX(計分版!U$258:U$305,MATCH('Retake 扣分'!$A77,計分版!$A$258:$A$305,0)),2)</f>
        <v>0</v>
      </c>
      <c r="J77" s="560">
        <f>ROUND(INDEX(計分版!V$258:V$305,MATCH('Retake 扣分'!$A77,計分版!$A$258:$A$305,0)),2)</f>
        <v>0</v>
      </c>
      <c r="K77" s="560">
        <f>ROUND(INDEX(計分版!W$258:W$305,MATCH('Retake 扣分'!$A77,計分版!$A$258:$A$305,0)),2)</f>
        <v>0</v>
      </c>
      <c r="L77" s="560">
        <f>ROUND(INDEX(計分版!X$258:X$305,MATCH('Retake 扣分'!$A77,計分版!$A$258:$A$305,0)),2)</f>
        <v>0</v>
      </c>
      <c r="M77" s="560">
        <f>ROUND(INDEX(計分版!Y$258:Y$305,MATCH('Retake 扣分'!$A77,計分版!$A$258:$A$305,0)),2)</f>
        <v>0</v>
      </c>
      <c r="N77" s="560">
        <f>ROUND(INDEX(計分版!Z$258:Z$305,MATCH('Retake 扣分'!$A77,計分版!$A$258:$A$305,0)),2)</f>
        <v>0</v>
      </c>
      <c r="O77" s="560">
        <f>ROUND(INDEX(計分版!AA$258:AA$305,MATCH('Retake 扣分'!$A77,計分版!$A$258:$A$305,0)),2)</f>
        <v>0</v>
      </c>
      <c r="P77" s="560">
        <f>ROUND(INDEX(計分版!AB$258:AB$305,MATCH('Retake 扣分'!$A77,計分版!$A$258:$A$305,0)),2)</f>
        <v>0</v>
      </c>
      <c r="Q77" s="560">
        <f>ROUND(INDEX(計分版!AC$258:AC$305,MATCH('Retake 扣分'!$A77,計分版!$A$258:$A$305,0)),2)</f>
        <v>0</v>
      </c>
      <c r="R77" s="129"/>
      <c r="S77" s="4" t="s">
        <v>2618</v>
      </c>
    </row>
    <row r="78" spans="1:19" s="4" customFormat="1" ht="14.4" x14ac:dyDescent="0.3">
      <c r="A78" s="4" t="s">
        <v>1233</v>
      </c>
      <c r="B78" s="346" t="str">
        <f>INDEX('Reference Score Calculation'!$D$237:$D$284,MATCH(A78,'Reference Score Calculation'!$A$237:$A$284,0))</f>
        <v>文理學士(設計＋)</v>
      </c>
      <c r="C78" s="346" t="str">
        <f>INDEX('Reference Score Calculation'!$E$237:$E$284,MATCH(A78,'Reference Score Calculation'!$A$237:$A$284,0))</f>
        <v>Best 6</v>
      </c>
      <c r="D78" s="385" t="s">
        <v>1978</v>
      </c>
      <c r="E78" s="385" t="s">
        <v>1978</v>
      </c>
      <c r="F78" s="385" t="s">
        <v>1978</v>
      </c>
      <c r="G78" s="543">
        <f>ROUND(INDEX(計分版!$H$258:$H$305,MATCH('Retake 扣分'!A78,計分版!$A$258:$A$305,0)),2)</f>
        <v>0</v>
      </c>
      <c r="H78" s="560">
        <f>ROUND(INDEX(計分版!T$258:T$305,MATCH('Retake 扣分'!$A78,計分版!$A$258:$A$305,0)),2)</f>
        <v>0</v>
      </c>
      <c r="I78" s="560">
        <f>ROUND(INDEX(計分版!U$258:U$305,MATCH('Retake 扣分'!$A78,計分版!$A$258:$A$305,0)),2)</f>
        <v>0</v>
      </c>
      <c r="J78" s="560">
        <f>ROUND(INDEX(計分版!V$258:V$305,MATCH('Retake 扣分'!$A78,計分版!$A$258:$A$305,0)),2)</f>
        <v>0</v>
      </c>
      <c r="K78" s="560">
        <f>ROUND(INDEX(計分版!W$258:W$305,MATCH('Retake 扣分'!$A78,計分版!$A$258:$A$305,0)),2)</f>
        <v>0</v>
      </c>
      <c r="L78" s="560">
        <f>ROUND(INDEX(計分版!X$258:X$305,MATCH('Retake 扣分'!$A78,計分版!$A$258:$A$305,0)),2)</f>
        <v>0</v>
      </c>
      <c r="M78" s="560">
        <f>ROUND(INDEX(計分版!Y$258:Y$305,MATCH('Retake 扣分'!$A78,計分版!$A$258:$A$305,0)),2)</f>
        <v>0</v>
      </c>
      <c r="N78" s="560">
        <f>ROUND(INDEX(計分版!Z$258:Z$305,MATCH('Retake 扣分'!$A78,計分版!$A$258:$A$305,0)),2)</f>
        <v>0</v>
      </c>
      <c r="O78" s="560">
        <f>ROUND(INDEX(計分版!AA$258:AA$305,MATCH('Retake 扣分'!$A78,計分版!$A$258:$A$305,0)),2)</f>
        <v>0</v>
      </c>
      <c r="P78" s="560">
        <f>ROUND(INDEX(計分版!AB$258:AB$305,MATCH('Retake 扣分'!$A78,計分版!$A$258:$A$305,0)),2)</f>
        <v>0</v>
      </c>
      <c r="Q78" s="560">
        <f>ROUND(INDEX(計分版!AC$258:AC$305,MATCH('Retake 扣分'!$A78,計分版!$A$258:$A$305,0)),2)</f>
        <v>0</v>
      </c>
      <c r="R78" s="129"/>
      <c r="S78" s="4" t="s">
        <v>2617</v>
      </c>
    </row>
    <row r="79" spans="1:19" s="4" customFormat="1" ht="14.4" x14ac:dyDescent="0.3">
      <c r="A79" s="4" t="s">
        <v>1237</v>
      </c>
      <c r="B79" s="346" t="str">
        <f>INDEX('Reference Score Calculation'!$D$237:$D$284,MATCH(A79,'Reference Score Calculation'!$A$237:$A$284,0))</f>
        <v>文理學士(金融科技)</v>
      </c>
      <c r="C79" s="346" t="str">
        <f>INDEX('Reference Score Calculation'!$E$237:$E$284,MATCH(A79,'Reference Score Calculation'!$A$237:$A$284,0))</f>
        <v>Best 6</v>
      </c>
      <c r="D79" s="385">
        <f>ROUND(INDEX('Reference Score Calculation'!F$237:F$284,MATCH('Retake 扣分'!$A79,'Reference Score Calculation'!$A$237:$A$284,0)),2)</f>
        <v>38</v>
      </c>
      <c r="E79" s="385">
        <f>ROUND(INDEX('Reference Score Calculation'!G$237:G$284,MATCH('Retake 扣分'!$A79,'Reference Score Calculation'!$A$237:$A$284,0)),2)</f>
        <v>36</v>
      </c>
      <c r="F79" s="385">
        <f>ROUND(INDEX('Reference Score Calculation'!H$237:H$284,MATCH('Retake 扣分'!$A79,'Reference Score Calculation'!$A$237:$A$284,0)),2)</f>
        <v>35</v>
      </c>
      <c r="G79" s="543">
        <f>ROUND(INDEX(計分版!$H$258:$H$305,MATCH('Retake 扣分'!A79,計分版!$A$258:$A$305,0)),2)</f>
        <v>0</v>
      </c>
      <c r="H79" s="560">
        <f>ROUND(INDEX(計分版!T$258:T$305,MATCH('Retake 扣分'!$A79,計分版!$A$258:$A$305,0)),2)</f>
        <v>0</v>
      </c>
      <c r="I79" s="560">
        <f>ROUND(INDEX(計分版!U$258:U$305,MATCH('Retake 扣分'!$A79,計分版!$A$258:$A$305,0)),2)</f>
        <v>0</v>
      </c>
      <c r="J79" s="560">
        <f>ROUND(INDEX(計分版!V$258:V$305,MATCH('Retake 扣分'!$A79,計分版!$A$258:$A$305,0)),2)</f>
        <v>0</v>
      </c>
      <c r="K79" s="560">
        <f>ROUND(INDEX(計分版!W$258:W$305,MATCH('Retake 扣分'!$A79,計分版!$A$258:$A$305,0)),2)</f>
        <v>0</v>
      </c>
      <c r="L79" s="560">
        <f>ROUND(INDEX(計分版!X$258:X$305,MATCH('Retake 扣分'!$A79,計分版!$A$258:$A$305,0)),2)</f>
        <v>0</v>
      </c>
      <c r="M79" s="560">
        <f>ROUND(INDEX(計分版!Y$258:Y$305,MATCH('Retake 扣分'!$A79,計分版!$A$258:$A$305,0)),2)</f>
        <v>0</v>
      </c>
      <c r="N79" s="560">
        <f>ROUND(INDEX(計分版!Z$258:Z$305,MATCH('Retake 扣分'!$A79,計分版!$A$258:$A$305,0)),2)</f>
        <v>0</v>
      </c>
      <c r="O79" s="560">
        <f>ROUND(INDEX(計分版!AA$258:AA$305,MATCH('Retake 扣分'!$A79,計分版!$A$258:$A$305,0)),2)</f>
        <v>0</v>
      </c>
      <c r="P79" s="560">
        <f>ROUND(INDEX(計分版!AB$258:AB$305,MATCH('Retake 扣分'!$A79,計分版!$A$258:$A$305,0)),2)</f>
        <v>0</v>
      </c>
      <c r="Q79" s="560">
        <f>ROUND(INDEX(計分版!AC$258:AC$305,MATCH('Retake 扣分'!$A79,計分版!$A$258:$A$305,0)),2)</f>
        <v>0</v>
      </c>
      <c r="R79" s="129"/>
      <c r="S79" s="4" t="s">
        <v>2618</v>
      </c>
    </row>
    <row r="80" spans="1:19" s="4" customFormat="1" ht="14.4" x14ac:dyDescent="0.3">
      <c r="A80" s="4" t="s">
        <v>1241</v>
      </c>
      <c r="B80" s="346" t="str">
        <f>INDEX('Reference Score Calculation'!$D$237:$D$284,MATCH(A80,'Reference Score Calculation'!$A$237:$A$284,0))</f>
        <v>文理學士(環球衞生及發展)</v>
      </c>
      <c r="C80" s="346" t="str">
        <f>INDEX('Reference Score Calculation'!$E$237:$E$284,MATCH(A80,'Reference Score Calculation'!$A$237:$A$284,0))</f>
        <v>Best 5</v>
      </c>
      <c r="D80" s="385">
        <f>ROUND(INDEX('Reference Score Calculation'!F$237:F$284,MATCH('Retake 扣分'!$A80,'Reference Score Calculation'!$A$237:$A$284,0)),2)</f>
        <v>32</v>
      </c>
      <c r="E80" s="385">
        <f>ROUND(INDEX('Reference Score Calculation'!G$237:G$284,MATCH('Retake 扣分'!$A80,'Reference Score Calculation'!$A$237:$A$284,0)),2)</f>
        <v>29</v>
      </c>
      <c r="F80" s="385">
        <f>ROUND(INDEX('Reference Score Calculation'!H$237:H$284,MATCH('Retake 扣分'!$A80,'Reference Score Calculation'!$A$237:$A$284,0)),2)</f>
        <v>28</v>
      </c>
      <c r="G80" s="543">
        <f>ROUND(INDEX(計分版!$H$258:$H$305,MATCH('Retake 扣分'!A80,計分版!$A$258:$A$305,0)),2)</f>
        <v>0</v>
      </c>
      <c r="H80" s="560">
        <f>ROUND(INDEX(計分版!T$258:T$305,MATCH('Retake 扣分'!$A80,計分版!$A$258:$A$305,0)),2)</f>
        <v>0</v>
      </c>
      <c r="I80" s="560">
        <f>ROUND(INDEX(計分版!U$258:U$305,MATCH('Retake 扣分'!$A80,計分版!$A$258:$A$305,0)),2)</f>
        <v>0</v>
      </c>
      <c r="J80" s="560">
        <f>ROUND(INDEX(計分版!V$258:V$305,MATCH('Retake 扣分'!$A80,計分版!$A$258:$A$305,0)),2)</f>
        <v>0</v>
      </c>
      <c r="K80" s="560">
        <f>ROUND(INDEX(計分版!W$258:W$305,MATCH('Retake 扣分'!$A80,計分版!$A$258:$A$305,0)),2)</f>
        <v>0</v>
      </c>
      <c r="L80" s="560">
        <f>ROUND(INDEX(計分版!X$258:X$305,MATCH('Retake 扣分'!$A80,計分版!$A$258:$A$305,0)),2)</f>
        <v>0</v>
      </c>
      <c r="M80" s="560">
        <f>ROUND(INDEX(計分版!Y$258:Y$305,MATCH('Retake 扣分'!$A80,計分版!$A$258:$A$305,0)),2)</f>
        <v>0</v>
      </c>
      <c r="N80" s="560">
        <f>ROUND(INDEX(計分版!Z$258:Z$305,MATCH('Retake 扣分'!$A80,計分版!$A$258:$A$305,0)),2)</f>
        <v>0</v>
      </c>
      <c r="O80" s="560">
        <f>ROUND(INDEX(計分版!AA$258:AA$305,MATCH('Retake 扣分'!$A80,計分版!$A$258:$A$305,0)),2)</f>
        <v>0</v>
      </c>
      <c r="P80" s="560">
        <f>ROUND(INDEX(計分版!AB$258:AB$305,MATCH('Retake 扣分'!$A80,計分版!$A$258:$A$305,0)),2)</f>
        <v>0</v>
      </c>
      <c r="Q80" s="560">
        <f>ROUND(INDEX(計分版!AC$258:AC$305,MATCH('Retake 扣分'!$A80,計分版!$A$258:$A$305,0)),2)</f>
        <v>0</v>
      </c>
      <c r="R80" s="129"/>
      <c r="S80" s="4" t="s">
        <v>2620</v>
      </c>
    </row>
    <row r="81" spans="1:18" s="4" customFormat="1" ht="14.4" x14ac:dyDescent="0.3">
      <c r="D81" s="128"/>
      <c r="E81" s="128"/>
      <c r="F81" s="128"/>
      <c r="G81" s="179"/>
      <c r="H81" s="127"/>
      <c r="I81" s="127"/>
      <c r="J81" s="127"/>
      <c r="K81" s="127"/>
      <c r="L81" s="127"/>
      <c r="M81" s="127"/>
      <c r="N81" s="127"/>
      <c r="O81" s="127"/>
      <c r="P81" s="127"/>
      <c r="Q81" s="127"/>
      <c r="R81" s="129"/>
    </row>
    <row r="82" spans="1:18" s="4" customFormat="1" x14ac:dyDescent="0.3">
      <c r="E82" s="15"/>
      <c r="F82" s="15"/>
      <c r="G82" s="15"/>
      <c r="H82" s="15"/>
      <c r="I82" s="15"/>
      <c r="J82" s="15"/>
      <c r="K82" s="15"/>
      <c r="L82" s="15"/>
      <c r="M82" s="15"/>
      <c r="N82" s="15"/>
      <c r="R82" s="15"/>
    </row>
    <row r="83" spans="1:18" s="4" customFormat="1" x14ac:dyDescent="0.3">
      <c r="E83" s="15"/>
      <c r="F83" s="15"/>
      <c r="G83" s="15"/>
      <c r="H83" s="15"/>
      <c r="I83" s="15"/>
      <c r="J83" s="15"/>
      <c r="K83" s="15"/>
      <c r="L83" s="15"/>
      <c r="M83" s="15"/>
      <c r="N83" s="15"/>
      <c r="R83" s="15"/>
    </row>
    <row r="84" spans="1:18" s="4" customFormat="1" x14ac:dyDescent="0.3">
      <c r="A84" s="4" t="s">
        <v>2628</v>
      </c>
      <c r="E84" s="15"/>
      <c r="F84" s="15"/>
      <c r="G84" s="15"/>
      <c r="H84" s="15"/>
      <c r="I84" s="15"/>
      <c r="J84" s="15"/>
      <c r="K84" s="15"/>
      <c r="L84" s="15"/>
      <c r="M84" s="15"/>
      <c r="N84" s="15"/>
      <c r="R84" s="15"/>
    </row>
    <row r="85" spans="1:18" s="4" customFormat="1" x14ac:dyDescent="0.3">
      <c r="A85" s="369" t="s">
        <v>2629</v>
      </c>
      <c r="B85" s="346"/>
      <c r="E85" s="15"/>
      <c r="F85" s="15"/>
      <c r="G85" s="15"/>
      <c r="H85" s="15"/>
      <c r="I85" s="15"/>
      <c r="J85" s="15"/>
      <c r="K85" s="15"/>
      <c r="L85" s="15"/>
      <c r="M85" s="15"/>
      <c r="N85" s="15"/>
      <c r="R85" s="15"/>
    </row>
    <row r="86" spans="1:18" s="4" customFormat="1" x14ac:dyDescent="0.3">
      <c r="A86" s="369" t="s">
        <v>2630</v>
      </c>
      <c r="B86" s="346"/>
      <c r="E86" s="15"/>
      <c r="F86" s="15"/>
      <c r="G86" s="15"/>
      <c r="H86" s="15"/>
      <c r="I86" s="15"/>
      <c r="J86" s="15"/>
      <c r="K86" s="15"/>
      <c r="L86" s="15"/>
      <c r="M86" s="15"/>
      <c r="N86" s="15"/>
      <c r="R86" s="15"/>
    </row>
    <row r="87" spans="1:18" s="4" customFormat="1" x14ac:dyDescent="0.3">
      <c r="A87" s="346"/>
      <c r="B87" s="346"/>
      <c r="E87" s="15"/>
      <c r="F87" s="15"/>
      <c r="G87" s="15"/>
      <c r="H87" s="15"/>
      <c r="I87" s="15"/>
      <c r="J87" s="15"/>
      <c r="K87" s="15"/>
      <c r="L87" s="15"/>
      <c r="M87" s="15"/>
      <c r="N87" s="15"/>
      <c r="R87" s="15"/>
    </row>
    <row r="88" spans="1:18" s="4" customFormat="1" x14ac:dyDescent="0.3">
      <c r="A88" s="346"/>
      <c r="B88" s="346"/>
      <c r="E88" s="15"/>
      <c r="F88" s="15"/>
      <c r="G88" s="15"/>
      <c r="H88" s="15"/>
      <c r="I88" s="15"/>
      <c r="J88" s="15"/>
      <c r="K88" s="15"/>
      <c r="L88" s="15"/>
      <c r="M88" s="15"/>
      <c r="N88" s="15"/>
      <c r="R88" s="15"/>
    </row>
    <row r="89" spans="1:18" s="4" customFormat="1" x14ac:dyDescent="0.3">
      <c r="E89" s="15"/>
      <c r="F89" s="15"/>
      <c r="G89" s="15"/>
      <c r="H89" s="15"/>
      <c r="I89" s="15"/>
      <c r="J89" s="15"/>
      <c r="K89" s="15"/>
      <c r="L89" s="15"/>
      <c r="M89" s="15"/>
      <c r="N89" s="15"/>
      <c r="R89" s="15"/>
    </row>
    <row r="90" spans="1:18" s="4" customFormat="1" x14ac:dyDescent="0.3">
      <c r="E90" s="15"/>
      <c r="F90" s="15"/>
      <c r="G90" s="15"/>
      <c r="H90" s="15"/>
      <c r="I90" s="15"/>
      <c r="J90" s="15"/>
      <c r="K90" s="15"/>
      <c r="L90" s="15"/>
      <c r="M90" s="15"/>
      <c r="N90" s="15"/>
      <c r="R90" s="15"/>
    </row>
    <row r="91" spans="1:18" s="4" customFormat="1" x14ac:dyDescent="0.3">
      <c r="E91" s="15"/>
      <c r="F91" s="15"/>
      <c r="G91" s="15"/>
      <c r="H91" s="15"/>
      <c r="I91" s="15"/>
      <c r="J91" s="15"/>
      <c r="K91" s="15"/>
      <c r="L91" s="15"/>
      <c r="M91" s="15"/>
      <c r="N91" s="15"/>
      <c r="R91" s="15"/>
    </row>
    <row r="92" spans="1:18" s="4" customFormat="1" x14ac:dyDescent="0.3">
      <c r="E92" s="15"/>
      <c r="F92" s="15"/>
      <c r="G92" s="15"/>
      <c r="H92" s="15"/>
      <c r="I92" s="15"/>
      <c r="J92" s="15"/>
      <c r="K92" s="15"/>
      <c r="L92" s="15"/>
      <c r="M92" s="15"/>
      <c r="N92" s="15"/>
      <c r="R92" s="15"/>
    </row>
    <row r="93" spans="1:18" s="4" customFormat="1" x14ac:dyDescent="0.3">
      <c r="E93" s="15"/>
      <c r="F93" s="15"/>
      <c r="G93" s="15"/>
      <c r="H93" s="15"/>
      <c r="I93" s="15"/>
      <c r="J93" s="15"/>
      <c r="K93" s="15"/>
      <c r="L93" s="15"/>
      <c r="M93" s="15"/>
      <c r="N93" s="15"/>
      <c r="R93" s="15"/>
    </row>
    <row r="94" spans="1:18" s="4" customFormat="1" x14ac:dyDescent="0.3">
      <c r="E94" s="15"/>
      <c r="F94" s="15"/>
      <c r="G94" s="15"/>
      <c r="H94" s="15"/>
      <c r="I94" s="15"/>
      <c r="J94" s="15"/>
      <c r="K94" s="15"/>
      <c r="L94" s="15"/>
      <c r="M94" s="15"/>
      <c r="N94" s="15"/>
      <c r="R94" s="15"/>
    </row>
    <row r="95" spans="1:18" s="4" customFormat="1" x14ac:dyDescent="0.3">
      <c r="E95" s="15"/>
      <c r="F95" s="15"/>
      <c r="G95" s="15"/>
      <c r="H95" s="15"/>
      <c r="I95" s="15"/>
      <c r="J95" s="15"/>
      <c r="K95" s="15"/>
      <c r="L95" s="15"/>
      <c r="M95" s="15"/>
      <c r="N95" s="15"/>
      <c r="R95" s="15"/>
    </row>
    <row r="96" spans="1:18" s="4" customFormat="1" x14ac:dyDescent="0.3">
      <c r="E96" s="15"/>
      <c r="F96" s="15"/>
      <c r="G96" s="15"/>
      <c r="H96" s="15"/>
      <c r="I96" s="15"/>
      <c r="J96" s="15"/>
      <c r="K96" s="15"/>
      <c r="L96" s="15"/>
      <c r="M96" s="15"/>
      <c r="N96" s="15"/>
      <c r="R96" s="15"/>
    </row>
    <row r="97" spans="5:18" s="4" customFormat="1" x14ac:dyDescent="0.3">
      <c r="E97" s="15"/>
      <c r="F97" s="15"/>
      <c r="G97" s="15"/>
      <c r="H97" s="15"/>
      <c r="I97" s="15"/>
      <c r="J97" s="15"/>
      <c r="K97" s="15"/>
      <c r="L97" s="15"/>
      <c r="M97" s="15"/>
      <c r="N97" s="15"/>
      <c r="R97" s="15"/>
    </row>
    <row r="98" spans="5:18" s="4" customFormat="1" x14ac:dyDescent="0.3">
      <c r="E98" s="15"/>
      <c r="F98" s="15"/>
      <c r="G98" s="15"/>
      <c r="H98" s="15"/>
      <c r="I98" s="15"/>
      <c r="J98" s="15"/>
      <c r="K98" s="15"/>
      <c r="L98" s="15"/>
      <c r="M98" s="15"/>
      <c r="N98" s="15"/>
      <c r="R98" s="15"/>
    </row>
    <row r="99" spans="5:18" s="4" customFormat="1" x14ac:dyDescent="0.3">
      <c r="E99" s="15"/>
      <c r="F99" s="15"/>
      <c r="G99" s="15"/>
      <c r="H99" s="15"/>
      <c r="I99" s="15"/>
      <c r="J99" s="15"/>
      <c r="K99" s="15"/>
      <c r="L99" s="15"/>
      <c r="M99" s="15"/>
      <c r="N99" s="15"/>
      <c r="R99" s="15"/>
    </row>
    <row r="100" spans="5:18" x14ac:dyDescent="0.3"/>
    <row r="101" spans="5:18" x14ac:dyDescent="0.3"/>
    <row r="102" spans="5:18" x14ac:dyDescent="0.3"/>
    <row r="103" spans="5:18" x14ac:dyDescent="0.3"/>
    <row r="104" spans="5:18" x14ac:dyDescent="0.3"/>
    <row r="105" spans="5:18" x14ac:dyDescent="0.3"/>
    <row r="106" spans="5:18" x14ac:dyDescent="0.3"/>
    <row r="107" spans="5:18" x14ac:dyDescent="0.3"/>
  </sheetData>
  <sheetProtection sheet="1" objects="1" scenarios="1"/>
  <mergeCells count="18">
    <mergeCell ref="H12:I12"/>
    <mergeCell ref="H23:I23"/>
    <mergeCell ref="H22:I22"/>
    <mergeCell ref="H21:I21"/>
    <mergeCell ref="H20:I20"/>
    <mergeCell ref="H19:I19"/>
    <mergeCell ref="H18:I18"/>
    <mergeCell ref="H17:I17"/>
    <mergeCell ref="H16:I16"/>
    <mergeCell ref="H15:I15"/>
    <mergeCell ref="H14:I14"/>
    <mergeCell ref="H13:I13"/>
    <mergeCell ref="H24:I24"/>
    <mergeCell ref="H29:I29"/>
    <mergeCell ref="H28:I28"/>
    <mergeCell ref="H27:I27"/>
    <mergeCell ref="H26:I26"/>
    <mergeCell ref="H25:I25"/>
  </mergeCells>
  <phoneticPr fontId="2" type="noConversion"/>
  <conditionalFormatting sqref="J13:J29 A13:H29">
    <cfRule type="expression" dxfId="85" priority="17">
      <formula>MOD(ROW(),2)=0</formula>
    </cfRule>
  </conditionalFormatting>
  <conditionalFormatting sqref="A33:AA81">
    <cfRule type="expression" dxfId="84" priority="8">
      <formula>MOD(ROW(),2)=0</formula>
    </cfRule>
  </conditionalFormatting>
  <hyperlinks>
    <hyperlink ref="A85" r:id="rId1" xr:uid="{00000000-0004-0000-1300-000000000000}"/>
    <hyperlink ref="A86" r:id="rId2" xr:uid="{00000000-0004-0000-1300-000001000000}"/>
  </hyperlinks>
  <pageMargins left="0.7" right="0.7" top="0.75" bottom="0.75" header="0.3" footer="0.3"/>
  <drawing r:id="rId3"/>
  <legacyDrawing r:id="rId4"/>
  <mc:AlternateContent xmlns:mc="http://schemas.openxmlformats.org/markup-compatibility/2006">
    <mc:Choice Requires="x14">
      <controls>
        <mc:AlternateContent xmlns:mc="http://schemas.openxmlformats.org/markup-compatibility/2006">
          <mc:Choice Requires="x14">
            <control shapeId="108548" r:id="rId5" name=" 4">
              <controlPr defaultSize="0" autoFill="0" autoLine="0" autoPict="0">
                <anchor moveWithCells="1">
                  <from>
                    <xdr:col>3</xdr:col>
                    <xdr:colOff>7620</xdr:colOff>
                    <xdr:row>2</xdr:row>
                    <xdr:rowOff>137160</xdr:rowOff>
                  </from>
                  <to>
                    <xdr:col>3</xdr:col>
                    <xdr:colOff>198120</xdr:colOff>
                    <xdr:row>4</xdr:row>
                    <xdr:rowOff>38100</xdr:rowOff>
                  </to>
                </anchor>
              </controlPr>
            </control>
          </mc:Choice>
        </mc:AlternateContent>
        <mc:AlternateContent xmlns:mc="http://schemas.openxmlformats.org/markup-compatibility/2006">
          <mc:Choice Requires="x14">
            <control shapeId="108549" r:id="rId6" name=" 5">
              <controlPr defaultSize="0" autoFill="0" autoLine="0" autoPict="0">
                <anchor moveWithCells="1">
                  <from>
                    <xdr:col>3</xdr:col>
                    <xdr:colOff>7620</xdr:colOff>
                    <xdr:row>3</xdr:row>
                    <xdr:rowOff>121920</xdr:rowOff>
                  </from>
                  <to>
                    <xdr:col>3</xdr:col>
                    <xdr:colOff>198120</xdr:colOff>
                    <xdr:row>5</xdr:row>
                    <xdr:rowOff>38100</xdr:rowOff>
                  </to>
                </anchor>
              </controlPr>
            </control>
          </mc:Choice>
        </mc:AlternateContent>
        <mc:AlternateContent xmlns:mc="http://schemas.openxmlformats.org/markup-compatibility/2006">
          <mc:Choice Requires="x14">
            <control shapeId="108550" r:id="rId7" name=" 6">
              <controlPr defaultSize="0" autoFill="0" autoLine="0" autoPict="0">
                <anchor moveWithCells="1">
                  <from>
                    <xdr:col>3</xdr:col>
                    <xdr:colOff>7620</xdr:colOff>
                    <xdr:row>4</xdr:row>
                    <xdr:rowOff>121920</xdr:rowOff>
                  </from>
                  <to>
                    <xdr:col>3</xdr:col>
                    <xdr:colOff>198120</xdr:colOff>
                    <xdr:row>6</xdr:row>
                    <xdr:rowOff>38100</xdr:rowOff>
                  </to>
                </anchor>
              </controlPr>
            </control>
          </mc:Choice>
        </mc:AlternateContent>
        <mc:AlternateContent xmlns:mc="http://schemas.openxmlformats.org/markup-compatibility/2006">
          <mc:Choice Requires="x14">
            <control shapeId="108551" r:id="rId8" name=" 7">
              <controlPr defaultSize="0" autoFill="0" autoLine="0" autoPict="0">
                <anchor moveWithCells="1">
                  <from>
                    <xdr:col>3</xdr:col>
                    <xdr:colOff>7620</xdr:colOff>
                    <xdr:row>5</xdr:row>
                    <xdr:rowOff>114300</xdr:rowOff>
                  </from>
                  <to>
                    <xdr:col>3</xdr:col>
                    <xdr:colOff>198120</xdr:colOff>
                    <xdr:row>7</xdr:row>
                    <xdr:rowOff>30480</xdr:rowOff>
                  </to>
                </anchor>
              </controlPr>
            </control>
          </mc:Choice>
        </mc:AlternateContent>
        <mc:AlternateContent xmlns:mc="http://schemas.openxmlformats.org/markup-compatibility/2006">
          <mc:Choice Requires="x14">
            <control shapeId="108552" r:id="rId9" name=" 8">
              <controlPr defaultSize="0" autoFill="0" autoLine="0" autoPict="0">
                <anchor moveWithCells="1">
                  <from>
                    <xdr:col>3</xdr:col>
                    <xdr:colOff>7620</xdr:colOff>
                    <xdr:row>6</xdr:row>
                    <xdr:rowOff>114300</xdr:rowOff>
                  </from>
                  <to>
                    <xdr:col>3</xdr:col>
                    <xdr:colOff>228600</xdr:colOff>
                    <xdr:row>8</xdr:row>
                    <xdr:rowOff>38100</xdr:rowOff>
                  </to>
                </anchor>
              </controlPr>
            </control>
          </mc:Choice>
        </mc:AlternateContent>
        <mc:AlternateContent xmlns:mc="http://schemas.openxmlformats.org/markup-compatibility/2006">
          <mc:Choice Requires="x14">
            <control shapeId="108555" r:id="rId10" name=" 11">
              <controlPr defaultSize="0" autoFill="0" autoLine="0" autoPict="0">
                <anchor moveWithCells="1">
                  <from>
                    <xdr:col>7</xdr:col>
                    <xdr:colOff>7620</xdr:colOff>
                    <xdr:row>2</xdr:row>
                    <xdr:rowOff>137160</xdr:rowOff>
                  </from>
                  <to>
                    <xdr:col>7</xdr:col>
                    <xdr:colOff>220980</xdr:colOff>
                    <xdr:row>4</xdr:row>
                    <xdr:rowOff>38100</xdr:rowOff>
                  </to>
                </anchor>
              </controlPr>
            </control>
          </mc:Choice>
        </mc:AlternateContent>
        <mc:AlternateContent xmlns:mc="http://schemas.openxmlformats.org/markup-compatibility/2006">
          <mc:Choice Requires="x14">
            <control shapeId="108556" r:id="rId11" name=" 12">
              <controlPr defaultSize="0" autoFill="0" autoLine="0" autoPict="0">
                <anchor moveWithCells="1">
                  <from>
                    <xdr:col>7</xdr:col>
                    <xdr:colOff>7620</xdr:colOff>
                    <xdr:row>3</xdr:row>
                    <xdr:rowOff>121920</xdr:rowOff>
                  </from>
                  <to>
                    <xdr:col>7</xdr:col>
                    <xdr:colOff>220980</xdr:colOff>
                    <xdr:row>5</xdr:row>
                    <xdr:rowOff>38100</xdr:rowOff>
                  </to>
                </anchor>
              </controlPr>
            </control>
          </mc:Choice>
        </mc:AlternateContent>
        <mc:AlternateContent xmlns:mc="http://schemas.openxmlformats.org/markup-compatibility/2006">
          <mc:Choice Requires="x14">
            <control shapeId="108557" r:id="rId12" name=" 13">
              <controlPr defaultSize="0" autoFill="0" autoLine="0" autoPict="0">
                <anchor moveWithCells="1">
                  <from>
                    <xdr:col>7</xdr:col>
                    <xdr:colOff>7620</xdr:colOff>
                    <xdr:row>4</xdr:row>
                    <xdr:rowOff>114300</xdr:rowOff>
                  </from>
                  <to>
                    <xdr:col>7</xdr:col>
                    <xdr:colOff>220980</xdr:colOff>
                    <xdr:row>6</xdr:row>
                    <xdr:rowOff>30480</xdr:rowOff>
                  </to>
                </anchor>
              </controlPr>
            </control>
          </mc:Choice>
        </mc:AlternateContent>
        <mc:AlternateContent xmlns:mc="http://schemas.openxmlformats.org/markup-compatibility/2006">
          <mc:Choice Requires="x14">
            <control shapeId="108558" r:id="rId13" name=" 14">
              <controlPr defaultSize="0" autoFill="0" autoLine="0" autoPict="0">
                <anchor moveWithCells="1">
                  <from>
                    <xdr:col>7</xdr:col>
                    <xdr:colOff>7620</xdr:colOff>
                    <xdr:row>5</xdr:row>
                    <xdr:rowOff>114300</xdr:rowOff>
                  </from>
                  <to>
                    <xdr:col>7</xdr:col>
                    <xdr:colOff>220980</xdr:colOff>
                    <xdr:row>7</xdr:row>
                    <xdr:rowOff>38100</xdr:rowOff>
                  </to>
                </anchor>
              </controlPr>
            </control>
          </mc:Choice>
        </mc:AlternateContent>
        <mc:AlternateContent xmlns:mc="http://schemas.openxmlformats.org/markup-compatibility/2006">
          <mc:Choice Requires="x14">
            <control shapeId="108559" r:id="rId14" name=" 15">
              <controlPr defaultSize="0" autoFill="0" autoLine="0" autoPict="0">
                <anchor moveWithCells="1">
                  <from>
                    <xdr:col>7</xdr:col>
                    <xdr:colOff>7620</xdr:colOff>
                    <xdr:row>6</xdr:row>
                    <xdr:rowOff>121920</xdr:rowOff>
                  </from>
                  <to>
                    <xdr:col>7</xdr:col>
                    <xdr:colOff>220980</xdr:colOff>
                    <xdr:row>8</xdr:row>
                    <xdr:rowOff>38100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6" id="{176BC8F5-0FDC-456C-8359-3AED95E70969}">
            <xm:f>計分版!I$15=TRUE</xm:f>
            <x14:dxf>
              <font>
                <b/>
                <i val="0"/>
                <color rgb="FFFF0000"/>
              </font>
            </x14:dxf>
          </x14:cfRule>
          <xm:sqref>H48:Q48 H62:Q62 H64:Q64 H66:Q66 H67:Q67</xm:sqref>
        </x14:conditionalFormatting>
        <x14:conditionalFormatting xmlns:xm="http://schemas.microsoft.com/office/excel/2006/main">
          <x14:cfRule type="expression" priority="9" id="{9838714A-23EB-4BCF-BF9B-729E5BBD38C9}">
            <xm:f>計分版!$P$15=TRUE</xm:f>
            <x14:dxf>
              <font>
                <b/>
                <i val="0"/>
                <color rgb="FF9C0006"/>
              </font>
            </x14:dxf>
          </x14:cfRule>
          <xm:sqref>O48 O62 O66:O67</xm:sqref>
        </x14:conditionalFormatting>
        <x14:conditionalFormatting xmlns:xm="http://schemas.microsoft.com/office/excel/2006/main">
          <x14:cfRule type="expression" priority="4" id="{5E44F352-A897-40FC-AB2B-7FEDBA5E981E}">
            <xm:f>計分版!$Q$15=TRUE</xm:f>
            <x14:dxf>
              <font>
                <b/>
                <i val="0"/>
                <color rgb="FF9C0006"/>
              </font>
            </x14:dxf>
          </x14:cfRule>
          <xm:sqref>P48 P62 P66:P67</xm:sqref>
        </x14:conditionalFormatting>
        <x14:conditionalFormatting xmlns:xm="http://schemas.microsoft.com/office/excel/2006/main">
          <x14:cfRule type="expression" priority="7" id="{59F0D9EF-5295-4010-86A9-F5FD8C72D559}">
            <xm:f>計分版!$R$15=TRUE</xm:f>
            <x14:dxf>
              <font>
                <b/>
                <i val="0"/>
                <color rgb="FF9C0006"/>
              </font>
            </x14:dxf>
          </x14:cfRule>
          <xm:sqref>Q48 Q62 Q66:Q67</xm:sqref>
        </x14:conditionalFormatting>
        <x14:conditionalFormatting xmlns:xm="http://schemas.microsoft.com/office/excel/2006/main">
          <x14:cfRule type="expression" priority="1" id="{D2FC4F59-E92F-47FA-AEEE-74CEB7852181}">
            <xm:f>計分版!$U$15</xm:f>
            <x14:dxf>
              <font>
                <b/>
                <i val="0"/>
                <color rgb="FFC00000"/>
              </font>
            </x14:dxf>
          </x14:cfRule>
          <xm:sqref>G13:G29</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工作表18"/>
  <dimension ref="A1:X501"/>
  <sheetViews>
    <sheetView topLeftCell="A420" zoomScale="85" zoomScaleNormal="85" workbookViewId="0">
      <selection activeCell="N437" sqref="N437"/>
    </sheetView>
  </sheetViews>
  <sheetFormatPr defaultColWidth="9" defaultRowHeight="16.2" customHeight="1" x14ac:dyDescent="0.3"/>
  <cols>
    <col min="1" max="16384" width="9" style="63"/>
  </cols>
  <sheetData>
    <row r="1" spans="1:18" ht="16.2" customHeight="1" x14ac:dyDescent="0.3">
      <c r="A1" s="63">
        <v>2021</v>
      </c>
      <c r="B1" s="63" t="s">
        <v>0</v>
      </c>
      <c r="C1" s="63" t="s">
        <v>1</v>
      </c>
      <c r="D1" s="63" t="s">
        <v>2</v>
      </c>
      <c r="E1" s="63" t="s">
        <v>3</v>
      </c>
      <c r="F1" s="63" t="s">
        <v>4</v>
      </c>
      <c r="G1" s="63" t="s">
        <v>5</v>
      </c>
      <c r="L1" s="63">
        <v>2022</v>
      </c>
      <c r="M1" s="63" t="s">
        <v>0</v>
      </c>
      <c r="N1" s="63" t="s">
        <v>1</v>
      </c>
      <c r="O1" s="63" t="s">
        <v>2</v>
      </c>
      <c r="P1" s="63" t="s">
        <v>3</v>
      </c>
      <c r="Q1" s="63" t="s">
        <v>6</v>
      </c>
      <c r="R1" s="63" t="s">
        <v>5</v>
      </c>
    </row>
    <row r="2" spans="1:18" ht="16.2" customHeight="1" x14ac:dyDescent="0.3">
      <c r="A2" s="63">
        <v>2021</v>
      </c>
      <c r="B2" s="63" t="s">
        <v>0</v>
      </c>
      <c r="C2" s="63" t="s">
        <v>7</v>
      </c>
      <c r="D2" s="63" t="s">
        <v>2</v>
      </c>
      <c r="E2" s="63" t="s">
        <v>8</v>
      </c>
      <c r="F2" s="63" t="s">
        <v>9</v>
      </c>
      <c r="G2" s="63" t="s">
        <v>10</v>
      </c>
      <c r="L2" s="63">
        <v>2022</v>
      </c>
      <c r="M2" s="63" t="s">
        <v>0</v>
      </c>
      <c r="N2" s="63" t="s">
        <v>7</v>
      </c>
      <c r="O2" s="63" t="s">
        <v>2</v>
      </c>
      <c r="P2" s="63" t="s">
        <v>8</v>
      </c>
      <c r="Q2" s="63" t="s">
        <v>11</v>
      </c>
      <c r="R2" s="63" t="s">
        <v>10</v>
      </c>
    </row>
    <row r="3" spans="1:18" ht="16.2" customHeight="1" x14ac:dyDescent="0.3">
      <c r="A3" s="63">
        <v>2021</v>
      </c>
      <c r="B3" s="63" t="s">
        <v>0</v>
      </c>
      <c r="C3" s="63" t="s">
        <v>12</v>
      </c>
      <c r="D3" s="63" t="s">
        <v>2</v>
      </c>
      <c r="E3" s="63" t="s">
        <v>13</v>
      </c>
      <c r="F3" s="63" t="s">
        <v>14</v>
      </c>
      <c r="G3" s="63" t="s">
        <v>15</v>
      </c>
      <c r="L3" s="63">
        <v>2022</v>
      </c>
      <c r="M3" s="63" t="s">
        <v>0</v>
      </c>
      <c r="N3" s="63" t="s">
        <v>12</v>
      </c>
      <c r="O3" s="63" t="s">
        <v>2</v>
      </c>
      <c r="P3" s="63" t="s">
        <v>13</v>
      </c>
      <c r="Q3" s="63" t="s">
        <v>16</v>
      </c>
      <c r="R3" s="63" t="s">
        <v>15</v>
      </c>
    </row>
    <row r="4" spans="1:18" ht="16.2" customHeight="1" x14ac:dyDescent="0.3">
      <c r="A4" s="63">
        <v>2021</v>
      </c>
      <c r="B4" s="63" t="s">
        <v>0</v>
      </c>
      <c r="C4" s="63" t="s">
        <v>17</v>
      </c>
      <c r="D4" s="63" t="s">
        <v>2</v>
      </c>
      <c r="E4" s="63" t="s">
        <v>18</v>
      </c>
      <c r="F4" s="63" t="s">
        <v>19</v>
      </c>
      <c r="G4" s="63" t="s">
        <v>20</v>
      </c>
      <c r="L4" s="63">
        <v>2022</v>
      </c>
      <c r="M4" s="63" t="s">
        <v>0</v>
      </c>
      <c r="N4" s="63" t="s">
        <v>17</v>
      </c>
      <c r="O4" s="63" t="s">
        <v>2</v>
      </c>
      <c r="P4" s="63" t="s">
        <v>18</v>
      </c>
      <c r="Q4" s="63" t="s">
        <v>21</v>
      </c>
      <c r="R4" s="63" t="s">
        <v>20</v>
      </c>
    </row>
    <row r="5" spans="1:18" ht="16.2" customHeight="1" x14ac:dyDescent="0.3">
      <c r="A5" s="63">
        <v>2021</v>
      </c>
      <c r="B5" s="63" t="s">
        <v>0</v>
      </c>
      <c r="C5" s="63" t="s">
        <v>22</v>
      </c>
      <c r="D5" s="63" t="s">
        <v>2</v>
      </c>
      <c r="E5" s="63" t="s">
        <v>23</v>
      </c>
      <c r="F5" s="63" t="s">
        <v>24</v>
      </c>
      <c r="G5" s="63" t="s">
        <v>25</v>
      </c>
      <c r="L5" s="63">
        <v>2022</v>
      </c>
      <c r="M5" s="63" t="s">
        <v>0</v>
      </c>
      <c r="N5" s="63" t="s">
        <v>22</v>
      </c>
      <c r="O5" s="63" t="s">
        <v>2</v>
      </c>
      <c r="P5" s="63" t="s">
        <v>23</v>
      </c>
      <c r="Q5" s="63" t="s">
        <v>26</v>
      </c>
      <c r="R5" s="63" t="s">
        <v>25</v>
      </c>
    </row>
    <row r="6" spans="1:18" ht="16.2" customHeight="1" x14ac:dyDescent="0.3">
      <c r="A6" s="63">
        <v>2021</v>
      </c>
      <c r="B6" s="63" t="s">
        <v>0</v>
      </c>
      <c r="C6" s="63" t="s">
        <v>27</v>
      </c>
      <c r="D6" s="63" t="s">
        <v>2</v>
      </c>
      <c r="E6" s="63" t="s">
        <v>28</v>
      </c>
      <c r="F6" s="63" t="s">
        <v>29</v>
      </c>
      <c r="G6" s="63" t="s">
        <v>30</v>
      </c>
      <c r="L6" s="63">
        <v>2022</v>
      </c>
      <c r="M6" s="63" t="s">
        <v>0</v>
      </c>
      <c r="N6" s="63" t="s">
        <v>27</v>
      </c>
      <c r="O6" s="63" t="s">
        <v>2</v>
      </c>
      <c r="P6" s="63" t="s">
        <v>28</v>
      </c>
      <c r="Q6" s="63" t="s">
        <v>29</v>
      </c>
      <c r="R6" s="63" t="s">
        <v>30</v>
      </c>
    </row>
    <row r="7" spans="1:18" ht="16.2" customHeight="1" x14ac:dyDescent="0.3">
      <c r="A7" s="63">
        <v>2021</v>
      </c>
      <c r="B7" s="63" t="s">
        <v>0</v>
      </c>
      <c r="C7" s="63" t="s">
        <v>31</v>
      </c>
      <c r="D7" s="63" t="s">
        <v>2</v>
      </c>
      <c r="E7" s="63" t="s">
        <v>32</v>
      </c>
      <c r="F7" s="63" t="s">
        <v>33</v>
      </c>
      <c r="G7" s="63" t="s">
        <v>34</v>
      </c>
      <c r="L7" s="63">
        <v>2022</v>
      </c>
      <c r="M7" s="63" t="s">
        <v>0</v>
      </c>
      <c r="N7" s="63" t="s">
        <v>31</v>
      </c>
      <c r="O7" s="63" t="s">
        <v>2</v>
      </c>
      <c r="P7" s="63" t="s">
        <v>32</v>
      </c>
      <c r="Q7" s="63" t="s">
        <v>33</v>
      </c>
      <c r="R7" s="63" t="s">
        <v>34</v>
      </c>
    </row>
    <row r="8" spans="1:18" ht="16.2" customHeight="1" x14ac:dyDescent="0.3">
      <c r="A8" s="63">
        <v>2021</v>
      </c>
      <c r="B8" s="63" t="s">
        <v>0</v>
      </c>
      <c r="C8" s="63" t="s">
        <v>35</v>
      </c>
      <c r="D8" s="63" t="s">
        <v>2</v>
      </c>
      <c r="E8" s="63" t="s">
        <v>36</v>
      </c>
      <c r="F8" s="63" t="s">
        <v>37</v>
      </c>
      <c r="G8" s="63" t="s">
        <v>38</v>
      </c>
      <c r="L8" s="63">
        <v>2022</v>
      </c>
      <c r="M8" s="63" t="s">
        <v>0</v>
      </c>
      <c r="N8" s="63" t="s">
        <v>35</v>
      </c>
      <c r="O8" s="63" t="s">
        <v>2</v>
      </c>
      <c r="P8" s="63" t="s">
        <v>36</v>
      </c>
      <c r="Q8" s="63" t="s">
        <v>37</v>
      </c>
      <c r="R8" s="63" t="s">
        <v>38</v>
      </c>
    </row>
    <row r="9" spans="1:18" ht="16.2" customHeight="1" x14ac:dyDescent="0.3">
      <c r="A9" s="63">
        <v>2021</v>
      </c>
      <c r="B9" s="63" t="s">
        <v>0</v>
      </c>
      <c r="C9" s="63" t="s">
        <v>39</v>
      </c>
      <c r="D9" s="63" t="s">
        <v>2</v>
      </c>
      <c r="E9" s="63" t="s">
        <v>40</v>
      </c>
      <c r="F9" s="63" t="s">
        <v>41</v>
      </c>
      <c r="G9" s="63" t="s">
        <v>42</v>
      </c>
      <c r="L9" s="63">
        <v>2022</v>
      </c>
      <c r="M9" s="63" t="s">
        <v>0</v>
      </c>
      <c r="N9" s="63" t="s">
        <v>39</v>
      </c>
      <c r="O9" s="63" t="s">
        <v>2</v>
      </c>
      <c r="P9" s="63" t="s">
        <v>40</v>
      </c>
      <c r="Q9" s="63" t="s">
        <v>41</v>
      </c>
      <c r="R9" s="63" t="s">
        <v>42</v>
      </c>
    </row>
    <row r="10" spans="1:18" ht="16.2" customHeight="1" x14ac:dyDescent="0.3">
      <c r="A10" s="63">
        <v>2021</v>
      </c>
      <c r="B10" s="63" t="s">
        <v>0</v>
      </c>
      <c r="C10" s="63" t="s">
        <v>43</v>
      </c>
      <c r="D10" s="63" t="s">
        <v>2</v>
      </c>
      <c r="E10" s="63" t="s">
        <v>44</v>
      </c>
      <c r="F10" s="63" t="s">
        <v>45</v>
      </c>
      <c r="G10" s="63" t="s">
        <v>46</v>
      </c>
      <c r="L10" s="63">
        <v>2022</v>
      </c>
      <c r="M10" s="63" t="s">
        <v>0</v>
      </c>
      <c r="N10" s="63" t="s">
        <v>43</v>
      </c>
      <c r="O10" s="63" t="s">
        <v>2</v>
      </c>
      <c r="P10" s="63" t="s">
        <v>44</v>
      </c>
      <c r="Q10" s="63" t="s">
        <v>45</v>
      </c>
      <c r="R10" s="63" t="s">
        <v>46</v>
      </c>
    </row>
    <row r="11" spans="1:18" ht="16.2" customHeight="1" x14ac:dyDescent="0.3">
      <c r="A11" s="63">
        <v>2021</v>
      </c>
      <c r="B11" s="63" t="s">
        <v>0</v>
      </c>
      <c r="C11" s="63" t="s">
        <v>47</v>
      </c>
      <c r="D11" s="63" t="s">
        <v>2</v>
      </c>
      <c r="E11" s="63" t="s">
        <v>48</v>
      </c>
      <c r="F11" s="63" t="s">
        <v>49</v>
      </c>
      <c r="G11" s="63" t="s">
        <v>50</v>
      </c>
      <c r="L11" s="63">
        <v>2022</v>
      </c>
      <c r="M11" s="63" t="s">
        <v>0</v>
      </c>
      <c r="N11" s="63" t="s">
        <v>47</v>
      </c>
      <c r="O11" s="63" t="s">
        <v>2</v>
      </c>
      <c r="P11" s="63" t="s">
        <v>48</v>
      </c>
      <c r="Q11" s="63" t="s">
        <v>49</v>
      </c>
      <c r="R11" s="63" t="s">
        <v>50</v>
      </c>
    </row>
    <row r="12" spans="1:18" ht="16.2" customHeight="1" x14ac:dyDescent="0.3">
      <c r="A12" s="63">
        <v>2021</v>
      </c>
      <c r="B12" s="63" t="s">
        <v>0</v>
      </c>
      <c r="C12" s="63" t="s">
        <v>51</v>
      </c>
      <c r="D12" s="63" t="s">
        <v>2</v>
      </c>
      <c r="E12" s="63" t="s">
        <v>52</v>
      </c>
      <c r="F12" s="63" t="s">
        <v>53</v>
      </c>
      <c r="G12" s="63" t="s">
        <v>54</v>
      </c>
      <c r="L12" s="63">
        <v>2022</v>
      </c>
      <c r="M12" s="63" t="s">
        <v>0</v>
      </c>
      <c r="N12" s="63" t="s">
        <v>51</v>
      </c>
      <c r="O12" s="63" t="s">
        <v>2</v>
      </c>
      <c r="P12" s="63" t="s">
        <v>52</v>
      </c>
      <c r="Q12" s="63" t="s">
        <v>53</v>
      </c>
      <c r="R12" s="63" t="s">
        <v>54</v>
      </c>
    </row>
    <row r="13" spans="1:18" ht="16.2" customHeight="1" x14ac:dyDescent="0.3">
      <c r="A13" s="63">
        <v>2021</v>
      </c>
      <c r="B13" s="63" t="s">
        <v>0</v>
      </c>
      <c r="C13" s="63" t="s">
        <v>55</v>
      </c>
      <c r="D13" s="63" t="s">
        <v>2</v>
      </c>
      <c r="E13" s="63" t="s">
        <v>56</v>
      </c>
      <c r="F13" s="63" t="s">
        <v>57</v>
      </c>
      <c r="G13" s="63" t="s">
        <v>58</v>
      </c>
      <c r="L13" s="63">
        <v>2022</v>
      </c>
      <c r="M13" s="63" t="s">
        <v>0</v>
      </c>
      <c r="N13" s="63" t="s">
        <v>55</v>
      </c>
      <c r="O13" s="63" t="s">
        <v>2</v>
      </c>
      <c r="P13" s="63" t="s">
        <v>56</v>
      </c>
      <c r="Q13" s="63" t="s">
        <v>57</v>
      </c>
      <c r="R13" s="63" t="s">
        <v>58</v>
      </c>
    </row>
    <row r="14" spans="1:18" ht="16.2" customHeight="1" x14ac:dyDescent="0.3">
      <c r="A14" s="63">
        <v>2021</v>
      </c>
      <c r="B14" s="63" t="s">
        <v>0</v>
      </c>
      <c r="C14" s="63" t="s">
        <v>59</v>
      </c>
      <c r="D14" s="63" t="s">
        <v>2</v>
      </c>
      <c r="E14" s="63" t="s">
        <v>60</v>
      </c>
      <c r="F14" s="63" t="s">
        <v>61</v>
      </c>
      <c r="G14" s="63" t="s">
        <v>62</v>
      </c>
      <c r="L14" s="63">
        <v>2022</v>
      </c>
      <c r="M14" s="63" t="s">
        <v>0</v>
      </c>
      <c r="N14" s="63" t="s">
        <v>59</v>
      </c>
      <c r="O14" s="63" t="s">
        <v>2</v>
      </c>
      <c r="P14" s="63" t="s">
        <v>60</v>
      </c>
      <c r="Q14" s="63" t="s">
        <v>61</v>
      </c>
      <c r="R14" s="63" t="s">
        <v>62</v>
      </c>
    </row>
    <row r="15" spans="1:18" ht="16.2" customHeight="1" x14ac:dyDescent="0.3">
      <c r="A15" s="63">
        <v>2021</v>
      </c>
      <c r="B15" s="63" t="s">
        <v>0</v>
      </c>
      <c r="C15" s="63" t="s">
        <v>63</v>
      </c>
      <c r="D15" s="63" t="s">
        <v>2</v>
      </c>
      <c r="E15" s="63" t="s">
        <v>64</v>
      </c>
      <c r="F15" s="63" t="s">
        <v>65</v>
      </c>
      <c r="G15" s="63" t="s">
        <v>66</v>
      </c>
      <c r="L15" s="63">
        <v>2022</v>
      </c>
      <c r="M15" s="63" t="s">
        <v>0</v>
      </c>
      <c r="N15" s="63" t="s">
        <v>63</v>
      </c>
      <c r="O15" s="63" t="s">
        <v>2</v>
      </c>
      <c r="P15" s="63" t="s">
        <v>64</v>
      </c>
      <c r="Q15" s="63" t="s">
        <v>67</v>
      </c>
      <c r="R15" s="63" t="s">
        <v>66</v>
      </c>
    </row>
    <row r="16" spans="1:18" ht="16.2" customHeight="1" x14ac:dyDescent="0.3">
      <c r="A16" s="63">
        <v>2021</v>
      </c>
      <c r="B16" s="63" t="s">
        <v>0</v>
      </c>
      <c r="C16" s="63" t="s">
        <v>68</v>
      </c>
      <c r="D16" s="63" t="s">
        <v>2</v>
      </c>
      <c r="E16" s="63" t="s">
        <v>69</v>
      </c>
      <c r="F16" s="63" t="s">
        <v>70</v>
      </c>
      <c r="G16" s="63" t="s">
        <v>71</v>
      </c>
      <c r="L16" s="63">
        <v>2022</v>
      </c>
      <c r="M16" s="63" t="s">
        <v>0</v>
      </c>
      <c r="N16" s="63" t="s">
        <v>68</v>
      </c>
      <c r="O16" s="63" t="s">
        <v>2</v>
      </c>
      <c r="P16" s="63" t="s">
        <v>69</v>
      </c>
      <c r="Q16" s="63" t="s">
        <v>72</v>
      </c>
      <c r="R16" s="63" t="s">
        <v>71</v>
      </c>
    </row>
    <row r="17" spans="1:18" ht="16.2" customHeight="1" x14ac:dyDescent="0.3">
      <c r="A17" s="63">
        <v>2021</v>
      </c>
      <c r="B17" s="63" t="s">
        <v>0</v>
      </c>
      <c r="C17" s="63" t="s">
        <v>73</v>
      </c>
      <c r="D17" s="63" t="s">
        <v>2</v>
      </c>
      <c r="E17" s="63" t="s">
        <v>74</v>
      </c>
      <c r="F17" s="63" t="s">
        <v>75</v>
      </c>
      <c r="G17" s="63" t="s">
        <v>76</v>
      </c>
      <c r="L17" s="63">
        <v>2022</v>
      </c>
      <c r="M17" s="63" t="s">
        <v>0</v>
      </c>
      <c r="N17" s="63" t="s">
        <v>73</v>
      </c>
      <c r="O17" s="63" t="s">
        <v>2</v>
      </c>
      <c r="P17" s="63" t="s">
        <v>74</v>
      </c>
      <c r="Q17" s="63" t="s">
        <v>77</v>
      </c>
      <c r="R17" s="63" t="s">
        <v>76</v>
      </c>
    </row>
    <row r="18" spans="1:18" ht="16.2" customHeight="1" x14ac:dyDescent="0.3">
      <c r="A18" s="63">
        <v>2021</v>
      </c>
      <c r="B18" s="63" t="s">
        <v>0</v>
      </c>
      <c r="C18" s="63" t="s">
        <v>78</v>
      </c>
      <c r="D18" s="63" t="s">
        <v>2</v>
      </c>
      <c r="E18" s="63" t="s">
        <v>79</v>
      </c>
      <c r="F18" s="63" t="s">
        <v>80</v>
      </c>
      <c r="G18" s="63" t="s">
        <v>81</v>
      </c>
      <c r="L18" s="63">
        <v>2022</v>
      </c>
      <c r="M18" s="63" t="s">
        <v>0</v>
      </c>
      <c r="N18" s="63" t="s">
        <v>78</v>
      </c>
      <c r="O18" s="63" t="s">
        <v>2</v>
      </c>
      <c r="P18" s="63" t="s">
        <v>79</v>
      </c>
      <c r="Q18" s="63" t="s">
        <v>82</v>
      </c>
      <c r="R18" s="63" t="s">
        <v>81</v>
      </c>
    </row>
    <row r="19" spans="1:18" ht="16.2" customHeight="1" x14ac:dyDescent="0.3">
      <c r="A19" s="63">
        <v>2021</v>
      </c>
      <c r="B19" s="63" t="s">
        <v>0</v>
      </c>
      <c r="C19" s="63" t="s">
        <v>83</v>
      </c>
      <c r="D19" s="63" t="s">
        <v>2</v>
      </c>
      <c r="E19" s="63" t="s">
        <v>84</v>
      </c>
      <c r="F19" s="63" t="s">
        <v>85</v>
      </c>
      <c r="G19" s="63" t="s">
        <v>86</v>
      </c>
      <c r="L19" s="63">
        <v>2022</v>
      </c>
      <c r="M19" s="63" t="s">
        <v>0</v>
      </c>
      <c r="N19" s="63" t="s">
        <v>83</v>
      </c>
      <c r="O19" s="63" t="s">
        <v>2</v>
      </c>
      <c r="P19" s="63" t="s">
        <v>84</v>
      </c>
      <c r="Q19" s="63" t="s">
        <v>87</v>
      </c>
      <c r="R19" s="63" t="s">
        <v>86</v>
      </c>
    </row>
    <row r="20" spans="1:18" ht="16.2" customHeight="1" x14ac:dyDescent="0.3">
      <c r="A20" s="63">
        <v>2021</v>
      </c>
      <c r="B20" s="63" t="s">
        <v>0</v>
      </c>
      <c r="C20" s="63" t="s">
        <v>88</v>
      </c>
      <c r="D20" s="63" t="s">
        <v>2</v>
      </c>
      <c r="E20" s="63" t="s">
        <v>89</v>
      </c>
      <c r="F20" s="63" t="s">
        <v>90</v>
      </c>
      <c r="G20" s="63" t="s">
        <v>91</v>
      </c>
      <c r="L20" s="63">
        <v>2022</v>
      </c>
      <c r="M20" s="63" t="s">
        <v>0</v>
      </c>
      <c r="N20" s="63" t="s">
        <v>88</v>
      </c>
      <c r="O20" s="63" t="s">
        <v>2</v>
      </c>
      <c r="P20" s="63" t="s">
        <v>89</v>
      </c>
      <c r="Q20" s="63" t="s">
        <v>92</v>
      </c>
      <c r="R20" s="63" t="s">
        <v>91</v>
      </c>
    </row>
    <row r="21" spans="1:18" ht="16.2" customHeight="1" x14ac:dyDescent="0.3">
      <c r="A21" s="63">
        <v>2021</v>
      </c>
      <c r="L21" s="63">
        <v>2022</v>
      </c>
      <c r="M21" s="63" t="s">
        <v>0</v>
      </c>
      <c r="N21" s="63" t="s">
        <v>93</v>
      </c>
      <c r="O21" s="63" t="s">
        <v>2</v>
      </c>
      <c r="P21" s="63" t="s">
        <v>94</v>
      </c>
      <c r="Q21" s="63" t="s">
        <v>95</v>
      </c>
      <c r="R21" s="63" t="s">
        <v>96</v>
      </c>
    </row>
    <row r="22" spans="1:18" ht="16.2" customHeight="1" x14ac:dyDescent="0.3">
      <c r="A22" s="63">
        <v>2021</v>
      </c>
      <c r="B22" s="63" t="s">
        <v>0</v>
      </c>
      <c r="C22" s="63" t="s">
        <v>97</v>
      </c>
      <c r="D22" s="63" t="s">
        <v>2</v>
      </c>
      <c r="E22" s="63" t="s">
        <v>98</v>
      </c>
      <c r="F22" s="63" t="s">
        <v>99</v>
      </c>
      <c r="G22" s="63" t="s">
        <v>100</v>
      </c>
      <c r="L22" s="63">
        <v>2022</v>
      </c>
      <c r="M22" s="63" t="s">
        <v>0</v>
      </c>
      <c r="N22" s="63" t="s">
        <v>97</v>
      </c>
      <c r="O22" s="63" t="s">
        <v>2</v>
      </c>
      <c r="P22" s="63" t="s">
        <v>98</v>
      </c>
      <c r="Q22" s="63" t="s">
        <v>101</v>
      </c>
      <c r="R22" s="63" t="s">
        <v>102</v>
      </c>
    </row>
    <row r="23" spans="1:18" ht="16.2" customHeight="1" x14ac:dyDescent="0.3">
      <c r="A23" s="63">
        <v>2021</v>
      </c>
      <c r="B23" s="63" t="s">
        <v>0</v>
      </c>
      <c r="C23" s="63" t="s">
        <v>103</v>
      </c>
      <c r="D23" s="63" t="s">
        <v>2</v>
      </c>
      <c r="E23" s="63" t="s">
        <v>104</v>
      </c>
      <c r="F23" s="63" t="s">
        <v>105</v>
      </c>
      <c r="G23" s="63" t="s">
        <v>106</v>
      </c>
      <c r="L23" s="63">
        <v>2022</v>
      </c>
      <c r="M23" s="63" t="s">
        <v>0</v>
      </c>
      <c r="N23" s="63" t="s">
        <v>103</v>
      </c>
      <c r="O23" s="63" t="s">
        <v>2</v>
      </c>
      <c r="P23" s="63" t="s">
        <v>104</v>
      </c>
      <c r="Q23" s="63" t="s">
        <v>107</v>
      </c>
      <c r="R23" s="63" t="s">
        <v>106</v>
      </c>
    </row>
    <row r="24" spans="1:18" ht="16.2" customHeight="1" x14ac:dyDescent="0.3">
      <c r="A24" s="63">
        <v>2021</v>
      </c>
      <c r="B24" s="63" t="s">
        <v>0</v>
      </c>
      <c r="C24" s="63" t="s">
        <v>108</v>
      </c>
      <c r="D24" s="63" t="s">
        <v>2</v>
      </c>
      <c r="E24" s="63" t="s">
        <v>109</v>
      </c>
      <c r="F24" s="63" t="s">
        <v>110</v>
      </c>
      <c r="G24" s="63" t="s">
        <v>111</v>
      </c>
      <c r="L24" s="63">
        <v>2022</v>
      </c>
      <c r="M24" s="63" t="s">
        <v>0</v>
      </c>
      <c r="N24" s="63" t="s">
        <v>112</v>
      </c>
      <c r="O24" s="63" t="s">
        <v>2</v>
      </c>
      <c r="P24" s="63" t="s">
        <v>113</v>
      </c>
      <c r="Q24" s="63" t="s">
        <v>114</v>
      </c>
      <c r="R24" s="63" t="s">
        <v>115</v>
      </c>
    </row>
    <row r="25" spans="1:18" ht="16.2" customHeight="1" x14ac:dyDescent="0.3">
      <c r="A25" s="63">
        <v>2021</v>
      </c>
      <c r="B25" s="63" t="s">
        <v>0</v>
      </c>
      <c r="C25" s="63" t="s">
        <v>116</v>
      </c>
      <c r="D25" s="63" t="s">
        <v>2</v>
      </c>
      <c r="E25" s="63" t="s">
        <v>117</v>
      </c>
      <c r="F25" s="63" t="s">
        <v>118</v>
      </c>
      <c r="G25" s="63" t="s">
        <v>119</v>
      </c>
      <c r="L25" s="63">
        <v>2022</v>
      </c>
      <c r="M25" s="63" t="s">
        <v>0</v>
      </c>
      <c r="N25" s="63" t="s">
        <v>116</v>
      </c>
      <c r="O25" s="63" t="s">
        <v>2</v>
      </c>
      <c r="P25" s="63" t="s">
        <v>117</v>
      </c>
      <c r="Q25" s="63" t="s">
        <v>120</v>
      </c>
      <c r="R25" s="63" t="s">
        <v>119</v>
      </c>
    </row>
    <row r="26" spans="1:18" ht="16.2" customHeight="1" x14ac:dyDescent="0.3">
      <c r="A26" s="63">
        <v>2021</v>
      </c>
      <c r="B26" s="63" t="s">
        <v>0</v>
      </c>
      <c r="C26" s="63" t="s">
        <v>121</v>
      </c>
      <c r="D26" s="63" t="s">
        <v>2</v>
      </c>
      <c r="E26" s="63" t="s">
        <v>122</v>
      </c>
      <c r="F26" s="63" t="s">
        <v>123</v>
      </c>
      <c r="G26" s="63" t="s">
        <v>124</v>
      </c>
      <c r="L26" s="63">
        <v>2022</v>
      </c>
      <c r="M26" s="63" t="s">
        <v>0</v>
      </c>
      <c r="N26" s="63" t="s">
        <v>121</v>
      </c>
      <c r="O26" s="63" t="s">
        <v>2</v>
      </c>
      <c r="P26" s="63" t="s">
        <v>122</v>
      </c>
      <c r="Q26" s="63" t="s">
        <v>125</v>
      </c>
      <c r="R26" s="63" t="s">
        <v>124</v>
      </c>
    </row>
    <row r="27" spans="1:18" ht="16.2" customHeight="1" x14ac:dyDescent="0.3">
      <c r="A27" s="63">
        <v>2021</v>
      </c>
      <c r="B27" s="63" t="s">
        <v>0</v>
      </c>
      <c r="C27" s="63" t="s">
        <v>126</v>
      </c>
      <c r="D27" s="63" t="s">
        <v>2</v>
      </c>
      <c r="E27" s="63" t="s">
        <v>127</v>
      </c>
      <c r="F27" s="63" t="s">
        <v>128</v>
      </c>
      <c r="G27" s="63" t="s">
        <v>129</v>
      </c>
      <c r="L27" s="63">
        <v>2022</v>
      </c>
      <c r="M27" s="63" t="s">
        <v>0</v>
      </c>
      <c r="N27" s="63" t="s">
        <v>126</v>
      </c>
      <c r="O27" s="63" t="s">
        <v>2</v>
      </c>
      <c r="P27" s="63" t="s">
        <v>127</v>
      </c>
      <c r="Q27" s="63" t="s">
        <v>130</v>
      </c>
      <c r="R27" s="63" t="s">
        <v>129</v>
      </c>
    </row>
    <row r="28" spans="1:18" ht="16.2" customHeight="1" x14ac:dyDescent="0.3">
      <c r="A28" s="63">
        <v>2021</v>
      </c>
      <c r="B28" s="63" t="s">
        <v>0</v>
      </c>
      <c r="C28" s="63" t="s">
        <v>131</v>
      </c>
      <c r="D28" s="63" t="s">
        <v>2</v>
      </c>
      <c r="E28" s="63" t="s">
        <v>132</v>
      </c>
      <c r="F28" s="63" t="s">
        <v>133</v>
      </c>
      <c r="G28" s="63" t="s">
        <v>134</v>
      </c>
      <c r="L28" s="63">
        <v>2022</v>
      </c>
    </row>
    <row r="29" spans="1:18" ht="16.2" customHeight="1" x14ac:dyDescent="0.3">
      <c r="A29" s="63">
        <v>2021</v>
      </c>
      <c r="B29" s="63" t="s">
        <v>0</v>
      </c>
      <c r="C29" s="63" t="s">
        <v>135</v>
      </c>
      <c r="D29" s="63" t="s">
        <v>2</v>
      </c>
      <c r="E29" s="63" t="s">
        <v>136</v>
      </c>
      <c r="F29" s="63" t="s">
        <v>137</v>
      </c>
      <c r="G29" s="63" t="s">
        <v>138</v>
      </c>
      <c r="L29" s="63">
        <v>2022</v>
      </c>
      <c r="M29" s="63" t="s">
        <v>0</v>
      </c>
      <c r="N29" s="63" t="s">
        <v>135</v>
      </c>
      <c r="O29" s="63" t="s">
        <v>2</v>
      </c>
      <c r="P29" s="63" t="s">
        <v>136</v>
      </c>
      <c r="Q29" s="63" t="s">
        <v>139</v>
      </c>
      <c r="R29" s="63" t="s">
        <v>138</v>
      </c>
    </row>
    <row r="30" spans="1:18" ht="16.2" customHeight="1" x14ac:dyDescent="0.3">
      <c r="A30" s="63">
        <v>2021</v>
      </c>
      <c r="B30" s="63" t="s">
        <v>0</v>
      </c>
      <c r="C30" s="63" t="s">
        <v>140</v>
      </c>
      <c r="D30" s="63" t="s">
        <v>2</v>
      </c>
      <c r="E30" s="63" t="s">
        <v>141</v>
      </c>
      <c r="F30" s="63" t="s">
        <v>142</v>
      </c>
      <c r="G30" s="63" t="s">
        <v>143</v>
      </c>
      <c r="L30" s="63">
        <v>2022</v>
      </c>
      <c r="M30" s="63" t="s">
        <v>0</v>
      </c>
      <c r="N30" s="63" t="s">
        <v>140</v>
      </c>
      <c r="O30" s="63" t="s">
        <v>2</v>
      </c>
      <c r="P30" s="63" t="s">
        <v>141</v>
      </c>
      <c r="Q30" s="63" t="s">
        <v>144</v>
      </c>
      <c r="R30" s="63" t="s">
        <v>143</v>
      </c>
    </row>
    <row r="31" spans="1:18" ht="16.2" customHeight="1" x14ac:dyDescent="0.3">
      <c r="A31" s="63">
        <v>2021</v>
      </c>
      <c r="L31" s="63">
        <v>2022</v>
      </c>
      <c r="M31" s="63" t="s">
        <v>0</v>
      </c>
      <c r="N31" s="63" t="s">
        <v>145</v>
      </c>
      <c r="O31" s="63" t="s">
        <v>2</v>
      </c>
      <c r="P31" s="63" t="s">
        <v>146</v>
      </c>
      <c r="Q31" s="63" t="s">
        <v>147</v>
      </c>
      <c r="R31" s="63" t="s">
        <v>148</v>
      </c>
    </row>
    <row r="32" spans="1:18" ht="16.2" customHeight="1" x14ac:dyDescent="0.3">
      <c r="A32" s="63">
        <v>2021</v>
      </c>
      <c r="B32" s="63" t="s">
        <v>0</v>
      </c>
      <c r="C32" s="63" t="s">
        <v>149</v>
      </c>
      <c r="D32" s="63" t="s">
        <v>2</v>
      </c>
      <c r="E32" s="63" t="s">
        <v>150</v>
      </c>
      <c r="F32" s="63" t="s">
        <v>151</v>
      </c>
      <c r="G32" s="63" t="s">
        <v>152</v>
      </c>
      <c r="L32" s="63">
        <v>2022</v>
      </c>
      <c r="M32" s="63" t="s">
        <v>0</v>
      </c>
      <c r="N32" s="63" t="s">
        <v>149</v>
      </c>
      <c r="O32" s="63" t="s">
        <v>2</v>
      </c>
      <c r="P32" s="63" t="s">
        <v>150</v>
      </c>
      <c r="Q32" s="63" t="s">
        <v>153</v>
      </c>
      <c r="R32" s="63" t="s">
        <v>152</v>
      </c>
    </row>
    <row r="33" spans="1:18" ht="16.2" customHeight="1" x14ac:dyDescent="0.3">
      <c r="A33" s="63">
        <v>2021</v>
      </c>
      <c r="B33" s="63" t="s">
        <v>0</v>
      </c>
      <c r="C33" s="63" t="s">
        <v>154</v>
      </c>
      <c r="D33" s="63" t="s">
        <v>2</v>
      </c>
      <c r="E33" s="63" t="s">
        <v>155</v>
      </c>
      <c r="F33" s="63" t="s">
        <v>156</v>
      </c>
      <c r="G33" s="63" t="s">
        <v>157</v>
      </c>
      <c r="L33" s="63">
        <v>2022</v>
      </c>
      <c r="M33" s="63" t="s">
        <v>0</v>
      </c>
      <c r="N33" s="63" t="s">
        <v>154</v>
      </c>
      <c r="O33" s="63" t="s">
        <v>2</v>
      </c>
      <c r="P33" s="63" t="s">
        <v>155</v>
      </c>
      <c r="Q33" s="63" t="s">
        <v>158</v>
      </c>
      <c r="R33" s="63" t="s">
        <v>157</v>
      </c>
    </row>
    <row r="34" spans="1:18" ht="16.2" customHeight="1" x14ac:dyDescent="0.3">
      <c r="A34" s="63">
        <v>2021</v>
      </c>
      <c r="B34" s="63" t="s">
        <v>0</v>
      </c>
      <c r="C34" s="63" t="s">
        <v>159</v>
      </c>
      <c r="D34" s="63" t="s">
        <v>2</v>
      </c>
      <c r="E34" s="63" t="s">
        <v>160</v>
      </c>
      <c r="F34" s="63" t="s">
        <v>161</v>
      </c>
      <c r="G34" s="63" t="s">
        <v>162</v>
      </c>
      <c r="L34" s="63">
        <v>2022</v>
      </c>
      <c r="M34" s="63" t="s">
        <v>0</v>
      </c>
      <c r="N34" s="63" t="s">
        <v>159</v>
      </c>
      <c r="O34" s="63" t="s">
        <v>2</v>
      </c>
      <c r="P34" s="63" t="s">
        <v>160</v>
      </c>
      <c r="Q34" s="63" t="s">
        <v>163</v>
      </c>
      <c r="R34" s="63" t="s">
        <v>162</v>
      </c>
    </row>
    <row r="35" spans="1:18" ht="16.2" customHeight="1" x14ac:dyDescent="0.3">
      <c r="A35" s="63">
        <v>2021</v>
      </c>
      <c r="B35" s="63" t="s">
        <v>0</v>
      </c>
      <c r="C35" s="63" t="s">
        <v>164</v>
      </c>
      <c r="D35" s="63" t="s">
        <v>2</v>
      </c>
      <c r="E35" s="63" t="s">
        <v>165</v>
      </c>
      <c r="F35" s="63" t="s">
        <v>166</v>
      </c>
      <c r="G35" s="63" t="s">
        <v>167</v>
      </c>
      <c r="L35" s="63">
        <v>2022</v>
      </c>
      <c r="M35" s="63" t="s">
        <v>0</v>
      </c>
      <c r="N35" s="63" t="s">
        <v>164</v>
      </c>
      <c r="O35" s="63" t="s">
        <v>2</v>
      </c>
      <c r="P35" s="63" t="s">
        <v>165</v>
      </c>
      <c r="Q35" s="63" t="s">
        <v>168</v>
      </c>
      <c r="R35" s="63" t="s">
        <v>167</v>
      </c>
    </row>
    <row r="36" spans="1:18" ht="16.2" customHeight="1" x14ac:dyDescent="0.3">
      <c r="A36" s="63">
        <v>2021</v>
      </c>
      <c r="L36" s="63">
        <v>2022</v>
      </c>
      <c r="M36" s="63" t="s">
        <v>0</v>
      </c>
      <c r="N36" s="63" t="s">
        <v>169</v>
      </c>
      <c r="O36" s="63" t="s">
        <v>2</v>
      </c>
      <c r="P36" s="63" t="s">
        <v>170</v>
      </c>
      <c r="Q36" s="63" t="s">
        <v>171</v>
      </c>
      <c r="R36" s="63" t="s">
        <v>172</v>
      </c>
    </row>
    <row r="37" spans="1:18" ht="16.2" customHeight="1" x14ac:dyDescent="0.3">
      <c r="A37" s="63">
        <v>2021</v>
      </c>
      <c r="L37" s="63">
        <v>2022</v>
      </c>
      <c r="M37" s="63" t="s">
        <v>0</v>
      </c>
      <c r="N37" s="63" t="s">
        <v>173</v>
      </c>
      <c r="O37" s="63" t="s">
        <v>2</v>
      </c>
      <c r="P37" s="63" t="s">
        <v>174</v>
      </c>
      <c r="Q37" s="63" t="s">
        <v>175</v>
      </c>
      <c r="R37" s="63" t="s">
        <v>176</v>
      </c>
    </row>
    <row r="38" spans="1:18" ht="16.2" customHeight="1" x14ac:dyDescent="0.3">
      <c r="A38" s="63">
        <v>2021</v>
      </c>
      <c r="B38" s="63" t="s">
        <v>0</v>
      </c>
      <c r="C38" s="63" t="s">
        <v>177</v>
      </c>
      <c r="D38" s="63" t="s">
        <v>2</v>
      </c>
      <c r="E38" s="63" t="s">
        <v>178</v>
      </c>
      <c r="F38" s="63" t="s">
        <v>179</v>
      </c>
      <c r="G38" s="63" t="s">
        <v>180</v>
      </c>
      <c r="L38" s="63">
        <v>2022</v>
      </c>
      <c r="M38" s="63" t="s">
        <v>0</v>
      </c>
      <c r="N38" s="63" t="s">
        <v>177</v>
      </c>
      <c r="O38" s="63" t="s">
        <v>2</v>
      </c>
      <c r="P38" s="63" t="s">
        <v>178</v>
      </c>
      <c r="Q38" s="63" t="s">
        <v>181</v>
      </c>
      <c r="R38" s="63" t="s">
        <v>180</v>
      </c>
    </row>
    <row r="39" spans="1:18" ht="16.2" customHeight="1" x14ac:dyDescent="0.3">
      <c r="A39" s="63">
        <v>2021</v>
      </c>
      <c r="B39" s="63" t="s">
        <v>0</v>
      </c>
      <c r="C39" s="63" t="s">
        <v>182</v>
      </c>
      <c r="D39" s="63" t="s">
        <v>2</v>
      </c>
      <c r="E39" s="63" t="s">
        <v>183</v>
      </c>
      <c r="F39" s="63" t="s">
        <v>184</v>
      </c>
      <c r="G39" s="63" t="s">
        <v>185</v>
      </c>
      <c r="L39" s="63">
        <v>2022</v>
      </c>
      <c r="M39" s="63" t="s">
        <v>0</v>
      </c>
      <c r="N39" s="63" t="s">
        <v>182</v>
      </c>
      <c r="O39" s="63" t="s">
        <v>2</v>
      </c>
      <c r="P39" s="63" t="s">
        <v>183</v>
      </c>
      <c r="Q39" s="63" t="s">
        <v>186</v>
      </c>
      <c r="R39" s="63" t="s">
        <v>185</v>
      </c>
    </row>
    <row r="40" spans="1:18" ht="16.2" customHeight="1" x14ac:dyDescent="0.3">
      <c r="A40" s="63">
        <v>2021</v>
      </c>
      <c r="B40" s="63" t="s">
        <v>0</v>
      </c>
      <c r="C40" s="63" t="s">
        <v>187</v>
      </c>
      <c r="D40" s="63" t="s">
        <v>2</v>
      </c>
      <c r="E40" s="63" t="s">
        <v>188</v>
      </c>
      <c r="F40" s="63" t="s">
        <v>189</v>
      </c>
      <c r="G40" s="63" t="s">
        <v>190</v>
      </c>
      <c r="L40" s="63">
        <v>2022</v>
      </c>
      <c r="M40" s="63" t="s">
        <v>0</v>
      </c>
      <c r="N40" s="63" t="s">
        <v>187</v>
      </c>
      <c r="O40" s="63" t="s">
        <v>2</v>
      </c>
      <c r="P40" s="63" t="s">
        <v>188</v>
      </c>
      <c r="Q40" s="63" t="s">
        <v>191</v>
      </c>
      <c r="R40" s="63" t="s">
        <v>190</v>
      </c>
    </row>
    <row r="41" spans="1:18" ht="16.2" customHeight="1" x14ac:dyDescent="0.3">
      <c r="A41" s="63">
        <v>2021</v>
      </c>
      <c r="B41" s="63" t="s">
        <v>0</v>
      </c>
      <c r="C41" s="63" t="s">
        <v>192</v>
      </c>
      <c r="D41" s="63" t="s">
        <v>2</v>
      </c>
      <c r="E41" s="63" t="s">
        <v>193</v>
      </c>
      <c r="F41" s="63" t="s">
        <v>194</v>
      </c>
      <c r="G41" s="63" t="s">
        <v>195</v>
      </c>
      <c r="L41" s="63">
        <v>2022</v>
      </c>
      <c r="M41" s="63" t="s">
        <v>0</v>
      </c>
      <c r="N41" s="63" t="s">
        <v>192</v>
      </c>
      <c r="O41" s="63" t="s">
        <v>2</v>
      </c>
      <c r="P41" s="63" t="s">
        <v>196</v>
      </c>
      <c r="Q41" s="63" t="s">
        <v>197</v>
      </c>
      <c r="R41" s="63" t="s">
        <v>195</v>
      </c>
    </row>
    <row r="42" spans="1:18" ht="16.2" customHeight="1" x14ac:dyDescent="0.3">
      <c r="A42" s="63">
        <v>2021</v>
      </c>
      <c r="B42" s="63" t="s">
        <v>0</v>
      </c>
      <c r="C42" s="63" t="s">
        <v>198</v>
      </c>
      <c r="D42" s="63" t="s">
        <v>2</v>
      </c>
      <c r="E42" s="63" t="s">
        <v>199</v>
      </c>
      <c r="F42" s="63" t="s">
        <v>200</v>
      </c>
      <c r="G42" s="63" t="s">
        <v>201</v>
      </c>
      <c r="L42" s="63">
        <v>2022</v>
      </c>
      <c r="M42" s="63" t="s">
        <v>0</v>
      </c>
      <c r="N42" s="63" t="s">
        <v>198</v>
      </c>
      <c r="O42" s="63" t="s">
        <v>2</v>
      </c>
      <c r="P42" s="63" t="s">
        <v>199</v>
      </c>
      <c r="Q42" s="63" t="s">
        <v>202</v>
      </c>
      <c r="R42" s="63" t="s">
        <v>203</v>
      </c>
    </row>
    <row r="43" spans="1:18" ht="16.2" customHeight="1" x14ac:dyDescent="0.3">
      <c r="A43" s="63">
        <v>2021</v>
      </c>
      <c r="B43" s="63" t="s">
        <v>0</v>
      </c>
      <c r="C43" s="63" t="s">
        <v>204</v>
      </c>
      <c r="D43" s="63" t="s">
        <v>2</v>
      </c>
      <c r="E43" s="63" t="s">
        <v>74</v>
      </c>
      <c r="F43" s="63" t="s">
        <v>205</v>
      </c>
      <c r="G43" s="63" t="s">
        <v>206</v>
      </c>
      <c r="L43" s="63">
        <v>2022</v>
      </c>
      <c r="M43" s="63" t="s">
        <v>0</v>
      </c>
      <c r="N43" s="63" t="s">
        <v>204</v>
      </c>
      <c r="O43" s="63" t="s">
        <v>2</v>
      </c>
      <c r="P43" s="63" t="s">
        <v>74</v>
      </c>
      <c r="Q43" s="63" t="s">
        <v>207</v>
      </c>
      <c r="R43" s="63" t="s">
        <v>206</v>
      </c>
    </row>
    <row r="44" spans="1:18" ht="16.2" customHeight="1" x14ac:dyDescent="0.3">
      <c r="A44" s="63">
        <v>2021</v>
      </c>
      <c r="B44" s="63" t="s">
        <v>0</v>
      </c>
      <c r="C44" s="63" t="s">
        <v>208</v>
      </c>
      <c r="D44" s="63" t="s">
        <v>2</v>
      </c>
      <c r="E44" s="63" t="s">
        <v>209</v>
      </c>
      <c r="F44" s="63" t="s">
        <v>210</v>
      </c>
      <c r="G44" s="63" t="s">
        <v>211</v>
      </c>
      <c r="L44" s="63">
        <v>2022</v>
      </c>
      <c r="M44" s="63" t="s">
        <v>0</v>
      </c>
      <c r="N44" s="63" t="s">
        <v>208</v>
      </c>
      <c r="O44" s="63" t="s">
        <v>2</v>
      </c>
      <c r="P44" s="63" t="s">
        <v>209</v>
      </c>
      <c r="Q44" s="63" t="s">
        <v>212</v>
      </c>
      <c r="R44" s="63" t="s">
        <v>213</v>
      </c>
    </row>
    <row r="45" spans="1:18" ht="16.2" customHeight="1" x14ac:dyDescent="0.3">
      <c r="A45" s="63">
        <v>2021</v>
      </c>
      <c r="B45" s="63" t="s">
        <v>0</v>
      </c>
      <c r="C45" s="63" t="s">
        <v>214</v>
      </c>
      <c r="D45" s="63" t="s">
        <v>2</v>
      </c>
      <c r="E45" s="63" t="s">
        <v>215</v>
      </c>
      <c r="F45" s="63" t="s">
        <v>216</v>
      </c>
      <c r="G45" s="63" t="s">
        <v>217</v>
      </c>
      <c r="L45" s="63">
        <v>2022</v>
      </c>
      <c r="M45" s="63" t="s">
        <v>0</v>
      </c>
      <c r="N45" s="63" t="s">
        <v>214</v>
      </c>
      <c r="O45" s="63" t="s">
        <v>2</v>
      </c>
      <c r="P45" s="63" t="s">
        <v>215</v>
      </c>
      <c r="Q45" s="63" t="s">
        <v>218</v>
      </c>
      <c r="R45" s="63" t="s">
        <v>217</v>
      </c>
    </row>
    <row r="46" spans="1:18" ht="16.2" customHeight="1" x14ac:dyDescent="0.3">
      <c r="A46" s="63">
        <v>2021</v>
      </c>
      <c r="B46" s="63" t="s">
        <v>0</v>
      </c>
      <c r="C46" s="63" t="s">
        <v>219</v>
      </c>
      <c r="D46" s="63" t="s">
        <v>2</v>
      </c>
      <c r="E46" s="63" t="s">
        <v>220</v>
      </c>
      <c r="F46" s="63" t="s">
        <v>221</v>
      </c>
      <c r="G46" s="63" t="s">
        <v>222</v>
      </c>
      <c r="L46" s="63">
        <v>2022</v>
      </c>
      <c r="M46" s="63" t="s">
        <v>0</v>
      </c>
      <c r="N46" s="63" t="s">
        <v>219</v>
      </c>
      <c r="O46" s="63" t="s">
        <v>2</v>
      </c>
      <c r="P46" s="63" t="s">
        <v>220</v>
      </c>
      <c r="Q46" s="63" t="s">
        <v>223</v>
      </c>
      <c r="R46" s="63" t="s">
        <v>222</v>
      </c>
    </row>
    <row r="47" spans="1:18" ht="16.2" customHeight="1" x14ac:dyDescent="0.3">
      <c r="A47" s="63">
        <v>2021</v>
      </c>
      <c r="B47" s="63" t="s">
        <v>0</v>
      </c>
      <c r="C47" s="63" t="s">
        <v>224</v>
      </c>
      <c r="D47" s="63" t="s">
        <v>2</v>
      </c>
      <c r="E47" s="63" t="s">
        <v>225</v>
      </c>
      <c r="F47" s="63" t="s">
        <v>226</v>
      </c>
      <c r="G47" s="63" t="s">
        <v>227</v>
      </c>
      <c r="L47" s="63">
        <v>2022</v>
      </c>
      <c r="M47" s="63" t="s">
        <v>0</v>
      </c>
      <c r="N47" s="63" t="s">
        <v>224</v>
      </c>
      <c r="O47" s="63" t="s">
        <v>2</v>
      </c>
      <c r="P47" s="63" t="s">
        <v>225</v>
      </c>
      <c r="Q47" s="63" t="s">
        <v>228</v>
      </c>
      <c r="R47" s="63" t="s">
        <v>227</v>
      </c>
    </row>
    <row r="48" spans="1:18" ht="16.2" customHeight="1" x14ac:dyDescent="0.3">
      <c r="A48" s="63">
        <v>2021</v>
      </c>
      <c r="L48" s="63">
        <v>2022</v>
      </c>
      <c r="M48" s="63" t="s">
        <v>0</v>
      </c>
      <c r="N48" s="63" t="s">
        <v>229</v>
      </c>
      <c r="O48" s="63" t="s">
        <v>2</v>
      </c>
      <c r="P48" s="63" t="s">
        <v>230</v>
      </c>
      <c r="Q48" s="63" t="s">
        <v>231</v>
      </c>
      <c r="R48" s="63" t="s">
        <v>232</v>
      </c>
    </row>
    <row r="49" spans="1:18" ht="16.2" customHeight="1" x14ac:dyDescent="0.3">
      <c r="A49" s="63">
        <v>2021</v>
      </c>
      <c r="L49" s="63">
        <v>2022</v>
      </c>
      <c r="M49" s="63" t="s">
        <v>0</v>
      </c>
      <c r="N49" s="63" t="s">
        <v>233</v>
      </c>
      <c r="O49" s="63" t="s">
        <v>2</v>
      </c>
      <c r="P49" s="63" t="s">
        <v>234</v>
      </c>
      <c r="Q49" s="63" t="s">
        <v>235</v>
      </c>
      <c r="R49" s="63" t="s">
        <v>236</v>
      </c>
    </row>
    <row r="50" spans="1:18" ht="16.2" customHeight="1" x14ac:dyDescent="0.3">
      <c r="A50" s="63">
        <v>2021</v>
      </c>
      <c r="L50" s="63">
        <v>2022</v>
      </c>
      <c r="M50" s="63" t="s">
        <v>0</v>
      </c>
      <c r="N50" s="63" t="s">
        <v>237</v>
      </c>
      <c r="O50" s="63" t="s">
        <v>2</v>
      </c>
      <c r="P50" s="63" t="s">
        <v>238</v>
      </c>
      <c r="Q50" s="63" t="s">
        <v>239</v>
      </c>
      <c r="R50" s="63" t="s">
        <v>240</v>
      </c>
    </row>
    <row r="51" spans="1:18" ht="16.2" customHeight="1" x14ac:dyDescent="0.3">
      <c r="A51" s="63">
        <v>2021</v>
      </c>
      <c r="L51" s="63">
        <v>2022</v>
      </c>
      <c r="M51" s="63" t="s">
        <v>0</v>
      </c>
      <c r="N51" s="63" t="s">
        <v>241</v>
      </c>
      <c r="O51" s="63" t="s">
        <v>2</v>
      </c>
      <c r="P51" s="63" t="s">
        <v>242</v>
      </c>
      <c r="Q51" s="63" t="s">
        <v>243</v>
      </c>
      <c r="R51" s="63" t="s">
        <v>244</v>
      </c>
    </row>
    <row r="52" spans="1:18" ht="16.2" customHeight="1" x14ac:dyDescent="0.3">
      <c r="A52" s="63">
        <v>2021</v>
      </c>
      <c r="B52" s="63" t="s">
        <v>0</v>
      </c>
      <c r="C52" s="63" t="s">
        <v>245</v>
      </c>
      <c r="D52" s="63" t="s">
        <v>2</v>
      </c>
      <c r="E52" s="63" t="s">
        <v>246</v>
      </c>
      <c r="F52" s="63" t="s">
        <v>247</v>
      </c>
      <c r="G52" s="63" t="s">
        <v>248</v>
      </c>
      <c r="L52" s="63">
        <v>2022</v>
      </c>
      <c r="M52" s="63" t="s">
        <v>0</v>
      </c>
      <c r="N52" s="63" t="s">
        <v>245</v>
      </c>
      <c r="O52" s="63" t="s">
        <v>2</v>
      </c>
      <c r="P52" s="63" t="s">
        <v>246</v>
      </c>
      <c r="Q52" s="63" t="s">
        <v>249</v>
      </c>
      <c r="R52" s="63" t="s">
        <v>248</v>
      </c>
    </row>
    <row r="53" spans="1:18" ht="16.2" customHeight="1" x14ac:dyDescent="0.3">
      <c r="A53" s="63">
        <v>2021</v>
      </c>
      <c r="B53" s="63" t="s">
        <v>0</v>
      </c>
      <c r="C53" s="63" t="s">
        <v>250</v>
      </c>
      <c r="D53" s="63" t="s">
        <v>2</v>
      </c>
      <c r="E53" s="63" t="s">
        <v>251</v>
      </c>
      <c r="F53" s="63" t="s">
        <v>252</v>
      </c>
      <c r="G53" s="63" t="s">
        <v>253</v>
      </c>
      <c r="L53" s="63">
        <v>2022</v>
      </c>
      <c r="M53" s="63" t="s">
        <v>0</v>
      </c>
      <c r="N53" s="63" t="s">
        <v>250</v>
      </c>
      <c r="O53" s="63" t="s">
        <v>2</v>
      </c>
      <c r="P53" s="63" t="s">
        <v>251</v>
      </c>
      <c r="Q53" s="63" t="s">
        <v>254</v>
      </c>
      <c r="R53" s="63" t="s">
        <v>253</v>
      </c>
    </row>
    <row r="54" spans="1:18" ht="16.2" customHeight="1" x14ac:dyDescent="0.3">
      <c r="A54" s="63">
        <v>2021</v>
      </c>
      <c r="B54" s="63" t="s">
        <v>0</v>
      </c>
      <c r="C54" s="63" t="s">
        <v>255</v>
      </c>
      <c r="D54" s="63" t="s">
        <v>2</v>
      </c>
      <c r="E54" s="63" t="s">
        <v>256</v>
      </c>
      <c r="F54" s="63" t="s">
        <v>257</v>
      </c>
      <c r="G54" s="63" t="s">
        <v>258</v>
      </c>
      <c r="L54" s="63">
        <v>2022</v>
      </c>
      <c r="M54" s="63" t="s">
        <v>0</v>
      </c>
      <c r="N54" s="63" t="s">
        <v>255</v>
      </c>
      <c r="O54" s="63" t="s">
        <v>2</v>
      </c>
      <c r="P54" s="63" t="s">
        <v>256</v>
      </c>
      <c r="Q54" s="63" t="s">
        <v>259</v>
      </c>
      <c r="R54" s="63" t="s">
        <v>258</v>
      </c>
    </row>
    <row r="55" spans="1:18" ht="16.2" customHeight="1" x14ac:dyDescent="0.3">
      <c r="A55" s="63">
        <v>2021</v>
      </c>
      <c r="B55" s="63" t="s">
        <v>0</v>
      </c>
      <c r="C55" s="63" t="s">
        <v>260</v>
      </c>
      <c r="D55" s="63" t="s">
        <v>2</v>
      </c>
      <c r="E55" s="63" t="s">
        <v>261</v>
      </c>
      <c r="F55" s="63" t="s">
        <v>262</v>
      </c>
      <c r="G55" s="63" t="s">
        <v>263</v>
      </c>
      <c r="L55" s="63">
        <v>2022</v>
      </c>
      <c r="M55" s="63" t="s">
        <v>0</v>
      </c>
      <c r="N55" s="63" t="s">
        <v>260</v>
      </c>
      <c r="O55" s="63" t="s">
        <v>2</v>
      </c>
      <c r="P55" s="63" t="s">
        <v>261</v>
      </c>
      <c r="Q55" s="63" t="s">
        <v>264</v>
      </c>
      <c r="R55" s="63" t="s">
        <v>263</v>
      </c>
    </row>
    <row r="58" spans="1:18" ht="16.2" customHeight="1" x14ac:dyDescent="0.3">
      <c r="A58" s="63">
        <v>2021</v>
      </c>
      <c r="B58" s="63" t="s">
        <v>265</v>
      </c>
      <c r="C58" s="63" t="s">
        <v>266</v>
      </c>
      <c r="D58" s="63" t="s">
        <v>2</v>
      </c>
      <c r="E58" s="63" t="s">
        <v>267</v>
      </c>
      <c r="F58" s="63" t="s">
        <v>268</v>
      </c>
      <c r="G58" s="63" t="s">
        <v>269</v>
      </c>
      <c r="L58" s="63">
        <v>2022</v>
      </c>
      <c r="M58" s="63" t="s">
        <v>265</v>
      </c>
      <c r="N58" s="63" t="s">
        <v>266</v>
      </c>
      <c r="O58" s="63" t="s">
        <v>2</v>
      </c>
      <c r="P58" s="63" t="s">
        <v>267</v>
      </c>
      <c r="Q58" s="63" t="s">
        <v>270</v>
      </c>
      <c r="R58" s="63" t="s">
        <v>271</v>
      </c>
    </row>
    <row r="59" spans="1:18" ht="16.2" customHeight="1" x14ac:dyDescent="0.3">
      <c r="A59" s="63">
        <v>2021</v>
      </c>
      <c r="B59" s="63" t="s">
        <v>265</v>
      </c>
      <c r="C59" s="63" t="s">
        <v>272</v>
      </c>
      <c r="D59" s="63" t="s">
        <v>2</v>
      </c>
      <c r="E59" s="63" t="s">
        <v>273</v>
      </c>
      <c r="F59" s="63" t="s">
        <v>274</v>
      </c>
      <c r="G59" s="63" t="s">
        <v>275</v>
      </c>
      <c r="L59" s="63">
        <v>2022</v>
      </c>
    </row>
    <row r="60" spans="1:18" ht="16.2" customHeight="1" x14ac:dyDescent="0.3">
      <c r="A60" s="63">
        <v>2021</v>
      </c>
      <c r="B60" s="63" t="s">
        <v>265</v>
      </c>
      <c r="C60" s="63" t="s">
        <v>276</v>
      </c>
      <c r="D60" s="63" t="s">
        <v>2</v>
      </c>
      <c r="E60" s="63" t="s">
        <v>277</v>
      </c>
      <c r="F60" s="63" t="s">
        <v>278</v>
      </c>
      <c r="G60" s="63" t="s">
        <v>279</v>
      </c>
      <c r="L60" s="63">
        <v>2022</v>
      </c>
    </row>
    <row r="61" spans="1:18" ht="16.2" customHeight="1" x14ac:dyDescent="0.3">
      <c r="A61" s="63">
        <v>2021</v>
      </c>
      <c r="B61" s="63" t="s">
        <v>265</v>
      </c>
      <c r="C61" s="63" t="s">
        <v>280</v>
      </c>
      <c r="D61" s="63" t="s">
        <v>2</v>
      </c>
      <c r="E61" s="63" t="s">
        <v>281</v>
      </c>
      <c r="F61" s="63" t="s">
        <v>282</v>
      </c>
      <c r="G61" s="63" t="s">
        <v>283</v>
      </c>
      <c r="L61" s="63">
        <v>2022</v>
      </c>
    </row>
    <row r="62" spans="1:18" ht="16.2" customHeight="1" x14ac:dyDescent="0.3">
      <c r="A62" s="63">
        <v>2021</v>
      </c>
      <c r="B62" s="63" t="s">
        <v>265</v>
      </c>
      <c r="C62" s="63" t="s">
        <v>284</v>
      </c>
      <c r="D62" s="63" t="s">
        <v>2</v>
      </c>
      <c r="E62" s="63" t="s">
        <v>285</v>
      </c>
      <c r="F62" s="63" t="s">
        <v>286</v>
      </c>
      <c r="G62" s="63" t="s">
        <v>287</v>
      </c>
      <c r="L62" s="63">
        <v>2022</v>
      </c>
    </row>
    <row r="63" spans="1:18" ht="16.2" customHeight="1" x14ac:dyDescent="0.3">
      <c r="A63" s="63">
        <v>2021</v>
      </c>
      <c r="B63" s="63" t="s">
        <v>265</v>
      </c>
      <c r="C63" s="63" t="s">
        <v>288</v>
      </c>
      <c r="D63" s="63" t="s">
        <v>2</v>
      </c>
      <c r="E63" s="63" t="s">
        <v>289</v>
      </c>
      <c r="F63" s="63" t="s">
        <v>290</v>
      </c>
      <c r="G63" s="63" t="s">
        <v>291</v>
      </c>
      <c r="L63" s="63">
        <v>2022</v>
      </c>
      <c r="M63" s="63" t="s">
        <v>265</v>
      </c>
      <c r="N63" s="63" t="s">
        <v>288</v>
      </c>
      <c r="O63" s="63" t="s">
        <v>2</v>
      </c>
      <c r="P63" s="63" t="s">
        <v>289</v>
      </c>
      <c r="Q63" s="63" t="s">
        <v>292</v>
      </c>
      <c r="R63" s="63" t="s">
        <v>293</v>
      </c>
    </row>
    <row r="64" spans="1:18" ht="16.2" customHeight="1" x14ac:dyDescent="0.3">
      <c r="A64" s="63">
        <v>2021</v>
      </c>
      <c r="B64" s="63" t="s">
        <v>265</v>
      </c>
      <c r="C64" s="63" t="s">
        <v>294</v>
      </c>
      <c r="D64" s="63" t="s">
        <v>2</v>
      </c>
      <c r="E64" s="63" t="s">
        <v>295</v>
      </c>
      <c r="F64" s="63" t="s">
        <v>296</v>
      </c>
      <c r="G64" s="63" t="s">
        <v>297</v>
      </c>
      <c r="L64" s="63">
        <v>2022</v>
      </c>
    </row>
    <row r="65" spans="1:18" ht="16.2" customHeight="1" x14ac:dyDescent="0.3">
      <c r="A65" s="63">
        <v>2021</v>
      </c>
      <c r="B65" s="63" t="s">
        <v>265</v>
      </c>
      <c r="C65" s="63" t="s">
        <v>298</v>
      </c>
      <c r="D65" s="63" t="s">
        <v>2</v>
      </c>
      <c r="E65" s="63" t="s">
        <v>299</v>
      </c>
      <c r="F65" s="63" t="s">
        <v>300</v>
      </c>
      <c r="G65" s="63" t="s">
        <v>301</v>
      </c>
      <c r="L65" s="63">
        <v>2022</v>
      </c>
    </row>
    <row r="66" spans="1:18" ht="16.2" customHeight="1" x14ac:dyDescent="0.3">
      <c r="A66" s="63">
        <v>2021</v>
      </c>
      <c r="B66" s="63" t="s">
        <v>265</v>
      </c>
      <c r="C66" s="63" t="s">
        <v>302</v>
      </c>
      <c r="D66" s="63" t="s">
        <v>2</v>
      </c>
      <c r="E66" s="63" t="s">
        <v>303</v>
      </c>
      <c r="F66" s="63" t="s">
        <v>304</v>
      </c>
      <c r="G66" s="63" t="s">
        <v>305</v>
      </c>
      <c r="L66" s="63">
        <v>2022</v>
      </c>
    </row>
    <row r="67" spans="1:18" ht="16.2" customHeight="1" x14ac:dyDescent="0.3">
      <c r="A67" s="63">
        <v>2021</v>
      </c>
      <c r="B67" s="63" t="s">
        <v>265</v>
      </c>
      <c r="C67" s="63" t="s">
        <v>306</v>
      </c>
      <c r="D67" s="63" t="s">
        <v>2</v>
      </c>
      <c r="E67" s="63" t="s">
        <v>307</v>
      </c>
      <c r="F67" s="63" t="s">
        <v>308</v>
      </c>
      <c r="G67" s="63" t="s">
        <v>309</v>
      </c>
      <c r="L67" s="63">
        <v>2022</v>
      </c>
    </row>
    <row r="68" spans="1:18" ht="16.2" customHeight="1" x14ac:dyDescent="0.3">
      <c r="A68" s="63">
        <v>2021</v>
      </c>
      <c r="L68" s="63">
        <v>2022</v>
      </c>
      <c r="M68" s="63" t="s">
        <v>265</v>
      </c>
      <c r="N68" s="63" t="s">
        <v>310</v>
      </c>
      <c r="O68" s="63" t="s">
        <v>2</v>
      </c>
      <c r="P68" s="63" t="s">
        <v>311</v>
      </c>
      <c r="Q68" s="63" t="s">
        <v>312</v>
      </c>
      <c r="R68" s="63" t="s">
        <v>313</v>
      </c>
    </row>
    <row r="69" spans="1:18" ht="16.2" customHeight="1" x14ac:dyDescent="0.3">
      <c r="A69" s="63">
        <v>2021</v>
      </c>
      <c r="B69" s="63" t="s">
        <v>265</v>
      </c>
      <c r="C69" s="63" t="s">
        <v>314</v>
      </c>
      <c r="D69" s="63" t="s">
        <v>2</v>
      </c>
      <c r="E69" s="63" t="s">
        <v>315</v>
      </c>
      <c r="F69" s="63" t="s">
        <v>316</v>
      </c>
      <c r="G69" s="63" t="s">
        <v>317</v>
      </c>
      <c r="L69" s="63">
        <v>2022</v>
      </c>
      <c r="M69" s="63" t="s">
        <v>265</v>
      </c>
      <c r="N69" s="63" t="s">
        <v>314</v>
      </c>
      <c r="O69" s="63" t="s">
        <v>2</v>
      </c>
      <c r="P69" s="63" t="s">
        <v>315</v>
      </c>
      <c r="Q69" s="63" t="s">
        <v>318</v>
      </c>
      <c r="R69" s="63" t="s">
        <v>319</v>
      </c>
    </row>
    <row r="70" spans="1:18" ht="16.2" customHeight="1" x14ac:dyDescent="0.3">
      <c r="A70" s="63">
        <v>2021</v>
      </c>
      <c r="B70" s="63" t="s">
        <v>265</v>
      </c>
      <c r="C70" s="63" t="s">
        <v>320</v>
      </c>
      <c r="D70" s="63" t="s">
        <v>2</v>
      </c>
      <c r="E70" s="63" t="s">
        <v>321</v>
      </c>
      <c r="F70" s="63" t="s">
        <v>322</v>
      </c>
      <c r="G70" s="63" t="s">
        <v>323</v>
      </c>
      <c r="L70" s="63">
        <v>2022</v>
      </c>
      <c r="M70" s="63" t="s">
        <v>265</v>
      </c>
      <c r="N70" s="63" t="s">
        <v>320</v>
      </c>
      <c r="O70" s="63" t="s">
        <v>2</v>
      </c>
      <c r="P70" s="63" t="s">
        <v>321</v>
      </c>
      <c r="Q70" s="63" t="s">
        <v>324</v>
      </c>
      <c r="R70" s="63" t="s">
        <v>325</v>
      </c>
    </row>
    <row r="71" spans="1:18" ht="16.2" customHeight="1" x14ac:dyDescent="0.3">
      <c r="A71" s="63">
        <v>2021</v>
      </c>
      <c r="L71" s="63">
        <v>2022</v>
      </c>
      <c r="M71" s="63" t="s">
        <v>265</v>
      </c>
      <c r="N71" s="63" t="s">
        <v>326</v>
      </c>
      <c r="O71" s="63" t="s">
        <v>2</v>
      </c>
      <c r="P71" s="63" t="s">
        <v>327</v>
      </c>
      <c r="Q71" s="63" t="s">
        <v>328</v>
      </c>
      <c r="R71" s="63" t="s">
        <v>329</v>
      </c>
    </row>
    <row r="72" spans="1:18" ht="16.2" customHeight="1" x14ac:dyDescent="0.3">
      <c r="A72" s="63">
        <v>2021</v>
      </c>
      <c r="B72" s="63" t="s">
        <v>265</v>
      </c>
      <c r="C72" s="63" t="s">
        <v>330</v>
      </c>
      <c r="D72" s="63" t="s">
        <v>2</v>
      </c>
      <c r="E72" s="63" t="s">
        <v>331</v>
      </c>
      <c r="F72" s="63" t="s">
        <v>332</v>
      </c>
      <c r="G72" s="63" t="s">
        <v>333</v>
      </c>
      <c r="L72" s="63">
        <v>2022</v>
      </c>
    </row>
    <row r="73" spans="1:18" ht="16.2" customHeight="1" x14ac:dyDescent="0.3">
      <c r="A73" s="63">
        <v>2021</v>
      </c>
      <c r="B73" s="63" t="s">
        <v>265</v>
      </c>
      <c r="C73" s="63" t="s">
        <v>334</v>
      </c>
      <c r="D73" s="63" t="s">
        <v>2</v>
      </c>
      <c r="E73" s="63" t="s">
        <v>335</v>
      </c>
      <c r="F73" s="63" t="s">
        <v>336</v>
      </c>
      <c r="G73" s="63" t="s">
        <v>337</v>
      </c>
      <c r="L73" s="63">
        <v>2022</v>
      </c>
      <c r="M73" s="63" t="s">
        <v>265</v>
      </c>
      <c r="N73" s="63" t="s">
        <v>334</v>
      </c>
      <c r="O73" s="63" t="s">
        <v>2</v>
      </c>
      <c r="P73" s="63" t="s">
        <v>335</v>
      </c>
      <c r="Q73" s="63" t="s">
        <v>338</v>
      </c>
      <c r="R73" s="63" t="s">
        <v>339</v>
      </c>
    </row>
    <row r="74" spans="1:18" ht="16.2" customHeight="1" x14ac:dyDescent="0.3">
      <c r="A74" s="63">
        <v>2021</v>
      </c>
      <c r="B74" s="63" t="s">
        <v>265</v>
      </c>
      <c r="C74" s="63" t="s">
        <v>340</v>
      </c>
      <c r="D74" s="63" t="s">
        <v>2</v>
      </c>
      <c r="E74" s="63" t="s">
        <v>341</v>
      </c>
      <c r="F74" s="63" t="s">
        <v>342</v>
      </c>
      <c r="G74" s="63" t="s">
        <v>343</v>
      </c>
      <c r="L74" s="63">
        <v>2022</v>
      </c>
      <c r="M74" s="63" t="s">
        <v>265</v>
      </c>
      <c r="N74" s="63" t="s">
        <v>340</v>
      </c>
      <c r="O74" s="63" t="s">
        <v>2</v>
      </c>
      <c r="P74" s="63" t="s">
        <v>341</v>
      </c>
      <c r="Q74" s="63" t="s">
        <v>344</v>
      </c>
      <c r="R74" s="63" t="s">
        <v>345</v>
      </c>
    </row>
    <row r="75" spans="1:18" ht="16.2" customHeight="1" x14ac:dyDescent="0.3">
      <c r="A75" s="63">
        <v>2021</v>
      </c>
      <c r="B75" s="63" t="s">
        <v>265</v>
      </c>
      <c r="C75" s="63" t="s">
        <v>346</v>
      </c>
      <c r="D75" s="63" t="s">
        <v>2</v>
      </c>
      <c r="E75" s="63" t="s">
        <v>347</v>
      </c>
      <c r="F75" s="63" t="s">
        <v>348</v>
      </c>
      <c r="G75" s="63" t="s">
        <v>349</v>
      </c>
      <c r="L75" s="63">
        <v>2022</v>
      </c>
    </row>
    <row r="76" spans="1:18" ht="16.2" customHeight="1" x14ac:dyDescent="0.3">
      <c r="A76" s="63">
        <v>2021</v>
      </c>
      <c r="B76" s="63" t="s">
        <v>265</v>
      </c>
      <c r="C76" s="63" t="s">
        <v>350</v>
      </c>
      <c r="D76" s="63" t="s">
        <v>2</v>
      </c>
      <c r="E76" s="63" t="s">
        <v>351</v>
      </c>
      <c r="F76" s="63" t="s">
        <v>352</v>
      </c>
      <c r="G76" s="63" t="s">
        <v>353</v>
      </c>
      <c r="L76" s="63">
        <v>2022</v>
      </c>
    </row>
    <row r="77" spans="1:18" ht="16.2" customHeight="1" x14ac:dyDescent="0.3">
      <c r="A77" s="63">
        <v>2021</v>
      </c>
      <c r="L77" s="63">
        <v>2022</v>
      </c>
      <c r="M77" s="63" t="s">
        <v>265</v>
      </c>
      <c r="N77" s="63" t="s">
        <v>354</v>
      </c>
      <c r="O77" s="63" t="s">
        <v>2</v>
      </c>
      <c r="P77" s="63" t="s">
        <v>355</v>
      </c>
      <c r="Q77" s="63" t="s">
        <v>356</v>
      </c>
      <c r="R77" s="63" t="s">
        <v>357</v>
      </c>
    </row>
    <row r="78" spans="1:18" ht="16.2" customHeight="1" x14ac:dyDescent="0.3">
      <c r="A78" s="63">
        <v>2021</v>
      </c>
      <c r="B78" s="63" t="s">
        <v>265</v>
      </c>
      <c r="C78" s="63" t="s">
        <v>358</v>
      </c>
      <c r="D78" s="63" t="s">
        <v>2</v>
      </c>
      <c r="E78" s="63" t="s">
        <v>359</v>
      </c>
      <c r="F78" s="63" t="s">
        <v>360</v>
      </c>
      <c r="G78" s="63" t="s">
        <v>361</v>
      </c>
      <c r="L78" s="63">
        <v>2022</v>
      </c>
      <c r="M78" s="63" t="s">
        <v>265</v>
      </c>
      <c r="N78" s="63" t="s">
        <v>358</v>
      </c>
      <c r="O78" s="63" t="s">
        <v>2</v>
      </c>
      <c r="P78" s="63" t="s">
        <v>359</v>
      </c>
      <c r="Q78" s="63" t="s">
        <v>362</v>
      </c>
      <c r="R78" s="63" t="s">
        <v>363</v>
      </c>
    </row>
    <row r="79" spans="1:18" ht="16.2" customHeight="1" x14ac:dyDescent="0.3">
      <c r="A79" s="63">
        <v>2021</v>
      </c>
      <c r="B79" s="63" t="s">
        <v>265</v>
      </c>
      <c r="C79" s="63" t="s">
        <v>364</v>
      </c>
      <c r="D79" s="63" t="s">
        <v>2</v>
      </c>
      <c r="E79" s="63" t="s">
        <v>365</v>
      </c>
      <c r="F79" s="63" t="s">
        <v>366</v>
      </c>
      <c r="G79" s="63" t="s">
        <v>367</v>
      </c>
      <c r="L79" s="63">
        <v>2022</v>
      </c>
      <c r="M79" s="63" t="s">
        <v>265</v>
      </c>
      <c r="N79" s="63" t="s">
        <v>364</v>
      </c>
      <c r="O79" s="63" t="s">
        <v>2</v>
      </c>
      <c r="P79" s="63" t="s">
        <v>365</v>
      </c>
      <c r="Q79" s="63" t="s">
        <v>368</v>
      </c>
      <c r="R79" s="63" t="s">
        <v>369</v>
      </c>
    </row>
    <row r="80" spans="1:18" ht="16.2" customHeight="1" x14ac:dyDescent="0.3">
      <c r="A80" s="63">
        <v>2021</v>
      </c>
      <c r="B80" s="63" t="s">
        <v>265</v>
      </c>
      <c r="C80" s="63" t="s">
        <v>370</v>
      </c>
      <c r="D80" s="63" t="s">
        <v>2</v>
      </c>
      <c r="E80" s="63" t="s">
        <v>371</v>
      </c>
      <c r="F80" s="63" t="s">
        <v>372</v>
      </c>
      <c r="G80" s="63" t="s">
        <v>373</v>
      </c>
      <c r="L80" s="63">
        <v>2022</v>
      </c>
      <c r="M80" s="63" t="s">
        <v>265</v>
      </c>
      <c r="N80" s="63" t="s">
        <v>370</v>
      </c>
      <c r="O80" s="63" t="s">
        <v>2</v>
      </c>
      <c r="P80" s="63" t="s">
        <v>371</v>
      </c>
      <c r="Q80" s="63" t="s">
        <v>374</v>
      </c>
      <c r="R80" s="63" t="s">
        <v>375</v>
      </c>
    </row>
    <row r="81" spans="1:23" ht="16.2" customHeight="1" x14ac:dyDescent="0.3">
      <c r="A81" s="63">
        <v>2021</v>
      </c>
      <c r="B81" s="63" t="s">
        <v>265</v>
      </c>
      <c r="C81" s="63" t="s">
        <v>376</v>
      </c>
      <c r="D81" s="63" t="s">
        <v>2</v>
      </c>
      <c r="E81" s="63" t="s">
        <v>377</v>
      </c>
      <c r="F81" s="63" t="s">
        <v>378</v>
      </c>
      <c r="G81" s="63" t="s">
        <v>379</v>
      </c>
      <c r="L81" s="63">
        <v>2022</v>
      </c>
      <c r="M81" s="63" t="s">
        <v>265</v>
      </c>
      <c r="N81" s="63" t="s">
        <v>376</v>
      </c>
      <c r="O81" s="63" t="s">
        <v>2</v>
      </c>
      <c r="P81" s="63" t="s">
        <v>380</v>
      </c>
      <c r="Q81" s="63" t="s">
        <v>381</v>
      </c>
      <c r="R81" s="63" t="s">
        <v>382</v>
      </c>
    </row>
    <row r="82" spans="1:23" ht="16.2" customHeight="1" x14ac:dyDescent="0.3">
      <c r="A82" s="63">
        <v>2021</v>
      </c>
      <c r="B82" s="63" t="s">
        <v>265</v>
      </c>
      <c r="C82" s="63" t="s">
        <v>383</v>
      </c>
      <c r="D82" s="63" t="s">
        <v>2</v>
      </c>
      <c r="E82" s="63" t="s">
        <v>384</v>
      </c>
      <c r="F82" s="63" t="s">
        <v>385</v>
      </c>
      <c r="G82" s="63" t="s">
        <v>386</v>
      </c>
      <c r="L82" s="63">
        <v>2022</v>
      </c>
      <c r="M82" s="63" t="s">
        <v>265</v>
      </c>
      <c r="N82" s="63" t="s">
        <v>383</v>
      </c>
      <c r="O82" s="63" t="s">
        <v>2</v>
      </c>
      <c r="P82" s="63" t="s">
        <v>384</v>
      </c>
      <c r="Q82" s="63" t="s">
        <v>387</v>
      </c>
      <c r="R82" s="63" t="s">
        <v>388</v>
      </c>
    </row>
    <row r="83" spans="1:23" ht="16.2" customHeight="1" x14ac:dyDescent="0.3">
      <c r="A83" s="63">
        <v>2021</v>
      </c>
      <c r="B83" s="63" t="s">
        <v>265</v>
      </c>
      <c r="C83" s="63" t="s">
        <v>389</v>
      </c>
      <c r="D83" s="63" t="s">
        <v>2</v>
      </c>
      <c r="E83" s="63" t="s">
        <v>390</v>
      </c>
      <c r="F83" s="63" t="s">
        <v>391</v>
      </c>
      <c r="G83" s="63" t="s">
        <v>392</v>
      </c>
      <c r="L83" s="63">
        <v>2022</v>
      </c>
    </row>
    <row r="84" spans="1:23" ht="16.2" customHeight="1" x14ac:dyDescent="0.3">
      <c r="A84" s="63">
        <v>2021</v>
      </c>
      <c r="B84" s="63" t="s">
        <v>265</v>
      </c>
      <c r="C84" s="63" t="s">
        <v>393</v>
      </c>
      <c r="D84" s="63" t="s">
        <v>2</v>
      </c>
      <c r="E84" s="63" t="s">
        <v>394</v>
      </c>
      <c r="F84" s="63" t="s">
        <v>395</v>
      </c>
      <c r="G84" s="63" t="s">
        <v>396</v>
      </c>
      <c r="L84" s="63">
        <v>2022</v>
      </c>
    </row>
    <row r="85" spans="1:23" ht="16.2" customHeight="1" x14ac:dyDescent="0.3">
      <c r="A85" s="63">
        <v>2021</v>
      </c>
      <c r="B85" s="63" t="s">
        <v>265</v>
      </c>
      <c r="C85" s="63" t="s">
        <v>397</v>
      </c>
      <c r="D85" s="63" t="s">
        <v>2</v>
      </c>
      <c r="E85" s="63" t="s">
        <v>398</v>
      </c>
      <c r="F85" s="63" t="s">
        <v>399</v>
      </c>
      <c r="G85" s="63" t="s">
        <v>400</v>
      </c>
      <c r="L85" s="63">
        <v>2022</v>
      </c>
      <c r="M85" s="63" t="s">
        <v>265</v>
      </c>
      <c r="N85" s="63" t="s">
        <v>397</v>
      </c>
      <c r="O85" s="63" t="s">
        <v>2</v>
      </c>
      <c r="P85" s="63" t="s">
        <v>398</v>
      </c>
      <c r="Q85" s="63" t="s">
        <v>401</v>
      </c>
      <c r="R85" s="63" t="s">
        <v>402</v>
      </c>
    </row>
    <row r="86" spans="1:23" ht="16.2" customHeight="1" x14ac:dyDescent="0.3">
      <c r="A86" s="63">
        <v>2021</v>
      </c>
      <c r="B86" s="63" t="s">
        <v>265</v>
      </c>
      <c r="C86" s="63" t="s">
        <v>403</v>
      </c>
      <c r="D86" s="63" t="s">
        <v>2</v>
      </c>
      <c r="E86" s="63" t="s">
        <v>404</v>
      </c>
      <c r="F86" s="63" t="s">
        <v>405</v>
      </c>
      <c r="G86" s="63" t="s">
        <v>406</v>
      </c>
      <c r="L86" s="63">
        <v>2022</v>
      </c>
    </row>
    <row r="87" spans="1:23" ht="16.2" customHeight="1" x14ac:dyDescent="0.3">
      <c r="A87" s="63">
        <v>2021</v>
      </c>
      <c r="B87" s="63" t="s">
        <v>265</v>
      </c>
      <c r="C87" s="63" t="s">
        <v>407</v>
      </c>
      <c r="D87" s="63" t="s">
        <v>2</v>
      </c>
      <c r="E87" s="63" t="s">
        <v>408</v>
      </c>
      <c r="F87" s="63" t="s">
        <v>409</v>
      </c>
      <c r="G87" s="63" t="s">
        <v>410</v>
      </c>
      <c r="L87" s="63">
        <v>2022</v>
      </c>
    </row>
    <row r="88" spans="1:23" ht="16.2" customHeight="1" x14ac:dyDescent="0.3">
      <c r="A88" s="63">
        <v>2021</v>
      </c>
      <c r="B88" s="63" t="s">
        <v>265</v>
      </c>
      <c r="C88" s="63" t="s">
        <v>411</v>
      </c>
      <c r="D88" s="63" t="s">
        <v>2</v>
      </c>
      <c r="E88" s="63" t="s">
        <v>412</v>
      </c>
      <c r="F88" s="63" t="s">
        <v>413</v>
      </c>
      <c r="G88" s="63" t="s">
        <v>414</v>
      </c>
      <c r="L88" s="63">
        <v>2022</v>
      </c>
      <c r="M88" s="63" t="s">
        <v>265</v>
      </c>
      <c r="N88" s="63" t="s">
        <v>411</v>
      </c>
      <c r="O88" s="63" t="s">
        <v>2</v>
      </c>
      <c r="P88" s="63" t="s">
        <v>412</v>
      </c>
      <c r="Q88" s="63" t="s">
        <v>415</v>
      </c>
      <c r="R88" s="63" t="s">
        <v>416</v>
      </c>
    </row>
    <row r="89" spans="1:23" ht="16.2" customHeight="1" x14ac:dyDescent="0.3">
      <c r="A89" s="63">
        <v>2021</v>
      </c>
      <c r="B89" s="63" t="s">
        <v>265</v>
      </c>
      <c r="C89" s="63" t="s">
        <v>417</v>
      </c>
      <c r="D89" s="63" t="s">
        <v>2</v>
      </c>
      <c r="E89" s="63" t="s">
        <v>418</v>
      </c>
      <c r="F89" s="63" t="s">
        <v>419</v>
      </c>
      <c r="G89" s="63" t="s">
        <v>420</v>
      </c>
      <c r="L89" s="63">
        <v>2022</v>
      </c>
      <c r="M89" s="63" t="s">
        <v>265</v>
      </c>
      <c r="N89" s="63" t="s">
        <v>417</v>
      </c>
      <c r="O89" s="63" t="s">
        <v>2</v>
      </c>
      <c r="P89" s="63" t="s">
        <v>418</v>
      </c>
      <c r="Q89" s="63" t="s">
        <v>421</v>
      </c>
      <c r="R89" s="63" t="s">
        <v>422</v>
      </c>
    </row>
    <row r="90" spans="1:23" ht="16.2" customHeight="1" x14ac:dyDescent="0.3">
      <c r="A90" s="63">
        <v>2021</v>
      </c>
      <c r="L90" s="63">
        <v>2022</v>
      </c>
      <c r="M90" s="63" t="s">
        <v>265</v>
      </c>
      <c r="N90" s="63" t="s">
        <v>423</v>
      </c>
      <c r="O90" s="63" t="s">
        <v>2</v>
      </c>
      <c r="P90" s="63" t="s">
        <v>424</v>
      </c>
      <c r="Q90" s="63" t="s">
        <v>425</v>
      </c>
      <c r="R90" s="63" t="s">
        <v>426</v>
      </c>
    </row>
    <row r="91" spans="1:23" ht="16.2" customHeight="1" x14ac:dyDescent="0.3">
      <c r="A91" s="63">
        <v>2021</v>
      </c>
      <c r="L91" s="63">
        <v>2022</v>
      </c>
      <c r="M91" s="63" t="s">
        <v>265</v>
      </c>
      <c r="N91" s="63" t="s">
        <v>427</v>
      </c>
      <c r="O91" s="63" t="s">
        <v>2</v>
      </c>
      <c r="P91" s="63" t="s">
        <v>428</v>
      </c>
      <c r="Q91" s="63" t="s">
        <v>429</v>
      </c>
      <c r="R91" s="63" t="s">
        <v>430</v>
      </c>
    </row>
    <row r="92" spans="1:23" ht="16.2" customHeight="1" x14ac:dyDescent="0.3">
      <c r="A92" s="63">
        <v>2021</v>
      </c>
      <c r="L92" s="63">
        <v>2022</v>
      </c>
      <c r="M92" s="63" t="s">
        <v>265</v>
      </c>
      <c r="N92" s="63" t="s">
        <v>431</v>
      </c>
      <c r="O92" s="63" t="s">
        <v>2</v>
      </c>
      <c r="P92" s="63" t="s">
        <v>432</v>
      </c>
      <c r="Q92" s="63" t="s">
        <v>433</v>
      </c>
      <c r="R92" s="63" t="s">
        <v>434</v>
      </c>
    </row>
    <row r="93" spans="1:23" ht="16.2" customHeight="1" x14ac:dyDescent="0.3">
      <c r="A93" s="63">
        <v>2021</v>
      </c>
      <c r="L93" s="63">
        <v>2022</v>
      </c>
      <c r="M93" s="63" t="s">
        <v>265</v>
      </c>
      <c r="N93" s="63" t="s">
        <v>435</v>
      </c>
      <c r="O93" s="63" t="s">
        <v>2</v>
      </c>
      <c r="P93" s="63" t="s">
        <v>436</v>
      </c>
      <c r="Q93" s="63" t="s">
        <v>437</v>
      </c>
      <c r="R93" s="63" t="s">
        <v>438</v>
      </c>
    </row>
    <row r="96" spans="1:23" ht="16.2" customHeight="1" x14ac:dyDescent="0.3">
      <c r="A96" s="63">
        <v>2021</v>
      </c>
      <c r="B96" s="63" t="s">
        <v>439</v>
      </c>
      <c r="C96" s="63" t="s">
        <v>440</v>
      </c>
      <c r="D96" s="63" t="s">
        <v>2</v>
      </c>
      <c r="E96" s="63" t="s">
        <v>441</v>
      </c>
      <c r="F96" s="63" t="s">
        <v>442</v>
      </c>
      <c r="G96" s="63" t="s">
        <v>443</v>
      </c>
      <c r="L96" s="63">
        <v>2022</v>
      </c>
      <c r="M96" s="63" t="s">
        <v>439</v>
      </c>
      <c r="N96" s="63" t="s">
        <v>492</v>
      </c>
      <c r="O96" s="63" t="s">
        <v>2</v>
      </c>
      <c r="P96" s="63" t="s">
        <v>493</v>
      </c>
      <c r="Q96" s="63" t="s">
        <v>494</v>
      </c>
      <c r="R96" s="63" t="s">
        <v>495</v>
      </c>
      <c r="S96" s="63" t="s">
        <v>582</v>
      </c>
      <c r="T96" s="63" t="s">
        <v>2</v>
      </c>
      <c r="U96" s="63" t="s">
        <v>493</v>
      </c>
      <c r="V96" s="63" t="s">
        <v>583</v>
      </c>
      <c r="W96" s="63" t="s">
        <v>584</v>
      </c>
    </row>
    <row r="97" spans="1:24" ht="16.2" customHeight="1" x14ac:dyDescent="0.3">
      <c r="A97" s="63">
        <v>2021</v>
      </c>
      <c r="B97" s="63" t="s">
        <v>439</v>
      </c>
      <c r="C97" s="63" t="s">
        <v>444</v>
      </c>
      <c r="D97" s="63" t="s">
        <v>2</v>
      </c>
      <c r="E97" s="63" t="s">
        <v>445</v>
      </c>
      <c r="F97" s="63" t="s">
        <v>446</v>
      </c>
      <c r="G97" s="63" t="s">
        <v>447</v>
      </c>
      <c r="L97" s="63">
        <v>2022</v>
      </c>
      <c r="S97" s="63" t="s">
        <v>623</v>
      </c>
      <c r="T97" s="63" t="s">
        <v>2</v>
      </c>
      <c r="U97" s="63" t="s">
        <v>624</v>
      </c>
      <c r="V97" s="63" t="s">
        <v>625</v>
      </c>
      <c r="W97" s="63" t="s">
        <v>626</v>
      </c>
    </row>
    <row r="98" spans="1:24" ht="16.2" customHeight="1" x14ac:dyDescent="0.3">
      <c r="A98" s="63">
        <v>2021</v>
      </c>
      <c r="B98" s="63" t="s">
        <v>439</v>
      </c>
      <c r="C98" s="63" t="s">
        <v>448</v>
      </c>
      <c r="D98" s="63" t="s">
        <v>2</v>
      </c>
      <c r="E98" s="63" t="s">
        <v>449</v>
      </c>
      <c r="F98" s="63" t="s">
        <v>450</v>
      </c>
      <c r="G98" s="63" t="s">
        <v>451</v>
      </c>
      <c r="L98" s="63">
        <v>2022</v>
      </c>
      <c r="S98" s="63" t="s">
        <v>734</v>
      </c>
      <c r="T98" s="63" t="s">
        <v>2</v>
      </c>
      <c r="U98" s="63" t="s">
        <v>735</v>
      </c>
      <c r="V98" s="63" t="s">
        <v>736</v>
      </c>
      <c r="W98" s="63" t="s">
        <v>737</v>
      </c>
    </row>
    <row r="99" spans="1:24" ht="16.2" customHeight="1" x14ac:dyDescent="0.3">
      <c r="A99" s="63">
        <v>2021</v>
      </c>
      <c r="B99" s="63" t="s">
        <v>439</v>
      </c>
      <c r="C99" s="63" t="s">
        <v>452</v>
      </c>
      <c r="D99" s="63" t="s">
        <v>2</v>
      </c>
      <c r="E99" s="63" t="s">
        <v>453</v>
      </c>
      <c r="F99" s="63" t="s">
        <v>454</v>
      </c>
      <c r="G99" s="63" t="s">
        <v>455</v>
      </c>
      <c r="L99" s="63">
        <v>2022</v>
      </c>
      <c r="M99" s="63" t="s">
        <v>439</v>
      </c>
      <c r="N99" s="63" t="s">
        <v>544</v>
      </c>
      <c r="O99" s="63" t="s">
        <v>2</v>
      </c>
      <c r="P99" s="63" t="s">
        <v>545</v>
      </c>
      <c r="Q99" s="63" t="s">
        <v>546</v>
      </c>
      <c r="R99" s="63" t="s">
        <v>547</v>
      </c>
      <c r="S99" s="63" t="s">
        <v>657</v>
      </c>
      <c r="T99" s="63" t="s">
        <v>2</v>
      </c>
      <c r="U99" s="63" t="s">
        <v>658</v>
      </c>
      <c r="V99" s="63" t="s">
        <v>659</v>
      </c>
      <c r="W99" s="63" t="s">
        <v>660</v>
      </c>
    </row>
    <row r="100" spans="1:24" ht="16.2" customHeight="1" x14ac:dyDescent="0.3">
      <c r="A100" s="63">
        <v>2021</v>
      </c>
      <c r="B100" s="63" t="s">
        <v>439</v>
      </c>
      <c r="C100" s="63" t="s">
        <v>456</v>
      </c>
      <c r="D100" s="63" t="s">
        <v>2</v>
      </c>
      <c r="E100" s="63" t="s">
        <v>457</v>
      </c>
      <c r="F100" s="63" t="s">
        <v>458</v>
      </c>
      <c r="G100" s="63" t="s">
        <v>459</v>
      </c>
      <c r="L100" s="63">
        <v>2022</v>
      </c>
      <c r="S100" s="268" t="s">
        <v>685</v>
      </c>
      <c r="T100" s="268" t="s">
        <v>2</v>
      </c>
      <c r="U100" s="268" t="s">
        <v>686</v>
      </c>
      <c r="V100" s="268" t="s">
        <v>687</v>
      </c>
      <c r="W100" s="268" t="s">
        <v>688</v>
      </c>
      <c r="X100" s="268"/>
    </row>
    <row r="101" spans="1:24" ht="16.2" customHeight="1" x14ac:dyDescent="0.3">
      <c r="A101" s="63">
        <v>2021</v>
      </c>
      <c r="B101" s="63" t="s">
        <v>439</v>
      </c>
      <c r="C101" s="63" t="s">
        <v>460</v>
      </c>
      <c r="D101" s="63" t="s">
        <v>2</v>
      </c>
      <c r="E101" s="63" t="s">
        <v>461</v>
      </c>
      <c r="F101" s="63" t="s">
        <v>462</v>
      </c>
      <c r="G101" s="63" t="s">
        <v>463</v>
      </c>
      <c r="L101" s="63">
        <v>2022</v>
      </c>
      <c r="M101" s="63" t="s">
        <v>439</v>
      </c>
      <c r="N101" s="63" t="s">
        <v>520</v>
      </c>
      <c r="O101" s="63" t="s">
        <v>2</v>
      </c>
      <c r="P101" s="63" t="s">
        <v>521</v>
      </c>
      <c r="Q101" s="63" t="s">
        <v>522</v>
      </c>
      <c r="R101" s="63" t="s">
        <v>523</v>
      </c>
      <c r="S101" s="63" t="s">
        <v>596</v>
      </c>
      <c r="T101" s="63" t="s">
        <v>2</v>
      </c>
      <c r="U101" s="63" t="s">
        <v>521</v>
      </c>
      <c r="V101" s="63" t="s">
        <v>597</v>
      </c>
      <c r="W101" s="63" t="s">
        <v>598</v>
      </c>
    </row>
    <row r="102" spans="1:24" ht="16.2" customHeight="1" x14ac:dyDescent="0.3">
      <c r="A102" s="63">
        <v>2021</v>
      </c>
      <c r="B102" s="63" t="s">
        <v>439</v>
      </c>
      <c r="C102" s="63" t="s">
        <v>464</v>
      </c>
      <c r="D102" s="63" t="s">
        <v>2</v>
      </c>
      <c r="E102" s="63" t="s">
        <v>465</v>
      </c>
      <c r="F102" s="63" t="s">
        <v>466</v>
      </c>
      <c r="G102" s="63" t="s">
        <v>467</v>
      </c>
      <c r="L102" s="63">
        <v>2022</v>
      </c>
      <c r="M102" s="63" t="s">
        <v>439</v>
      </c>
      <c r="N102" s="63" t="s">
        <v>496</v>
      </c>
      <c r="O102" s="63" t="s">
        <v>2</v>
      </c>
      <c r="P102" s="63" t="s">
        <v>497</v>
      </c>
      <c r="Q102" s="63" t="s">
        <v>498</v>
      </c>
      <c r="R102" s="63" t="s">
        <v>499</v>
      </c>
      <c r="S102" s="63" t="s">
        <v>661</v>
      </c>
      <c r="T102" s="63" t="s">
        <v>2</v>
      </c>
      <c r="U102" s="63" t="s">
        <v>662</v>
      </c>
      <c r="V102" s="63" t="s">
        <v>663</v>
      </c>
      <c r="W102" s="63" t="s">
        <v>664</v>
      </c>
    </row>
    <row r="103" spans="1:24" ht="16.2" customHeight="1" x14ac:dyDescent="0.3">
      <c r="A103" s="63">
        <v>2021</v>
      </c>
      <c r="B103" s="63" t="s">
        <v>439</v>
      </c>
      <c r="C103" s="63" t="s">
        <v>468</v>
      </c>
      <c r="D103" s="63" t="s">
        <v>2</v>
      </c>
      <c r="E103" s="63" t="s">
        <v>469</v>
      </c>
      <c r="F103" s="63" t="s">
        <v>470</v>
      </c>
      <c r="G103" s="63" t="s">
        <v>471</v>
      </c>
      <c r="L103" s="63">
        <v>2022</v>
      </c>
      <c r="S103" s="63" t="s">
        <v>715</v>
      </c>
      <c r="T103" s="63" t="s">
        <v>2</v>
      </c>
      <c r="U103" s="63" t="s">
        <v>716</v>
      </c>
      <c r="V103" s="63" t="s">
        <v>717</v>
      </c>
      <c r="W103" s="63" t="s">
        <v>718</v>
      </c>
    </row>
    <row r="104" spans="1:24" ht="16.2" customHeight="1" x14ac:dyDescent="0.3">
      <c r="A104" s="63">
        <v>2021</v>
      </c>
      <c r="B104" s="63" t="s">
        <v>439</v>
      </c>
      <c r="C104" s="63" t="s">
        <v>472</v>
      </c>
      <c r="D104" s="63" t="s">
        <v>2</v>
      </c>
      <c r="E104" s="63" t="s">
        <v>473</v>
      </c>
      <c r="F104" s="63" t="s">
        <v>474</v>
      </c>
      <c r="G104" s="63" t="s">
        <v>475</v>
      </c>
      <c r="L104" s="63">
        <v>2022</v>
      </c>
      <c r="M104" s="63" t="s">
        <v>439</v>
      </c>
      <c r="N104" s="63" t="s">
        <v>524</v>
      </c>
      <c r="O104" s="63" t="s">
        <v>2</v>
      </c>
      <c r="P104" s="63" t="s">
        <v>525</v>
      </c>
      <c r="Q104" s="63" t="s">
        <v>526</v>
      </c>
      <c r="R104" s="63" t="s">
        <v>527</v>
      </c>
      <c r="S104" s="63" t="s">
        <v>627</v>
      </c>
      <c r="T104" s="63" t="s">
        <v>2</v>
      </c>
      <c r="U104" s="63" t="s">
        <v>525</v>
      </c>
      <c r="V104" s="63" t="s">
        <v>628</v>
      </c>
      <c r="W104" s="63" t="s">
        <v>629</v>
      </c>
    </row>
    <row r="105" spans="1:24" ht="16.2" customHeight="1" x14ac:dyDescent="0.3">
      <c r="A105" s="63">
        <v>2021</v>
      </c>
      <c r="B105" s="63" t="s">
        <v>439</v>
      </c>
      <c r="C105" s="63" t="s">
        <v>476</v>
      </c>
      <c r="D105" s="63" t="s">
        <v>2</v>
      </c>
      <c r="E105" s="63" t="s">
        <v>477</v>
      </c>
      <c r="F105" s="63" t="s">
        <v>478</v>
      </c>
      <c r="G105" s="63" t="s">
        <v>479</v>
      </c>
      <c r="L105" s="63">
        <v>2022</v>
      </c>
      <c r="M105" s="63" t="s">
        <v>439</v>
      </c>
      <c r="N105" s="63" t="s">
        <v>480</v>
      </c>
      <c r="O105" s="63" t="s">
        <v>2</v>
      </c>
      <c r="P105" s="63" t="s">
        <v>481</v>
      </c>
      <c r="Q105" s="63" t="s">
        <v>482</v>
      </c>
      <c r="R105" s="63" t="s">
        <v>483</v>
      </c>
      <c r="S105" s="63" t="s">
        <v>562</v>
      </c>
      <c r="T105" s="63" t="s">
        <v>2</v>
      </c>
      <c r="U105" s="63" t="s">
        <v>563</v>
      </c>
      <c r="V105" s="63" t="s">
        <v>564</v>
      </c>
      <c r="W105" s="63" t="s">
        <v>565</v>
      </c>
    </row>
    <row r="106" spans="1:24" ht="16.2" customHeight="1" x14ac:dyDescent="0.3">
      <c r="A106" s="63">
        <v>2021</v>
      </c>
      <c r="L106" s="63">
        <v>2022</v>
      </c>
      <c r="S106" s="63" t="s">
        <v>738</v>
      </c>
      <c r="T106" s="63" t="s">
        <v>2</v>
      </c>
      <c r="U106" s="63" t="s">
        <v>739</v>
      </c>
      <c r="V106" s="63" t="s">
        <v>740</v>
      </c>
      <c r="W106" s="63" t="s">
        <v>741</v>
      </c>
    </row>
    <row r="107" spans="1:24" ht="16.2" customHeight="1" x14ac:dyDescent="0.3">
      <c r="A107" s="63">
        <v>2021</v>
      </c>
      <c r="L107" s="63">
        <v>2022</v>
      </c>
      <c r="S107" s="63" t="s">
        <v>743</v>
      </c>
      <c r="T107" s="63" t="s">
        <v>2</v>
      </c>
      <c r="U107" s="63" t="s">
        <v>744</v>
      </c>
      <c r="V107" s="63" t="s">
        <v>745</v>
      </c>
      <c r="W107" s="63" t="s">
        <v>746</v>
      </c>
    </row>
    <row r="108" spans="1:24" ht="16.2" customHeight="1" x14ac:dyDescent="0.3">
      <c r="A108" s="63">
        <v>2021</v>
      </c>
      <c r="L108" s="63">
        <v>2022</v>
      </c>
      <c r="M108" s="268" t="s">
        <v>439</v>
      </c>
      <c r="N108" s="268" t="s">
        <v>504</v>
      </c>
      <c r="O108" s="268" t="s">
        <v>2</v>
      </c>
      <c r="P108" s="268" t="s">
        <v>505</v>
      </c>
      <c r="Q108" s="268" t="s">
        <v>506</v>
      </c>
      <c r="R108" s="268" t="s">
        <v>507</v>
      </c>
      <c r="S108" s="63" t="s">
        <v>578</v>
      </c>
      <c r="T108" s="63" t="s">
        <v>2</v>
      </c>
      <c r="U108" s="63" t="s">
        <v>579</v>
      </c>
      <c r="V108" s="63" t="s">
        <v>580</v>
      </c>
      <c r="W108" s="63" t="s">
        <v>581</v>
      </c>
    </row>
    <row r="109" spans="1:24" ht="16.2" customHeight="1" x14ac:dyDescent="0.3">
      <c r="A109" s="63">
        <v>2021</v>
      </c>
      <c r="L109" s="268">
        <v>2022</v>
      </c>
      <c r="S109" s="63" t="s">
        <v>693</v>
      </c>
      <c r="T109" s="63" t="s">
        <v>2</v>
      </c>
      <c r="U109" s="63" t="s">
        <v>694</v>
      </c>
      <c r="V109" s="63" t="s">
        <v>695</v>
      </c>
      <c r="W109" s="63" t="s">
        <v>696</v>
      </c>
    </row>
    <row r="110" spans="1:24" ht="16.2" customHeight="1" x14ac:dyDescent="0.3">
      <c r="A110" s="63">
        <v>2021</v>
      </c>
      <c r="L110" s="268">
        <v>2022</v>
      </c>
      <c r="S110" s="63" t="s">
        <v>697</v>
      </c>
      <c r="T110" s="63" t="s">
        <v>2</v>
      </c>
      <c r="U110" s="63" t="s">
        <v>698</v>
      </c>
      <c r="V110" s="63" t="s">
        <v>699</v>
      </c>
      <c r="W110" s="63" t="s">
        <v>700</v>
      </c>
    </row>
    <row r="111" spans="1:24" ht="16.2" customHeight="1" x14ac:dyDescent="0.3">
      <c r="A111" s="63">
        <v>2021</v>
      </c>
      <c r="L111" s="268">
        <v>2022</v>
      </c>
      <c r="M111" s="268" t="s">
        <v>439</v>
      </c>
      <c r="N111" s="268" t="s">
        <v>508</v>
      </c>
      <c r="O111" s="268" t="s">
        <v>2</v>
      </c>
      <c r="P111" s="268" t="s">
        <v>509</v>
      </c>
      <c r="Q111" s="268" t="s">
        <v>510</v>
      </c>
      <c r="R111" s="268" t="s">
        <v>511</v>
      </c>
      <c r="S111" s="63" t="s">
        <v>681</v>
      </c>
      <c r="T111" s="63" t="s">
        <v>2</v>
      </c>
      <c r="U111" s="63" t="s">
        <v>682</v>
      </c>
      <c r="V111" s="63" t="s">
        <v>683</v>
      </c>
      <c r="W111" s="63" t="s">
        <v>684</v>
      </c>
    </row>
    <row r="112" spans="1:24" ht="16.2" customHeight="1" x14ac:dyDescent="0.3">
      <c r="A112" s="63">
        <v>2021</v>
      </c>
      <c r="L112" s="268">
        <v>2022</v>
      </c>
      <c r="M112" s="63" t="s">
        <v>439</v>
      </c>
      <c r="N112" s="63" t="s">
        <v>512</v>
      </c>
      <c r="O112" s="63" t="s">
        <v>2</v>
      </c>
      <c r="P112" s="63" t="s">
        <v>513</v>
      </c>
      <c r="Q112" s="63" t="s">
        <v>514</v>
      </c>
      <c r="R112" s="63" t="s">
        <v>515</v>
      </c>
      <c r="S112" s="268" t="s">
        <v>570</v>
      </c>
      <c r="T112" s="268" t="s">
        <v>2</v>
      </c>
      <c r="U112" s="268" t="s">
        <v>571</v>
      </c>
      <c r="V112" s="268" t="s">
        <v>572</v>
      </c>
      <c r="W112" s="268" t="s">
        <v>573</v>
      </c>
    </row>
    <row r="113" spans="1:23" ht="16.2" customHeight="1" x14ac:dyDescent="0.3">
      <c r="A113" s="63">
        <v>2021</v>
      </c>
      <c r="L113" s="268">
        <v>2022</v>
      </c>
      <c r="S113" s="268" t="s">
        <v>672</v>
      </c>
      <c r="T113" s="268" t="s">
        <v>2</v>
      </c>
      <c r="U113" s="268" t="s">
        <v>673</v>
      </c>
      <c r="V113" s="268" t="s">
        <v>674</v>
      </c>
      <c r="W113" s="268" t="s">
        <v>675</v>
      </c>
    </row>
    <row r="114" spans="1:23" ht="16.2" customHeight="1" x14ac:dyDescent="0.3">
      <c r="A114" s="63">
        <v>2021</v>
      </c>
      <c r="L114" s="268">
        <v>2022</v>
      </c>
      <c r="S114" s="63" t="s">
        <v>689</v>
      </c>
      <c r="T114" s="63" t="s">
        <v>2</v>
      </c>
      <c r="U114" s="63" t="s">
        <v>690</v>
      </c>
      <c r="V114" s="63" t="s">
        <v>691</v>
      </c>
      <c r="W114" s="63" t="s">
        <v>692</v>
      </c>
    </row>
    <row r="115" spans="1:23" ht="16.2" customHeight="1" x14ac:dyDescent="0.3">
      <c r="A115" s="63">
        <v>2021</v>
      </c>
      <c r="L115" s="268">
        <v>2022</v>
      </c>
      <c r="M115" s="63" t="s">
        <v>439</v>
      </c>
      <c r="N115" s="63" t="s">
        <v>719</v>
      </c>
      <c r="O115" s="63" t="s">
        <v>2</v>
      </c>
      <c r="P115" s="63" t="s">
        <v>723</v>
      </c>
      <c r="Q115" s="63" t="s">
        <v>724</v>
      </c>
      <c r="R115" s="63" t="s">
        <v>725</v>
      </c>
      <c r="S115" s="63" t="s">
        <v>719</v>
      </c>
      <c r="T115" s="63" t="s">
        <v>2</v>
      </c>
      <c r="U115" s="63" t="s">
        <v>720</v>
      </c>
      <c r="V115" s="63" t="s">
        <v>721</v>
      </c>
      <c r="W115" s="63" t="s">
        <v>722</v>
      </c>
    </row>
    <row r="116" spans="1:23" ht="16.2" customHeight="1" x14ac:dyDescent="0.3">
      <c r="A116" s="63">
        <v>2021</v>
      </c>
      <c r="L116" s="268">
        <v>2022</v>
      </c>
      <c r="M116" s="63" t="s">
        <v>439</v>
      </c>
      <c r="N116" s="63" t="s">
        <v>484</v>
      </c>
      <c r="O116" s="63" t="s">
        <v>2</v>
      </c>
      <c r="P116" s="63" t="s">
        <v>485</v>
      </c>
      <c r="Q116" s="63" t="s">
        <v>486</v>
      </c>
      <c r="R116" s="63" t="s">
        <v>487</v>
      </c>
      <c r="S116" s="63" t="s">
        <v>701</v>
      </c>
      <c r="T116" s="63" t="s">
        <v>2</v>
      </c>
      <c r="U116" s="63" t="s">
        <v>702</v>
      </c>
      <c r="V116" s="63" t="s">
        <v>703</v>
      </c>
      <c r="W116" s="63" t="s">
        <v>704</v>
      </c>
    </row>
    <row r="117" spans="1:23" ht="16.2" customHeight="1" x14ac:dyDescent="0.3">
      <c r="A117" s="63">
        <v>2021</v>
      </c>
      <c r="L117" s="63">
        <v>2022</v>
      </c>
      <c r="M117" s="63" t="s">
        <v>439</v>
      </c>
      <c r="N117" s="63" t="s">
        <v>608</v>
      </c>
      <c r="O117" s="63" t="s">
        <v>2</v>
      </c>
      <c r="P117" s="63" t="s">
        <v>609</v>
      </c>
      <c r="Q117" s="63" t="s">
        <v>612</v>
      </c>
      <c r="R117" s="63" t="s">
        <v>613</v>
      </c>
      <c r="S117" s="63" t="s">
        <v>608</v>
      </c>
      <c r="T117" s="63" t="s">
        <v>2</v>
      </c>
      <c r="U117" s="63" t="s">
        <v>609</v>
      </c>
      <c r="V117" s="63" t="s">
        <v>610</v>
      </c>
      <c r="W117" s="63" t="s">
        <v>611</v>
      </c>
    </row>
    <row r="118" spans="1:23" ht="16.2" customHeight="1" x14ac:dyDescent="0.3">
      <c r="A118" s="63">
        <v>2021</v>
      </c>
      <c r="L118" s="63">
        <v>2022</v>
      </c>
      <c r="M118" s="63" t="s">
        <v>439</v>
      </c>
      <c r="N118" s="63" t="s">
        <v>528</v>
      </c>
      <c r="O118" s="63" t="s">
        <v>2</v>
      </c>
      <c r="P118" s="63" t="s">
        <v>529</v>
      </c>
      <c r="Q118" s="63" t="s">
        <v>530</v>
      </c>
      <c r="R118" s="63" t="s">
        <v>531</v>
      </c>
      <c r="S118" s="63" t="s">
        <v>566</v>
      </c>
      <c r="T118" s="63" t="s">
        <v>2</v>
      </c>
      <c r="U118" s="63" t="s">
        <v>567</v>
      </c>
      <c r="V118" s="63" t="s">
        <v>568</v>
      </c>
      <c r="W118" s="63" t="s">
        <v>569</v>
      </c>
    </row>
    <row r="119" spans="1:23" ht="16.2" customHeight="1" x14ac:dyDescent="0.3">
      <c r="A119" s="63">
        <v>2021</v>
      </c>
      <c r="L119" s="63">
        <v>2022</v>
      </c>
      <c r="S119" s="63" t="s">
        <v>669</v>
      </c>
      <c r="T119" s="63" t="s">
        <v>2</v>
      </c>
      <c r="U119" s="63" t="s">
        <v>529</v>
      </c>
      <c r="V119" s="63" t="s">
        <v>670</v>
      </c>
      <c r="W119" s="63" t="s">
        <v>671</v>
      </c>
    </row>
    <row r="120" spans="1:23" ht="16.2" customHeight="1" x14ac:dyDescent="0.3">
      <c r="A120" s="63">
        <v>2021</v>
      </c>
      <c r="L120" s="63">
        <v>2022</v>
      </c>
      <c r="M120" s="63" t="s">
        <v>439</v>
      </c>
      <c r="N120" s="63" t="s">
        <v>540</v>
      </c>
      <c r="O120" s="63" t="s">
        <v>2</v>
      </c>
      <c r="P120" s="63" t="s">
        <v>541</v>
      </c>
      <c r="Q120" s="63" t="s">
        <v>542</v>
      </c>
      <c r="R120" s="63" t="s">
        <v>543</v>
      </c>
      <c r="S120" s="63" t="s">
        <v>712</v>
      </c>
      <c r="T120" s="63" t="s">
        <v>2</v>
      </c>
      <c r="U120" s="63" t="s">
        <v>541</v>
      </c>
      <c r="V120" s="63" t="s">
        <v>713</v>
      </c>
      <c r="W120" s="63" t="s">
        <v>714</v>
      </c>
    </row>
    <row r="121" spans="1:23" ht="16.2" customHeight="1" x14ac:dyDescent="0.3">
      <c r="A121" s="63">
        <v>2021</v>
      </c>
      <c r="L121" s="63">
        <v>2022</v>
      </c>
      <c r="M121" s="63" t="s">
        <v>439</v>
      </c>
      <c r="N121" s="63" t="s">
        <v>591</v>
      </c>
      <c r="O121" s="63" t="s">
        <v>2</v>
      </c>
      <c r="P121" s="63" t="s">
        <v>592</v>
      </c>
      <c r="Q121" s="63" t="s">
        <v>593</v>
      </c>
      <c r="R121" s="63" t="s">
        <v>595</v>
      </c>
      <c r="S121" s="63" t="s">
        <v>591</v>
      </c>
      <c r="T121" s="63" t="s">
        <v>2</v>
      </c>
      <c r="U121" s="63" t="s">
        <v>592</v>
      </c>
      <c r="V121" s="63" t="s">
        <v>593</v>
      </c>
      <c r="W121" s="63" t="s">
        <v>594</v>
      </c>
    </row>
    <row r="122" spans="1:23" ht="16.2" customHeight="1" x14ac:dyDescent="0.3">
      <c r="A122" s="63">
        <v>2021</v>
      </c>
      <c r="L122" s="63">
        <v>2022</v>
      </c>
      <c r="M122" s="63" t="s">
        <v>439</v>
      </c>
      <c r="N122" s="63" t="s">
        <v>552</v>
      </c>
      <c r="O122" s="63" t="s">
        <v>2</v>
      </c>
      <c r="P122" s="63" t="s">
        <v>553</v>
      </c>
      <c r="Q122" s="63" t="s">
        <v>554</v>
      </c>
      <c r="R122" s="63" t="s">
        <v>555</v>
      </c>
      <c r="S122" s="63" t="s">
        <v>708</v>
      </c>
      <c r="T122" s="63" t="s">
        <v>2</v>
      </c>
      <c r="U122" s="63" t="s">
        <v>709</v>
      </c>
      <c r="V122" s="63" t="s">
        <v>710</v>
      </c>
      <c r="W122" s="63" t="s">
        <v>711</v>
      </c>
    </row>
    <row r="123" spans="1:23" ht="16.2" customHeight="1" x14ac:dyDescent="0.3">
      <c r="A123" s="63">
        <v>2021</v>
      </c>
      <c r="L123" s="63">
        <v>2022</v>
      </c>
      <c r="S123" s="63" t="s">
        <v>726</v>
      </c>
      <c r="T123" s="63" t="s">
        <v>2</v>
      </c>
      <c r="U123" s="63" t="s">
        <v>727</v>
      </c>
      <c r="V123" s="63" t="s">
        <v>728</v>
      </c>
      <c r="W123" s="63" t="s">
        <v>729</v>
      </c>
    </row>
    <row r="124" spans="1:23" ht="16.2" customHeight="1" x14ac:dyDescent="0.3">
      <c r="A124" s="63">
        <v>2021</v>
      </c>
      <c r="L124" s="63">
        <v>2022</v>
      </c>
      <c r="M124" s="63" t="s">
        <v>439</v>
      </c>
      <c r="N124" s="63" t="s">
        <v>532</v>
      </c>
      <c r="O124" s="63" t="s">
        <v>2</v>
      </c>
      <c r="P124" s="63" t="s">
        <v>533</v>
      </c>
      <c r="Q124" s="63" t="s">
        <v>534</v>
      </c>
      <c r="R124" s="63" t="s">
        <v>535</v>
      </c>
      <c r="S124" s="63" t="s">
        <v>599</v>
      </c>
      <c r="T124" s="63" t="s">
        <v>2</v>
      </c>
      <c r="U124" s="63" t="s">
        <v>600</v>
      </c>
      <c r="V124" s="63" t="s">
        <v>601</v>
      </c>
      <c r="W124" s="63" t="s">
        <v>602</v>
      </c>
    </row>
    <row r="125" spans="1:23" ht="16.2" customHeight="1" x14ac:dyDescent="0.3">
      <c r="A125" s="63">
        <v>2021</v>
      </c>
      <c r="B125" s="63" t="s">
        <v>439</v>
      </c>
      <c r="L125" s="63">
        <v>2022</v>
      </c>
      <c r="S125" s="63" t="s">
        <v>665</v>
      </c>
      <c r="T125" s="63" t="s">
        <v>2</v>
      </c>
      <c r="U125" s="63" t="s">
        <v>666</v>
      </c>
      <c r="V125" s="63" t="s">
        <v>667</v>
      </c>
      <c r="W125" s="63" t="s">
        <v>668</v>
      </c>
    </row>
    <row r="126" spans="1:23" ht="16.2" customHeight="1" x14ac:dyDescent="0.3">
      <c r="A126" s="63">
        <v>2021</v>
      </c>
      <c r="B126" s="63" t="s">
        <v>439</v>
      </c>
      <c r="L126" s="63">
        <v>2022</v>
      </c>
      <c r="M126" s="63" t="s">
        <v>439</v>
      </c>
      <c r="N126" s="63" t="s">
        <v>536</v>
      </c>
      <c r="O126" s="63" t="s">
        <v>2</v>
      </c>
      <c r="P126" s="63" t="s">
        <v>537</v>
      </c>
      <c r="Q126" s="63" t="s">
        <v>538</v>
      </c>
      <c r="R126" s="63" t="s">
        <v>539</v>
      </c>
      <c r="S126" s="63" t="s">
        <v>705</v>
      </c>
      <c r="T126" s="63" t="s">
        <v>2</v>
      </c>
      <c r="U126" s="63" t="s">
        <v>537</v>
      </c>
      <c r="V126" s="63" t="s">
        <v>706</v>
      </c>
      <c r="W126" s="63" t="s">
        <v>707</v>
      </c>
    </row>
    <row r="127" spans="1:23" ht="16.2" customHeight="1" x14ac:dyDescent="0.3">
      <c r="A127" s="63">
        <v>2021</v>
      </c>
      <c r="B127" s="63" t="s">
        <v>439</v>
      </c>
      <c r="L127" s="63">
        <v>2022</v>
      </c>
      <c r="M127" s="63" t="s">
        <v>439</v>
      </c>
      <c r="N127" s="63" t="s">
        <v>614</v>
      </c>
      <c r="O127" s="63" t="s">
        <v>2</v>
      </c>
      <c r="P127" s="63" t="s">
        <v>615</v>
      </c>
      <c r="Q127" s="63" t="s">
        <v>616</v>
      </c>
      <c r="R127" s="63" t="s">
        <v>618</v>
      </c>
      <c r="S127" s="63" t="s">
        <v>614</v>
      </c>
      <c r="T127" s="63" t="s">
        <v>2</v>
      </c>
      <c r="U127" s="63" t="s">
        <v>615</v>
      </c>
      <c r="V127" s="63" t="s">
        <v>616</v>
      </c>
      <c r="W127" s="63" t="s">
        <v>617</v>
      </c>
    </row>
    <row r="128" spans="1:23" ht="16.2" customHeight="1" x14ac:dyDescent="0.3">
      <c r="A128" s="63">
        <v>2021</v>
      </c>
      <c r="B128" s="63" t="s">
        <v>439</v>
      </c>
      <c r="L128" s="63">
        <v>2022</v>
      </c>
      <c r="M128" s="63" t="s">
        <v>439</v>
      </c>
      <c r="N128" s="63" t="s">
        <v>500</v>
      </c>
      <c r="O128" s="63" t="s">
        <v>2</v>
      </c>
      <c r="P128" s="63" t="s">
        <v>501</v>
      </c>
      <c r="Q128" s="63" t="s">
        <v>502</v>
      </c>
      <c r="R128" s="63" t="s">
        <v>503</v>
      </c>
      <c r="S128" s="63" t="s">
        <v>619</v>
      </c>
      <c r="T128" s="63" t="s">
        <v>2</v>
      </c>
      <c r="U128" s="63" t="s">
        <v>620</v>
      </c>
      <c r="V128" s="63" t="s">
        <v>621</v>
      </c>
      <c r="W128" s="63" t="s">
        <v>622</v>
      </c>
    </row>
    <row r="129" spans="1:23" ht="16.2" customHeight="1" x14ac:dyDescent="0.3">
      <c r="A129" s="63">
        <v>2021</v>
      </c>
      <c r="B129" s="63" t="s">
        <v>439</v>
      </c>
      <c r="L129" s="63">
        <v>2022</v>
      </c>
      <c r="S129" s="63" t="s">
        <v>730</v>
      </c>
      <c r="T129" s="63" t="s">
        <v>2</v>
      </c>
      <c r="U129" s="63" t="s">
        <v>731</v>
      </c>
      <c r="V129" s="63" t="s">
        <v>732</v>
      </c>
      <c r="W129" s="63" t="s">
        <v>733</v>
      </c>
    </row>
    <row r="130" spans="1:23" ht="16.2" customHeight="1" x14ac:dyDescent="0.3">
      <c r="A130" s="63">
        <v>2021</v>
      </c>
      <c r="B130" s="63" t="s">
        <v>439</v>
      </c>
      <c r="L130" s="63">
        <v>2022</v>
      </c>
      <c r="M130" s="63" t="s">
        <v>439</v>
      </c>
      <c r="N130" s="63" t="s">
        <v>676</v>
      </c>
      <c r="O130" s="63" t="s">
        <v>2</v>
      </c>
      <c r="P130" s="63" t="s">
        <v>677</v>
      </c>
      <c r="Q130" s="63" t="s">
        <v>678</v>
      </c>
      <c r="R130" s="63" t="s">
        <v>680</v>
      </c>
      <c r="S130" s="63" t="s">
        <v>676</v>
      </c>
      <c r="T130" s="63" t="s">
        <v>2</v>
      </c>
      <c r="U130" s="63" t="s">
        <v>677</v>
      </c>
      <c r="V130" s="63" t="s">
        <v>678</v>
      </c>
      <c r="W130" s="63" t="s">
        <v>679</v>
      </c>
    </row>
    <row r="131" spans="1:23" ht="16.2" customHeight="1" x14ac:dyDescent="0.3">
      <c r="A131" s="63">
        <v>2021</v>
      </c>
      <c r="L131" s="63">
        <v>2022</v>
      </c>
      <c r="M131" s="63" t="s">
        <v>439</v>
      </c>
      <c r="N131" s="63" t="s">
        <v>585</v>
      </c>
      <c r="O131" s="63" t="s">
        <v>2</v>
      </c>
      <c r="P131" s="63" t="s">
        <v>586</v>
      </c>
      <c r="Q131" s="63" t="s">
        <v>589</v>
      </c>
      <c r="R131" s="63" t="s">
        <v>590</v>
      </c>
      <c r="S131" s="63" t="s">
        <v>585</v>
      </c>
      <c r="T131" s="63" t="s">
        <v>2</v>
      </c>
      <c r="U131" s="63" t="s">
        <v>586</v>
      </c>
      <c r="V131" s="63" t="s">
        <v>587</v>
      </c>
      <c r="W131" s="63" t="s">
        <v>588</v>
      </c>
    </row>
    <row r="132" spans="1:23" ht="16.2" customHeight="1" x14ac:dyDescent="0.3">
      <c r="A132" s="63">
        <v>2021</v>
      </c>
      <c r="B132" s="63" t="s">
        <v>439</v>
      </c>
      <c r="L132" s="63">
        <v>2022</v>
      </c>
      <c r="M132" s="63" t="s">
        <v>439</v>
      </c>
      <c r="N132" s="63" t="s">
        <v>556</v>
      </c>
      <c r="O132" s="63" t="s">
        <v>2</v>
      </c>
      <c r="P132" s="63" t="s">
        <v>557</v>
      </c>
      <c r="Q132" s="63" t="s">
        <v>560</v>
      </c>
      <c r="R132" s="63" t="s">
        <v>561</v>
      </c>
      <c r="S132" s="63" t="s">
        <v>556</v>
      </c>
      <c r="T132" s="63" t="s">
        <v>2</v>
      </c>
      <c r="U132" s="63" t="s">
        <v>557</v>
      </c>
      <c r="V132" s="63" t="s">
        <v>558</v>
      </c>
      <c r="W132" s="63" t="s">
        <v>559</v>
      </c>
    </row>
    <row r="133" spans="1:23" ht="16.2" customHeight="1" x14ac:dyDescent="0.3">
      <c r="A133" s="63">
        <v>2021</v>
      </c>
      <c r="B133" s="63" t="s">
        <v>439</v>
      </c>
      <c r="L133" s="63">
        <v>2022</v>
      </c>
      <c r="M133" s="63" t="s">
        <v>439</v>
      </c>
      <c r="N133" s="63" t="s">
        <v>648</v>
      </c>
      <c r="O133" s="63" t="s">
        <v>2</v>
      </c>
      <c r="P133" s="63" t="s">
        <v>649</v>
      </c>
      <c r="Q133" s="63" t="s">
        <v>652</v>
      </c>
      <c r="R133" s="63" t="s">
        <v>653</v>
      </c>
      <c r="S133" s="63" t="s">
        <v>648</v>
      </c>
      <c r="T133" s="63" t="s">
        <v>2</v>
      </c>
      <c r="U133" s="63" t="s">
        <v>649</v>
      </c>
      <c r="V133" s="63" t="s">
        <v>650</v>
      </c>
      <c r="W133" s="63" t="s">
        <v>651</v>
      </c>
    </row>
    <row r="134" spans="1:23" ht="16.2" customHeight="1" x14ac:dyDescent="0.3">
      <c r="A134" s="63">
        <v>2021</v>
      </c>
      <c r="B134" s="63" t="s">
        <v>439</v>
      </c>
      <c r="L134" s="63">
        <v>2022</v>
      </c>
      <c r="M134" s="63" t="s">
        <v>439</v>
      </c>
      <c r="N134" s="63" t="s">
        <v>636</v>
      </c>
      <c r="O134" s="63" t="s">
        <v>2</v>
      </c>
      <c r="P134" s="63" t="s">
        <v>637</v>
      </c>
      <c r="Q134" s="63" t="s">
        <v>640</v>
      </c>
      <c r="R134" s="63" t="s">
        <v>641</v>
      </c>
      <c r="S134" s="63" t="s">
        <v>636</v>
      </c>
      <c r="T134" s="63" t="s">
        <v>2</v>
      </c>
      <c r="U134" s="63" t="s">
        <v>637</v>
      </c>
      <c r="V134" s="63" t="s">
        <v>638</v>
      </c>
      <c r="W134" s="63" t="s">
        <v>639</v>
      </c>
    </row>
    <row r="135" spans="1:23" ht="16.2" customHeight="1" x14ac:dyDescent="0.3">
      <c r="A135" s="63">
        <v>2021</v>
      </c>
      <c r="B135" s="63" t="s">
        <v>439</v>
      </c>
      <c r="L135" s="63">
        <v>2022</v>
      </c>
      <c r="M135" s="63" t="s">
        <v>439</v>
      </c>
      <c r="N135" s="63" t="s">
        <v>548</v>
      </c>
      <c r="O135" s="63" t="s">
        <v>2</v>
      </c>
      <c r="P135" s="63" t="s">
        <v>549</v>
      </c>
      <c r="Q135" s="63" t="s">
        <v>550</v>
      </c>
      <c r="R135" s="63" t="s">
        <v>551</v>
      </c>
      <c r="S135" s="63" t="s">
        <v>654</v>
      </c>
      <c r="T135" s="63" t="s">
        <v>2</v>
      </c>
      <c r="U135" s="63" t="s">
        <v>549</v>
      </c>
      <c r="V135" s="63" t="s">
        <v>655</v>
      </c>
      <c r="W135" s="63" t="s">
        <v>656</v>
      </c>
    </row>
    <row r="136" spans="1:23" ht="16.2" customHeight="1" x14ac:dyDescent="0.3">
      <c r="A136" s="63">
        <v>2021</v>
      </c>
      <c r="B136" s="63" t="s">
        <v>439</v>
      </c>
      <c r="L136" s="63">
        <v>2022</v>
      </c>
      <c r="M136" s="63" t="s">
        <v>439</v>
      </c>
      <c r="N136" s="63" t="s">
        <v>488</v>
      </c>
      <c r="O136" s="63" t="s">
        <v>2</v>
      </c>
      <c r="P136" s="63" t="s">
        <v>489</v>
      </c>
      <c r="Q136" s="63" t="s">
        <v>490</v>
      </c>
      <c r="R136" s="63" t="s">
        <v>491</v>
      </c>
    </row>
    <row r="137" spans="1:23" ht="16.2" customHeight="1" x14ac:dyDescent="0.3">
      <c r="A137" s="63">
        <v>2021</v>
      </c>
      <c r="B137" s="63" t="s">
        <v>439</v>
      </c>
      <c r="L137" s="63">
        <v>2022</v>
      </c>
      <c r="M137" s="63" t="s">
        <v>439</v>
      </c>
      <c r="N137" s="63" t="s">
        <v>642</v>
      </c>
      <c r="O137" s="63" t="s">
        <v>2</v>
      </c>
      <c r="P137" s="63" t="s">
        <v>643</v>
      </c>
      <c r="Q137" s="63" t="s">
        <v>646</v>
      </c>
      <c r="R137" s="63" t="s">
        <v>647</v>
      </c>
      <c r="S137" s="63" t="s">
        <v>642</v>
      </c>
      <c r="T137" s="63" t="s">
        <v>2</v>
      </c>
      <c r="U137" s="63" t="s">
        <v>643</v>
      </c>
      <c r="V137" s="63" t="s">
        <v>644</v>
      </c>
      <c r="W137" s="63" t="s">
        <v>645</v>
      </c>
    </row>
    <row r="138" spans="1:23" ht="16.2" customHeight="1" x14ac:dyDescent="0.3">
      <c r="A138" s="63">
        <v>2021</v>
      </c>
      <c r="B138" s="63" t="s">
        <v>439</v>
      </c>
      <c r="L138" s="63">
        <v>2022</v>
      </c>
      <c r="M138" s="63" t="s">
        <v>439</v>
      </c>
      <c r="N138" s="63" t="s">
        <v>603</v>
      </c>
      <c r="O138" s="63" t="s">
        <v>2</v>
      </c>
      <c r="P138" s="63" t="s">
        <v>604</v>
      </c>
      <c r="Q138" s="63" t="s">
        <v>605</v>
      </c>
      <c r="R138" s="63" t="s">
        <v>607</v>
      </c>
      <c r="S138" s="63" t="s">
        <v>603</v>
      </c>
      <c r="T138" s="63" t="s">
        <v>2</v>
      </c>
      <c r="U138" s="63" t="s">
        <v>604</v>
      </c>
      <c r="V138" s="63" t="s">
        <v>605</v>
      </c>
      <c r="W138" s="63" t="s">
        <v>606</v>
      </c>
    </row>
    <row r="139" spans="1:23" ht="16.2" customHeight="1" x14ac:dyDescent="0.3">
      <c r="A139" s="63">
        <v>2021</v>
      </c>
      <c r="B139" s="63" t="s">
        <v>439</v>
      </c>
      <c r="L139" s="63">
        <v>2022</v>
      </c>
      <c r="M139" s="63" t="s">
        <v>439</v>
      </c>
      <c r="N139" s="63" t="s">
        <v>630</v>
      </c>
      <c r="O139" s="63" t="s">
        <v>2</v>
      </c>
      <c r="P139" s="63" t="s">
        <v>631</v>
      </c>
      <c r="Q139" s="63" t="s">
        <v>634</v>
      </c>
      <c r="R139" s="63" t="s">
        <v>635</v>
      </c>
      <c r="S139" s="63" t="s">
        <v>630</v>
      </c>
      <c r="T139" s="63" t="s">
        <v>2</v>
      </c>
      <c r="U139" s="63" t="s">
        <v>631</v>
      </c>
      <c r="V139" s="63" t="s">
        <v>632</v>
      </c>
      <c r="W139" s="63" t="s">
        <v>633</v>
      </c>
    </row>
    <row r="140" spans="1:23" ht="16.2" customHeight="1" x14ac:dyDescent="0.3">
      <c r="A140" s="63">
        <v>2021</v>
      </c>
      <c r="B140" s="63" t="s">
        <v>439</v>
      </c>
      <c r="L140" s="63">
        <v>2022</v>
      </c>
      <c r="M140" s="63" t="s">
        <v>439</v>
      </c>
      <c r="N140" s="63" t="s">
        <v>516</v>
      </c>
      <c r="O140" s="63" t="s">
        <v>2</v>
      </c>
      <c r="P140" s="63" t="s">
        <v>517</v>
      </c>
      <c r="Q140" s="63" t="s">
        <v>518</v>
      </c>
      <c r="R140" s="63" t="s">
        <v>519</v>
      </c>
      <c r="S140" s="63" t="s">
        <v>574</v>
      </c>
      <c r="T140" s="63" t="s">
        <v>2</v>
      </c>
      <c r="U140" s="63" t="s">
        <v>575</v>
      </c>
      <c r="V140" s="63" t="s">
        <v>576</v>
      </c>
      <c r="W140" s="63" t="s">
        <v>577</v>
      </c>
    </row>
    <row r="141" spans="1:23" ht="16.2" customHeight="1" x14ac:dyDescent="0.3">
      <c r="A141" s="63">
        <v>2021</v>
      </c>
      <c r="B141" s="63" t="s">
        <v>439</v>
      </c>
      <c r="L141" s="63">
        <v>2022</v>
      </c>
    </row>
    <row r="142" spans="1:23" ht="16.2" customHeight="1" x14ac:dyDescent="0.3">
      <c r="A142" s="63">
        <v>2021</v>
      </c>
      <c r="B142" s="63" t="s">
        <v>439</v>
      </c>
      <c r="L142" s="63">
        <v>2022</v>
      </c>
    </row>
    <row r="143" spans="1:23" ht="16.2" customHeight="1" x14ac:dyDescent="0.3">
      <c r="A143" s="63">
        <v>2021</v>
      </c>
      <c r="B143" s="63" t="s">
        <v>439</v>
      </c>
      <c r="L143" s="63">
        <v>2022</v>
      </c>
    </row>
    <row r="144" spans="1:23" ht="16.2" customHeight="1" x14ac:dyDescent="0.3">
      <c r="A144" s="63">
        <v>2021</v>
      </c>
      <c r="B144" s="63" t="s">
        <v>439</v>
      </c>
      <c r="L144" s="63">
        <v>2022</v>
      </c>
    </row>
    <row r="145" spans="1:12" ht="16.2" customHeight="1" x14ac:dyDescent="0.3">
      <c r="A145" s="63">
        <v>2021</v>
      </c>
      <c r="B145" s="63" t="s">
        <v>439</v>
      </c>
      <c r="L145" s="63">
        <v>2022</v>
      </c>
    </row>
    <row r="146" spans="1:12" ht="16.2" customHeight="1" x14ac:dyDescent="0.3">
      <c r="A146" s="63">
        <v>2021</v>
      </c>
      <c r="B146" s="63" t="s">
        <v>439</v>
      </c>
      <c r="L146" s="63">
        <v>2022</v>
      </c>
    </row>
    <row r="147" spans="1:12" ht="16.2" customHeight="1" x14ac:dyDescent="0.3">
      <c r="A147" s="63">
        <v>2021</v>
      </c>
      <c r="L147" s="63">
        <v>2022</v>
      </c>
    </row>
    <row r="148" spans="1:12" ht="16.2" customHeight="1" x14ac:dyDescent="0.3">
      <c r="A148" s="63">
        <v>2021</v>
      </c>
      <c r="B148" s="63" t="s">
        <v>439</v>
      </c>
      <c r="L148" s="63">
        <v>2022</v>
      </c>
    </row>
    <row r="149" spans="1:12" ht="16.2" customHeight="1" x14ac:dyDescent="0.3">
      <c r="A149" s="63">
        <v>2021</v>
      </c>
      <c r="B149" s="63" t="s">
        <v>439</v>
      </c>
      <c r="L149" s="63">
        <v>2022</v>
      </c>
    </row>
    <row r="150" spans="1:12" ht="16.2" customHeight="1" x14ac:dyDescent="0.3">
      <c r="A150" s="63">
        <v>2021</v>
      </c>
      <c r="B150" s="63" t="s">
        <v>439</v>
      </c>
      <c r="L150" s="63">
        <v>2022</v>
      </c>
    </row>
    <row r="151" spans="1:12" ht="16.2" customHeight="1" x14ac:dyDescent="0.3">
      <c r="A151" s="63">
        <v>2021</v>
      </c>
      <c r="B151" s="63" t="s">
        <v>439</v>
      </c>
      <c r="L151" s="63">
        <v>2022</v>
      </c>
    </row>
    <row r="152" spans="1:12" ht="16.2" customHeight="1" x14ac:dyDescent="0.3">
      <c r="A152" s="63">
        <v>2021</v>
      </c>
      <c r="B152" s="63" t="s">
        <v>439</v>
      </c>
      <c r="L152" s="63">
        <v>2022</v>
      </c>
    </row>
    <row r="153" spans="1:12" ht="16.2" customHeight="1" x14ac:dyDescent="0.3">
      <c r="A153" s="63">
        <v>2021</v>
      </c>
      <c r="B153" s="63" t="s">
        <v>439</v>
      </c>
      <c r="L153" s="63">
        <v>2022</v>
      </c>
    </row>
    <row r="154" spans="1:12" ht="16.2" customHeight="1" x14ac:dyDescent="0.3">
      <c r="A154" s="63">
        <v>2021</v>
      </c>
      <c r="B154" s="63" t="s">
        <v>439</v>
      </c>
      <c r="L154" s="63">
        <v>2022</v>
      </c>
    </row>
    <row r="155" spans="1:12" ht="16.2" customHeight="1" x14ac:dyDescent="0.3">
      <c r="A155" s="63">
        <v>2021</v>
      </c>
      <c r="B155" s="63" t="s">
        <v>439</v>
      </c>
      <c r="L155" s="63">
        <v>2022</v>
      </c>
    </row>
    <row r="156" spans="1:12" ht="16.2" customHeight="1" x14ac:dyDescent="0.3">
      <c r="A156" s="63">
        <v>2021</v>
      </c>
      <c r="B156" s="63" t="s">
        <v>439</v>
      </c>
      <c r="L156" s="63">
        <v>2022</v>
      </c>
    </row>
    <row r="157" spans="1:12" ht="16.2" customHeight="1" x14ac:dyDescent="0.3">
      <c r="A157" s="63">
        <v>2021</v>
      </c>
      <c r="B157" s="63" t="s">
        <v>439</v>
      </c>
      <c r="L157" s="63">
        <v>2022</v>
      </c>
    </row>
    <row r="158" spans="1:12" ht="16.2" customHeight="1" x14ac:dyDescent="0.3">
      <c r="A158" s="63">
        <v>2021</v>
      </c>
      <c r="B158" s="63" t="s">
        <v>439</v>
      </c>
      <c r="L158" s="63">
        <v>2022</v>
      </c>
    </row>
    <row r="159" spans="1:12" ht="16.2" customHeight="1" x14ac:dyDescent="0.3">
      <c r="A159" s="63">
        <v>2021</v>
      </c>
      <c r="B159" s="63" t="s">
        <v>439</v>
      </c>
      <c r="L159" s="63">
        <v>2022</v>
      </c>
    </row>
    <row r="160" spans="1:12" ht="16.2" customHeight="1" x14ac:dyDescent="0.3">
      <c r="A160" s="63">
        <v>2021</v>
      </c>
      <c r="B160" s="63" t="s">
        <v>439</v>
      </c>
      <c r="L160" s="63">
        <v>2022</v>
      </c>
    </row>
    <row r="161" spans="1:18" ht="16.2" customHeight="1" x14ac:dyDescent="0.3">
      <c r="A161" s="63">
        <v>2021</v>
      </c>
      <c r="B161" s="63" t="s">
        <v>439</v>
      </c>
      <c r="L161" s="63">
        <v>2022</v>
      </c>
    </row>
    <row r="162" spans="1:18" ht="16.2" customHeight="1" x14ac:dyDescent="0.3">
      <c r="A162" s="63">
        <v>2021</v>
      </c>
      <c r="B162" s="63" t="s">
        <v>439</v>
      </c>
      <c r="L162" s="63">
        <v>2022</v>
      </c>
    </row>
    <row r="163" spans="1:18" ht="16.2" customHeight="1" x14ac:dyDescent="0.3">
      <c r="A163" s="63">
        <v>2021</v>
      </c>
      <c r="B163" s="63" t="s">
        <v>439</v>
      </c>
      <c r="L163" s="63">
        <v>2022</v>
      </c>
    </row>
    <row r="164" spans="1:18" ht="16.2" customHeight="1" x14ac:dyDescent="0.3">
      <c r="A164" s="63">
        <v>2021</v>
      </c>
      <c r="B164" s="63" t="s">
        <v>439</v>
      </c>
      <c r="L164" s="63">
        <v>2022</v>
      </c>
    </row>
    <row r="165" spans="1:18" ht="16.2" customHeight="1" x14ac:dyDescent="0.3">
      <c r="A165" s="63">
        <v>2021</v>
      </c>
      <c r="B165" s="63" t="s">
        <v>439</v>
      </c>
      <c r="L165" s="63">
        <v>2022</v>
      </c>
    </row>
    <row r="166" spans="1:18" ht="16.2" customHeight="1" x14ac:dyDescent="0.3">
      <c r="A166" s="63">
        <v>2021</v>
      </c>
      <c r="B166" s="63" t="s">
        <v>439</v>
      </c>
      <c r="L166" s="63">
        <v>2022</v>
      </c>
    </row>
    <row r="167" spans="1:18" ht="16.2" customHeight="1" x14ac:dyDescent="0.3">
      <c r="A167" s="63">
        <v>2021</v>
      </c>
      <c r="B167" s="63" t="s">
        <v>439</v>
      </c>
      <c r="L167" s="63">
        <v>2022</v>
      </c>
    </row>
    <row r="168" spans="1:18" ht="16.2" customHeight="1" x14ac:dyDescent="0.3">
      <c r="A168" s="63">
        <v>2021</v>
      </c>
      <c r="B168" s="63" t="s">
        <v>439</v>
      </c>
      <c r="L168" s="63">
        <v>2022</v>
      </c>
    </row>
    <row r="169" spans="1:18" ht="16.2" customHeight="1" x14ac:dyDescent="0.3">
      <c r="A169" s="63">
        <v>2021</v>
      </c>
      <c r="B169" s="63" t="s">
        <v>439</v>
      </c>
      <c r="L169" s="63">
        <v>2022</v>
      </c>
      <c r="N169" s="63" t="s">
        <v>2808</v>
      </c>
    </row>
    <row r="172" spans="1:18" ht="16.2" customHeight="1" x14ac:dyDescent="0.3">
      <c r="A172" s="63">
        <v>2021</v>
      </c>
      <c r="B172" s="63" t="s">
        <v>747</v>
      </c>
      <c r="C172" s="63" t="s">
        <v>748</v>
      </c>
      <c r="D172" s="63" t="s">
        <v>2</v>
      </c>
      <c r="E172" s="63" t="s">
        <v>749</v>
      </c>
      <c r="F172" s="63" t="s">
        <v>750</v>
      </c>
      <c r="G172" s="63" t="s">
        <v>751</v>
      </c>
      <c r="L172" s="63">
        <v>2022</v>
      </c>
      <c r="M172" s="63" t="s">
        <v>747</v>
      </c>
      <c r="N172" s="63" t="s">
        <v>748</v>
      </c>
      <c r="O172" s="63" t="s">
        <v>2</v>
      </c>
      <c r="P172" s="63" t="s">
        <v>749</v>
      </c>
      <c r="Q172" s="63" t="s">
        <v>752</v>
      </c>
      <c r="R172" s="63" t="s">
        <v>751</v>
      </c>
    </row>
    <row r="173" spans="1:18" ht="16.2" customHeight="1" x14ac:dyDescent="0.3">
      <c r="A173" s="63">
        <v>2021</v>
      </c>
      <c r="B173" s="63" t="s">
        <v>747</v>
      </c>
      <c r="C173" s="63" t="s">
        <v>753</v>
      </c>
      <c r="D173" s="63" t="s">
        <v>2</v>
      </c>
      <c r="E173" s="63" t="s">
        <v>754</v>
      </c>
      <c r="F173" s="63" t="s">
        <v>755</v>
      </c>
      <c r="G173" s="63" t="s">
        <v>756</v>
      </c>
      <c r="L173" s="63">
        <v>2022</v>
      </c>
      <c r="M173" s="63" t="s">
        <v>747</v>
      </c>
      <c r="N173" s="63" t="s">
        <v>753</v>
      </c>
      <c r="O173" s="63" t="s">
        <v>2</v>
      </c>
      <c r="P173" s="63" t="s">
        <v>754</v>
      </c>
      <c r="Q173" s="63" t="s">
        <v>757</v>
      </c>
      <c r="R173" s="63" t="s">
        <v>756</v>
      </c>
    </row>
    <row r="174" spans="1:18" ht="16.2" customHeight="1" x14ac:dyDescent="0.3">
      <c r="A174" s="63">
        <v>2021</v>
      </c>
      <c r="B174" s="63" t="s">
        <v>747</v>
      </c>
      <c r="C174" s="63" t="s">
        <v>758</v>
      </c>
      <c r="D174" s="63" t="s">
        <v>2</v>
      </c>
      <c r="E174" s="63" t="s">
        <v>759</v>
      </c>
      <c r="F174" s="63" t="s">
        <v>760</v>
      </c>
      <c r="G174" s="63" t="s">
        <v>761</v>
      </c>
      <c r="L174" s="63">
        <v>2022</v>
      </c>
      <c r="M174" s="63" t="s">
        <v>747</v>
      </c>
      <c r="N174" s="63" t="s">
        <v>758</v>
      </c>
      <c r="O174" s="63" t="s">
        <v>2</v>
      </c>
      <c r="P174" s="63" t="s">
        <v>759</v>
      </c>
      <c r="Q174" s="63" t="s">
        <v>760</v>
      </c>
      <c r="R174" s="63" t="s">
        <v>761</v>
      </c>
    </row>
    <row r="175" spans="1:18" ht="16.2" customHeight="1" x14ac:dyDescent="0.3">
      <c r="A175" s="63">
        <v>2021</v>
      </c>
      <c r="B175" s="63" t="s">
        <v>747</v>
      </c>
      <c r="C175" s="63" t="s">
        <v>762</v>
      </c>
      <c r="D175" s="63" t="s">
        <v>2</v>
      </c>
      <c r="E175" s="63" t="s">
        <v>763</v>
      </c>
      <c r="F175" s="63" t="s">
        <v>764</v>
      </c>
      <c r="G175" s="63" t="s">
        <v>765</v>
      </c>
      <c r="L175" s="63">
        <v>2022</v>
      </c>
      <c r="M175" s="63" t="s">
        <v>747</v>
      </c>
      <c r="N175" s="63" t="s">
        <v>762</v>
      </c>
      <c r="O175" s="63" t="s">
        <v>2</v>
      </c>
      <c r="P175" s="63" t="s">
        <v>763</v>
      </c>
      <c r="Q175" s="63" t="s">
        <v>766</v>
      </c>
      <c r="R175" s="63" t="s">
        <v>765</v>
      </c>
    </row>
    <row r="176" spans="1:18" ht="16.2" customHeight="1" x14ac:dyDescent="0.3">
      <c r="A176" s="63">
        <v>2021</v>
      </c>
      <c r="B176" s="63" t="s">
        <v>747</v>
      </c>
      <c r="C176" s="63" t="s">
        <v>767</v>
      </c>
      <c r="D176" s="63" t="s">
        <v>2</v>
      </c>
      <c r="E176" s="63" t="s">
        <v>768</v>
      </c>
      <c r="F176" s="63" t="s">
        <v>769</v>
      </c>
      <c r="G176" s="63" t="s">
        <v>770</v>
      </c>
      <c r="L176" s="63">
        <v>2022</v>
      </c>
      <c r="M176" s="63" t="s">
        <v>747</v>
      </c>
      <c r="N176" s="63" t="s">
        <v>767</v>
      </c>
      <c r="O176" s="63" t="s">
        <v>2</v>
      </c>
      <c r="P176" s="63" t="s">
        <v>768</v>
      </c>
      <c r="Q176" s="63" t="s">
        <v>769</v>
      </c>
      <c r="R176" s="63" t="s">
        <v>770</v>
      </c>
    </row>
    <row r="177" spans="1:18" ht="16.2" customHeight="1" x14ac:dyDescent="0.3">
      <c r="A177" s="63">
        <v>2021</v>
      </c>
      <c r="B177" s="63" t="s">
        <v>747</v>
      </c>
      <c r="C177" s="63" t="s">
        <v>771</v>
      </c>
      <c r="D177" s="63" t="s">
        <v>2</v>
      </c>
      <c r="E177" s="63" t="s">
        <v>772</v>
      </c>
      <c r="F177" s="63" t="s">
        <v>773</v>
      </c>
      <c r="G177" s="63" t="s">
        <v>774</v>
      </c>
      <c r="L177" s="63">
        <v>2022</v>
      </c>
      <c r="M177" s="63" t="s">
        <v>747</v>
      </c>
      <c r="N177" s="63" t="s">
        <v>771</v>
      </c>
      <c r="O177" s="63" t="s">
        <v>2</v>
      </c>
      <c r="P177" s="63" t="s">
        <v>772</v>
      </c>
      <c r="Q177" s="63" t="s">
        <v>775</v>
      </c>
      <c r="R177" s="63" t="s">
        <v>774</v>
      </c>
    </row>
    <row r="178" spans="1:18" ht="16.2" customHeight="1" x14ac:dyDescent="0.3">
      <c r="A178" s="63">
        <v>2021</v>
      </c>
      <c r="B178" s="63" t="s">
        <v>747</v>
      </c>
      <c r="C178" s="63" t="s">
        <v>776</v>
      </c>
      <c r="D178" s="63" t="s">
        <v>2</v>
      </c>
      <c r="E178" s="63" t="s">
        <v>777</v>
      </c>
      <c r="F178" s="63" t="s">
        <v>778</v>
      </c>
      <c r="G178" s="63" t="s">
        <v>779</v>
      </c>
      <c r="L178" s="63">
        <v>2022</v>
      </c>
      <c r="M178" s="63" t="s">
        <v>747</v>
      </c>
      <c r="N178" s="63" t="s">
        <v>776</v>
      </c>
      <c r="O178" s="63" t="s">
        <v>2</v>
      </c>
      <c r="P178" s="63" t="s">
        <v>777</v>
      </c>
      <c r="Q178" s="63" t="s">
        <v>780</v>
      </c>
      <c r="R178" s="63" t="s">
        <v>779</v>
      </c>
    </row>
    <row r="179" spans="1:18" ht="16.2" customHeight="1" x14ac:dyDescent="0.3">
      <c r="A179" s="63">
        <v>2021</v>
      </c>
      <c r="B179" s="63" t="s">
        <v>747</v>
      </c>
      <c r="C179" s="63" t="s">
        <v>781</v>
      </c>
      <c r="D179" s="63" t="s">
        <v>2</v>
      </c>
      <c r="E179" s="63" t="s">
        <v>782</v>
      </c>
      <c r="F179" s="63" t="s">
        <v>783</v>
      </c>
      <c r="G179" s="63" t="s">
        <v>784</v>
      </c>
      <c r="L179" s="63">
        <v>2022</v>
      </c>
      <c r="M179" s="63" t="s">
        <v>747</v>
      </c>
      <c r="N179" s="63" t="s">
        <v>781</v>
      </c>
      <c r="O179" s="63" t="s">
        <v>2</v>
      </c>
      <c r="P179" s="63" t="s">
        <v>782</v>
      </c>
      <c r="Q179" s="63" t="s">
        <v>783</v>
      </c>
      <c r="R179" s="63" t="s">
        <v>784</v>
      </c>
    </row>
    <row r="180" spans="1:18" ht="16.2" customHeight="1" x14ac:dyDescent="0.3">
      <c r="A180" s="63">
        <v>2021</v>
      </c>
      <c r="B180" s="63" t="s">
        <v>747</v>
      </c>
      <c r="C180" s="63" t="s">
        <v>785</v>
      </c>
      <c r="D180" s="63" t="s">
        <v>2</v>
      </c>
      <c r="E180" s="63" t="s">
        <v>786</v>
      </c>
      <c r="F180" s="63" t="s">
        <v>787</v>
      </c>
      <c r="G180" s="63" t="s">
        <v>788</v>
      </c>
      <c r="L180" s="63">
        <v>2022</v>
      </c>
      <c r="M180" s="63" t="s">
        <v>747</v>
      </c>
      <c r="N180" s="63" t="s">
        <v>785</v>
      </c>
      <c r="O180" s="63" t="s">
        <v>2</v>
      </c>
      <c r="P180" s="63" t="s">
        <v>786</v>
      </c>
      <c r="Q180" s="63" t="s">
        <v>789</v>
      </c>
      <c r="R180" s="63" t="s">
        <v>788</v>
      </c>
    </row>
    <row r="181" spans="1:18" ht="16.2" customHeight="1" x14ac:dyDescent="0.3">
      <c r="A181" s="63">
        <v>2021</v>
      </c>
      <c r="B181" s="63" t="s">
        <v>747</v>
      </c>
      <c r="C181" s="63" t="s">
        <v>790</v>
      </c>
      <c r="D181" s="63" t="s">
        <v>2</v>
      </c>
      <c r="E181" s="63" t="s">
        <v>791</v>
      </c>
      <c r="F181" s="63" t="s">
        <v>792</v>
      </c>
      <c r="G181" s="63" t="s">
        <v>793</v>
      </c>
      <c r="L181" s="63">
        <v>2022</v>
      </c>
      <c r="M181" s="63" t="s">
        <v>747</v>
      </c>
      <c r="N181" s="63" t="s">
        <v>790</v>
      </c>
      <c r="O181" s="63" t="s">
        <v>2</v>
      </c>
      <c r="P181" s="63" t="s">
        <v>791</v>
      </c>
      <c r="Q181" s="63" t="s">
        <v>794</v>
      </c>
      <c r="R181" s="63" t="s">
        <v>793</v>
      </c>
    </row>
    <row r="182" spans="1:18" ht="16.2" customHeight="1" x14ac:dyDescent="0.3">
      <c r="A182" s="63">
        <v>2021</v>
      </c>
      <c r="B182" s="63" t="s">
        <v>747</v>
      </c>
      <c r="C182" s="63" t="s">
        <v>795</v>
      </c>
      <c r="D182" s="63" t="s">
        <v>2</v>
      </c>
      <c r="E182" s="63" t="s">
        <v>796</v>
      </c>
      <c r="F182" s="63" t="s">
        <v>797</v>
      </c>
      <c r="G182" s="63" t="s">
        <v>798</v>
      </c>
      <c r="L182" s="63">
        <v>2022</v>
      </c>
      <c r="M182" s="63" t="s">
        <v>747</v>
      </c>
      <c r="N182" s="63" t="s">
        <v>795</v>
      </c>
      <c r="O182" s="63" t="s">
        <v>2</v>
      </c>
      <c r="P182" s="63" t="s">
        <v>796</v>
      </c>
      <c r="Q182" s="63" t="s">
        <v>799</v>
      </c>
      <c r="R182" s="63" t="s">
        <v>798</v>
      </c>
    </row>
    <row r="183" spans="1:18" ht="16.2" customHeight="1" x14ac:dyDescent="0.3">
      <c r="A183" s="63">
        <v>2021</v>
      </c>
      <c r="B183" s="63" t="s">
        <v>747</v>
      </c>
      <c r="C183" s="63" t="s">
        <v>800</v>
      </c>
      <c r="D183" s="63" t="s">
        <v>2</v>
      </c>
      <c r="E183" s="63" t="s">
        <v>801</v>
      </c>
      <c r="F183" s="63" t="s">
        <v>802</v>
      </c>
      <c r="G183" s="63" t="s">
        <v>803</v>
      </c>
      <c r="L183" s="63">
        <v>2022</v>
      </c>
      <c r="M183" s="63" t="s">
        <v>747</v>
      </c>
      <c r="N183" s="63" t="s">
        <v>800</v>
      </c>
      <c r="O183" s="63" t="s">
        <v>2</v>
      </c>
      <c r="P183" s="63" t="s">
        <v>801</v>
      </c>
      <c r="Q183" s="63" t="s">
        <v>804</v>
      </c>
      <c r="R183" s="63" t="s">
        <v>803</v>
      </c>
    </row>
    <row r="184" spans="1:18" ht="16.2" customHeight="1" x14ac:dyDescent="0.3">
      <c r="A184" s="63">
        <v>2021</v>
      </c>
      <c r="B184" s="63" t="s">
        <v>747</v>
      </c>
      <c r="C184" s="63" t="s">
        <v>805</v>
      </c>
      <c r="D184" s="63" t="s">
        <v>2</v>
      </c>
      <c r="E184" s="63" t="s">
        <v>806</v>
      </c>
      <c r="F184" s="63" t="s">
        <v>807</v>
      </c>
      <c r="G184" s="63" t="s">
        <v>808</v>
      </c>
      <c r="L184" s="63">
        <v>2022</v>
      </c>
      <c r="M184" s="63" t="s">
        <v>747</v>
      </c>
      <c r="N184" s="63" t="s">
        <v>805</v>
      </c>
      <c r="O184" s="63" t="s">
        <v>2</v>
      </c>
      <c r="P184" s="63" t="s">
        <v>806</v>
      </c>
      <c r="Q184" s="63" t="s">
        <v>809</v>
      </c>
      <c r="R184" s="63" t="s">
        <v>808</v>
      </c>
    </row>
    <row r="185" spans="1:18" ht="16.2" customHeight="1" x14ac:dyDescent="0.3">
      <c r="A185" s="63">
        <v>2021</v>
      </c>
      <c r="B185" s="63" t="s">
        <v>747</v>
      </c>
      <c r="C185" s="63" t="s">
        <v>810</v>
      </c>
      <c r="D185" s="63" t="s">
        <v>2</v>
      </c>
      <c r="E185" s="63" t="s">
        <v>811</v>
      </c>
      <c r="F185" s="63" t="s">
        <v>812</v>
      </c>
      <c r="G185" s="63" t="s">
        <v>813</v>
      </c>
      <c r="L185" s="63">
        <v>2022</v>
      </c>
      <c r="M185" s="63" t="s">
        <v>747</v>
      </c>
      <c r="N185" s="63" t="s">
        <v>810</v>
      </c>
      <c r="O185" s="63" t="s">
        <v>2</v>
      </c>
      <c r="P185" s="63" t="s">
        <v>811</v>
      </c>
      <c r="Q185" s="63" t="s">
        <v>812</v>
      </c>
      <c r="R185" s="63" t="s">
        <v>813</v>
      </c>
    </row>
    <row r="186" spans="1:18" ht="16.2" customHeight="1" x14ac:dyDescent="0.3">
      <c r="A186" s="63">
        <v>2021</v>
      </c>
      <c r="B186" s="63" t="s">
        <v>747</v>
      </c>
      <c r="C186" s="63" t="s">
        <v>814</v>
      </c>
      <c r="D186" s="63" t="s">
        <v>2</v>
      </c>
      <c r="E186" s="63" t="s">
        <v>815</v>
      </c>
      <c r="F186" s="63" t="s">
        <v>816</v>
      </c>
      <c r="G186" s="63" t="s">
        <v>817</v>
      </c>
      <c r="L186" s="63">
        <v>2022</v>
      </c>
      <c r="M186" s="63" t="s">
        <v>747</v>
      </c>
      <c r="N186" s="63" t="s">
        <v>814</v>
      </c>
      <c r="O186" s="63" t="s">
        <v>2</v>
      </c>
      <c r="P186" s="63" t="s">
        <v>815</v>
      </c>
      <c r="Q186" s="63" t="s">
        <v>818</v>
      </c>
      <c r="R186" s="63" t="s">
        <v>817</v>
      </c>
    </row>
    <row r="187" spans="1:18" ht="16.2" customHeight="1" x14ac:dyDescent="0.3">
      <c r="A187" s="63">
        <v>2021</v>
      </c>
      <c r="B187" s="63" t="s">
        <v>747</v>
      </c>
      <c r="C187" s="63" t="s">
        <v>819</v>
      </c>
      <c r="D187" s="63" t="s">
        <v>2</v>
      </c>
      <c r="E187" s="63" t="s">
        <v>820</v>
      </c>
      <c r="F187" s="63" t="s">
        <v>821</v>
      </c>
      <c r="G187" s="63" t="s">
        <v>822</v>
      </c>
      <c r="L187" s="63">
        <v>2022</v>
      </c>
      <c r="M187" s="63" t="s">
        <v>747</v>
      </c>
      <c r="N187" s="63" t="s">
        <v>819</v>
      </c>
      <c r="O187" s="63" t="s">
        <v>2</v>
      </c>
      <c r="P187" s="63" t="s">
        <v>820</v>
      </c>
      <c r="Q187" s="63" t="s">
        <v>823</v>
      </c>
      <c r="R187" s="63" t="s">
        <v>822</v>
      </c>
    </row>
    <row r="188" spans="1:18" ht="16.2" customHeight="1" x14ac:dyDescent="0.3">
      <c r="A188" s="63">
        <v>2021</v>
      </c>
      <c r="B188" s="63" t="s">
        <v>747</v>
      </c>
      <c r="C188" s="63" t="s">
        <v>824</v>
      </c>
      <c r="D188" s="63" t="s">
        <v>2</v>
      </c>
      <c r="E188" s="63" t="s">
        <v>825</v>
      </c>
      <c r="F188" s="63" t="s">
        <v>826</v>
      </c>
      <c r="G188" s="63" t="s">
        <v>827</v>
      </c>
      <c r="L188" s="63">
        <v>2022</v>
      </c>
      <c r="M188" s="63" t="s">
        <v>747</v>
      </c>
      <c r="N188" s="63" t="s">
        <v>824</v>
      </c>
      <c r="O188" s="63" t="s">
        <v>2</v>
      </c>
      <c r="P188" s="63" t="s">
        <v>825</v>
      </c>
      <c r="Q188" s="63" t="s">
        <v>826</v>
      </c>
      <c r="R188" s="63" t="s">
        <v>827</v>
      </c>
    </row>
    <row r="189" spans="1:18" ht="16.2" customHeight="1" x14ac:dyDescent="0.3">
      <c r="A189" s="63">
        <v>2021</v>
      </c>
      <c r="B189" s="63" t="s">
        <v>747</v>
      </c>
      <c r="C189" s="63" t="s">
        <v>828</v>
      </c>
      <c r="D189" s="63" t="s">
        <v>2</v>
      </c>
      <c r="E189" s="63" t="s">
        <v>829</v>
      </c>
      <c r="F189" s="63" t="s">
        <v>830</v>
      </c>
      <c r="G189" s="63" t="s">
        <v>831</v>
      </c>
      <c r="L189" s="63">
        <v>2022</v>
      </c>
      <c r="M189" s="63" t="s">
        <v>747</v>
      </c>
      <c r="N189" s="63" t="s">
        <v>828</v>
      </c>
      <c r="O189" s="63" t="s">
        <v>2</v>
      </c>
      <c r="P189" s="63" t="s">
        <v>829</v>
      </c>
      <c r="Q189" s="63" t="s">
        <v>832</v>
      </c>
      <c r="R189" s="63" t="s">
        <v>831</v>
      </c>
    </row>
    <row r="190" spans="1:18" ht="16.2" customHeight="1" x14ac:dyDescent="0.3">
      <c r="A190" s="63">
        <v>2021</v>
      </c>
      <c r="B190" s="63" t="s">
        <v>747</v>
      </c>
      <c r="C190" s="63" t="s">
        <v>833</v>
      </c>
      <c r="D190" s="63" t="s">
        <v>2</v>
      </c>
      <c r="E190" s="63" t="s">
        <v>834</v>
      </c>
      <c r="F190" s="63" t="s">
        <v>835</v>
      </c>
      <c r="G190" s="63" t="s">
        <v>836</v>
      </c>
      <c r="L190" s="63">
        <v>2022</v>
      </c>
      <c r="M190" s="63" t="s">
        <v>747</v>
      </c>
      <c r="N190" s="63" t="s">
        <v>833</v>
      </c>
      <c r="O190" s="63" t="s">
        <v>2</v>
      </c>
      <c r="P190" s="63" t="s">
        <v>834</v>
      </c>
      <c r="Q190" s="63" t="s">
        <v>837</v>
      </c>
      <c r="R190" s="63" t="s">
        <v>836</v>
      </c>
    </row>
    <row r="191" spans="1:18" ht="16.2" customHeight="1" x14ac:dyDescent="0.3">
      <c r="A191" s="63">
        <v>2021</v>
      </c>
      <c r="B191" s="63" t="s">
        <v>747</v>
      </c>
      <c r="C191" s="63" t="s">
        <v>838</v>
      </c>
      <c r="D191" s="63" t="s">
        <v>2</v>
      </c>
      <c r="E191" s="63" t="s">
        <v>839</v>
      </c>
      <c r="F191" s="63" t="s">
        <v>840</v>
      </c>
      <c r="G191" s="63" t="s">
        <v>841</v>
      </c>
      <c r="L191" s="63">
        <v>2022</v>
      </c>
      <c r="M191" s="63" t="s">
        <v>747</v>
      </c>
      <c r="N191" s="63" t="s">
        <v>838</v>
      </c>
      <c r="O191" s="63" t="s">
        <v>2</v>
      </c>
      <c r="P191" s="63" t="s">
        <v>839</v>
      </c>
      <c r="Q191" s="63" t="s">
        <v>840</v>
      </c>
      <c r="R191" s="63" t="s">
        <v>841</v>
      </c>
    </row>
    <row r="192" spans="1:18" ht="16.2" customHeight="1" x14ac:dyDescent="0.3">
      <c r="A192" s="63">
        <v>2021</v>
      </c>
      <c r="B192" s="63" t="s">
        <v>747</v>
      </c>
      <c r="C192" s="63" t="s">
        <v>842</v>
      </c>
      <c r="D192" s="63" t="s">
        <v>2</v>
      </c>
      <c r="E192" s="63" t="s">
        <v>843</v>
      </c>
      <c r="F192" s="63" t="s">
        <v>844</v>
      </c>
      <c r="G192" s="63" t="s">
        <v>845</v>
      </c>
      <c r="L192" s="63">
        <v>2022</v>
      </c>
      <c r="M192" s="63" t="s">
        <v>747</v>
      </c>
      <c r="N192" s="63" t="s">
        <v>842</v>
      </c>
      <c r="O192" s="63" t="s">
        <v>2</v>
      </c>
      <c r="P192" s="63" t="s">
        <v>846</v>
      </c>
      <c r="Q192" s="63" t="s">
        <v>847</v>
      </c>
      <c r="R192" s="63" t="s">
        <v>845</v>
      </c>
    </row>
    <row r="193" spans="1:18" ht="16.2" customHeight="1" x14ac:dyDescent="0.3">
      <c r="A193" s="63">
        <v>2021</v>
      </c>
      <c r="B193" s="63" t="s">
        <v>747</v>
      </c>
      <c r="C193" s="63" t="s">
        <v>848</v>
      </c>
      <c r="D193" s="63" t="s">
        <v>2</v>
      </c>
      <c r="E193" s="63" t="s">
        <v>849</v>
      </c>
      <c r="F193" s="63" t="s">
        <v>850</v>
      </c>
      <c r="G193" s="63" t="s">
        <v>851</v>
      </c>
      <c r="L193" s="63">
        <v>2022</v>
      </c>
      <c r="M193" s="63" t="s">
        <v>747</v>
      </c>
      <c r="N193" s="63" t="s">
        <v>848</v>
      </c>
      <c r="O193" s="63" t="s">
        <v>2</v>
      </c>
      <c r="P193" s="63" t="s">
        <v>849</v>
      </c>
      <c r="Q193" s="63" t="s">
        <v>850</v>
      </c>
      <c r="R193" s="63" t="s">
        <v>851</v>
      </c>
    </row>
    <row r="194" spans="1:18" ht="16.2" customHeight="1" x14ac:dyDescent="0.3">
      <c r="A194" s="63">
        <v>2021</v>
      </c>
      <c r="B194" s="63" t="s">
        <v>747</v>
      </c>
      <c r="C194" s="63" t="s">
        <v>852</v>
      </c>
      <c r="D194" s="63" t="s">
        <v>2</v>
      </c>
      <c r="E194" s="63" t="s">
        <v>853</v>
      </c>
      <c r="F194" s="63" t="s">
        <v>854</v>
      </c>
      <c r="G194" s="63" t="s">
        <v>855</v>
      </c>
      <c r="L194" s="63">
        <v>2022</v>
      </c>
      <c r="M194" s="63" t="s">
        <v>747</v>
      </c>
      <c r="N194" s="63" t="s">
        <v>852</v>
      </c>
      <c r="O194" s="63" t="s">
        <v>2</v>
      </c>
      <c r="P194" s="63" t="s">
        <v>853</v>
      </c>
      <c r="Q194" s="63" t="s">
        <v>854</v>
      </c>
      <c r="R194" s="63" t="s">
        <v>855</v>
      </c>
    </row>
    <row r="195" spans="1:18" ht="16.2" customHeight="1" x14ac:dyDescent="0.3">
      <c r="A195" s="63">
        <v>2021</v>
      </c>
      <c r="B195" s="63" t="s">
        <v>747</v>
      </c>
      <c r="C195" s="63" t="s">
        <v>856</v>
      </c>
      <c r="D195" s="63" t="s">
        <v>2</v>
      </c>
      <c r="E195" s="63" t="s">
        <v>857</v>
      </c>
      <c r="F195" s="63" t="s">
        <v>858</v>
      </c>
      <c r="G195" s="63" t="s">
        <v>859</v>
      </c>
      <c r="L195" s="63">
        <v>2022</v>
      </c>
      <c r="M195" s="63" t="s">
        <v>747</v>
      </c>
      <c r="N195" s="63" t="s">
        <v>856</v>
      </c>
      <c r="O195" s="63" t="s">
        <v>2</v>
      </c>
      <c r="P195" s="63" t="s">
        <v>857</v>
      </c>
      <c r="Q195" s="63" t="s">
        <v>858</v>
      </c>
      <c r="R195" s="63" t="s">
        <v>859</v>
      </c>
    </row>
    <row r="196" spans="1:18" ht="16.2" customHeight="1" x14ac:dyDescent="0.3">
      <c r="A196" s="63">
        <v>2021</v>
      </c>
      <c r="B196" s="63" t="s">
        <v>747</v>
      </c>
      <c r="C196" s="63" t="s">
        <v>860</v>
      </c>
      <c r="D196" s="63" t="s">
        <v>2</v>
      </c>
      <c r="E196" s="63" t="s">
        <v>861</v>
      </c>
      <c r="F196" s="63" t="s">
        <v>862</v>
      </c>
      <c r="G196" s="63" t="s">
        <v>863</v>
      </c>
      <c r="L196" s="63">
        <v>2022</v>
      </c>
      <c r="M196" s="63" t="s">
        <v>747</v>
      </c>
      <c r="N196" s="63" t="s">
        <v>860</v>
      </c>
      <c r="O196" s="63" t="s">
        <v>2</v>
      </c>
      <c r="P196" s="63" t="s">
        <v>861</v>
      </c>
      <c r="Q196" s="63" t="s">
        <v>864</v>
      </c>
      <c r="R196" s="63" t="s">
        <v>863</v>
      </c>
    </row>
    <row r="197" spans="1:18" ht="16.2" customHeight="1" x14ac:dyDescent="0.3">
      <c r="A197" s="63">
        <v>2021</v>
      </c>
      <c r="B197" s="63" t="s">
        <v>747</v>
      </c>
      <c r="C197" s="63" t="s">
        <v>865</v>
      </c>
      <c r="D197" s="63" t="s">
        <v>2</v>
      </c>
      <c r="E197" s="63" t="s">
        <v>866</v>
      </c>
      <c r="F197" s="63" t="s">
        <v>867</v>
      </c>
      <c r="G197" s="63" t="s">
        <v>868</v>
      </c>
      <c r="L197" s="63">
        <v>2022</v>
      </c>
      <c r="M197" s="63" t="s">
        <v>747</v>
      </c>
      <c r="N197" s="63" t="s">
        <v>865</v>
      </c>
      <c r="O197" s="63" t="s">
        <v>2</v>
      </c>
      <c r="P197" s="63" t="s">
        <v>866</v>
      </c>
      <c r="Q197" s="63" t="s">
        <v>869</v>
      </c>
      <c r="R197" s="63" t="s">
        <v>868</v>
      </c>
    </row>
    <row r="198" spans="1:18" ht="16.2" customHeight="1" x14ac:dyDescent="0.3">
      <c r="A198" s="63">
        <v>2021</v>
      </c>
      <c r="B198" s="63" t="s">
        <v>747</v>
      </c>
      <c r="C198" s="63" t="s">
        <v>870</v>
      </c>
      <c r="D198" s="63" t="s">
        <v>2</v>
      </c>
      <c r="E198" s="63" t="s">
        <v>871</v>
      </c>
      <c r="F198" s="63" t="s">
        <v>872</v>
      </c>
      <c r="G198" s="63" t="s">
        <v>873</v>
      </c>
      <c r="L198" s="63">
        <v>2022</v>
      </c>
      <c r="M198" s="63" t="s">
        <v>747</v>
      </c>
      <c r="N198" s="63" t="s">
        <v>870</v>
      </c>
      <c r="O198" s="63" t="s">
        <v>2</v>
      </c>
      <c r="P198" s="63" t="s">
        <v>871</v>
      </c>
      <c r="Q198" s="63" t="s">
        <v>874</v>
      </c>
      <c r="R198" s="63" t="s">
        <v>873</v>
      </c>
    </row>
    <row r="199" spans="1:18" ht="16.2" customHeight="1" x14ac:dyDescent="0.3">
      <c r="A199" s="63">
        <v>2021</v>
      </c>
      <c r="B199" s="63" t="s">
        <v>747</v>
      </c>
      <c r="C199" s="63" t="s">
        <v>875</v>
      </c>
      <c r="D199" s="63" t="s">
        <v>2</v>
      </c>
      <c r="E199" s="63" t="s">
        <v>876</v>
      </c>
      <c r="F199" s="63" t="s">
        <v>877</v>
      </c>
      <c r="G199" s="63" t="s">
        <v>878</v>
      </c>
      <c r="L199" s="63">
        <v>2022</v>
      </c>
      <c r="M199" s="63" t="s">
        <v>747</v>
      </c>
      <c r="N199" s="63" t="s">
        <v>875</v>
      </c>
      <c r="O199" s="63" t="s">
        <v>2</v>
      </c>
      <c r="P199" s="63" t="s">
        <v>876</v>
      </c>
      <c r="Q199" s="63" t="s">
        <v>879</v>
      </c>
      <c r="R199" s="63" t="s">
        <v>878</v>
      </c>
    </row>
    <row r="200" spans="1:18" ht="16.2" customHeight="1" x14ac:dyDescent="0.3">
      <c r="A200" s="63">
        <v>2021</v>
      </c>
      <c r="B200" s="63" t="s">
        <v>747</v>
      </c>
      <c r="C200" s="63" t="s">
        <v>880</v>
      </c>
      <c r="D200" s="63" t="s">
        <v>2</v>
      </c>
      <c r="E200" s="63" t="s">
        <v>881</v>
      </c>
      <c r="F200" s="63" t="s">
        <v>882</v>
      </c>
      <c r="G200" s="63" t="s">
        <v>883</v>
      </c>
      <c r="L200" s="63">
        <v>2022</v>
      </c>
      <c r="M200" s="63" t="s">
        <v>747</v>
      </c>
      <c r="N200" s="63" t="s">
        <v>880</v>
      </c>
      <c r="O200" s="63" t="s">
        <v>2</v>
      </c>
      <c r="P200" s="63" t="s">
        <v>881</v>
      </c>
      <c r="Q200" s="63" t="s">
        <v>882</v>
      </c>
      <c r="R200" s="63" t="s">
        <v>883</v>
      </c>
    </row>
    <row r="201" spans="1:18" ht="16.2" customHeight="1" x14ac:dyDescent="0.3">
      <c r="A201" s="63">
        <v>2021</v>
      </c>
      <c r="B201" s="63" t="s">
        <v>747</v>
      </c>
      <c r="C201" s="63" t="s">
        <v>884</v>
      </c>
      <c r="D201" s="63" t="s">
        <v>2</v>
      </c>
      <c r="E201" s="63" t="s">
        <v>885</v>
      </c>
      <c r="F201" s="63" t="s">
        <v>886</v>
      </c>
      <c r="G201" s="63" t="s">
        <v>887</v>
      </c>
      <c r="L201" s="63">
        <v>2022</v>
      </c>
    </row>
    <row r="202" spans="1:18" ht="16.2" customHeight="1" x14ac:dyDescent="0.3">
      <c r="A202" s="63">
        <v>2021</v>
      </c>
      <c r="L202" s="63">
        <v>2022</v>
      </c>
      <c r="M202" s="63" t="s">
        <v>747</v>
      </c>
      <c r="N202" s="63" t="s">
        <v>888</v>
      </c>
      <c r="O202" s="63" t="s">
        <v>2</v>
      </c>
      <c r="P202" s="63" t="s">
        <v>889</v>
      </c>
      <c r="Q202" s="63" t="s">
        <v>890</v>
      </c>
      <c r="R202" s="63" t="s">
        <v>891</v>
      </c>
    </row>
    <row r="203" spans="1:18" ht="16.2" customHeight="1" x14ac:dyDescent="0.3">
      <c r="A203" s="63">
        <v>2021</v>
      </c>
      <c r="L203" s="63">
        <v>2022</v>
      </c>
      <c r="M203" s="63" t="s">
        <v>747</v>
      </c>
      <c r="N203" s="63" t="s">
        <v>892</v>
      </c>
      <c r="O203" s="63" t="s">
        <v>2</v>
      </c>
      <c r="P203" s="63" t="s">
        <v>893</v>
      </c>
      <c r="Q203" s="63" t="s">
        <v>894</v>
      </c>
      <c r="R203" s="63" t="s">
        <v>895</v>
      </c>
    </row>
    <row r="204" spans="1:18" ht="16.2" customHeight="1" x14ac:dyDescent="0.3">
      <c r="A204" s="63">
        <v>2021</v>
      </c>
      <c r="L204" s="63">
        <v>2022</v>
      </c>
      <c r="M204" s="63" t="s">
        <v>747</v>
      </c>
      <c r="N204" s="63" t="s">
        <v>896</v>
      </c>
      <c r="O204" s="63" t="s">
        <v>2</v>
      </c>
      <c r="P204" s="63" t="s">
        <v>897</v>
      </c>
      <c r="Q204" s="63" t="s">
        <v>898</v>
      </c>
      <c r="R204" s="63" t="s">
        <v>899</v>
      </c>
    </row>
    <row r="205" spans="1:18" ht="16.2" customHeight="1" x14ac:dyDescent="0.3">
      <c r="A205" s="63">
        <v>2021</v>
      </c>
      <c r="L205" s="63">
        <v>2022</v>
      </c>
      <c r="M205" s="63" t="s">
        <v>747</v>
      </c>
      <c r="N205" s="63" t="s">
        <v>900</v>
      </c>
      <c r="O205" s="63" t="s">
        <v>2</v>
      </c>
      <c r="P205" s="63" t="s">
        <v>901</v>
      </c>
      <c r="Q205" s="63" t="s">
        <v>902</v>
      </c>
      <c r="R205" s="63" t="s">
        <v>903</v>
      </c>
    </row>
    <row r="206" spans="1:18" ht="16.2" customHeight="1" x14ac:dyDescent="0.3">
      <c r="A206" s="63">
        <v>2021</v>
      </c>
      <c r="B206" s="63" t="s">
        <v>747</v>
      </c>
      <c r="C206" s="63" t="s">
        <v>904</v>
      </c>
      <c r="D206" s="63" t="s">
        <v>2</v>
      </c>
      <c r="E206" s="63" t="s">
        <v>905</v>
      </c>
      <c r="F206" s="63" t="s">
        <v>906</v>
      </c>
      <c r="G206" s="63" t="s">
        <v>907</v>
      </c>
      <c r="L206" s="63">
        <v>2022</v>
      </c>
      <c r="M206" s="63" t="s">
        <v>747</v>
      </c>
      <c r="N206" s="63" t="s">
        <v>904</v>
      </c>
      <c r="O206" s="63" t="s">
        <v>2</v>
      </c>
      <c r="P206" s="63" t="s">
        <v>905</v>
      </c>
      <c r="Q206" s="63" t="s">
        <v>908</v>
      </c>
      <c r="R206" s="63" t="s">
        <v>907</v>
      </c>
    </row>
    <row r="207" spans="1:18" ht="16.2" customHeight="1" x14ac:dyDescent="0.3">
      <c r="A207" s="63">
        <v>2021</v>
      </c>
      <c r="B207" s="63" t="s">
        <v>747</v>
      </c>
      <c r="C207" s="63" t="s">
        <v>909</v>
      </c>
      <c r="D207" s="63" t="s">
        <v>2</v>
      </c>
      <c r="E207" s="63" t="s">
        <v>910</v>
      </c>
      <c r="F207" s="63" t="s">
        <v>911</v>
      </c>
      <c r="G207" s="63" t="s">
        <v>912</v>
      </c>
      <c r="L207" s="63">
        <v>2022</v>
      </c>
      <c r="M207" s="63" t="s">
        <v>747</v>
      </c>
      <c r="N207" s="63" t="s">
        <v>909</v>
      </c>
      <c r="O207" s="63" t="s">
        <v>2</v>
      </c>
      <c r="P207" s="63" t="s">
        <v>910</v>
      </c>
      <c r="Q207" s="63" t="s">
        <v>913</v>
      </c>
      <c r="R207" s="63" t="s">
        <v>912</v>
      </c>
    </row>
    <row r="208" spans="1:18" ht="16.2" customHeight="1" x14ac:dyDescent="0.3">
      <c r="A208" s="63">
        <v>2021</v>
      </c>
      <c r="L208" s="63">
        <v>2022</v>
      </c>
      <c r="M208" s="63" t="s">
        <v>747</v>
      </c>
      <c r="N208" s="63" t="s">
        <v>914</v>
      </c>
      <c r="O208" s="63" t="s">
        <v>2</v>
      </c>
      <c r="P208" s="63" t="s">
        <v>915</v>
      </c>
      <c r="Q208" s="63" t="s">
        <v>916</v>
      </c>
      <c r="R208" s="63" t="s">
        <v>917</v>
      </c>
    </row>
    <row r="209" spans="1:18" ht="16.2" customHeight="1" x14ac:dyDescent="0.3">
      <c r="A209" s="63">
        <v>2021</v>
      </c>
      <c r="L209" s="63">
        <v>2022</v>
      </c>
      <c r="M209" s="63" t="s">
        <v>747</v>
      </c>
      <c r="N209" s="63" t="s">
        <v>918</v>
      </c>
      <c r="O209" s="63" t="s">
        <v>2</v>
      </c>
      <c r="P209" s="63" t="s">
        <v>919</v>
      </c>
      <c r="Q209" s="63" t="s">
        <v>920</v>
      </c>
      <c r="R209" s="63" t="s">
        <v>921</v>
      </c>
    </row>
    <row r="210" spans="1:18" ht="16.2" customHeight="1" x14ac:dyDescent="0.3">
      <c r="A210" s="63">
        <v>2021</v>
      </c>
      <c r="B210" s="63" t="s">
        <v>747</v>
      </c>
      <c r="C210" s="63" t="s">
        <v>922</v>
      </c>
      <c r="D210" s="63" t="s">
        <v>2</v>
      </c>
      <c r="E210" s="63" t="s">
        <v>923</v>
      </c>
      <c r="F210" s="63" t="s">
        <v>924</v>
      </c>
      <c r="G210" s="63" t="s">
        <v>925</v>
      </c>
      <c r="L210" s="63">
        <v>2022</v>
      </c>
      <c r="M210" s="63" t="s">
        <v>747</v>
      </c>
      <c r="N210" s="63" t="s">
        <v>922</v>
      </c>
      <c r="O210" s="63" t="s">
        <v>2</v>
      </c>
      <c r="P210" s="63" t="s">
        <v>923</v>
      </c>
      <c r="Q210" s="63" t="s">
        <v>926</v>
      </c>
      <c r="R210" s="63" t="s">
        <v>925</v>
      </c>
    </row>
    <row r="211" spans="1:18" ht="16.2" customHeight="1" x14ac:dyDescent="0.3">
      <c r="A211" s="63">
        <v>2021</v>
      </c>
      <c r="B211" s="63" t="s">
        <v>747</v>
      </c>
      <c r="C211" s="63" t="s">
        <v>927</v>
      </c>
      <c r="D211" s="63" t="s">
        <v>2</v>
      </c>
      <c r="E211" s="63" t="s">
        <v>928</v>
      </c>
      <c r="F211" s="63" t="s">
        <v>929</v>
      </c>
      <c r="G211" s="63" t="s">
        <v>930</v>
      </c>
      <c r="L211" s="63">
        <v>2022</v>
      </c>
      <c r="M211" s="63" t="s">
        <v>747</v>
      </c>
      <c r="N211" s="63" t="s">
        <v>927</v>
      </c>
      <c r="O211" s="63" t="s">
        <v>2</v>
      </c>
      <c r="P211" s="63" t="s">
        <v>928</v>
      </c>
      <c r="Q211" s="63" t="s">
        <v>931</v>
      </c>
      <c r="R211" s="63" t="s">
        <v>930</v>
      </c>
    </row>
    <row r="212" spans="1:18" ht="16.2" customHeight="1" x14ac:dyDescent="0.3">
      <c r="A212" s="63">
        <v>2021</v>
      </c>
      <c r="B212" s="63" t="s">
        <v>747</v>
      </c>
      <c r="C212" s="63" t="s">
        <v>932</v>
      </c>
      <c r="D212" s="63" t="s">
        <v>2</v>
      </c>
      <c r="E212" s="63" t="s">
        <v>933</v>
      </c>
      <c r="F212" s="63" t="s">
        <v>934</v>
      </c>
      <c r="G212" s="63" t="s">
        <v>935</v>
      </c>
      <c r="L212" s="63">
        <v>2022</v>
      </c>
      <c r="M212" s="63" t="s">
        <v>747</v>
      </c>
      <c r="N212" s="63" t="s">
        <v>932</v>
      </c>
      <c r="O212" s="63" t="s">
        <v>2</v>
      </c>
      <c r="P212" s="63" t="s">
        <v>933</v>
      </c>
      <c r="Q212" s="63" t="s">
        <v>934</v>
      </c>
      <c r="R212" s="63" t="s">
        <v>935</v>
      </c>
    </row>
    <row r="213" spans="1:18" ht="16.2" customHeight="1" x14ac:dyDescent="0.3">
      <c r="A213" s="63">
        <v>2021</v>
      </c>
      <c r="B213" s="63" t="s">
        <v>747</v>
      </c>
      <c r="C213" s="63" t="s">
        <v>936</v>
      </c>
      <c r="D213" s="63" t="s">
        <v>2</v>
      </c>
      <c r="E213" s="63" t="s">
        <v>937</v>
      </c>
      <c r="F213" s="63" t="s">
        <v>938</v>
      </c>
      <c r="G213" s="63" t="s">
        <v>939</v>
      </c>
      <c r="L213" s="63">
        <v>2022</v>
      </c>
      <c r="M213" s="63" t="s">
        <v>747</v>
      </c>
      <c r="N213" s="63" t="s">
        <v>936</v>
      </c>
      <c r="O213" s="63" t="s">
        <v>2</v>
      </c>
      <c r="P213" s="63" t="s">
        <v>937</v>
      </c>
      <c r="Q213" s="63" t="s">
        <v>938</v>
      </c>
      <c r="R213" s="63" t="s">
        <v>939</v>
      </c>
    </row>
    <row r="214" spans="1:18" ht="16.2" customHeight="1" x14ac:dyDescent="0.3">
      <c r="A214" s="63">
        <v>2021</v>
      </c>
      <c r="B214" s="63" t="s">
        <v>747</v>
      </c>
      <c r="C214" s="63" t="s">
        <v>940</v>
      </c>
      <c r="D214" s="63" t="s">
        <v>2</v>
      </c>
      <c r="E214" s="63" t="s">
        <v>941</v>
      </c>
      <c r="F214" s="63" t="s">
        <v>942</v>
      </c>
      <c r="G214" s="63" t="s">
        <v>943</v>
      </c>
      <c r="L214" s="63">
        <v>2022</v>
      </c>
      <c r="M214" s="63" t="s">
        <v>747</v>
      </c>
      <c r="N214" s="63" t="s">
        <v>940</v>
      </c>
      <c r="O214" s="63" t="s">
        <v>2</v>
      </c>
      <c r="P214" s="63" t="s">
        <v>941</v>
      </c>
      <c r="Q214" s="63" t="s">
        <v>942</v>
      </c>
      <c r="R214" s="63" t="s">
        <v>943</v>
      </c>
    </row>
    <row r="215" spans="1:18" ht="16.2" customHeight="1" x14ac:dyDescent="0.3">
      <c r="A215" s="63">
        <v>2021</v>
      </c>
      <c r="B215" s="63" t="s">
        <v>747</v>
      </c>
      <c r="C215" s="63" t="s">
        <v>944</v>
      </c>
      <c r="D215" s="63" t="s">
        <v>2</v>
      </c>
      <c r="E215" s="63" t="s">
        <v>649</v>
      </c>
      <c r="F215" s="63" t="s">
        <v>945</v>
      </c>
      <c r="G215" s="63" t="s">
        <v>946</v>
      </c>
      <c r="L215" s="63">
        <v>2022</v>
      </c>
      <c r="M215" s="63" t="s">
        <v>747</v>
      </c>
      <c r="N215" s="63" t="s">
        <v>944</v>
      </c>
      <c r="O215" s="63" t="s">
        <v>2</v>
      </c>
      <c r="P215" s="63" t="s">
        <v>649</v>
      </c>
      <c r="Q215" s="63" t="s">
        <v>945</v>
      </c>
      <c r="R215" s="63" t="s">
        <v>946</v>
      </c>
    </row>
    <row r="216" spans="1:18" ht="16.2" customHeight="1" x14ac:dyDescent="0.3">
      <c r="A216" s="63">
        <v>2021</v>
      </c>
      <c r="B216" s="63" t="s">
        <v>747</v>
      </c>
      <c r="C216" s="63" t="s">
        <v>947</v>
      </c>
      <c r="D216" s="63" t="s">
        <v>2</v>
      </c>
      <c r="E216" s="63" t="s">
        <v>948</v>
      </c>
      <c r="F216" s="63" t="s">
        <v>949</v>
      </c>
      <c r="G216" s="63" t="s">
        <v>950</v>
      </c>
      <c r="L216" s="63">
        <v>2022</v>
      </c>
      <c r="M216" s="63" t="s">
        <v>747</v>
      </c>
      <c r="N216" s="63" t="s">
        <v>947</v>
      </c>
      <c r="O216" s="63" t="s">
        <v>2</v>
      </c>
      <c r="P216" s="63" t="s">
        <v>948</v>
      </c>
      <c r="Q216" s="63" t="s">
        <v>951</v>
      </c>
      <c r="R216" s="63" t="s">
        <v>950</v>
      </c>
    </row>
    <row r="217" spans="1:18" ht="16.2" customHeight="1" x14ac:dyDescent="0.3">
      <c r="A217" s="63">
        <v>2021</v>
      </c>
      <c r="B217" s="63" t="s">
        <v>747</v>
      </c>
      <c r="C217" s="63" t="s">
        <v>952</v>
      </c>
      <c r="D217" s="63" t="s">
        <v>2</v>
      </c>
      <c r="E217" s="63" t="s">
        <v>953</v>
      </c>
      <c r="F217" s="63" t="s">
        <v>954</v>
      </c>
      <c r="G217" s="63" t="s">
        <v>955</v>
      </c>
      <c r="L217" s="63">
        <v>2022</v>
      </c>
      <c r="M217" s="63" t="s">
        <v>747</v>
      </c>
      <c r="N217" s="63" t="s">
        <v>952</v>
      </c>
      <c r="O217" s="63" t="s">
        <v>2</v>
      </c>
      <c r="P217" s="63" t="s">
        <v>953</v>
      </c>
      <c r="Q217" s="63" t="s">
        <v>956</v>
      </c>
      <c r="R217" s="63" t="s">
        <v>955</v>
      </c>
    </row>
    <row r="218" spans="1:18" ht="16.2" customHeight="1" x14ac:dyDescent="0.3">
      <c r="A218" s="63">
        <v>2021</v>
      </c>
      <c r="B218" s="63" t="s">
        <v>747</v>
      </c>
      <c r="C218" s="63" t="s">
        <v>957</v>
      </c>
      <c r="D218" s="63" t="s">
        <v>2</v>
      </c>
      <c r="E218" s="63" t="s">
        <v>958</v>
      </c>
      <c r="F218" s="63" t="s">
        <v>959</v>
      </c>
      <c r="G218" s="63" t="s">
        <v>960</v>
      </c>
      <c r="L218" s="63">
        <v>2022</v>
      </c>
      <c r="M218" s="63" t="s">
        <v>747</v>
      </c>
      <c r="N218" s="63" t="s">
        <v>957</v>
      </c>
      <c r="O218" s="63" t="s">
        <v>2</v>
      </c>
      <c r="P218" s="63" t="s">
        <v>958</v>
      </c>
      <c r="Q218" s="63" t="s">
        <v>961</v>
      </c>
      <c r="R218" s="63" t="s">
        <v>960</v>
      </c>
    </row>
    <row r="219" spans="1:18" ht="16.2" customHeight="1" x14ac:dyDescent="0.3">
      <c r="A219" s="63">
        <v>2021</v>
      </c>
      <c r="B219" s="63" t="s">
        <v>747</v>
      </c>
      <c r="C219" s="63" t="s">
        <v>962</v>
      </c>
      <c r="D219" s="63" t="s">
        <v>2</v>
      </c>
      <c r="E219" s="63" t="s">
        <v>963</v>
      </c>
      <c r="F219" s="63" t="s">
        <v>964</v>
      </c>
      <c r="G219" s="63" t="s">
        <v>965</v>
      </c>
      <c r="L219" s="63">
        <v>2022</v>
      </c>
      <c r="M219" s="63" t="s">
        <v>747</v>
      </c>
      <c r="N219" s="63" t="s">
        <v>962</v>
      </c>
      <c r="O219" s="63" t="s">
        <v>2</v>
      </c>
      <c r="P219" s="63" t="s">
        <v>963</v>
      </c>
      <c r="Q219" s="63" t="s">
        <v>966</v>
      </c>
      <c r="R219" s="63" t="s">
        <v>965</v>
      </c>
    </row>
    <row r="220" spans="1:18" ht="16.2" customHeight="1" x14ac:dyDescent="0.3">
      <c r="A220" s="63">
        <v>2021</v>
      </c>
      <c r="B220" s="63" t="s">
        <v>747</v>
      </c>
      <c r="C220" s="63" t="s">
        <v>967</v>
      </c>
      <c r="D220" s="63" t="s">
        <v>2</v>
      </c>
      <c r="E220" s="63" t="s">
        <v>968</v>
      </c>
      <c r="F220" s="63" t="s">
        <v>969</v>
      </c>
      <c r="G220" s="63" t="s">
        <v>970</v>
      </c>
      <c r="L220" s="63">
        <v>2022</v>
      </c>
      <c r="M220" s="63" t="s">
        <v>747</v>
      </c>
      <c r="N220" s="63" t="s">
        <v>967</v>
      </c>
      <c r="O220" s="63" t="s">
        <v>2</v>
      </c>
      <c r="P220" s="63" t="s">
        <v>968</v>
      </c>
      <c r="Q220" s="63" t="s">
        <v>971</v>
      </c>
      <c r="R220" s="63" t="s">
        <v>970</v>
      </c>
    </row>
    <row r="221" spans="1:18" ht="16.2" customHeight="1" x14ac:dyDescent="0.3">
      <c r="A221" s="63">
        <v>2021</v>
      </c>
      <c r="B221" s="63" t="s">
        <v>747</v>
      </c>
      <c r="C221" s="63" t="s">
        <v>972</v>
      </c>
      <c r="D221" s="63" t="s">
        <v>2</v>
      </c>
      <c r="E221" s="63" t="s">
        <v>973</v>
      </c>
      <c r="F221" s="63" t="s">
        <v>974</v>
      </c>
      <c r="G221" s="63" t="s">
        <v>975</v>
      </c>
      <c r="L221" s="63">
        <v>2022</v>
      </c>
      <c r="M221" s="63" t="s">
        <v>747</v>
      </c>
      <c r="N221" s="63" t="s">
        <v>976</v>
      </c>
      <c r="O221" s="63" t="s">
        <v>2</v>
      </c>
      <c r="P221" s="63" t="s">
        <v>977</v>
      </c>
      <c r="Q221" s="63" t="s">
        <v>978</v>
      </c>
      <c r="R221" s="63" t="s">
        <v>979</v>
      </c>
    </row>
    <row r="222" spans="1:18" ht="16.2" customHeight="1" x14ac:dyDescent="0.3">
      <c r="A222" s="63">
        <v>2021</v>
      </c>
      <c r="B222" s="63" t="s">
        <v>747</v>
      </c>
      <c r="C222" s="63" t="s">
        <v>980</v>
      </c>
      <c r="D222" s="63" t="s">
        <v>2</v>
      </c>
      <c r="E222" s="63" t="s">
        <v>981</v>
      </c>
      <c r="F222" s="63" t="s">
        <v>982</v>
      </c>
      <c r="G222" s="63" t="s">
        <v>983</v>
      </c>
      <c r="L222" s="63">
        <v>2022</v>
      </c>
      <c r="M222" s="63" t="s">
        <v>747</v>
      </c>
      <c r="N222" s="63" t="s">
        <v>980</v>
      </c>
      <c r="O222" s="63" t="s">
        <v>2</v>
      </c>
      <c r="P222" s="63" t="s">
        <v>981</v>
      </c>
      <c r="Q222" s="63" t="s">
        <v>982</v>
      </c>
      <c r="R222" s="63" t="s">
        <v>983</v>
      </c>
    </row>
    <row r="223" spans="1:18" ht="16.2" customHeight="1" x14ac:dyDescent="0.3">
      <c r="A223" s="63">
        <v>2021</v>
      </c>
      <c r="B223" s="63" t="s">
        <v>747</v>
      </c>
      <c r="C223" s="63" t="s">
        <v>984</v>
      </c>
      <c r="D223" s="63" t="s">
        <v>2</v>
      </c>
      <c r="E223" s="63" t="s">
        <v>985</v>
      </c>
      <c r="F223" s="63" t="s">
        <v>986</v>
      </c>
      <c r="G223" s="63" t="s">
        <v>987</v>
      </c>
      <c r="L223" s="63">
        <v>2022</v>
      </c>
      <c r="M223" s="63" t="s">
        <v>747</v>
      </c>
      <c r="N223" s="63" t="s">
        <v>984</v>
      </c>
      <c r="O223" s="63" t="s">
        <v>2</v>
      </c>
      <c r="P223" s="63" t="s">
        <v>985</v>
      </c>
      <c r="Q223" s="63" t="s">
        <v>986</v>
      </c>
      <c r="R223" s="63" t="s">
        <v>987</v>
      </c>
    </row>
    <row r="224" spans="1:18" ht="16.2" customHeight="1" x14ac:dyDescent="0.3">
      <c r="A224" s="63">
        <v>2021</v>
      </c>
      <c r="B224" s="63" t="s">
        <v>747</v>
      </c>
      <c r="C224" s="63" t="s">
        <v>988</v>
      </c>
      <c r="D224" s="63" t="s">
        <v>2</v>
      </c>
      <c r="E224" s="63" t="s">
        <v>989</v>
      </c>
      <c r="F224" s="63" t="s">
        <v>990</v>
      </c>
      <c r="G224" s="63" t="s">
        <v>991</v>
      </c>
      <c r="L224" s="63">
        <v>2022</v>
      </c>
      <c r="M224" s="63" t="s">
        <v>747</v>
      </c>
      <c r="N224" s="63" t="s">
        <v>988</v>
      </c>
      <c r="O224" s="63" t="s">
        <v>2</v>
      </c>
      <c r="P224" s="63" t="s">
        <v>989</v>
      </c>
      <c r="Q224" s="63" t="s">
        <v>992</v>
      </c>
      <c r="R224" s="63" t="s">
        <v>991</v>
      </c>
    </row>
    <row r="225" spans="1:18" ht="16.2" customHeight="1" x14ac:dyDescent="0.3">
      <c r="A225" s="63">
        <v>2021</v>
      </c>
      <c r="L225" s="63">
        <v>2022</v>
      </c>
      <c r="M225" s="63" t="s">
        <v>747</v>
      </c>
      <c r="N225" s="63" t="s">
        <v>993</v>
      </c>
      <c r="O225" s="63" t="s">
        <v>2</v>
      </c>
      <c r="P225" s="63" t="s">
        <v>994</v>
      </c>
      <c r="Q225" s="63" t="s">
        <v>995</v>
      </c>
      <c r="R225" s="63" t="s">
        <v>996</v>
      </c>
    </row>
    <row r="226" spans="1:18" ht="16.2" customHeight="1" x14ac:dyDescent="0.3">
      <c r="A226" s="63">
        <v>2021</v>
      </c>
      <c r="L226" s="63">
        <v>2022</v>
      </c>
      <c r="M226" s="63" t="s">
        <v>747</v>
      </c>
      <c r="N226" s="63" t="s">
        <v>997</v>
      </c>
      <c r="O226" s="63" t="s">
        <v>2</v>
      </c>
      <c r="P226" s="63" t="s">
        <v>998</v>
      </c>
      <c r="Q226" s="63" t="s">
        <v>999</v>
      </c>
      <c r="R226" s="63" t="s">
        <v>1000</v>
      </c>
    </row>
    <row r="227" spans="1:18" ht="16.2" customHeight="1" x14ac:dyDescent="0.3">
      <c r="A227" s="63">
        <v>2021</v>
      </c>
      <c r="B227" s="63" t="s">
        <v>747</v>
      </c>
      <c r="C227" s="63" t="s">
        <v>1001</v>
      </c>
      <c r="D227" s="63" t="s">
        <v>2</v>
      </c>
      <c r="E227" s="63" t="s">
        <v>1002</v>
      </c>
      <c r="F227" s="63" t="s">
        <v>1003</v>
      </c>
      <c r="G227" s="63" t="s">
        <v>1004</v>
      </c>
      <c r="L227" s="63">
        <v>2022</v>
      </c>
      <c r="M227" s="63" t="s">
        <v>747</v>
      </c>
      <c r="N227" s="63" t="s">
        <v>1001</v>
      </c>
      <c r="O227" s="63" t="s">
        <v>2</v>
      </c>
      <c r="P227" s="63" t="s">
        <v>1002</v>
      </c>
      <c r="Q227" s="63" t="s">
        <v>1005</v>
      </c>
      <c r="R227" s="63" t="s">
        <v>1004</v>
      </c>
    </row>
    <row r="228" spans="1:18" ht="16.2" customHeight="1" x14ac:dyDescent="0.3">
      <c r="A228" s="63">
        <v>2021</v>
      </c>
      <c r="B228" s="63" t="s">
        <v>747</v>
      </c>
      <c r="C228" s="63" t="s">
        <v>1006</v>
      </c>
      <c r="D228" s="63" t="s">
        <v>2</v>
      </c>
      <c r="E228" s="63" t="s">
        <v>1007</v>
      </c>
      <c r="F228" s="63" t="s">
        <v>1008</v>
      </c>
      <c r="G228" s="63" t="s">
        <v>1009</v>
      </c>
      <c r="L228" s="63">
        <v>2022</v>
      </c>
      <c r="M228" s="63" t="s">
        <v>747</v>
      </c>
      <c r="N228" s="63" t="s">
        <v>1006</v>
      </c>
      <c r="O228" s="63" t="s">
        <v>2</v>
      </c>
      <c r="P228" s="63" t="s">
        <v>1007</v>
      </c>
      <c r="Q228" s="63" t="s">
        <v>1010</v>
      </c>
      <c r="R228" s="63" t="s">
        <v>1009</v>
      </c>
    </row>
    <row r="229" spans="1:18" ht="16.2" customHeight="1" x14ac:dyDescent="0.3">
      <c r="A229" s="63">
        <v>2021</v>
      </c>
      <c r="B229" s="63" t="s">
        <v>747</v>
      </c>
      <c r="C229" s="63" t="s">
        <v>1011</v>
      </c>
      <c r="D229" s="63" t="s">
        <v>2</v>
      </c>
      <c r="E229" s="63" t="s">
        <v>1012</v>
      </c>
      <c r="F229" s="63" t="s">
        <v>1013</v>
      </c>
      <c r="G229" s="63" t="s">
        <v>1014</v>
      </c>
      <c r="L229" s="63">
        <v>2022</v>
      </c>
      <c r="M229" s="63" t="s">
        <v>747</v>
      </c>
      <c r="N229" s="63" t="s">
        <v>1011</v>
      </c>
      <c r="O229" s="63" t="s">
        <v>2</v>
      </c>
      <c r="P229" s="63" t="s">
        <v>1012</v>
      </c>
      <c r="Q229" s="63" t="s">
        <v>1013</v>
      </c>
      <c r="R229" s="63" t="s">
        <v>1014</v>
      </c>
    </row>
    <row r="230" spans="1:18" ht="16.2" customHeight="1" x14ac:dyDescent="0.3">
      <c r="A230" s="63">
        <v>2021</v>
      </c>
      <c r="B230" s="63" t="s">
        <v>747</v>
      </c>
      <c r="C230" s="63" t="s">
        <v>1015</v>
      </c>
      <c r="D230" s="63" t="s">
        <v>2</v>
      </c>
      <c r="E230" s="63" t="s">
        <v>1016</v>
      </c>
      <c r="F230" s="63" t="s">
        <v>1017</v>
      </c>
      <c r="G230" s="63" t="s">
        <v>1018</v>
      </c>
      <c r="L230" s="63">
        <v>2022</v>
      </c>
      <c r="M230" s="63" t="s">
        <v>747</v>
      </c>
      <c r="N230" s="63" t="s">
        <v>1015</v>
      </c>
      <c r="O230" s="63" t="s">
        <v>2</v>
      </c>
      <c r="P230" s="63" t="s">
        <v>1016</v>
      </c>
      <c r="Q230" s="63" t="s">
        <v>1019</v>
      </c>
      <c r="R230" s="63" t="s">
        <v>1018</v>
      </c>
    </row>
    <row r="231" spans="1:18" ht="16.2" customHeight="1" x14ac:dyDescent="0.3">
      <c r="A231" s="63">
        <v>2021</v>
      </c>
      <c r="B231" s="63" t="s">
        <v>747</v>
      </c>
      <c r="C231" s="63" t="s">
        <v>1020</v>
      </c>
      <c r="D231" s="63" t="s">
        <v>2</v>
      </c>
      <c r="E231" s="63" t="s">
        <v>1021</v>
      </c>
      <c r="F231" s="63" t="s">
        <v>1022</v>
      </c>
      <c r="G231" s="63" t="s">
        <v>1023</v>
      </c>
      <c r="L231" s="63">
        <v>2022</v>
      </c>
      <c r="M231" s="63" t="s">
        <v>747</v>
      </c>
      <c r="N231" s="63" t="s">
        <v>1020</v>
      </c>
      <c r="O231" s="63" t="s">
        <v>2</v>
      </c>
      <c r="P231" s="63" t="s">
        <v>1021</v>
      </c>
      <c r="Q231" s="63" t="s">
        <v>1024</v>
      </c>
      <c r="R231" s="63" t="s">
        <v>1023</v>
      </c>
    </row>
    <row r="232" spans="1:18" ht="16.2" customHeight="1" x14ac:dyDescent="0.3">
      <c r="A232" s="63">
        <v>2021</v>
      </c>
      <c r="B232" s="63" t="s">
        <v>747</v>
      </c>
      <c r="C232" s="63" t="s">
        <v>1025</v>
      </c>
      <c r="D232" s="63" t="s">
        <v>2</v>
      </c>
      <c r="E232" s="63" t="s">
        <v>1026</v>
      </c>
      <c r="F232" s="63" t="s">
        <v>1027</v>
      </c>
      <c r="G232" s="63" t="s">
        <v>1028</v>
      </c>
      <c r="L232" s="63">
        <v>2022</v>
      </c>
      <c r="M232" s="63" t="s">
        <v>747</v>
      </c>
      <c r="N232" s="63" t="s">
        <v>1025</v>
      </c>
      <c r="O232" s="63" t="s">
        <v>2</v>
      </c>
      <c r="P232" s="63" t="s">
        <v>1026</v>
      </c>
      <c r="Q232" s="63" t="s">
        <v>1029</v>
      </c>
      <c r="R232" s="63" t="s">
        <v>1028</v>
      </c>
    </row>
    <row r="233" spans="1:18" ht="16.2" customHeight="1" x14ac:dyDescent="0.3">
      <c r="A233" s="63">
        <v>2021</v>
      </c>
      <c r="B233" s="63" t="s">
        <v>747</v>
      </c>
      <c r="C233" s="63" t="s">
        <v>1030</v>
      </c>
      <c r="D233" s="63" t="s">
        <v>2</v>
      </c>
      <c r="E233" s="63" t="s">
        <v>1031</v>
      </c>
      <c r="F233" s="63" t="s">
        <v>1032</v>
      </c>
      <c r="G233" s="63" t="s">
        <v>1033</v>
      </c>
      <c r="L233" s="63">
        <v>2022</v>
      </c>
      <c r="M233" s="63" t="s">
        <v>747</v>
      </c>
      <c r="N233" s="63" t="s">
        <v>1030</v>
      </c>
      <c r="O233" s="63" t="s">
        <v>2</v>
      </c>
      <c r="P233" s="63" t="s">
        <v>1031</v>
      </c>
      <c r="Q233" s="63" t="s">
        <v>1032</v>
      </c>
      <c r="R233" s="63" t="s">
        <v>1033</v>
      </c>
    </row>
    <row r="234" spans="1:18" ht="16.2" customHeight="1" x14ac:dyDescent="0.3">
      <c r="A234" s="63">
        <v>2021</v>
      </c>
      <c r="B234" s="63" t="s">
        <v>747</v>
      </c>
      <c r="C234" s="63" t="s">
        <v>1034</v>
      </c>
      <c r="D234" s="63" t="s">
        <v>2</v>
      </c>
      <c r="E234" s="63" t="s">
        <v>1035</v>
      </c>
      <c r="F234" s="63" t="s">
        <v>1036</v>
      </c>
      <c r="G234" s="63" t="s">
        <v>1037</v>
      </c>
      <c r="L234" s="63">
        <v>2022</v>
      </c>
      <c r="M234" s="63" t="s">
        <v>747</v>
      </c>
      <c r="N234" s="63" t="s">
        <v>1034</v>
      </c>
      <c r="O234" s="63" t="s">
        <v>2</v>
      </c>
      <c r="P234" s="63" t="s">
        <v>1035</v>
      </c>
      <c r="Q234" s="63" t="s">
        <v>1036</v>
      </c>
      <c r="R234" s="63" t="s">
        <v>1037</v>
      </c>
    </row>
    <row r="235" spans="1:18" ht="16.2" customHeight="1" x14ac:dyDescent="0.3">
      <c r="A235" s="63">
        <v>2021</v>
      </c>
      <c r="B235" s="63" t="s">
        <v>747</v>
      </c>
      <c r="C235" s="63" t="s">
        <v>1038</v>
      </c>
      <c r="D235" s="63" t="s">
        <v>2</v>
      </c>
      <c r="E235" s="63" t="s">
        <v>1039</v>
      </c>
      <c r="F235" s="63" t="s">
        <v>1040</v>
      </c>
      <c r="G235" s="63" t="s">
        <v>1041</v>
      </c>
      <c r="L235" s="63">
        <v>2022</v>
      </c>
      <c r="M235" s="63" t="s">
        <v>747</v>
      </c>
      <c r="N235" s="63" t="s">
        <v>1038</v>
      </c>
      <c r="O235" s="63" t="s">
        <v>2</v>
      </c>
      <c r="P235" s="63" t="s">
        <v>1039</v>
      </c>
      <c r="Q235" s="63" t="s">
        <v>1042</v>
      </c>
      <c r="R235" s="63" t="s">
        <v>1041</v>
      </c>
    </row>
    <row r="236" spans="1:18" ht="16.2" customHeight="1" x14ac:dyDescent="0.3">
      <c r="A236" s="63">
        <v>2021</v>
      </c>
      <c r="B236" s="63" t="s">
        <v>747</v>
      </c>
      <c r="C236" s="63" t="s">
        <v>1043</v>
      </c>
      <c r="D236" s="63" t="s">
        <v>2</v>
      </c>
      <c r="E236" s="63" t="s">
        <v>658</v>
      </c>
      <c r="F236" s="63" t="s">
        <v>1044</v>
      </c>
      <c r="G236" s="63" t="s">
        <v>1045</v>
      </c>
      <c r="L236" s="63">
        <v>2022</v>
      </c>
      <c r="M236" s="63" t="s">
        <v>747</v>
      </c>
      <c r="N236" s="63" t="s">
        <v>1043</v>
      </c>
      <c r="O236" s="63" t="s">
        <v>2</v>
      </c>
      <c r="P236" s="63" t="s">
        <v>658</v>
      </c>
      <c r="Q236" s="63" t="s">
        <v>1046</v>
      </c>
      <c r="R236" s="63" t="s">
        <v>1045</v>
      </c>
    </row>
    <row r="237" spans="1:18" ht="16.2" customHeight="1" x14ac:dyDescent="0.3">
      <c r="A237" s="63">
        <v>2021</v>
      </c>
      <c r="B237" s="63" t="s">
        <v>747</v>
      </c>
      <c r="C237" s="63" t="s">
        <v>1047</v>
      </c>
      <c r="D237" s="63" t="s">
        <v>2</v>
      </c>
      <c r="E237" s="63" t="s">
        <v>1048</v>
      </c>
      <c r="F237" s="63" t="s">
        <v>1049</v>
      </c>
      <c r="G237" s="63" t="s">
        <v>1050</v>
      </c>
      <c r="L237" s="63">
        <v>2022</v>
      </c>
      <c r="M237" s="63" t="s">
        <v>747</v>
      </c>
      <c r="N237" s="63" t="s">
        <v>1047</v>
      </c>
      <c r="O237" s="63" t="s">
        <v>2</v>
      </c>
      <c r="P237" s="63" t="s">
        <v>1048</v>
      </c>
      <c r="Q237" s="63" t="s">
        <v>1051</v>
      </c>
      <c r="R237" s="63" t="s">
        <v>1050</v>
      </c>
    </row>
    <row r="238" spans="1:18" ht="16.2" customHeight="1" x14ac:dyDescent="0.3">
      <c r="A238" s="63">
        <v>2021</v>
      </c>
      <c r="B238" s="63" t="s">
        <v>747</v>
      </c>
      <c r="C238" s="63" t="s">
        <v>1052</v>
      </c>
      <c r="D238" s="63" t="s">
        <v>2</v>
      </c>
      <c r="E238" s="63" t="s">
        <v>1053</v>
      </c>
      <c r="F238" s="63" t="s">
        <v>1054</v>
      </c>
      <c r="G238" s="63" t="s">
        <v>1055</v>
      </c>
      <c r="L238" s="63">
        <v>2022</v>
      </c>
      <c r="M238" s="63" t="s">
        <v>747</v>
      </c>
      <c r="N238" s="63" t="s">
        <v>1052</v>
      </c>
      <c r="O238" s="63" t="s">
        <v>2</v>
      </c>
      <c r="P238" s="63" t="s">
        <v>1053</v>
      </c>
      <c r="Q238" s="63" t="s">
        <v>1056</v>
      </c>
      <c r="R238" s="63" t="s">
        <v>1055</v>
      </c>
    </row>
    <row r="239" spans="1:18" ht="16.2" customHeight="1" x14ac:dyDescent="0.3">
      <c r="A239" s="63">
        <v>2021</v>
      </c>
      <c r="B239" s="63" t="s">
        <v>747</v>
      </c>
      <c r="C239" s="63" t="s">
        <v>1057</v>
      </c>
      <c r="D239" s="63" t="s">
        <v>2</v>
      </c>
      <c r="E239" s="63" t="s">
        <v>1058</v>
      </c>
      <c r="F239" s="63" t="s">
        <v>1059</v>
      </c>
      <c r="G239" s="63" t="s">
        <v>1060</v>
      </c>
      <c r="L239" s="63">
        <v>2022</v>
      </c>
      <c r="M239" s="63" t="s">
        <v>747</v>
      </c>
      <c r="N239" s="63" t="s">
        <v>1057</v>
      </c>
      <c r="O239" s="63" t="s">
        <v>2</v>
      </c>
      <c r="P239" s="63" t="s">
        <v>1058</v>
      </c>
      <c r="Q239" s="63" t="s">
        <v>1061</v>
      </c>
      <c r="R239" s="63" t="s">
        <v>1060</v>
      </c>
    </row>
    <row r="240" spans="1:18" ht="16.2" customHeight="1" x14ac:dyDescent="0.3">
      <c r="A240" s="63">
        <v>2021</v>
      </c>
      <c r="B240" s="63" t="s">
        <v>747</v>
      </c>
      <c r="C240" s="63" t="s">
        <v>1062</v>
      </c>
      <c r="D240" s="63" t="s">
        <v>2</v>
      </c>
      <c r="E240" s="63" t="s">
        <v>89</v>
      </c>
      <c r="F240" s="63" t="s">
        <v>90</v>
      </c>
      <c r="G240" s="63" t="s">
        <v>1063</v>
      </c>
      <c r="L240" s="63">
        <v>2022</v>
      </c>
      <c r="M240" s="63" t="s">
        <v>747</v>
      </c>
      <c r="N240" s="63" t="s">
        <v>1062</v>
      </c>
      <c r="O240" s="63" t="s">
        <v>2</v>
      </c>
      <c r="P240" s="63" t="s">
        <v>89</v>
      </c>
      <c r="Q240" s="63" t="s">
        <v>92</v>
      </c>
      <c r="R240" s="63" t="s">
        <v>1063</v>
      </c>
    </row>
    <row r="243" spans="1:18" ht="16.2" customHeight="1" x14ac:dyDescent="0.3">
      <c r="A243" s="63">
        <v>2021</v>
      </c>
      <c r="B243" s="63" t="s">
        <v>1064</v>
      </c>
      <c r="C243" s="63" t="s">
        <v>1065</v>
      </c>
      <c r="D243" s="63" t="s">
        <v>2</v>
      </c>
      <c r="E243" s="63" t="s">
        <v>1066</v>
      </c>
      <c r="F243" s="63" t="s">
        <v>1067</v>
      </c>
      <c r="G243" s="63" t="s">
        <v>1068</v>
      </c>
      <c r="L243" s="63">
        <v>2022</v>
      </c>
      <c r="M243" s="63" t="s">
        <v>1064</v>
      </c>
      <c r="N243" s="63" t="s">
        <v>1065</v>
      </c>
      <c r="O243" s="63" t="s">
        <v>2</v>
      </c>
      <c r="P243" s="63" t="s">
        <v>1066</v>
      </c>
      <c r="Q243" s="63" t="s">
        <v>1067</v>
      </c>
      <c r="R243" s="63" t="s">
        <v>1068</v>
      </c>
    </row>
    <row r="244" spans="1:18" ht="16.2" customHeight="1" x14ac:dyDescent="0.3">
      <c r="A244" s="63">
        <v>2021</v>
      </c>
      <c r="B244" s="63" t="s">
        <v>1064</v>
      </c>
      <c r="C244" s="63" t="s">
        <v>1069</v>
      </c>
      <c r="D244" s="63" t="s">
        <v>2</v>
      </c>
      <c r="E244" s="63" t="s">
        <v>1070</v>
      </c>
      <c r="F244" s="63" t="s">
        <v>1071</v>
      </c>
      <c r="G244" s="63" t="s">
        <v>1072</v>
      </c>
      <c r="L244" s="63">
        <v>2022</v>
      </c>
      <c r="M244" s="63" t="s">
        <v>1064</v>
      </c>
      <c r="N244" s="63" t="s">
        <v>1069</v>
      </c>
      <c r="O244" s="63" t="s">
        <v>2</v>
      </c>
      <c r="P244" s="63" t="s">
        <v>1070</v>
      </c>
      <c r="Q244" s="63" t="s">
        <v>1071</v>
      </c>
      <c r="R244" s="63" t="s">
        <v>1072</v>
      </c>
    </row>
    <row r="245" spans="1:18" ht="16.2" customHeight="1" x14ac:dyDescent="0.3">
      <c r="A245" s="63">
        <v>2021</v>
      </c>
      <c r="B245" s="63" t="s">
        <v>1064</v>
      </c>
      <c r="C245" s="63" t="s">
        <v>1073</v>
      </c>
      <c r="D245" s="63" t="s">
        <v>2</v>
      </c>
      <c r="E245" s="63" t="s">
        <v>1074</v>
      </c>
      <c r="F245" s="63" t="s">
        <v>1075</v>
      </c>
      <c r="G245" s="63" t="s">
        <v>1076</v>
      </c>
      <c r="L245" s="63">
        <v>2022</v>
      </c>
      <c r="M245" s="63" t="s">
        <v>1064</v>
      </c>
      <c r="N245" s="63" t="s">
        <v>1073</v>
      </c>
      <c r="O245" s="63" t="s">
        <v>2</v>
      </c>
      <c r="P245" s="63" t="s">
        <v>1074</v>
      </c>
      <c r="Q245" s="63" t="s">
        <v>1075</v>
      </c>
      <c r="R245" s="63" t="s">
        <v>1076</v>
      </c>
    </row>
    <row r="246" spans="1:18" ht="16.2" customHeight="1" x14ac:dyDescent="0.3">
      <c r="A246" s="63">
        <v>2021</v>
      </c>
      <c r="B246" s="63" t="s">
        <v>1064</v>
      </c>
      <c r="C246" s="63" t="s">
        <v>1077</v>
      </c>
      <c r="D246" s="63" t="s">
        <v>2</v>
      </c>
      <c r="E246" s="63" t="s">
        <v>1078</v>
      </c>
      <c r="F246" s="63" t="s">
        <v>1079</v>
      </c>
      <c r="G246" s="63" t="s">
        <v>1080</v>
      </c>
      <c r="L246" s="63">
        <v>2022</v>
      </c>
      <c r="M246" s="63" t="s">
        <v>1064</v>
      </c>
      <c r="N246" s="63" t="s">
        <v>1077</v>
      </c>
      <c r="O246" s="63" t="s">
        <v>2</v>
      </c>
      <c r="P246" s="63" t="s">
        <v>1078</v>
      </c>
      <c r="Q246" s="63" t="s">
        <v>1081</v>
      </c>
      <c r="R246" s="63" t="s">
        <v>1080</v>
      </c>
    </row>
    <row r="247" spans="1:18" ht="16.2" customHeight="1" x14ac:dyDescent="0.3">
      <c r="A247" s="63">
        <v>2021</v>
      </c>
      <c r="B247" s="63" t="s">
        <v>1064</v>
      </c>
      <c r="C247" s="63" t="s">
        <v>1082</v>
      </c>
      <c r="D247" s="63" t="s">
        <v>2</v>
      </c>
      <c r="E247" s="63" t="s">
        <v>1083</v>
      </c>
      <c r="F247" s="63" t="s">
        <v>1084</v>
      </c>
      <c r="G247" s="63" t="s">
        <v>887</v>
      </c>
      <c r="L247" s="63">
        <v>2022</v>
      </c>
      <c r="M247" s="63" t="s">
        <v>1064</v>
      </c>
      <c r="N247" s="63" t="s">
        <v>1082</v>
      </c>
      <c r="O247" s="63" t="s">
        <v>2</v>
      </c>
      <c r="P247" s="63" t="s">
        <v>1083</v>
      </c>
      <c r="Q247" s="63" t="s">
        <v>1084</v>
      </c>
      <c r="R247" s="63" t="s">
        <v>887</v>
      </c>
    </row>
    <row r="248" spans="1:18" ht="16.2" customHeight="1" x14ac:dyDescent="0.3">
      <c r="A248" s="63">
        <v>2021</v>
      </c>
      <c r="B248" s="63" t="s">
        <v>1064</v>
      </c>
      <c r="C248" s="63" t="s">
        <v>1085</v>
      </c>
      <c r="D248" s="63" t="s">
        <v>2</v>
      </c>
      <c r="E248" s="63" t="s">
        <v>1086</v>
      </c>
      <c r="F248" s="63" t="s">
        <v>1087</v>
      </c>
      <c r="G248" s="63" t="s">
        <v>1088</v>
      </c>
      <c r="L248" s="63">
        <v>2022</v>
      </c>
      <c r="M248" s="63" t="s">
        <v>1064</v>
      </c>
      <c r="N248" s="63" t="s">
        <v>1085</v>
      </c>
      <c r="O248" s="63" t="s">
        <v>2</v>
      </c>
      <c r="P248" s="63" t="s">
        <v>1086</v>
      </c>
      <c r="Q248" s="63" t="s">
        <v>1089</v>
      </c>
      <c r="R248" s="63" t="s">
        <v>1088</v>
      </c>
    </row>
    <row r="249" spans="1:18" ht="16.2" customHeight="1" x14ac:dyDescent="0.3">
      <c r="A249" s="63">
        <v>2021</v>
      </c>
      <c r="B249" s="63" t="s">
        <v>1064</v>
      </c>
      <c r="C249" s="63" t="s">
        <v>1090</v>
      </c>
      <c r="D249" s="63" t="s">
        <v>2</v>
      </c>
      <c r="E249" s="63" t="s">
        <v>1091</v>
      </c>
      <c r="F249" s="63" t="s">
        <v>1092</v>
      </c>
      <c r="G249" s="63" t="s">
        <v>1093</v>
      </c>
      <c r="L249" s="63">
        <v>2022</v>
      </c>
      <c r="M249" s="63" t="s">
        <v>1064</v>
      </c>
      <c r="N249" s="63" t="s">
        <v>1090</v>
      </c>
      <c r="O249" s="63" t="s">
        <v>2</v>
      </c>
      <c r="P249" s="63" t="s">
        <v>1091</v>
      </c>
      <c r="Q249" s="63" t="s">
        <v>1094</v>
      </c>
      <c r="R249" s="63" t="s">
        <v>1093</v>
      </c>
    </row>
    <row r="250" spans="1:18" ht="16.2" customHeight="1" x14ac:dyDescent="0.3">
      <c r="A250" s="63">
        <v>2021</v>
      </c>
      <c r="B250" s="63" t="s">
        <v>1064</v>
      </c>
      <c r="C250" s="63" t="s">
        <v>1095</v>
      </c>
      <c r="D250" s="63" t="s">
        <v>2</v>
      </c>
      <c r="E250" s="63" t="s">
        <v>1096</v>
      </c>
      <c r="F250" s="63" t="s">
        <v>1097</v>
      </c>
      <c r="G250" s="63" t="s">
        <v>1098</v>
      </c>
      <c r="L250" s="63">
        <v>2022</v>
      </c>
      <c r="M250" s="63" t="s">
        <v>1064</v>
      </c>
      <c r="N250" s="63" t="s">
        <v>1095</v>
      </c>
      <c r="O250" s="63" t="s">
        <v>2</v>
      </c>
      <c r="P250" s="63" t="s">
        <v>1096</v>
      </c>
      <c r="Q250" s="63" t="s">
        <v>1099</v>
      </c>
      <c r="R250" s="63" t="s">
        <v>1098</v>
      </c>
    </row>
    <row r="251" spans="1:18" ht="16.2" customHeight="1" x14ac:dyDescent="0.3">
      <c r="A251" s="63">
        <v>2021</v>
      </c>
      <c r="B251" s="63" t="s">
        <v>1064</v>
      </c>
      <c r="C251" s="63" t="s">
        <v>1100</v>
      </c>
      <c r="D251" s="63" t="s">
        <v>2</v>
      </c>
      <c r="E251" s="63" t="s">
        <v>1101</v>
      </c>
      <c r="F251" s="63" t="s">
        <v>1102</v>
      </c>
      <c r="G251" s="63" t="s">
        <v>1103</v>
      </c>
      <c r="L251" s="63">
        <v>2022</v>
      </c>
      <c r="M251" s="63" t="s">
        <v>1064</v>
      </c>
      <c r="N251" s="63" t="s">
        <v>1100</v>
      </c>
      <c r="O251" s="63" t="s">
        <v>2</v>
      </c>
      <c r="P251" s="63" t="s">
        <v>1101</v>
      </c>
      <c r="Q251" s="63" t="s">
        <v>1102</v>
      </c>
      <c r="R251" s="63" t="s">
        <v>1103</v>
      </c>
    </row>
    <row r="252" spans="1:18" ht="16.2" customHeight="1" x14ac:dyDescent="0.3">
      <c r="A252" s="63">
        <v>2021</v>
      </c>
      <c r="B252" s="63" t="s">
        <v>1064</v>
      </c>
      <c r="C252" s="63" t="s">
        <v>1104</v>
      </c>
      <c r="D252" s="63" t="s">
        <v>2</v>
      </c>
      <c r="E252" s="63" t="s">
        <v>1105</v>
      </c>
      <c r="F252" s="63" t="s">
        <v>1106</v>
      </c>
      <c r="G252" s="63" t="s">
        <v>1107</v>
      </c>
      <c r="L252" s="63">
        <v>2022</v>
      </c>
      <c r="M252" s="63" t="s">
        <v>1064</v>
      </c>
      <c r="N252" s="63" t="s">
        <v>1104</v>
      </c>
      <c r="O252" s="63" t="s">
        <v>2</v>
      </c>
      <c r="P252" s="63" t="s">
        <v>1105</v>
      </c>
      <c r="Q252" s="63" t="s">
        <v>1106</v>
      </c>
      <c r="R252" s="63" t="s">
        <v>1107</v>
      </c>
    </row>
    <row r="253" spans="1:18" ht="16.2" customHeight="1" x14ac:dyDescent="0.3">
      <c r="A253" s="63">
        <v>2021</v>
      </c>
      <c r="B253" s="63" t="s">
        <v>1064</v>
      </c>
      <c r="C253" s="63" t="s">
        <v>1108</v>
      </c>
      <c r="D253" s="63" t="s">
        <v>2</v>
      </c>
      <c r="E253" s="63" t="s">
        <v>1109</v>
      </c>
      <c r="F253" s="63" t="s">
        <v>1110</v>
      </c>
      <c r="G253" s="63" t="s">
        <v>1111</v>
      </c>
      <c r="L253" s="63">
        <v>2022</v>
      </c>
      <c r="M253" s="63" t="s">
        <v>1064</v>
      </c>
      <c r="N253" s="63" t="s">
        <v>1108</v>
      </c>
      <c r="O253" s="63" t="s">
        <v>2</v>
      </c>
      <c r="P253" s="63" t="s">
        <v>1109</v>
      </c>
      <c r="Q253" s="63" t="s">
        <v>1110</v>
      </c>
      <c r="R253" s="63" t="s">
        <v>1111</v>
      </c>
    </row>
    <row r="254" spans="1:18" ht="16.2" customHeight="1" x14ac:dyDescent="0.3">
      <c r="A254" s="63">
        <v>2021</v>
      </c>
      <c r="B254" s="63" t="s">
        <v>1064</v>
      </c>
      <c r="C254" s="63" t="s">
        <v>1112</v>
      </c>
      <c r="D254" s="63" t="s">
        <v>2</v>
      </c>
      <c r="E254" s="63" t="s">
        <v>40</v>
      </c>
      <c r="F254" s="63" t="s">
        <v>1113</v>
      </c>
      <c r="G254" s="63" t="s">
        <v>1114</v>
      </c>
      <c r="L254" s="63">
        <v>2022</v>
      </c>
      <c r="M254" s="63" t="s">
        <v>1064</v>
      </c>
      <c r="N254" s="63" t="s">
        <v>1112</v>
      </c>
      <c r="O254" s="63" t="s">
        <v>2</v>
      </c>
      <c r="P254" s="63" t="s">
        <v>40</v>
      </c>
      <c r="Q254" s="63" t="s">
        <v>1113</v>
      </c>
      <c r="R254" s="63" t="s">
        <v>1114</v>
      </c>
    </row>
    <row r="255" spans="1:18" ht="16.2" customHeight="1" x14ac:dyDescent="0.3">
      <c r="A255" s="63">
        <v>2021</v>
      </c>
      <c r="B255" s="63" t="s">
        <v>1064</v>
      </c>
      <c r="C255" s="63" t="s">
        <v>1115</v>
      </c>
      <c r="D255" s="63" t="s">
        <v>2</v>
      </c>
      <c r="E255" s="63" t="s">
        <v>1116</v>
      </c>
      <c r="F255" s="63" t="s">
        <v>1117</v>
      </c>
      <c r="G255" s="63" t="s">
        <v>1118</v>
      </c>
      <c r="L255" s="63">
        <v>2022</v>
      </c>
      <c r="M255" s="63" t="s">
        <v>1064</v>
      </c>
      <c r="N255" s="63" t="s">
        <v>1115</v>
      </c>
      <c r="O255" s="63" t="s">
        <v>2</v>
      </c>
      <c r="P255" s="63" t="s">
        <v>1116</v>
      </c>
      <c r="Q255" s="63" t="s">
        <v>1117</v>
      </c>
      <c r="R255" s="63" t="s">
        <v>1118</v>
      </c>
    </row>
    <row r="256" spans="1:18" ht="16.2" customHeight="1" x14ac:dyDescent="0.3">
      <c r="A256" s="63">
        <v>2021</v>
      </c>
      <c r="B256" s="63" t="s">
        <v>1064</v>
      </c>
      <c r="C256" s="63" t="s">
        <v>1119</v>
      </c>
      <c r="D256" s="63" t="s">
        <v>2</v>
      </c>
      <c r="E256" s="63" t="s">
        <v>1120</v>
      </c>
      <c r="F256" s="63" t="s">
        <v>1121</v>
      </c>
      <c r="G256" s="63" t="s">
        <v>1122</v>
      </c>
      <c r="L256" s="63">
        <v>2022</v>
      </c>
      <c r="M256" s="63" t="s">
        <v>1064</v>
      </c>
      <c r="N256" s="63" t="s">
        <v>1119</v>
      </c>
      <c r="O256" s="63" t="s">
        <v>2</v>
      </c>
      <c r="P256" s="63" t="s">
        <v>1120</v>
      </c>
      <c r="Q256" s="63" t="s">
        <v>1121</v>
      </c>
      <c r="R256" s="63" t="s">
        <v>1122</v>
      </c>
    </row>
    <row r="257" spans="1:18" ht="16.2" customHeight="1" x14ac:dyDescent="0.3">
      <c r="A257" s="63">
        <v>2021</v>
      </c>
      <c r="B257" s="63" t="s">
        <v>1064</v>
      </c>
      <c r="C257" s="63" t="s">
        <v>1123</v>
      </c>
      <c r="D257" s="63" t="s">
        <v>2</v>
      </c>
      <c r="E257" s="63" t="s">
        <v>1124</v>
      </c>
      <c r="F257" s="63" t="s">
        <v>1125</v>
      </c>
      <c r="G257" s="63" t="s">
        <v>1126</v>
      </c>
      <c r="L257" s="63">
        <v>2022</v>
      </c>
      <c r="M257" s="63" t="s">
        <v>1064</v>
      </c>
      <c r="N257" s="63" t="s">
        <v>1123</v>
      </c>
      <c r="O257" s="63" t="s">
        <v>2</v>
      </c>
      <c r="P257" s="63" t="s">
        <v>1124</v>
      </c>
      <c r="Q257" s="63" t="s">
        <v>1125</v>
      </c>
      <c r="R257" s="63" t="s">
        <v>1126</v>
      </c>
    </row>
    <row r="258" spans="1:18" ht="16.2" customHeight="1" x14ac:dyDescent="0.3">
      <c r="A258" s="63">
        <v>2021</v>
      </c>
      <c r="B258" s="63" t="s">
        <v>1064</v>
      </c>
      <c r="C258" s="63" t="s">
        <v>1127</v>
      </c>
      <c r="D258" s="63" t="s">
        <v>2</v>
      </c>
      <c r="E258" s="63" t="s">
        <v>1128</v>
      </c>
      <c r="F258" s="63" t="s">
        <v>1129</v>
      </c>
      <c r="G258" s="63" t="s">
        <v>1130</v>
      </c>
      <c r="L258" s="63">
        <v>2022</v>
      </c>
      <c r="M258" s="63" t="s">
        <v>1064</v>
      </c>
      <c r="N258" s="63" t="s">
        <v>1127</v>
      </c>
      <c r="O258" s="63" t="s">
        <v>2</v>
      </c>
      <c r="P258" s="63" t="s">
        <v>1128</v>
      </c>
      <c r="Q258" s="63" t="s">
        <v>1129</v>
      </c>
      <c r="R258" s="63" t="s">
        <v>1130</v>
      </c>
    </row>
    <row r="259" spans="1:18" ht="16.2" customHeight="1" x14ac:dyDescent="0.3">
      <c r="A259" s="63">
        <v>2021</v>
      </c>
      <c r="B259" s="63" t="s">
        <v>1064</v>
      </c>
      <c r="C259" s="63" t="s">
        <v>1131</v>
      </c>
      <c r="D259" s="63" t="s">
        <v>2</v>
      </c>
      <c r="E259" s="63" t="s">
        <v>1132</v>
      </c>
      <c r="F259" s="63" t="s">
        <v>1133</v>
      </c>
      <c r="G259" s="63" t="s">
        <v>1134</v>
      </c>
      <c r="L259" s="63">
        <v>2022</v>
      </c>
      <c r="M259" s="63" t="s">
        <v>1064</v>
      </c>
      <c r="N259" s="63" t="s">
        <v>1131</v>
      </c>
      <c r="O259" s="63" t="s">
        <v>2</v>
      </c>
      <c r="P259" s="63" t="s">
        <v>1132</v>
      </c>
      <c r="Q259" s="63" t="s">
        <v>1133</v>
      </c>
      <c r="R259" s="63" t="s">
        <v>1134</v>
      </c>
    </row>
    <row r="260" spans="1:18" ht="16.2" customHeight="1" x14ac:dyDescent="0.3">
      <c r="A260" s="63">
        <v>2021</v>
      </c>
      <c r="B260" s="63" t="s">
        <v>1064</v>
      </c>
      <c r="C260" s="63" t="s">
        <v>1135</v>
      </c>
      <c r="D260" s="63" t="s">
        <v>2</v>
      </c>
      <c r="E260" s="63" t="s">
        <v>843</v>
      </c>
      <c r="F260" s="63" t="s">
        <v>1136</v>
      </c>
      <c r="G260" s="63" t="s">
        <v>1137</v>
      </c>
      <c r="L260" s="63">
        <v>2022</v>
      </c>
      <c r="M260" s="63" t="s">
        <v>1064</v>
      </c>
      <c r="N260" s="63" t="s">
        <v>1135</v>
      </c>
      <c r="O260" s="63" t="s">
        <v>2</v>
      </c>
      <c r="P260" s="63" t="s">
        <v>843</v>
      </c>
      <c r="Q260" s="63" t="s">
        <v>1136</v>
      </c>
      <c r="R260" s="63" t="s">
        <v>1137</v>
      </c>
    </row>
    <row r="261" spans="1:18" ht="16.2" customHeight="1" x14ac:dyDescent="0.3">
      <c r="A261" s="63">
        <v>2021</v>
      </c>
      <c r="B261" s="63" t="s">
        <v>1064</v>
      </c>
      <c r="C261" s="63" t="s">
        <v>1138</v>
      </c>
      <c r="D261" s="63" t="s">
        <v>2</v>
      </c>
      <c r="E261" s="63" t="s">
        <v>1139</v>
      </c>
      <c r="F261" s="63" t="s">
        <v>1140</v>
      </c>
      <c r="G261" s="63" t="s">
        <v>1141</v>
      </c>
      <c r="L261" s="63">
        <v>2022</v>
      </c>
      <c r="M261" s="63" t="s">
        <v>1064</v>
      </c>
      <c r="N261" s="63" t="s">
        <v>1138</v>
      </c>
      <c r="O261" s="63" t="s">
        <v>2</v>
      </c>
      <c r="P261" s="63" t="s">
        <v>1139</v>
      </c>
      <c r="Q261" s="63" t="s">
        <v>1140</v>
      </c>
      <c r="R261" s="63" t="s">
        <v>1141</v>
      </c>
    </row>
    <row r="262" spans="1:18" ht="16.2" customHeight="1" x14ac:dyDescent="0.3">
      <c r="A262" s="63">
        <v>2021</v>
      </c>
      <c r="B262" s="63" t="s">
        <v>1064</v>
      </c>
      <c r="C262" s="63" t="s">
        <v>1142</v>
      </c>
      <c r="D262" s="63" t="s">
        <v>2</v>
      </c>
      <c r="E262" s="63" t="s">
        <v>1143</v>
      </c>
      <c r="F262" s="63" t="s">
        <v>1144</v>
      </c>
      <c r="G262" s="63" t="s">
        <v>1145</v>
      </c>
      <c r="L262" s="63">
        <v>2022</v>
      </c>
      <c r="M262" s="63" t="s">
        <v>1064</v>
      </c>
      <c r="N262" s="63" t="s">
        <v>1142</v>
      </c>
      <c r="O262" s="63" t="s">
        <v>2</v>
      </c>
      <c r="P262" s="63" t="s">
        <v>1143</v>
      </c>
      <c r="Q262" s="63" t="s">
        <v>1144</v>
      </c>
      <c r="R262" s="63" t="s">
        <v>1145</v>
      </c>
    </row>
    <row r="263" spans="1:18" ht="16.2" customHeight="1" x14ac:dyDescent="0.3">
      <c r="A263" s="63">
        <v>2021</v>
      </c>
      <c r="B263" s="63" t="s">
        <v>1064</v>
      </c>
      <c r="C263" s="63" t="s">
        <v>1146</v>
      </c>
      <c r="D263" s="63" t="s">
        <v>2</v>
      </c>
      <c r="E263" s="63" t="s">
        <v>1147</v>
      </c>
      <c r="F263" s="63" t="s">
        <v>1148</v>
      </c>
      <c r="G263" s="63" t="s">
        <v>1149</v>
      </c>
      <c r="L263" s="63">
        <v>2022</v>
      </c>
      <c r="M263" s="63" t="s">
        <v>1064</v>
      </c>
      <c r="N263" s="63" t="s">
        <v>1146</v>
      </c>
      <c r="O263" s="63" t="s">
        <v>2</v>
      </c>
      <c r="P263" s="63" t="s">
        <v>1147</v>
      </c>
      <c r="Q263" s="63" t="s">
        <v>1148</v>
      </c>
      <c r="R263" s="63" t="s">
        <v>1149</v>
      </c>
    </row>
    <row r="264" spans="1:18" ht="16.2" customHeight="1" x14ac:dyDescent="0.3">
      <c r="A264" s="63">
        <v>2021</v>
      </c>
      <c r="B264" s="63" t="s">
        <v>1064</v>
      </c>
      <c r="C264" s="63" t="s">
        <v>1150</v>
      </c>
      <c r="D264" s="63" t="s">
        <v>2</v>
      </c>
      <c r="E264" s="63" t="s">
        <v>1151</v>
      </c>
      <c r="F264" s="63" t="s">
        <v>1152</v>
      </c>
      <c r="G264" s="63" t="s">
        <v>1153</v>
      </c>
      <c r="L264" s="63">
        <v>2022</v>
      </c>
      <c r="M264" s="63" t="s">
        <v>1064</v>
      </c>
      <c r="N264" s="63" t="s">
        <v>1150</v>
      </c>
      <c r="O264" s="63" t="s">
        <v>2</v>
      </c>
      <c r="P264" s="63" t="s">
        <v>1151</v>
      </c>
      <c r="Q264" s="63" t="s">
        <v>1154</v>
      </c>
      <c r="R264" s="63" t="s">
        <v>1153</v>
      </c>
    </row>
    <row r="265" spans="1:18" ht="16.2" customHeight="1" x14ac:dyDescent="0.3">
      <c r="A265" s="63">
        <v>2021</v>
      </c>
      <c r="B265" s="63" t="s">
        <v>1064</v>
      </c>
      <c r="C265" s="63" t="s">
        <v>1155</v>
      </c>
      <c r="D265" s="63" t="s">
        <v>2</v>
      </c>
      <c r="E265" s="63" t="s">
        <v>1156</v>
      </c>
      <c r="F265" s="63" t="s">
        <v>1157</v>
      </c>
      <c r="G265" s="63" t="s">
        <v>1158</v>
      </c>
      <c r="L265" s="63">
        <v>2022</v>
      </c>
      <c r="M265" s="63" t="s">
        <v>1064</v>
      </c>
      <c r="N265" s="63" t="s">
        <v>1155</v>
      </c>
      <c r="O265" s="63" t="s">
        <v>2</v>
      </c>
      <c r="P265" s="63" t="s">
        <v>1156</v>
      </c>
      <c r="Q265" s="63" t="s">
        <v>1157</v>
      </c>
      <c r="R265" s="63" t="s">
        <v>1158</v>
      </c>
    </row>
    <row r="266" spans="1:18" ht="16.2" customHeight="1" x14ac:dyDescent="0.3">
      <c r="A266" s="63">
        <v>2021</v>
      </c>
      <c r="B266" s="63" t="s">
        <v>1064</v>
      </c>
      <c r="C266" s="63" t="s">
        <v>1159</v>
      </c>
      <c r="D266" s="63" t="s">
        <v>2</v>
      </c>
      <c r="E266" s="63" t="s">
        <v>1160</v>
      </c>
      <c r="F266" s="63" t="s">
        <v>1161</v>
      </c>
      <c r="G266" s="63" t="s">
        <v>1162</v>
      </c>
      <c r="L266" s="63">
        <v>2022</v>
      </c>
      <c r="M266" s="63" t="s">
        <v>1064</v>
      </c>
      <c r="N266" s="63" t="s">
        <v>1159</v>
      </c>
      <c r="O266" s="63" t="s">
        <v>2</v>
      </c>
      <c r="P266" s="63" t="s">
        <v>1160</v>
      </c>
      <c r="Q266" s="63" t="s">
        <v>1161</v>
      </c>
      <c r="R266" s="63" t="s">
        <v>1162</v>
      </c>
    </row>
    <row r="267" spans="1:18" ht="16.2" customHeight="1" x14ac:dyDescent="0.3">
      <c r="A267" s="63">
        <v>2021</v>
      </c>
      <c r="L267" s="63">
        <v>2022</v>
      </c>
      <c r="M267" s="63" t="s">
        <v>1064</v>
      </c>
      <c r="N267" s="63" t="s">
        <v>1163</v>
      </c>
      <c r="O267" s="63" t="s">
        <v>2</v>
      </c>
      <c r="P267" s="63" t="s">
        <v>1164</v>
      </c>
      <c r="Q267" s="63" t="s">
        <v>1165</v>
      </c>
      <c r="R267" s="63" t="s">
        <v>1166</v>
      </c>
    </row>
    <row r="268" spans="1:18" ht="16.2" customHeight="1" x14ac:dyDescent="0.3">
      <c r="A268" s="63">
        <v>2021</v>
      </c>
      <c r="B268" s="63" t="s">
        <v>1064</v>
      </c>
      <c r="C268" s="63" t="s">
        <v>1167</v>
      </c>
      <c r="D268" s="63" t="s">
        <v>2</v>
      </c>
      <c r="E268" s="63" t="s">
        <v>1168</v>
      </c>
      <c r="F268" s="63" t="s">
        <v>1169</v>
      </c>
      <c r="G268" s="63" t="s">
        <v>1170</v>
      </c>
      <c r="L268" s="63">
        <v>2022</v>
      </c>
      <c r="M268" s="63" t="s">
        <v>1064</v>
      </c>
      <c r="N268" s="63" t="s">
        <v>1167</v>
      </c>
      <c r="O268" s="63" t="s">
        <v>2</v>
      </c>
      <c r="P268" s="63" t="s">
        <v>1168</v>
      </c>
      <c r="Q268" s="63" t="s">
        <v>1171</v>
      </c>
      <c r="R268" s="63" t="s">
        <v>1170</v>
      </c>
    </row>
    <row r="271" spans="1:18" ht="16.2" customHeight="1" x14ac:dyDescent="0.3">
      <c r="A271" s="63">
        <v>2021</v>
      </c>
      <c r="B271" s="63" t="s">
        <v>1172</v>
      </c>
      <c r="C271" s="63" t="s">
        <v>1173</v>
      </c>
      <c r="D271" s="63" t="s">
        <v>2</v>
      </c>
      <c r="E271" s="63" t="s">
        <v>1174</v>
      </c>
      <c r="F271" s="63" t="s">
        <v>1175</v>
      </c>
      <c r="G271" s="63" t="s">
        <v>1176</v>
      </c>
      <c r="L271" s="63">
        <v>2022</v>
      </c>
      <c r="M271" s="63" t="s">
        <v>1172</v>
      </c>
      <c r="N271" s="63" t="s">
        <v>1173</v>
      </c>
      <c r="O271" s="63" t="s">
        <v>2</v>
      </c>
      <c r="P271" s="63" t="s">
        <v>1174</v>
      </c>
      <c r="Q271" s="63" t="s">
        <v>1175</v>
      </c>
      <c r="R271" s="63" t="s">
        <v>1176</v>
      </c>
    </row>
    <row r="272" spans="1:18" ht="16.2" customHeight="1" x14ac:dyDescent="0.3">
      <c r="A272" s="63">
        <v>2021</v>
      </c>
      <c r="B272" s="63" t="s">
        <v>1172</v>
      </c>
      <c r="C272" s="63" t="s">
        <v>1177</v>
      </c>
      <c r="D272" s="63" t="s">
        <v>2</v>
      </c>
      <c r="E272" s="63" t="s">
        <v>1178</v>
      </c>
      <c r="F272" s="63" t="s">
        <v>1179</v>
      </c>
      <c r="G272" s="63" t="s">
        <v>1180</v>
      </c>
      <c r="L272" s="63">
        <v>2022</v>
      </c>
      <c r="M272" s="63" t="s">
        <v>1172</v>
      </c>
      <c r="N272" s="63" t="s">
        <v>1177</v>
      </c>
      <c r="O272" s="63" t="s">
        <v>2</v>
      </c>
      <c r="P272" s="63" t="s">
        <v>1178</v>
      </c>
      <c r="Q272" s="63" t="s">
        <v>1179</v>
      </c>
      <c r="R272" s="63" t="s">
        <v>1180</v>
      </c>
    </row>
    <row r="273" spans="1:18" ht="16.2" customHeight="1" x14ac:dyDescent="0.3">
      <c r="A273" s="63">
        <v>2021</v>
      </c>
      <c r="B273" s="63" t="s">
        <v>1172</v>
      </c>
      <c r="C273" s="63" t="s">
        <v>1181</v>
      </c>
      <c r="D273" s="63" t="s">
        <v>2</v>
      </c>
      <c r="E273" s="63" t="s">
        <v>1182</v>
      </c>
      <c r="F273" s="63" t="s">
        <v>1183</v>
      </c>
      <c r="G273" s="63" t="s">
        <v>1184</v>
      </c>
      <c r="L273" s="63">
        <v>2022</v>
      </c>
      <c r="M273" s="63" t="s">
        <v>1172</v>
      </c>
      <c r="N273" s="63" t="s">
        <v>1181</v>
      </c>
      <c r="O273" s="63" t="s">
        <v>2</v>
      </c>
      <c r="P273" s="63" t="s">
        <v>1182</v>
      </c>
      <c r="Q273" s="63" t="s">
        <v>1185</v>
      </c>
      <c r="R273" s="63" t="s">
        <v>1184</v>
      </c>
    </row>
    <row r="274" spans="1:18" ht="16.2" customHeight="1" x14ac:dyDescent="0.3">
      <c r="A274" s="63">
        <v>2021</v>
      </c>
      <c r="B274" s="63" t="s">
        <v>1172</v>
      </c>
      <c r="C274" s="63" t="s">
        <v>1186</v>
      </c>
      <c r="D274" s="63" t="s">
        <v>2</v>
      </c>
      <c r="E274" s="63" t="s">
        <v>1187</v>
      </c>
      <c r="F274" s="63" t="s">
        <v>1188</v>
      </c>
      <c r="G274" s="63" t="s">
        <v>1189</v>
      </c>
      <c r="L274" s="63">
        <v>2022</v>
      </c>
      <c r="M274" s="63" t="s">
        <v>1172</v>
      </c>
      <c r="N274" s="63" t="s">
        <v>1186</v>
      </c>
      <c r="O274" s="63" t="s">
        <v>2</v>
      </c>
      <c r="P274" s="63" t="s">
        <v>1187</v>
      </c>
      <c r="Q274" s="63" t="s">
        <v>1188</v>
      </c>
      <c r="R274" s="63" t="s">
        <v>1189</v>
      </c>
    </row>
    <row r="275" spans="1:18" ht="16.2" customHeight="1" x14ac:dyDescent="0.3">
      <c r="A275" s="63">
        <v>2021</v>
      </c>
      <c r="B275" s="63" t="s">
        <v>1172</v>
      </c>
      <c r="C275" s="63" t="s">
        <v>1190</v>
      </c>
      <c r="D275" s="63" t="s">
        <v>2</v>
      </c>
      <c r="E275" s="63" t="s">
        <v>267</v>
      </c>
      <c r="F275" s="63" t="s">
        <v>268</v>
      </c>
      <c r="G275" s="63" t="s">
        <v>269</v>
      </c>
      <c r="L275" s="63">
        <v>2022</v>
      </c>
      <c r="M275" s="63" t="s">
        <v>1172</v>
      </c>
      <c r="N275" s="63" t="s">
        <v>1190</v>
      </c>
      <c r="O275" s="63" t="s">
        <v>2</v>
      </c>
      <c r="P275" s="63" t="s">
        <v>267</v>
      </c>
      <c r="Q275" s="63" t="s">
        <v>268</v>
      </c>
      <c r="R275" s="63" t="s">
        <v>269</v>
      </c>
    </row>
    <row r="276" spans="1:18" ht="16.2" customHeight="1" x14ac:dyDescent="0.3">
      <c r="A276" s="63">
        <v>2021</v>
      </c>
      <c r="B276" s="63" t="s">
        <v>1172</v>
      </c>
      <c r="C276" s="63" t="s">
        <v>1191</v>
      </c>
      <c r="D276" s="63" t="s">
        <v>2</v>
      </c>
      <c r="E276" s="63" t="s">
        <v>1192</v>
      </c>
      <c r="F276" s="63" t="s">
        <v>1193</v>
      </c>
      <c r="G276" s="63" t="s">
        <v>1194</v>
      </c>
      <c r="L276" s="63">
        <v>2022</v>
      </c>
      <c r="M276" s="63" t="s">
        <v>1172</v>
      </c>
      <c r="N276" s="63" t="s">
        <v>1191</v>
      </c>
      <c r="O276" s="63" t="s">
        <v>2</v>
      </c>
      <c r="P276" s="63" t="s">
        <v>1192</v>
      </c>
      <c r="Q276" s="63" t="s">
        <v>1193</v>
      </c>
      <c r="R276" s="63" t="s">
        <v>1194</v>
      </c>
    </row>
    <row r="277" spans="1:18" ht="16.2" customHeight="1" x14ac:dyDescent="0.3">
      <c r="A277" s="63">
        <v>2021</v>
      </c>
      <c r="B277" s="63" t="s">
        <v>1172</v>
      </c>
      <c r="C277" s="63" t="s">
        <v>1195</v>
      </c>
      <c r="D277" s="63" t="s">
        <v>2</v>
      </c>
      <c r="E277" s="63" t="s">
        <v>1196</v>
      </c>
      <c r="F277" s="63" t="s">
        <v>1197</v>
      </c>
      <c r="G277" s="63" t="s">
        <v>1198</v>
      </c>
      <c r="L277" s="63">
        <v>2022</v>
      </c>
      <c r="M277" s="63" t="s">
        <v>1172</v>
      </c>
      <c r="N277" s="63" t="s">
        <v>1195</v>
      </c>
      <c r="O277" s="63" t="s">
        <v>2</v>
      </c>
      <c r="P277" s="63" t="s">
        <v>1196</v>
      </c>
      <c r="Q277" s="63" t="s">
        <v>1197</v>
      </c>
      <c r="R277" s="63" t="s">
        <v>1198</v>
      </c>
    </row>
    <row r="278" spans="1:18" ht="16.2" customHeight="1" x14ac:dyDescent="0.3">
      <c r="A278" s="63">
        <v>2021</v>
      </c>
      <c r="B278" s="63" t="s">
        <v>1172</v>
      </c>
      <c r="C278" s="63" t="s">
        <v>1199</v>
      </c>
      <c r="D278" s="63" t="s">
        <v>2</v>
      </c>
      <c r="E278" s="63" t="s">
        <v>1200</v>
      </c>
      <c r="F278" s="63" t="s">
        <v>1201</v>
      </c>
      <c r="G278" s="63" t="s">
        <v>1202</v>
      </c>
      <c r="L278" s="63">
        <v>2022</v>
      </c>
      <c r="M278" s="63" t="s">
        <v>1172</v>
      </c>
      <c r="N278" s="63" t="s">
        <v>1199</v>
      </c>
      <c r="O278" s="63" t="s">
        <v>2</v>
      </c>
      <c r="P278" s="63" t="s">
        <v>1200</v>
      </c>
      <c r="Q278" s="63" t="s">
        <v>1201</v>
      </c>
      <c r="R278" s="63" t="s">
        <v>1202</v>
      </c>
    </row>
    <row r="279" spans="1:18" ht="16.2" customHeight="1" x14ac:dyDescent="0.3">
      <c r="A279" s="63">
        <v>2021</v>
      </c>
      <c r="B279" s="63" t="s">
        <v>1172</v>
      </c>
      <c r="C279" s="63" t="s">
        <v>1203</v>
      </c>
      <c r="D279" s="63" t="s">
        <v>2</v>
      </c>
      <c r="E279" s="63" t="s">
        <v>1204</v>
      </c>
      <c r="F279" s="63" t="s">
        <v>1205</v>
      </c>
      <c r="G279" s="63" t="s">
        <v>1206</v>
      </c>
      <c r="L279" s="63">
        <v>2022</v>
      </c>
      <c r="M279" s="63" t="s">
        <v>1172</v>
      </c>
      <c r="N279" s="63" t="s">
        <v>1203</v>
      </c>
      <c r="O279" s="63" t="s">
        <v>2</v>
      </c>
      <c r="P279" s="63" t="s">
        <v>1204</v>
      </c>
      <c r="Q279" s="63" t="s">
        <v>1205</v>
      </c>
      <c r="R279" s="63" t="s">
        <v>1206</v>
      </c>
    </row>
    <row r="280" spans="1:18" ht="16.2" customHeight="1" x14ac:dyDescent="0.3">
      <c r="A280" s="63">
        <v>2021</v>
      </c>
      <c r="B280" s="63" t="s">
        <v>1172</v>
      </c>
      <c r="C280" s="63" t="s">
        <v>1207</v>
      </c>
      <c r="D280" s="63" t="s">
        <v>2</v>
      </c>
      <c r="E280" s="63" t="s">
        <v>1208</v>
      </c>
      <c r="F280" s="63" t="s">
        <v>1209</v>
      </c>
      <c r="G280" s="63" t="s">
        <v>1210</v>
      </c>
      <c r="L280" s="63">
        <v>2022</v>
      </c>
      <c r="M280" s="63" t="s">
        <v>1172</v>
      </c>
      <c r="N280" s="63" t="s">
        <v>1207</v>
      </c>
      <c r="O280" s="63" t="s">
        <v>2</v>
      </c>
      <c r="P280" s="63" t="s">
        <v>1208</v>
      </c>
      <c r="Q280" s="63" t="s">
        <v>1209</v>
      </c>
      <c r="R280" s="63" t="s">
        <v>1210</v>
      </c>
    </row>
    <row r="281" spans="1:18" ht="16.2" customHeight="1" x14ac:dyDescent="0.3">
      <c r="A281" s="63">
        <v>2021</v>
      </c>
      <c r="B281" s="63" t="s">
        <v>1172</v>
      </c>
      <c r="C281" s="63" t="s">
        <v>1211</v>
      </c>
      <c r="D281" s="63" t="s">
        <v>2</v>
      </c>
      <c r="E281" s="63" t="s">
        <v>1212</v>
      </c>
      <c r="F281" s="63" t="s">
        <v>1213</v>
      </c>
      <c r="G281" s="63" t="s">
        <v>1214</v>
      </c>
      <c r="L281" s="63">
        <v>2022</v>
      </c>
      <c r="M281" s="63" t="s">
        <v>1172</v>
      </c>
      <c r="N281" s="63" t="s">
        <v>1211</v>
      </c>
      <c r="O281" s="63" t="s">
        <v>2</v>
      </c>
      <c r="P281" s="63" t="s">
        <v>1212</v>
      </c>
      <c r="Q281" s="63" t="s">
        <v>1215</v>
      </c>
      <c r="R281" s="63" t="s">
        <v>1214</v>
      </c>
    </row>
    <row r="282" spans="1:18" ht="16.2" customHeight="1" x14ac:dyDescent="0.3">
      <c r="A282" s="63">
        <v>2021</v>
      </c>
      <c r="B282" s="63" t="s">
        <v>1172</v>
      </c>
      <c r="C282" s="63" t="s">
        <v>1216</v>
      </c>
      <c r="D282" s="63" t="s">
        <v>2</v>
      </c>
      <c r="E282" s="63" t="s">
        <v>1217</v>
      </c>
      <c r="F282" s="63" t="s">
        <v>1218</v>
      </c>
      <c r="G282" s="63" t="s">
        <v>1219</v>
      </c>
      <c r="L282" s="63">
        <v>2022</v>
      </c>
      <c r="M282" s="63" t="s">
        <v>1172</v>
      </c>
      <c r="N282" s="63" t="s">
        <v>1216</v>
      </c>
      <c r="O282" s="63" t="s">
        <v>2</v>
      </c>
      <c r="P282" s="63" t="s">
        <v>1220</v>
      </c>
      <c r="Q282" s="63" t="s">
        <v>1218</v>
      </c>
      <c r="R282" s="63" t="s">
        <v>1219</v>
      </c>
    </row>
    <row r="283" spans="1:18" ht="16.2" customHeight="1" x14ac:dyDescent="0.3">
      <c r="A283" s="63">
        <v>2021</v>
      </c>
      <c r="B283" s="63" t="s">
        <v>1172</v>
      </c>
      <c r="C283" s="63" t="s">
        <v>1221</v>
      </c>
      <c r="D283" s="63" t="s">
        <v>2</v>
      </c>
      <c r="E283" s="63" t="s">
        <v>1222</v>
      </c>
      <c r="F283" s="63" t="s">
        <v>1223</v>
      </c>
      <c r="G283" s="63" t="s">
        <v>1224</v>
      </c>
      <c r="L283" s="63">
        <v>2022</v>
      </c>
    </row>
    <row r="284" spans="1:18" ht="16.2" customHeight="1" x14ac:dyDescent="0.3">
      <c r="A284" s="63">
        <v>2021</v>
      </c>
      <c r="B284" s="63" t="s">
        <v>1172</v>
      </c>
      <c r="C284" s="63" t="s">
        <v>1225</v>
      </c>
      <c r="D284" s="63" t="s">
        <v>2</v>
      </c>
      <c r="E284" s="63" t="s">
        <v>1226</v>
      </c>
      <c r="F284" s="63" t="s">
        <v>1227</v>
      </c>
      <c r="G284" s="63" t="s">
        <v>1228</v>
      </c>
      <c r="L284" s="63">
        <v>2022</v>
      </c>
      <c r="M284" s="63" t="s">
        <v>1172</v>
      </c>
      <c r="N284" s="63" t="s">
        <v>1225</v>
      </c>
      <c r="O284" s="63" t="s">
        <v>2</v>
      </c>
      <c r="P284" s="63" t="s">
        <v>1226</v>
      </c>
      <c r="Q284" s="63" t="s">
        <v>1227</v>
      </c>
      <c r="R284" s="63" t="s">
        <v>1228</v>
      </c>
    </row>
    <row r="285" spans="1:18" ht="16.2" customHeight="1" x14ac:dyDescent="0.3">
      <c r="A285" s="63">
        <v>2021</v>
      </c>
      <c r="B285" s="63" t="s">
        <v>1172</v>
      </c>
      <c r="C285" s="63" t="s">
        <v>1229</v>
      </c>
      <c r="D285" s="63" t="s">
        <v>2</v>
      </c>
      <c r="E285" s="63" t="s">
        <v>1230</v>
      </c>
      <c r="F285" s="63" t="s">
        <v>1231</v>
      </c>
      <c r="G285" s="63" t="s">
        <v>1232</v>
      </c>
      <c r="L285" s="63">
        <v>2022</v>
      </c>
      <c r="M285" s="63" t="s">
        <v>1172</v>
      </c>
      <c r="N285" s="63" t="s">
        <v>1229</v>
      </c>
      <c r="O285" s="63" t="s">
        <v>2</v>
      </c>
      <c r="P285" s="63" t="s">
        <v>1230</v>
      </c>
      <c r="Q285" s="63" t="s">
        <v>1231</v>
      </c>
      <c r="R285" s="63" t="s">
        <v>1232</v>
      </c>
    </row>
    <row r="286" spans="1:18" ht="16.2" customHeight="1" x14ac:dyDescent="0.3">
      <c r="A286" s="63">
        <v>2021</v>
      </c>
      <c r="B286" s="63" t="s">
        <v>1172</v>
      </c>
      <c r="C286" s="63" t="s">
        <v>1233</v>
      </c>
      <c r="D286" s="63" t="s">
        <v>2</v>
      </c>
      <c r="E286" s="63" t="s">
        <v>1234</v>
      </c>
      <c r="F286" s="63" t="s">
        <v>1235</v>
      </c>
      <c r="G286" s="63" t="s">
        <v>1236</v>
      </c>
      <c r="L286" s="63">
        <v>2022</v>
      </c>
      <c r="M286" s="63" t="s">
        <v>1172</v>
      </c>
      <c r="N286" s="63" t="s">
        <v>1233</v>
      </c>
      <c r="O286" s="63" t="s">
        <v>2</v>
      </c>
      <c r="P286" s="63" t="s">
        <v>1234</v>
      </c>
      <c r="Q286" s="63" t="s">
        <v>1235</v>
      </c>
      <c r="R286" s="63" t="s">
        <v>1236</v>
      </c>
    </row>
    <row r="287" spans="1:18" ht="16.2" customHeight="1" x14ac:dyDescent="0.3">
      <c r="A287" s="63">
        <v>2021</v>
      </c>
      <c r="B287" s="63" t="s">
        <v>1172</v>
      </c>
      <c r="C287" s="63" t="s">
        <v>1237</v>
      </c>
      <c r="D287" s="63" t="s">
        <v>2</v>
      </c>
      <c r="E287" s="63" t="s">
        <v>1238</v>
      </c>
      <c r="F287" s="63" t="s">
        <v>1239</v>
      </c>
      <c r="G287" s="63" t="s">
        <v>1240</v>
      </c>
      <c r="L287" s="63">
        <v>2022</v>
      </c>
      <c r="M287" s="63" t="s">
        <v>1172</v>
      </c>
      <c r="N287" s="63" t="s">
        <v>1237</v>
      </c>
      <c r="O287" s="63" t="s">
        <v>2</v>
      </c>
      <c r="P287" s="63" t="s">
        <v>1238</v>
      </c>
      <c r="Q287" s="63" t="s">
        <v>1239</v>
      </c>
      <c r="R287" s="63" t="s">
        <v>1240</v>
      </c>
    </row>
    <row r="288" spans="1:18" ht="16.2" customHeight="1" x14ac:dyDescent="0.3">
      <c r="A288" s="63">
        <v>2021</v>
      </c>
      <c r="B288" s="63" t="s">
        <v>1172</v>
      </c>
      <c r="C288" s="63" t="s">
        <v>1241</v>
      </c>
      <c r="D288" s="63" t="s">
        <v>2</v>
      </c>
      <c r="E288" s="63" t="s">
        <v>1242</v>
      </c>
      <c r="F288" s="63" t="s">
        <v>1243</v>
      </c>
      <c r="G288" s="63" t="s">
        <v>1244</v>
      </c>
      <c r="L288" s="63">
        <v>2022</v>
      </c>
      <c r="M288" s="63" t="s">
        <v>1172</v>
      </c>
      <c r="N288" s="63" t="s">
        <v>1241</v>
      </c>
      <c r="O288" s="63" t="s">
        <v>2</v>
      </c>
      <c r="P288" s="63" t="s">
        <v>1242</v>
      </c>
      <c r="Q288" s="63" t="s">
        <v>1243</v>
      </c>
      <c r="R288" s="63" t="s">
        <v>1244</v>
      </c>
    </row>
    <row r="289" spans="1:18" ht="16.2" customHeight="1" x14ac:dyDescent="0.3">
      <c r="A289" s="63">
        <v>2021</v>
      </c>
      <c r="L289" s="63">
        <v>2022</v>
      </c>
      <c r="M289" s="63" t="s">
        <v>1172</v>
      </c>
      <c r="N289" s="63" t="s">
        <v>1245</v>
      </c>
      <c r="O289" s="63" t="s">
        <v>2</v>
      </c>
      <c r="P289" s="63" t="s">
        <v>1246</v>
      </c>
      <c r="Q289" s="63" t="s">
        <v>1247</v>
      </c>
      <c r="R289" s="63" t="s">
        <v>1248</v>
      </c>
    </row>
    <row r="290" spans="1:18" ht="16.2" customHeight="1" x14ac:dyDescent="0.3">
      <c r="A290" s="63">
        <v>2021</v>
      </c>
      <c r="L290" s="63">
        <v>2022</v>
      </c>
      <c r="M290" s="63" t="s">
        <v>1172</v>
      </c>
      <c r="N290" s="63" t="s">
        <v>1249</v>
      </c>
      <c r="O290" s="63" t="s">
        <v>2</v>
      </c>
      <c r="P290" s="63" t="s">
        <v>1250</v>
      </c>
      <c r="Q290" s="63" t="s">
        <v>1251</v>
      </c>
      <c r="R290" s="63" t="s">
        <v>1252</v>
      </c>
    </row>
    <row r="291" spans="1:18" ht="16.2" customHeight="1" x14ac:dyDescent="0.3">
      <c r="A291" s="63">
        <v>2021</v>
      </c>
      <c r="B291" s="63" t="s">
        <v>1172</v>
      </c>
      <c r="C291" s="63" t="s">
        <v>1253</v>
      </c>
      <c r="D291" s="63" t="s">
        <v>2</v>
      </c>
      <c r="E291" s="63" t="s">
        <v>89</v>
      </c>
      <c r="F291" s="63" t="s">
        <v>90</v>
      </c>
      <c r="G291" s="63" t="s">
        <v>1063</v>
      </c>
      <c r="L291" s="63">
        <v>2022</v>
      </c>
      <c r="M291" s="63" t="s">
        <v>1172</v>
      </c>
      <c r="N291" s="63" t="s">
        <v>1253</v>
      </c>
      <c r="O291" s="63" t="s">
        <v>2</v>
      </c>
      <c r="P291" s="63" t="s">
        <v>89</v>
      </c>
      <c r="Q291" s="63" t="s">
        <v>90</v>
      </c>
      <c r="R291" s="63" t="s">
        <v>1063</v>
      </c>
    </row>
    <row r="292" spans="1:18" ht="16.2" customHeight="1" x14ac:dyDescent="0.3">
      <c r="A292" s="63">
        <v>2021</v>
      </c>
      <c r="B292" s="63" t="s">
        <v>1172</v>
      </c>
      <c r="C292" s="63" t="s">
        <v>1254</v>
      </c>
      <c r="D292" s="63" t="s">
        <v>2</v>
      </c>
      <c r="E292" s="63" t="s">
        <v>1255</v>
      </c>
      <c r="F292" s="63" t="s">
        <v>1256</v>
      </c>
      <c r="G292" s="63" t="s">
        <v>1257</v>
      </c>
      <c r="L292" s="63">
        <v>2022</v>
      </c>
      <c r="M292" s="63" t="s">
        <v>1172</v>
      </c>
      <c r="N292" s="63" t="s">
        <v>1254</v>
      </c>
      <c r="O292" s="63" t="s">
        <v>2</v>
      </c>
      <c r="P292" s="63" t="s">
        <v>1255</v>
      </c>
      <c r="Q292" s="63" t="s">
        <v>1256</v>
      </c>
      <c r="R292" s="63" t="s">
        <v>1257</v>
      </c>
    </row>
    <row r="293" spans="1:18" ht="16.2" customHeight="1" x14ac:dyDescent="0.3">
      <c r="A293" s="63">
        <v>2021</v>
      </c>
      <c r="B293" s="63" t="s">
        <v>1172</v>
      </c>
      <c r="C293" s="63" t="s">
        <v>1258</v>
      </c>
      <c r="D293" s="63" t="s">
        <v>2</v>
      </c>
      <c r="E293" s="63" t="s">
        <v>1259</v>
      </c>
      <c r="F293" s="63" t="s">
        <v>1260</v>
      </c>
      <c r="G293" s="63" t="s">
        <v>1261</v>
      </c>
      <c r="L293" s="63">
        <v>2022</v>
      </c>
      <c r="M293" s="63" t="s">
        <v>1172</v>
      </c>
      <c r="N293" s="63" t="s">
        <v>1258</v>
      </c>
      <c r="O293" s="63" t="s">
        <v>2</v>
      </c>
      <c r="P293" s="63" t="s">
        <v>1259</v>
      </c>
      <c r="Q293" s="63" t="s">
        <v>1260</v>
      </c>
      <c r="R293" s="63" t="s">
        <v>1261</v>
      </c>
    </row>
    <row r="294" spans="1:18" ht="16.2" customHeight="1" x14ac:dyDescent="0.3">
      <c r="A294" s="63">
        <v>2021</v>
      </c>
      <c r="B294" s="63" t="s">
        <v>1172</v>
      </c>
      <c r="C294" s="63" t="s">
        <v>1262</v>
      </c>
      <c r="D294" s="63" t="s">
        <v>2</v>
      </c>
      <c r="E294" s="63" t="s">
        <v>1263</v>
      </c>
      <c r="F294" s="63" t="s">
        <v>1264</v>
      </c>
      <c r="G294" s="63" t="s">
        <v>1265</v>
      </c>
      <c r="L294" s="63">
        <v>2022</v>
      </c>
      <c r="M294" s="63" t="s">
        <v>1172</v>
      </c>
      <c r="N294" s="63" t="s">
        <v>1262</v>
      </c>
      <c r="O294" s="63" t="s">
        <v>2</v>
      </c>
      <c r="P294" s="63" t="s">
        <v>1263</v>
      </c>
      <c r="Q294" s="63" t="s">
        <v>1264</v>
      </c>
      <c r="R294" s="63" t="s">
        <v>1265</v>
      </c>
    </row>
    <row r="295" spans="1:18" ht="16.2" customHeight="1" x14ac:dyDescent="0.3">
      <c r="A295" s="63">
        <v>2021</v>
      </c>
      <c r="L295" s="63">
        <v>2022</v>
      </c>
      <c r="M295" s="63" t="s">
        <v>1172</v>
      </c>
      <c r="N295" s="63" t="s">
        <v>1266</v>
      </c>
      <c r="O295" s="63" t="s">
        <v>2</v>
      </c>
      <c r="P295" s="63" t="s">
        <v>1267</v>
      </c>
      <c r="Q295" s="63" t="s">
        <v>1268</v>
      </c>
      <c r="R295" s="63" t="s">
        <v>1269</v>
      </c>
    </row>
    <row r="296" spans="1:18" ht="16.2" customHeight="1" x14ac:dyDescent="0.3">
      <c r="A296" s="63">
        <v>2021</v>
      </c>
      <c r="B296" s="63" t="s">
        <v>1172</v>
      </c>
      <c r="C296" s="63" t="s">
        <v>1270</v>
      </c>
      <c r="D296" s="63" t="s">
        <v>2</v>
      </c>
      <c r="E296" s="63" t="s">
        <v>1271</v>
      </c>
      <c r="F296" s="63" t="s">
        <v>1272</v>
      </c>
      <c r="G296" s="63" t="s">
        <v>1273</v>
      </c>
      <c r="L296" s="63">
        <v>2022</v>
      </c>
      <c r="M296" s="63" t="s">
        <v>1172</v>
      </c>
      <c r="N296" s="63" t="s">
        <v>1270</v>
      </c>
      <c r="O296" s="63" t="s">
        <v>2</v>
      </c>
      <c r="P296" s="63" t="s">
        <v>1271</v>
      </c>
      <c r="Q296" s="63" t="s">
        <v>1272</v>
      </c>
      <c r="R296" s="63" t="s">
        <v>1273</v>
      </c>
    </row>
    <row r="297" spans="1:18" ht="16.2" customHeight="1" x14ac:dyDescent="0.3">
      <c r="A297" s="63">
        <v>2021</v>
      </c>
      <c r="B297" s="63" t="s">
        <v>1172</v>
      </c>
      <c r="C297" s="63" t="s">
        <v>1274</v>
      </c>
      <c r="D297" s="63" t="s">
        <v>2</v>
      </c>
      <c r="E297" s="63" t="s">
        <v>365</v>
      </c>
      <c r="F297" s="63" t="s">
        <v>1275</v>
      </c>
      <c r="G297" s="63" t="s">
        <v>1276</v>
      </c>
      <c r="L297" s="63">
        <v>2022</v>
      </c>
      <c r="M297" s="63" t="s">
        <v>1172</v>
      </c>
      <c r="N297" s="63" t="s">
        <v>1274</v>
      </c>
      <c r="O297" s="63" t="s">
        <v>2</v>
      </c>
      <c r="P297" s="63" t="s">
        <v>365</v>
      </c>
      <c r="Q297" s="63" t="s">
        <v>1275</v>
      </c>
      <c r="R297" s="63" t="s">
        <v>1276</v>
      </c>
    </row>
    <row r="298" spans="1:18" ht="16.2" customHeight="1" x14ac:dyDescent="0.3">
      <c r="A298" s="63">
        <v>2021</v>
      </c>
      <c r="B298" s="63" t="s">
        <v>1172</v>
      </c>
      <c r="C298" s="63" t="s">
        <v>1277</v>
      </c>
      <c r="D298" s="63" t="s">
        <v>2</v>
      </c>
      <c r="E298" s="63" t="s">
        <v>1278</v>
      </c>
      <c r="F298" s="63" t="s">
        <v>1279</v>
      </c>
      <c r="G298" s="63" t="s">
        <v>1280</v>
      </c>
      <c r="L298" s="63">
        <v>2022</v>
      </c>
      <c r="M298" s="63" t="s">
        <v>1172</v>
      </c>
      <c r="N298" s="63" t="s">
        <v>1277</v>
      </c>
      <c r="O298" s="63" t="s">
        <v>2</v>
      </c>
      <c r="P298" s="63" t="s">
        <v>1278</v>
      </c>
      <c r="Q298" s="63" t="s">
        <v>1281</v>
      </c>
      <c r="R298" s="63" t="s">
        <v>1282</v>
      </c>
    </row>
    <row r="299" spans="1:18" ht="16.2" customHeight="1" x14ac:dyDescent="0.3">
      <c r="A299" s="63">
        <v>2021</v>
      </c>
      <c r="L299" s="63">
        <v>2022</v>
      </c>
      <c r="M299" s="63" t="s">
        <v>1172</v>
      </c>
      <c r="N299" s="63" t="s">
        <v>1283</v>
      </c>
      <c r="O299" s="63" t="s">
        <v>2</v>
      </c>
      <c r="P299" s="63" t="s">
        <v>1284</v>
      </c>
      <c r="Q299" s="63" t="s">
        <v>1285</v>
      </c>
      <c r="R299" s="63" t="s">
        <v>1286</v>
      </c>
    </row>
    <row r="300" spans="1:18" ht="16.2" customHeight="1" x14ac:dyDescent="0.3">
      <c r="A300" s="63">
        <v>2021</v>
      </c>
      <c r="B300" s="63" t="s">
        <v>1172</v>
      </c>
      <c r="C300" s="63" t="s">
        <v>1287</v>
      </c>
      <c r="D300" s="63" t="s">
        <v>2</v>
      </c>
      <c r="E300" s="63" t="s">
        <v>1288</v>
      </c>
      <c r="F300" s="63" t="s">
        <v>1289</v>
      </c>
      <c r="G300" s="63" t="s">
        <v>1290</v>
      </c>
      <c r="L300" s="63">
        <v>2022</v>
      </c>
      <c r="M300" s="63" t="s">
        <v>1172</v>
      </c>
      <c r="N300" s="63" t="s">
        <v>1287</v>
      </c>
      <c r="O300" s="63" t="s">
        <v>2</v>
      </c>
      <c r="P300" s="63" t="s">
        <v>1288</v>
      </c>
      <c r="Q300" s="63" t="s">
        <v>1289</v>
      </c>
      <c r="R300" s="63" t="s">
        <v>1290</v>
      </c>
    </row>
    <row r="301" spans="1:18" ht="16.2" customHeight="1" x14ac:dyDescent="0.3">
      <c r="A301" s="63">
        <v>2021</v>
      </c>
      <c r="B301" s="63" t="s">
        <v>1172</v>
      </c>
      <c r="C301" s="63" t="s">
        <v>1291</v>
      </c>
      <c r="D301" s="63" t="s">
        <v>2</v>
      </c>
      <c r="E301" s="63" t="s">
        <v>1292</v>
      </c>
      <c r="F301" s="63" t="s">
        <v>1293</v>
      </c>
      <c r="G301" s="63" t="s">
        <v>1294</v>
      </c>
      <c r="L301" s="63">
        <v>2022</v>
      </c>
      <c r="M301" s="63" t="s">
        <v>1172</v>
      </c>
      <c r="N301" s="63" t="s">
        <v>1291</v>
      </c>
      <c r="O301" s="63" t="s">
        <v>2</v>
      </c>
      <c r="P301" s="63" t="s">
        <v>1292</v>
      </c>
      <c r="Q301" s="63" t="s">
        <v>1293</v>
      </c>
      <c r="R301" s="63" t="s">
        <v>1294</v>
      </c>
    </row>
    <row r="302" spans="1:18" ht="16.2" customHeight="1" x14ac:dyDescent="0.3">
      <c r="A302" s="63">
        <v>2021</v>
      </c>
      <c r="B302" s="63" t="s">
        <v>1172</v>
      </c>
      <c r="C302" s="63" t="s">
        <v>1295</v>
      </c>
      <c r="D302" s="63" t="s">
        <v>2</v>
      </c>
      <c r="E302" s="63" t="s">
        <v>398</v>
      </c>
      <c r="F302" s="63" t="s">
        <v>1296</v>
      </c>
      <c r="G302" s="63" t="s">
        <v>1297</v>
      </c>
      <c r="L302" s="63">
        <v>2022</v>
      </c>
      <c r="M302" s="63" t="s">
        <v>1172</v>
      </c>
      <c r="N302" s="63" t="s">
        <v>1295</v>
      </c>
      <c r="O302" s="63" t="s">
        <v>2</v>
      </c>
      <c r="P302" s="63" t="s">
        <v>398</v>
      </c>
      <c r="Q302" s="63" t="s">
        <v>1296</v>
      </c>
      <c r="R302" s="63" t="s">
        <v>1297</v>
      </c>
    </row>
    <row r="303" spans="1:18" ht="16.2" customHeight="1" x14ac:dyDescent="0.3">
      <c r="A303" s="63">
        <v>2021</v>
      </c>
      <c r="B303" s="63" t="s">
        <v>1172</v>
      </c>
      <c r="C303" s="63" t="s">
        <v>1298</v>
      </c>
      <c r="D303" s="63" t="s">
        <v>2</v>
      </c>
      <c r="E303" s="63" t="s">
        <v>1299</v>
      </c>
      <c r="F303" s="63" t="s">
        <v>1300</v>
      </c>
      <c r="G303" s="63" t="s">
        <v>1301</v>
      </c>
      <c r="L303" s="63">
        <v>2022</v>
      </c>
      <c r="M303" s="63" t="s">
        <v>1172</v>
      </c>
      <c r="N303" s="63" t="s">
        <v>1298</v>
      </c>
      <c r="O303" s="63" t="s">
        <v>2</v>
      </c>
      <c r="P303" s="63" t="s">
        <v>1299</v>
      </c>
      <c r="Q303" s="63" t="s">
        <v>1300</v>
      </c>
      <c r="R303" s="63" t="s">
        <v>1301</v>
      </c>
    </row>
    <row r="304" spans="1:18" ht="16.2" customHeight="1" x14ac:dyDescent="0.3">
      <c r="A304" s="63">
        <v>2021</v>
      </c>
      <c r="B304" s="63" t="s">
        <v>1172</v>
      </c>
      <c r="C304" s="63" t="s">
        <v>1302</v>
      </c>
      <c r="D304" s="63" t="s">
        <v>2</v>
      </c>
      <c r="E304" s="63" t="s">
        <v>1303</v>
      </c>
      <c r="F304" s="63" t="s">
        <v>1304</v>
      </c>
      <c r="G304" s="63" t="s">
        <v>1305</v>
      </c>
      <c r="L304" s="63">
        <v>2022</v>
      </c>
      <c r="M304" s="63" t="s">
        <v>1172</v>
      </c>
      <c r="N304" s="63" t="s">
        <v>1302</v>
      </c>
      <c r="O304" s="63" t="s">
        <v>2</v>
      </c>
      <c r="P304" s="63" t="s">
        <v>1303</v>
      </c>
      <c r="Q304" s="63" t="s">
        <v>1304</v>
      </c>
      <c r="R304" s="63" t="s">
        <v>1305</v>
      </c>
    </row>
    <row r="305" spans="1:18" ht="16.2" customHeight="1" x14ac:dyDescent="0.3">
      <c r="A305" s="63">
        <v>2021</v>
      </c>
      <c r="B305" s="63" t="s">
        <v>1172</v>
      </c>
      <c r="C305" s="63" t="s">
        <v>1306</v>
      </c>
      <c r="D305" s="63" t="s">
        <v>2</v>
      </c>
      <c r="E305" s="63" t="s">
        <v>1307</v>
      </c>
      <c r="F305" s="63" t="s">
        <v>1308</v>
      </c>
      <c r="G305" s="63" t="s">
        <v>1309</v>
      </c>
      <c r="L305" s="63">
        <v>2022</v>
      </c>
      <c r="M305" s="63" t="s">
        <v>1172</v>
      </c>
      <c r="N305" s="63" t="s">
        <v>1306</v>
      </c>
      <c r="O305" s="63" t="s">
        <v>2</v>
      </c>
      <c r="P305" s="63" t="s">
        <v>1310</v>
      </c>
      <c r="Q305" s="63" t="s">
        <v>1311</v>
      </c>
      <c r="R305" s="63" t="s">
        <v>1312</v>
      </c>
    </row>
    <row r="306" spans="1:18" ht="16.2" customHeight="1" x14ac:dyDescent="0.3">
      <c r="A306" s="63">
        <v>2021</v>
      </c>
      <c r="B306" s="63" t="s">
        <v>1172</v>
      </c>
      <c r="C306" s="63" t="s">
        <v>1313</v>
      </c>
      <c r="D306" s="63" t="s">
        <v>2</v>
      </c>
      <c r="E306" s="63" t="s">
        <v>1314</v>
      </c>
      <c r="F306" s="63" t="s">
        <v>1315</v>
      </c>
      <c r="G306" s="63" t="s">
        <v>1316</v>
      </c>
      <c r="L306" s="63">
        <v>2022</v>
      </c>
      <c r="M306" s="63" t="s">
        <v>1172</v>
      </c>
      <c r="N306" s="63" t="s">
        <v>1313</v>
      </c>
      <c r="O306" s="63" t="s">
        <v>2</v>
      </c>
      <c r="P306" s="63" t="s">
        <v>1314</v>
      </c>
      <c r="Q306" s="63" t="s">
        <v>1315</v>
      </c>
      <c r="R306" s="63" t="s">
        <v>1316</v>
      </c>
    </row>
    <row r="307" spans="1:18" ht="16.2" customHeight="1" x14ac:dyDescent="0.3">
      <c r="A307" s="63">
        <v>2021</v>
      </c>
      <c r="B307" s="63" t="s">
        <v>1172</v>
      </c>
      <c r="C307" s="63" t="s">
        <v>1317</v>
      </c>
      <c r="D307" s="63" t="s">
        <v>2</v>
      </c>
      <c r="E307" s="63" t="s">
        <v>1318</v>
      </c>
      <c r="F307" s="63" t="s">
        <v>1319</v>
      </c>
      <c r="G307" s="63" t="s">
        <v>1320</v>
      </c>
      <c r="L307" s="63">
        <v>2022</v>
      </c>
      <c r="M307" s="63" t="s">
        <v>1172</v>
      </c>
      <c r="N307" s="63" t="s">
        <v>1317</v>
      </c>
      <c r="O307" s="63" t="s">
        <v>2</v>
      </c>
      <c r="P307" s="63" t="s">
        <v>1318</v>
      </c>
      <c r="Q307" s="63" t="s">
        <v>1319</v>
      </c>
      <c r="R307" s="63" t="s">
        <v>1320</v>
      </c>
    </row>
    <row r="308" spans="1:18" ht="16.2" customHeight="1" x14ac:dyDescent="0.3">
      <c r="A308" s="63">
        <v>2021</v>
      </c>
      <c r="B308" s="63" t="s">
        <v>1172</v>
      </c>
      <c r="C308" s="63" t="s">
        <v>1321</v>
      </c>
      <c r="D308" s="63" t="s">
        <v>2</v>
      </c>
      <c r="E308" s="63" t="s">
        <v>1322</v>
      </c>
      <c r="F308" s="63" t="s">
        <v>1323</v>
      </c>
      <c r="G308" s="63" t="s">
        <v>1324</v>
      </c>
      <c r="L308" s="63">
        <v>2022</v>
      </c>
      <c r="M308" s="63" t="s">
        <v>1172</v>
      </c>
      <c r="N308" s="63" t="s">
        <v>1321</v>
      </c>
      <c r="O308" s="63" t="s">
        <v>2</v>
      </c>
      <c r="P308" s="63" t="s">
        <v>1322</v>
      </c>
      <c r="Q308" s="63" t="s">
        <v>1323</v>
      </c>
      <c r="R308" s="63" t="s">
        <v>1324</v>
      </c>
    </row>
    <row r="309" spans="1:18" ht="16.2" customHeight="1" x14ac:dyDescent="0.3">
      <c r="A309" s="63">
        <v>2021</v>
      </c>
      <c r="L309" s="63">
        <v>2022</v>
      </c>
      <c r="M309" s="63" t="s">
        <v>1172</v>
      </c>
      <c r="N309" s="63" t="s">
        <v>1325</v>
      </c>
      <c r="O309" s="63" t="s">
        <v>2</v>
      </c>
      <c r="P309" s="63" t="s">
        <v>1326</v>
      </c>
      <c r="Q309" s="63" t="s">
        <v>1327</v>
      </c>
      <c r="R309" s="63" t="s">
        <v>1328</v>
      </c>
    </row>
    <row r="310" spans="1:18" ht="16.2" customHeight="1" x14ac:dyDescent="0.3">
      <c r="A310" s="63">
        <v>2021</v>
      </c>
      <c r="L310" s="63">
        <v>2022</v>
      </c>
      <c r="M310" s="63" t="s">
        <v>1172</v>
      </c>
      <c r="N310" s="63" t="s">
        <v>1329</v>
      </c>
      <c r="O310" s="63" t="s">
        <v>2</v>
      </c>
      <c r="P310" s="63" t="s">
        <v>1330</v>
      </c>
      <c r="Q310" s="63" t="s">
        <v>1331</v>
      </c>
      <c r="R310" s="63" t="s">
        <v>1332</v>
      </c>
    </row>
    <row r="311" spans="1:18" ht="16.2" customHeight="1" x14ac:dyDescent="0.3">
      <c r="A311" s="63">
        <v>2021</v>
      </c>
      <c r="B311" s="63" t="s">
        <v>1172</v>
      </c>
      <c r="C311" s="63" t="s">
        <v>1333</v>
      </c>
      <c r="D311" s="63" t="s">
        <v>2</v>
      </c>
      <c r="E311" s="63" t="s">
        <v>1334</v>
      </c>
      <c r="F311" s="63" t="s">
        <v>1335</v>
      </c>
      <c r="G311" s="63" t="s">
        <v>1336</v>
      </c>
      <c r="L311" s="63">
        <v>2022</v>
      </c>
      <c r="M311" s="63" t="s">
        <v>1172</v>
      </c>
      <c r="N311" s="63" t="s">
        <v>1333</v>
      </c>
      <c r="O311" s="63" t="s">
        <v>2</v>
      </c>
      <c r="P311" s="63" t="s">
        <v>1334</v>
      </c>
      <c r="Q311" s="63" t="s">
        <v>1335</v>
      </c>
      <c r="R311" s="63" t="s">
        <v>1336</v>
      </c>
    </row>
    <row r="312" spans="1:18" ht="16.2" customHeight="1" x14ac:dyDescent="0.3">
      <c r="A312" s="63">
        <v>2021</v>
      </c>
      <c r="B312" s="63" t="s">
        <v>1172</v>
      </c>
      <c r="C312" s="63" t="s">
        <v>1337</v>
      </c>
      <c r="D312" s="63" t="s">
        <v>2</v>
      </c>
      <c r="E312" s="63" t="s">
        <v>1338</v>
      </c>
      <c r="F312" s="63" t="s">
        <v>1339</v>
      </c>
      <c r="G312" s="63" t="s">
        <v>1340</v>
      </c>
      <c r="L312" s="63">
        <v>2022</v>
      </c>
      <c r="M312" s="63" t="s">
        <v>1172</v>
      </c>
      <c r="N312" s="63" t="s">
        <v>1337</v>
      </c>
      <c r="O312" s="63" t="s">
        <v>2</v>
      </c>
      <c r="P312" s="63" t="s">
        <v>1338</v>
      </c>
      <c r="Q312" s="63" t="s">
        <v>1339</v>
      </c>
      <c r="R312" s="63" t="s">
        <v>1340</v>
      </c>
    </row>
    <row r="313" spans="1:18" ht="16.2" customHeight="1" x14ac:dyDescent="0.3">
      <c r="A313" s="63">
        <v>2021</v>
      </c>
      <c r="B313" s="63" t="s">
        <v>1172</v>
      </c>
      <c r="C313" s="63" t="s">
        <v>1341</v>
      </c>
      <c r="D313" s="63" t="s">
        <v>2</v>
      </c>
      <c r="E313" s="63" t="s">
        <v>1342</v>
      </c>
      <c r="F313" s="63" t="s">
        <v>1343</v>
      </c>
      <c r="G313" s="63" t="s">
        <v>1344</v>
      </c>
      <c r="L313" s="63">
        <v>2022</v>
      </c>
      <c r="M313" s="63" t="s">
        <v>1172</v>
      </c>
      <c r="N313" s="63" t="s">
        <v>1341</v>
      </c>
      <c r="O313" s="63" t="s">
        <v>2</v>
      </c>
      <c r="P313" s="63" t="s">
        <v>1342</v>
      </c>
      <c r="Q313" s="63" t="s">
        <v>1343</v>
      </c>
      <c r="R313" s="63" t="s">
        <v>1344</v>
      </c>
    </row>
    <row r="314" spans="1:18" ht="16.2" customHeight="1" x14ac:dyDescent="0.3">
      <c r="A314" s="63">
        <v>2021</v>
      </c>
      <c r="B314" s="63" t="s">
        <v>1172</v>
      </c>
      <c r="C314" s="63" t="s">
        <v>1345</v>
      </c>
      <c r="D314" s="63" t="s">
        <v>2</v>
      </c>
      <c r="E314" s="63" t="s">
        <v>1346</v>
      </c>
      <c r="F314" s="63" t="s">
        <v>1347</v>
      </c>
      <c r="G314" s="63" t="s">
        <v>373</v>
      </c>
      <c r="L314" s="63">
        <v>2022</v>
      </c>
      <c r="M314" s="63" t="s">
        <v>1172</v>
      </c>
      <c r="N314" s="63" t="s">
        <v>1345</v>
      </c>
      <c r="O314" s="63" t="s">
        <v>2</v>
      </c>
      <c r="P314" s="63" t="s">
        <v>1346</v>
      </c>
      <c r="Q314" s="63" t="s">
        <v>372</v>
      </c>
      <c r="R314" s="63" t="s">
        <v>373</v>
      </c>
    </row>
    <row r="315" spans="1:18" ht="16.2" customHeight="1" x14ac:dyDescent="0.3">
      <c r="A315" s="63">
        <v>2021</v>
      </c>
      <c r="B315" s="63" t="s">
        <v>1172</v>
      </c>
      <c r="C315" s="63" t="s">
        <v>1348</v>
      </c>
      <c r="D315" s="63" t="s">
        <v>2</v>
      </c>
      <c r="E315" s="63" t="s">
        <v>1349</v>
      </c>
      <c r="F315" s="63" t="s">
        <v>1350</v>
      </c>
      <c r="G315" s="63" t="s">
        <v>1351</v>
      </c>
      <c r="L315" s="63">
        <v>2022</v>
      </c>
      <c r="M315" s="63" t="s">
        <v>1172</v>
      </c>
      <c r="N315" s="63" t="s">
        <v>1348</v>
      </c>
      <c r="O315" s="63" t="s">
        <v>2</v>
      </c>
      <c r="P315" s="63" t="s">
        <v>1349</v>
      </c>
      <c r="Q315" s="63" t="s">
        <v>1350</v>
      </c>
      <c r="R315" s="63" t="s">
        <v>1351</v>
      </c>
    </row>
    <row r="316" spans="1:18" ht="16.2" customHeight="1" x14ac:dyDescent="0.3">
      <c r="A316" s="63">
        <v>2021</v>
      </c>
      <c r="B316" s="63" t="s">
        <v>1172</v>
      </c>
      <c r="C316" s="63" t="s">
        <v>1352</v>
      </c>
      <c r="D316" s="63" t="s">
        <v>2</v>
      </c>
      <c r="E316" s="63" t="s">
        <v>1353</v>
      </c>
      <c r="F316" s="63" t="s">
        <v>1354</v>
      </c>
      <c r="G316" s="63" t="s">
        <v>1355</v>
      </c>
      <c r="L316" s="63">
        <v>2022</v>
      </c>
      <c r="M316" s="63" t="s">
        <v>1172</v>
      </c>
      <c r="N316" s="63" t="s">
        <v>1352</v>
      </c>
      <c r="O316" s="63" t="s">
        <v>2</v>
      </c>
      <c r="P316" s="63" t="s">
        <v>1353</v>
      </c>
      <c r="Q316" s="63" t="s">
        <v>1356</v>
      </c>
      <c r="R316" s="63" t="s">
        <v>1357</v>
      </c>
    </row>
    <row r="317" spans="1:18" ht="16.2" customHeight="1" x14ac:dyDescent="0.3">
      <c r="A317" s="63">
        <v>2021</v>
      </c>
      <c r="B317" s="63" t="s">
        <v>1172</v>
      </c>
      <c r="C317" s="63" t="s">
        <v>1358</v>
      </c>
      <c r="D317" s="63" t="s">
        <v>2</v>
      </c>
      <c r="E317" s="63" t="s">
        <v>1359</v>
      </c>
      <c r="F317" s="63" t="s">
        <v>1360</v>
      </c>
      <c r="G317" s="63" t="s">
        <v>1361</v>
      </c>
      <c r="L317" s="63">
        <v>2022</v>
      </c>
      <c r="M317" s="63" t="s">
        <v>1172</v>
      </c>
      <c r="N317" s="63" t="s">
        <v>1358</v>
      </c>
      <c r="O317" s="63" t="s">
        <v>2</v>
      </c>
      <c r="P317" s="63" t="s">
        <v>1359</v>
      </c>
      <c r="Q317" s="63" t="s">
        <v>1360</v>
      </c>
      <c r="R317" s="63" t="s">
        <v>1361</v>
      </c>
    </row>
    <row r="318" spans="1:18" ht="16.2" customHeight="1" x14ac:dyDescent="0.3">
      <c r="A318" s="63">
        <v>2021</v>
      </c>
      <c r="B318" s="63" t="s">
        <v>1172</v>
      </c>
      <c r="C318" s="63" t="s">
        <v>1362</v>
      </c>
      <c r="D318" s="63" t="s">
        <v>2</v>
      </c>
      <c r="E318" s="63" t="s">
        <v>1363</v>
      </c>
      <c r="F318" s="63" t="s">
        <v>1364</v>
      </c>
      <c r="G318" s="63" t="s">
        <v>1365</v>
      </c>
      <c r="L318" s="63">
        <v>2022</v>
      </c>
      <c r="M318" s="63" t="s">
        <v>1172</v>
      </c>
      <c r="N318" s="63" t="s">
        <v>1362</v>
      </c>
      <c r="O318" s="63" t="s">
        <v>2</v>
      </c>
      <c r="P318" s="63" t="s">
        <v>1366</v>
      </c>
      <c r="Q318" s="63" t="s">
        <v>1364</v>
      </c>
      <c r="R318" s="63" t="s">
        <v>1365</v>
      </c>
    </row>
    <row r="319" spans="1:18" ht="16.2" customHeight="1" x14ac:dyDescent="0.3">
      <c r="A319" s="63">
        <v>2021</v>
      </c>
      <c r="B319" s="63" t="s">
        <v>1172</v>
      </c>
      <c r="C319" s="63" t="s">
        <v>1367</v>
      </c>
      <c r="D319" s="63" t="s">
        <v>2</v>
      </c>
      <c r="E319" s="63" t="s">
        <v>1368</v>
      </c>
      <c r="F319" s="63" t="s">
        <v>1369</v>
      </c>
      <c r="G319" s="63" t="s">
        <v>1370</v>
      </c>
      <c r="L319" s="63">
        <v>2022</v>
      </c>
      <c r="M319" s="63" t="s">
        <v>1172</v>
      </c>
      <c r="N319" s="63" t="s">
        <v>1367</v>
      </c>
      <c r="O319" s="63" t="s">
        <v>2</v>
      </c>
      <c r="P319" s="63" t="s">
        <v>1368</v>
      </c>
      <c r="Q319" s="63" t="s">
        <v>1369</v>
      </c>
      <c r="R319" s="63" t="s">
        <v>1370</v>
      </c>
    </row>
    <row r="322" spans="1:18" ht="16.2" customHeight="1" x14ac:dyDescent="0.3">
      <c r="A322" s="63">
        <v>2021</v>
      </c>
      <c r="B322" s="63" t="s">
        <v>1371</v>
      </c>
      <c r="C322" s="63" t="s">
        <v>1372</v>
      </c>
      <c r="D322" s="63" t="s">
        <v>2</v>
      </c>
      <c r="E322" s="63" t="s">
        <v>1373</v>
      </c>
      <c r="F322" s="63" t="s">
        <v>1374</v>
      </c>
      <c r="G322" s="63" t="s">
        <v>1375</v>
      </c>
      <c r="L322" s="63">
        <v>2022</v>
      </c>
      <c r="M322" s="63" t="s">
        <v>1371</v>
      </c>
      <c r="N322" s="63" t="s">
        <v>1372</v>
      </c>
      <c r="O322" s="63" t="s">
        <v>2</v>
      </c>
      <c r="P322" s="63" t="s">
        <v>2972</v>
      </c>
      <c r="Q322" s="63" t="s">
        <v>1374</v>
      </c>
      <c r="R322" s="63" t="s">
        <v>1375</v>
      </c>
    </row>
    <row r="323" spans="1:18" ht="16.2" customHeight="1" x14ac:dyDescent="0.3">
      <c r="A323" s="63">
        <v>2021</v>
      </c>
      <c r="B323" s="63" t="s">
        <v>1371</v>
      </c>
      <c r="C323" s="63" t="s">
        <v>1376</v>
      </c>
      <c r="D323" s="63" t="s">
        <v>2</v>
      </c>
      <c r="E323" s="63" t="s">
        <v>1377</v>
      </c>
      <c r="F323" s="63" t="s">
        <v>1378</v>
      </c>
      <c r="G323" s="63" t="s">
        <v>1379</v>
      </c>
      <c r="L323" s="63">
        <v>2022</v>
      </c>
      <c r="M323" s="63" t="s">
        <v>1371</v>
      </c>
      <c r="N323" s="63" t="s">
        <v>1376</v>
      </c>
      <c r="O323" s="63" t="s">
        <v>2</v>
      </c>
      <c r="P323" s="63" t="s">
        <v>1380</v>
      </c>
      <c r="Q323" s="63" t="s">
        <v>1381</v>
      </c>
      <c r="R323" s="63" t="s">
        <v>1382</v>
      </c>
    </row>
    <row r="324" spans="1:18" ht="16.2" customHeight="1" x14ac:dyDescent="0.3">
      <c r="A324" s="63">
        <v>2021</v>
      </c>
      <c r="L324" s="63">
        <v>2022</v>
      </c>
      <c r="M324" s="63" t="s">
        <v>1371</v>
      </c>
      <c r="N324" s="63" t="s">
        <v>1383</v>
      </c>
      <c r="O324" s="63" t="s">
        <v>2</v>
      </c>
      <c r="P324" s="63" t="s">
        <v>1384</v>
      </c>
      <c r="Q324" s="63" t="s">
        <v>1385</v>
      </c>
      <c r="R324" s="63" t="s">
        <v>1386</v>
      </c>
    </row>
    <row r="325" spans="1:18" ht="16.2" customHeight="1" x14ac:dyDescent="0.3">
      <c r="A325" s="63">
        <v>2021</v>
      </c>
      <c r="B325" s="63" t="s">
        <v>1371</v>
      </c>
      <c r="C325" s="63" t="s">
        <v>1387</v>
      </c>
      <c r="D325" s="63" t="s">
        <v>2</v>
      </c>
      <c r="E325" s="63" t="s">
        <v>1388</v>
      </c>
      <c r="F325" s="63" t="s">
        <v>1389</v>
      </c>
      <c r="G325" s="63" t="s">
        <v>1390</v>
      </c>
      <c r="L325" s="63">
        <v>2022</v>
      </c>
      <c r="M325" s="63" t="s">
        <v>1371</v>
      </c>
      <c r="N325" s="63" t="s">
        <v>1387</v>
      </c>
      <c r="O325" s="63" t="s">
        <v>2</v>
      </c>
      <c r="P325" s="63" t="s">
        <v>1388</v>
      </c>
      <c r="Q325" s="63" t="s">
        <v>1389</v>
      </c>
      <c r="R325" s="63" t="s">
        <v>1390</v>
      </c>
    </row>
    <row r="326" spans="1:18" ht="16.2" customHeight="1" x14ac:dyDescent="0.3">
      <c r="A326" s="63">
        <v>2021</v>
      </c>
      <c r="B326" s="63" t="s">
        <v>1371</v>
      </c>
      <c r="C326" s="63" t="s">
        <v>1391</v>
      </c>
      <c r="D326" s="63" t="s">
        <v>2</v>
      </c>
      <c r="E326" s="63" t="s">
        <v>1392</v>
      </c>
      <c r="F326" s="63" t="s">
        <v>1393</v>
      </c>
      <c r="G326" s="63" t="s">
        <v>1394</v>
      </c>
      <c r="L326" s="63">
        <v>2022</v>
      </c>
      <c r="M326" s="63" t="s">
        <v>1371</v>
      </c>
      <c r="N326" s="63" t="s">
        <v>1391</v>
      </c>
      <c r="O326" s="63" t="s">
        <v>2</v>
      </c>
      <c r="P326" s="63" t="s">
        <v>1395</v>
      </c>
      <c r="Q326" s="63" t="s">
        <v>1396</v>
      </c>
      <c r="R326" s="63" t="s">
        <v>1397</v>
      </c>
    </row>
    <row r="327" spans="1:18" ht="16.2" customHeight="1" x14ac:dyDescent="0.3">
      <c r="A327" s="63">
        <v>2021</v>
      </c>
      <c r="B327" s="63" t="s">
        <v>1371</v>
      </c>
      <c r="C327" s="63" t="s">
        <v>1398</v>
      </c>
      <c r="D327" s="63" t="s">
        <v>2</v>
      </c>
      <c r="E327" s="63" t="s">
        <v>1399</v>
      </c>
      <c r="F327" s="63" t="s">
        <v>1400</v>
      </c>
      <c r="G327" s="63" t="s">
        <v>1401</v>
      </c>
      <c r="L327" s="63">
        <v>2022</v>
      </c>
      <c r="M327" s="63" t="s">
        <v>1371</v>
      </c>
      <c r="N327" s="63" t="s">
        <v>1398</v>
      </c>
      <c r="O327" s="63" t="s">
        <v>2</v>
      </c>
      <c r="P327" s="63" t="s">
        <v>1399</v>
      </c>
      <c r="Q327" s="63" t="s">
        <v>1400</v>
      </c>
      <c r="R327" s="63" t="s">
        <v>1401</v>
      </c>
    </row>
    <row r="328" spans="1:18" ht="16.2" customHeight="1" x14ac:dyDescent="0.3">
      <c r="A328" s="63">
        <v>2021</v>
      </c>
      <c r="B328" s="63" t="s">
        <v>1371</v>
      </c>
      <c r="C328" s="63" t="s">
        <v>1402</v>
      </c>
      <c r="D328" s="63" t="s">
        <v>2</v>
      </c>
      <c r="E328" s="63" t="s">
        <v>1403</v>
      </c>
      <c r="F328" s="63" t="s">
        <v>1404</v>
      </c>
      <c r="G328" s="63" t="s">
        <v>1405</v>
      </c>
      <c r="L328" s="63">
        <v>2022</v>
      </c>
      <c r="M328" s="63" t="s">
        <v>1371</v>
      </c>
      <c r="N328" s="63" t="s">
        <v>1402</v>
      </c>
      <c r="O328" s="63" t="s">
        <v>2</v>
      </c>
      <c r="P328" s="63" t="s">
        <v>1403</v>
      </c>
      <c r="Q328" s="63" t="s">
        <v>1404</v>
      </c>
      <c r="R328" s="63" t="s">
        <v>1405</v>
      </c>
    </row>
    <row r="329" spans="1:18" ht="16.2" customHeight="1" x14ac:dyDescent="0.3">
      <c r="A329" s="63">
        <v>2021</v>
      </c>
      <c r="B329" s="63" t="s">
        <v>1371</v>
      </c>
      <c r="C329" s="63" t="s">
        <v>1406</v>
      </c>
      <c r="D329" s="63" t="s">
        <v>2</v>
      </c>
      <c r="E329" s="63" t="s">
        <v>1407</v>
      </c>
      <c r="F329" s="63" t="s">
        <v>1408</v>
      </c>
      <c r="G329" s="63" t="s">
        <v>1409</v>
      </c>
      <c r="L329" s="63">
        <v>2022</v>
      </c>
    </row>
    <row r="330" spans="1:18" ht="16.2" customHeight="1" x14ac:dyDescent="0.3">
      <c r="A330" s="63">
        <v>2021</v>
      </c>
      <c r="L330" s="63">
        <v>2022</v>
      </c>
      <c r="M330" s="63" t="s">
        <v>1371</v>
      </c>
      <c r="N330" s="63" t="s">
        <v>1410</v>
      </c>
      <c r="O330" s="63" t="s">
        <v>2</v>
      </c>
      <c r="P330" s="63" t="s">
        <v>1411</v>
      </c>
      <c r="Q330" s="63" t="s">
        <v>1412</v>
      </c>
      <c r="R330" s="63" t="s">
        <v>1413</v>
      </c>
    </row>
    <row r="331" spans="1:18" ht="16.2" customHeight="1" x14ac:dyDescent="0.3">
      <c r="A331" s="63">
        <v>2021</v>
      </c>
      <c r="L331" s="63">
        <v>2022</v>
      </c>
      <c r="M331" s="63" t="s">
        <v>1371</v>
      </c>
      <c r="N331" s="63" t="s">
        <v>1414</v>
      </c>
      <c r="O331" s="63" t="s">
        <v>2</v>
      </c>
      <c r="P331" s="63" t="s">
        <v>1415</v>
      </c>
      <c r="Q331" s="63" t="s">
        <v>1416</v>
      </c>
      <c r="R331" s="63" t="s">
        <v>1417</v>
      </c>
    </row>
    <row r="332" spans="1:18" ht="16.2" customHeight="1" x14ac:dyDescent="0.3">
      <c r="A332" s="63">
        <v>2021</v>
      </c>
      <c r="L332" s="63">
        <v>2022</v>
      </c>
      <c r="M332" s="63" t="s">
        <v>1371</v>
      </c>
      <c r="N332" s="63" t="s">
        <v>1418</v>
      </c>
      <c r="O332" s="63" t="s">
        <v>2</v>
      </c>
      <c r="P332" s="63" t="s">
        <v>1419</v>
      </c>
      <c r="Q332" s="63" t="s">
        <v>1420</v>
      </c>
      <c r="R332" s="63" t="s">
        <v>1421</v>
      </c>
    </row>
    <row r="333" spans="1:18" ht="16.2" customHeight="1" x14ac:dyDescent="0.3">
      <c r="A333" s="63">
        <v>2021</v>
      </c>
      <c r="L333" s="63">
        <v>2022</v>
      </c>
      <c r="M333" s="63" t="s">
        <v>1371</v>
      </c>
      <c r="N333" s="63" t="s">
        <v>1422</v>
      </c>
      <c r="O333" s="63" t="s">
        <v>2</v>
      </c>
      <c r="P333" s="63" t="s">
        <v>1423</v>
      </c>
      <c r="Q333" s="63" t="s">
        <v>1424</v>
      </c>
      <c r="R333" s="63" t="s">
        <v>1425</v>
      </c>
    </row>
    <row r="334" spans="1:18" ht="16.2" customHeight="1" x14ac:dyDescent="0.3">
      <c r="A334" s="63">
        <v>2021</v>
      </c>
      <c r="L334" s="63">
        <v>2022</v>
      </c>
      <c r="M334" s="63" t="s">
        <v>1371</v>
      </c>
      <c r="N334" s="63" t="s">
        <v>1426</v>
      </c>
      <c r="O334" s="63" t="s">
        <v>2</v>
      </c>
      <c r="P334" s="63" t="s">
        <v>1427</v>
      </c>
      <c r="Q334" s="63" t="s">
        <v>1428</v>
      </c>
      <c r="R334" s="63" t="s">
        <v>1429</v>
      </c>
    </row>
    <row r="335" spans="1:18" ht="16.2" customHeight="1" x14ac:dyDescent="0.3">
      <c r="A335" s="63">
        <v>2021</v>
      </c>
      <c r="L335" s="63">
        <v>2022</v>
      </c>
      <c r="M335" s="63" t="s">
        <v>1371</v>
      </c>
      <c r="N335" s="63" t="s">
        <v>1430</v>
      </c>
      <c r="O335" s="63" t="s">
        <v>2</v>
      </c>
      <c r="P335" s="63" t="s">
        <v>1431</v>
      </c>
      <c r="Q335" s="63" t="s">
        <v>1432</v>
      </c>
      <c r="R335" s="63" t="s">
        <v>1433</v>
      </c>
    </row>
    <row r="336" spans="1:18" ht="16.2" customHeight="1" x14ac:dyDescent="0.3">
      <c r="A336" s="63">
        <v>2021</v>
      </c>
      <c r="B336" s="63" t="s">
        <v>1371</v>
      </c>
      <c r="C336" s="63" t="s">
        <v>1434</v>
      </c>
      <c r="D336" s="63" t="s">
        <v>2</v>
      </c>
      <c r="E336" s="63" t="s">
        <v>1435</v>
      </c>
      <c r="F336" s="63" t="s">
        <v>1436</v>
      </c>
      <c r="G336" s="63" t="s">
        <v>1437</v>
      </c>
      <c r="L336" s="63">
        <v>2022</v>
      </c>
      <c r="M336" s="63" t="s">
        <v>1371</v>
      </c>
      <c r="N336" s="63" t="s">
        <v>1434</v>
      </c>
      <c r="O336" s="63" t="s">
        <v>2</v>
      </c>
      <c r="P336" s="63" t="s">
        <v>1435</v>
      </c>
      <c r="Q336" s="63" t="s">
        <v>1438</v>
      </c>
      <c r="R336" s="63" t="s">
        <v>1437</v>
      </c>
    </row>
    <row r="337" spans="1:18" ht="16.2" customHeight="1" x14ac:dyDescent="0.3">
      <c r="A337" s="63">
        <v>2021</v>
      </c>
      <c r="B337" s="63" t="s">
        <v>1371</v>
      </c>
      <c r="C337" s="63" t="s">
        <v>1439</v>
      </c>
      <c r="D337" s="63" t="s">
        <v>2</v>
      </c>
      <c r="E337" s="63" t="s">
        <v>1440</v>
      </c>
      <c r="F337" s="63" t="s">
        <v>1441</v>
      </c>
      <c r="G337" s="63" t="s">
        <v>1442</v>
      </c>
      <c r="L337" s="63">
        <v>2022</v>
      </c>
      <c r="M337" s="63" t="s">
        <v>1371</v>
      </c>
      <c r="N337" s="63" t="s">
        <v>1439</v>
      </c>
      <c r="O337" s="63" t="s">
        <v>2</v>
      </c>
      <c r="P337" s="63" t="s">
        <v>1440</v>
      </c>
      <c r="Q337" s="63" t="s">
        <v>1443</v>
      </c>
      <c r="R337" s="63" t="s">
        <v>1442</v>
      </c>
    </row>
    <row r="338" spans="1:18" ht="16.2" customHeight="1" x14ac:dyDescent="0.3">
      <c r="A338" s="63">
        <v>2021</v>
      </c>
      <c r="B338" s="63" t="s">
        <v>1371</v>
      </c>
      <c r="C338" s="63" t="s">
        <v>1444</v>
      </c>
      <c r="D338" s="63" t="s">
        <v>2</v>
      </c>
      <c r="E338" s="63" t="s">
        <v>1445</v>
      </c>
      <c r="F338" s="63" t="s">
        <v>1446</v>
      </c>
      <c r="G338" s="63" t="s">
        <v>1447</v>
      </c>
      <c r="L338" s="63">
        <v>2022</v>
      </c>
      <c r="M338" s="63" t="s">
        <v>1371</v>
      </c>
      <c r="N338" s="63" t="s">
        <v>1444</v>
      </c>
      <c r="O338" s="63" t="s">
        <v>2</v>
      </c>
      <c r="P338" s="63" t="s">
        <v>1445</v>
      </c>
      <c r="Q338" s="63" t="s">
        <v>1446</v>
      </c>
      <c r="R338" s="63" t="s">
        <v>1447</v>
      </c>
    </row>
    <row r="339" spans="1:18" ht="16.2" customHeight="1" x14ac:dyDescent="0.3">
      <c r="A339" s="63">
        <v>2021</v>
      </c>
      <c r="B339" s="63" t="s">
        <v>1371</v>
      </c>
      <c r="C339" s="63" t="s">
        <v>1448</v>
      </c>
      <c r="D339" s="63" t="s">
        <v>2</v>
      </c>
      <c r="E339" s="63" t="s">
        <v>1449</v>
      </c>
      <c r="F339" s="63" t="s">
        <v>1450</v>
      </c>
      <c r="G339" s="63" t="s">
        <v>1451</v>
      </c>
      <c r="L339" s="63">
        <v>2022</v>
      </c>
      <c r="M339" s="63" t="s">
        <v>1371</v>
      </c>
      <c r="N339" s="63" t="s">
        <v>1448</v>
      </c>
      <c r="O339" s="63" t="s">
        <v>2</v>
      </c>
      <c r="P339" s="63" t="s">
        <v>1449</v>
      </c>
      <c r="Q339" s="63" t="s">
        <v>1450</v>
      </c>
      <c r="R339" s="63" t="s">
        <v>1451</v>
      </c>
    </row>
    <row r="340" spans="1:18" ht="16.2" customHeight="1" x14ac:dyDescent="0.3">
      <c r="A340" s="63">
        <v>2021</v>
      </c>
      <c r="B340" s="63" t="s">
        <v>1371</v>
      </c>
      <c r="C340" s="63" t="s">
        <v>1452</v>
      </c>
      <c r="D340" s="63" t="s">
        <v>2</v>
      </c>
      <c r="E340" s="63" t="s">
        <v>1453</v>
      </c>
      <c r="F340" s="63" t="s">
        <v>1454</v>
      </c>
      <c r="G340" s="63" t="s">
        <v>1455</v>
      </c>
      <c r="L340" s="63">
        <v>2022</v>
      </c>
      <c r="M340" s="63" t="s">
        <v>1371</v>
      </c>
      <c r="N340" s="63" t="s">
        <v>1452</v>
      </c>
      <c r="O340" s="63" t="s">
        <v>2</v>
      </c>
      <c r="P340" s="63" t="s">
        <v>1453</v>
      </c>
      <c r="Q340" s="63" t="s">
        <v>1456</v>
      </c>
      <c r="R340" s="63" t="s">
        <v>1455</v>
      </c>
    </row>
    <row r="343" spans="1:18" ht="16.2" customHeight="1" x14ac:dyDescent="0.3">
      <c r="A343" s="63">
        <v>2021</v>
      </c>
      <c r="B343" s="63" t="s">
        <v>1457</v>
      </c>
      <c r="C343" s="63" t="s">
        <v>1458</v>
      </c>
      <c r="D343" s="63" t="s">
        <v>2</v>
      </c>
      <c r="E343" s="63" t="s">
        <v>1459</v>
      </c>
      <c r="F343" s="63" t="s">
        <v>1460</v>
      </c>
      <c r="G343" s="63" t="s">
        <v>1461</v>
      </c>
      <c r="L343" s="63">
        <v>2022</v>
      </c>
      <c r="M343" s="63" t="s">
        <v>1457</v>
      </c>
      <c r="N343" s="63" t="s">
        <v>1458</v>
      </c>
      <c r="O343" s="63" t="s">
        <v>2</v>
      </c>
      <c r="P343" s="63" t="s">
        <v>1459</v>
      </c>
      <c r="Q343" s="63" t="s">
        <v>1460</v>
      </c>
      <c r="R343" s="63" t="s">
        <v>1461</v>
      </c>
    </row>
    <row r="344" spans="1:18" ht="16.2" customHeight="1" x14ac:dyDescent="0.3">
      <c r="A344" s="63">
        <v>2021</v>
      </c>
      <c r="B344" s="63" t="s">
        <v>1457</v>
      </c>
      <c r="C344" s="63" t="s">
        <v>1462</v>
      </c>
      <c r="D344" s="63" t="s">
        <v>2</v>
      </c>
      <c r="E344" s="63" t="s">
        <v>1463</v>
      </c>
      <c r="F344" s="63" t="s">
        <v>1464</v>
      </c>
      <c r="G344" s="63" t="s">
        <v>1465</v>
      </c>
      <c r="L344" s="63">
        <v>2022</v>
      </c>
      <c r="M344" s="63" t="s">
        <v>1457</v>
      </c>
      <c r="N344" s="63" t="s">
        <v>1462</v>
      </c>
      <c r="O344" s="63" t="s">
        <v>2</v>
      </c>
      <c r="P344" s="63" t="s">
        <v>1463</v>
      </c>
      <c r="Q344" s="63" t="s">
        <v>1464</v>
      </c>
      <c r="R344" s="63" t="s">
        <v>1465</v>
      </c>
    </row>
    <row r="345" spans="1:18" ht="16.2" customHeight="1" x14ac:dyDescent="0.3">
      <c r="A345" s="63">
        <v>2021</v>
      </c>
      <c r="B345" s="63" t="s">
        <v>1457</v>
      </c>
      <c r="C345" s="63" t="s">
        <v>1466</v>
      </c>
      <c r="D345" s="63" t="s">
        <v>2</v>
      </c>
      <c r="E345" s="63" t="s">
        <v>1467</v>
      </c>
      <c r="F345" s="63" t="s">
        <v>1468</v>
      </c>
      <c r="G345" s="63" t="s">
        <v>1469</v>
      </c>
      <c r="L345" s="63">
        <v>2022</v>
      </c>
      <c r="M345" s="63" t="s">
        <v>1457</v>
      </c>
      <c r="N345" s="63" t="s">
        <v>1466</v>
      </c>
      <c r="O345" s="63" t="s">
        <v>2</v>
      </c>
      <c r="P345" s="63" t="s">
        <v>1467</v>
      </c>
      <c r="Q345" s="63" t="s">
        <v>1468</v>
      </c>
      <c r="R345" s="63" t="s">
        <v>1469</v>
      </c>
    </row>
    <row r="346" spans="1:18" ht="16.2" customHeight="1" x14ac:dyDescent="0.3">
      <c r="A346" s="63">
        <v>2021</v>
      </c>
      <c r="B346" s="63" t="s">
        <v>1457</v>
      </c>
      <c r="C346" s="63" t="s">
        <v>1470</v>
      </c>
      <c r="D346" s="63" t="s">
        <v>2</v>
      </c>
      <c r="E346" s="63" t="s">
        <v>1471</v>
      </c>
      <c r="F346" s="63" t="s">
        <v>1472</v>
      </c>
      <c r="G346" s="63" t="s">
        <v>1473</v>
      </c>
      <c r="L346" s="63">
        <v>2022</v>
      </c>
      <c r="M346" s="63" t="s">
        <v>1457</v>
      </c>
      <c r="N346" s="63" t="s">
        <v>1470</v>
      </c>
      <c r="O346" s="63" t="s">
        <v>2</v>
      </c>
      <c r="P346" s="63" t="s">
        <v>1471</v>
      </c>
      <c r="Q346" s="63" t="s">
        <v>1472</v>
      </c>
      <c r="R346" s="63" t="s">
        <v>1473</v>
      </c>
    </row>
    <row r="347" spans="1:18" ht="16.2" customHeight="1" x14ac:dyDescent="0.3">
      <c r="A347" s="63">
        <v>2021</v>
      </c>
      <c r="B347" s="63" t="s">
        <v>1457</v>
      </c>
      <c r="C347" s="63" t="s">
        <v>1474</v>
      </c>
      <c r="D347" s="63" t="s">
        <v>2</v>
      </c>
      <c r="E347" s="63" t="s">
        <v>1475</v>
      </c>
      <c r="F347" s="63" t="s">
        <v>1476</v>
      </c>
      <c r="G347" s="63" t="s">
        <v>1477</v>
      </c>
      <c r="L347" s="63">
        <v>2022</v>
      </c>
      <c r="M347" s="63" t="s">
        <v>1457</v>
      </c>
      <c r="N347" s="63" t="s">
        <v>1474</v>
      </c>
      <c r="O347" s="63" t="s">
        <v>2</v>
      </c>
      <c r="P347" s="63" t="s">
        <v>1475</v>
      </c>
      <c r="Q347" s="63" t="s">
        <v>1476</v>
      </c>
      <c r="R347" s="63" t="s">
        <v>1477</v>
      </c>
    </row>
    <row r="348" spans="1:18" ht="16.2" customHeight="1" x14ac:dyDescent="0.3">
      <c r="A348" s="63">
        <v>2021</v>
      </c>
      <c r="B348" s="63" t="s">
        <v>1457</v>
      </c>
      <c r="C348" s="63" t="s">
        <v>1478</v>
      </c>
      <c r="D348" s="63" t="s">
        <v>2</v>
      </c>
      <c r="E348" s="63" t="s">
        <v>1479</v>
      </c>
      <c r="F348" s="63" t="s">
        <v>1480</v>
      </c>
      <c r="G348" s="63" t="s">
        <v>1481</v>
      </c>
      <c r="L348" s="63">
        <v>2022</v>
      </c>
      <c r="M348" s="63" t="s">
        <v>1457</v>
      </c>
      <c r="N348" s="63" t="s">
        <v>1478</v>
      </c>
      <c r="O348" s="63" t="s">
        <v>2</v>
      </c>
      <c r="P348" s="63" t="s">
        <v>1479</v>
      </c>
      <c r="Q348" s="63" t="s">
        <v>1480</v>
      </c>
      <c r="R348" s="63" t="s">
        <v>1481</v>
      </c>
    </row>
    <row r="349" spans="1:18" ht="16.2" customHeight="1" x14ac:dyDescent="0.3">
      <c r="A349" s="63">
        <v>2021</v>
      </c>
      <c r="B349" s="63" t="s">
        <v>1457</v>
      </c>
      <c r="C349" s="63" t="s">
        <v>1482</v>
      </c>
      <c r="D349" s="63" t="s">
        <v>2</v>
      </c>
      <c r="E349" s="63" t="s">
        <v>1483</v>
      </c>
      <c r="F349" s="63" t="s">
        <v>1484</v>
      </c>
      <c r="G349" s="63" t="s">
        <v>1485</v>
      </c>
      <c r="L349" s="63">
        <v>2022</v>
      </c>
      <c r="M349" s="63" t="s">
        <v>1457</v>
      </c>
      <c r="N349" s="63" t="s">
        <v>1482</v>
      </c>
      <c r="O349" s="63" t="s">
        <v>2</v>
      </c>
      <c r="P349" s="63" t="s">
        <v>1483</v>
      </c>
      <c r="Q349" s="63" t="s">
        <v>1484</v>
      </c>
      <c r="R349" s="63" t="s">
        <v>1485</v>
      </c>
    </row>
    <row r="350" spans="1:18" ht="16.2" customHeight="1" x14ac:dyDescent="0.3">
      <c r="A350" s="63">
        <v>2021</v>
      </c>
      <c r="B350" s="63" t="s">
        <v>1457</v>
      </c>
      <c r="C350" s="63" t="s">
        <v>1486</v>
      </c>
      <c r="D350" s="63" t="s">
        <v>2</v>
      </c>
      <c r="E350" s="63" t="s">
        <v>1487</v>
      </c>
      <c r="F350" s="63" t="s">
        <v>1488</v>
      </c>
      <c r="G350" s="63" t="s">
        <v>1489</v>
      </c>
      <c r="L350" s="63">
        <v>2022</v>
      </c>
    </row>
    <row r="351" spans="1:18" ht="16.2" customHeight="1" x14ac:dyDescent="0.3">
      <c r="A351" s="63">
        <v>2021</v>
      </c>
      <c r="L351" s="63">
        <v>2022</v>
      </c>
      <c r="M351" s="63" t="s">
        <v>1457</v>
      </c>
      <c r="N351" s="63" t="s">
        <v>1490</v>
      </c>
      <c r="O351" s="63" t="s">
        <v>2</v>
      </c>
      <c r="P351" s="63" t="s">
        <v>1491</v>
      </c>
      <c r="Q351" s="63" t="s">
        <v>1492</v>
      </c>
      <c r="R351" s="63" t="s">
        <v>1493</v>
      </c>
    </row>
    <row r="352" spans="1:18" ht="16.2" customHeight="1" x14ac:dyDescent="0.3">
      <c r="A352" s="63">
        <v>2021</v>
      </c>
      <c r="B352" s="63" t="s">
        <v>1457</v>
      </c>
      <c r="C352" s="63" t="s">
        <v>1494</v>
      </c>
      <c r="D352" s="63" t="s">
        <v>2</v>
      </c>
      <c r="E352" s="63" t="s">
        <v>1495</v>
      </c>
      <c r="F352" s="63" t="s">
        <v>1496</v>
      </c>
      <c r="G352" s="63" t="s">
        <v>1497</v>
      </c>
      <c r="L352" s="63">
        <v>2022</v>
      </c>
      <c r="M352" s="63" t="s">
        <v>1457</v>
      </c>
      <c r="N352" s="63" t="s">
        <v>1494</v>
      </c>
      <c r="O352" s="63" t="s">
        <v>2</v>
      </c>
      <c r="P352" s="63" t="s">
        <v>1495</v>
      </c>
      <c r="Q352" s="63" t="s">
        <v>1496</v>
      </c>
      <c r="R352" s="63" t="s">
        <v>1497</v>
      </c>
    </row>
    <row r="353" spans="1:18" ht="16.2" customHeight="1" x14ac:dyDescent="0.3">
      <c r="A353" s="63">
        <v>2021</v>
      </c>
      <c r="B353" s="63" t="s">
        <v>1457</v>
      </c>
      <c r="C353" s="63" t="s">
        <v>1498</v>
      </c>
      <c r="D353" s="63" t="s">
        <v>2</v>
      </c>
      <c r="E353" s="63" t="s">
        <v>1499</v>
      </c>
      <c r="F353" s="63" t="s">
        <v>1500</v>
      </c>
      <c r="G353" s="63" t="s">
        <v>1501</v>
      </c>
      <c r="L353" s="63">
        <v>2022</v>
      </c>
    </row>
    <row r="354" spans="1:18" ht="16.2" customHeight="1" x14ac:dyDescent="0.3">
      <c r="A354" s="63">
        <v>2021</v>
      </c>
      <c r="B354" s="63" t="s">
        <v>1457</v>
      </c>
      <c r="C354" s="63" t="s">
        <v>1502</v>
      </c>
      <c r="D354" s="63" t="s">
        <v>2</v>
      </c>
      <c r="E354" s="63" t="s">
        <v>1503</v>
      </c>
      <c r="F354" s="63" t="s">
        <v>1504</v>
      </c>
      <c r="G354" s="63" t="s">
        <v>1505</v>
      </c>
      <c r="L354" s="63">
        <v>2022</v>
      </c>
      <c r="M354" s="63" t="s">
        <v>1457</v>
      </c>
      <c r="N354" s="63" t="s">
        <v>1502</v>
      </c>
      <c r="O354" s="63" t="s">
        <v>2</v>
      </c>
      <c r="P354" s="63" t="s">
        <v>1503</v>
      </c>
      <c r="Q354" s="63" t="s">
        <v>1504</v>
      </c>
      <c r="R354" s="63" t="s">
        <v>1505</v>
      </c>
    </row>
    <row r="355" spans="1:18" ht="16.2" customHeight="1" x14ac:dyDescent="0.3">
      <c r="A355" s="63">
        <v>2021</v>
      </c>
      <c r="B355" s="63" t="s">
        <v>1457</v>
      </c>
      <c r="C355" s="63" t="s">
        <v>1506</v>
      </c>
      <c r="D355" s="63" t="s">
        <v>2</v>
      </c>
      <c r="E355" s="63" t="s">
        <v>1507</v>
      </c>
      <c r="F355" s="63" t="s">
        <v>1508</v>
      </c>
      <c r="G355" s="63" t="s">
        <v>1509</v>
      </c>
      <c r="L355" s="63">
        <v>2022</v>
      </c>
      <c r="M355" s="63" t="s">
        <v>1457</v>
      </c>
      <c r="N355" s="63" t="s">
        <v>1506</v>
      </c>
      <c r="O355" s="63" t="s">
        <v>2</v>
      </c>
      <c r="P355" s="63" t="s">
        <v>1507</v>
      </c>
      <c r="Q355" s="63" t="s">
        <v>1508</v>
      </c>
      <c r="R355" s="63" t="s">
        <v>1509</v>
      </c>
    </row>
    <row r="356" spans="1:18" ht="16.2" customHeight="1" x14ac:dyDescent="0.3">
      <c r="A356" s="63">
        <v>2021</v>
      </c>
      <c r="B356" s="63" t="s">
        <v>1457</v>
      </c>
      <c r="C356" s="63" t="s">
        <v>1510</v>
      </c>
      <c r="D356" s="63" t="s">
        <v>2</v>
      </c>
      <c r="E356" s="63" t="s">
        <v>1511</v>
      </c>
      <c r="F356" s="63" t="s">
        <v>1512</v>
      </c>
      <c r="G356" s="63" t="s">
        <v>1513</v>
      </c>
      <c r="L356" s="63">
        <v>2022</v>
      </c>
      <c r="M356" s="63" t="s">
        <v>1457</v>
      </c>
      <c r="N356" s="63" t="s">
        <v>1510</v>
      </c>
      <c r="O356" s="63" t="s">
        <v>2</v>
      </c>
      <c r="P356" s="63" t="s">
        <v>1511</v>
      </c>
      <c r="Q356" s="63" t="s">
        <v>1512</v>
      </c>
      <c r="R356" s="63" t="s">
        <v>1513</v>
      </c>
    </row>
    <row r="357" spans="1:18" ht="16.2" customHeight="1" x14ac:dyDescent="0.3">
      <c r="A357" s="63">
        <v>2021</v>
      </c>
      <c r="B357" s="63" t="s">
        <v>1457</v>
      </c>
      <c r="C357" s="63" t="s">
        <v>1514</v>
      </c>
      <c r="D357" s="63" t="s">
        <v>2</v>
      </c>
      <c r="E357" s="63" t="s">
        <v>1515</v>
      </c>
      <c r="F357" s="63" t="s">
        <v>1516</v>
      </c>
      <c r="G357" s="63" t="s">
        <v>1517</v>
      </c>
      <c r="L357" s="63">
        <v>2022</v>
      </c>
      <c r="M357" s="63" t="s">
        <v>1457</v>
      </c>
      <c r="N357" s="63" t="s">
        <v>1514</v>
      </c>
      <c r="O357" s="63" t="s">
        <v>2</v>
      </c>
      <c r="P357" s="63" t="s">
        <v>1515</v>
      </c>
      <c r="Q357" s="63" t="s">
        <v>1516</v>
      </c>
      <c r="R357" s="63" t="s">
        <v>1517</v>
      </c>
    </row>
    <row r="358" spans="1:18" ht="16.2" customHeight="1" x14ac:dyDescent="0.3">
      <c r="A358" s="63">
        <v>2021</v>
      </c>
      <c r="B358" s="63" t="s">
        <v>1457</v>
      </c>
      <c r="C358" s="63" t="s">
        <v>1518</v>
      </c>
      <c r="D358" s="63" t="s">
        <v>2</v>
      </c>
      <c r="E358" s="63" t="s">
        <v>1519</v>
      </c>
      <c r="F358" s="63" t="s">
        <v>1520</v>
      </c>
      <c r="G358" s="63" t="s">
        <v>1521</v>
      </c>
      <c r="L358" s="63">
        <v>2022</v>
      </c>
      <c r="M358" s="63" t="s">
        <v>1457</v>
      </c>
      <c r="N358" s="63" t="s">
        <v>1518</v>
      </c>
      <c r="O358" s="63" t="s">
        <v>2</v>
      </c>
      <c r="P358" s="63" t="s">
        <v>1519</v>
      </c>
      <c r="Q358" s="63" t="s">
        <v>1520</v>
      </c>
      <c r="R358" s="63" t="s">
        <v>1521</v>
      </c>
    </row>
    <row r="359" spans="1:18" ht="16.2" customHeight="1" x14ac:dyDescent="0.3">
      <c r="A359" s="63">
        <v>2021</v>
      </c>
      <c r="B359" s="63" t="s">
        <v>1457</v>
      </c>
      <c r="C359" s="63" t="s">
        <v>1522</v>
      </c>
      <c r="D359" s="63" t="s">
        <v>2</v>
      </c>
      <c r="E359" s="63" t="s">
        <v>1523</v>
      </c>
      <c r="F359" s="63" t="s">
        <v>1524</v>
      </c>
      <c r="G359" s="63" t="s">
        <v>1525</v>
      </c>
      <c r="L359" s="63">
        <v>2022</v>
      </c>
    </row>
    <row r="360" spans="1:18" ht="16.2" customHeight="1" x14ac:dyDescent="0.3">
      <c r="A360" s="63">
        <v>2021</v>
      </c>
      <c r="B360" s="63" t="s">
        <v>1457</v>
      </c>
      <c r="C360" s="63" t="s">
        <v>1526</v>
      </c>
      <c r="D360" s="63" t="s">
        <v>2</v>
      </c>
      <c r="E360" s="63" t="s">
        <v>1527</v>
      </c>
      <c r="F360" s="63" t="s">
        <v>1528</v>
      </c>
      <c r="G360" s="63" t="s">
        <v>1529</v>
      </c>
      <c r="L360" s="63">
        <v>2022</v>
      </c>
      <c r="M360" s="63" t="s">
        <v>1457</v>
      </c>
      <c r="N360" s="63" t="s">
        <v>1526</v>
      </c>
      <c r="O360" s="63" t="s">
        <v>2</v>
      </c>
      <c r="P360" s="63" t="s">
        <v>1527</v>
      </c>
      <c r="Q360" s="63" t="s">
        <v>1528</v>
      </c>
      <c r="R360" s="63" t="s">
        <v>1529</v>
      </c>
    </row>
    <row r="361" spans="1:18" ht="16.2" customHeight="1" x14ac:dyDescent="0.3">
      <c r="A361" s="63">
        <v>2021</v>
      </c>
      <c r="B361" s="63" t="s">
        <v>1457</v>
      </c>
      <c r="C361" s="63" t="s">
        <v>1530</v>
      </c>
      <c r="D361" s="63" t="s">
        <v>2</v>
      </c>
      <c r="E361" s="63" t="s">
        <v>1531</v>
      </c>
      <c r="F361" s="63" t="s">
        <v>1532</v>
      </c>
      <c r="G361" s="63" t="s">
        <v>1533</v>
      </c>
      <c r="L361" s="63">
        <v>2022</v>
      </c>
      <c r="M361" s="63" t="s">
        <v>1457</v>
      </c>
      <c r="N361" s="63" t="s">
        <v>1530</v>
      </c>
      <c r="O361" s="63" t="s">
        <v>2</v>
      </c>
      <c r="P361" s="63" t="s">
        <v>1531</v>
      </c>
      <c r="Q361" s="63" t="s">
        <v>1532</v>
      </c>
      <c r="R361" s="63" t="s">
        <v>1533</v>
      </c>
    </row>
    <row r="362" spans="1:18" ht="16.2" customHeight="1" x14ac:dyDescent="0.3">
      <c r="A362" s="63">
        <v>2021</v>
      </c>
      <c r="B362" s="63" t="s">
        <v>1457</v>
      </c>
      <c r="C362" s="63" t="s">
        <v>1534</v>
      </c>
      <c r="D362" s="63" t="s">
        <v>2</v>
      </c>
      <c r="E362" s="63" t="s">
        <v>1535</v>
      </c>
      <c r="F362" s="63" t="s">
        <v>1536</v>
      </c>
      <c r="G362" s="63" t="s">
        <v>1537</v>
      </c>
      <c r="L362" s="63">
        <v>2022</v>
      </c>
      <c r="M362" s="63" t="s">
        <v>1457</v>
      </c>
      <c r="N362" s="63" t="s">
        <v>1534</v>
      </c>
      <c r="O362" s="63" t="s">
        <v>2</v>
      </c>
      <c r="P362" s="63" t="s">
        <v>1535</v>
      </c>
      <c r="Q362" s="63" t="s">
        <v>1536</v>
      </c>
      <c r="R362" s="63" t="s">
        <v>1537</v>
      </c>
    </row>
    <row r="363" spans="1:18" ht="16.2" customHeight="1" x14ac:dyDescent="0.3">
      <c r="A363" s="63">
        <v>2021</v>
      </c>
      <c r="B363" s="63" t="s">
        <v>1457</v>
      </c>
      <c r="C363" s="63" t="s">
        <v>1538</v>
      </c>
      <c r="D363" s="63" t="s">
        <v>2</v>
      </c>
      <c r="E363" s="63" t="s">
        <v>1539</v>
      </c>
      <c r="F363" s="63" t="s">
        <v>1540</v>
      </c>
      <c r="G363" s="63" t="s">
        <v>1541</v>
      </c>
      <c r="L363" s="63">
        <v>2022</v>
      </c>
      <c r="M363" s="63" t="s">
        <v>1457</v>
      </c>
      <c r="N363" s="63" t="s">
        <v>1538</v>
      </c>
      <c r="O363" s="63" t="s">
        <v>2</v>
      </c>
      <c r="P363" s="63" t="s">
        <v>1539</v>
      </c>
      <c r="Q363" s="63" t="s">
        <v>1540</v>
      </c>
      <c r="R363" s="63" t="s">
        <v>1541</v>
      </c>
    </row>
    <row r="364" spans="1:18" ht="16.2" customHeight="1" x14ac:dyDescent="0.3">
      <c r="A364" s="63">
        <v>2021</v>
      </c>
      <c r="L364" s="63">
        <v>2022</v>
      </c>
      <c r="M364" s="63" t="s">
        <v>1457</v>
      </c>
      <c r="N364" s="63" t="s">
        <v>1542</v>
      </c>
      <c r="O364" s="63" t="s">
        <v>2</v>
      </c>
      <c r="P364" s="63" t="s">
        <v>1543</v>
      </c>
      <c r="Q364" s="63" t="s">
        <v>1544</v>
      </c>
      <c r="R364" s="63" t="s">
        <v>1545</v>
      </c>
    </row>
    <row r="365" spans="1:18" ht="16.2" customHeight="1" x14ac:dyDescent="0.3">
      <c r="A365" s="63">
        <v>2021</v>
      </c>
      <c r="L365" s="63">
        <v>2022</v>
      </c>
      <c r="M365" s="63" t="s">
        <v>1457</v>
      </c>
      <c r="N365" s="63" t="s">
        <v>1546</v>
      </c>
      <c r="O365" s="63" t="s">
        <v>2</v>
      </c>
      <c r="P365" s="63" t="s">
        <v>1547</v>
      </c>
      <c r="Q365" s="63" t="s">
        <v>1548</v>
      </c>
      <c r="R365" s="63" t="s">
        <v>1549</v>
      </c>
    </row>
    <row r="366" spans="1:18" ht="16.2" customHeight="1" x14ac:dyDescent="0.3">
      <c r="A366" s="63">
        <v>2021</v>
      </c>
      <c r="L366" s="63">
        <v>2022</v>
      </c>
      <c r="M366" s="63" t="s">
        <v>1457</v>
      </c>
      <c r="N366" s="63" t="s">
        <v>1550</v>
      </c>
      <c r="O366" s="63" t="s">
        <v>2</v>
      </c>
      <c r="P366" s="63" t="s">
        <v>1551</v>
      </c>
      <c r="Q366" s="63" t="s">
        <v>1552</v>
      </c>
      <c r="R366" s="63" t="s">
        <v>1553</v>
      </c>
    </row>
    <row r="367" spans="1:18" ht="16.2" customHeight="1" x14ac:dyDescent="0.3">
      <c r="A367" s="63">
        <v>2021</v>
      </c>
      <c r="B367" s="63" t="s">
        <v>1457</v>
      </c>
      <c r="C367" s="63" t="s">
        <v>1554</v>
      </c>
      <c r="D367" s="63" t="s">
        <v>2</v>
      </c>
      <c r="E367" s="63" t="s">
        <v>1555</v>
      </c>
      <c r="F367" s="63" t="s">
        <v>1556</v>
      </c>
      <c r="G367" s="63" t="s">
        <v>1557</v>
      </c>
      <c r="L367" s="63">
        <v>2022</v>
      </c>
      <c r="M367" s="63" t="s">
        <v>1457</v>
      </c>
      <c r="N367" s="63" t="s">
        <v>1554</v>
      </c>
      <c r="O367" s="63" t="s">
        <v>2</v>
      </c>
      <c r="P367" s="63" t="s">
        <v>1555</v>
      </c>
      <c r="Q367" s="63" t="s">
        <v>1556</v>
      </c>
      <c r="R367" s="63" t="s">
        <v>1557</v>
      </c>
    </row>
    <row r="368" spans="1:18" ht="16.2" customHeight="1" x14ac:dyDescent="0.3">
      <c r="A368" s="63">
        <v>2021</v>
      </c>
      <c r="B368" s="63" t="s">
        <v>1457</v>
      </c>
      <c r="C368" s="63" t="s">
        <v>1558</v>
      </c>
      <c r="D368" s="63" t="s">
        <v>2</v>
      </c>
      <c r="E368" s="63" t="s">
        <v>1559</v>
      </c>
      <c r="F368" s="63" t="s">
        <v>1560</v>
      </c>
      <c r="G368" s="63" t="s">
        <v>1561</v>
      </c>
      <c r="L368" s="63">
        <v>2022</v>
      </c>
      <c r="M368" s="63" t="s">
        <v>1457</v>
      </c>
      <c r="N368" s="63" t="s">
        <v>1558</v>
      </c>
      <c r="O368" s="63" t="s">
        <v>2</v>
      </c>
      <c r="P368" s="63" t="s">
        <v>1559</v>
      </c>
      <c r="Q368" s="63" t="s">
        <v>1560</v>
      </c>
      <c r="R368" s="63" t="s">
        <v>1561</v>
      </c>
    </row>
    <row r="369" spans="1:18" ht="16.2" customHeight="1" x14ac:dyDescent="0.3">
      <c r="A369" s="63">
        <v>2021</v>
      </c>
      <c r="B369" s="63" t="s">
        <v>1457</v>
      </c>
      <c r="C369" s="63" t="s">
        <v>1562</v>
      </c>
      <c r="D369" s="63" t="s">
        <v>2</v>
      </c>
      <c r="E369" s="63" t="s">
        <v>1563</v>
      </c>
      <c r="F369" s="63" t="s">
        <v>1564</v>
      </c>
      <c r="G369" s="63" t="s">
        <v>1565</v>
      </c>
      <c r="L369" s="63">
        <v>2022</v>
      </c>
      <c r="M369" s="63" t="s">
        <v>1457</v>
      </c>
      <c r="N369" s="63" t="s">
        <v>1562</v>
      </c>
      <c r="O369" s="63" t="s">
        <v>2</v>
      </c>
      <c r="P369" s="63" t="s">
        <v>1563</v>
      </c>
      <c r="Q369" s="63" t="s">
        <v>1564</v>
      </c>
      <c r="R369" s="63" t="s">
        <v>1565</v>
      </c>
    </row>
    <row r="373" spans="1:18" ht="16.2" customHeight="1" x14ac:dyDescent="0.3">
      <c r="A373" s="63">
        <v>2021</v>
      </c>
      <c r="B373" s="63" t="s">
        <v>1566</v>
      </c>
      <c r="C373" s="63" t="s">
        <v>1567</v>
      </c>
      <c r="D373" s="63" t="s">
        <v>1568</v>
      </c>
      <c r="E373" s="63" t="s">
        <v>1569</v>
      </c>
      <c r="F373" s="63" t="s">
        <v>1570</v>
      </c>
      <c r="G373" s="63" t="s">
        <v>1537</v>
      </c>
      <c r="L373" s="63">
        <v>2022</v>
      </c>
      <c r="M373" s="63" t="s">
        <v>1571</v>
      </c>
      <c r="N373" s="63" t="s">
        <v>1567</v>
      </c>
      <c r="O373" s="63" t="s">
        <v>1568</v>
      </c>
      <c r="P373" s="63" t="s">
        <v>1569</v>
      </c>
      <c r="Q373" s="63" t="s">
        <v>1570</v>
      </c>
      <c r="R373" s="63" t="s">
        <v>1537</v>
      </c>
    </row>
    <row r="374" spans="1:18" ht="16.2" customHeight="1" x14ac:dyDescent="0.3">
      <c r="A374" s="63">
        <v>2021</v>
      </c>
      <c r="B374" s="63" t="s">
        <v>1566</v>
      </c>
      <c r="C374" s="63" t="s">
        <v>1572</v>
      </c>
      <c r="D374" s="63" t="s">
        <v>1568</v>
      </c>
      <c r="E374" s="63" t="s">
        <v>1573</v>
      </c>
      <c r="F374" s="63" t="s">
        <v>1574</v>
      </c>
      <c r="G374" s="63" t="s">
        <v>1575</v>
      </c>
      <c r="L374" s="63">
        <v>2022</v>
      </c>
      <c r="M374" s="63" t="s">
        <v>1571</v>
      </c>
      <c r="N374" s="63" t="s">
        <v>1572</v>
      </c>
      <c r="O374" s="63" t="s">
        <v>1568</v>
      </c>
      <c r="P374" s="63" t="s">
        <v>1573</v>
      </c>
      <c r="Q374" s="63" t="s">
        <v>1574</v>
      </c>
      <c r="R374" s="63" t="s">
        <v>1575</v>
      </c>
    </row>
    <row r="375" spans="1:18" ht="16.2" customHeight="1" x14ac:dyDescent="0.3">
      <c r="A375" s="63">
        <v>2021</v>
      </c>
      <c r="B375" s="63" t="s">
        <v>1566</v>
      </c>
      <c r="C375" s="63" t="s">
        <v>1576</v>
      </c>
      <c r="D375" s="63" t="s">
        <v>1568</v>
      </c>
      <c r="E375" s="63" t="s">
        <v>1577</v>
      </c>
      <c r="F375" s="63" t="s">
        <v>1578</v>
      </c>
      <c r="G375" s="63" t="s">
        <v>1579</v>
      </c>
      <c r="L375" s="63">
        <v>2022</v>
      </c>
      <c r="M375" s="63" t="s">
        <v>1571</v>
      </c>
      <c r="N375" s="63" t="s">
        <v>1576</v>
      </c>
      <c r="O375" s="63" t="s">
        <v>1568</v>
      </c>
      <c r="P375" s="63" t="s">
        <v>1577</v>
      </c>
      <c r="Q375" s="63" t="s">
        <v>1578</v>
      </c>
      <c r="R375" s="63" t="s">
        <v>1579</v>
      </c>
    </row>
    <row r="376" spans="1:18" ht="16.2" customHeight="1" x14ac:dyDescent="0.3">
      <c r="A376" s="63">
        <v>2021</v>
      </c>
      <c r="B376" s="63" t="s">
        <v>1566</v>
      </c>
      <c r="C376" s="63" t="s">
        <v>1580</v>
      </c>
      <c r="D376" s="63" t="s">
        <v>1568</v>
      </c>
      <c r="E376" s="63" t="s">
        <v>1581</v>
      </c>
      <c r="F376" s="63" t="s">
        <v>1582</v>
      </c>
      <c r="G376" s="63" t="s">
        <v>1583</v>
      </c>
      <c r="L376" s="63">
        <v>2022</v>
      </c>
      <c r="M376" s="63" t="s">
        <v>1571</v>
      </c>
      <c r="N376" s="63" t="s">
        <v>1580</v>
      </c>
      <c r="O376" s="63" t="s">
        <v>1568</v>
      </c>
      <c r="P376" s="63" t="s">
        <v>1581</v>
      </c>
      <c r="Q376" s="63" t="s">
        <v>1582</v>
      </c>
      <c r="R376" s="63" t="s">
        <v>1583</v>
      </c>
    </row>
    <row r="377" spans="1:18" ht="16.2" customHeight="1" x14ac:dyDescent="0.3">
      <c r="A377" s="63">
        <v>2021</v>
      </c>
      <c r="B377" s="63" t="s">
        <v>1566</v>
      </c>
      <c r="C377" s="63" t="s">
        <v>1584</v>
      </c>
      <c r="D377" s="63" t="s">
        <v>1568</v>
      </c>
      <c r="E377" s="63" t="s">
        <v>1585</v>
      </c>
      <c r="F377" s="63" t="s">
        <v>1586</v>
      </c>
      <c r="G377" s="63" t="s">
        <v>1587</v>
      </c>
      <c r="L377" s="63">
        <v>2022</v>
      </c>
      <c r="M377" s="63" t="s">
        <v>1571</v>
      </c>
      <c r="N377" s="63" t="s">
        <v>1584</v>
      </c>
      <c r="O377" s="63" t="s">
        <v>1568</v>
      </c>
      <c r="P377" s="63" t="s">
        <v>1585</v>
      </c>
      <c r="Q377" s="63" t="s">
        <v>1586</v>
      </c>
      <c r="R377" s="63" t="s">
        <v>1587</v>
      </c>
    </row>
    <row r="378" spans="1:18" ht="16.2" customHeight="1" x14ac:dyDescent="0.3">
      <c r="A378" s="63">
        <v>2021</v>
      </c>
      <c r="B378" s="63" t="s">
        <v>1566</v>
      </c>
      <c r="C378" s="63" t="s">
        <v>1588</v>
      </c>
      <c r="D378" s="63" t="s">
        <v>1568</v>
      </c>
      <c r="E378" s="63" t="s">
        <v>1589</v>
      </c>
      <c r="F378" s="63" t="s">
        <v>1590</v>
      </c>
      <c r="G378" s="63" t="s">
        <v>1591</v>
      </c>
      <c r="L378" s="63">
        <v>2022</v>
      </c>
      <c r="M378" s="63" t="s">
        <v>1571</v>
      </c>
      <c r="N378" s="63" t="s">
        <v>1588</v>
      </c>
      <c r="O378" s="63" t="s">
        <v>1568</v>
      </c>
      <c r="P378" s="63" t="s">
        <v>1589</v>
      </c>
      <c r="Q378" s="63" t="s">
        <v>1590</v>
      </c>
      <c r="R378" s="63" t="s">
        <v>1591</v>
      </c>
    </row>
    <row r="379" spans="1:18" ht="16.2" customHeight="1" x14ac:dyDescent="0.3">
      <c r="A379" s="63">
        <v>2021</v>
      </c>
      <c r="B379" s="63" t="s">
        <v>1566</v>
      </c>
      <c r="C379" s="63" t="s">
        <v>1592</v>
      </c>
      <c r="D379" s="63" t="s">
        <v>1568</v>
      </c>
      <c r="E379" s="63" t="s">
        <v>1593</v>
      </c>
      <c r="F379" s="63" t="s">
        <v>1594</v>
      </c>
      <c r="G379" s="63" t="s">
        <v>1595</v>
      </c>
      <c r="L379" s="63">
        <v>2022</v>
      </c>
      <c r="M379" s="63" t="s">
        <v>1571</v>
      </c>
      <c r="N379" s="63" t="s">
        <v>1592</v>
      </c>
      <c r="O379" s="63" t="s">
        <v>1568</v>
      </c>
      <c r="P379" s="63" t="s">
        <v>1593</v>
      </c>
      <c r="Q379" s="63" t="s">
        <v>1594</v>
      </c>
      <c r="R379" s="63" t="s">
        <v>1595</v>
      </c>
    </row>
    <row r="380" spans="1:18" ht="16.2" customHeight="1" x14ac:dyDescent="0.3">
      <c r="A380" s="63">
        <v>2021</v>
      </c>
      <c r="B380" s="63" t="s">
        <v>1566</v>
      </c>
      <c r="C380" s="63" t="s">
        <v>1596</v>
      </c>
      <c r="D380" s="63" t="s">
        <v>1568</v>
      </c>
      <c r="E380" s="63" t="s">
        <v>1597</v>
      </c>
      <c r="F380" s="63" t="s">
        <v>1598</v>
      </c>
      <c r="G380" s="63" t="s">
        <v>1599</v>
      </c>
      <c r="L380" s="63">
        <v>2022</v>
      </c>
      <c r="M380" s="63" t="s">
        <v>1571</v>
      </c>
      <c r="N380" s="63" t="s">
        <v>1600</v>
      </c>
      <c r="O380" s="63" t="s">
        <v>1568</v>
      </c>
      <c r="P380" s="63" t="s">
        <v>1597</v>
      </c>
      <c r="Q380" s="63" t="s">
        <v>1598</v>
      </c>
      <c r="R380" s="63" t="s">
        <v>1599</v>
      </c>
    </row>
    <row r="381" spans="1:18" ht="16.2" customHeight="1" x14ac:dyDescent="0.3">
      <c r="A381" s="63">
        <v>2021</v>
      </c>
      <c r="B381" s="63" t="s">
        <v>1566</v>
      </c>
      <c r="C381" s="63" t="s">
        <v>1601</v>
      </c>
      <c r="D381" s="63" t="s">
        <v>1568</v>
      </c>
      <c r="E381" s="63" t="s">
        <v>1602</v>
      </c>
      <c r="F381" s="63" t="s">
        <v>1603</v>
      </c>
      <c r="G381" s="63" t="s">
        <v>1604</v>
      </c>
      <c r="L381" s="63">
        <v>2022</v>
      </c>
      <c r="M381" s="63" t="s">
        <v>1571</v>
      </c>
      <c r="N381" s="63" t="s">
        <v>1601</v>
      </c>
      <c r="O381" s="63" t="s">
        <v>1568</v>
      </c>
      <c r="P381" s="63" t="s">
        <v>1602</v>
      </c>
      <c r="Q381" s="63" t="s">
        <v>1603</v>
      </c>
      <c r="R381" s="63" t="s">
        <v>1604</v>
      </c>
    </row>
    <row r="382" spans="1:18" ht="16.2" customHeight="1" x14ac:dyDescent="0.3">
      <c r="A382" s="63">
        <v>2021</v>
      </c>
      <c r="B382" s="63" t="s">
        <v>1566</v>
      </c>
      <c r="C382" s="63" t="s">
        <v>1605</v>
      </c>
      <c r="D382" s="63" t="s">
        <v>1568</v>
      </c>
      <c r="E382" s="63" t="s">
        <v>1606</v>
      </c>
      <c r="F382" s="63" t="s">
        <v>1607</v>
      </c>
      <c r="G382" s="63" t="s">
        <v>1608</v>
      </c>
      <c r="L382" s="63">
        <v>2022</v>
      </c>
      <c r="M382" s="63" t="s">
        <v>1571</v>
      </c>
      <c r="N382" s="63" t="s">
        <v>1605</v>
      </c>
      <c r="O382" s="63" t="s">
        <v>1568</v>
      </c>
      <c r="P382" s="63" t="s">
        <v>1606</v>
      </c>
      <c r="Q382" s="63" t="s">
        <v>1607</v>
      </c>
      <c r="R382" s="63" t="s">
        <v>1608</v>
      </c>
    </row>
    <row r="383" spans="1:18" ht="16.2" customHeight="1" x14ac:dyDescent="0.3">
      <c r="A383" s="63">
        <v>2021</v>
      </c>
      <c r="B383" s="63" t="s">
        <v>1566</v>
      </c>
      <c r="C383" s="63" t="s">
        <v>1609</v>
      </c>
      <c r="D383" s="63" t="s">
        <v>1568</v>
      </c>
      <c r="E383" s="63" t="s">
        <v>1610</v>
      </c>
      <c r="F383" s="63" t="s">
        <v>1611</v>
      </c>
      <c r="G383" s="63" t="s">
        <v>1612</v>
      </c>
      <c r="L383" s="63">
        <v>2022</v>
      </c>
      <c r="M383" s="63" t="s">
        <v>1571</v>
      </c>
      <c r="N383" s="63" t="s">
        <v>1609</v>
      </c>
      <c r="O383" s="63" t="s">
        <v>1568</v>
      </c>
      <c r="P383" s="63" t="s">
        <v>1610</v>
      </c>
      <c r="Q383" s="63" t="s">
        <v>1611</v>
      </c>
      <c r="R383" s="63" t="s">
        <v>1612</v>
      </c>
    </row>
    <row r="384" spans="1:18" ht="16.2" customHeight="1" x14ac:dyDescent="0.3">
      <c r="A384" s="63">
        <v>2021</v>
      </c>
      <c r="B384" s="63" t="s">
        <v>1566</v>
      </c>
      <c r="C384" s="63" t="s">
        <v>1613</v>
      </c>
      <c r="D384" s="63" t="s">
        <v>1568</v>
      </c>
      <c r="E384" s="63" t="s">
        <v>1614</v>
      </c>
      <c r="F384" s="63" t="s">
        <v>1615</v>
      </c>
      <c r="G384" s="63" t="s">
        <v>1616</v>
      </c>
      <c r="L384" s="63">
        <v>2022</v>
      </c>
      <c r="M384" s="63" t="s">
        <v>1571</v>
      </c>
      <c r="N384" s="63" t="s">
        <v>1613</v>
      </c>
      <c r="O384" s="63" t="s">
        <v>1568</v>
      </c>
      <c r="P384" s="63" t="s">
        <v>1614</v>
      </c>
      <c r="Q384" s="63" t="s">
        <v>1615</v>
      </c>
      <c r="R384" s="63" t="s">
        <v>1616</v>
      </c>
    </row>
    <row r="385" spans="1:18" ht="16.2" customHeight="1" x14ac:dyDescent="0.3">
      <c r="A385" s="63">
        <v>2021</v>
      </c>
      <c r="B385" s="63" t="s">
        <v>1566</v>
      </c>
      <c r="C385" s="63" t="s">
        <v>1617</v>
      </c>
      <c r="D385" s="63" t="s">
        <v>1568</v>
      </c>
      <c r="E385" s="63" t="s">
        <v>1618</v>
      </c>
      <c r="F385" s="63" t="s">
        <v>1619</v>
      </c>
      <c r="G385" s="63" t="s">
        <v>1620</v>
      </c>
      <c r="L385" s="63">
        <v>2022</v>
      </c>
      <c r="M385" s="63" t="s">
        <v>1571</v>
      </c>
      <c r="N385" s="63" t="s">
        <v>1617</v>
      </c>
      <c r="O385" s="63" t="s">
        <v>1568</v>
      </c>
      <c r="P385" s="63" t="s">
        <v>1618</v>
      </c>
      <c r="Q385" s="63" t="s">
        <v>1619</v>
      </c>
      <c r="R385" s="63" t="s">
        <v>1620</v>
      </c>
    </row>
    <row r="386" spans="1:18" ht="16.2" customHeight="1" x14ac:dyDescent="0.3">
      <c r="A386" s="63">
        <v>2021</v>
      </c>
      <c r="B386" s="63" t="s">
        <v>1566</v>
      </c>
      <c r="C386" s="63" t="s">
        <v>1621</v>
      </c>
      <c r="D386" s="63" t="s">
        <v>1568</v>
      </c>
      <c r="E386" s="63" t="s">
        <v>1622</v>
      </c>
      <c r="F386" s="63" t="s">
        <v>1623</v>
      </c>
      <c r="G386" s="63" t="s">
        <v>1624</v>
      </c>
      <c r="L386" s="63">
        <v>2022</v>
      </c>
      <c r="M386" s="63" t="s">
        <v>1571</v>
      </c>
      <c r="N386" s="63" t="s">
        <v>1621</v>
      </c>
      <c r="O386" s="63" t="s">
        <v>1568</v>
      </c>
      <c r="P386" s="63" t="s">
        <v>1622</v>
      </c>
      <c r="Q386" s="63" t="s">
        <v>1623</v>
      </c>
      <c r="R386" s="63" t="s">
        <v>1624</v>
      </c>
    </row>
    <row r="387" spans="1:18" ht="16.2" customHeight="1" x14ac:dyDescent="0.3">
      <c r="A387" s="63">
        <v>2021</v>
      </c>
      <c r="B387" s="63" t="s">
        <v>1566</v>
      </c>
      <c r="C387" s="63" t="s">
        <v>1625</v>
      </c>
      <c r="D387" s="63" t="s">
        <v>1568</v>
      </c>
      <c r="E387" s="63" t="s">
        <v>1626</v>
      </c>
      <c r="F387" s="63" t="s">
        <v>1627</v>
      </c>
      <c r="G387" s="63" t="s">
        <v>1628</v>
      </c>
      <c r="L387" s="63">
        <v>2022</v>
      </c>
      <c r="M387" s="63" t="s">
        <v>1571</v>
      </c>
      <c r="N387" s="63" t="s">
        <v>1625</v>
      </c>
      <c r="O387" s="63" t="s">
        <v>1568</v>
      </c>
      <c r="P387" s="63" t="s">
        <v>1626</v>
      </c>
      <c r="Q387" s="63" t="s">
        <v>1627</v>
      </c>
      <c r="R387" s="63" t="s">
        <v>1628</v>
      </c>
    </row>
    <row r="388" spans="1:18" ht="16.2" customHeight="1" x14ac:dyDescent="0.3">
      <c r="A388" s="63">
        <v>2021</v>
      </c>
      <c r="B388" s="63" t="s">
        <v>1566</v>
      </c>
      <c r="C388" s="63" t="s">
        <v>1629</v>
      </c>
      <c r="D388" s="63" t="s">
        <v>1568</v>
      </c>
      <c r="E388" s="63" t="s">
        <v>1630</v>
      </c>
      <c r="F388" s="63" t="s">
        <v>1631</v>
      </c>
      <c r="G388" s="63" t="s">
        <v>1632</v>
      </c>
      <c r="L388" s="63">
        <v>2022</v>
      </c>
      <c r="M388" s="63" t="s">
        <v>1571</v>
      </c>
      <c r="N388" s="63" t="s">
        <v>1629</v>
      </c>
      <c r="O388" s="63" t="s">
        <v>1568</v>
      </c>
      <c r="P388" s="63" t="s">
        <v>1630</v>
      </c>
      <c r="Q388" s="63" t="s">
        <v>1631</v>
      </c>
      <c r="R388" s="63" t="s">
        <v>1632</v>
      </c>
    </row>
    <row r="389" spans="1:18" ht="16.2" customHeight="1" x14ac:dyDescent="0.3">
      <c r="A389" s="63">
        <v>2021</v>
      </c>
      <c r="B389" s="63" t="s">
        <v>1566</v>
      </c>
      <c r="C389" s="63" t="s">
        <v>1633</v>
      </c>
      <c r="D389" s="63" t="s">
        <v>1568</v>
      </c>
      <c r="E389" s="63" t="s">
        <v>1634</v>
      </c>
      <c r="F389" s="63" t="s">
        <v>1635</v>
      </c>
      <c r="G389" s="63" t="s">
        <v>1636</v>
      </c>
      <c r="L389" s="63">
        <v>2022</v>
      </c>
      <c r="M389" s="63" t="s">
        <v>1571</v>
      </c>
      <c r="N389" s="63" t="s">
        <v>1633</v>
      </c>
      <c r="O389" s="63" t="s">
        <v>1568</v>
      </c>
      <c r="P389" s="63" t="s">
        <v>1634</v>
      </c>
      <c r="Q389" s="63" t="s">
        <v>1635</v>
      </c>
      <c r="R389" s="63" t="s">
        <v>1636</v>
      </c>
    </row>
    <row r="390" spans="1:18" ht="16.2" customHeight="1" x14ac:dyDescent="0.3">
      <c r="A390" s="63">
        <v>2021</v>
      </c>
      <c r="B390" s="63" t="s">
        <v>1566</v>
      </c>
      <c r="C390" s="63" t="s">
        <v>1637</v>
      </c>
      <c r="D390" s="63" t="s">
        <v>1568</v>
      </c>
      <c r="E390" s="63" t="s">
        <v>1638</v>
      </c>
      <c r="F390" s="63" t="s">
        <v>1639</v>
      </c>
      <c r="G390" s="63" t="s">
        <v>1640</v>
      </c>
      <c r="L390" s="63">
        <v>2022</v>
      </c>
      <c r="M390" s="63" t="s">
        <v>1571</v>
      </c>
      <c r="N390" s="63" t="s">
        <v>1637</v>
      </c>
      <c r="O390" s="63" t="s">
        <v>1568</v>
      </c>
      <c r="P390" s="63" t="s">
        <v>1638</v>
      </c>
      <c r="Q390" s="63" t="s">
        <v>1639</v>
      </c>
      <c r="R390" s="63" t="s">
        <v>1640</v>
      </c>
    </row>
    <row r="391" spans="1:18" ht="16.2" customHeight="1" x14ac:dyDescent="0.3">
      <c r="A391" s="63">
        <v>2021</v>
      </c>
      <c r="B391" s="63" t="s">
        <v>1566</v>
      </c>
      <c r="C391" s="63" t="s">
        <v>1641</v>
      </c>
      <c r="D391" s="63" t="s">
        <v>1568</v>
      </c>
      <c r="E391" s="63" t="s">
        <v>1642</v>
      </c>
      <c r="F391" s="63" t="s">
        <v>1643</v>
      </c>
      <c r="G391" s="63" t="s">
        <v>1644</v>
      </c>
      <c r="L391" s="63">
        <v>2022</v>
      </c>
      <c r="M391" s="63" t="s">
        <v>1571</v>
      </c>
      <c r="N391" s="63" t="s">
        <v>1641</v>
      </c>
      <c r="O391" s="63" t="s">
        <v>1568</v>
      </c>
      <c r="P391" s="63" t="s">
        <v>1642</v>
      </c>
      <c r="Q391" s="63" t="s">
        <v>1643</v>
      </c>
      <c r="R391" s="63" t="s">
        <v>1644</v>
      </c>
    </row>
    <row r="392" spans="1:18" ht="16.2" customHeight="1" x14ac:dyDescent="0.3">
      <c r="A392" s="63">
        <v>2021</v>
      </c>
      <c r="B392" s="63" t="s">
        <v>1566</v>
      </c>
      <c r="C392" s="63" t="s">
        <v>1645</v>
      </c>
      <c r="D392" s="63" t="s">
        <v>1568</v>
      </c>
      <c r="E392" s="63" t="s">
        <v>1646</v>
      </c>
      <c r="F392" s="63" t="s">
        <v>1647</v>
      </c>
      <c r="G392" s="63" t="s">
        <v>1648</v>
      </c>
      <c r="L392" s="63">
        <v>2022</v>
      </c>
      <c r="M392" s="63" t="s">
        <v>1571</v>
      </c>
      <c r="N392" s="63" t="s">
        <v>1645</v>
      </c>
      <c r="O392" s="63" t="s">
        <v>1568</v>
      </c>
      <c r="P392" s="63" t="s">
        <v>1646</v>
      </c>
      <c r="Q392" s="63" t="s">
        <v>1647</v>
      </c>
      <c r="R392" s="63" t="s">
        <v>1648</v>
      </c>
    </row>
    <row r="393" spans="1:18" ht="16.2" customHeight="1" x14ac:dyDescent="0.3">
      <c r="A393" s="63">
        <v>2021</v>
      </c>
      <c r="B393" s="63" t="s">
        <v>1566</v>
      </c>
      <c r="C393" s="63" t="s">
        <v>1649</v>
      </c>
      <c r="D393" s="63" t="s">
        <v>1568</v>
      </c>
      <c r="E393" s="63" t="s">
        <v>1650</v>
      </c>
      <c r="F393" s="63" t="s">
        <v>1651</v>
      </c>
      <c r="G393" s="63" t="s">
        <v>1652</v>
      </c>
      <c r="L393" s="63">
        <v>2022</v>
      </c>
      <c r="M393" s="63" t="s">
        <v>1571</v>
      </c>
      <c r="N393" s="63" t="s">
        <v>1649</v>
      </c>
      <c r="O393" s="63" t="s">
        <v>1568</v>
      </c>
      <c r="P393" s="63" t="s">
        <v>1650</v>
      </c>
      <c r="Q393" s="63" t="s">
        <v>1651</v>
      </c>
      <c r="R393" s="63" t="s">
        <v>1652</v>
      </c>
    </row>
    <row r="394" spans="1:18" ht="16.2" customHeight="1" x14ac:dyDescent="0.3">
      <c r="A394" s="63">
        <v>2021</v>
      </c>
      <c r="B394" s="63" t="s">
        <v>1566</v>
      </c>
      <c r="C394" s="63" t="s">
        <v>1653</v>
      </c>
      <c r="D394" s="63" t="s">
        <v>1568</v>
      </c>
      <c r="E394" s="63" t="s">
        <v>1654</v>
      </c>
      <c r="F394" s="63" t="s">
        <v>1655</v>
      </c>
      <c r="G394" s="63" t="s">
        <v>1656</v>
      </c>
      <c r="L394" s="63">
        <v>2022</v>
      </c>
      <c r="M394" s="63" t="s">
        <v>1571</v>
      </c>
      <c r="N394" s="63" t="s">
        <v>1653</v>
      </c>
      <c r="O394" s="63" t="s">
        <v>1568</v>
      </c>
      <c r="P394" s="63" t="s">
        <v>1654</v>
      </c>
      <c r="Q394" s="63" t="s">
        <v>1655</v>
      </c>
      <c r="R394" s="63" t="s">
        <v>1656</v>
      </c>
    </row>
    <row r="395" spans="1:18" ht="16.2" customHeight="1" x14ac:dyDescent="0.3">
      <c r="A395" s="63">
        <v>2021</v>
      </c>
      <c r="B395" s="63" t="s">
        <v>1566</v>
      </c>
      <c r="C395" s="63" t="s">
        <v>1657</v>
      </c>
      <c r="D395" s="63" t="s">
        <v>1568</v>
      </c>
      <c r="E395" s="63" t="s">
        <v>1658</v>
      </c>
      <c r="F395" s="63" t="s">
        <v>1659</v>
      </c>
      <c r="G395" s="63" t="s">
        <v>1660</v>
      </c>
      <c r="L395" s="63">
        <v>2022</v>
      </c>
      <c r="M395" s="63" t="s">
        <v>1571</v>
      </c>
      <c r="N395" s="63" t="s">
        <v>1657</v>
      </c>
      <c r="O395" s="63" t="s">
        <v>1568</v>
      </c>
      <c r="P395" s="63" t="s">
        <v>1658</v>
      </c>
      <c r="Q395" s="63" t="s">
        <v>1659</v>
      </c>
      <c r="R395" s="63" t="s">
        <v>1660</v>
      </c>
    </row>
    <row r="396" spans="1:18" ht="16.2" customHeight="1" x14ac:dyDescent="0.3">
      <c r="A396" s="63">
        <v>2021</v>
      </c>
      <c r="B396" s="63" t="s">
        <v>1566</v>
      </c>
      <c r="C396" s="63" t="s">
        <v>1661</v>
      </c>
      <c r="D396" s="63" t="s">
        <v>1568</v>
      </c>
      <c r="E396" s="63" t="s">
        <v>1662</v>
      </c>
      <c r="F396" s="63" t="s">
        <v>1663</v>
      </c>
      <c r="G396" s="63" t="s">
        <v>1664</v>
      </c>
      <c r="L396" s="63">
        <v>2022</v>
      </c>
      <c r="M396" s="63" t="s">
        <v>1571</v>
      </c>
      <c r="N396" s="63" t="s">
        <v>1661</v>
      </c>
      <c r="O396" s="63" t="s">
        <v>1568</v>
      </c>
      <c r="P396" s="63" t="s">
        <v>1662</v>
      </c>
      <c r="Q396" s="63" t="s">
        <v>1663</v>
      </c>
      <c r="R396" s="63" t="s">
        <v>1664</v>
      </c>
    </row>
    <row r="397" spans="1:18" ht="16.2" customHeight="1" x14ac:dyDescent="0.3">
      <c r="A397" s="63">
        <v>2021</v>
      </c>
      <c r="B397" s="63" t="s">
        <v>1566</v>
      </c>
      <c r="C397" s="63" t="s">
        <v>1665</v>
      </c>
      <c r="D397" s="63" t="s">
        <v>1568</v>
      </c>
      <c r="E397" s="63" t="s">
        <v>1666</v>
      </c>
      <c r="F397" s="63" t="s">
        <v>1667</v>
      </c>
      <c r="G397" s="63" t="s">
        <v>1668</v>
      </c>
      <c r="L397" s="63">
        <v>2022</v>
      </c>
      <c r="M397" s="63" t="s">
        <v>1571</v>
      </c>
      <c r="N397" s="63" t="s">
        <v>1665</v>
      </c>
      <c r="O397" s="63" t="s">
        <v>1568</v>
      </c>
      <c r="P397" s="63" t="s">
        <v>1666</v>
      </c>
      <c r="Q397" s="63" t="s">
        <v>1667</v>
      </c>
      <c r="R397" s="63" t="s">
        <v>1668</v>
      </c>
    </row>
    <row r="398" spans="1:18" ht="16.2" customHeight="1" x14ac:dyDescent="0.3">
      <c r="A398" s="63">
        <v>2021</v>
      </c>
      <c r="B398" s="63" t="s">
        <v>1566</v>
      </c>
      <c r="C398" s="63" t="s">
        <v>1669</v>
      </c>
      <c r="D398" s="63" t="s">
        <v>1568</v>
      </c>
      <c r="E398" s="63" t="s">
        <v>1670</v>
      </c>
      <c r="F398" s="63" t="s">
        <v>1671</v>
      </c>
      <c r="G398" s="63" t="s">
        <v>1672</v>
      </c>
      <c r="L398" s="63">
        <v>2022</v>
      </c>
      <c r="M398" s="63" t="s">
        <v>1571</v>
      </c>
      <c r="N398" s="63" t="s">
        <v>1669</v>
      </c>
      <c r="O398" s="63" t="s">
        <v>1568</v>
      </c>
      <c r="P398" s="63" t="s">
        <v>1670</v>
      </c>
      <c r="Q398" s="63" t="s">
        <v>1671</v>
      </c>
      <c r="R398" s="63" t="s">
        <v>1672</v>
      </c>
    </row>
    <row r="399" spans="1:18" ht="16.2" customHeight="1" x14ac:dyDescent="0.3">
      <c r="A399" s="63">
        <v>2021</v>
      </c>
      <c r="B399" s="63" t="s">
        <v>1566</v>
      </c>
      <c r="C399" s="63" t="s">
        <v>1673</v>
      </c>
      <c r="D399" s="63" t="s">
        <v>1568</v>
      </c>
      <c r="E399" s="63" t="s">
        <v>1674</v>
      </c>
      <c r="F399" s="63" t="s">
        <v>1675</v>
      </c>
      <c r="G399" s="63" t="s">
        <v>1676</v>
      </c>
      <c r="L399" s="63">
        <v>2022</v>
      </c>
      <c r="M399" s="63" t="s">
        <v>1571</v>
      </c>
      <c r="N399" s="63" t="s">
        <v>1673</v>
      </c>
      <c r="O399" s="63" t="s">
        <v>1568</v>
      </c>
      <c r="P399" s="63" t="s">
        <v>1674</v>
      </c>
      <c r="Q399" s="63" t="s">
        <v>1675</v>
      </c>
      <c r="R399" s="63" t="s">
        <v>1676</v>
      </c>
    </row>
    <row r="400" spans="1:18" ht="16.2" customHeight="1" x14ac:dyDescent="0.3">
      <c r="A400" s="63">
        <v>2021</v>
      </c>
      <c r="B400" s="63" t="s">
        <v>1566</v>
      </c>
      <c r="C400" s="63" t="s">
        <v>1677</v>
      </c>
      <c r="D400" s="63" t="s">
        <v>1568</v>
      </c>
      <c r="E400" s="63" t="s">
        <v>1678</v>
      </c>
      <c r="F400" s="63" t="s">
        <v>1679</v>
      </c>
      <c r="G400" s="63" t="s">
        <v>1680</v>
      </c>
      <c r="L400" s="63">
        <v>2022</v>
      </c>
      <c r="M400" s="63" t="s">
        <v>1571</v>
      </c>
      <c r="N400" s="63" t="s">
        <v>1677</v>
      </c>
      <c r="O400" s="63" t="s">
        <v>1568</v>
      </c>
      <c r="P400" s="63" t="s">
        <v>1678</v>
      </c>
      <c r="Q400" s="63" t="s">
        <v>1679</v>
      </c>
      <c r="R400" s="63" t="s">
        <v>1680</v>
      </c>
    </row>
    <row r="401" spans="1:18" ht="16.2" customHeight="1" x14ac:dyDescent="0.3">
      <c r="A401" s="63">
        <v>2021</v>
      </c>
      <c r="B401" s="63" t="s">
        <v>1566</v>
      </c>
      <c r="C401" s="63" t="s">
        <v>1681</v>
      </c>
      <c r="D401" s="63" t="s">
        <v>1568</v>
      </c>
      <c r="E401" s="63" t="s">
        <v>1682</v>
      </c>
      <c r="F401" s="63" t="s">
        <v>1683</v>
      </c>
      <c r="G401" s="63" t="s">
        <v>1684</v>
      </c>
      <c r="L401" s="63">
        <v>2022</v>
      </c>
      <c r="M401" s="63" t="s">
        <v>1571</v>
      </c>
      <c r="N401" s="63" t="s">
        <v>1681</v>
      </c>
      <c r="O401" s="63" t="s">
        <v>1568</v>
      </c>
      <c r="P401" s="63" t="s">
        <v>1682</v>
      </c>
      <c r="Q401" s="63" t="s">
        <v>1683</v>
      </c>
      <c r="R401" s="63" t="s">
        <v>1684</v>
      </c>
    </row>
    <row r="402" spans="1:18" ht="16.2" customHeight="1" x14ac:dyDescent="0.3">
      <c r="A402" s="63">
        <v>2021</v>
      </c>
      <c r="B402" s="63" t="s">
        <v>1566</v>
      </c>
      <c r="C402" s="63" t="s">
        <v>1685</v>
      </c>
      <c r="D402" s="63" t="s">
        <v>1568</v>
      </c>
      <c r="E402" s="63" t="s">
        <v>1686</v>
      </c>
      <c r="F402" s="63" t="s">
        <v>1687</v>
      </c>
      <c r="G402" s="63" t="s">
        <v>1688</v>
      </c>
      <c r="L402" s="63">
        <v>2022</v>
      </c>
      <c r="M402" s="63" t="s">
        <v>1571</v>
      </c>
      <c r="N402" s="63" t="s">
        <v>1685</v>
      </c>
      <c r="O402" s="63" t="s">
        <v>1568</v>
      </c>
      <c r="P402" s="63" t="s">
        <v>1686</v>
      </c>
      <c r="Q402" s="63" t="s">
        <v>1687</v>
      </c>
      <c r="R402" s="63" t="s">
        <v>1688</v>
      </c>
    </row>
    <row r="403" spans="1:18" ht="16.2" customHeight="1" x14ac:dyDescent="0.3">
      <c r="A403" s="63">
        <v>2021</v>
      </c>
      <c r="B403" s="63" t="s">
        <v>1566</v>
      </c>
      <c r="C403" s="63" t="s">
        <v>1689</v>
      </c>
      <c r="D403" s="63" t="s">
        <v>1568</v>
      </c>
      <c r="E403" s="63" t="s">
        <v>1690</v>
      </c>
      <c r="F403" s="63" t="s">
        <v>1691</v>
      </c>
      <c r="G403" s="63" t="s">
        <v>1692</v>
      </c>
      <c r="L403" s="63">
        <v>2022</v>
      </c>
      <c r="M403" s="63" t="s">
        <v>1571</v>
      </c>
      <c r="N403" s="63" t="s">
        <v>1689</v>
      </c>
      <c r="O403" s="63" t="s">
        <v>1568</v>
      </c>
      <c r="P403" s="63" t="s">
        <v>1690</v>
      </c>
      <c r="Q403" s="63" t="s">
        <v>1691</v>
      </c>
      <c r="R403" s="63" t="s">
        <v>1692</v>
      </c>
    </row>
    <row r="404" spans="1:18" ht="16.2" customHeight="1" x14ac:dyDescent="0.3">
      <c r="A404" s="63">
        <v>2021</v>
      </c>
      <c r="B404" s="63" t="s">
        <v>1566</v>
      </c>
      <c r="C404" s="63" t="s">
        <v>1693</v>
      </c>
      <c r="D404" s="63" t="s">
        <v>1568</v>
      </c>
      <c r="E404" s="63" t="s">
        <v>1694</v>
      </c>
      <c r="F404" s="63" t="s">
        <v>1695</v>
      </c>
      <c r="G404" s="63" t="s">
        <v>1696</v>
      </c>
      <c r="L404" s="63">
        <v>2022</v>
      </c>
      <c r="M404" s="63" t="s">
        <v>1571</v>
      </c>
      <c r="N404" s="63" t="s">
        <v>1693</v>
      </c>
      <c r="O404" s="63" t="s">
        <v>1568</v>
      </c>
      <c r="P404" s="63" t="s">
        <v>1694</v>
      </c>
      <c r="Q404" s="63" t="s">
        <v>1695</v>
      </c>
      <c r="R404" s="63" t="s">
        <v>1696</v>
      </c>
    </row>
    <row r="405" spans="1:18" ht="16.2" customHeight="1" x14ac:dyDescent="0.3">
      <c r="A405" s="63">
        <v>2021</v>
      </c>
      <c r="B405" s="63" t="s">
        <v>1566</v>
      </c>
      <c r="C405" s="63" t="s">
        <v>1697</v>
      </c>
      <c r="D405" s="63" t="s">
        <v>1568</v>
      </c>
      <c r="E405" s="63" t="s">
        <v>1698</v>
      </c>
      <c r="F405" s="63" t="s">
        <v>1699</v>
      </c>
      <c r="G405" s="63" t="s">
        <v>1700</v>
      </c>
      <c r="L405" s="63">
        <v>2022</v>
      </c>
      <c r="M405" s="63" t="s">
        <v>1571</v>
      </c>
      <c r="N405" s="63" t="s">
        <v>1697</v>
      </c>
      <c r="O405" s="63" t="s">
        <v>1568</v>
      </c>
      <c r="P405" s="63" t="s">
        <v>1698</v>
      </c>
      <c r="Q405" s="63" t="s">
        <v>1699</v>
      </c>
      <c r="R405" s="63" t="s">
        <v>1700</v>
      </c>
    </row>
    <row r="406" spans="1:18" ht="16.2" customHeight="1" x14ac:dyDescent="0.3">
      <c r="A406" s="63">
        <v>2021</v>
      </c>
      <c r="B406" s="63" t="s">
        <v>1566</v>
      </c>
      <c r="C406" s="63" t="s">
        <v>1701</v>
      </c>
      <c r="D406" s="63" t="s">
        <v>1568</v>
      </c>
      <c r="E406" s="63" t="s">
        <v>1702</v>
      </c>
      <c r="F406" s="63" t="s">
        <v>1703</v>
      </c>
      <c r="G406" s="63" t="s">
        <v>1704</v>
      </c>
      <c r="L406" s="63">
        <v>2022</v>
      </c>
      <c r="M406" s="63" t="s">
        <v>1571</v>
      </c>
      <c r="N406" s="63" t="s">
        <v>1701</v>
      </c>
      <c r="O406" s="63" t="s">
        <v>1568</v>
      </c>
      <c r="P406" s="63" t="s">
        <v>1702</v>
      </c>
      <c r="Q406" s="63" t="s">
        <v>1703</v>
      </c>
      <c r="R406" s="63" t="s">
        <v>1704</v>
      </c>
    </row>
    <row r="407" spans="1:18" ht="16.2" customHeight="1" x14ac:dyDescent="0.3">
      <c r="A407" s="63">
        <v>2021</v>
      </c>
      <c r="B407" s="63" t="s">
        <v>1566</v>
      </c>
      <c r="C407" s="63" t="s">
        <v>1705</v>
      </c>
      <c r="D407" s="63" t="s">
        <v>1568</v>
      </c>
      <c r="E407" s="63" t="s">
        <v>1706</v>
      </c>
      <c r="F407" s="63" t="s">
        <v>1707</v>
      </c>
      <c r="G407" s="63" t="s">
        <v>1708</v>
      </c>
      <c r="L407" s="63">
        <v>2022</v>
      </c>
      <c r="M407" s="63" t="s">
        <v>1571</v>
      </c>
      <c r="N407" s="63" t="s">
        <v>1705</v>
      </c>
      <c r="O407" s="63" t="s">
        <v>1568</v>
      </c>
      <c r="P407" s="63" t="s">
        <v>1706</v>
      </c>
      <c r="Q407" s="63" t="s">
        <v>1707</v>
      </c>
      <c r="R407" s="63" t="s">
        <v>1708</v>
      </c>
    </row>
    <row r="408" spans="1:18" ht="16.2" customHeight="1" x14ac:dyDescent="0.3">
      <c r="A408" s="63">
        <v>2021</v>
      </c>
      <c r="L408" s="63">
        <v>2022</v>
      </c>
      <c r="M408" s="63" t="s">
        <v>1571</v>
      </c>
      <c r="N408" s="63" t="s">
        <v>1709</v>
      </c>
      <c r="O408" s="63" t="s">
        <v>1568</v>
      </c>
      <c r="P408" s="63" t="s">
        <v>1710</v>
      </c>
      <c r="Q408" s="63" t="s">
        <v>1711</v>
      </c>
      <c r="R408" s="63" t="s">
        <v>1712</v>
      </c>
    </row>
    <row r="412" spans="1:18" ht="16.2" customHeight="1" x14ac:dyDescent="0.3">
      <c r="B412" s="63" t="s">
        <v>1713</v>
      </c>
      <c r="C412" s="63" t="s">
        <v>1714</v>
      </c>
      <c r="D412" s="63" t="s">
        <v>1713</v>
      </c>
      <c r="E412" s="63" t="s">
        <v>1715</v>
      </c>
      <c r="F412" s="63" t="s">
        <v>1716</v>
      </c>
      <c r="G412" s="63" t="s">
        <v>1717</v>
      </c>
      <c r="M412" s="63" t="s">
        <v>1713</v>
      </c>
      <c r="N412" s="63" t="s">
        <v>1714</v>
      </c>
      <c r="O412" s="63" t="s">
        <v>1713</v>
      </c>
      <c r="P412" s="63" t="s">
        <v>1715</v>
      </c>
      <c r="Q412" s="63" t="s">
        <v>1716</v>
      </c>
      <c r="R412" s="63" t="s">
        <v>1717</v>
      </c>
    </row>
    <row r="413" spans="1:18" ht="16.2" customHeight="1" x14ac:dyDescent="0.3">
      <c r="B413" s="63" t="s">
        <v>1713</v>
      </c>
      <c r="C413" s="63" t="s">
        <v>1718</v>
      </c>
      <c r="D413" s="63" t="s">
        <v>1713</v>
      </c>
      <c r="E413" s="63" t="s">
        <v>1719</v>
      </c>
      <c r="F413" s="63" t="s">
        <v>1720</v>
      </c>
      <c r="G413" s="63" t="s">
        <v>1721</v>
      </c>
      <c r="M413" s="63" t="s">
        <v>1713</v>
      </c>
      <c r="N413" s="63" t="s">
        <v>1718</v>
      </c>
      <c r="O413" s="63" t="s">
        <v>1713</v>
      </c>
      <c r="P413" s="63" t="s">
        <v>1719</v>
      </c>
      <c r="Q413" s="63" t="s">
        <v>1720</v>
      </c>
      <c r="R413" s="63" t="s">
        <v>1721</v>
      </c>
    </row>
    <row r="414" spans="1:18" ht="16.2" customHeight="1" x14ac:dyDescent="0.3">
      <c r="B414" s="63" t="s">
        <v>1713</v>
      </c>
      <c r="C414" s="63" t="s">
        <v>1722</v>
      </c>
      <c r="D414" s="63" t="s">
        <v>1713</v>
      </c>
      <c r="E414" s="63" t="s">
        <v>1723</v>
      </c>
      <c r="F414" s="63" t="s">
        <v>1724</v>
      </c>
      <c r="G414" s="63" t="s">
        <v>1725</v>
      </c>
      <c r="M414" s="63" t="s">
        <v>1713</v>
      </c>
      <c r="N414" s="63" t="s">
        <v>1722</v>
      </c>
      <c r="O414" s="63" t="s">
        <v>1713</v>
      </c>
      <c r="P414" s="63" t="s">
        <v>1723</v>
      </c>
      <c r="Q414" s="63" t="s">
        <v>1724</v>
      </c>
      <c r="R414" s="63" t="s">
        <v>1725</v>
      </c>
    </row>
    <row r="415" spans="1:18" ht="16.2" customHeight="1" x14ac:dyDescent="0.3">
      <c r="B415" s="63" t="s">
        <v>1713</v>
      </c>
      <c r="C415" s="63" t="s">
        <v>1726</v>
      </c>
      <c r="D415" s="63" t="s">
        <v>1713</v>
      </c>
      <c r="E415" s="63" t="s">
        <v>1727</v>
      </c>
      <c r="F415" s="63" t="s">
        <v>1728</v>
      </c>
      <c r="G415" s="63" t="s">
        <v>1729</v>
      </c>
      <c r="M415" s="63" t="s">
        <v>1713</v>
      </c>
      <c r="N415" s="63" t="s">
        <v>1726</v>
      </c>
      <c r="O415" s="63" t="s">
        <v>1713</v>
      </c>
      <c r="P415" s="63" t="s">
        <v>1727</v>
      </c>
      <c r="Q415" s="63" t="s">
        <v>1728</v>
      </c>
      <c r="R415" s="63" t="s">
        <v>1729</v>
      </c>
    </row>
    <row r="416" spans="1:18" ht="16.2" customHeight="1" x14ac:dyDescent="0.3">
      <c r="B416" s="63" t="s">
        <v>1713</v>
      </c>
      <c r="C416" s="63" t="s">
        <v>1730</v>
      </c>
      <c r="D416" s="63" t="s">
        <v>1713</v>
      </c>
      <c r="E416" s="63" t="s">
        <v>1731</v>
      </c>
      <c r="F416" s="63" t="s">
        <v>1732</v>
      </c>
      <c r="G416" s="63" t="s">
        <v>1733</v>
      </c>
      <c r="M416" s="63" t="s">
        <v>1713</v>
      </c>
      <c r="N416" s="63" t="s">
        <v>1730</v>
      </c>
      <c r="O416" s="63" t="s">
        <v>1713</v>
      </c>
      <c r="P416" s="63" t="s">
        <v>1731</v>
      </c>
      <c r="Q416" s="63" t="s">
        <v>1732</v>
      </c>
      <c r="R416" s="63" t="s">
        <v>1733</v>
      </c>
    </row>
    <row r="417" spans="2:18" ht="16.2" customHeight="1" x14ac:dyDescent="0.3">
      <c r="B417" s="63" t="s">
        <v>1713</v>
      </c>
      <c r="C417" s="63" t="s">
        <v>1734</v>
      </c>
      <c r="D417" s="63" t="s">
        <v>1713</v>
      </c>
      <c r="E417" s="63" t="s">
        <v>1735</v>
      </c>
      <c r="F417" s="63" t="s">
        <v>1736</v>
      </c>
      <c r="G417" s="63" t="s">
        <v>1737</v>
      </c>
      <c r="M417" s="63" t="s">
        <v>1713</v>
      </c>
      <c r="N417" s="63" t="s">
        <v>1734</v>
      </c>
      <c r="O417" s="63" t="s">
        <v>1713</v>
      </c>
      <c r="P417" s="63" t="s">
        <v>1735</v>
      </c>
      <c r="Q417" s="63" t="s">
        <v>1736</v>
      </c>
      <c r="R417" s="63" t="s">
        <v>1737</v>
      </c>
    </row>
    <row r="418" spans="2:18" ht="16.2" customHeight="1" x14ac:dyDescent="0.3">
      <c r="B418" s="63" t="s">
        <v>1713</v>
      </c>
      <c r="C418" s="63" t="s">
        <v>1738</v>
      </c>
      <c r="D418" s="63" t="s">
        <v>1713</v>
      </c>
      <c r="E418" s="63" t="s">
        <v>1739</v>
      </c>
      <c r="F418" s="63" t="s">
        <v>1740</v>
      </c>
      <c r="G418" s="63" t="s">
        <v>1741</v>
      </c>
      <c r="M418" s="63" t="s">
        <v>1713</v>
      </c>
      <c r="N418" s="63" t="s">
        <v>1738</v>
      </c>
      <c r="O418" s="63" t="s">
        <v>1713</v>
      </c>
      <c r="P418" s="63" t="s">
        <v>1739</v>
      </c>
      <c r="Q418" s="63" t="s">
        <v>1740</v>
      </c>
      <c r="R418" s="63" t="s">
        <v>1741</v>
      </c>
    </row>
    <row r="419" spans="2:18" ht="16.2" customHeight="1" x14ac:dyDescent="0.3">
      <c r="B419" s="63" t="s">
        <v>1713</v>
      </c>
      <c r="C419" s="63" t="s">
        <v>1742</v>
      </c>
      <c r="D419" s="63" t="s">
        <v>1713</v>
      </c>
      <c r="E419" s="63" t="s">
        <v>1743</v>
      </c>
      <c r="F419" s="63" t="s">
        <v>1744</v>
      </c>
      <c r="G419" s="63" t="s">
        <v>1745</v>
      </c>
      <c r="M419" s="63" t="s">
        <v>1713</v>
      </c>
      <c r="N419" s="63" t="s">
        <v>1742</v>
      </c>
      <c r="O419" s="63" t="s">
        <v>1713</v>
      </c>
      <c r="P419" s="63" t="s">
        <v>1743</v>
      </c>
      <c r="Q419" s="63" t="s">
        <v>1744</v>
      </c>
      <c r="R419" s="63" t="s">
        <v>1745</v>
      </c>
    </row>
    <row r="420" spans="2:18" ht="16.2" customHeight="1" x14ac:dyDescent="0.3">
      <c r="B420" s="63" t="s">
        <v>1713</v>
      </c>
      <c r="C420" s="63" t="s">
        <v>1746</v>
      </c>
      <c r="D420" s="63" t="s">
        <v>1713</v>
      </c>
      <c r="E420" s="63" t="s">
        <v>1747</v>
      </c>
      <c r="F420" s="63" t="s">
        <v>1748</v>
      </c>
      <c r="G420" s="63" t="s">
        <v>1749</v>
      </c>
      <c r="M420" s="63" t="s">
        <v>1713</v>
      </c>
      <c r="N420" s="63" t="s">
        <v>1746</v>
      </c>
      <c r="O420" s="63" t="s">
        <v>1713</v>
      </c>
      <c r="P420" s="63" t="s">
        <v>1747</v>
      </c>
      <c r="Q420" s="63" t="s">
        <v>1748</v>
      </c>
      <c r="R420" s="63" t="s">
        <v>1749</v>
      </c>
    </row>
    <row r="421" spans="2:18" ht="16.2" customHeight="1" x14ac:dyDescent="0.3">
      <c r="B421" s="63" t="s">
        <v>1713</v>
      </c>
      <c r="C421" s="63" t="s">
        <v>1750</v>
      </c>
      <c r="D421" s="63" t="s">
        <v>1713</v>
      </c>
      <c r="E421" s="63" t="s">
        <v>1751</v>
      </c>
      <c r="F421" s="63" t="s">
        <v>1752</v>
      </c>
      <c r="G421" s="63" t="s">
        <v>1753</v>
      </c>
      <c r="M421" s="63" t="s">
        <v>1713</v>
      </c>
      <c r="N421" s="63" t="s">
        <v>1750</v>
      </c>
      <c r="O421" s="63" t="s">
        <v>1713</v>
      </c>
      <c r="P421" s="63" t="s">
        <v>1754</v>
      </c>
      <c r="Q421" s="63" t="s">
        <v>1755</v>
      </c>
      <c r="R421" s="63" t="s">
        <v>1756</v>
      </c>
    </row>
    <row r="422" spans="2:18" ht="16.2" customHeight="1" x14ac:dyDescent="0.3">
      <c r="B422" s="63" t="s">
        <v>1713</v>
      </c>
      <c r="C422" s="63" t="s">
        <v>1757</v>
      </c>
      <c r="D422" s="63" t="s">
        <v>1713</v>
      </c>
      <c r="E422" s="63" t="s">
        <v>1758</v>
      </c>
      <c r="F422" s="63" t="s">
        <v>1759</v>
      </c>
      <c r="G422" s="63" t="s">
        <v>1760</v>
      </c>
      <c r="M422" s="63" t="s">
        <v>1713</v>
      </c>
      <c r="N422" s="63" t="s">
        <v>1757</v>
      </c>
      <c r="O422" s="63" t="s">
        <v>1713</v>
      </c>
      <c r="P422" s="63" t="s">
        <v>1758</v>
      </c>
      <c r="Q422" s="63" t="s">
        <v>1759</v>
      </c>
      <c r="R422" s="63" t="s">
        <v>1760</v>
      </c>
    </row>
    <row r="423" spans="2:18" ht="16.2" customHeight="1" x14ac:dyDescent="0.3">
      <c r="B423" s="63" t="s">
        <v>1713</v>
      </c>
      <c r="C423" s="63" t="s">
        <v>1761</v>
      </c>
      <c r="D423" s="63" t="s">
        <v>1713</v>
      </c>
      <c r="E423" s="63" t="s">
        <v>1762</v>
      </c>
      <c r="F423" s="63" t="s">
        <v>1763</v>
      </c>
      <c r="G423" s="63" t="s">
        <v>1764</v>
      </c>
      <c r="M423" s="63" t="s">
        <v>1713</v>
      </c>
      <c r="N423" s="63" t="s">
        <v>1761</v>
      </c>
      <c r="O423" s="63" t="s">
        <v>1713</v>
      </c>
      <c r="P423" s="63" t="s">
        <v>1762</v>
      </c>
      <c r="Q423" s="63" t="s">
        <v>1763</v>
      </c>
      <c r="R423" s="63" t="s">
        <v>1764</v>
      </c>
    </row>
    <row r="424" spans="2:18" ht="16.2" customHeight="1" x14ac:dyDescent="0.3">
      <c r="B424" s="63" t="s">
        <v>1713</v>
      </c>
      <c r="C424" s="63" t="s">
        <v>1765</v>
      </c>
      <c r="D424" s="63" t="s">
        <v>1713</v>
      </c>
      <c r="E424" s="63" t="s">
        <v>1766</v>
      </c>
      <c r="F424" s="63" t="s">
        <v>1767</v>
      </c>
      <c r="G424" s="63" t="s">
        <v>1768</v>
      </c>
      <c r="M424" s="63" t="s">
        <v>1713</v>
      </c>
      <c r="N424" s="63" t="s">
        <v>1765</v>
      </c>
      <c r="O424" s="63" t="s">
        <v>1713</v>
      </c>
      <c r="P424" s="63" t="s">
        <v>1766</v>
      </c>
      <c r="Q424" s="63" t="s">
        <v>1767</v>
      </c>
      <c r="R424" s="63" t="s">
        <v>1768</v>
      </c>
    </row>
    <row r="425" spans="2:18" ht="16.2" customHeight="1" x14ac:dyDescent="0.3">
      <c r="B425" s="63" t="s">
        <v>1713</v>
      </c>
      <c r="C425" s="63" t="s">
        <v>1769</v>
      </c>
      <c r="D425" s="63" t="s">
        <v>1713</v>
      </c>
      <c r="E425" s="63" t="s">
        <v>1770</v>
      </c>
      <c r="F425" s="63" t="s">
        <v>1771</v>
      </c>
      <c r="G425" s="63" t="s">
        <v>1772</v>
      </c>
      <c r="M425" s="63" t="s">
        <v>1713</v>
      </c>
      <c r="N425" s="63" t="s">
        <v>1769</v>
      </c>
      <c r="O425" s="63" t="s">
        <v>1713</v>
      </c>
      <c r="P425" s="63" t="s">
        <v>1770</v>
      </c>
      <c r="Q425" s="63" t="s">
        <v>1771</v>
      </c>
      <c r="R425" s="63" t="s">
        <v>1772</v>
      </c>
    </row>
    <row r="426" spans="2:18" ht="16.2" customHeight="1" x14ac:dyDescent="0.3">
      <c r="B426" s="63" t="s">
        <v>1713</v>
      </c>
      <c r="C426" s="63" t="s">
        <v>1773</v>
      </c>
      <c r="D426" s="63" t="s">
        <v>1713</v>
      </c>
      <c r="E426" s="63" t="s">
        <v>1774</v>
      </c>
      <c r="F426" s="63" t="s">
        <v>1775</v>
      </c>
      <c r="G426" s="63" t="s">
        <v>1776</v>
      </c>
      <c r="M426" s="63" t="s">
        <v>1713</v>
      </c>
      <c r="N426" s="63" t="s">
        <v>1773</v>
      </c>
      <c r="O426" s="63" t="s">
        <v>1713</v>
      </c>
      <c r="P426" s="63" t="s">
        <v>1774</v>
      </c>
      <c r="Q426" s="63" t="s">
        <v>1775</v>
      </c>
      <c r="R426" s="63" t="s">
        <v>1776</v>
      </c>
    </row>
    <row r="427" spans="2:18" ht="16.2" customHeight="1" x14ac:dyDescent="0.3">
      <c r="B427" s="63" t="s">
        <v>1713</v>
      </c>
      <c r="C427" s="63" t="s">
        <v>1777</v>
      </c>
      <c r="D427" s="63" t="s">
        <v>1713</v>
      </c>
      <c r="E427" s="63" t="s">
        <v>1778</v>
      </c>
      <c r="F427" s="63" t="s">
        <v>1779</v>
      </c>
      <c r="G427" s="63" t="s">
        <v>1780</v>
      </c>
      <c r="M427" s="63" t="s">
        <v>1713</v>
      </c>
      <c r="N427" s="63" t="s">
        <v>1777</v>
      </c>
      <c r="O427" s="63" t="s">
        <v>1713</v>
      </c>
      <c r="P427" s="63" t="s">
        <v>1778</v>
      </c>
      <c r="Q427" s="63" t="s">
        <v>1779</v>
      </c>
      <c r="R427" s="63" t="s">
        <v>1780</v>
      </c>
    </row>
    <row r="428" spans="2:18" ht="16.2" customHeight="1" x14ac:dyDescent="0.3">
      <c r="B428" s="63" t="s">
        <v>1713</v>
      </c>
      <c r="C428" s="63" t="s">
        <v>1781</v>
      </c>
      <c r="D428" s="63" t="s">
        <v>1713</v>
      </c>
      <c r="E428" s="63" t="s">
        <v>1782</v>
      </c>
      <c r="F428" s="63" t="s">
        <v>1783</v>
      </c>
      <c r="G428" s="63" t="s">
        <v>1784</v>
      </c>
      <c r="M428" s="63" t="s">
        <v>1713</v>
      </c>
      <c r="N428" s="63" t="s">
        <v>1781</v>
      </c>
      <c r="O428" s="63" t="s">
        <v>1713</v>
      </c>
      <c r="P428" s="63" t="s">
        <v>1782</v>
      </c>
      <c r="Q428" s="63" t="s">
        <v>1783</v>
      </c>
      <c r="R428" s="63" t="s">
        <v>1784</v>
      </c>
    </row>
    <row r="429" spans="2:18" ht="16.2" customHeight="1" x14ac:dyDescent="0.3">
      <c r="B429" s="63" t="s">
        <v>1713</v>
      </c>
      <c r="C429" s="63" t="s">
        <v>1785</v>
      </c>
      <c r="D429" s="63" t="s">
        <v>1713</v>
      </c>
      <c r="E429" s="63" t="s">
        <v>1786</v>
      </c>
      <c r="F429" s="63" t="s">
        <v>1787</v>
      </c>
      <c r="G429" s="63" t="s">
        <v>1788</v>
      </c>
      <c r="M429" s="63" t="s">
        <v>1713</v>
      </c>
      <c r="N429" s="63" t="s">
        <v>1785</v>
      </c>
      <c r="O429" s="63" t="s">
        <v>1713</v>
      </c>
      <c r="P429" s="63" t="s">
        <v>1786</v>
      </c>
      <c r="Q429" s="63" t="s">
        <v>1787</v>
      </c>
      <c r="R429" s="63" t="s">
        <v>1788</v>
      </c>
    </row>
    <row r="430" spans="2:18" ht="16.2" customHeight="1" x14ac:dyDescent="0.3">
      <c r="M430" s="63" t="s">
        <v>1713</v>
      </c>
      <c r="N430" s="63" t="s">
        <v>1789</v>
      </c>
      <c r="O430" s="63" t="s">
        <v>1713</v>
      </c>
      <c r="P430" s="63" t="s">
        <v>1790</v>
      </c>
      <c r="Q430" s="63" t="s">
        <v>1791</v>
      </c>
      <c r="R430" s="63" t="s">
        <v>1792</v>
      </c>
    </row>
    <row r="431" spans="2:18" ht="16.2" customHeight="1" x14ac:dyDescent="0.3">
      <c r="B431" s="63" t="s">
        <v>1713</v>
      </c>
      <c r="C431" s="63" t="s">
        <v>1793</v>
      </c>
      <c r="D431" s="63" t="s">
        <v>1713</v>
      </c>
      <c r="E431" s="63" t="s">
        <v>1794</v>
      </c>
      <c r="F431" s="63" t="s">
        <v>1795</v>
      </c>
      <c r="G431" s="63" t="s">
        <v>1796</v>
      </c>
      <c r="M431" s="63" t="s">
        <v>1713</v>
      </c>
      <c r="N431" s="63" t="s">
        <v>1793</v>
      </c>
      <c r="O431" s="63" t="s">
        <v>1713</v>
      </c>
      <c r="P431" s="63" t="s">
        <v>1794</v>
      </c>
      <c r="Q431" s="63" t="s">
        <v>1797</v>
      </c>
      <c r="R431" s="63" t="s">
        <v>1798</v>
      </c>
    </row>
    <row r="432" spans="2:18" ht="16.2" customHeight="1" x14ac:dyDescent="0.3">
      <c r="B432" s="63" t="s">
        <v>1713</v>
      </c>
      <c r="C432" s="63" t="s">
        <v>1799</v>
      </c>
      <c r="D432" s="63" t="s">
        <v>1713</v>
      </c>
      <c r="E432" s="63" t="s">
        <v>1800</v>
      </c>
      <c r="F432" s="63" t="s">
        <v>1801</v>
      </c>
      <c r="G432" s="63" t="s">
        <v>1802</v>
      </c>
      <c r="M432" s="63" t="s">
        <v>1713</v>
      </c>
      <c r="N432" s="63" t="s">
        <v>1799</v>
      </c>
      <c r="O432" s="63" t="s">
        <v>1713</v>
      </c>
      <c r="P432" s="63" t="s">
        <v>1800</v>
      </c>
      <c r="Q432" s="63" t="s">
        <v>1803</v>
      </c>
      <c r="R432" s="63" t="s">
        <v>1804</v>
      </c>
    </row>
    <row r="433" spans="2:18" ht="16.2" customHeight="1" x14ac:dyDescent="0.3">
      <c r="B433" s="63" t="s">
        <v>1713</v>
      </c>
      <c r="C433" s="63" t="s">
        <v>1805</v>
      </c>
      <c r="D433" s="63" t="s">
        <v>1713</v>
      </c>
      <c r="E433" s="63" t="s">
        <v>1806</v>
      </c>
      <c r="F433" s="63" t="s">
        <v>1807</v>
      </c>
      <c r="G433" s="63" t="s">
        <v>1808</v>
      </c>
      <c r="M433" s="63" t="s">
        <v>1713</v>
      </c>
      <c r="N433" s="63" t="s">
        <v>1805</v>
      </c>
      <c r="O433" s="63" t="s">
        <v>1713</v>
      </c>
      <c r="P433" s="63" t="s">
        <v>1806</v>
      </c>
      <c r="Q433" s="63" t="s">
        <v>1809</v>
      </c>
      <c r="R433" s="63" t="s">
        <v>1810</v>
      </c>
    </row>
    <row r="434" spans="2:18" ht="16.2" customHeight="1" x14ac:dyDescent="0.3">
      <c r="B434" s="63" t="s">
        <v>1713</v>
      </c>
      <c r="C434" s="63" t="s">
        <v>1811</v>
      </c>
      <c r="D434" s="63" t="s">
        <v>1713</v>
      </c>
      <c r="E434" s="63" t="s">
        <v>1812</v>
      </c>
      <c r="F434" s="63" t="s">
        <v>1813</v>
      </c>
      <c r="G434" s="63" t="s">
        <v>1814</v>
      </c>
      <c r="M434" s="63" t="s">
        <v>1713</v>
      </c>
      <c r="N434" s="63" t="s">
        <v>1811</v>
      </c>
      <c r="O434" s="63" t="s">
        <v>1713</v>
      </c>
      <c r="P434" s="63" t="s">
        <v>1812</v>
      </c>
      <c r="Q434" s="63" t="s">
        <v>1815</v>
      </c>
      <c r="R434" s="63" t="s">
        <v>1816</v>
      </c>
    </row>
    <row r="435" spans="2:18" ht="16.2" customHeight="1" x14ac:dyDescent="0.3">
      <c r="B435" s="63" t="s">
        <v>1713</v>
      </c>
      <c r="C435" s="63" t="s">
        <v>1817</v>
      </c>
      <c r="D435" s="63" t="s">
        <v>1713</v>
      </c>
      <c r="E435" s="63" t="s">
        <v>1818</v>
      </c>
      <c r="F435" s="63" t="s">
        <v>1819</v>
      </c>
      <c r="G435" s="63" t="s">
        <v>1820</v>
      </c>
      <c r="M435" s="63" t="s">
        <v>1713</v>
      </c>
      <c r="N435" s="63" t="s">
        <v>1817</v>
      </c>
      <c r="O435" s="63" t="s">
        <v>1713</v>
      </c>
      <c r="P435" s="63" t="s">
        <v>1818</v>
      </c>
      <c r="Q435" s="63" t="s">
        <v>1821</v>
      </c>
      <c r="R435" s="63" t="s">
        <v>1822</v>
      </c>
    </row>
    <row r="436" spans="2:18" ht="16.2" customHeight="1" x14ac:dyDescent="0.3">
      <c r="B436" s="63" t="s">
        <v>1713</v>
      </c>
      <c r="C436" s="63" t="s">
        <v>1823</v>
      </c>
      <c r="D436" s="63" t="s">
        <v>1713</v>
      </c>
      <c r="E436" s="63" t="s">
        <v>1824</v>
      </c>
      <c r="F436" s="63" t="s">
        <v>1825</v>
      </c>
      <c r="G436" s="63" t="s">
        <v>1826</v>
      </c>
      <c r="M436" s="63" t="s">
        <v>1713</v>
      </c>
      <c r="N436" s="63" t="s">
        <v>1823</v>
      </c>
      <c r="O436" s="63" t="s">
        <v>1713</v>
      </c>
      <c r="P436" s="63" t="s">
        <v>1824</v>
      </c>
      <c r="Q436" s="63" t="s">
        <v>1827</v>
      </c>
      <c r="R436" s="63" t="s">
        <v>1828</v>
      </c>
    </row>
    <row r="437" spans="2:18" ht="16.2" customHeight="1" x14ac:dyDescent="0.3">
      <c r="B437" s="63" t="s">
        <v>1713</v>
      </c>
      <c r="C437" s="63" t="s">
        <v>1829</v>
      </c>
      <c r="D437" s="63" t="s">
        <v>1713</v>
      </c>
      <c r="E437" s="63" t="s">
        <v>1830</v>
      </c>
      <c r="F437" s="63" t="s">
        <v>1831</v>
      </c>
      <c r="G437" s="63" t="s">
        <v>1832</v>
      </c>
      <c r="M437" s="63" t="s">
        <v>1713</v>
      </c>
      <c r="N437" s="63" t="s">
        <v>3561</v>
      </c>
      <c r="O437" s="63" t="s">
        <v>1713</v>
      </c>
      <c r="P437" s="63" t="s">
        <v>1834</v>
      </c>
      <c r="Q437" s="63" t="s">
        <v>1835</v>
      </c>
      <c r="R437" s="63" t="s">
        <v>1836</v>
      </c>
    </row>
    <row r="438" spans="2:18" ht="16.2" customHeight="1" x14ac:dyDescent="0.3">
      <c r="B438" s="63" t="s">
        <v>1713</v>
      </c>
      <c r="C438" s="63" t="s">
        <v>1837</v>
      </c>
      <c r="D438" s="63" t="s">
        <v>1713</v>
      </c>
      <c r="E438" s="63" t="s">
        <v>1838</v>
      </c>
      <c r="F438" s="63" t="s">
        <v>1839</v>
      </c>
      <c r="G438" s="63" t="s">
        <v>1840</v>
      </c>
      <c r="M438" s="63" t="s">
        <v>1713</v>
      </c>
      <c r="N438" s="63" t="s">
        <v>1837</v>
      </c>
      <c r="O438" s="63" t="s">
        <v>1713</v>
      </c>
      <c r="P438" s="63" t="s">
        <v>1838</v>
      </c>
      <c r="Q438" s="63" t="s">
        <v>1841</v>
      </c>
      <c r="R438" s="63" t="s">
        <v>1842</v>
      </c>
    </row>
    <row r="439" spans="2:18" ht="16.2" customHeight="1" x14ac:dyDescent="0.3">
      <c r="B439" s="63" t="s">
        <v>1713</v>
      </c>
      <c r="C439" s="63" t="s">
        <v>1843</v>
      </c>
      <c r="D439" s="63" t="s">
        <v>1713</v>
      </c>
      <c r="E439" s="63" t="s">
        <v>1844</v>
      </c>
      <c r="F439" s="63" t="s">
        <v>1845</v>
      </c>
      <c r="G439" s="63" t="s">
        <v>1846</v>
      </c>
      <c r="M439" s="63" t="s">
        <v>1713</v>
      </c>
      <c r="N439" s="63" t="s">
        <v>1843</v>
      </c>
      <c r="O439" s="63" t="s">
        <v>1713</v>
      </c>
      <c r="P439" s="63" t="s">
        <v>1844</v>
      </c>
      <c r="Q439" s="63" t="s">
        <v>1847</v>
      </c>
      <c r="R439" s="63" t="s">
        <v>1848</v>
      </c>
    </row>
    <row r="440" spans="2:18" ht="16.2" customHeight="1" x14ac:dyDescent="0.3">
      <c r="B440" s="63" t="s">
        <v>1713</v>
      </c>
      <c r="C440" s="63" t="s">
        <v>1849</v>
      </c>
      <c r="D440" s="63" t="s">
        <v>1713</v>
      </c>
      <c r="E440" s="63" t="s">
        <v>1850</v>
      </c>
      <c r="F440" s="63" t="s">
        <v>1851</v>
      </c>
      <c r="G440" s="63" t="s">
        <v>1852</v>
      </c>
      <c r="M440" s="63" t="s">
        <v>1713</v>
      </c>
      <c r="N440" s="63" t="s">
        <v>1849</v>
      </c>
      <c r="O440" s="63" t="s">
        <v>1713</v>
      </c>
      <c r="P440" s="63" t="s">
        <v>1850</v>
      </c>
      <c r="Q440" s="63" t="s">
        <v>1853</v>
      </c>
      <c r="R440" s="63" t="s">
        <v>1854</v>
      </c>
    </row>
    <row r="441" spans="2:18" ht="16.2" customHeight="1" x14ac:dyDescent="0.3">
      <c r="B441" s="63" t="s">
        <v>1713</v>
      </c>
      <c r="C441" s="63" t="s">
        <v>1855</v>
      </c>
      <c r="D441" s="63" t="s">
        <v>1713</v>
      </c>
      <c r="E441" s="63" t="s">
        <v>1856</v>
      </c>
      <c r="F441" s="63" t="s">
        <v>1857</v>
      </c>
      <c r="G441" s="63" t="s">
        <v>1858</v>
      </c>
      <c r="M441" s="63" t="s">
        <v>1713</v>
      </c>
      <c r="N441" s="63" t="s">
        <v>1855</v>
      </c>
      <c r="O441" s="63" t="s">
        <v>1713</v>
      </c>
      <c r="P441" s="63" t="s">
        <v>1856</v>
      </c>
      <c r="Q441" s="63" t="s">
        <v>1859</v>
      </c>
      <c r="R441" s="63" t="s">
        <v>1860</v>
      </c>
    </row>
    <row r="442" spans="2:18" ht="16.2" customHeight="1" x14ac:dyDescent="0.3">
      <c r="B442" s="63" t="s">
        <v>1713</v>
      </c>
      <c r="C442" s="63" t="s">
        <v>1861</v>
      </c>
      <c r="D442" s="63" t="s">
        <v>1713</v>
      </c>
      <c r="E442" s="63" t="s">
        <v>1862</v>
      </c>
      <c r="F442" s="63" t="s">
        <v>1863</v>
      </c>
      <c r="G442" s="63" t="s">
        <v>1864</v>
      </c>
      <c r="M442" s="63" t="s">
        <v>1713</v>
      </c>
      <c r="N442" s="63" t="s">
        <v>1861</v>
      </c>
      <c r="O442" s="63" t="s">
        <v>1713</v>
      </c>
      <c r="P442" s="63" t="s">
        <v>1862</v>
      </c>
      <c r="Q442" s="63" t="s">
        <v>1865</v>
      </c>
      <c r="R442" s="63" t="s">
        <v>1866</v>
      </c>
    </row>
    <row r="443" spans="2:18" ht="16.2" customHeight="1" x14ac:dyDescent="0.3">
      <c r="B443" s="63" t="s">
        <v>1713</v>
      </c>
      <c r="C443" s="63" t="s">
        <v>1867</v>
      </c>
      <c r="D443" s="63" t="s">
        <v>1713</v>
      </c>
      <c r="E443" s="63" t="s">
        <v>1868</v>
      </c>
      <c r="F443" s="63" t="s">
        <v>1869</v>
      </c>
      <c r="G443" s="63" t="s">
        <v>1870</v>
      </c>
      <c r="M443" s="63" t="s">
        <v>1713</v>
      </c>
      <c r="N443" s="63" t="s">
        <v>1867</v>
      </c>
      <c r="O443" s="63" t="s">
        <v>1713</v>
      </c>
      <c r="P443" s="63" t="s">
        <v>1868</v>
      </c>
      <c r="Q443" s="63" t="s">
        <v>1871</v>
      </c>
      <c r="R443" s="63" t="s">
        <v>1872</v>
      </c>
    </row>
    <row r="444" spans="2:18" ht="16.2" customHeight="1" x14ac:dyDescent="0.3">
      <c r="B444" s="63" t="s">
        <v>1713</v>
      </c>
      <c r="C444" s="63" t="s">
        <v>1873</v>
      </c>
      <c r="D444" s="63" t="s">
        <v>1713</v>
      </c>
      <c r="E444" s="63" t="s">
        <v>1874</v>
      </c>
      <c r="F444" s="63" t="s">
        <v>1875</v>
      </c>
      <c r="G444" s="63" t="s">
        <v>1876</v>
      </c>
      <c r="M444" s="63" t="s">
        <v>1713</v>
      </c>
      <c r="N444" s="63" t="s">
        <v>1873</v>
      </c>
      <c r="O444" s="63" t="s">
        <v>1713</v>
      </c>
      <c r="P444" s="63" t="s">
        <v>1874</v>
      </c>
      <c r="Q444" s="63" t="s">
        <v>1877</v>
      </c>
      <c r="R444" s="63" t="s">
        <v>1878</v>
      </c>
    </row>
    <row r="445" spans="2:18" ht="16.2" customHeight="1" x14ac:dyDescent="0.3">
      <c r="B445" s="63" t="s">
        <v>1713</v>
      </c>
      <c r="C445" s="63" t="s">
        <v>1879</v>
      </c>
      <c r="D445" s="63" t="s">
        <v>1713</v>
      </c>
      <c r="E445" s="63" t="s">
        <v>1880</v>
      </c>
      <c r="F445" s="63" t="s">
        <v>1881</v>
      </c>
      <c r="G445" s="63" t="s">
        <v>1882</v>
      </c>
      <c r="M445" s="63" t="s">
        <v>1713</v>
      </c>
      <c r="N445" s="63" t="s">
        <v>1879</v>
      </c>
      <c r="O445" s="63" t="s">
        <v>1713</v>
      </c>
      <c r="P445" s="63" t="s">
        <v>1880</v>
      </c>
      <c r="Q445" s="63" t="s">
        <v>1883</v>
      </c>
      <c r="R445" s="63" t="s">
        <v>1884</v>
      </c>
    </row>
    <row r="446" spans="2:18" ht="16.2" customHeight="1" x14ac:dyDescent="0.3">
      <c r="B446" s="63" t="s">
        <v>1713</v>
      </c>
      <c r="C446" s="63" t="s">
        <v>1885</v>
      </c>
      <c r="D446" s="63" t="s">
        <v>1713</v>
      </c>
      <c r="E446" s="63" t="s">
        <v>1886</v>
      </c>
      <c r="F446" s="63" t="s">
        <v>1887</v>
      </c>
      <c r="G446" s="63" t="s">
        <v>1888</v>
      </c>
      <c r="M446" s="63" t="s">
        <v>1713</v>
      </c>
      <c r="N446" s="63" t="s">
        <v>1885</v>
      </c>
      <c r="O446" s="63" t="s">
        <v>1713</v>
      </c>
      <c r="P446" s="63" t="s">
        <v>1886</v>
      </c>
      <c r="Q446" s="63" t="s">
        <v>1889</v>
      </c>
      <c r="R446" s="63" t="s">
        <v>1888</v>
      </c>
    </row>
    <row r="447" spans="2:18" ht="16.2" customHeight="1" x14ac:dyDescent="0.3">
      <c r="B447" s="63" t="s">
        <v>1713</v>
      </c>
      <c r="C447" s="63" t="s">
        <v>1890</v>
      </c>
      <c r="D447" s="63" t="s">
        <v>1713</v>
      </c>
      <c r="E447" s="63" t="s">
        <v>1891</v>
      </c>
      <c r="F447" s="63" t="s">
        <v>1892</v>
      </c>
      <c r="G447" s="63" t="s">
        <v>1893</v>
      </c>
      <c r="M447" s="63" t="s">
        <v>1713</v>
      </c>
      <c r="N447" s="63" t="s">
        <v>1890</v>
      </c>
      <c r="O447" s="63" t="s">
        <v>1713</v>
      </c>
      <c r="P447" s="63" t="s">
        <v>1891</v>
      </c>
      <c r="Q447" s="63" t="s">
        <v>1894</v>
      </c>
      <c r="R447" s="63" t="s">
        <v>1893</v>
      </c>
    </row>
    <row r="448" spans="2:18" ht="16.2" customHeight="1" x14ac:dyDescent="0.3">
      <c r="B448" s="63" t="s">
        <v>1713</v>
      </c>
      <c r="C448" s="63" t="s">
        <v>1895</v>
      </c>
      <c r="D448" s="63" t="s">
        <v>1713</v>
      </c>
      <c r="E448" s="63" t="s">
        <v>1896</v>
      </c>
      <c r="F448" s="63" t="s">
        <v>1897</v>
      </c>
      <c r="G448" s="63" t="s">
        <v>1898</v>
      </c>
      <c r="M448" s="63" t="s">
        <v>1713</v>
      </c>
      <c r="N448" s="63" t="s">
        <v>1895</v>
      </c>
      <c r="O448" s="63" t="s">
        <v>1713</v>
      </c>
      <c r="P448" s="63" t="s">
        <v>1896</v>
      </c>
      <c r="Q448" s="63" t="s">
        <v>1899</v>
      </c>
      <c r="R448" s="63" t="s">
        <v>1898</v>
      </c>
    </row>
    <row r="449" spans="2:18" ht="16.2" customHeight="1" x14ac:dyDescent="0.3">
      <c r="B449" s="63" t="s">
        <v>1713</v>
      </c>
      <c r="C449" s="63" t="s">
        <v>1900</v>
      </c>
      <c r="D449" s="63" t="s">
        <v>1713</v>
      </c>
      <c r="E449" s="63" t="s">
        <v>1901</v>
      </c>
      <c r="F449" s="63" t="s">
        <v>1902</v>
      </c>
      <c r="G449" s="63" t="s">
        <v>1903</v>
      </c>
      <c r="M449" s="63" t="s">
        <v>1713</v>
      </c>
      <c r="N449" s="63" t="s">
        <v>1900</v>
      </c>
      <c r="O449" s="63" t="s">
        <v>1713</v>
      </c>
      <c r="P449" s="63" t="s">
        <v>1901</v>
      </c>
      <c r="Q449" s="63" t="s">
        <v>1904</v>
      </c>
      <c r="R449" s="63" t="s">
        <v>1903</v>
      </c>
    </row>
    <row r="450" spans="2:18" ht="16.2" customHeight="1" x14ac:dyDescent="0.3">
      <c r="B450" s="63" t="s">
        <v>1713</v>
      </c>
      <c r="C450" s="63" t="s">
        <v>1905</v>
      </c>
      <c r="D450" s="63" t="s">
        <v>1713</v>
      </c>
      <c r="E450" s="63" t="s">
        <v>1906</v>
      </c>
      <c r="F450" s="63" t="s">
        <v>1907</v>
      </c>
      <c r="G450" s="63" t="s">
        <v>1908</v>
      </c>
      <c r="M450" s="63" t="s">
        <v>1713</v>
      </c>
      <c r="N450" s="63" t="s">
        <v>1905</v>
      </c>
      <c r="O450" s="63" t="s">
        <v>1713</v>
      </c>
      <c r="P450" s="63" t="s">
        <v>1906</v>
      </c>
      <c r="Q450" s="63" t="s">
        <v>1909</v>
      </c>
      <c r="R450" s="63" t="s">
        <v>1908</v>
      </c>
    </row>
    <row r="451" spans="2:18" ht="16.2" customHeight="1" x14ac:dyDescent="0.3">
      <c r="B451" s="63" t="s">
        <v>1713</v>
      </c>
      <c r="C451" s="63" t="s">
        <v>1910</v>
      </c>
      <c r="D451" s="63" t="s">
        <v>1713</v>
      </c>
      <c r="E451" s="63" t="s">
        <v>1911</v>
      </c>
      <c r="F451" s="63" t="s">
        <v>1912</v>
      </c>
      <c r="G451" s="63" t="s">
        <v>1913</v>
      </c>
      <c r="M451" s="63" t="s">
        <v>1713</v>
      </c>
      <c r="N451" s="63" t="s">
        <v>1910</v>
      </c>
      <c r="O451" s="63" t="s">
        <v>1713</v>
      </c>
      <c r="P451" s="63" t="s">
        <v>1911</v>
      </c>
      <c r="Q451" s="63" t="s">
        <v>1914</v>
      </c>
      <c r="R451" s="63" t="s">
        <v>1913</v>
      </c>
    </row>
    <row r="452" spans="2:18" ht="16.2" customHeight="1" x14ac:dyDescent="0.3">
      <c r="B452" s="63" t="s">
        <v>1713</v>
      </c>
      <c r="C452" s="63" t="s">
        <v>1915</v>
      </c>
      <c r="D452" s="63" t="s">
        <v>1713</v>
      </c>
      <c r="E452" s="63" t="s">
        <v>1916</v>
      </c>
      <c r="F452" s="63" t="s">
        <v>1917</v>
      </c>
      <c r="G452" s="63" t="s">
        <v>1918</v>
      </c>
      <c r="M452" s="63" t="s">
        <v>1713</v>
      </c>
      <c r="N452" s="63" t="s">
        <v>1915</v>
      </c>
      <c r="O452" s="63" t="s">
        <v>1713</v>
      </c>
      <c r="P452" s="63" t="s">
        <v>1916</v>
      </c>
      <c r="Q452" s="63" t="s">
        <v>1919</v>
      </c>
      <c r="R452" s="63" t="s">
        <v>1918</v>
      </c>
    </row>
    <row r="453" spans="2:18" ht="16.2" customHeight="1" x14ac:dyDescent="0.3">
      <c r="B453" s="63" t="s">
        <v>1713</v>
      </c>
      <c r="C453" s="63" t="s">
        <v>1920</v>
      </c>
      <c r="D453" s="63" t="s">
        <v>1713</v>
      </c>
      <c r="E453" s="63" t="s">
        <v>1921</v>
      </c>
      <c r="F453" s="63" t="s">
        <v>1922</v>
      </c>
      <c r="G453" s="63" t="s">
        <v>1923</v>
      </c>
      <c r="M453" s="63" t="s">
        <v>1713</v>
      </c>
      <c r="N453" s="63" t="s">
        <v>1920</v>
      </c>
      <c r="O453" s="63" t="s">
        <v>1713</v>
      </c>
      <c r="P453" s="63" t="s">
        <v>1921</v>
      </c>
      <c r="Q453" s="63" t="s">
        <v>1924</v>
      </c>
      <c r="R453" s="63" t="s">
        <v>1923</v>
      </c>
    </row>
    <row r="454" spans="2:18" ht="16.2" customHeight="1" x14ac:dyDescent="0.3">
      <c r="B454" s="63" t="s">
        <v>1713</v>
      </c>
      <c r="C454" s="63" t="s">
        <v>1925</v>
      </c>
      <c r="D454" s="63" t="s">
        <v>1713</v>
      </c>
      <c r="E454" s="63" t="s">
        <v>1926</v>
      </c>
      <c r="F454" s="63" t="s">
        <v>1927</v>
      </c>
      <c r="G454" s="63" t="s">
        <v>1928</v>
      </c>
    </row>
    <row r="455" spans="2:18" ht="16.2" customHeight="1" x14ac:dyDescent="0.3">
      <c r="B455" s="63" t="s">
        <v>1713</v>
      </c>
      <c r="C455" s="63" t="s">
        <v>1929</v>
      </c>
      <c r="D455" s="63" t="s">
        <v>1713</v>
      </c>
      <c r="E455" s="63" t="s">
        <v>1930</v>
      </c>
      <c r="F455" s="63" t="s">
        <v>1931</v>
      </c>
      <c r="G455" s="63" t="s">
        <v>1932</v>
      </c>
    </row>
    <row r="456" spans="2:18" ht="16.2" customHeight="1" x14ac:dyDescent="0.3">
      <c r="B456" s="63" t="s">
        <v>1713</v>
      </c>
      <c r="C456" s="63" t="s">
        <v>1933</v>
      </c>
      <c r="D456" s="63" t="s">
        <v>1713</v>
      </c>
      <c r="E456" s="63" t="s">
        <v>1934</v>
      </c>
      <c r="F456" s="63" t="s">
        <v>1935</v>
      </c>
      <c r="G456" s="63" t="s">
        <v>1936</v>
      </c>
      <c r="M456" s="63" t="s">
        <v>1713</v>
      </c>
      <c r="N456" s="63" t="s">
        <v>1933</v>
      </c>
      <c r="O456" s="63" t="s">
        <v>1713</v>
      </c>
      <c r="P456" s="63" t="s">
        <v>1934</v>
      </c>
      <c r="Q456" s="63" t="s">
        <v>1935</v>
      </c>
      <c r="R456" s="63" t="s">
        <v>1937</v>
      </c>
    </row>
    <row r="457" spans="2:18" ht="16.2" customHeight="1" x14ac:dyDescent="0.3">
      <c r="B457" s="63" t="s">
        <v>1713</v>
      </c>
      <c r="C457" s="63" t="s">
        <v>1938</v>
      </c>
      <c r="D457" s="63" t="s">
        <v>1713</v>
      </c>
      <c r="E457" s="63" t="s">
        <v>1939</v>
      </c>
      <c r="F457" s="63" t="s">
        <v>1940</v>
      </c>
      <c r="G457" s="63" t="s">
        <v>1941</v>
      </c>
      <c r="M457" s="63" t="s">
        <v>1713</v>
      </c>
      <c r="N457" s="63" t="s">
        <v>1938</v>
      </c>
      <c r="O457" s="63" t="s">
        <v>1713</v>
      </c>
      <c r="P457" s="63" t="s">
        <v>1939</v>
      </c>
      <c r="Q457" s="63" t="s">
        <v>1940</v>
      </c>
      <c r="R457" s="63" t="s">
        <v>1941</v>
      </c>
    </row>
    <row r="477" spans="2:2" ht="16.2" customHeight="1" x14ac:dyDescent="0.3">
      <c r="B477" s="21"/>
    </row>
    <row r="478" spans="2:2" ht="16.2" customHeight="1" x14ac:dyDescent="0.3">
      <c r="B478" s="21"/>
    </row>
    <row r="479" spans="2:2" ht="16.2" customHeight="1" x14ac:dyDescent="0.3">
      <c r="B479" s="21"/>
    </row>
    <row r="480" spans="2:2" ht="16.2" customHeight="1" x14ac:dyDescent="0.3">
      <c r="B480" s="21"/>
    </row>
    <row r="481" spans="2:2" ht="16.2" customHeight="1" x14ac:dyDescent="0.3">
      <c r="B481" s="21"/>
    </row>
    <row r="482" spans="2:2" ht="16.2" customHeight="1" x14ac:dyDescent="0.3">
      <c r="B482" s="21"/>
    </row>
    <row r="483" spans="2:2" ht="16.2" customHeight="1" x14ac:dyDescent="0.3">
      <c r="B483" s="21"/>
    </row>
    <row r="484" spans="2:2" ht="16.2" customHeight="1" x14ac:dyDescent="0.3">
      <c r="B484" s="21"/>
    </row>
    <row r="485" spans="2:2" ht="16.2" customHeight="1" x14ac:dyDescent="0.3">
      <c r="B485" s="21"/>
    </row>
    <row r="486" spans="2:2" ht="16.2" customHeight="1" x14ac:dyDescent="0.3">
      <c r="B486" s="21"/>
    </row>
    <row r="487" spans="2:2" ht="16.2" customHeight="1" x14ac:dyDescent="0.3">
      <c r="B487" s="21"/>
    </row>
    <row r="488" spans="2:2" ht="16.2" customHeight="1" x14ac:dyDescent="0.3">
      <c r="B488" s="21"/>
    </row>
    <row r="489" spans="2:2" ht="16.2" customHeight="1" x14ac:dyDescent="0.3">
      <c r="B489" s="21"/>
    </row>
    <row r="490" spans="2:2" ht="16.2" customHeight="1" x14ac:dyDescent="0.3">
      <c r="B490" s="21"/>
    </row>
    <row r="491" spans="2:2" ht="16.2" customHeight="1" x14ac:dyDescent="0.3">
      <c r="B491" s="21"/>
    </row>
    <row r="492" spans="2:2" ht="16.2" customHeight="1" x14ac:dyDescent="0.3">
      <c r="B492" s="21"/>
    </row>
    <row r="493" spans="2:2" ht="16.2" customHeight="1" x14ac:dyDescent="0.3">
      <c r="B493" s="21"/>
    </row>
    <row r="494" spans="2:2" ht="16.2" customHeight="1" x14ac:dyDescent="0.3">
      <c r="B494" s="21"/>
    </row>
    <row r="495" spans="2:2" ht="16.2" customHeight="1" x14ac:dyDescent="0.3">
      <c r="B495" s="21"/>
    </row>
    <row r="496" spans="2:2" ht="16.2" customHeight="1" x14ac:dyDescent="0.3">
      <c r="B496" s="21"/>
    </row>
    <row r="497" spans="2:2" ht="16.2" customHeight="1" x14ac:dyDescent="0.3">
      <c r="B497" s="21"/>
    </row>
    <row r="498" spans="2:2" ht="16.2" customHeight="1" x14ac:dyDescent="0.3">
      <c r="B498" s="21"/>
    </row>
    <row r="499" spans="2:2" ht="16.2" customHeight="1" x14ac:dyDescent="0.3">
      <c r="B499" s="21"/>
    </row>
    <row r="500" spans="2:2" ht="16.2" customHeight="1" x14ac:dyDescent="0.3">
      <c r="B500" s="21"/>
    </row>
    <row r="501" spans="2:2" ht="16.2" customHeight="1" x14ac:dyDescent="0.3">
      <c r="B501" s="21"/>
    </row>
  </sheetData>
  <sortState xmlns:xlrd2="http://schemas.microsoft.com/office/spreadsheetml/2017/richdata2" ref="M412:Q500">
    <sortCondition ref="M412:M500"/>
  </sortState>
  <phoneticPr fontId="2"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工作表3"/>
  <dimension ref="A1:BA425"/>
  <sheetViews>
    <sheetView zoomScale="130" zoomScaleNormal="130" workbookViewId="0">
      <pane ySplit="4" topLeftCell="A120" activePane="bottomLeft" state="frozen"/>
      <selection pane="bottomLeft" activeCell="AI386" sqref="AI386"/>
    </sheetView>
  </sheetViews>
  <sheetFormatPr defaultColWidth="8.77734375" defaultRowHeight="13.8" x14ac:dyDescent="0.3"/>
  <cols>
    <col min="1" max="1" width="8.77734375" style="2"/>
    <col min="2" max="2" width="19" style="2" customWidth="1"/>
    <col min="3" max="3" width="8.77734375" style="355"/>
    <col min="4" max="9" width="3.33203125" style="16" customWidth="1"/>
    <col min="10" max="17" width="3.33203125" style="2" customWidth="1"/>
    <col min="18" max="23" width="3.33203125" style="16" customWidth="1"/>
    <col min="24" max="24" width="8.109375" style="21" customWidth="1"/>
    <col min="25" max="25" width="5.6640625" style="21" customWidth="1"/>
    <col min="26" max="26" width="2.77734375" style="21" customWidth="1"/>
    <col min="27" max="27" width="8.77734375" style="16"/>
    <col min="28" max="28" width="10.21875" style="16" customWidth="1"/>
    <col min="29" max="31" width="8.77734375" style="16"/>
    <col min="32" max="32" width="5.88671875" style="16" customWidth="1"/>
    <col min="33" max="34" width="8.77734375" style="16"/>
    <col min="35" max="35" width="6.21875" style="16" customWidth="1"/>
    <col min="36" max="36" width="8.77734375" style="16"/>
    <col min="37" max="37" width="6.21875" style="16" customWidth="1"/>
    <col min="38" max="38" width="8.77734375" style="16"/>
    <col min="39" max="39" width="9.88671875" style="16" customWidth="1"/>
    <col min="40" max="40" width="11" style="16" customWidth="1"/>
    <col min="41" max="16384" width="8.77734375" style="2"/>
  </cols>
  <sheetData>
    <row r="1" spans="1:25" x14ac:dyDescent="0.3">
      <c r="D1" s="19" t="s">
        <v>1953</v>
      </c>
      <c r="E1" s="19" t="s">
        <v>1954</v>
      </c>
      <c r="F1" s="19" t="s">
        <v>1955</v>
      </c>
      <c r="G1" s="19" t="s">
        <v>1956</v>
      </c>
      <c r="H1" s="19" t="s">
        <v>2788</v>
      </c>
      <c r="I1" s="19" t="s">
        <v>1957</v>
      </c>
      <c r="J1" s="19" t="s">
        <v>1958</v>
      </c>
      <c r="K1" s="19" t="s">
        <v>2242</v>
      </c>
      <c r="L1" s="19" t="s">
        <v>2243</v>
      </c>
      <c r="M1" s="11" t="s">
        <v>2804</v>
      </c>
      <c r="N1" s="11" t="s">
        <v>2805</v>
      </c>
    </row>
    <row r="2" spans="1:25" x14ac:dyDescent="0.3">
      <c r="D2" s="192" t="s">
        <v>2227</v>
      </c>
      <c r="E2" s="192" t="s">
        <v>2228</v>
      </c>
      <c r="F2" s="192" t="s">
        <v>2229</v>
      </c>
      <c r="G2" s="192" t="s">
        <v>2230</v>
      </c>
      <c r="H2" s="192" t="s">
        <v>2231</v>
      </c>
      <c r="I2" s="192" t="str">
        <f>主頁!$B$15</f>
        <v>請選擇第一選修科</v>
      </c>
      <c r="J2" s="192" t="str">
        <f>主頁!$B$16</f>
        <v>請選擇第二選修科</v>
      </c>
      <c r="K2" s="192" t="str">
        <f>主頁!$B$17</f>
        <v>請選擇第三選修科</v>
      </c>
      <c r="L2" s="192" t="str">
        <f>主頁!$B$18</f>
        <v>請選擇第四選修科</v>
      </c>
      <c r="M2" s="192" t="str">
        <f>主頁!$B$19</f>
        <v>請選擇語言科目</v>
      </c>
      <c r="N2" s="192" t="str">
        <f>主頁!$B$19</f>
        <v>請選擇語言科目</v>
      </c>
      <c r="X2" s="21" t="s">
        <v>3541</v>
      </c>
    </row>
    <row r="3" spans="1:25" x14ac:dyDescent="0.3">
      <c r="D3" s="16">
        <f>計分版!I$13</f>
        <v>1E-10</v>
      </c>
      <c r="E3" s="16">
        <f>計分版!J$13</f>
        <v>2.0000000000000001E-10</v>
      </c>
      <c r="F3" s="16">
        <f>計分版!K$13</f>
        <v>3E-10</v>
      </c>
      <c r="G3" s="16">
        <f>計分版!L$13</f>
        <v>4.0000000000000001E-10</v>
      </c>
      <c r="H3" s="16">
        <f>計分版!M$13</f>
        <v>5.0000000000000003E-10</v>
      </c>
      <c r="I3" s="16">
        <f>計分版!N$13</f>
        <v>6E-10</v>
      </c>
      <c r="J3" s="16">
        <f>計分版!O$13</f>
        <v>6.9999999999999996E-10</v>
      </c>
      <c r="K3" s="16">
        <f>計分版!P$13</f>
        <v>8.0000000000000003E-10</v>
      </c>
      <c r="L3" s="16">
        <f>計分版!Q$13</f>
        <v>8.9999999999999999E-10</v>
      </c>
      <c r="M3" s="16">
        <f>IF(OR(N3="請選擇等級",N3="U",N3=0),0,3)</f>
        <v>0</v>
      </c>
      <c r="N3" s="2">
        <f>計分版!R2</f>
        <v>0</v>
      </c>
    </row>
    <row r="4" spans="1:25" x14ac:dyDescent="0.3">
      <c r="A4" s="254" t="s">
        <v>1942</v>
      </c>
      <c r="B4" s="254" t="s">
        <v>1944</v>
      </c>
      <c r="C4" s="356" t="s">
        <v>1950</v>
      </c>
      <c r="D4" s="111" t="s">
        <v>1953</v>
      </c>
      <c r="E4" s="111" t="s">
        <v>1954</v>
      </c>
      <c r="F4" s="111" t="s">
        <v>1955</v>
      </c>
      <c r="G4" s="111" t="s">
        <v>1956</v>
      </c>
      <c r="H4" s="111" t="s">
        <v>1957</v>
      </c>
      <c r="I4" s="111" t="s">
        <v>1958</v>
      </c>
      <c r="J4" s="254"/>
      <c r="K4" s="19" t="s">
        <v>1953</v>
      </c>
      <c r="L4" s="19" t="s">
        <v>1954</v>
      </c>
      <c r="M4" s="19" t="s">
        <v>1955</v>
      </c>
      <c r="N4" s="19" t="s">
        <v>1956</v>
      </c>
      <c r="O4" s="19" t="s">
        <v>1957</v>
      </c>
      <c r="P4" s="19" t="s">
        <v>1958</v>
      </c>
      <c r="Q4" s="266"/>
      <c r="R4" s="19" t="s">
        <v>1951</v>
      </c>
      <c r="S4" s="251"/>
      <c r="T4" s="19" t="s">
        <v>2233</v>
      </c>
      <c r="U4" s="19" t="s">
        <v>2234</v>
      </c>
      <c r="V4" s="19" t="s">
        <v>2235</v>
      </c>
      <c r="X4" s="414" t="s">
        <v>3138</v>
      </c>
      <c r="Y4" s="414" t="s">
        <v>3139</v>
      </c>
    </row>
    <row r="16" spans="1:25" x14ac:dyDescent="0.3">
      <c r="A16" s="2" t="s">
        <v>2232</v>
      </c>
    </row>
    <row r="17" spans="1:53" x14ac:dyDescent="0.3">
      <c r="A17" s="11" t="s">
        <v>1942</v>
      </c>
      <c r="D17" s="19" t="s">
        <v>1953</v>
      </c>
      <c r="E17" s="19" t="s">
        <v>1954</v>
      </c>
      <c r="F17" s="19" t="s">
        <v>1955</v>
      </c>
      <c r="G17" s="19" t="s">
        <v>1956</v>
      </c>
      <c r="H17" s="19" t="s">
        <v>1957</v>
      </c>
      <c r="I17" s="19" t="s">
        <v>1958</v>
      </c>
      <c r="K17" s="19" t="s">
        <v>1953</v>
      </c>
      <c r="L17" s="19" t="s">
        <v>1954</v>
      </c>
      <c r="M17" s="19" t="s">
        <v>1955</v>
      </c>
      <c r="N17" s="19" t="s">
        <v>1956</v>
      </c>
      <c r="O17" s="19" t="s">
        <v>1957</v>
      </c>
      <c r="P17" s="19" t="s">
        <v>1958</v>
      </c>
      <c r="R17" s="19" t="s">
        <v>1951</v>
      </c>
      <c r="T17" s="19" t="s">
        <v>2233</v>
      </c>
      <c r="U17" s="19" t="s">
        <v>2234</v>
      </c>
      <c r="V17" s="19" t="s">
        <v>2235</v>
      </c>
    </row>
    <row r="18" spans="1:53" x14ac:dyDescent="0.3">
      <c r="A18" s="2" t="str">
        <f>'All in One'!B5</f>
        <v>JS9001</v>
      </c>
      <c r="D18" s="16">
        <f t="shared" ref="D18:I18" si="0">IFERROR(INDEX(D$22:D$411,MATCH($A18,$A$22:$A$411,0)),"")</f>
        <v>3</v>
      </c>
      <c r="E18" s="16">
        <f t="shared" si="0"/>
        <v>3</v>
      </c>
      <c r="F18" s="16">
        <f t="shared" si="0"/>
        <v>2</v>
      </c>
      <c r="G18" s="16">
        <f t="shared" si="0"/>
        <v>2</v>
      </c>
      <c r="H18" s="16">
        <f t="shared" si="0"/>
        <v>2</v>
      </c>
      <c r="I18" s="16">
        <f t="shared" si="0"/>
        <v>0</v>
      </c>
      <c r="J18" s="16"/>
      <c r="K18" s="16">
        <f t="shared" ref="K18:P18" si="1">IFERROR(INDEX(K$22:K$411,MATCH($A18,$A$22:$A$411,0)),"")</f>
        <v>0</v>
      </c>
      <c r="L18" s="16">
        <f t="shared" si="1"/>
        <v>0</v>
      </c>
      <c r="M18" s="16">
        <f t="shared" si="1"/>
        <v>0</v>
      </c>
      <c r="N18" s="16">
        <f t="shared" si="1"/>
        <v>0</v>
      </c>
      <c r="O18" s="16">
        <f t="shared" si="1"/>
        <v>0</v>
      </c>
      <c r="P18" s="16">
        <f t="shared" si="1"/>
        <v>0</v>
      </c>
      <c r="Q18" s="16"/>
      <c r="R18" s="16">
        <f>IFERROR(INDEX(R$22:R$411,MATCH($A18,$A$22:$A$411,0)),"")</f>
        <v>0</v>
      </c>
      <c r="T18" s="16" t="str">
        <f>IFERROR(INDEX(T$22:T$410,MATCH($A18,$A$22:$A$411,0)),"")</f>
        <v>v</v>
      </c>
      <c r="U18" s="16" t="str">
        <f>IFERROR(INDEX(U$22:U$410,MATCH($A18,$A$22:$A$411,0)),"")</f>
        <v>E</v>
      </c>
      <c r="V18" s="16" t="str">
        <f>IFERROR(INDEX(V$22:V$412,MATCH($A18,$A$22:$A$411,0)),"")</f>
        <v>v</v>
      </c>
      <c r="AQ18" s="16"/>
      <c r="AR18" s="16"/>
      <c r="AS18" s="16"/>
    </row>
    <row r="19" spans="1:53" x14ac:dyDescent="0.3">
      <c r="AB19" s="21" t="s">
        <v>2795</v>
      </c>
    </row>
    <row r="20" spans="1:53" x14ac:dyDescent="0.3">
      <c r="A20" s="11" t="s">
        <v>2148</v>
      </c>
    </row>
    <row r="21" spans="1:53" x14ac:dyDescent="0.3">
      <c r="A21" s="11" t="s">
        <v>1942</v>
      </c>
      <c r="B21" s="11" t="s">
        <v>1944</v>
      </c>
      <c r="C21" s="356" t="s">
        <v>1950</v>
      </c>
      <c r="D21" s="19" t="s">
        <v>1953</v>
      </c>
      <c r="E21" s="19" t="s">
        <v>1954</v>
      </c>
      <c r="F21" s="19" t="s">
        <v>1955</v>
      </c>
      <c r="G21" s="19" t="s">
        <v>1956</v>
      </c>
      <c r="H21" s="19" t="s">
        <v>1957</v>
      </c>
      <c r="I21" s="19" t="s">
        <v>1958</v>
      </c>
      <c r="K21" s="19" t="s">
        <v>1953</v>
      </c>
      <c r="L21" s="19" t="s">
        <v>1954</v>
      </c>
      <c r="M21" s="19" t="s">
        <v>1955</v>
      </c>
      <c r="N21" s="19" t="s">
        <v>1956</v>
      </c>
      <c r="O21" s="19" t="s">
        <v>1957</v>
      </c>
      <c r="P21" s="19" t="s">
        <v>1958</v>
      </c>
      <c r="R21" s="19" t="s">
        <v>1951</v>
      </c>
      <c r="S21" s="2"/>
      <c r="T21" s="19" t="s">
        <v>2233</v>
      </c>
      <c r="U21" s="19" t="s">
        <v>2234</v>
      </c>
      <c r="V21" s="19" t="s">
        <v>2235</v>
      </c>
      <c r="Z21" s="21" t="s">
        <v>2808</v>
      </c>
      <c r="AA21" s="394" t="s">
        <v>2148</v>
      </c>
      <c r="AB21" s="394" t="s">
        <v>2236</v>
      </c>
      <c r="AC21" s="122"/>
      <c r="AD21" s="183"/>
      <c r="AE21" s="183"/>
      <c r="AF21" s="183"/>
      <c r="AG21" s="183"/>
      <c r="AH21" s="183"/>
      <c r="AI21" s="183"/>
      <c r="AJ21" s="183"/>
      <c r="AK21" s="183"/>
      <c r="AL21" s="183"/>
      <c r="AM21" s="183"/>
      <c r="AN21" s="183"/>
      <c r="AO21" s="183"/>
      <c r="AP21" s="183"/>
      <c r="AQ21" s="183"/>
      <c r="AR21" s="183"/>
      <c r="AS21" s="183"/>
      <c r="AT21" s="183"/>
      <c r="AU21" s="183"/>
      <c r="AV21" s="183"/>
      <c r="AW21" s="183"/>
      <c r="AX21" s="183"/>
      <c r="AY21" s="183"/>
      <c r="AZ21" s="183"/>
      <c r="BA21" s="183"/>
    </row>
    <row r="22" spans="1:53" x14ac:dyDescent="0.3">
      <c r="A22" s="191" t="str">
        <f>'Reference Score Calculation'!A13</f>
        <v>JS1000</v>
      </c>
      <c r="B22" s="2" t="str">
        <f>'Reference Score Calculation'!D13</f>
        <v>理學士(計算金融及金融科技)</v>
      </c>
      <c r="C22" s="355">
        <f>'Offer Statistics'!R153</f>
        <v>10</v>
      </c>
      <c r="D22" s="109">
        <v>3</v>
      </c>
      <c r="E22" s="109">
        <v>3</v>
      </c>
      <c r="F22" s="109">
        <v>4</v>
      </c>
      <c r="G22" s="109">
        <v>2</v>
      </c>
      <c r="H22" s="109">
        <v>3</v>
      </c>
      <c r="I22" s="109">
        <v>3</v>
      </c>
      <c r="K22" s="16">
        <f t="shared" ref="K22:K59" si="2">IF(D22&gt;D$3,0,1)</f>
        <v>0</v>
      </c>
      <c r="L22" s="16">
        <f t="shared" ref="L22:L59" si="3">IF(E22&gt;E$3,0,1)</f>
        <v>0</v>
      </c>
      <c r="M22" s="16">
        <f t="shared" ref="M22:M59" si="4">IF(F22&gt;F$3,0,1)</f>
        <v>0</v>
      </c>
      <c r="N22" s="16">
        <f t="shared" ref="N22:N59" si="5">IF(G22&gt;G$3,0,1)</f>
        <v>0</v>
      </c>
      <c r="O22" s="16">
        <f>IF(H22&gt;LARGE($H$3:$M$3,1),0,1)</f>
        <v>0</v>
      </c>
      <c r="P22" s="16">
        <f>IF(I22&gt;LARGE(H$3:M$3,2),0,1)</f>
        <v>0</v>
      </c>
      <c r="R22" s="16">
        <f>K22*L22*M22*N22*O22*P22</f>
        <v>0</v>
      </c>
      <c r="S22" s="2"/>
      <c r="T22" s="16" t="s">
        <v>2237</v>
      </c>
      <c r="U22" s="16" t="s">
        <v>2238</v>
      </c>
      <c r="V22" s="16" t="s">
        <v>2239</v>
      </c>
      <c r="X22" s="2" t="s">
        <v>1978</v>
      </c>
      <c r="Y22" s="2" t="s">
        <v>1978</v>
      </c>
      <c r="Z22" s="21" t="s">
        <v>2808</v>
      </c>
      <c r="AA22" s="122"/>
      <c r="AB22" s="121"/>
      <c r="AC22" s="122"/>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row>
    <row r="23" spans="1:53" x14ac:dyDescent="0.3">
      <c r="A23" s="191" t="str">
        <f>'Reference Score Calculation'!A14</f>
        <v>JS1001</v>
      </c>
      <c r="B23" s="2" t="str">
        <f>'Reference Score Calculation'!D14</f>
        <v>工商管理學士(環球商業)</v>
      </c>
      <c r="C23" s="355">
        <f>'Offer Statistics'!R154</f>
        <v>15</v>
      </c>
      <c r="D23" s="109">
        <v>3</v>
      </c>
      <c r="E23" s="109">
        <v>3</v>
      </c>
      <c r="F23" s="109">
        <v>3</v>
      </c>
      <c r="G23" s="109">
        <v>2</v>
      </c>
      <c r="H23" s="109">
        <v>3</v>
      </c>
      <c r="I23" s="109">
        <v>3</v>
      </c>
      <c r="K23" s="16">
        <f t="shared" si="2"/>
        <v>0</v>
      </c>
      <c r="L23" s="16">
        <f t="shared" si="3"/>
        <v>0</v>
      </c>
      <c r="M23" s="16">
        <f t="shared" si="4"/>
        <v>0</v>
      </c>
      <c r="N23" s="16">
        <f t="shared" si="5"/>
        <v>0</v>
      </c>
      <c r="O23" s="16">
        <f t="shared" ref="O23:O39" si="6">IF(H23&gt;LARGE(H$3:M$3,1),0,1)</f>
        <v>0</v>
      </c>
      <c r="P23" s="16">
        <f t="shared" ref="P23:P57" si="7">IF(I23&gt;LARGE(H$3:M$3,2),0,1)</f>
        <v>0</v>
      </c>
      <c r="R23" s="16">
        <f t="shared" ref="R23:R75" si="8">K23*L23*M23*N23*O23*P23</f>
        <v>0</v>
      </c>
      <c r="S23" s="2"/>
      <c r="T23" s="16" t="s">
        <v>2237</v>
      </c>
      <c r="U23" s="16" t="s">
        <v>2238</v>
      </c>
      <c r="V23" s="16" t="s">
        <v>2239</v>
      </c>
      <c r="X23" s="2" t="s">
        <v>1978</v>
      </c>
      <c r="Y23" s="2" t="s">
        <v>1978</v>
      </c>
      <c r="Z23" s="21" t="s">
        <v>2808</v>
      </c>
      <c r="AA23" s="201" t="s">
        <v>2836</v>
      </c>
      <c r="AB23" s="122"/>
      <c r="AC23" s="122"/>
      <c r="AD23" s="122"/>
      <c r="AE23" s="122"/>
      <c r="AF23" s="122"/>
      <c r="AG23" s="122"/>
      <c r="AH23" s="122"/>
      <c r="AI23" s="122"/>
      <c r="AJ23" s="122"/>
      <c r="AK23" s="122"/>
      <c r="AL23" s="122"/>
      <c r="AM23" s="122"/>
      <c r="AN23" s="122"/>
      <c r="AO23" s="183"/>
      <c r="AP23" s="183"/>
      <c r="AQ23" s="183"/>
      <c r="AR23" s="183"/>
      <c r="AS23" s="183"/>
      <c r="AT23" s="183"/>
      <c r="AU23" s="183"/>
      <c r="AV23" s="183"/>
      <c r="AW23" s="183"/>
      <c r="AX23" s="183"/>
      <c r="AY23" s="183"/>
      <c r="AZ23" s="183"/>
      <c r="BA23" s="183"/>
    </row>
    <row r="24" spans="1:53" x14ac:dyDescent="0.3">
      <c r="A24" s="191" t="str">
        <f>'Reference Score Calculation'!A15</f>
        <v>JS1002</v>
      </c>
      <c r="B24" s="2" t="str">
        <f>'Reference Score Calculation'!D15</f>
        <v>工商管理學士(會計)</v>
      </c>
      <c r="C24" s="355">
        <f>'Offer Statistics'!R155</f>
        <v>150</v>
      </c>
      <c r="D24" s="109">
        <v>3</v>
      </c>
      <c r="E24" s="109">
        <v>3</v>
      </c>
      <c r="F24" s="109">
        <v>3</v>
      </c>
      <c r="G24" s="109">
        <v>2</v>
      </c>
      <c r="H24" s="109">
        <v>3</v>
      </c>
      <c r="I24" s="109">
        <v>3</v>
      </c>
      <c r="K24" s="16">
        <f t="shared" si="2"/>
        <v>0</v>
      </c>
      <c r="L24" s="16">
        <f t="shared" si="3"/>
        <v>0</v>
      </c>
      <c r="M24" s="16">
        <f t="shared" si="4"/>
        <v>0</v>
      </c>
      <c r="N24" s="16">
        <f t="shared" si="5"/>
        <v>0</v>
      </c>
      <c r="O24" s="16">
        <f t="shared" si="6"/>
        <v>0</v>
      </c>
      <c r="P24" s="16">
        <f t="shared" si="7"/>
        <v>0</v>
      </c>
      <c r="R24" s="16">
        <f t="shared" si="8"/>
        <v>0</v>
      </c>
      <c r="S24" s="2"/>
      <c r="T24" s="16" t="s">
        <v>2237</v>
      </c>
      <c r="U24" s="16" t="s">
        <v>2238</v>
      </c>
      <c r="V24" s="16" t="s">
        <v>2239</v>
      </c>
      <c r="X24" s="2" t="s">
        <v>1978</v>
      </c>
      <c r="Y24" s="2" t="s">
        <v>1978</v>
      </c>
      <c r="Z24" s="21" t="s">
        <v>2808</v>
      </c>
      <c r="AA24" s="122"/>
      <c r="AB24" s="122"/>
      <c r="AC24" s="122"/>
      <c r="AD24" s="122"/>
      <c r="AE24" s="122"/>
      <c r="AF24" s="122"/>
      <c r="AG24" s="122"/>
      <c r="AH24" s="122"/>
      <c r="AI24" s="122"/>
      <c r="AJ24" s="122"/>
      <c r="AK24" s="122"/>
      <c r="AL24" s="122"/>
      <c r="AM24" s="122"/>
      <c r="AN24" s="122"/>
      <c r="AO24" s="183"/>
      <c r="AP24" s="183"/>
      <c r="AQ24" s="183"/>
      <c r="AR24" s="183"/>
      <c r="AS24" s="183"/>
      <c r="AT24" s="183"/>
      <c r="AU24" s="183"/>
      <c r="AV24" s="183"/>
      <c r="AW24" s="183"/>
      <c r="AX24" s="183"/>
      <c r="AY24" s="183"/>
      <c r="AZ24" s="183"/>
      <c r="BA24" s="183"/>
    </row>
    <row r="25" spans="1:53" x14ac:dyDescent="0.3">
      <c r="A25" s="191" t="str">
        <f>'Reference Score Calculation'!A16</f>
        <v>JS1005</v>
      </c>
      <c r="B25" s="2" t="str">
        <f>'Reference Score Calculation'!D16</f>
        <v>工商管理學士(管理學)</v>
      </c>
      <c r="C25" s="355">
        <f>'Offer Statistics'!R156</f>
        <v>60</v>
      </c>
      <c r="D25" s="109">
        <v>3</v>
      </c>
      <c r="E25" s="109">
        <v>3</v>
      </c>
      <c r="F25" s="109">
        <v>3</v>
      </c>
      <c r="G25" s="109">
        <v>2</v>
      </c>
      <c r="H25" s="109">
        <v>3</v>
      </c>
      <c r="I25" s="109">
        <v>3</v>
      </c>
      <c r="K25" s="16">
        <f t="shared" si="2"/>
        <v>0</v>
      </c>
      <c r="L25" s="16">
        <f t="shared" si="3"/>
        <v>0</v>
      </c>
      <c r="M25" s="16">
        <f t="shared" si="4"/>
        <v>0</v>
      </c>
      <c r="N25" s="16">
        <f t="shared" si="5"/>
        <v>0</v>
      </c>
      <c r="O25" s="16">
        <f t="shared" si="6"/>
        <v>0</v>
      </c>
      <c r="P25" s="16">
        <f t="shared" si="7"/>
        <v>0</v>
      </c>
      <c r="R25" s="16">
        <f t="shared" si="8"/>
        <v>0</v>
      </c>
      <c r="S25" s="2"/>
      <c r="T25" s="16" t="s">
        <v>2237</v>
      </c>
      <c r="U25" s="16" t="s">
        <v>2238</v>
      </c>
      <c r="V25" s="16" t="s">
        <v>2239</v>
      </c>
      <c r="X25" s="2" t="s">
        <v>1978</v>
      </c>
      <c r="Y25" s="2" t="s">
        <v>1978</v>
      </c>
      <c r="Z25" s="21" t="s">
        <v>2808</v>
      </c>
      <c r="AA25" s="184"/>
      <c r="AB25" s="184" t="str">
        <f>I2</f>
        <v>請選擇第一選修科</v>
      </c>
      <c r="AC25" s="184" t="str">
        <f>J2</f>
        <v>請選擇第二選修科</v>
      </c>
      <c r="AD25" s="184" t="str">
        <f>K2</f>
        <v>請選擇第三選修科</v>
      </c>
      <c r="AE25" s="184" t="str">
        <f>L2</f>
        <v>請選擇第四選修科</v>
      </c>
      <c r="AF25" s="184"/>
      <c r="AG25" s="184"/>
      <c r="AH25" s="184" t="s">
        <v>2791</v>
      </c>
      <c r="AI25" s="184"/>
      <c r="AJ25" s="184"/>
      <c r="AK25" s="184"/>
      <c r="AL25" s="184"/>
      <c r="AM25" s="184"/>
      <c r="AN25" s="184"/>
      <c r="AO25" s="183"/>
      <c r="AP25" s="183"/>
      <c r="AQ25" s="183"/>
      <c r="AR25" s="183"/>
      <c r="AS25" s="183"/>
      <c r="AT25" s="183"/>
      <c r="AU25" s="183"/>
      <c r="AV25" s="183"/>
      <c r="AW25" s="183"/>
      <c r="AX25" s="183"/>
      <c r="AY25" s="183"/>
      <c r="AZ25" s="183"/>
      <c r="BA25" s="183"/>
    </row>
    <row r="26" spans="1:53" x14ac:dyDescent="0.3">
      <c r="A26" s="191" t="str">
        <f>'Reference Score Calculation'!A17</f>
        <v>JS1007</v>
      </c>
      <c r="B26" s="2" t="str">
        <f>'Reference Score Calculation'!D17</f>
        <v>工商管理學士(市場營銷)</v>
      </c>
      <c r="C26" s="355">
        <f>'Offer Statistics'!R157</f>
        <v>85</v>
      </c>
      <c r="D26" s="109">
        <v>3</v>
      </c>
      <c r="E26" s="109">
        <v>3</v>
      </c>
      <c r="F26" s="109">
        <v>3</v>
      </c>
      <c r="G26" s="109">
        <v>2</v>
      </c>
      <c r="H26" s="109">
        <v>3</v>
      </c>
      <c r="I26" s="109">
        <v>3</v>
      </c>
      <c r="K26" s="16">
        <f t="shared" si="2"/>
        <v>0</v>
      </c>
      <c r="L26" s="16">
        <f t="shared" si="3"/>
        <v>0</v>
      </c>
      <c r="M26" s="16">
        <f t="shared" si="4"/>
        <v>0</v>
      </c>
      <c r="N26" s="16">
        <f t="shared" si="5"/>
        <v>0</v>
      </c>
      <c r="O26" s="16">
        <f t="shared" si="6"/>
        <v>0</v>
      </c>
      <c r="P26" s="16">
        <f t="shared" si="7"/>
        <v>0</v>
      </c>
      <c r="R26" s="16">
        <f>K26*L26*M26*N26*O26*P26</f>
        <v>0</v>
      </c>
      <c r="S26" s="2"/>
      <c r="T26" s="16" t="s">
        <v>2237</v>
      </c>
      <c r="U26" s="16" t="s">
        <v>2238</v>
      </c>
      <c r="V26" s="16" t="s">
        <v>2239</v>
      </c>
      <c r="X26" s="2" t="s">
        <v>1978</v>
      </c>
      <c r="Y26" s="2" t="s">
        <v>1978</v>
      </c>
      <c r="Z26" s="21" t="s">
        <v>2808</v>
      </c>
      <c r="AA26" s="184" t="s">
        <v>2241</v>
      </c>
      <c r="AB26" s="185">
        <f>IF(OR(I2="物理",I2="組合科學(物理、化學)",I2="組合科學(物理、生物)",I2="綜合科學"),I3,0)</f>
        <v>0</v>
      </c>
      <c r="AC26" s="185">
        <f>IF(OR(J2="物理",J2="組合科學(物理、化學)",J2="組合科學(物理、生物)",J2="綜合科學"),J3,0)</f>
        <v>0</v>
      </c>
      <c r="AD26" s="185">
        <f>IF(OR(K2="物理",K2="組合科學(物理、化學)",K2="組合科學(物理、生物)",K2="綜合科學"),K3,0)</f>
        <v>0</v>
      </c>
      <c r="AE26" s="185">
        <f>IF(OR(L2="物理",L2="組合科學(物理、化學)",L2="組合科學(物理、生物)",L2="綜合科學"),L3,0)</f>
        <v>0</v>
      </c>
      <c r="AF26" s="184"/>
      <c r="AG26" s="184"/>
      <c r="AH26" s="185" t="str">
        <f>IF(AI26&gt;0,INDEX(AB25:AE25,MATCH(LARGE(AB26:AE26,1),AB26:AE26,0)),"無")</f>
        <v>無</v>
      </c>
      <c r="AI26" s="185">
        <f>LARGE((AB26:AE26),1)</f>
        <v>0</v>
      </c>
      <c r="AJ26" s="184"/>
      <c r="AK26" s="184"/>
      <c r="AL26" s="184"/>
      <c r="AM26" s="184"/>
      <c r="AN26" s="184"/>
      <c r="AO26" s="183"/>
      <c r="AP26" s="183"/>
      <c r="AQ26" s="183"/>
      <c r="AR26" s="183"/>
      <c r="AS26" s="183"/>
      <c r="AT26" s="183"/>
      <c r="AU26" s="183"/>
      <c r="AV26" s="183"/>
      <c r="AW26" s="183"/>
      <c r="AX26" s="183"/>
      <c r="AY26" s="183"/>
      <c r="AZ26" s="183"/>
      <c r="BA26" s="183"/>
    </row>
    <row r="27" spans="1:53" x14ac:dyDescent="0.3">
      <c r="A27" s="191" t="str">
        <f>'Reference Score Calculation'!A18</f>
        <v>JS1012</v>
      </c>
      <c r="B27" s="2" t="str">
        <f>'Reference Score Calculation'!D18</f>
        <v>經濟及金融系 [選項: 工商管理學士(商業經濟)、工商管理學士(金融)]</v>
      </c>
      <c r="C27" s="355">
        <f>'Offer Statistics'!R158</f>
        <v>20</v>
      </c>
      <c r="D27" s="109">
        <v>3</v>
      </c>
      <c r="E27" s="109">
        <v>3</v>
      </c>
      <c r="F27" s="109">
        <v>3</v>
      </c>
      <c r="G27" s="109">
        <v>2</v>
      </c>
      <c r="H27" s="109">
        <v>3</v>
      </c>
      <c r="I27" s="109">
        <v>3</v>
      </c>
      <c r="K27" s="16">
        <f t="shared" si="2"/>
        <v>0</v>
      </c>
      <c r="L27" s="16">
        <f t="shared" si="3"/>
        <v>0</v>
      </c>
      <c r="M27" s="16">
        <f t="shared" si="4"/>
        <v>0</v>
      </c>
      <c r="N27" s="16">
        <f t="shared" si="5"/>
        <v>0</v>
      </c>
      <c r="O27" s="16">
        <f t="shared" si="6"/>
        <v>0</v>
      </c>
      <c r="P27" s="16">
        <f t="shared" si="7"/>
        <v>0</v>
      </c>
      <c r="R27" s="16">
        <f t="shared" si="8"/>
        <v>0</v>
      </c>
      <c r="S27" s="2"/>
      <c r="T27" s="16" t="s">
        <v>2237</v>
      </c>
      <c r="U27" s="16" t="s">
        <v>2238</v>
      </c>
      <c r="V27" s="16" t="s">
        <v>2239</v>
      </c>
      <c r="X27" s="2" t="s">
        <v>1978</v>
      </c>
      <c r="Y27" s="2" t="s">
        <v>1978</v>
      </c>
      <c r="Z27" s="21" t="s">
        <v>2808</v>
      </c>
      <c r="AA27" s="184"/>
      <c r="AB27" s="184" t="str">
        <f>I2</f>
        <v>請選擇第一選修科</v>
      </c>
      <c r="AC27" s="184" t="str">
        <f>J2</f>
        <v>請選擇第二選修科</v>
      </c>
      <c r="AD27" s="184" t="str">
        <f>K2</f>
        <v>請選擇第三選修科</v>
      </c>
      <c r="AE27" s="184" t="str">
        <f>L2</f>
        <v>請選擇第四選修科</v>
      </c>
      <c r="AF27" s="184" t="s">
        <v>2245</v>
      </c>
      <c r="AG27" s="122"/>
      <c r="AH27" s="184" t="s">
        <v>2793</v>
      </c>
      <c r="AI27" s="184"/>
      <c r="AJ27" s="184"/>
      <c r="AK27" s="184"/>
      <c r="AL27" s="184"/>
      <c r="AM27" s="184"/>
      <c r="AN27" s="183"/>
      <c r="AO27" s="183"/>
      <c r="AP27" s="183"/>
      <c r="AQ27" s="183"/>
      <c r="AR27" s="183"/>
      <c r="AS27" s="183"/>
      <c r="AT27" s="183"/>
      <c r="AU27" s="183"/>
      <c r="AV27" s="183"/>
      <c r="AW27" s="183"/>
      <c r="AX27" s="183"/>
      <c r="AY27" s="183"/>
      <c r="AZ27" s="183"/>
      <c r="BA27" s="183"/>
    </row>
    <row r="28" spans="1:53" x14ac:dyDescent="0.3">
      <c r="A28" s="191" t="str">
        <f>'Reference Score Calculation'!A19</f>
        <v>JS1013</v>
      </c>
      <c r="B28" s="2" t="str">
        <f>'Reference Score Calculation'!D19</f>
        <v>工商管理學士(商業經濟)</v>
      </c>
      <c r="C28" s="355">
        <f>'Offer Statistics'!R159</f>
        <v>36</v>
      </c>
      <c r="D28" s="109">
        <v>3</v>
      </c>
      <c r="E28" s="109">
        <v>3</v>
      </c>
      <c r="F28" s="109">
        <v>3</v>
      </c>
      <c r="G28" s="109">
        <v>2</v>
      </c>
      <c r="H28" s="109">
        <v>3</v>
      </c>
      <c r="I28" s="109">
        <v>3</v>
      </c>
      <c r="K28" s="16">
        <f t="shared" si="2"/>
        <v>0</v>
      </c>
      <c r="L28" s="16">
        <f t="shared" si="3"/>
        <v>0</v>
      </c>
      <c r="M28" s="16">
        <f t="shared" si="4"/>
        <v>0</v>
      </c>
      <c r="N28" s="16">
        <f t="shared" si="5"/>
        <v>0</v>
      </c>
      <c r="O28" s="16">
        <f t="shared" si="6"/>
        <v>0</v>
      </c>
      <c r="P28" s="16">
        <f t="shared" si="7"/>
        <v>0</v>
      </c>
      <c r="R28" s="16">
        <f t="shared" si="8"/>
        <v>0</v>
      </c>
      <c r="S28" s="2"/>
      <c r="T28" s="16" t="s">
        <v>2237</v>
      </c>
      <c r="U28" s="16" t="s">
        <v>2238</v>
      </c>
      <c r="V28" s="16" t="s">
        <v>2239</v>
      </c>
      <c r="X28" s="2" t="s">
        <v>1978</v>
      </c>
      <c r="Y28" s="2" t="s">
        <v>1978</v>
      </c>
      <c r="Z28" s="21" t="s">
        <v>2808</v>
      </c>
      <c r="AA28" s="184" t="s">
        <v>2789</v>
      </c>
      <c r="AB28" s="185">
        <f>IF(OR(I2="物理",I2="化學",I2="生物",I2="組合科學(物理、化學)",I2="組合科學(生物、化學)",I2="組合科學(物理、生物)",I2="資訊及通訊科技"),I3,0)</f>
        <v>0</v>
      </c>
      <c r="AC28" s="185">
        <f>IF(OR(J2="物理",J2="化學",J2="生物",J2="組合科學(物理、化學)",J2="組合科學(生物、化學)",J2="組合科學(物理、生物)",J2="資訊及通訊科技"),J3,0)</f>
        <v>0</v>
      </c>
      <c r="AD28" s="185">
        <f>IF(OR(K2="物理",K2="化學",K2="生物",K2="組合科學(物理、化學)",K2="組合科學(生物、化學)",K2="組合科學(物理、生物)",K2="資訊及通訊科技"),K3,0)</f>
        <v>0</v>
      </c>
      <c r="AE28" s="185">
        <f>IF(OR(L2="物理",L2="化學",L2="生物",L2="組合科學(物理、化學)",L2="組合科學(生物、化學)",L2="組合科學(物理、生物)",L2="資訊及通訊科技"),L3,0)</f>
        <v>0</v>
      </c>
      <c r="AF28" s="185">
        <f>H3</f>
        <v>5.0000000000000003E-10</v>
      </c>
      <c r="AG28" s="184"/>
      <c r="AH28" s="185" t="str">
        <f>IF(AI28&gt;0,INDEX(AB27:AF27,MATCH(LARGE(AB28:AF28,1),AB28:AF28,0)),"無")</f>
        <v>M1/2</v>
      </c>
      <c r="AI28" s="185">
        <f>LARGE((AB28:AF28),1)</f>
        <v>5.0000000000000003E-10</v>
      </c>
      <c r="AJ28" s="184"/>
      <c r="AK28" s="184"/>
      <c r="AL28" s="184"/>
      <c r="AM28" s="184"/>
      <c r="AN28" s="184"/>
      <c r="AO28" s="183"/>
      <c r="AP28" s="183"/>
      <c r="AQ28" s="183"/>
      <c r="AR28" s="183"/>
      <c r="AS28" s="183"/>
      <c r="AT28" s="183"/>
      <c r="AU28" s="183"/>
      <c r="AV28" s="183"/>
      <c r="AW28" s="183"/>
      <c r="AX28" s="183"/>
      <c r="AY28" s="183"/>
      <c r="AZ28" s="183"/>
      <c r="BA28" s="183"/>
    </row>
    <row r="29" spans="1:53" x14ac:dyDescent="0.3">
      <c r="A29" s="191" t="str">
        <f>'Reference Score Calculation'!A20</f>
        <v>JS1014</v>
      </c>
      <c r="B29" s="2" t="str">
        <f>'Reference Score Calculation'!D20</f>
        <v>工商管理學士(金融)</v>
      </c>
      <c r="C29" s="355">
        <f>'Offer Statistics'!R160</f>
        <v>109</v>
      </c>
      <c r="D29" s="109">
        <v>3</v>
      </c>
      <c r="E29" s="109">
        <v>3</v>
      </c>
      <c r="F29" s="109">
        <v>3</v>
      </c>
      <c r="G29" s="109">
        <v>2</v>
      </c>
      <c r="H29" s="109">
        <v>3</v>
      </c>
      <c r="I29" s="109">
        <v>3</v>
      </c>
      <c r="K29" s="16">
        <f t="shared" si="2"/>
        <v>0</v>
      </c>
      <c r="L29" s="16">
        <f t="shared" si="3"/>
        <v>0</v>
      </c>
      <c r="M29" s="16">
        <f t="shared" si="4"/>
        <v>0</v>
      </c>
      <c r="N29" s="16">
        <f t="shared" si="5"/>
        <v>0</v>
      </c>
      <c r="O29" s="16">
        <f t="shared" si="6"/>
        <v>0</v>
      </c>
      <c r="P29" s="16">
        <f t="shared" si="7"/>
        <v>0</v>
      </c>
      <c r="R29" s="16">
        <f t="shared" si="8"/>
        <v>0</v>
      </c>
      <c r="S29" s="2"/>
      <c r="T29" s="16" t="s">
        <v>2237</v>
      </c>
      <c r="U29" s="16" t="s">
        <v>2238</v>
      </c>
      <c r="V29" s="16" t="s">
        <v>2239</v>
      </c>
      <c r="X29" s="2" t="s">
        <v>1978</v>
      </c>
      <c r="Y29" s="2" t="s">
        <v>1978</v>
      </c>
      <c r="Z29" s="21" t="s">
        <v>2808</v>
      </c>
      <c r="AA29" s="184"/>
      <c r="AB29" s="184" t="str">
        <f>I2</f>
        <v>請選擇第一選修科</v>
      </c>
      <c r="AC29" s="184" t="str">
        <f>J2</f>
        <v>請選擇第二選修科</v>
      </c>
      <c r="AD29" s="184" t="str">
        <f>K2</f>
        <v>請選擇第三選修科</v>
      </c>
      <c r="AE29" s="184" t="str">
        <f>L2</f>
        <v>請選擇第四選修科</v>
      </c>
      <c r="AF29" s="184" t="s">
        <v>2245</v>
      </c>
      <c r="AG29" s="122"/>
      <c r="AH29" s="184" t="s">
        <v>2794</v>
      </c>
      <c r="AI29" s="184"/>
      <c r="AJ29" s="184"/>
      <c r="AK29" s="184"/>
      <c r="AL29" s="184"/>
      <c r="AM29" s="184"/>
      <c r="AN29" s="184"/>
      <c r="AO29" s="183"/>
      <c r="AP29" s="183"/>
      <c r="AQ29" s="183"/>
      <c r="AR29" s="183"/>
      <c r="AS29" s="183"/>
      <c r="AT29" s="183"/>
      <c r="AU29" s="183"/>
      <c r="AV29" s="183"/>
      <c r="AW29" s="183"/>
      <c r="AX29" s="183"/>
      <c r="AY29" s="183"/>
      <c r="AZ29" s="183"/>
      <c r="BA29" s="183"/>
    </row>
    <row r="30" spans="1:53" x14ac:dyDescent="0.3">
      <c r="A30" s="191" t="str">
        <f>'Reference Score Calculation'!A21</f>
        <v>JS1017</v>
      </c>
      <c r="B30" s="2" t="str">
        <f>'Reference Score Calculation'!D21</f>
        <v>資訊系統學系 [選項: 工商管理學士(環球商業系統管理)、工商管理學士(資訊管理)]</v>
      </c>
      <c r="C30" s="355">
        <f>'Offer Statistics'!R161</f>
        <v>65</v>
      </c>
      <c r="D30" s="109">
        <v>3</v>
      </c>
      <c r="E30" s="109">
        <v>3</v>
      </c>
      <c r="F30" s="109">
        <v>3</v>
      </c>
      <c r="G30" s="109">
        <v>2</v>
      </c>
      <c r="H30" s="109">
        <v>3</v>
      </c>
      <c r="I30" s="109">
        <v>3</v>
      </c>
      <c r="K30" s="16">
        <f t="shared" si="2"/>
        <v>0</v>
      </c>
      <c r="L30" s="16">
        <f t="shared" si="3"/>
        <v>0</v>
      </c>
      <c r="M30" s="16">
        <f t="shared" si="4"/>
        <v>0</v>
      </c>
      <c r="N30" s="16">
        <f t="shared" si="5"/>
        <v>0</v>
      </c>
      <c r="O30" s="16">
        <f t="shared" si="6"/>
        <v>0</v>
      </c>
      <c r="P30" s="16">
        <f t="shared" si="7"/>
        <v>0</v>
      </c>
      <c r="R30" s="16">
        <f t="shared" si="8"/>
        <v>0</v>
      </c>
      <c r="S30" s="2"/>
      <c r="T30" s="16" t="s">
        <v>2237</v>
      </c>
      <c r="U30" s="16" t="s">
        <v>2238</v>
      </c>
      <c r="V30" s="16" t="s">
        <v>2239</v>
      </c>
      <c r="X30" s="2" t="s">
        <v>1978</v>
      </c>
      <c r="Y30" s="2" t="s">
        <v>1978</v>
      </c>
      <c r="Z30" s="21" t="s">
        <v>2808</v>
      </c>
      <c r="AA30" s="184" t="s">
        <v>2701</v>
      </c>
      <c r="AB30" s="193">
        <f>IF(OR(I2="化學",I2="生物",I2="組合科學(物理、化學)",I2="組合科學(生物、化學)",I2="組合科學(物理、生物)",I2="綜合科學",I2="資訊及通訊科技",I2="物理"),I3,0)</f>
        <v>0</v>
      </c>
      <c r="AC30" s="193">
        <f>IF(OR(J2="化學",J2="生物",J2="組合科學(物理、化學)",J2="組合科學(生物、化學)",J2="組合科學(物理、生物)",J2="綜合科學",J2="資訊及通訊科技",J2="物理"),J3,0)</f>
        <v>0</v>
      </c>
      <c r="AD30" s="193">
        <f>IF(OR(K2="化學",K2="生物",K2="組合科學(物理、化學)",K2="組合科學(生物、化學)",K2="組合科學(物理、生物)",K2="綜合科學",K2="資訊及通訊科技",K2="物理"),K3,0)</f>
        <v>0</v>
      </c>
      <c r="AE30" s="193">
        <f>IF(OR(L2="化學",L2="生物",L2="組合科學(物理、化學)",L2="組合科學(生物、化學)",L2="組合科學(物理、生物)",L2="綜合科學",L2="資訊及通訊科技",L2="物理"),L3,0)</f>
        <v>0</v>
      </c>
      <c r="AF30" s="194">
        <f>H3</f>
        <v>5.0000000000000003E-10</v>
      </c>
      <c r="AG30" s="184"/>
      <c r="AH30" s="185" t="str">
        <f>IF(AI30&gt;0,INDEX(AB29:AF29,MATCH(LARGE(AB30:AF30,1),AB30:AF30,0)),"無")</f>
        <v>M1/2</v>
      </c>
      <c r="AI30" s="185">
        <f>LARGE((AB30:AF30),1)</f>
        <v>5.0000000000000003E-10</v>
      </c>
      <c r="AJ30" s="184"/>
      <c r="AK30" s="184"/>
      <c r="AL30" s="184"/>
      <c r="AM30" s="184"/>
      <c r="AN30" s="184"/>
      <c r="AO30" s="183"/>
      <c r="AP30" s="183"/>
      <c r="AQ30" s="183"/>
      <c r="AR30" s="183"/>
      <c r="AS30" s="183"/>
      <c r="AT30" s="183"/>
      <c r="AU30" s="183"/>
      <c r="AV30" s="183"/>
      <c r="AW30" s="183"/>
      <c r="AX30" s="183"/>
      <c r="AY30" s="183"/>
      <c r="AZ30" s="183"/>
      <c r="BA30" s="183"/>
    </row>
    <row r="31" spans="1:53" x14ac:dyDescent="0.3">
      <c r="A31" s="191" t="str">
        <f>'Reference Score Calculation'!A22</f>
        <v>JS1018</v>
      </c>
      <c r="B31" s="2" t="str">
        <f>'Reference Score Calculation'!D22</f>
        <v>工商管理學士(環球商業系統管理)</v>
      </c>
      <c r="C31" s="355">
        <f>'Offer Statistics'!R162</f>
        <v>10</v>
      </c>
      <c r="D31" s="109">
        <v>3</v>
      </c>
      <c r="E31" s="109">
        <v>3</v>
      </c>
      <c r="F31" s="109">
        <v>3</v>
      </c>
      <c r="G31" s="109">
        <v>2</v>
      </c>
      <c r="H31" s="109">
        <v>3</v>
      </c>
      <c r="I31" s="109">
        <v>3</v>
      </c>
      <c r="K31" s="16">
        <f t="shared" si="2"/>
        <v>0</v>
      </c>
      <c r="L31" s="16">
        <f t="shared" si="3"/>
        <v>0</v>
      </c>
      <c r="M31" s="16">
        <f t="shared" si="4"/>
        <v>0</v>
      </c>
      <c r="N31" s="16">
        <f t="shared" si="5"/>
        <v>0</v>
      </c>
      <c r="O31" s="16">
        <f t="shared" si="6"/>
        <v>0</v>
      </c>
      <c r="P31" s="16">
        <f t="shared" si="7"/>
        <v>0</v>
      </c>
      <c r="R31" s="16">
        <f t="shared" si="8"/>
        <v>0</v>
      </c>
      <c r="S31" s="2"/>
      <c r="T31" s="16" t="s">
        <v>2237</v>
      </c>
      <c r="U31" s="16" t="s">
        <v>2238</v>
      </c>
      <c r="V31" s="16" t="s">
        <v>2239</v>
      </c>
      <c r="X31" s="2" t="s">
        <v>1978</v>
      </c>
      <c r="Y31" s="2" t="s">
        <v>1978</v>
      </c>
      <c r="Z31" s="21" t="s">
        <v>2808</v>
      </c>
      <c r="AA31" s="184"/>
      <c r="AB31" s="184" t="str">
        <f>I2</f>
        <v>請選擇第一選修科</v>
      </c>
      <c r="AC31" s="184" t="str">
        <f>J2</f>
        <v>請選擇第二選修科</v>
      </c>
      <c r="AD31" s="184" t="str">
        <f>K2</f>
        <v>請選擇第三選修科</v>
      </c>
      <c r="AE31" s="184" t="str">
        <f>L2</f>
        <v>請選擇第四選修科</v>
      </c>
      <c r="AF31" s="184" t="s">
        <v>2245</v>
      </c>
      <c r="AG31" s="122"/>
      <c r="AH31" s="184" t="s">
        <v>2796</v>
      </c>
      <c r="AI31" s="184"/>
      <c r="AJ31" s="184"/>
      <c r="AK31" s="184"/>
      <c r="AL31" s="184"/>
      <c r="AM31" s="183"/>
      <c r="AN31" s="183"/>
      <c r="AO31" s="183"/>
      <c r="AP31" s="183"/>
      <c r="AQ31" s="183"/>
      <c r="AR31" s="183"/>
      <c r="AS31" s="183"/>
      <c r="AT31" s="183"/>
      <c r="AU31" s="183"/>
      <c r="AV31" s="183"/>
      <c r="AW31" s="183"/>
      <c r="AX31" s="183"/>
      <c r="AY31" s="183"/>
      <c r="AZ31" s="183"/>
      <c r="BA31" s="183"/>
    </row>
    <row r="32" spans="1:53" x14ac:dyDescent="0.3">
      <c r="A32" s="191" t="str">
        <f>'Reference Score Calculation'!A23</f>
        <v>JS1019</v>
      </c>
      <c r="B32" s="2" t="str">
        <f>'Reference Score Calculation'!D23</f>
        <v>工商管理學士(資訊管理)</v>
      </c>
      <c r="C32" s="355">
        <f>'Offer Statistics'!R163</f>
        <v>10</v>
      </c>
      <c r="D32" s="109">
        <v>3</v>
      </c>
      <c r="E32" s="109">
        <v>3</v>
      </c>
      <c r="F32" s="109">
        <v>3</v>
      </c>
      <c r="G32" s="109">
        <v>2</v>
      </c>
      <c r="H32" s="109">
        <v>3</v>
      </c>
      <c r="I32" s="109">
        <v>3</v>
      </c>
      <c r="K32" s="16">
        <f t="shared" si="2"/>
        <v>0</v>
      </c>
      <c r="L32" s="16">
        <f t="shared" si="3"/>
        <v>0</v>
      </c>
      <c r="M32" s="16">
        <f t="shared" si="4"/>
        <v>0</v>
      </c>
      <c r="N32" s="16">
        <f t="shared" si="5"/>
        <v>0</v>
      </c>
      <c r="O32" s="16">
        <f t="shared" si="6"/>
        <v>0</v>
      </c>
      <c r="P32" s="16">
        <f t="shared" si="7"/>
        <v>0</v>
      </c>
      <c r="R32" s="16">
        <f t="shared" si="8"/>
        <v>0</v>
      </c>
      <c r="S32" s="2"/>
      <c r="T32" s="16" t="s">
        <v>2237</v>
      </c>
      <c r="U32" s="16" t="s">
        <v>2238</v>
      </c>
      <c r="V32" s="16" t="s">
        <v>2239</v>
      </c>
      <c r="X32" s="2" t="s">
        <v>1978</v>
      </c>
      <c r="Y32" s="2" t="s">
        <v>1978</v>
      </c>
      <c r="Z32" s="21" t="s">
        <v>2808</v>
      </c>
      <c r="AA32" s="184" t="s">
        <v>1980</v>
      </c>
      <c r="AB32" s="185">
        <f>IF(OR(I2="化學",I2="組合科學(物理、化學)",I2="組合科學(生物、化學)",I2="組合科學(物理、生物)",I2="設計與應用科技",I2="物理"),I3,0)</f>
        <v>0</v>
      </c>
      <c r="AC32" s="185">
        <f>IF(OR(J2="化學",J2="組合科學(物理、化學)",J2="組合科學(生物、化學)",J2="組合科學(物理、生物)",J2="設計與應用科技",J2="物理"),J3,0)</f>
        <v>0</v>
      </c>
      <c r="AD32" s="185">
        <f>IF(OR(K2="化學",K2="組合科學(物理、化學)",K2="組合科學(生物、化學)",K2="組合科學(物理、生物)",K2="設計與應用科技",K2="物理"),K3,0)</f>
        <v>0</v>
      </c>
      <c r="AE32" s="185">
        <f>IF(OR(L2="化學",L2="組合科學(物理、化學)",L2="組合科學(生物、化學)",L2="組合科學(物理、生物)",L2="設計與應用科技",L2="物理"),L3,0)</f>
        <v>0</v>
      </c>
      <c r="AF32" s="194">
        <f>H3</f>
        <v>5.0000000000000003E-10</v>
      </c>
      <c r="AG32" s="184"/>
      <c r="AH32" s="185" t="str">
        <f>IF(AI32&gt;0,INDEX(AB31:AF31,MATCH(LARGE(AB32:AF32,1),AB32:AF32,0)),"無")</f>
        <v>M1/2</v>
      </c>
      <c r="AI32" s="185">
        <f>LARGE((AB32:AF32),1)</f>
        <v>5.0000000000000003E-10</v>
      </c>
      <c r="AJ32" s="184"/>
      <c r="AK32" s="184"/>
      <c r="AL32" s="184"/>
      <c r="AM32" s="183"/>
      <c r="AN32" s="183"/>
      <c r="AO32" s="183"/>
      <c r="AP32" s="183"/>
      <c r="AQ32" s="183"/>
      <c r="AR32" s="183"/>
      <c r="AS32" s="183"/>
      <c r="AT32" s="183"/>
      <c r="AU32" s="183"/>
      <c r="AV32" s="183"/>
      <c r="AW32" s="183"/>
      <c r="AX32" s="183"/>
      <c r="AY32" s="183"/>
      <c r="AZ32" s="183"/>
      <c r="BA32" s="183"/>
    </row>
    <row r="33" spans="1:53" x14ac:dyDescent="0.3">
      <c r="A33" s="191" t="str">
        <f>'Reference Score Calculation'!A24</f>
        <v>JS1025</v>
      </c>
      <c r="B33" s="2" t="str">
        <f>'Reference Score Calculation'!D24</f>
        <v>管理科學系 [選項: 工商管理學士(商業分析)、工商管理學士(商業營運管理)]</v>
      </c>
      <c r="C33" s="355">
        <f>'Offer Statistics'!R164</f>
        <v>24</v>
      </c>
      <c r="D33" s="109">
        <v>3</v>
      </c>
      <c r="E33" s="109">
        <v>3</v>
      </c>
      <c r="F33" s="109">
        <v>3</v>
      </c>
      <c r="G33" s="109">
        <v>2</v>
      </c>
      <c r="H33" s="109">
        <v>3</v>
      </c>
      <c r="I33" s="109">
        <v>3</v>
      </c>
      <c r="K33" s="16">
        <f t="shared" si="2"/>
        <v>0</v>
      </c>
      <c r="L33" s="16">
        <f t="shared" si="3"/>
        <v>0</v>
      </c>
      <c r="M33" s="16">
        <f t="shared" si="4"/>
        <v>0</v>
      </c>
      <c r="N33" s="16">
        <f t="shared" si="5"/>
        <v>0</v>
      </c>
      <c r="O33" s="16">
        <f t="shared" si="6"/>
        <v>0</v>
      </c>
      <c r="P33" s="16">
        <f t="shared" si="7"/>
        <v>0</v>
      </c>
      <c r="R33" s="16">
        <f t="shared" si="8"/>
        <v>0</v>
      </c>
      <c r="S33" s="2"/>
      <c r="T33" s="16" t="s">
        <v>2237</v>
      </c>
      <c r="U33" s="16" t="s">
        <v>2238</v>
      </c>
      <c r="V33" s="16" t="s">
        <v>2239</v>
      </c>
      <c r="X33" s="2" t="s">
        <v>1978</v>
      </c>
      <c r="Y33" s="2" t="s">
        <v>1978</v>
      </c>
      <c r="Z33" s="21" t="s">
        <v>2808</v>
      </c>
      <c r="AA33" s="184"/>
      <c r="AB33" s="184" t="str">
        <f>I2</f>
        <v>請選擇第一選修科</v>
      </c>
      <c r="AC33" s="184" t="str">
        <f>J2</f>
        <v>請選擇第二選修科</v>
      </c>
      <c r="AD33" s="184" t="str">
        <f>K2</f>
        <v>請選擇第三選修科</v>
      </c>
      <c r="AE33" s="184" t="str">
        <f>L2</f>
        <v>請選擇第四選修科</v>
      </c>
      <c r="AF33" s="122"/>
      <c r="AG33" s="184"/>
      <c r="AH33" s="184" t="s">
        <v>2797</v>
      </c>
      <c r="AI33" s="184"/>
      <c r="AJ33" s="184"/>
      <c r="AK33" s="184"/>
      <c r="AL33" s="184"/>
      <c r="AM33" s="183"/>
      <c r="AN33" s="183"/>
      <c r="AO33" s="183"/>
      <c r="AP33" s="183"/>
      <c r="AQ33" s="183"/>
      <c r="AR33" s="183"/>
      <c r="AS33" s="183"/>
      <c r="AT33" s="183"/>
      <c r="AU33" s="183"/>
      <c r="AV33" s="183"/>
      <c r="AW33" s="183"/>
      <c r="AX33" s="183"/>
      <c r="AY33" s="183"/>
      <c r="AZ33" s="183"/>
      <c r="BA33" s="183"/>
    </row>
    <row r="34" spans="1:53" x14ac:dyDescent="0.3">
      <c r="A34" s="191" t="str">
        <f>'Reference Score Calculation'!A25</f>
        <v>JS1026</v>
      </c>
      <c r="B34" s="2" t="str">
        <f>'Reference Score Calculation'!D25</f>
        <v>工商管理學士(商業分析)</v>
      </c>
      <c r="C34" s="355">
        <f>'Offer Statistics'!R165</f>
        <v>24</v>
      </c>
      <c r="D34" s="109">
        <v>3</v>
      </c>
      <c r="E34" s="109">
        <v>3</v>
      </c>
      <c r="F34" s="109">
        <v>3</v>
      </c>
      <c r="G34" s="109">
        <v>2</v>
      </c>
      <c r="H34" s="109">
        <v>3</v>
      </c>
      <c r="I34" s="109">
        <v>3</v>
      </c>
      <c r="K34" s="16">
        <f t="shared" si="2"/>
        <v>0</v>
      </c>
      <c r="L34" s="16">
        <f t="shared" si="3"/>
        <v>0</v>
      </c>
      <c r="M34" s="16">
        <f t="shared" si="4"/>
        <v>0</v>
      </c>
      <c r="N34" s="16">
        <f t="shared" si="5"/>
        <v>0</v>
      </c>
      <c r="O34" s="16">
        <f t="shared" si="6"/>
        <v>0</v>
      </c>
      <c r="P34" s="16">
        <f t="shared" si="7"/>
        <v>0</v>
      </c>
      <c r="R34" s="16">
        <f t="shared" si="8"/>
        <v>0</v>
      </c>
      <c r="S34" s="2"/>
      <c r="T34" s="16" t="s">
        <v>2237</v>
      </c>
      <c r="U34" s="16" t="s">
        <v>2238</v>
      </c>
      <c r="V34" s="16" t="s">
        <v>2239</v>
      </c>
      <c r="X34" s="2" t="s">
        <v>1978</v>
      </c>
      <c r="Y34" s="2" t="s">
        <v>1978</v>
      </c>
      <c r="Z34" s="21" t="s">
        <v>2808</v>
      </c>
      <c r="AA34" s="184" t="s">
        <v>2326</v>
      </c>
      <c r="AB34" s="185">
        <f>IF(OR(I2="化學",I2="組合科學(物理、化學)",I2="組合科學(物理、生物)",I2="設計與應用科技",I2="物理"),I3,0)</f>
        <v>0</v>
      </c>
      <c r="AC34" s="185">
        <f>IF(OR(J2="化學",J2="組合科學(物理、化學)",J2="組合科學(物理、生物)",J2="設計與應用科技",J2="物理"),J3,0)</f>
        <v>0</v>
      </c>
      <c r="AD34" s="185">
        <f>IF(OR(K2="化學",K2="組合科學(物理、化學)",K2="組合科學(物理、生物)",K2="設計與應用科技",K2="物理"),K3,0)</f>
        <v>0</v>
      </c>
      <c r="AE34" s="185">
        <f>IF(OR(L2="化學",L2="組合科學(物理、化學)",L2="組合科學(物理、生物)",L2="設計與應用科技",L2="物理"),L3,0)</f>
        <v>0</v>
      </c>
      <c r="AF34" s="184"/>
      <c r="AG34" s="184"/>
      <c r="AH34" s="185" t="str">
        <f>IF(AI34&gt;0,INDEX(AB33:AE33,MATCH(LARGE(AB34:AE34,1),AB34:AE34,0)),"無")</f>
        <v>無</v>
      </c>
      <c r="AI34" s="185">
        <f>LARGE((AB34:AE34),1)</f>
        <v>0</v>
      </c>
      <c r="AJ34" s="184"/>
      <c r="AK34" s="184"/>
      <c r="AL34" s="184"/>
      <c r="AM34" s="183"/>
      <c r="AN34" s="183"/>
      <c r="AO34" s="183"/>
      <c r="AP34" s="183"/>
      <c r="AQ34" s="183"/>
      <c r="AR34" s="183"/>
      <c r="AS34" s="183"/>
      <c r="AT34" s="183"/>
      <c r="AU34" s="183"/>
      <c r="AV34" s="183"/>
      <c r="AW34" s="183"/>
      <c r="AX34" s="183"/>
      <c r="AY34" s="183"/>
      <c r="AZ34" s="183"/>
      <c r="BA34" s="183"/>
    </row>
    <row r="35" spans="1:53" x14ac:dyDescent="0.3">
      <c r="A35" s="191" t="str">
        <f>'Reference Score Calculation'!A26</f>
        <v>JS1027</v>
      </c>
      <c r="B35" s="2" t="str">
        <f>'Reference Score Calculation'!D26</f>
        <v>工商管理學士(商業營運管理)</v>
      </c>
      <c r="C35" s="355">
        <f>'Offer Statistics'!R166</f>
        <v>24</v>
      </c>
      <c r="D35" s="109">
        <v>3</v>
      </c>
      <c r="E35" s="109">
        <v>3</v>
      </c>
      <c r="F35" s="109">
        <v>3</v>
      </c>
      <c r="G35" s="109">
        <v>2</v>
      </c>
      <c r="H35" s="109">
        <v>3</v>
      </c>
      <c r="I35" s="109">
        <v>3</v>
      </c>
      <c r="K35" s="16">
        <f t="shared" si="2"/>
        <v>0</v>
      </c>
      <c r="L35" s="16">
        <f t="shared" si="3"/>
        <v>0</v>
      </c>
      <c r="M35" s="16">
        <f t="shared" si="4"/>
        <v>0</v>
      </c>
      <c r="N35" s="16">
        <f t="shared" si="5"/>
        <v>0</v>
      </c>
      <c r="O35" s="16">
        <f t="shared" si="6"/>
        <v>0</v>
      </c>
      <c r="P35" s="16">
        <f t="shared" si="7"/>
        <v>0</v>
      </c>
      <c r="R35" s="16">
        <f t="shared" si="8"/>
        <v>0</v>
      </c>
      <c r="S35" s="2"/>
      <c r="T35" s="16" t="s">
        <v>2237</v>
      </c>
      <c r="U35" s="16" t="s">
        <v>2238</v>
      </c>
      <c r="V35" s="16" t="s">
        <v>2239</v>
      </c>
      <c r="X35" s="2" t="s">
        <v>1978</v>
      </c>
      <c r="Y35" s="2" t="s">
        <v>1978</v>
      </c>
      <c r="Z35" s="21" t="s">
        <v>2808</v>
      </c>
      <c r="AA35" s="184"/>
      <c r="AB35" s="184" t="str">
        <f>I2</f>
        <v>請選擇第一選修科</v>
      </c>
      <c r="AC35" s="184" t="str">
        <f>J2</f>
        <v>請選擇第二選修科</v>
      </c>
      <c r="AD35" s="184" t="str">
        <f>K2</f>
        <v>請選擇第三選修科</v>
      </c>
      <c r="AE35" s="184" t="str">
        <f>L2</f>
        <v>請選擇第四選修科</v>
      </c>
      <c r="AF35" s="122"/>
      <c r="AG35" s="184"/>
      <c r="AH35" s="184" t="s">
        <v>2798</v>
      </c>
      <c r="AI35" s="184"/>
      <c r="AJ35" s="184"/>
      <c r="AK35" s="184"/>
      <c r="AL35" s="184"/>
      <c r="AM35" s="183"/>
      <c r="AN35" s="183"/>
      <c r="AO35" s="183"/>
      <c r="AP35" s="183"/>
      <c r="AQ35" s="183"/>
      <c r="AR35" s="183"/>
      <c r="AS35" s="183"/>
      <c r="AT35" s="183"/>
      <c r="AU35" s="183"/>
      <c r="AV35" s="183"/>
      <c r="AW35" s="183"/>
      <c r="AX35" s="183"/>
      <c r="AY35" s="183"/>
      <c r="AZ35" s="183"/>
      <c r="BA35" s="183"/>
    </row>
    <row r="36" spans="1:53" x14ac:dyDescent="0.3">
      <c r="A36" s="244" t="str">
        <f>'Reference Score Calculation'!A27</f>
        <v>JS1041</v>
      </c>
      <c r="B36" s="2" t="str">
        <f>'Reference Score Calculation'!D27</f>
        <v>創意媒體學院 [選項: 文學士(創意媒體)、理學士(創意媒體)、文理學士(新媒體)]</v>
      </c>
      <c r="C36" s="355">
        <f>'Offer Statistics'!R167</f>
        <v>24</v>
      </c>
      <c r="D36" s="109">
        <v>3</v>
      </c>
      <c r="E36" s="109">
        <v>3</v>
      </c>
      <c r="F36" s="109">
        <v>2</v>
      </c>
      <c r="G36" s="109">
        <v>2</v>
      </c>
      <c r="H36" s="109">
        <v>3</v>
      </c>
      <c r="I36" s="109">
        <v>3</v>
      </c>
      <c r="K36" s="16">
        <f t="shared" si="2"/>
        <v>0</v>
      </c>
      <c r="L36" s="16">
        <f t="shared" si="3"/>
        <v>0</v>
      </c>
      <c r="M36" s="16">
        <f t="shared" si="4"/>
        <v>0</v>
      </c>
      <c r="N36" s="16">
        <f t="shared" si="5"/>
        <v>0</v>
      </c>
      <c r="O36" s="16">
        <f t="shared" si="6"/>
        <v>0</v>
      </c>
      <c r="P36" s="16">
        <f t="shared" si="7"/>
        <v>0</v>
      </c>
      <c r="R36" s="16">
        <f t="shared" si="8"/>
        <v>0</v>
      </c>
      <c r="S36" s="2"/>
      <c r="T36" s="16" t="s">
        <v>2237</v>
      </c>
      <c r="U36" s="16" t="s">
        <v>2238</v>
      </c>
      <c r="V36" s="200" t="s">
        <v>2237</v>
      </c>
      <c r="X36" s="2" t="s">
        <v>1978</v>
      </c>
      <c r="Y36" s="2" t="s">
        <v>1978</v>
      </c>
      <c r="Z36" s="21" t="s">
        <v>2808</v>
      </c>
      <c r="AA36" s="184" t="s">
        <v>2799</v>
      </c>
      <c r="AB36" s="185">
        <f>IF(OR(I2="化學",I2="生物",I2="組合科學(物理、化學)",I2="組合科學(生物、化學)",I2="組合科學(物理、生物)",I2="物理"),I3,0)</f>
        <v>0</v>
      </c>
      <c r="AC36" s="185">
        <f>IF(OR(J2="化學",J2="生物",J2="組合科學(物理、化學)",J2="組合科學(生物、化學)",J2="組合科學(物理、生物)",J2="物理"),J3,0)</f>
        <v>0</v>
      </c>
      <c r="AD36" s="185">
        <f>IF(OR(K2="化學",K2="生物",K2="組合科學(物理、化學)",K2="組合科學(生物、化學)",K2="組合科學(物理、生物)",K2="物理"),K3,0)</f>
        <v>0</v>
      </c>
      <c r="AE36" s="185">
        <f>IF(OR(L2="化學",L2="生物",L2="組合科學(物理、化學)",L2="組合科學(生物、化學)",L2="組合科學(物理、生物)",L2="物理"),L3,0)</f>
        <v>0</v>
      </c>
      <c r="AF36" s="184"/>
      <c r="AG36" s="184"/>
      <c r="AH36" s="185" t="str">
        <f>IF(AI36&gt;0,INDEX(AB35:AE35,MATCH(LARGE(AB36:AE36,1),AB36:AE36,0)),"無")</f>
        <v>無</v>
      </c>
      <c r="AI36" s="185">
        <f>LARGE((AB36:AE36),1)</f>
        <v>0</v>
      </c>
      <c r="AJ36" s="184"/>
      <c r="AK36" s="184"/>
      <c r="AL36" s="184"/>
      <c r="AM36" s="183"/>
      <c r="AN36" s="183"/>
      <c r="AO36" s="183"/>
      <c r="AP36" s="183"/>
      <c r="AQ36" s="183"/>
      <c r="AR36" s="183"/>
      <c r="AS36" s="183"/>
      <c r="AT36" s="183"/>
      <c r="AU36" s="183"/>
      <c r="AV36" s="183"/>
      <c r="AW36" s="183"/>
      <c r="AX36" s="183"/>
      <c r="AY36" s="183"/>
      <c r="AZ36" s="183"/>
      <c r="BA36" s="183"/>
    </row>
    <row r="37" spans="1:53" x14ac:dyDescent="0.3">
      <c r="A37" s="244" t="str">
        <f>'Reference Score Calculation'!A28</f>
        <v>JS1042</v>
      </c>
      <c r="B37" s="2" t="str">
        <f>'Reference Score Calculation'!D28</f>
        <v>文學士(創意媒體)</v>
      </c>
      <c r="C37" s="355">
        <f>'Offer Statistics'!R168</f>
        <v>20</v>
      </c>
      <c r="D37" s="109">
        <v>3</v>
      </c>
      <c r="E37" s="109">
        <v>3</v>
      </c>
      <c r="F37" s="109">
        <v>2</v>
      </c>
      <c r="G37" s="109">
        <v>2</v>
      </c>
      <c r="H37" s="109">
        <v>3</v>
      </c>
      <c r="I37" s="109">
        <v>3</v>
      </c>
      <c r="K37" s="16">
        <f t="shared" si="2"/>
        <v>0</v>
      </c>
      <c r="L37" s="16">
        <f t="shared" si="3"/>
        <v>0</v>
      </c>
      <c r="M37" s="16">
        <f t="shared" si="4"/>
        <v>0</v>
      </c>
      <c r="N37" s="16">
        <f t="shared" si="5"/>
        <v>0</v>
      </c>
      <c r="O37" s="16">
        <f t="shared" si="6"/>
        <v>0</v>
      </c>
      <c r="P37" s="16">
        <f t="shared" si="7"/>
        <v>0</v>
      </c>
      <c r="R37" s="16">
        <f t="shared" si="8"/>
        <v>0</v>
      </c>
      <c r="S37" s="2"/>
      <c r="T37" s="16" t="s">
        <v>2237</v>
      </c>
      <c r="U37" s="16" t="s">
        <v>2238</v>
      </c>
      <c r="V37" s="200" t="s">
        <v>2237</v>
      </c>
      <c r="X37" s="2" t="s">
        <v>1978</v>
      </c>
      <c r="Y37" s="2" t="s">
        <v>1978</v>
      </c>
      <c r="Z37" s="21" t="s">
        <v>2808</v>
      </c>
      <c r="AA37" s="184"/>
      <c r="AB37" s="184" t="str">
        <f>I2</f>
        <v>請選擇第一選修科</v>
      </c>
      <c r="AC37" s="184" t="str">
        <f>J2</f>
        <v>請選擇第二選修科</v>
      </c>
      <c r="AD37" s="184" t="str">
        <f>K2</f>
        <v>請選擇第三選修科</v>
      </c>
      <c r="AE37" s="184" t="str">
        <f>L2</f>
        <v>請選擇第四選修科</v>
      </c>
      <c r="AF37" s="184" t="s">
        <v>2245</v>
      </c>
      <c r="AG37" s="122"/>
      <c r="AH37" s="184" t="s">
        <v>2800</v>
      </c>
      <c r="AI37" s="184"/>
      <c r="AJ37" s="184"/>
      <c r="AK37" s="184"/>
      <c r="AL37" s="184"/>
      <c r="AM37" s="183"/>
      <c r="AN37" s="183"/>
      <c r="AO37" s="183"/>
      <c r="AP37" s="183"/>
      <c r="AQ37" s="183"/>
      <c r="AR37" s="183"/>
      <c r="AS37" s="183"/>
      <c r="AT37" s="183"/>
      <c r="AU37" s="183"/>
      <c r="AV37" s="183"/>
      <c r="AW37" s="183"/>
      <c r="AX37" s="183"/>
      <c r="AY37" s="183"/>
      <c r="AZ37" s="183"/>
      <c r="BA37" s="183"/>
    </row>
    <row r="38" spans="1:53" x14ac:dyDescent="0.3">
      <c r="A38" s="244" t="str">
        <f>'Reference Score Calculation'!A29</f>
        <v>JS1043</v>
      </c>
      <c r="B38" s="2" t="str">
        <f>'Reference Score Calculation'!D29</f>
        <v>理學士(創意媒體)</v>
      </c>
      <c r="C38" s="355">
        <f>'Offer Statistics'!R169</f>
        <v>27</v>
      </c>
      <c r="D38" s="109">
        <v>3</v>
      </c>
      <c r="E38" s="109">
        <v>3</v>
      </c>
      <c r="F38" s="109">
        <v>2</v>
      </c>
      <c r="G38" s="109">
        <v>2</v>
      </c>
      <c r="H38" s="109">
        <v>3</v>
      </c>
      <c r="I38" s="109">
        <v>3</v>
      </c>
      <c r="K38" s="16">
        <f t="shared" si="2"/>
        <v>0</v>
      </c>
      <c r="L38" s="16">
        <f t="shared" si="3"/>
        <v>0</v>
      </c>
      <c r="M38" s="16">
        <f t="shared" si="4"/>
        <v>0</v>
      </c>
      <c r="N38" s="16">
        <f t="shared" si="5"/>
        <v>0</v>
      </c>
      <c r="O38" s="16">
        <f t="shared" si="6"/>
        <v>0</v>
      </c>
      <c r="P38" s="16">
        <f t="shared" si="7"/>
        <v>0</v>
      </c>
      <c r="R38" s="16">
        <f t="shared" si="8"/>
        <v>0</v>
      </c>
      <c r="S38" s="2"/>
      <c r="T38" s="16" t="s">
        <v>2237</v>
      </c>
      <c r="U38" s="16" t="s">
        <v>2238</v>
      </c>
      <c r="V38" s="200" t="s">
        <v>2237</v>
      </c>
      <c r="X38" s="2" t="s">
        <v>1978</v>
      </c>
      <c r="Y38" s="2" t="s">
        <v>1978</v>
      </c>
      <c r="Z38" s="21" t="s">
        <v>2808</v>
      </c>
      <c r="AA38" s="184" t="s">
        <v>1982</v>
      </c>
      <c r="AB38" s="185">
        <f>IF(OR(I2="化學",I2="組合科學(物理、化學)",I2="組合科學(物理、生物)",I2="設計與應用科技",I2="資訊及通訊科技",I2="物理"),I3,0)</f>
        <v>0</v>
      </c>
      <c r="AC38" s="185">
        <f>IF(OR(J2="化學",J2="組合科學(物理、化學)",J2="組合科學(物理、生物)",J2="設計與應用科技",J2="資訊及通訊科技",J2="物理"),J3,0)</f>
        <v>0</v>
      </c>
      <c r="AD38" s="185">
        <f>IF(OR(K2="化學",K2="組合科學(物理、化學)",K2="組合科學(物理、生物)",K2="設計與應用科技",K2="資訊及通訊科技",K2="物理"),K3,0)</f>
        <v>0</v>
      </c>
      <c r="AE38" s="185">
        <f>IF(OR(L2="化學",L2="組合科學(物理、化學)",L2="組合科學(物理、生物)",L2="設計與應用科技",L2="資訊及通訊科技",L2="物理"),L3,0)</f>
        <v>0</v>
      </c>
      <c r="AF38" s="194">
        <f>H3</f>
        <v>5.0000000000000003E-10</v>
      </c>
      <c r="AG38" s="184"/>
      <c r="AH38" s="185" t="str">
        <f>IF(AI38&gt;0,INDEX(AB37:AF37,MATCH(LARGE(AB38:AF38,1),AB38:AF38,0)),"無")</f>
        <v>M1/2</v>
      </c>
      <c r="AI38" s="185">
        <f>LARGE((AB38:AF38),1)</f>
        <v>5.0000000000000003E-10</v>
      </c>
      <c r="AJ38" s="183"/>
      <c r="AK38" s="183"/>
      <c r="AL38" s="183"/>
      <c r="AM38" s="183"/>
      <c r="AN38" s="183"/>
      <c r="AO38" s="183"/>
      <c r="AP38" s="183"/>
      <c r="AQ38" s="183"/>
      <c r="AR38" s="183"/>
      <c r="AS38" s="183"/>
      <c r="AT38" s="183"/>
      <c r="AU38" s="183"/>
      <c r="AV38" s="183"/>
      <c r="AW38" s="183"/>
      <c r="AX38" s="183"/>
      <c r="AY38" s="183"/>
      <c r="AZ38" s="183"/>
      <c r="BA38" s="183"/>
    </row>
    <row r="39" spans="1:53" x14ac:dyDescent="0.3">
      <c r="A39" s="244" t="str">
        <f>'Reference Score Calculation'!A30</f>
        <v>JS1044</v>
      </c>
      <c r="B39" s="2" t="str">
        <f>'Reference Score Calculation'!D30</f>
        <v>文理學士(新媒體)</v>
      </c>
      <c r="C39" s="355">
        <f>'Offer Statistics'!R170</f>
        <v>19</v>
      </c>
      <c r="D39" s="109">
        <v>3</v>
      </c>
      <c r="E39" s="109">
        <v>3</v>
      </c>
      <c r="F39" s="109">
        <v>2</v>
      </c>
      <c r="G39" s="109">
        <v>2</v>
      </c>
      <c r="H39" s="109">
        <v>3</v>
      </c>
      <c r="I39" s="109">
        <v>3</v>
      </c>
      <c r="K39" s="16">
        <f t="shared" si="2"/>
        <v>0</v>
      </c>
      <c r="L39" s="16">
        <f t="shared" si="3"/>
        <v>0</v>
      </c>
      <c r="M39" s="16">
        <f t="shared" si="4"/>
        <v>0</v>
      </c>
      <c r="N39" s="16">
        <f t="shared" si="5"/>
        <v>0</v>
      </c>
      <c r="O39" s="16">
        <f t="shared" si="6"/>
        <v>0</v>
      </c>
      <c r="P39" s="16">
        <f t="shared" si="7"/>
        <v>0</v>
      </c>
      <c r="R39" s="16">
        <f t="shared" si="8"/>
        <v>0</v>
      </c>
      <c r="S39" s="2"/>
      <c r="T39" s="16" t="s">
        <v>2237</v>
      </c>
      <c r="U39" s="16" t="s">
        <v>2238</v>
      </c>
      <c r="V39" s="200" t="s">
        <v>2237</v>
      </c>
      <c r="X39" s="2" t="s">
        <v>1978</v>
      </c>
      <c r="Y39" s="2" t="s">
        <v>1978</v>
      </c>
      <c r="Z39" s="21" t="s">
        <v>2808</v>
      </c>
      <c r="AA39" s="184"/>
      <c r="AB39" s="184" t="str">
        <f>I2</f>
        <v>請選擇第一選修科</v>
      </c>
      <c r="AC39" s="184" t="str">
        <f>J2</f>
        <v>請選擇第二選修科</v>
      </c>
      <c r="AD39" s="184" t="str">
        <f>K2</f>
        <v>請選擇第三選修科</v>
      </c>
      <c r="AE39" s="184" t="str">
        <f>L2</f>
        <v>請選擇第四選修科</v>
      </c>
      <c r="AF39" s="184" t="s">
        <v>2245</v>
      </c>
      <c r="AG39" s="184"/>
      <c r="AH39" s="184" t="s">
        <v>2806</v>
      </c>
      <c r="AI39" s="184"/>
      <c r="AJ39" s="184"/>
      <c r="AK39" s="184"/>
      <c r="AL39" s="184"/>
      <c r="AM39" s="183"/>
      <c r="AN39" s="183"/>
      <c r="AO39" s="183"/>
      <c r="AP39" s="183"/>
      <c r="AQ39" s="183"/>
      <c r="AR39" s="183"/>
      <c r="AS39" s="183"/>
      <c r="AT39" s="183"/>
      <c r="AU39" s="183"/>
      <c r="AV39" s="183"/>
      <c r="AW39" s="183"/>
      <c r="AX39" s="183"/>
      <c r="AY39" s="183"/>
      <c r="AZ39" s="183"/>
      <c r="BA39" s="183"/>
    </row>
    <row r="40" spans="1:53" x14ac:dyDescent="0.3">
      <c r="A40" s="191" t="str">
        <f>'Reference Score Calculation'!A31</f>
        <v>JS1051</v>
      </c>
      <c r="B40" s="2" t="str">
        <f>'Reference Score Calculation'!D31</f>
        <v>能源及環境學院 [選項: 工學士(能源科學及工程學)、工學士(環境科學及工程學)]</v>
      </c>
      <c r="C40" s="355">
        <f>'Offer Statistics'!R171</f>
        <v>60</v>
      </c>
      <c r="D40" s="109">
        <v>3</v>
      </c>
      <c r="E40" s="109">
        <v>3</v>
      </c>
      <c r="F40" s="109">
        <v>2</v>
      </c>
      <c r="G40" s="109">
        <v>2</v>
      </c>
      <c r="H40" s="109">
        <v>3</v>
      </c>
      <c r="I40" s="109">
        <v>3</v>
      </c>
      <c r="K40" s="16">
        <f t="shared" si="2"/>
        <v>0</v>
      </c>
      <c r="L40" s="16">
        <f t="shared" si="3"/>
        <v>0</v>
      </c>
      <c r="M40" s="16">
        <f t="shared" si="4"/>
        <v>0</v>
      </c>
      <c r="N40" s="16">
        <f t="shared" si="5"/>
        <v>0</v>
      </c>
      <c r="O40" s="82">
        <f>IF(AI70=0,0,IF(H40&gt;AI70,0,1))</f>
        <v>0</v>
      </c>
      <c r="P40" s="16">
        <f t="shared" si="7"/>
        <v>0</v>
      </c>
      <c r="R40" s="16">
        <f t="shared" si="8"/>
        <v>0</v>
      </c>
      <c r="S40" s="2"/>
      <c r="T40" s="16" t="s">
        <v>2237</v>
      </c>
      <c r="U40" s="16" t="s">
        <v>2238</v>
      </c>
      <c r="V40" s="16" t="s">
        <v>2239</v>
      </c>
      <c r="X40" s="21" t="s">
        <v>2820</v>
      </c>
      <c r="Y40" s="2" t="s">
        <v>1978</v>
      </c>
      <c r="Z40" s="21" t="s">
        <v>2808</v>
      </c>
      <c r="AA40" s="184" t="s">
        <v>2801</v>
      </c>
      <c r="AB40" s="185">
        <f>IF(OR(I2="化學",I2="生物",I2="組合科學(物理、化學)",I2="組合科學(生物、化學)",I2="組合科學(物理、生物)",I2="設計與應用科技",I2="綜合科學",I2="資訊及通訊科技",I2="物理"),I3,0)</f>
        <v>0</v>
      </c>
      <c r="AC40" s="185">
        <f>IF(OR(J2="化學",J2="生物",J2="組合科學(物理、化學)",J2="組合科學(生物、化學)",J2="組合科學(物理、生物)",J2="設計與應用科技",J2="綜合科學",J2="資訊及通訊科技",J2="物理"),J3,0)</f>
        <v>0</v>
      </c>
      <c r="AD40" s="185">
        <f>IF(OR(K2="化學",K2="生物",K2="組合科學(物理、化學)",K2="組合科學(生物、化學)",K2="組合科學(物理、生物)",K2="設計與應用科技",K2="綜合科學",K2="資訊及通訊科技",K2="物理"),K3,0)</f>
        <v>0</v>
      </c>
      <c r="AE40" s="185">
        <f>IF(OR(L2="化學",L2="生物",L2="組合科學(物理、化學)",L2="組合科學(生物、化學)",L2="組合科學(物理、生物)",L2="設計與應用科技",L2="綜合科學",L2="資訊及通訊科技",L2="物理"),L3,0)</f>
        <v>0</v>
      </c>
      <c r="AF40" s="194">
        <f>H3</f>
        <v>5.0000000000000003E-10</v>
      </c>
      <c r="AG40" s="184"/>
      <c r="AH40" s="185" t="str">
        <f>IF(AI40&gt;0,INDEX(AB39:AF39,MATCH(LARGE(AB40:AF40,1),AB40:AF40,0)),"無")</f>
        <v>M1/2</v>
      </c>
      <c r="AI40" s="185">
        <f>LARGE((AB40:AF40),1)</f>
        <v>5.0000000000000003E-10</v>
      </c>
      <c r="AJ40" s="185" t="str">
        <f>IF(AK40&gt;0,INDEX(AB39:AF39,MATCH(LARGE(AB40:AF40,2),AB40:AF40,0)),"無")</f>
        <v>無</v>
      </c>
      <c r="AK40" s="185">
        <f>LARGE((AB40:AF40),2)</f>
        <v>0</v>
      </c>
      <c r="AL40" s="184"/>
      <c r="AM40" s="183"/>
      <c r="AN40" s="183"/>
      <c r="AO40" s="183"/>
      <c r="AP40" s="183"/>
      <c r="AQ40" s="183"/>
      <c r="AR40" s="183"/>
      <c r="AS40" s="183"/>
      <c r="AT40" s="183"/>
      <c r="AU40" s="183"/>
      <c r="AV40" s="183"/>
      <c r="AW40" s="183"/>
      <c r="AX40" s="183"/>
      <c r="AY40" s="183"/>
      <c r="AZ40" s="183"/>
      <c r="BA40" s="183"/>
    </row>
    <row r="41" spans="1:53" x14ac:dyDescent="0.3">
      <c r="A41" s="191" t="str">
        <f>'Reference Score Calculation'!A32</f>
        <v>JS1061</v>
      </c>
      <c r="B41" s="2" t="str">
        <f>'Reference Score Calculation'!D32</f>
        <v>法律學學士</v>
      </c>
      <c r="C41" s="355">
        <f>'Offer Statistics'!R172</f>
        <v>39</v>
      </c>
      <c r="D41" s="109">
        <v>3</v>
      </c>
      <c r="E41" s="109">
        <v>5</v>
      </c>
      <c r="F41" s="109">
        <v>2</v>
      </c>
      <c r="G41" s="109">
        <v>2</v>
      </c>
      <c r="H41" s="109">
        <v>3</v>
      </c>
      <c r="I41" s="109">
        <v>3</v>
      </c>
      <c r="K41" s="16">
        <f t="shared" si="2"/>
        <v>0</v>
      </c>
      <c r="L41" s="16">
        <f t="shared" si="3"/>
        <v>0</v>
      </c>
      <c r="M41" s="16">
        <f t="shared" si="4"/>
        <v>0</v>
      </c>
      <c r="N41" s="16">
        <f t="shared" si="5"/>
        <v>0</v>
      </c>
      <c r="O41" s="16">
        <f t="shared" ref="O41:O57" si="9">IF(H41&gt;LARGE(H$3:M$3,1),0,1)</f>
        <v>0</v>
      </c>
      <c r="P41" s="16">
        <f t="shared" si="7"/>
        <v>0</v>
      </c>
      <c r="R41" s="16">
        <f t="shared" si="8"/>
        <v>0</v>
      </c>
      <c r="S41" s="2"/>
      <c r="T41" s="16" t="s">
        <v>2237</v>
      </c>
      <c r="U41" s="16" t="s">
        <v>2238</v>
      </c>
      <c r="V41" s="16" t="s">
        <v>2239</v>
      </c>
      <c r="X41" s="2" t="s">
        <v>1978</v>
      </c>
      <c r="Y41" s="2" t="s">
        <v>1978</v>
      </c>
      <c r="Z41" s="21" t="s">
        <v>2808</v>
      </c>
      <c r="AA41" s="184"/>
      <c r="AB41" s="184" t="str">
        <f>I2</f>
        <v>請選擇第一選修科</v>
      </c>
      <c r="AC41" s="184" t="str">
        <f>J2</f>
        <v>請選擇第二選修科</v>
      </c>
      <c r="AD41" s="184" t="str">
        <f>K2</f>
        <v>請選擇第三選修科</v>
      </c>
      <c r="AE41" s="184" t="str">
        <f>L2</f>
        <v>請選擇第四選修科</v>
      </c>
      <c r="AF41" s="184" t="s">
        <v>2245</v>
      </c>
      <c r="AG41" s="122"/>
      <c r="AH41" s="184" t="s">
        <v>2802</v>
      </c>
      <c r="AI41" s="184"/>
      <c r="AJ41" s="184"/>
      <c r="AK41" s="184"/>
      <c r="AL41" s="184"/>
      <c r="AM41" s="183"/>
      <c r="AN41" s="183"/>
      <c r="AO41" s="183"/>
      <c r="AP41" s="183"/>
      <c r="AQ41" s="183"/>
      <c r="AR41" s="183"/>
      <c r="AS41" s="183"/>
      <c r="AT41" s="183"/>
      <c r="AU41" s="183"/>
      <c r="AV41" s="183"/>
      <c r="AW41" s="183"/>
      <c r="AX41" s="183"/>
      <c r="AY41" s="183"/>
      <c r="AZ41" s="183"/>
      <c r="BA41" s="183"/>
    </row>
    <row r="42" spans="1:53" x14ac:dyDescent="0.3">
      <c r="A42" s="191" t="str">
        <f>'Reference Score Calculation'!A33</f>
        <v>JS1062</v>
      </c>
      <c r="B42" s="2" t="str">
        <f>'Reference Score Calculation'!D33</f>
        <v>法律學學士與工商管理學士(會計)</v>
      </c>
      <c r="C42" s="355">
        <f>'Offer Statistics'!R173</f>
        <v>8</v>
      </c>
      <c r="D42" s="109">
        <v>3</v>
      </c>
      <c r="E42" s="109">
        <v>5</v>
      </c>
      <c r="F42" s="109">
        <v>3</v>
      </c>
      <c r="G42" s="109">
        <v>2</v>
      </c>
      <c r="H42" s="109">
        <v>3</v>
      </c>
      <c r="I42" s="109">
        <v>3</v>
      </c>
      <c r="K42" s="187">
        <f t="shared" si="2"/>
        <v>0</v>
      </c>
      <c r="L42" s="187">
        <f t="shared" si="3"/>
        <v>0</v>
      </c>
      <c r="M42" s="187">
        <f t="shared" si="4"/>
        <v>0</v>
      </c>
      <c r="N42" s="187">
        <f t="shared" si="5"/>
        <v>0</v>
      </c>
      <c r="O42" s="187">
        <f t="shared" si="9"/>
        <v>0</v>
      </c>
      <c r="P42" s="187">
        <f t="shared" si="7"/>
        <v>0</v>
      </c>
      <c r="R42" s="187">
        <f t="shared" si="8"/>
        <v>0</v>
      </c>
      <c r="S42" s="2"/>
      <c r="T42" s="187" t="s">
        <v>2237</v>
      </c>
      <c r="U42" s="187" t="s">
        <v>2238</v>
      </c>
      <c r="V42" s="187" t="s">
        <v>2239</v>
      </c>
      <c r="W42" s="187"/>
      <c r="X42" s="2" t="s">
        <v>1978</v>
      </c>
      <c r="Y42" s="2" t="s">
        <v>1978</v>
      </c>
      <c r="Z42" s="21" t="s">
        <v>2808</v>
      </c>
      <c r="AA42" s="184" t="s">
        <v>2787</v>
      </c>
      <c r="AB42" s="185">
        <f>IF(OR(I2="化學",I2="生物",I2="組合科學(物理、化學)",I2="組合科學(生物、化學)",I2="組合科學(物理、生物)",I2="資訊及通訊科技",I2="物理"),I3,0)</f>
        <v>0</v>
      </c>
      <c r="AC42" s="185">
        <f>IF(OR(J2="化學",J2="生物",J2="組合科學(物理、化學)",J2="組合科學(生物、化學)",J2="組合科學(物理、生物)",J2="資訊及通訊科技",J2="物理"),J3,0)</f>
        <v>0</v>
      </c>
      <c r="AD42" s="185">
        <f>IF(OR(K2="化學",K2="生物",K2="組合科學(物理、化學)",K2="組合科學(生物、化學)",K2="組合科學(物理、生物)",K2="資訊及通訊科技",K2="物理"),K3,0)</f>
        <v>0</v>
      </c>
      <c r="AE42" s="185">
        <f>IF(OR(L2="化學",L2="生物",L2="組合科學(物理、化學)",L2="組合科學(生物、化學)",L2="組合科學(物理、生物)",L2="資訊及通訊科技",L2="物理"),L3,0)</f>
        <v>0</v>
      </c>
      <c r="AF42" s="185">
        <f>H3</f>
        <v>5.0000000000000003E-10</v>
      </c>
      <c r="AG42" s="184"/>
      <c r="AH42" s="185" t="str">
        <f>IF(AI42&gt;0,INDEX(AB41:AF41,MATCH(LARGE(AB42:AF42,1),AB42:AF42,0)),"無")</f>
        <v>M1/2</v>
      </c>
      <c r="AI42" s="185">
        <f>LARGE((AB42:AF42),1)</f>
        <v>5.0000000000000003E-10</v>
      </c>
      <c r="AJ42" s="184"/>
      <c r="AK42" s="184"/>
      <c r="AL42" s="184"/>
      <c r="AM42" s="183"/>
      <c r="AN42" s="183"/>
      <c r="AO42" s="183"/>
      <c r="AP42" s="183"/>
      <c r="AQ42" s="183"/>
      <c r="AR42" s="183"/>
      <c r="AS42" s="183"/>
      <c r="AT42" s="183"/>
      <c r="AU42" s="183"/>
      <c r="AV42" s="183"/>
      <c r="AW42" s="183"/>
      <c r="AX42" s="183"/>
      <c r="AY42" s="183"/>
      <c r="AZ42" s="183"/>
      <c r="BA42" s="183"/>
    </row>
    <row r="43" spans="1:53" x14ac:dyDescent="0.3">
      <c r="A43" s="191" t="str">
        <f>'Reference Score Calculation'!A34</f>
        <v>JS1071</v>
      </c>
      <c r="B43" s="2" t="str">
        <f>'Reference Score Calculation'!D34</f>
        <v>數據科學學院 [選項：理學士 (數據科學)、工學士 (數據與系統工程)]</v>
      </c>
      <c r="C43" s="355">
        <f>'Offer Statistics'!R174</f>
        <v>20</v>
      </c>
      <c r="D43" s="109">
        <v>3</v>
      </c>
      <c r="E43" s="109">
        <v>3</v>
      </c>
      <c r="F43" s="109">
        <v>3</v>
      </c>
      <c r="G43" s="109">
        <v>2</v>
      </c>
      <c r="H43" s="109">
        <v>3</v>
      </c>
      <c r="I43" s="109">
        <v>3</v>
      </c>
      <c r="K43" s="16">
        <f t="shared" si="2"/>
        <v>0</v>
      </c>
      <c r="L43" s="16">
        <f t="shared" si="3"/>
        <v>0</v>
      </c>
      <c r="M43" s="16">
        <f t="shared" si="4"/>
        <v>0</v>
      </c>
      <c r="N43" s="16">
        <f t="shared" si="5"/>
        <v>0</v>
      </c>
      <c r="O43" s="16">
        <f t="shared" si="9"/>
        <v>0</v>
      </c>
      <c r="P43" s="16">
        <f t="shared" si="7"/>
        <v>0</v>
      </c>
      <c r="R43" s="187">
        <f t="shared" si="8"/>
        <v>0</v>
      </c>
      <c r="S43" s="2"/>
      <c r="T43" s="16" t="s">
        <v>2237</v>
      </c>
      <c r="U43" s="16" t="s">
        <v>2238</v>
      </c>
      <c r="V43" s="16" t="s">
        <v>2239</v>
      </c>
      <c r="X43" s="2" t="s">
        <v>1978</v>
      </c>
      <c r="Y43" s="2" t="s">
        <v>1978</v>
      </c>
      <c r="Z43" s="21" t="s">
        <v>2808</v>
      </c>
      <c r="AA43" s="184"/>
      <c r="AB43" s="184"/>
      <c r="AC43" s="184"/>
      <c r="AD43" s="183"/>
      <c r="AE43" s="183"/>
      <c r="AF43" s="183"/>
      <c r="AG43" s="183"/>
      <c r="AH43" s="183"/>
      <c r="AI43" s="183"/>
      <c r="AJ43" s="183"/>
      <c r="AK43" s="184"/>
      <c r="AL43" s="184"/>
      <c r="AM43" s="184"/>
      <c r="AN43" s="183"/>
      <c r="AO43" s="183"/>
      <c r="AP43" s="183"/>
      <c r="AQ43" s="183"/>
      <c r="AR43" s="183"/>
      <c r="AS43" s="183"/>
      <c r="AT43" s="183"/>
      <c r="AU43" s="183"/>
      <c r="AV43" s="183"/>
      <c r="AW43" s="183"/>
      <c r="AX43" s="183"/>
      <c r="AY43" s="183"/>
      <c r="AZ43" s="183"/>
      <c r="BA43" s="183"/>
    </row>
    <row r="44" spans="1:53" x14ac:dyDescent="0.3">
      <c r="A44" s="191" t="str">
        <f>'Reference Score Calculation'!A35</f>
        <v>JS1072</v>
      </c>
      <c r="B44" s="2" t="str">
        <f>'Reference Score Calculation'!D35</f>
        <v>理學士(數據科學)</v>
      </c>
      <c r="C44" s="355">
        <f>'Offer Statistics'!R175</f>
        <v>30</v>
      </c>
      <c r="D44" s="109">
        <v>3</v>
      </c>
      <c r="E44" s="109">
        <v>3</v>
      </c>
      <c r="F44" s="109">
        <v>3</v>
      </c>
      <c r="G44" s="109">
        <v>2</v>
      </c>
      <c r="H44" s="109">
        <v>3</v>
      </c>
      <c r="I44" s="109">
        <v>3</v>
      </c>
      <c r="K44" s="16">
        <f t="shared" si="2"/>
        <v>0</v>
      </c>
      <c r="L44" s="16">
        <f t="shared" si="3"/>
        <v>0</v>
      </c>
      <c r="M44" s="16">
        <f t="shared" si="4"/>
        <v>0</v>
      </c>
      <c r="N44" s="16">
        <f t="shared" si="5"/>
        <v>0</v>
      </c>
      <c r="O44" s="16">
        <f t="shared" si="9"/>
        <v>0</v>
      </c>
      <c r="P44" s="16">
        <f t="shared" si="7"/>
        <v>0</v>
      </c>
      <c r="R44" s="187">
        <f t="shared" si="8"/>
        <v>0</v>
      </c>
      <c r="S44" s="2"/>
      <c r="T44" s="16" t="s">
        <v>2237</v>
      </c>
      <c r="U44" s="16" t="s">
        <v>2238</v>
      </c>
      <c r="V44" s="16" t="s">
        <v>2239</v>
      </c>
      <c r="X44" s="2" t="s">
        <v>1978</v>
      </c>
      <c r="Y44" s="2" t="s">
        <v>1978</v>
      </c>
      <c r="Z44" s="21" t="s">
        <v>2808</v>
      </c>
      <c r="AA44" s="184"/>
      <c r="AB44" s="184"/>
      <c r="AC44" s="184"/>
      <c r="AD44" s="183"/>
      <c r="AE44" s="183"/>
      <c r="AF44" s="183"/>
      <c r="AG44" s="183"/>
      <c r="AH44" s="183"/>
      <c r="AI44" s="183"/>
      <c r="AJ44" s="183"/>
      <c r="AK44" s="184"/>
      <c r="AL44" s="184"/>
      <c r="AM44" s="184"/>
      <c r="AN44" s="183"/>
      <c r="AO44" s="183"/>
      <c r="AP44" s="183"/>
      <c r="AQ44" s="183"/>
      <c r="AR44" s="183"/>
      <c r="AS44" s="183"/>
      <c r="AT44" s="183"/>
      <c r="AU44" s="183"/>
      <c r="AV44" s="183"/>
      <c r="AW44" s="183"/>
      <c r="AX44" s="183"/>
      <c r="AY44" s="183"/>
      <c r="AZ44" s="183"/>
      <c r="BA44" s="183"/>
    </row>
    <row r="45" spans="1:53" x14ac:dyDescent="0.3">
      <c r="A45" s="191" t="str">
        <f>'Reference Score Calculation'!A36</f>
        <v>JS1074</v>
      </c>
      <c r="B45" s="2" t="str">
        <f>'Reference Score Calculation'!D36</f>
        <v>工學士(數據與系統工程)</v>
      </c>
      <c r="C45" s="355">
        <f>'Offer Statistics'!R176</f>
        <v>20</v>
      </c>
      <c r="D45" s="109">
        <v>3</v>
      </c>
      <c r="E45" s="109">
        <v>3</v>
      </c>
      <c r="F45" s="109">
        <v>3</v>
      </c>
      <c r="G45" s="109">
        <v>2</v>
      </c>
      <c r="H45" s="109">
        <v>3</v>
      </c>
      <c r="I45" s="109">
        <v>3</v>
      </c>
      <c r="K45" s="16">
        <f t="shared" si="2"/>
        <v>0</v>
      </c>
      <c r="L45" s="16">
        <f t="shared" si="3"/>
        <v>0</v>
      </c>
      <c r="M45" s="16">
        <f t="shared" si="4"/>
        <v>0</v>
      </c>
      <c r="N45" s="16">
        <f t="shared" si="5"/>
        <v>0</v>
      </c>
      <c r="O45" s="16">
        <f t="shared" si="9"/>
        <v>0</v>
      </c>
      <c r="P45" s="16">
        <f t="shared" si="7"/>
        <v>0</v>
      </c>
      <c r="R45" s="187">
        <f t="shared" si="8"/>
        <v>0</v>
      </c>
      <c r="S45" s="2"/>
      <c r="T45" s="16" t="s">
        <v>2237</v>
      </c>
      <c r="U45" s="16" t="s">
        <v>2238</v>
      </c>
      <c r="V45" s="16" t="s">
        <v>2239</v>
      </c>
      <c r="X45" s="2" t="s">
        <v>1978</v>
      </c>
      <c r="Y45" s="2" t="s">
        <v>1978</v>
      </c>
      <c r="Z45" s="21" t="s">
        <v>2808</v>
      </c>
      <c r="AA45" s="202" t="s">
        <v>2837</v>
      </c>
      <c r="AB45" s="184"/>
      <c r="AC45" s="184"/>
      <c r="AD45" s="183"/>
      <c r="AE45" s="183"/>
      <c r="AF45" s="183"/>
      <c r="AG45" s="183"/>
      <c r="AH45" s="183"/>
      <c r="AI45" s="183"/>
      <c r="AJ45" s="183"/>
      <c r="AK45" s="184"/>
      <c r="AL45" s="184"/>
      <c r="AM45" s="184"/>
      <c r="AN45" s="183"/>
      <c r="AO45" s="183"/>
      <c r="AP45" s="183"/>
      <c r="AQ45" s="183"/>
      <c r="AR45" s="183"/>
      <c r="AS45" s="183"/>
      <c r="AT45" s="183"/>
      <c r="AU45" s="183"/>
      <c r="AV45" s="183"/>
      <c r="AW45" s="183"/>
      <c r="AX45" s="183"/>
      <c r="AY45" s="183"/>
      <c r="AZ45" s="183"/>
      <c r="BA45" s="183"/>
    </row>
    <row r="46" spans="1:53" x14ac:dyDescent="0.3">
      <c r="A46" s="191" t="str">
        <f>'Reference Score Calculation'!A37</f>
        <v>JS1102</v>
      </c>
      <c r="B46" s="2" t="str">
        <f>'Reference Score Calculation'!D37</f>
        <v>社會科學學士(亞洲及國際研究)</v>
      </c>
      <c r="C46" s="355">
        <f>'Offer Statistics'!R177</f>
        <v>20</v>
      </c>
      <c r="D46" s="109">
        <v>3</v>
      </c>
      <c r="E46" s="109">
        <v>3</v>
      </c>
      <c r="F46" s="109">
        <v>2</v>
      </c>
      <c r="G46" s="109">
        <v>2</v>
      </c>
      <c r="H46" s="109">
        <v>3</v>
      </c>
      <c r="I46" s="109">
        <v>3</v>
      </c>
      <c r="K46" s="16">
        <f t="shared" si="2"/>
        <v>0</v>
      </c>
      <c r="L46" s="16">
        <f t="shared" si="3"/>
        <v>0</v>
      </c>
      <c r="M46" s="16">
        <f t="shared" si="4"/>
        <v>0</v>
      </c>
      <c r="N46" s="16">
        <f t="shared" si="5"/>
        <v>0</v>
      </c>
      <c r="O46" s="16">
        <f t="shared" si="9"/>
        <v>0</v>
      </c>
      <c r="P46" s="16">
        <f t="shared" si="7"/>
        <v>0</v>
      </c>
      <c r="R46" s="187">
        <f t="shared" si="8"/>
        <v>0</v>
      </c>
      <c r="S46" s="2"/>
      <c r="T46" s="16" t="s">
        <v>2237</v>
      </c>
      <c r="U46" s="16" t="s">
        <v>2238</v>
      </c>
      <c r="V46" s="16" t="s">
        <v>2239</v>
      </c>
      <c r="X46" s="2" t="s">
        <v>1978</v>
      </c>
      <c r="Y46" s="2" t="s">
        <v>1978</v>
      </c>
      <c r="Z46" s="21" t="s">
        <v>2808</v>
      </c>
      <c r="AA46" s="183"/>
      <c r="AB46" s="183"/>
      <c r="AC46" s="183"/>
      <c r="AD46" s="183"/>
      <c r="AE46" s="183"/>
      <c r="AF46" s="183"/>
      <c r="AG46" s="183"/>
      <c r="AH46" s="183"/>
      <c r="AI46" s="183"/>
      <c r="AJ46" s="183"/>
      <c r="AK46" s="183"/>
      <c r="AL46" s="183"/>
      <c r="AM46" s="183"/>
      <c r="AN46" s="183"/>
      <c r="AO46" s="183"/>
      <c r="AP46" s="183"/>
      <c r="AQ46" s="183"/>
      <c r="AR46" s="183"/>
      <c r="AS46" s="183"/>
      <c r="AT46" s="183"/>
      <c r="AU46" s="183"/>
      <c r="AV46" s="183"/>
      <c r="AW46" s="183"/>
      <c r="AX46" s="183"/>
      <c r="AY46" s="183"/>
      <c r="AZ46" s="183"/>
      <c r="BA46" s="183"/>
    </row>
    <row r="47" spans="1:53" x14ac:dyDescent="0.3">
      <c r="A47" s="191" t="str">
        <f>'Reference Score Calculation'!A38</f>
        <v>JS1103</v>
      </c>
      <c r="B47" s="2" t="str">
        <f>'Reference Score Calculation'!D38</f>
        <v>文學士(中文及歷史)</v>
      </c>
      <c r="C47" s="355">
        <f>'Offer Statistics'!R178</f>
        <v>45</v>
      </c>
      <c r="D47" s="109">
        <v>3</v>
      </c>
      <c r="E47" s="109">
        <v>3</v>
      </c>
      <c r="F47" s="109">
        <v>2</v>
      </c>
      <c r="G47" s="109">
        <v>2</v>
      </c>
      <c r="H47" s="109">
        <v>3</v>
      </c>
      <c r="I47" s="109">
        <v>3</v>
      </c>
      <c r="K47" s="16">
        <f t="shared" si="2"/>
        <v>0</v>
      </c>
      <c r="L47" s="16">
        <f t="shared" si="3"/>
        <v>0</v>
      </c>
      <c r="M47" s="16">
        <f t="shared" si="4"/>
        <v>0</v>
      </c>
      <c r="N47" s="16">
        <f t="shared" si="5"/>
        <v>0</v>
      </c>
      <c r="O47" s="16">
        <f t="shared" si="9"/>
        <v>0</v>
      </c>
      <c r="P47" s="16">
        <f t="shared" si="7"/>
        <v>0</v>
      </c>
      <c r="R47" s="187">
        <f t="shared" si="8"/>
        <v>0</v>
      </c>
      <c r="S47" s="2"/>
      <c r="T47" s="16" t="s">
        <v>2237</v>
      </c>
      <c r="U47" s="16" t="s">
        <v>2238</v>
      </c>
      <c r="V47" s="16" t="s">
        <v>2239</v>
      </c>
      <c r="X47" s="2" t="s">
        <v>1978</v>
      </c>
      <c r="Y47" s="2" t="s">
        <v>1978</v>
      </c>
      <c r="Z47" s="21" t="s">
        <v>2808</v>
      </c>
      <c r="AA47" s="184"/>
      <c r="AB47" s="184" t="str">
        <f>I2</f>
        <v>請選擇第一選修科</v>
      </c>
      <c r="AC47" s="184" t="str">
        <f>J2</f>
        <v>請選擇第二選修科</v>
      </c>
      <c r="AD47" s="184" t="str">
        <f>K2</f>
        <v>請選擇第三選修科</v>
      </c>
      <c r="AE47" s="184" t="str">
        <f>L2</f>
        <v>請選擇第四選修科</v>
      </c>
      <c r="AF47" s="184" t="s">
        <v>2245</v>
      </c>
      <c r="AG47" s="184"/>
      <c r="AH47" s="184" t="s">
        <v>2807</v>
      </c>
      <c r="AI47" s="184"/>
      <c r="AJ47" s="184"/>
      <c r="AK47" s="184"/>
      <c r="AL47" s="184"/>
      <c r="AM47" s="184"/>
      <c r="AN47" s="184"/>
      <c r="AO47" s="183"/>
      <c r="AP47" s="183"/>
      <c r="AQ47" s="183"/>
      <c r="AR47" s="183"/>
      <c r="AS47" s="183"/>
      <c r="AT47" s="197"/>
      <c r="AU47" s="197"/>
      <c r="AV47" s="197"/>
      <c r="AW47" s="197"/>
      <c r="AX47" s="183"/>
      <c r="AY47" s="183"/>
      <c r="AZ47" s="183"/>
      <c r="BA47" s="183"/>
    </row>
    <row r="48" spans="1:53" x14ac:dyDescent="0.3">
      <c r="A48" s="191" t="str">
        <f>'Reference Score Calculation'!A39</f>
        <v>JS1104</v>
      </c>
      <c r="B48" s="2" t="str">
        <f>'Reference Score Calculation'!D39</f>
        <v>文學士(英語語言)</v>
      </c>
      <c r="C48" s="355">
        <f>'Offer Statistics'!R179</f>
        <v>25</v>
      </c>
      <c r="D48" s="109">
        <v>3</v>
      </c>
      <c r="E48" s="109">
        <v>3</v>
      </c>
      <c r="F48" s="109">
        <v>2</v>
      </c>
      <c r="G48" s="109">
        <v>2</v>
      </c>
      <c r="H48" s="109">
        <v>3</v>
      </c>
      <c r="I48" s="109">
        <v>3</v>
      </c>
      <c r="K48" s="16">
        <f t="shared" si="2"/>
        <v>0</v>
      </c>
      <c r="L48" s="16">
        <f t="shared" si="3"/>
        <v>0</v>
      </c>
      <c r="M48" s="16">
        <f t="shared" si="4"/>
        <v>0</v>
      </c>
      <c r="N48" s="16">
        <f t="shared" si="5"/>
        <v>0</v>
      </c>
      <c r="O48" s="16">
        <f t="shared" si="9"/>
        <v>0</v>
      </c>
      <c r="P48" s="16">
        <f t="shared" si="7"/>
        <v>0</v>
      </c>
      <c r="R48" s="187">
        <f t="shared" si="8"/>
        <v>0</v>
      </c>
      <c r="S48" s="2"/>
      <c r="T48" s="16" t="s">
        <v>2237</v>
      </c>
      <c r="U48" s="16" t="s">
        <v>2238</v>
      </c>
      <c r="V48" s="16" t="s">
        <v>2239</v>
      </c>
      <c r="X48" s="2" t="s">
        <v>1978</v>
      </c>
      <c r="Y48" s="2" t="s">
        <v>1978</v>
      </c>
      <c r="Z48" s="21" t="s">
        <v>2808</v>
      </c>
      <c r="AA48" s="184" t="s">
        <v>2244</v>
      </c>
      <c r="AB48" s="195">
        <f>IF(OR(I2="化學",I2="生物",I2="經濟",I2="物理"),I3,0)</f>
        <v>0</v>
      </c>
      <c r="AC48" s="195">
        <f>IF(OR(J2="化學",J2="生物",J2="經濟",J2="物理"),J3,0)</f>
        <v>0</v>
      </c>
      <c r="AD48" s="195">
        <f>IF(OR(K2="化學",K2="生物",K2="經濟",K2="物理"),K3,0)</f>
        <v>0</v>
      </c>
      <c r="AE48" s="195">
        <f>IF(OR(L2="化學",L2="生物",L2="經濟",L2="物理"),L3,0)</f>
        <v>0</v>
      </c>
      <c r="AF48" s="195">
        <f>H3</f>
        <v>5.0000000000000003E-10</v>
      </c>
      <c r="AG48" s="196"/>
      <c r="AH48" s="195" t="str">
        <f>IF(AI48&gt;0,INDEX(AB47:AF47,MATCH(LARGE(AB48:AF48,1),AB48:AF48,0)),"無")</f>
        <v>M1/2</v>
      </c>
      <c r="AI48" s="195">
        <f>LARGE((AB48:AF48),1)</f>
        <v>5.0000000000000003E-10</v>
      </c>
      <c r="AJ48" s="195" t="str">
        <f>IF(AK48&gt;0,INDEX(AB47:AF47,MATCH(LARGE(AB48:AF48,2),AB48:AF48,0)),"無")</f>
        <v>無</v>
      </c>
      <c r="AK48" s="195">
        <f>LARGE((AB48:AF48),2)</f>
        <v>0</v>
      </c>
      <c r="AL48" s="196"/>
      <c r="AM48" s="184"/>
      <c r="AN48" s="184"/>
      <c r="AO48" s="183"/>
      <c r="AP48" s="183"/>
      <c r="AQ48" s="183"/>
      <c r="AR48" s="183"/>
      <c r="AS48" s="183"/>
      <c r="AT48" s="183"/>
      <c r="AU48" s="197"/>
      <c r="AV48" s="197"/>
      <c r="AW48" s="197"/>
      <c r="AX48" s="183"/>
      <c r="AY48" s="183"/>
      <c r="AZ48" s="183"/>
      <c r="BA48" s="183"/>
    </row>
    <row r="49" spans="1:53" x14ac:dyDescent="0.3">
      <c r="A49" s="191" t="str">
        <f>'Reference Score Calculation'!A40</f>
        <v>JS1106</v>
      </c>
      <c r="B49" s="2" t="str">
        <f>'Reference Score Calculation'!D40</f>
        <v>媒體與傳播系 [選項: 文學士(數碼電視與廣播)、文學士(媒體與傳播)]</v>
      </c>
      <c r="C49" s="355">
        <f>'Offer Statistics'!R180</f>
        <v>45</v>
      </c>
      <c r="D49" s="109">
        <v>3</v>
      </c>
      <c r="E49" s="109">
        <v>3</v>
      </c>
      <c r="F49" s="109">
        <v>2</v>
      </c>
      <c r="G49" s="109">
        <v>2</v>
      </c>
      <c r="H49" s="109">
        <v>3</v>
      </c>
      <c r="I49" s="109">
        <v>3</v>
      </c>
      <c r="K49" s="16">
        <f t="shared" si="2"/>
        <v>0</v>
      </c>
      <c r="L49" s="16">
        <f t="shared" si="3"/>
        <v>0</v>
      </c>
      <c r="M49" s="16">
        <f t="shared" si="4"/>
        <v>0</v>
      </c>
      <c r="N49" s="16">
        <f t="shared" si="5"/>
        <v>0</v>
      </c>
      <c r="O49" s="16">
        <f t="shared" si="9"/>
        <v>0</v>
      </c>
      <c r="P49" s="16">
        <f t="shared" si="7"/>
        <v>0</v>
      </c>
      <c r="R49" s="187">
        <f t="shared" si="8"/>
        <v>0</v>
      </c>
      <c r="S49" s="2"/>
      <c r="T49" s="16" t="s">
        <v>2237</v>
      </c>
      <c r="U49" s="16" t="s">
        <v>2238</v>
      </c>
      <c r="V49" s="16" t="s">
        <v>2239</v>
      </c>
      <c r="X49" s="2" t="s">
        <v>1978</v>
      </c>
      <c r="Y49" s="2" t="s">
        <v>1978</v>
      </c>
      <c r="Z49" s="21" t="s">
        <v>2808</v>
      </c>
      <c r="AA49" s="184"/>
      <c r="AB49" s="197" t="str">
        <f>I2</f>
        <v>請選擇第一選修科</v>
      </c>
      <c r="AC49" s="197" t="str">
        <f>J2</f>
        <v>請選擇第二選修科</v>
      </c>
      <c r="AD49" s="197" t="str">
        <f>K2</f>
        <v>請選擇第三選修科</v>
      </c>
      <c r="AE49" s="197" t="str">
        <f>L2</f>
        <v>請選擇第四選修科</v>
      </c>
      <c r="AF49" s="197"/>
      <c r="AG49" s="196"/>
      <c r="AH49" s="196" t="s">
        <v>2821</v>
      </c>
      <c r="AI49" s="196"/>
      <c r="AJ49" s="196"/>
      <c r="AK49" s="197" t="s">
        <v>2809</v>
      </c>
      <c r="AL49" s="196"/>
      <c r="AM49" s="196" t="str">
        <f>I2</f>
        <v>請選擇第一選修科</v>
      </c>
      <c r="AN49" s="196" t="str">
        <f>J2</f>
        <v>請選擇第二選修科</v>
      </c>
      <c r="AO49" s="196" t="str">
        <f>K2</f>
        <v>請選擇第三選修科</v>
      </c>
      <c r="AP49" s="196" t="str">
        <f>L2</f>
        <v>請選擇第四選修科</v>
      </c>
      <c r="AQ49" s="197"/>
      <c r="AR49" s="196" t="s">
        <v>2822</v>
      </c>
      <c r="AS49" s="197"/>
      <c r="AT49" s="197"/>
      <c r="AU49" s="183"/>
      <c r="AV49" s="197"/>
      <c r="AW49" s="197"/>
      <c r="AX49" s="183"/>
      <c r="AY49" s="183"/>
      <c r="AZ49" s="183"/>
      <c r="BA49" s="183"/>
    </row>
    <row r="50" spans="1:53" x14ac:dyDescent="0.3">
      <c r="A50" s="191" t="str">
        <f>'Reference Score Calculation'!A41</f>
        <v>JS1108</v>
      </c>
      <c r="B50" s="2" t="str">
        <f>'Reference Score Calculation'!D41</f>
        <v>社會科學學士(公共政策與政治)</v>
      </c>
      <c r="C50" s="355">
        <f>'Offer Statistics'!R181</f>
        <v>64</v>
      </c>
      <c r="D50" s="109">
        <v>3</v>
      </c>
      <c r="E50" s="109">
        <v>3</v>
      </c>
      <c r="F50" s="109">
        <v>2</v>
      </c>
      <c r="G50" s="109">
        <v>2</v>
      </c>
      <c r="H50" s="109">
        <v>3</v>
      </c>
      <c r="I50" s="109">
        <v>3</v>
      </c>
      <c r="K50" s="16">
        <f t="shared" si="2"/>
        <v>0</v>
      </c>
      <c r="L50" s="16">
        <f t="shared" si="3"/>
        <v>0</v>
      </c>
      <c r="M50" s="16">
        <f t="shared" si="4"/>
        <v>0</v>
      </c>
      <c r="N50" s="16">
        <f t="shared" si="5"/>
        <v>0</v>
      </c>
      <c r="O50" s="16">
        <f t="shared" si="9"/>
        <v>0</v>
      </c>
      <c r="P50" s="16">
        <f t="shared" si="7"/>
        <v>0</v>
      </c>
      <c r="R50" s="187">
        <f t="shared" si="8"/>
        <v>0</v>
      </c>
      <c r="S50" s="2"/>
      <c r="T50" s="16" t="s">
        <v>2237</v>
      </c>
      <c r="U50" s="16" t="s">
        <v>2238</v>
      </c>
      <c r="V50" s="16" t="s">
        <v>2239</v>
      </c>
      <c r="X50" s="2" t="s">
        <v>1978</v>
      </c>
      <c r="Y50" s="2" t="s">
        <v>1978</v>
      </c>
      <c r="Z50" s="21" t="s">
        <v>2808</v>
      </c>
      <c r="AA50" s="196" t="s">
        <v>2327</v>
      </c>
      <c r="AB50" s="198">
        <f>IF(OR(I2="化學",I2="組合科學(物理、化學)",I2="組合科學(生物、化學)"),I3,0)</f>
        <v>0</v>
      </c>
      <c r="AC50" s="198">
        <f>IF(OR(J2="化學",J2="組合科學(物理、化學)",J2="組合科學(生物、化學)"),J3,0)</f>
        <v>0</v>
      </c>
      <c r="AD50" s="198">
        <f>IF(OR(K2="化學",K2="組合科學(物理、化學)",K2="組合科學(生物、化學)"),K3,0)</f>
        <v>0</v>
      </c>
      <c r="AE50" s="198">
        <f>IF(OR(L2="化學",L2="組合科學(物理、化學)",L2="組合科學(生物、化學)"),L3,0)</f>
        <v>0</v>
      </c>
      <c r="AF50" s="197"/>
      <c r="AG50" s="196"/>
      <c r="AH50" s="195" t="str">
        <f>IF(AI50&gt;0,INDEX(AB49:AE49,MATCH(LARGE(AB50:AE50,1),AB50:AE50,0)),"無")</f>
        <v>無</v>
      </c>
      <c r="AI50" s="195">
        <f>LARGE((AB50:AE50),1)</f>
        <v>0</v>
      </c>
      <c r="AJ50" s="196"/>
      <c r="AK50" s="198" t="b">
        <f>IF(F3&gt;3,TRUE,FALSE)</f>
        <v>0</v>
      </c>
      <c r="AL50" s="196"/>
      <c r="AM50" s="195">
        <f>IF(OR(I2="生物",I2="企業、會計與財務概論",I2="設計與應用科技",I2="資訊及通訊科技",I2="物理",I2="組合科學(物理、生物)"),I3,0)</f>
        <v>0</v>
      </c>
      <c r="AN50" s="195">
        <f>IF(OR(J2="生物",J2="企業、會計與財務概論",J2="設計與應用科技",J2="資訊及通訊科技",J2="物理",J2="組合科學(物理、生物)"),J3,0)</f>
        <v>0</v>
      </c>
      <c r="AO50" s="195">
        <f>IF(OR(K2="生物",K2="企業、會計與財務概論",K2="設計與應用科技",K2="資訊及通訊科技",K2="物理",K2="組合科學(物理、生物)"),K3,0)</f>
        <v>0</v>
      </c>
      <c r="AP50" s="195">
        <f>IF(OR(L2="生物",L2="企業、會計與財務概論",L2="設計與應用科技",L2="資訊及通訊科技",L2="物理",L2="組合科學(物理、生物)"),L3,0)</f>
        <v>0</v>
      </c>
      <c r="AQ50" s="197"/>
      <c r="AR50" s="199" t="str">
        <f>IF(AS50&gt;0,INDEX(AM49:AP49,MATCH(LARGE(AM50:AP50,1),AM50:AP50,0)),"無")</f>
        <v>無</v>
      </c>
      <c r="AS50" s="199">
        <f>LARGE((AM50:AP50),1)</f>
        <v>0</v>
      </c>
      <c r="AT50" s="197"/>
      <c r="AU50" s="197"/>
      <c r="AV50" s="183"/>
      <c r="AW50" s="183"/>
      <c r="AX50" s="183"/>
      <c r="AY50" s="183"/>
      <c r="AZ50" s="183"/>
      <c r="BA50" s="183"/>
    </row>
    <row r="51" spans="1:53" x14ac:dyDescent="0.3">
      <c r="A51" s="191" t="str">
        <f>'Reference Score Calculation'!A42</f>
        <v>JS1109</v>
      </c>
      <c r="B51" s="2" t="str">
        <f>'Reference Score Calculation'!D42</f>
        <v>文學士(語言學及語言應用)</v>
      </c>
      <c r="C51" s="355">
        <f>'Offer Statistics'!R182</f>
        <v>25</v>
      </c>
      <c r="D51" s="109">
        <v>3</v>
      </c>
      <c r="E51" s="109">
        <v>3</v>
      </c>
      <c r="F51" s="109">
        <v>2</v>
      </c>
      <c r="G51" s="109">
        <v>2</v>
      </c>
      <c r="H51" s="109">
        <v>3</v>
      </c>
      <c r="I51" s="109">
        <v>3</v>
      </c>
      <c r="K51" s="187">
        <f t="shared" si="2"/>
        <v>0</v>
      </c>
      <c r="L51" s="187">
        <f t="shared" si="3"/>
        <v>0</v>
      </c>
      <c r="M51" s="187">
        <f t="shared" si="4"/>
        <v>0</v>
      </c>
      <c r="N51" s="187">
        <f t="shared" si="5"/>
        <v>0</v>
      </c>
      <c r="O51" s="187">
        <f t="shared" si="9"/>
        <v>0</v>
      </c>
      <c r="P51" s="187">
        <f t="shared" si="7"/>
        <v>0</v>
      </c>
      <c r="R51" s="187">
        <f t="shared" si="8"/>
        <v>0</v>
      </c>
      <c r="S51" s="2"/>
      <c r="T51" s="187" t="s">
        <v>2237</v>
      </c>
      <c r="U51" s="187" t="s">
        <v>2238</v>
      </c>
      <c r="V51" s="187" t="s">
        <v>2239</v>
      </c>
      <c r="W51" s="187"/>
      <c r="X51" s="2" t="s">
        <v>1978</v>
      </c>
      <c r="Y51" s="2" t="s">
        <v>1978</v>
      </c>
      <c r="Z51" s="21" t="s">
        <v>2808</v>
      </c>
      <c r="AA51" s="184"/>
      <c r="AB51" s="197" t="str">
        <f>I2</f>
        <v>請選擇第一選修科</v>
      </c>
      <c r="AC51" s="197" t="str">
        <f>J2</f>
        <v>請選擇第二選修科</v>
      </c>
      <c r="AD51" s="197" t="str">
        <f>K2</f>
        <v>請選擇第三選修科</v>
      </c>
      <c r="AE51" s="197" t="str">
        <f>L2</f>
        <v>請選擇第四選修科</v>
      </c>
      <c r="AF51" s="196" t="s">
        <v>2245</v>
      </c>
      <c r="AG51" s="196"/>
      <c r="AH51" s="196" t="s">
        <v>2825</v>
      </c>
      <c r="AI51" s="196"/>
      <c r="AJ51" s="196"/>
      <c r="AK51" s="196"/>
      <c r="AL51" s="196"/>
      <c r="AM51" s="196"/>
      <c r="AN51" s="196"/>
      <c r="AO51" s="197"/>
      <c r="AP51" s="197"/>
      <c r="AQ51" s="197"/>
      <c r="AR51" s="197"/>
      <c r="AS51" s="197"/>
      <c r="AT51" s="197"/>
      <c r="AU51" s="197"/>
      <c r="AV51" s="197"/>
      <c r="AW51" s="197"/>
      <c r="AX51" s="183"/>
      <c r="AY51" s="183"/>
      <c r="AZ51" s="183"/>
      <c r="BA51" s="183"/>
    </row>
    <row r="52" spans="1:53" x14ac:dyDescent="0.3">
      <c r="A52" s="191" t="str">
        <f>'Reference Score Calculation'!A43</f>
        <v>JS1110</v>
      </c>
      <c r="B52" s="2" t="str">
        <f>'Reference Score Calculation'!D43</f>
        <v>社會及行為科學系 [選項: 社會科學學士(犯罪學及社會學)、社會科學學士(心理學)、社會科學學士(社會工作)]</v>
      </c>
      <c r="C52" s="355">
        <f>'Offer Statistics'!R183</f>
        <v>10</v>
      </c>
      <c r="D52" s="109">
        <v>3</v>
      </c>
      <c r="E52" s="109">
        <v>3</v>
      </c>
      <c r="F52" s="109">
        <v>2</v>
      </c>
      <c r="G52" s="109">
        <v>2</v>
      </c>
      <c r="H52" s="109">
        <v>3</v>
      </c>
      <c r="I52" s="109">
        <v>3</v>
      </c>
      <c r="K52" s="16">
        <f t="shared" si="2"/>
        <v>0</v>
      </c>
      <c r="L52" s="16">
        <f t="shared" si="3"/>
        <v>0</v>
      </c>
      <c r="M52" s="16">
        <f t="shared" si="4"/>
        <v>0</v>
      </c>
      <c r="N52" s="16">
        <f t="shared" si="5"/>
        <v>0</v>
      </c>
      <c r="O52" s="16">
        <f t="shared" si="9"/>
        <v>0</v>
      </c>
      <c r="P52" s="16">
        <f t="shared" si="7"/>
        <v>0</v>
      </c>
      <c r="R52" s="187">
        <f t="shared" si="8"/>
        <v>0</v>
      </c>
      <c r="S52" s="2"/>
      <c r="T52" s="16" t="s">
        <v>2237</v>
      </c>
      <c r="U52" s="16" t="s">
        <v>2238</v>
      </c>
      <c r="V52" s="16" t="s">
        <v>2239</v>
      </c>
      <c r="X52" s="2" t="s">
        <v>1978</v>
      </c>
      <c r="Y52" s="2" t="s">
        <v>1978</v>
      </c>
      <c r="Z52" s="21" t="s">
        <v>2808</v>
      </c>
      <c r="AA52" s="196" t="s">
        <v>2824</v>
      </c>
      <c r="AB52" s="198">
        <f>IF(OR(I2="生物",I2="企業、會計與財務概論",I2="化學",I2="設計與應用科技",I2="資訊及通訊科技",I2="物理",I2="組合科學(物理、化學)",I2="組合科學(生物、化學)",I2="組合科學(物理、生物)",I2="綜合科學"),I3,0)</f>
        <v>0</v>
      </c>
      <c r="AC52" s="198">
        <f>IF(OR(J2="生物",J2="企業、會計與財務概論",J2="化學",J2="設計與應用科技",J2="資訊及通訊科技",J2="物理",J2="組合科學(物理、化學)",J2="組合科學(生物、化學)",J2="組合科學(物理、生物)",J2="綜合科學"),J3,0)</f>
        <v>0</v>
      </c>
      <c r="AD52" s="198">
        <f>IF(OR(K2="生物",K2="企業、會計與財務概論",K2="化學",K2="設計與應用科技",K2="資訊及通訊科技",K2="物理",K2="組合科學(物理、化學)",K2="組合科學(生物、化學)",K2="組合科學(物理、生物)",K2="綜合科學"),K3,0)</f>
        <v>0</v>
      </c>
      <c r="AE52" s="198">
        <f>IF(OR(L2="生物",L2="企業、會計與財務概論",L2="化學",L2="設計與應用科技",L2="資訊及通訊科技",L2="物理",L2="組合科學(物理、化學)",L2="組合科學(生物、化學)",L2="組合科學(物理、生物)",L2="綜合科學"),L3,0)</f>
        <v>0</v>
      </c>
      <c r="AF52" s="195">
        <f>H3</f>
        <v>5.0000000000000003E-10</v>
      </c>
      <c r="AG52" s="196"/>
      <c r="AH52" s="195" t="str">
        <f>IF(AI52&gt;0,INDEX(AB51:AF51,MATCH(LARGE(AB52:AF52,1),AB52:AF52,0)),"無")</f>
        <v>M1/2</v>
      </c>
      <c r="AI52" s="195">
        <f>LARGE((AB52:AF52),1)</f>
        <v>5.0000000000000003E-10</v>
      </c>
      <c r="AJ52" s="196"/>
      <c r="AK52" s="196"/>
      <c r="AL52" s="196"/>
      <c r="AM52" s="196"/>
      <c r="AN52" s="196"/>
      <c r="AO52" s="197"/>
      <c r="AP52" s="197"/>
      <c r="AQ52" s="183"/>
      <c r="AR52" s="183"/>
      <c r="AS52" s="183"/>
      <c r="AT52" s="197"/>
      <c r="AU52" s="197"/>
      <c r="AV52" s="197"/>
      <c r="AW52" s="197"/>
      <c r="AX52" s="183"/>
      <c r="AY52" s="183"/>
      <c r="AZ52" s="183"/>
      <c r="BA52" s="183"/>
    </row>
    <row r="53" spans="1:53" x14ac:dyDescent="0.3">
      <c r="A53" s="191" t="str">
        <f>'Reference Score Calculation'!A44</f>
        <v>JS1111</v>
      </c>
      <c r="B53" s="2" t="str">
        <f>'Reference Score Calculation'!D44</f>
        <v>社會科學學士(犯罪學及社會學)</v>
      </c>
      <c r="C53" s="355">
        <f>'Offer Statistics'!R184</f>
        <v>20</v>
      </c>
      <c r="D53" s="109">
        <v>3</v>
      </c>
      <c r="E53" s="109">
        <v>3</v>
      </c>
      <c r="F53" s="109">
        <v>2</v>
      </c>
      <c r="G53" s="109">
        <v>2</v>
      </c>
      <c r="H53" s="109">
        <v>3</v>
      </c>
      <c r="I53" s="109">
        <v>3</v>
      </c>
      <c r="K53" s="16">
        <f t="shared" si="2"/>
        <v>0</v>
      </c>
      <c r="L53" s="16">
        <f t="shared" si="3"/>
        <v>0</v>
      </c>
      <c r="M53" s="16">
        <f t="shared" si="4"/>
        <v>0</v>
      </c>
      <c r="N53" s="16">
        <f t="shared" si="5"/>
        <v>0</v>
      </c>
      <c r="O53" s="16">
        <f t="shared" si="9"/>
        <v>0</v>
      </c>
      <c r="P53" s="16">
        <f t="shared" si="7"/>
        <v>0</v>
      </c>
      <c r="R53" s="187">
        <f t="shared" si="8"/>
        <v>0</v>
      </c>
      <c r="S53" s="2"/>
      <c r="T53" s="16" t="s">
        <v>2237</v>
      </c>
      <c r="U53" s="16" t="s">
        <v>2238</v>
      </c>
      <c r="V53" s="16" t="s">
        <v>2239</v>
      </c>
      <c r="X53" s="2" t="s">
        <v>1978</v>
      </c>
      <c r="Y53" s="2" t="s">
        <v>1978</v>
      </c>
      <c r="Z53" s="21" t="s">
        <v>2808</v>
      </c>
      <c r="AA53" s="184"/>
      <c r="AB53" s="197" t="str">
        <f>I2</f>
        <v>請選擇第一選修科</v>
      </c>
      <c r="AC53" s="197" t="str">
        <f>J2</f>
        <v>請選擇第二選修科</v>
      </c>
      <c r="AD53" s="197" t="str">
        <f>K2</f>
        <v>請選擇第三選修科</v>
      </c>
      <c r="AE53" s="197" t="str">
        <f>L2</f>
        <v>請選擇第四選修科</v>
      </c>
      <c r="AF53" s="196"/>
      <c r="AG53" s="196"/>
      <c r="AH53" s="196" t="s">
        <v>2797</v>
      </c>
      <c r="AI53" s="196"/>
      <c r="AJ53" s="196"/>
      <c r="AK53" s="196"/>
      <c r="AL53" s="196"/>
      <c r="AM53" s="196"/>
      <c r="AN53" s="196"/>
      <c r="AO53" s="197"/>
      <c r="AP53" s="197"/>
      <c r="AQ53" s="197"/>
      <c r="AR53" s="197"/>
      <c r="AS53" s="197"/>
      <c r="AT53" s="197"/>
      <c r="AU53" s="197"/>
      <c r="AV53" s="197"/>
      <c r="AW53" s="197"/>
      <c r="AX53" s="183"/>
      <c r="AY53" s="183"/>
      <c r="AZ53" s="183"/>
      <c r="BA53" s="183"/>
    </row>
    <row r="54" spans="1:53" x14ac:dyDescent="0.3">
      <c r="A54" s="191" t="str">
        <f>'Reference Score Calculation'!A45</f>
        <v>JS1112</v>
      </c>
      <c r="B54" s="2" t="str">
        <f>'Reference Score Calculation'!D45</f>
        <v>社會科學學士(心理學)</v>
      </c>
      <c r="C54" s="355">
        <f>'Offer Statistics'!R185</f>
        <v>26</v>
      </c>
      <c r="D54" s="109">
        <v>3</v>
      </c>
      <c r="E54" s="109">
        <v>3</v>
      </c>
      <c r="F54" s="109">
        <v>2</v>
      </c>
      <c r="G54" s="109">
        <v>2</v>
      </c>
      <c r="H54" s="109">
        <v>3</v>
      </c>
      <c r="I54" s="109">
        <v>3</v>
      </c>
      <c r="K54" s="16">
        <f t="shared" si="2"/>
        <v>0</v>
      </c>
      <c r="L54" s="16">
        <f t="shared" si="3"/>
        <v>0</v>
      </c>
      <c r="M54" s="16">
        <f t="shared" si="4"/>
        <v>0</v>
      </c>
      <c r="N54" s="16">
        <f t="shared" si="5"/>
        <v>0</v>
      </c>
      <c r="O54" s="16">
        <f t="shared" si="9"/>
        <v>0</v>
      </c>
      <c r="P54" s="16">
        <f t="shared" si="7"/>
        <v>0</v>
      </c>
      <c r="R54" s="187">
        <f t="shared" si="8"/>
        <v>0</v>
      </c>
      <c r="S54" s="2"/>
      <c r="T54" s="16" t="s">
        <v>2237</v>
      </c>
      <c r="U54" s="16" t="s">
        <v>2238</v>
      </c>
      <c r="V54" s="16" t="s">
        <v>2239</v>
      </c>
      <c r="X54" s="2" t="s">
        <v>1978</v>
      </c>
      <c r="Y54" s="2" t="s">
        <v>1978</v>
      </c>
      <c r="Z54" s="21" t="s">
        <v>2808</v>
      </c>
      <c r="AA54" s="196" t="s">
        <v>1981</v>
      </c>
      <c r="AB54" s="198">
        <f>IF(OR(I2="化學",I2="組合科學(物理、化學)",I2="組合科學(物理、生物)",I2="設計與應用科技",I2="物理"),I3,0)</f>
        <v>0</v>
      </c>
      <c r="AC54" s="198">
        <f>IF(OR(J2="化學",J2="組合科學(物理、化學)",J2="組合科學(物理、生物)",J2="設計與應用科技",J2="物理"),J3,0)</f>
        <v>0</v>
      </c>
      <c r="AD54" s="198">
        <f>IF(OR(K2="化學",K2="組合科學(物理、化學)",K2="組合科學(物理、生物)",K2="設計與應用科技",K2="物理"),K3,0)</f>
        <v>0</v>
      </c>
      <c r="AE54" s="198">
        <f>IF(OR(L2="化學",L2="組合科學(物理、化學)",L2="組合科學(物理、生物)",L2="設計與應用科技",L2="物理"),L3,0)</f>
        <v>0</v>
      </c>
      <c r="AF54" s="196"/>
      <c r="AG54" s="196"/>
      <c r="AH54" s="195" t="str">
        <f>IF(AI54&gt;0,INDEX(AB53:AE53,MATCH(LARGE(AB54:AE54,1),AB54:AE54,0)),"無")</f>
        <v>無</v>
      </c>
      <c r="AI54" s="195">
        <f>LARGE((AB54:AE54),1)</f>
        <v>0</v>
      </c>
      <c r="AJ54" s="196"/>
      <c r="AK54" s="196"/>
      <c r="AL54" s="196"/>
      <c r="AM54" s="196"/>
      <c r="AN54" s="196"/>
      <c r="AO54" s="197"/>
      <c r="AP54" s="197"/>
      <c r="AQ54" s="197"/>
      <c r="AR54" s="197"/>
      <c r="AS54" s="197"/>
      <c r="AT54" s="197"/>
      <c r="AU54" s="197"/>
      <c r="AV54" s="197"/>
      <c r="AW54" s="197"/>
      <c r="AX54" s="183"/>
      <c r="AY54" s="183"/>
      <c r="AZ54" s="183"/>
      <c r="BA54" s="183"/>
    </row>
    <row r="55" spans="1:53" x14ac:dyDescent="0.3">
      <c r="A55" s="191" t="str">
        <f>'Reference Score Calculation'!A46</f>
        <v>JS1113</v>
      </c>
      <c r="B55" s="2" t="str">
        <f>'Reference Score Calculation'!D46</f>
        <v>社會科學學士(社會工作)</v>
      </c>
      <c r="C55" s="355">
        <f>'Offer Statistics'!R186</f>
        <v>27</v>
      </c>
      <c r="D55" s="109">
        <v>3</v>
      </c>
      <c r="E55" s="109">
        <v>3</v>
      </c>
      <c r="F55" s="109">
        <v>2</v>
      </c>
      <c r="G55" s="109">
        <v>2</v>
      </c>
      <c r="H55" s="109">
        <v>3</v>
      </c>
      <c r="I55" s="109">
        <v>3</v>
      </c>
      <c r="K55" s="16">
        <f t="shared" si="2"/>
        <v>0</v>
      </c>
      <c r="L55" s="16">
        <f t="shared" si="3"/>
        <v>0</v>
      </c>
      <c r="M55" s="16">
        <f t="shared" si="4"/>
        <v>0</v>
      </c>
      <c r="N55" s="16">
        <f t="shared" si="5"/>
        <v>0</v>
      </c>
      <c r="O55" s="16">
        <f t="shared" si="9"/>
        <v>0</v>
      </c>
      <c r="P55" s="16">
        <f t="shared" si="7"/>
        <v>0</v>
      </c>
      <c r="R55" s="187">
        <f t="shared" si="8"/>
        <v>0</v>
      </c>
      <c r="S55" s="2"/>
      <c r="T55" s="16" t="s">
        <v>2237</v>
      </c>
      <c r="U55" s="16" t="s">
        <v>2238</v>
      </c>
      <c r="V55" s="16" t="s">
        <v>2239</v>
      </c>
      <c r="X55" s="2" t="s">
        <v>1978</v>
      </c>
      <c r="Y55" s="2" t="s">
        <v>1978</v>
      </c>
      <c r="Z55" s="21" t="s">
        <v>2808</v>
      </c>
      <c r="AA55" s="184"/>
      <c r="AB55" s="197" t="str">
        <f>I2</f>
        <v>請選擇第一選修科</v>
      </c>
      <c r="AC55" s="197" t="str">
        <f>J2</f>
        <v>請選擇第二選修科</v>
      </c>
      <c r="AD55" s="197" t="str">
        <f>K2</f>
        <v>請選擇第三選修科</v>
      </c>
      <c r="AE55" s="197" t="str">
        <f>L2</f>
        <v>請選擇第四選修科</v>
      </c>
      <c r="AF55" s="196" t="s">
        <v>2245</v>
      </c>
      <c r="AG55" s="196"/>
      <c r="AH55" s="196" t="s">
        <v>2829</v>
      </c>
      <c r="AI55" s="196"/>
      <c r="AJ55" s="196"/>
      <c r="AK55" s="196"/>
      <c r="AL55" s="196"/>
      <c r="AM55" s="196"/>
      <c r="AN55" s="196"/>
      <c r="AO55" s="197"/>
      <c r="AP55" s="197"/>
      <c r="AQ55" s="197"/>
      <c r="AR55" s="197"/>
      <c r="AS55" s="197"/>
      <c r="AT55" s="197"/>
      <c r="AU55" s="197"/>
      <c r="AV55" s="197"/>
      <c r="AW55" s="197"/>
      <c r="AX55" s="183"/>
      <c r="AY55" s="183"/>
      <c r="AZ55" s="183"/>
      <c r="BA55" s="183"/>
    </row>
    <row r="56" spans="1:53" x14ac:dyDescent="0.3">
      <c r="A56" s="191" t="str">
        <f>'Reference Score Calculation'!A47</f>
        <v>JS1122</v>
      </c>
      <c r="B56" s="2" t="str">
        <f>'Reference Score Calculation'!D47</f>
        <v>社會科學學士(公共政策)與法律學學士</v>
      </c>
      <c r="C56" s="355">
        <f>'Offer Statistics'!R187</f>
        <v>10</v>
      </c>
      <c r="D56" s="109">
        <v>3</v>
      </c>
      <c r="E56" s="109">
        <v>5</v>
      </c>
      <c r="F56" s="109">
        <v>2</v>
      </c>
      <c r="G56" s="109">
        <v>2</v>
      </c>
      <c r="H56" s="109">
        <v>3</v>
      </c>
      <c r="I56" s="109">
        <v>3</v>
      </c>
      <c r="K56" s="187">
        <f t="shared" si="2"/>
        <v>0</v>
      </c>
      <c r="L56" s="187">
        <f t="shared" si="3"/>
        <v>0</v>
      </c>
      <c r="M56" s="187">
        <f t="shared" si="4"/>
        <v>0</v>
      </c>
      <c r="N56" s="187">
        <f t="shared" si="5"/>
        <v>0</v>
      </c>
      <c r="O56" s="187">
        <f t="shared" si="9"/>
        <v>0</v>
      </c>
      <c r="P56" s="187">
        <f t="shared" si="7"/>
        <v>0</v>
      </c>
      <c r="R56" s="187">
        <f t="shared" si="8"/>
        <v>0</v>
      </c>
      <c r="S56" s="2"/>
      <c r="T56" s="187" t="s">
        <v>2237</v>
      </c>
      <c r="U56" s="187" t="s">
        <v>2238</v>
      </c>
      <c r="V56" s="187" t="s">
        <v>2239</v>
      </c>
      <c r="W56" s="187"/>
      <c r="X56" s="2" t="s">
        <v>1978</v>
      </c>
      <c r="Y56" s="2" t="s">
        <v>1978</v>
      </c>
      <c r="Z56" s="21" t="s">
        <v>2808</v>
      </c>
      <c r="AA56" s="196" t="s">
        <v>2828</v>
      </c>
      <c r="AB56" s="198">
        <f>IF(OR(I2="企業、會計與財務概論",I2="化學",I2="物理"),I3,0)</f>
        <v>0</v>
      </c>
      <c r="AC56" s="198">
        <f>IF(OR(J2="企業、會計與財務概論",J2="化學",J2="物理"),J3,0)</f>
        <v>0</v>
      </c>
      <c r="AD56" s="198">
        <f>IF(OR(K2="企業、會計與財務概論",K2="化學",K2="物理"),K3,0)</f>
        <v>0</v>
      </c>
      <c r="AE56" s="198">
        <f>IF(OR(L2="企業、會計與財務概論",L2="化學",L2="物理"),L3,0)</f>
        <v>0</v>
      </c>
      <c r="AF56" s="198">
        <f>H3</f>
        <v>5.0000000000000003E-10</v>
      </c>
      <c r="AG56" s="196"/>
      <c r="AH56" s="195" t="str">
        <f>IF(AI56&gt;0,INDEX(AB55:AF55,MATCH(LARGE(AB56:AF56,1),AB56:AF56,0)),"無")</f>
        <v>M1/2</v>
      </c>
      <c r="AI56" s="195">
        <f>LARGE((AB56:AF56),1)</f>
        <v>5.0000000000000003E-10</v>
      </c>
      <c r="AJ56" s="196"/>
      <c r="AK56" s="196"/>
      <c r="AL56" s="196"/>
      <c r="AM56" s="196"/>
      <c r="AN56" s="196"/>
      <c r="AO56" s="197"/>
      <c r="AP56" s="197"/>
      <c r="AQ56" s="197"/>
      <c r="AR56" s="197"/>
      <c r="AS56" s="197"/>
      <c r="AT56" s="197"/>
      <c r="AU56" s="197"/>
      <c r="AV56" s="197"/>
      <c r="AW56" s="197"/>
      <c r="AX56" s="183"/>
      <c r="AY56" s="183"/>
      <c r="AZ56" s="183"/>
      <c r="BA56" s="183"/>
    </row>
    <row r="57" spans="1:53" x14ac:dyDescent="0.3">
      <c r="A57" s="191" t="str">
        <f>'Reference Score Calculation'!A48</f>
        <v>JS1123</v>
      </c>
      <c r="B57" s="2" t="str">
        <f>'Reference Score Calculation'!D48</f>
        <v>社會科學學士(犯罪學)與法律學學士</v>
      </c>
      <c r="C57" s="355">
        <f>'Offer Statistics'!R188</f>
        <v>10</v>
      </c>
      <c r="D57" s="109">
        <v>3</v>
      </c>
      <c r="E57" s="109">
        <v>5</v>
      </c>
      <c r="F57" s="109">
        <v>2</v>
      </c>
      <c r="G57" s="109">
        <v>2</v>
      </c>
      <c r="H57" s="109">
        <v>3</v>
      </c>
      <c r="I57" s="109">
        <v>3</v>
      </c>
      <c r="K57" s="187">
        <f t="shared" si="2"/>
        <v>0</v>
      </c>
      <c r="L57" s="187">
        <f t="shared" si="3"/>
        <v>0</v>
      </c>
      <c r="M57" s="187">
        <f t="shared" si="4"/>
        <v>0</v>
      </c>
      <c r="N57" s="187">
        <f t="shared" si="5"/>
        <v>0</v>
      </c>
      <c r="O57" s="187">
        <f t="shared" si="9"/>
        <v>0</v>
      </c>
      <c r="P57" s="187">
        <f t="shared" si="7"/>
        <v>0</v>
      </c>
      <c r="R57" s="187">
        <f t="shared" si="8"/>
        <v>0</v>
      </c>
      <c r="S57" s="2"/>
      <c r="T57" s="187" t="s">
        <v>2237</v>
      </c>
      <c r="U57" s="187" t="s">
        <v>2238</v>
      </c>
      <c r="V57" s="187" t="s">
        <v>2239</v>
      </c>
      <c r="W57" s="187"/>
      <c r="X57" s="2" t="s">
        <v>1978</v>
      </c>
      <c r="Y57" s="2" t="s">
        <v>1978</v>
      </c>
      <c r="Z57" s="21" t="s">
        <v>2808</v>
      </c>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row>
    <row r="58" spans="1:53" x14ac:dyDescent="0.3">
      <c r="A58" s="191" t="str">
        <f>'Reference Score Calculation'!A49</f>
        <v>JS1200</v>
      </c>
      <c r="B58" s="2" t="str">
        <f>'Reference Score Calculation'!D49</f>
        <v>環球精研與科創課程</v>
      </c>
      <c r="C58" s="355">
        <f>'Offer Statistics'!R189</f>
        <v>9</v>
      </c>
      <c r="D58" s="109">
        <v>3</v>
      </c>
      <c r="E58" s="109">
        <v>3</v>
      </c>
      <c r="F58" s="109">
        <v>2</v>
      </c>
      <c r="G58" s="109">
        <v>2</v>
      </c>
      <c r="H58" s="110">
        <v>3</v>
      </c>
      <c r="I58" s="110">
        <v>3</v>
      </c>
      <c r="K58" s="16">
        <f t="shared" si="2"/>
        <v>0</v>
      </c>
      <c r="L58" s="16">
        <f t="shared" si="3"/>
        <v>0</v>
      </c>
      <c r="M58" s="16">
        <f t="shared" si="4"/>
        <v>0</v>
      </c>
      <c r="N58" s="16">
        <f t="shared" si="5"/>
        <v>0</v>
      </c>
      <c r="O58" s="82">
        <f>IF(AI48=0,0,IF(H58&gt;AI48,0,1))</f>
        <v>0</v>
      </c>
      <c r="P58" s="82">
        <f>IF(AK48=0,0,IF(I58&gt;AK48,0,1))</f>
        <v>0</v>
      </c>
      <c r="R58" s="16">
        <f t="shared" si="8"/>
        <v>0</v>
      </c>
      <c r="S58" s="2"/>
      <c r="T58" s="16" t="s">
        <v>2237</v>
      </c>
      <c r="U58" s="16" t="s">
        <v>2239</v>
      </c>
      <c r="V58" s="16" t="s">
        <v>2239</v>
      </c>
      <c r="X58" s="21" t="s">
        <v>2811</v>
      </c>
      <c r="Y58" s="2" t="s">
        <v>1978</v>
      </c>
      <c r="Z58" s="21" t="s">
        <v>2808</v>
      </c>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row>
    <row r="59" spans="1:53" x14ac:dyDescent="0.3">
      <c r="A59" s="191" t="str">
        <f>'Reference Score Calculation'!A50</f>
        <v>JS1201</v>
      </c>
      <c r="B59" s="2" t="str">
        <f>'Reference Score Calculation'!D50</f>
        <v>建築學及土木工程學系 [選項: 工學士(建築工程)、工學士(土木工程)、理學士(測量學)]</v>
      </c>
      <c r="C59" s="355">
        <f>'Offer Statistics'!R190</f>
        <v>97</v>
      </c>
      <c r="D59" s="109">
        <v>3</v>
      </c>
      <c r="E59" s="109">
        <v>3</v>
      </c>
      <c r="F59" s="109">
        <v>3</v>
      </c>
      <c r="G59" s="109">
        <v>2</v>
      </c>
      <c r="H59" s="109">
        <v>3</v>
      </c>
      <c r="I59" s="109">
        <v>3</v>
      </c>
      <c r="K59" s="16">
        <f t="shared" si="2"/>
        <v>0</v>
      </c>
      <c r="L59" s="16">
        <f t="shared" si="3"/>
        <v>0</v>
      </c>
      <c r="M59" s="16">
        <f t="shared" si="4"/>
        <v>0</v>
      </c>
      <c r="N59" s="16">
        <f t="shared" si="5"/>
        <v>0</v>
      </c>
      <c r="O59" s="82">
        <f>IF(AI26=0,0,IF(H59&gt;AI26,0,1))</f>
        <v>0</v>
      </c>
      <c r="P59" s="16">
        <f>IF(I59&gt;LARGE(H$3:L$3,2),0,1)</f>
        <v>0</v>
      </c>
      <c r="R59" s="16">
        <f t="shared" si="8"/>
        <v>0</v>
      </c>
      <c r="S59" s="2"/>
      <c r="T59" s="16" t="s">
        <v>2237</v>
      </c>
      <c r="U59" s="16" t="s">
        <v>2239</v>
      </c>
      <c r="V59" s="16" t="s">
        <v>2239</v>
      </c>
      <c r="X59" s="21" t="s">
        <v>2812</v>
      </c>
      <c r="Y59" s="2" t="s">
        <v>1978</v>
      </c>
      <c r="Z59" s="21" t="s">
        <v>2808</v>
      </c>
      <c r="AA59" s="203" t="s">
        <v>2838</v>
      </c>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row>
    <row r="60" spans="1:53" x14ac:dyDescent="0.3">
      <c r="A60" s="191" t="str">
        <f>'Reference Score Calculation'!A51</f>
        <v>JS1202</v>
      </c>
      <c r="B60" s="2" t="str">
        <f>'Reference Score Calculation'!D51</f>
        <v>理學士(化學)</v>
      </c>
      <c r="C60" s="355">
        <f>'Offer Statistics'!R191</f>
        <v>46</v>
      </c>
      <c r="D60" s="109">
        <v>3</v>
      </c>
      <c r="E60" s="109">
        <v>3</v>
      </c>
      <c r="F60" s="109">
        <v>2</v>
      </c>
      <c r="G60" s="109">
        <v>2</v>
      </c>
      <c r="H60" s="109">
        <v>3</v>
      </c>
      <c r="I60" s="109">
        <v>3</v>
      </c>
      <c r="K60" s="16">
        <f t="shared" ref="K60:K75" si="10">IF(D60&gt;D$3,0,1)</f>
        <v>0</v>
      </c>
      <c r="L60" s="16">
        <f t="shared" ref="L60:L75" si="11">IF(E60&gt;E$3,0,1)</f>
        <v>0</v>
      </c>
      <c r="M60" s="187">
        <f>IF(F3&gt;3,1,IF(AND(AS50&gt;3,F3&gt;2),1,IF(F3&gt;2,2,0)))</f>
        <v>0</v>
      </c>
      <c r="N60" s="16">
        <f t="shared" ref="N60:N75" si="12">IF(G60&gt;G$3,0,1)</f>
        <v>0</v>
      </c>
      <c r="O60" s="82">
        <f>IF(AI50=0,0,IF(H60&gt;AI50,0,1))</f>
        <v>0</v>
      </c>
      <c r="P60" s="82">
        <f>IF(AK50,IF(I60&gt;LARGE(I$3:M$3,2),0,1),IF(AS50=0,0,IF(I60&gt;AS50,0,1)))</f>
        <v>0</v>
      </c>
      <c r="R60" s="16">
        <f t="shared" si="8"/>
        <v>0</v>
      </c>
      <c r="S60" s="2"/>
      <c r="T60" s="16" t="s">
        <v>2237</v>
      </c>
      <c r="U60" s="16" t="s">
        <v>2238</v>
      </c>
      <c r="V60" s="16" t="s">
        <v>2239</v>
      </c>
      <c r="X60" s="21" t="s">
        <v>2810</v>
      </c>
      <c r="Y60" s="21" t="s">
        <v>2823</v>
      </c>
      <c r="Z60" s="21" t="s">
        <v>2808</v>
      </c>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row>
    <row r="61" spans="1:53" x14ac:dyDescent="0.3">
      <c r="A61" s="191" t="str">
        <f>'Reference Score Calculation'!A52</f>
        <v>JS1204</v>
      </c>
      <c r="B61" s="2" t="str">
        <f>'Reference Score Calculation'!D52</f>
        <v>理學士(電腦科學)</v>
      </c>
      <c r="C61" s="355">
        <f>'Offer Statistics'!R192</f>
        <v>97</v>
      </c>
      <c r="D61" s="109">
        <v>3</v>
      </c>
      <c r="E61" s="109">
        <v>3</v>
      </c>
      <c r="F61" s="109">
        <v>3</v>
      </c>
      <c r="G61" s="109">
        <v>2</v>
      </c>
      <c r="H61" s="109">
        <v>3</v>
      </c>
      <c r="I61" s="109">
        <v>3</v>
      </c>
      <c r="K61" s="16">
        <f t="shared" si="10"/>
        <v>0</v>
      </c>
      <c r="L61" s="16">
        <f t="shared" si="11"/>
        <v>0</v>
      </c>
      <c r="M61" s="16">
        <f t="shared" ref="M61:M75" si="13">IF(F61&gt;F$3,0,1)</f>
        <v>0</v>
      </c>
      <c r="N61" s="16">
        <f t="shared" si="12"/>
        <v>0</v>
      </c>
      <c r="O61" s="82">
        <f>IF(AI28=0,0,IF(H61&gt;AI28,0,1))</f>
        <v>0</v>
      </c>
      <c r="P61" s="16">
        <f t="shared" ref="P61:P68" si="14">IF(I61&gt;LARGE(H$3:M$3,2),0,1)</f>
        <v>0</v>
      </c>
      <c r="R61" s="16">
        <f t="shared" si="8"/>
        <v>0</v>
      </c>
      <c r="S61" s="2"/>
      <c r="T61" s="16" t="s">
        <v>2237</v>
      </c>
      <c r="U61" s="16" t="s">
        <v>2238</v>
      </c>
      <c r="V61" s="16" t="s">
        <v>2239</v>
      </c>
      <c r="X61" s="21" t="s">
        <v>2813</v>
      </c>
      <c r="Y61" s="2" t="s">
        <v>1978</v>
      </c>
      <c r="Z61" s="21" t="s">
        <v>2808</v>
      </c>
      <c r="AA61" s="184"/>
      <c r="AB61" s="184" t="str">
        <f>I2</f>
        <v>請選擇第一選修科</v>
      </c>
      <c r="AC61" s="184" t="str">
        <f>J2</f>
        <v>請選擇第二選修科</v>
      </c>
      <c r="AD61" s="184" t="str">
        <f>K2</f>
        <v>請選擇第三選修科</v>
      </c>
      <c r="AE61" s="184" t="str">
        <f>L2</f>
        <v>請選擇第四選修科</v>
      </c>
      <c r="AF61" s="184"/>
      <c r="AG61" s="184"/>
      <c r="AH61" s="184" t="s">
        <v>2831</v>
      </c>
      <c r="AI61" s="184"/>
      <c r="AJ61" s="184"/>
      <c r="AK61" s="184"/>
      <c r="AL61" s="196"/>
      <c r="AM61" s="196"/>
      <c r="AN61" s="196"/>
      <c r="AO61" s="197"/>
      <c r="AP61" s="197"/>
      <c r="AQ61" s="197"/>
      <c r="AR61" s="197"/>
      <c r="AS61" s="197"/>
      <c r="AT61" s="197"/>
      <c r="AU61" s="197"/>
      <c r="AV61" s="197"/>
      <c r="AW61" s="197"/>
      <c r="AX61" s="183"/>
      <c r="AY61" s="183"/>
      <c r="AZ61" s="183"/>
      <c r="BA61" s="183"/>
    </row>
    <row r="62" spans="1:53" x14ac:dyDescent="0.3">
      <c r="A62" s="191" t="str">
        <f>'Reference Score Calculation'!A53</f>
        <v>JS1205</v>
      </c>
      <c r="B62" s="2" t="str">
        <f>'Reference Score Calculation'!D53</f>
        <v>電機工程學系 [選項: 工學士(電子計算機及數據工程學)、工學士(電子及電機工程學)、工學士(資訊工程學)]</v>
      </c>
      <c r="C62" s="355">
        <f>'Offer Statistics'!R193</f>
        <v>174</v>
      </c>
      <c r="D62" s="109">
        <v>3</v>
      </c>
      <c r="E62" s="109">
        <v>3</v>
      </c>
      <c r="F62" s="109">
        <v>3</v>
      </c>
      <c r="G62" s="109">
        <v>2</v>
      </c>
      <c r="H62" s="109">
        <v>3</v>
      </c>
      <c r="I62" s="109">
        <v>3</v>
      </c>
      <c r="K62" s="16">
        <f t="shared" si="10"/>
        <v>0</v>
      </c>
      <c r="L62" s="16">
        <f t="shared" si="11"/>
        <v>0</v>
      </c>
      <c r="M62" s="16">
        <f t="shared" si="13"/>
        <v>0</v>
      </c>
      <c r="N62" s="16">
        <f t="shared" si="12"/>
        <v>0</v>
      </c>
      <c r="O62" s="82">
        <f>IF(AI30=0,0,IF(H62&gt;AI30,0,1))</f>
        <v>0</v>
      </c>
      <c r="P62" s="16">
        <f t="shared" si="14"/>
        <v>0</v>
      </c>
      <c r="R62" s="16">
        <f t="shared" si="8"/>
        <v>0</v>
      </c>
      <c r="S62" s="2"/>
      <c r="T62" s="16" t="s">
        <v>2237</v>
      </c>
      <c r="U62" s="16" t="s">
        <v>2238</v>
      </c>
      <c r="V62" s="16" t="s">
        <v>2239</v>
      </c>
      <c r="X62" s="21" t="s">
        <v>2814</v>
      </c>
      <c r="Y62" s="2" t="s">
        <v>1978</v>
      </c>
      <c r="Z62" s="21" t="s">
        <v>2808</v>
      </c>
      <c r="AA62" s="184" t="s">
        <v>2830</v>
      </c>
      <c r="AB62" s="185">
        <f>IF(OR(I2="化學",I2="生物"),I3,0)</f>
        <v>0</v>
      </c>
      <c r="AC62" s="185">
        <f>IF(OR(J2="化學",J2="生物"),J3,0)</f>
        <v>0</v>
      </c>
      <c r="AD62" s="185">
        <f>IF(OR(K2="化學",K2="生物"),K3,0)</f>
        <v>0</v>
      </c>
      <c r="AE62" s="185">
        <f>IF(OR(L2="化學",L2="生物"),L3,0)</f>
        <v>0</v>
      </c>
      <c r="AF62" s="184"/>
      <c r="AG62" s="184"/>
      <c r="AH62" s="185" t="str">
        <f>IF(AI62&gt;0,INDEX(AB61:AE61,MATCH(LARGE(AB62:AE62,1),AB62:AE62,0)),"無")</f>
        <v>無</v>
      </c>
      <c r="AI62" s="185">
        <f>LARGE((AB62:AE62),1)</f>
        <v>0</v>
      </c>
      <c r="AJ62" s="185" t="str">
        <f>IF(AK62&gt;0,INDEX(AB61:AE61,MATCH(LARGE(AB62:AE62,2),AB62:AE62,0)),"無")</f>
        <v>無</v>
      </c>
      <c r="AK62" s="185">
        <f>LARGE((AB62:AE62),2)</f>
        <v>0</v>
      </c>
      <c r="AL62" s="196"/>
      <c r="AM62" s="196"/>
      <c r="AN62" s="196"/>
      <c r="AO62" s="197"/>
      <c r="AP62" s="197"/>
      <c r="AQ62" s="197"/>
      <c r="AR62" s="197"/>
      <c r="AS62" s="197"/>
      <c r="AT62" s="197"/>
      <c r="AU62" s="197"/>
      <c r="AV62" s="197"/>
      <c r="AW62" s="197"/>
      <c r="AX62" s="183"/>
      <c r="AY62" s="183"/>
      <c r="AZ62" s="183"/>
      <c r="BA62" s="183"/>
    </row>
    <row r="63" spans="1:53" x14ac:dyDescent="0.3">
      <c r="A63" s="191" t="str">
        <f>'Reference Score Calculation'!A54</f>
        <v>JS1206</v>
      </c>
      <c r="B63" s="2" t="str">
        <f>'Reference Score Calculation'!D54</f>
        <v>理學士(計算數學)</v>
      </c>
      <c r="C63" s="355">
        <f>'Offer Statistics'!R194</f>
        <v>31</v>
      </c>
      <c r="D63" s="109">
        <v>3</v>
      </c>
      <c r="E63" s="109">
        <v>3</v>
      </c>
      <c r="F63" s="109">
        <v>3</v>
      </c>
      <c r="G63" s="109">
        <v>2</v>
      </c>
      <c r="H63" s="109">
        <v>3</v>
      </c>
      <c r="I63" s="109">
        <v>3</v>
      </c>
      <c r="K63" s="16">
        <f t="shared" si="10"/>
        <v>0</v>
      </c>
      <c r="L63" s="16">
        <f t="shared" si="11"/>
        <v>0</v>
      </c>
      <c r="M63" s="16">
        <f t="shared" si="13"/>
        <v>0</v>
      </c>
      <c r="N63" s="16">
        <f t="shared" si="12"/>
        <v>0</v>
      </c>
      <c r="O63" s="82">
        <f>IF(AI52=0,0,IF(H63&gt;AI52,0,1))</f>
        <v>0</v>
      </c>
      <c r="P63" s="16">
        <f t="shared" si="14"/>
        <v>0</v>
      </c>
      <c r="R63" s="16">
        <f t="shared" si="8"/>
        <v>0</v>
      </c>
      <c r="S63" s="2"/>
      <c r="T63" s="16" t="s">
        <v>2237</v>
      </c>
      <c r="U63" s="16" t="s">
        <v>2238</v>
      </c>
      <c r="V63" s="16" t="s">
        <v>2239</v>
      </c>
      <c r="X63" s="21" t="s">
        <v>2826</v>
      </c>
      <c r="Y63" s="2" t="s">
        <v>1978</v>
      </c>
      <c r="Z63" s="21" t="s">
        <v>2808</v>
      </c>
      <c r="AA63" s="184"/>
      <c r="AB63" s="197" t="str">
        <f>I2</f>
        <v>請選擇第一選修科</v>
      </c>
      <c r="AC63" s="197" t="str">
        <f>J2</f>
        <v>請選擇第二選修科</v>
      </c>
      <c r="AD63" s="197" t="str">
        <f>K2</f>
        <v>請選擇第三選修科</v>
      </c>
      <c r="AE63" s="197" t="str">
        <f>L2</f>
        <v>請選擇第四選修科</v>
      </c>
      <c r="AF63" s="196"/>
      <c r="AG63" s="196"/>
      <c r="AH63" s="184" t="s">
        <v>2835</v>
      </c>
      <c r="AI63" s="184"/>
      <c r="AJ63" s="196"/>
      <c r="AK63" s="196" t="str">
        <f>IF(I2=$AH$64,"",I2)</f>
        <v>請選擇第一選修科</v>
      </c>
      <c r="AL63" s="196" t="str">
        <f>IF(J2=$AH$64,"",J2)</f>
        <v>請選擇第二選修科</v>
      </c>
      <c r="AM63" s="196" t="str">
        <f>IF(K2=$AH$64,"",K2)</f>
        <v>請選擇第三選修科</v>
      </c>
      <c r="AN63" s="196" t="str">
        <f>IF(L2=$AH$64,"",L2)</f>
        <v>請選擇第四選修科</v>
      </c>
      <c r="AO63" s="184" t="s">
        <v>2245</v>
      </c>
      <c r="AP63" s="197"/>
      <c r="AQ63" s="196" t="s">
        <v>2825</v>
      </c>
      <c r="AR63" s="197"/>
      <c r="AS63" s="197"/>
      <c r="AT63" s="197"/>
      <c r="AU63" s="197"/>
      <c r="AV63" s="197"/>
      <c r="AW63" s="197"/>
      <c r="AX63" s="183"/>
      <c r="AY63" s="183"/>
      <c r="AZ63" s="183"/>
      <c r="BA63" s="183"/>
    </row>
    <row r="64" spans="1:53" x14ac:dyDescent="0.3">
      <c r="A64" s="191" t="str">
        <f>'Reference Score Calculation'!A55</f>
        <v>JS1207</v>
      </c>
      <c r="B64" s="2" t="str">
        <f>'Reference Score Calculation'!D55</f>
        <v>機械工程學系 [選項: 工學士(機械工程)、工學士(核子及風險工程)]</v>
      </c>
      <c r="C64" s="355">
        <f>'Offer Statistics'!R195</f>
        <v>106</v>
      </c>
      <c r="D64" s="109">
        <v>3</v>
      </c>
      <c r="E64" s="109">
        <v>3</v>
      </c>
      <c r="F64" s="109">
        <v>2</v>
      </c>
      <c r="G64" s="109">
        <v>2</v>
      </c>
      <c r="H64" s="109">
        <v>3</v>
      </c>
      <c r="I64" s="109">
        <v>3</v>
      </c>
      <c r="K64" s="16">
        <f t="shared" si="10"/>
        <v>0</v>
      </c>
      <c r="L64" s="16">
        <f t="shared" si="11"/>
        <v>0</v>
      </c>
      <c r="M64" s="16">
        <f t="shared" si="13"/>
        <v>0</v>
      </c>
      <c r="N64" s="16">
        <f t="shared" si="12"/>
        <v>0</v>
      </c>
      <c r="O64" s="82">
        <f>IF(AI32=0,0,IF(H64&gt;AI32,0,1))</f>
        <v>0</v>
      </c>
      <c r="P64" s="16">
        <f t="shared" si="14"/>
        <v>0</v>
      </c>
      <c r="R64" s="16">
        <f t="shared" si="8"/>
        <v>0</v>
      </c>
      <c r="S64" s="2"/>
      <c r="T64" s="16" t="s">
        <v>2237</v>
      </c>
      <c r="U64" s="16" t="s">
        <v>2238</v>
      </c>
      <c r="V64" s="16" t="s">
        <v>2239</v>
      </c>
      <c r="X64" s="21" t="s">
        <v>2815</v>
      </c>
      <c r="Y64" s="2" t="s">
        <v>1978</v>
      </c>
      <c r="Z64" s="21" t="s">
        <v>2808</v>
      </c>
      <c r="AA64" s="196" t="s">
        <v>2834</v>
      </c>
      <c r="AB64" s="198">
        <f>IF(OR(I2="生物",I2="化學",I2="組合科學(物理、化學)",I2="組合科學(生物、化學)",I2="組合科學(物理、生物)"),I3,0)</f>
        <v>0</v>
      </c>
      <c r="AC64" s="198">
        <f>IF(OR(J2="生物",J2="化學",J2="組合科學(物理、化學)",J2="組合科學(生物、化學)",J2="組合科學(物理、生物)"),J3,0)</f>
        <v>0</v>
      </c>
      <c r="AD64" s="198">
        <f>IF(OR(K2="生物",K2="化學",K2="組合科學(物理、化學)",K2="組合科學(生物、化學)",K2="組合科學(物理、生物)"),K3,0)</f>
        <v>0</v>
      </c>
      <c r="AE64" s="198">
        <f>IF(OR(L2="生物",L2="化學",L2="組合科學(物理、化學)",L2="組合科學(生物、化學)",L2="組合科學(物理、生物)"),L3,0)</f>
        <v>0</v>
      </c>
      <c r="AF64" s="196"/>
      <c r="AG64" s="196"/>
      <c r="AH64" s="185" t="str">
        <f>IF(AI64&gt;0,INDEX(AB63:AE63,MATCH(LARGE(AB64:AE64,1),AB64:AE64,0)),"無")</f>
        <v>無</v>
      </c>
      <c r="AI64" s="185">
        <f>LARGE((AB64:AE64),1)</f>
        <v>0</v>
      </c>
      <c r="AJ64" s="196"/>
      <c r="AK64" s="195">
        <f>IF(AK63="",0,IF(OR(I2="生物",I2="企業、會計與財務概論",I2="化學",I2="設計與應用科技",I2="資訊及通訊科技",I2="物理",I2="組合科學(物理、化學)",I2="組合科學(生物、化學)",I2="組合科學(物理、生物)",I2="綜合科學"),I3,0))</f>
        <v>0</v>
      </c>
      <c r="AL64" s="195">
        <f>IF(AL63="",0,IF(OR(J2="生物",J2="企業、會計與財務概論",J2="化學",J2="設計與應用科技",J2="資訊及通訊科技",J2="物理",J2="組合科學(物理、化學)",J2="組合科學(生物、化學)",J2="組合科學(物理、生物)",J2="綜合科學"),J3,0))</f>
        <v>0</v>
      </c>
      <c r="AM64" s="195">
        <f>IF(AM63="",0,IF(OR(K2="生物",K2="企業、會計與財務概論",K2="化學",K2="設計與應用科技",K2="資訊及通訊科技",K2="物理",K2="組合科學(物理、化學)",K2="組合科學(生物、化學)",K2="組合科學(物理、生物)",K2="綜合科學"),K3,0))</f>
        <v>0</v>
      </c>
      <c r="AN64" s="195">
        <f>IF(AN63="",0,IF(OR(L2="生物",L2="企業、會計與財務概論",L2="化學",L2="設計與應用科技",L2="資訊及通訊科技",L2="物理",L2="組合科學(物理、化學)",L2="組合科學(生物、化學)",L2="組合科學(物理、生物)",L2="綜合科學"),L3,0))</f>
        <v>0</v>
      </c>
      <c r="AO64" s="195">
        <f>H3</f>
        <v>5.0000000000000003E-10</v>
      </c>
      <c r="AP64" s="197"/>
      <c r="AQ64" s="199" t="str">
        <f>IF(AR64&gt;0,INDEX(AK63:AO63,MATCH(LARGE(AK64:AO64,1),AK64:AO64,0)),"無")</f>
        <v>無</v>
      </c>
      <c r="AR64" s="199">
        <f>LARGE((AK64:AN64),1)</f>
        <v>0</v>
      </c>
      <c r="AS64" s="197"/>
      <c r="AT64" s="197"/>
      <c r="AU64" s="197"/>
      <c r="AV64" s="197"/>
      <c r="AW64" s="197"/>
      <c r="AX64" s="183"/>
      <c r="AY64" s="183"/>
      <c r="AZ64" s="183"/>
      <c r="BA64" s="183"/>
    </row>
    <row r="65" spans="1:53" x14ac:dyDescent="0.3">
      <c r="A65" s="191" t="str">
        <f>'Reference Score Calculation'!A56</f>
        <v>JS1208</v>
      </c>
      <c r="B65" s="2" t="str">
        <f>'Reference Score Calculation'!D56</f>
        <v>理學士(物理學)</v>
      </c>
      <c r="C65" s="355">
        <f>'Offer Statistics'!R196</f>
        <v>22</v>
      </c>
      <c r="D65" s="109">
        <v>3</v>
      </c>
      <c r="E65" s="109">
        <v>3</v>
      </c>
      <c r="F65" s="109">
        <v>2</v>
      </c>
      <c r="G65" s="109">
        <v>2</v>
      </c>
      <c r="H65" s="109">
        <v>3</v>
      </c>
      <c r="I65" s="109">
        <v>3</v>
      </c>
      <c r="K65" s="16">
        <f t="shared" si="10"/>
        <v>0</v>
      </c>
      <c r="L65" s="16">
        <f t="shared" si="11"/>
        <v>0</v>
      </c>
      <c r="M65" s="16">
        <f t="shared" si="13"/>
        <v>0</v>
      </c>
      <c r="N65" s="16">
        <f t="shared" si="12"/>
        <v>0</v>
      </c>
      <c r="O65" s="82">
        <f>IF(AI54=0,0,IF(H65&gt;AI54,0,1))</f>
        <v>0</v>
      </c>
      <c r="P65" s="16">
        <f t="shared" si="14"/>
        <v>0</v>
      </c>
      <c r="R65" s="16">
        <f t="shared" si="8"/>
        <v>0</v>
      </c>
      <c r="T65" s="16" t="s">
        <v>2237</v>
      </c>
      <c r="U65" s="16" t="s">
        <v>2238</v>
      </c>
      <c r="V65" s="16" t="s">
        <v>2239</v>
      </c>
      <c r="X65" s="21" t="s">
        <v>2816</v>
      </c>
      <c r="Y65" s="2" t="s">
        <v>1978</v>
      </c>
      <c r="Z65" s="21" t="s">
        <v>2808</v>
      </c>
      <c r="AA65" s="184"/>
      <c r="AB65" s="196"/>
      <c r="AC65" s="196"/>
      <c r="AD65" s="196"/>
      <c r="AE65" s="196"/>
      <c r="AF65" s="196"/>
      <c r="AG65" s="196"/>
      <c r="AH65" s="196"/>
      <c r="AI65" s="196"/>
      <c r="AJ65" s="196"/>
      <c r="AK65" s="196"/>
      <c r="AL65" s="196"/>
      <c r="AM65" s="196"/>
      <c r="AN65" s="196"/>
      <c r="AO65" s="197"/>
      <c r="AP65" s="197"/>
      <c r="AQ65" s="197"/>
      <c r="AR65" s="197"/>
      <c r="AS65" s="197"/>
      <c r="AT65" s="197"/>
      <c r="AU65" s="197"/>
      <c r="AV65" s="197"/>
      <c r="AW65" s="197"/>
      <c r="AX65" s="183"/>
      <c r="AY65" s="183"/>
      <c r="AZ65" s="183"/>
      <c r="BA65" s="183"/>
    </row>
    <row r="66" spans="1:53" x14ac:dyDescent="0.3">
      <c r="A66" s="191" t="str">
        <f>'Reference Score Calculation'!A57</f>
        <v>JS1210</v>
      </c>
      <c r="B66" s="2" t="str">
        <f>'Reference Score Calculation'!D57</f>
        <v>工學士(材料科學及工程)</v>
      </c>
      <c r="C66" s="355">
        <f>'Offer Statistics'!R197</f>
        <v>29</v>
      </c>
      <c r="D66" s="109">
        <v>3</v>
      </c>
      <c r="E66" s="109">
        <v>3</v>
      </c>
      <c r="F66" s="109">
        <v>2</v>
      </c>
      <c r="G66" s="109">
        <v>2</v>
      </c>
      <c r="H66" s="109">
        <v>3</v>
      </c>
      <c r="I66" s="109">
        <v>3</v>
      </c>
      <c r="K66" s="16">
        <f t="shared" si="10"/>
        <v>0</v>
      </c>
      <c r="L66" s="16">
        <f t="shared" si="11"/>
        <v>0</v>
      </c>
      <c r="M66" s="16">
        <f t="shared" si="13"/>
        <v>0</v>
      </c>
      <c r="N66" s="16">
        <f t="shared" si="12"/>
        <v>0</v>
      </c>
      <c r="O66" s="82">
        <f>IF(AI34=0,0,IF(H66&gt;AI34,0,1))</f>
        <v>0</v>
      </c>
      <c r="P66" s="16">
        <f t="shared" si="14"/>
        <v>0</v>
      </c>
      <c r="R66" s="16">
        <f t="shared" si="8"/>
        <v>0</v>
      </c>
      <c r="T66" s="16" t="s">
        <v>2237</v>
      </c>
      <c r="U66" s="16" t="s">
        <v>2238</v>
      </c>
      <c r="V66" s="16" t="s">
        <v>2239</v>
      </c>
      <c r="X66" s="21" t="s">
        <v>2816</v>
      </c>
      <c r="Y66" s="2" t="s">
        <v>1978</v>
      </c>
      <c r="Z66" s="21" t="s">
        <v>2808</v>
      </c>
      <c r="AA66" s="196"/>
      <c r="AB66" s="196"/>
      <c r="AC66" s="196"/>
      <c r="AD66" s="196"/>
      <c r="AE66" s="196"/>
      <c r="AF66" s="196"/>
      <c r="AG66" s="196"/>
      <c r="AH66" s="196"/>
      <c r="AI66" s="196"/>
      <c r="AJ66" s="196"/>
      <c r="AK66" s="196"/>
      <c r="AL66" s="196"/>
      <c r="AM66" s="196"/>
      <c r="AN66" s="196"/>
      <c r="AO66" s="197"/>
      <c r="AP66" s="197"/>
      <c r="AQ66" s="197"/>
      <c r="AR66" s="197"/>
      <c r="AS66" s="197"/>
      <c r="AT66" s="197"/>
      <c r="AU66" s="197"/>
      <c r="AV66" s="197"/>
      <c r="AW66" s="197"/>
      <c r="AX66" s="183"/>
      <c r="AY66" s="183"/>
      <c r="AZ66" s="183"/>
      <c r="BA66" s="183"/>
    </row>
    <row r="67" spans="1:53" x14ac:dyDescent="0.3">
      <c r="A67" s="191" t="str">
        <f>'Reference Score Calculation'!A58</f>
        <v>JS1211</v>
      </c>
      <c r="B67" s="2" t="str">
        <f>'Reference Score Calculation'!D58</f>
        <v>工學士(生物醫學工程)</v>
      </c>
      <c r="C67" s="355">
        <f>'Offer Statistics'!R198</f>
        <v>43</v>
      </c>
      <c r="D67" s="109">
        <v>3</v>
      </c>
      <c r="E67" s="109">
        <v>3</v>
      </c>
      <c r="F67" s="109">
        <v>2</v>
      </c>
      <c r="G67" s="109">
        <v>2</v>
      </c>
      <c r="H67" s="109">
        <v>3</v>
      </c>
      <c r="I67" s="109">
        <v>3</v>
      </c>
      <c r="K67" s="16">
        <f t="shared" si="10"/>
        <v>0</v>
      </c>
      <c r="L67" s="16">
        <f t="shared" si="11"/>
        <v>0</v>
      </c>
      <c r="M67" s="16">
        <f t="shared" si="13"/>
        <v>0</v>
      </c>
      <c r="N67" s="16">
        <f t="shared" si="12"/>
        <v>0</v>
      </c>
      <c r="O67" s="82">
        <f>IF(AI36=0,0,IF(H67&gt;AI36,0,1))</f>
        <v>0</v>
      </c>
      <c r="P67" s="16">
        <f t="shared" si="14"/>
        <v>0</v>
      </c>
      <c r="R67" s="16">
        <f t="shared" si="8"/>
        <v>0</v>
      </c>
      <c r="T67" s="16" t="s">
        <v>2237</v>
      </c>
      <c r="U67" s="16" t="s">
        <v>2238</v>
      </c>
      <c r="V67" s="16" t="s">
        <v>2239</v>
      </c>
      <c r="X67" s="21" t="s">
        <v>2817</v>
      </c>
      <c r="Y67" s="2" t="s">
        <v>1978</v>
      </c>
      <c r="Z67" s="21" t="s">
        <v>2808</v>
      </c>
      <c r="AA67" s="202" t="s">
        <v>2839</v>
      </c>
      <c r="AB67" s="196"/>
      <c r="AC67" s="196"/>
      <c r="AD67" s="196"/>
      <c r="AE67" s="196"/>
      <c r="AF67" s="196"/>
      <c r="AG67" s="196"/>
      <c r="AH67" s="196"/>
      <c r="AI67" s="196"/>
      <c r="AJ67" s="196"/>
      <c r="AK67" s="196"/>
      <c r="AL67" s="196"/>
      <c r="AM67" s="196"/>
      <c r="AN67" s="196"/>
      <c r="AO67" s="197"/>
      <c r="AP67" s="197"/>
      <c r="AQ67" s="197"/>
      <c r="AR67" s="197"/>
      <c r="AS67" s="197"/>
      <c r="AT67" s="197"/>
      <c r="AU67" s="197"/>
      <c r="AV67" s="197"/>
      <c r="AW67" s="197"/>
      <c r="AX67" s="183"/>
      <c r="AY67" s="183"/>
      <c r="AZ67" s="183"/>
      <c r="BA67" s="183"/>
    </row>
    <row r="68" spans="1:53" x14ac:dyDescent="0.3">
      <c r="A68" s="191" t="str">
        <f>'Reference Score Calculation'!A59</f>
        <v>JS1216</v>
      </c>
      <c r="B68" s="2" t="str">
        <f>'Reference Score Calculation'!D59</f>
        <v>工學士(智能製造工程學)</v>
      </c>
      <c r="C68" s="355">
        <f>'Offer Statistics'!R199</f>
        <v>24</v>
      </c>
      <c r="D68" s="109">
        <v>3</v>
      </c>
      <c r="E68" s="109">
        <v>3</v>
      </c>
      <c r="F68" s="109">
        <v>2</v>
      </c>
      <c r="G68" s="109">
        <v>2</v>
      </c>
      <c r="H68" s="109">
        <v>3</v>
      </c>
      <c r="I68" s="109">
        <v>3</v>
      </c>
      <c r="K68" s="16">
        <f t="shared" si="10"/>
        <v>0</v>
      </c>
      <c r="L68" s="16">
        <f t="shared" si="11"/>
        <v>0</v>
      </c>
      <c r="M68" s="16">
        <f t="shared" si="13"/>
        <v>0</v>
      </c>
      <c r="N68" s="16">
        <f t="shared" si="12"/>
        <v>0</v>
      </c>
      <c r="O68" s="82">
        <f>IF(AI38=0,0,IF(H68&gt;AI38,0,1))</f>
        <v>0</v>
      </c>
      <c r="P68" s="16">
        <f t="shared" si="14"/>
        <v>0</v>
      </c>
      <c r="R68" s="16">
        <f t="shared" si="8"/>
        <v>0</v>
      </c>
      <c r="T68" s="16" t="s">
        <v>2237</v>
      </c>
      <c r="U68" s="16" t="s">
        <v>2238</v>
      </c>
      <c r="V68" s="16" t="s">
        <v>2239</v>
      </c>
      <c r="X68" s="21" t="s">
        <v>2818</v>
      </c>
      <c r="Y68" s="2" t="s">
        <v>1978</v>
      </c>
      <c r="Z68" s="21" t="s">
        <v>2808</v>
      </c>
      <c r="AA68" s="184"/>
      <c r="AB68" s="196"/>
      <c r="AC68" s="196"/>
      <c r="AD68" s="196"/>
      <c r="AE68" s="196"/>
      <c r="AF68" s="196"/>
      <c r="AG68" s="196"/>
      <c r="AH68" s="196"/>
      <c r="AI68" s="196"/>
      <c r="AJ68" s="196"/>
      <c r="AK68" s="196"/>
      <c r="AL68" s="196"/>
      <c r="AM68" s="196"/>
      <c r="AN68" s="184"/>
      <c r="AO68" s="197"/>
      <c r="AP68" s="197"/>
      <c r="AQ68" s="197"/>
      <c r="AR68" s="197"/>
      <c r="AS68" s="197"/>
      <c r="AT68" s="197"/>
      <c r="AU68" s="197"/>
      <c r="AV68" s="197"/>
      <c r="AW68" s="197"/>
      <c r="AX68" s="183"/>
      <c r="AY68" s="183"/>
      <c r="AZ68" s="183"/>
      <c r="BA68" s="183"/>
    </row>
    <row r="69" spans="1:53" x14ac:dyDescent="0.3">
      <c r="A69" s="191" t="str">
        <f>'Reference Score Calculation'!A60</f>
        <v>JS1217</v>
      </c>
      <c r="B69" s="2" t="str">
        <f>'Reference Score Calculation'!D60</f>
        <v>工學院(選項: 工學院任何一個主修及工程創業副修)</v>
      </c>
      <c r="C69" s="355">
        <f>'Offer Statistics'!R200</f>
        <v>20</v>
      </c>
      <c r="D69" s="109">
        <v>3</v>
      </c>
      <c r="E69" s="109">
        <v>3</v>
      </c>
      <c r="F69" s="109">
        <v>3</v>
      </c>
      <c r="G69" s="109">
        <v>2</v>
      </c>
      <c r="H69" s="109">
        <v>3</v>
      </c>
      <c r="I69" s="109">
        <v>3</v>
      </c>
      <c r="K69" s="187">
        <f t="shared" si="10"/>
        <v>0</v>
      </c>
      <c r="L69" s="187">
        <f t="shared" si="11"/>
        <v>0</v>
      </c>
      <c r="M69" s="187">
        <f t="shared" si="13"/>
        <v>0</v>
      </c>
      <c r="N69" s="187">
        <f t="shared" si="12"/>
        <v>0</v>
      </c>
      <c r="O69" s="82">
        <f>IF(AI40=0,0,IF(H69&gt;AI40,0,1))</f>
        <v>0</v>
      </c>
      <c r="P69" s="82">
        <f>IF(AK40=0,0,IF(I69&gt;AK40,0,1))</f>
        <v>0</v>
      </c>
      <c r="R69" s="187">
        <f t="shared" si="8"/>
        <v>0</v>
      </c>
      <c r="S69" s="187"/>
      <c r="T69" s="187" t="s">
        <v>2237</v>
      </c>
      <c r="U69" s="187" t="s">
        <v>2239</v>
      </c>
      <c r="V69" s="187" t="s">
        <v>2239</v>
      </c>
      <c r="W69" s="187"/>
      <c r="X69" s="21" t="s">
        <v>2819</v>
      </c>
      <c r="Y69" s="2" t="s">
        <v>1978</v>
      </c>
      <c r="Z69" s="21" t="s">
        <v>2808</v>
      </c>
      <c r="AA69" s="184"/>
      <c r="AB69" s="184" t="str">
        <f>I2</f>
        <v>請選擇第一選修科</v>
      </c>
      <c r="AC69" s="184" t="str">
        <f>J2</f>
        <v>請選擇第二選修科</v>
      </c>
      <c r="AD69" s="184" t="str">
        <f>K2</f>
        <v>請選擇第三選修科</v>
      </c>
      <c r="AE69" s="184" t="str">
        <f>L2</f>
        <v>請選擇第四選修科</v>
      </c>
      <c r="AF69" s="184"/>
      <c r="AG69" s="184"/>
      <c r="AH69" s="184" t="s">
        <v>2792</v>
      </c>
      <c r="AI69" s="183"/>
      <c r="AJ69" s="184"/>
      <c r="AK69" s="183"/>
      <c r="AL69" s="183"/>
      <c r="AM69" s="183"/>
      <c r="AN69" s="184"/>
      <c r="AO69" s="197"/>
      <c r="AP69" s="197"/>
      <c r="AQ69" s="197"/>
      <c r="AR69" s="197"/>
      <c r="AS69" s="197"/>
      <c r="AT69" s="197"/>
      <c r="AU69" s="197"/>
      <c r="AV69" s="197"/>
      <c r="AW69" s="197"/>
      <c r="AX69" s="183"/>
      <c r="AY69" s="183"/>
      <c r="AZ69" s="183"/>
      <c r="BA69" s="183"/>
    </row>
    <row r="70" spans="1:53" x14ac:dyDescent="0.3">
      <c r="A70" s="191" t="str">
        <f>'Reference Score Calculation'!A61</f>
        <v>JS1220</v>
      </c>
      <c r="B70" s="2" t="str">
        <f>'Reference Score Calculation'!D61</f>
        <v>法律學學士與理學士(計算數學)</v>
      </c>
      <c r="C70" s="355">
        <f>'Offer Statistics'!R201</f>
        <v>9</v>
      </c>
      <c r="D70" s="109">
        <v>3</v>
      </c>
      <c r="E70" s="109">
        <v>5</v>
      </c>
      <c r="F70" s="109">
        <v>3</v>
      </c>
      <c r="G70" s="109">
        <v>2</v>
      </c>
      <c r="H70" s="109">
        <v>3</v>
      </c>
      <c r="I70" s="109">
        <v>3</v>
      </c>
      <c r="K70" s="187">
        <f t="shared" si="10"/>
        <v>0</v>
      </c>
      <c r="L70" s="187">
        <f t="shared" si="11"/>
        <v>0</v>
      </c>
      <c r="M70" s="187">
        <f t="shared" si="13"/>
        <v>0</v>
      </c>
      <c r="N70" s="187">
        <f t="shared" si="12"/>
        <v>0</v>
      </c>
      <c r="O70" s="82">
        <f>IF(AI56=0,0,IF(H70&gt;AI56,0,1))</f>
        <v>0</v>
      </c>
      <c r="P70" s="187">
        <f>IF(I70&gt;LARGE(H$3:M$3,2),0,1)</f>
        <v>0</v>
      </c>
      <c r="R70" s="187">
        <f t="shared" si="8"/>
        <v>0</v>
      </c>
      <c r="S70" s="187"/>
      <c r="T70" s="187" t="s">
        <v>2237</v>
      </c>
      <c r="U70" s="187" t="s">
        <v>2238</v>
      </c>
      <c r="V70" s="187" t="s">
        <v>2239</v>
      </c>
      <c r="W70" s="187"/>
      <c r="X70" s="21" t="s">
        <v>2827</v>
      </c>
      <c r="Y70" s="2" t="s">
        <v>1978</v>
      </c>
      <c r="Z70" s="21" t="s">
        <v>2808</v>
      </c>
      <c r="AA70" s="184" t="s">
        <v>2240</v>
      </c>
      <c r="AB70" s="185">
        <f>IF(OR(I2="物理",I2="化學",I2="生物",I2="組合科學(物理、化學)",I2="組合科學(生物、化學)",I2="組合科學(物理、生物)",I2="綜合科學"),I3,0)</f>
        <v>0</v>
      </c>
      <c r="AC70" s="185">
        <f>IF(OR(J2="物理",J2="化學",J2="生物",J2="組合科學(物理、化學)",J2="組合科學(生物、化學)",J2="組合科學(物理、生物)",J2="綜合科學"),J3,0)</f>
        <v>0</v>
      </c>
      <c r="AD70" s="185">
        <f>IF(OR(K2="物理",K2="化學",K2="生物",K2="組合科學(物理、化學)",K2="組合科學(生物、化學)",K2="組合科學(物理、生物)",K2="綜合科學"),K3,0)</f>
        <v>0</v>
      </c>
      <c r="AE70" s="185">
        <f>IF(OR(L2="物理",L2="化學",L2="生物",L2="組合科學(物理、化學)",L2="組合科學(生物、化學)",L2="組合科學(物理、生物)",L2="綜合科學"),L3,0)</f>
        <v>0</v>
      </c>
      <c r="AF70" s="184"/>
      <c r="AG70" s="184"/>
      <c r="AH70" s="185" t="str">
        <f>IF(AI70&gt;0,INDEX(AB69:AE69,MATCH(LARGE(AB70:AE70,1),AB70:AE70,0)),"無")</f>
        <v>無</v>
      </c>
      <c r="AI70" s="185">
        <f>LARGE((AB70:AE70),1)</f>
        <v>0</v>
      </c>
      <c r="AJ70" s="184"/>
      <c r="AK70" s="183"/>
      <c r="AL70" s="183"/>
      <c r="AM70" s="183"/>
      <c r="AN70" s="196"/>
      <c r="AO70" s="197"/>
      <c r="AP70" s="197"/>
      <c r="AQ70" s="197"/>
      <c r="AR70" s="197"/>
      <c r="AS70" s="197"/>
      <c r="AT70" s="197"/>
      <c r="AU70" s="197"/>
      <c r="AV70" s="197"/>
      <c r="AW70" s="197"/>
      <c r="AX70" s="183"/>
      <c r="AY70" s="183"/>
      <c r="AZ70" s="183"/>
      <c r="BA70" s="183"/>
    </row>
    <row r="71" spans="1:53" x14ac:dyDescent="0.3">
      <c r="A71" s="191" t="str">
        <f>'Reference Score Calculation'!A62</f>
        <v>JS1221</v>
      </c>
      <c r="B71" s="2" t="str">
        <f>'Reference Score Calculation'!D62</f>
        <v>理學士(電腦科學)與理學士(計算金融及金融科技)</v>
      </c>
      <c r="C71" s="355">
        <f>'Offer Statistics'!R202</f>
        <v>10</v>
      </c>
      <c r="D71" s="109">
        <v>3</v>
      </c>
      <c r="E71" s="109">
        <v>3</v>
      </c>
      <c r="F71" s="109">
        <v>4</v>
      </c>
      <c r="G71" s="109">
        <v>2</v>
      </c>
      <c r="H71" s="109">
        <v>3</v>
      </c>
      <c r="I71" s="109">
        <v>3</v>
      </c>
      <c r="K71" s="187">
        <f t="shared" si="10"/>
        <v>0</v>
      </c>
      <c r="L71" s="187">
        <f t="shared" si="11"/>
        <v>0</v>
      </c>
      <c r="M71" s="187">
        <f t="shared" si="13"/>
        <v>0</v>
      </c>
      <c r="N71" s="187">
        <f t="shared" si="12"/>
        <v>0</v>
      </c>
      <c r="O71" s="82">
        <f>IF(AI42=0,0,IF(H71&gt;AI42,0,1))</f>
        <v>0</v>
      </c>
      <c r="P71" s="187">
        <f>IF(I71&gt;LARGE(H$3:M$3,2),0,1)</f>
        <v>0</v>
      </c>
      <c r="R71" s="187">
        <f t="shared" si="8"/>
        <v>0</v>
      </c>
      <c r="S71" s="187"/>
      <c r="T71" s="187" t="s">
        <v>2237</v>
      </c>
      <c r="U71" s="187" t="s">
        <v>2238</v>
      </c>
      <c r="V71" s="187" t="s">
        <v>2239</v>
      </c>
      <c r="W71" s="187"/>
      <c r="X71" s="21" t="s">
        <v>2813</v>
      </c>
      <c r="Y71" s="2" t="s">
        <v>1978</v>
      </c>
      <c r="Z71" s="21" t="s">
        <v>2808</v>
      </c>
      <c r="AA71" s="184"/>
      <c r="AB71" s="196"/>
      <c r="AC71" s="196"/>
      <c r="AD71" s="196"/>
      <c r="AE71" s="196"/>
      <c r="AF71" s="196"/>
      <c r="AG71" s="196"/>
      <c r="AH71" s="196"/>
      <c r="AI71" s="196"/>
      <c r="AJ71" s="196"/>
      <c r="AK71" s="196"/>
      <c r="AL71" s="196"/>
      <c r="AM71" s="196"/>
      <c r="AN71" s="196"/>
      <c r="AO71" s="197"/>
      <c r="AP71" s="197"/>
      <c r="AQ71" s="197"/>
      <c r="AR71" s="197"/>
      <c r="AS71" s="197"/>
      <c r="AT71" s="197"/>
      <c r="AU71" s="197"/>
      <c r="AV71" s="197"/>
      <c r="AW71" s="197"/>
      <c r="AX71" s="183"/>
      <c r="AY71" s="183"/>
      <c r="AZ71" s="183"/>
      <c r="BA71" s="183"/>
    </row>
    <row r="72" spans="1:53" x14ac:dyDescent="0.3">
      <c r="A72" s="191" t="str">
        <f>'Reference Score Calculation'!A63</f>
        <v>JS1801</v>
      </c>
      <c r="B72" s="2" t="str">
        <f>'Reference Score Calculation'!D63</f>
        <v>獸醫學學士</v>
      </c>
      <c r="C72" s="355">
        <f>'Offer Statistics'!R203</f>
        <v>30</v>
      </c>
      <c r="D72" s="109">
        <v>3</v>
      </c>
      <c r="E72" s="109">
        <v>5</v>
      </c>
      <c r="F72" s="109">
        <v>3</v>
      </c>
      <c r="G72" s="109">
        <v>3</v>
      </c>
      <c r="H72" s="109">
        <v>3</v>
      </c>
      <c r="I72" s="109">
        <v>3</v>
      </c>
      <c r="K72" s="16">
        <f t="shared" si="10"/>
        <v>0</v>
      </c>
      <c r="L72" s="16">
        <f t="shared" si="11"/>
        <v>0</v>
      </c>
      <c r="M72" s="16">
        <f t="shared" si="13"/>
        <v>0</v>
      </c>
      <c r="N72" s="16">
        <f t="shared" si="12"/>
        <v>0</v>
      </c>
      <c r="O72" s="82">
        <f>IF(AI62=0,0,IF(H72&gt;AI62,0,1))</f>
        <v>0</v>
      </c>
      <c r="P72" s="82">
        <f>IF(AK62=0,0,IF(I72&gt;AK62,0,1))</f>
        <v>0</v>
      </c>
      <c r="R72" s="16">
        <f t="shared" si="8"/>
        <v>0</v>
      </c>
      <c r="S72" s="2"/>
      <c r="T72" s="16" t="s">
        <v>2239</v>
      </c>
      <c r="U72" s="16" t="s">
        <v>2239</v>
      </c>
      <c r="V72" s="16" t="s">
        <v>2239</v>
      </c>
      <c r="X72" s="21" t="s">
        <v>2832</v>
      </c>
      <c r="Y72" s="2" t="s">
        <v>1978</v>
      </c>
      <c r="Z72" s="21" t="s">
        <v>2808</v>
      </c>
      <c r="AA72" s="184"/>
      <c r="AB72" s="196"/>
      <c r="AC72" s="196"/>
      <c r="AD72" s="196"/>
      <c r="AE72" s="196"/>
      <c r="AF72" s="196"/>
      <c r="AG72" s="196"/>
      <c r="AH72" s="196"/>
      <c r="AI72" s="196"/>
      <c r="AJ72" s="196"/>
      <c r="AK72" s="196"/>
      <c r="AL72" s="196"/>
      <c r="AM72" s="196"/>
      <c r="AN72" s="196"/>
      <c r="AO72" s="197"/>
      <c r="AP72" s="197"/>
      <c r="AQ72" s="197"/>
      <c r="AR72" s="197"/>
      <c r="AS72" s="197"/>
      <c r="AT72" s="197"/>
      <c r="AU72" s="197"/>
      <c r="AV72" s="197"/>
      <c r="AW72" s="197"/>
      <c r="AX72" s="183"/>
      <c r="AY72" s="183"/>
      <c r="AZ72" s="183"/>
      <c r="BA72" s="183"/>
    </row>
    <row r="73" spans="1:53" x14ac:dyDescent="0.3">
      <c r="A73" s="244" t="str">
        <f>'Reference Score Calculation'!A64</f>
        <v>JS1805</v>
      </c>
      <c r="B73" s="2" t="str">
        <f>'Reference Score Calculation'!D64</f>
        <v>生物醫學系 [選項: 理學士(生物科學)、理學士(生物醫學)]</v>
      </c>
      <c r="C73" s="355">
        <f>'Offer Statistics'!R204</f>
        <v>24</v>
      </c>
      <c r="D73" s="109">
        <v>3</v>
      </c>
      <c r="E73" s="109">
        <v>3</v>
      </c>
      <c r="F73" s="109">
        <v>3</v>
      </c>
      <c r="G73" s="109">
        <v>2</v>
      </c>
      <c r="H73" s="109">
        <v>3</v>
      </c>
      <c r="I73" s="109">
        <v>3</v>
      </c>
      <c r="K73" s="16">
        <f t="shared" si="10"/>
        <v>0</v>
      </c>
      <c r="L73" s="16">
        <f t="shared" si="11"/>
        <v>0</v>
      </c>
      <c r="M73" s="16">
        <f t="shared" si="13"/>
        <v>0</v>
      </c>
      <c r="N73" s="16">
        <f t="shared" si="12"/>
        <v>0</v>
      </c>
      <c r="O73" s="82">
        <f>IF(AI64=0,0,IF(H73&gt;AI64,0,1))</f>
        <v>0</v>
      </c>
      <c r="P73" s="82">
        <f>IF(AR64=0,0,IF(I73&gt;AR64,0,1))</f>
        <v>0</v>
      </c>
      <c r="R73" s="16">
        <f t="shared" si="8"/>
        <v>0</v>
      </c>
      <c r="S73" s="2"/>
      <c r="T73" s="16" t="s">
        <v>2237</v>
      </c>
      <c r="U73" s="16" t="s">
        <v>2239</v>
      </c>
      <c r="V73" s="200" t="s">
        <v>2237</v>
      </c>
      <c r="X73" s="21" t="s">
        <v>2833</v>
      </c>
      <c r="Y73" s="21" t="s">
        <v>2826</v>
      </c>
      <c r="Z73" s="21" t="s">
        <v>2808</v>
      </c>
      <c r="AA73" s="184"/>
      <c r="AB73" s="196"/>
      <c r="AC73" s="196"/>
      <c r="AD73" s="196"/>
      <c r="AE73" s="196"/>
      <c r="AF73" s="196"/>
      <c r="AG73" s="196"/>
      <c r="AH73" s="196"/>
      <c r="AI73" s="196"/>
      <c r="AJ73" s="196"/>
      <c r="AK73" s="196"/>
      <c r="AL73" s="196"/>
      <c r="AM73" s="196"/>
      <c r="AN73" s="196"/>
      <c r="AO73" s="197"/>
      <c r="AP73" s="197"/>
      <c r="AQ73" s="197"/>
      <c r="AR73" s="197"/>
      <c r="AS73" s="197"/>
      <c r="AT73" s="197"/>
      <c r="AU73" s="197"/>
      <c r="AV73" s="197"/>
      <c r="AW73" s="197"/>
      <c r="AX73" s="183"/>
      <c r="AY73" s="183"/>
      <c r="AZ73" s="183"/>
      <c r="BA73" s="183"/>
    </row>
    <row r="74" spans="1:53" x14ac:dyDescent="0.3">
      <c r="A74" s="244" t="str">
        <f>'Reference Score Calculation'!A65</f>
        <v>JS1806</v>
      </c>
      <c r="B74" s="2" t="str">
        <f>'Reference Score Calculation'!D65</f>
        <v>理學士(生物科學)</v>
      </c>
      <c r="C74" s="355">
        <f>'Offer Statistics'!R205</f>
        <v>28</v>
      </c>
      <c r="D74" s="109">
        <v>3</v>
      </c>
      <c r="E74" s="109">
        <v>3</v>
      </c>
      <c r="F74" s="109">
        <v>3</v>
      </c>
      <c r="G74" s="109">
        <v>2</v>
      </c>
      <c r="H74" s="109">
        <v>3</v>
      </c>
      <c r="I74" s="109">
        <v>3</v>
      </c>
      <c r="K74" s="16">
        <f t="shared" si="10"/>
        <v>0</v>
      </c>
      <c r="L74" s="16">
        <f t="shared" si="11"/>
        <v>0</v>
      </c>
      <c r="M74" s="16">
        <f t="shared" si="13"/>
        <v>0</v>
      </c>
      <c r="N74" s="16">
        <f t="shared" si="12"/>
        <v>0</v>
      </c>
      <c r="O74" s="82">
        <f>IF(AI64=0,0,IF(H74&gt;AI64,0,1))</f>
        <v>0</v>
      </c>
      <c r="P74" s="82">
        <f>IF(AR64=0,0,IF(I74&gt;AR64,0,1))</f>
        <v>0</v>
      </c>
      <c r="R74" s="16">
        <f t="shared" si="8"/>
        <v>0</v>
      </c>
      <c r="S74" s="2"/>
      <c r="T74" s="16" t="s">
        <v>2237</v>
      </c>
      <c r="U74" s="16" t="s">
        <v>2239</v>
      </c>
      <c r="V74" s="200" t="s">
        <v>2237</v>
      </c>
      <c r="X74" s="21" t="s">
        <v>2833</v>
      </c>
      <c r="Y74" s="21" t="s">
        <v>2826</v>
      </c>
      <c r="Z74" s="21" t="s">
        <v>2808</v>
      </c>
      <c r="AA74" s="122"/>
      <c r="AB74" s="197"/>
      <c r="AC74" s="197"/>
      <c r="AD74" s="197"/>
      <c r="AE74" s="197"/>
      <c r="AF74" s="197"/>
      <c r="AG74" s="197"/>
      <c r="AH74" s="197"/>
      <c r="AI74" s="197"/>
      <c r="AJ74" s="197"/>
      <c r="AK74" s="197"/>
      <c r="AL74" s="197"/>
      <c r="AM74" s="197"/>
      <c r="AN74" s="197"/>
      <c r="AO74" s="197"/>
      <c r="AP74" s="197"/>
      <c r="AQ74" s="197"/>
      <c r="AR74" s="197"/>
      <c r="AS74" s="197"/>
      <c r="AT74" s="197"/>
      <c r="AU74" s="197"/>
      <c r="AV74" s="197"/>
      <c r="AW74" s="197"/>
      <c r="AX74" s="183"/>
      <c r="AY74" s="183"/>
      <c r="AZ74" s="183"/>
      <c r="BA74" s="183"/>
    </row>
    <row r="75" spans="1:53" x14ac:dyDescent="0.3">
      <c r="A75" s="244" t="str">
        <f>'Reference Score Calculation'!A66</f>
        <v>JS1807</v>
      </c>
      <c r="B75" s="2" t="str">
        <f>'Reference Score Calculation'!D66</f>
        <v>理學士(生物醫學)</v>
      </c>
      <c r="C75" s="355">
        <f>'Offer Statistics'!R206</f>
        <v>28</v>
      </c>
      <c r="D75" s="109">
        <v>3</v>
      </c>
      <c r="E75" s="109">
        <v>3</v>
      </c>
      <c r="F75" s="109">
        <v>3</v>
      </c>
      <c r="G75" s="109">
        <v>2</v>
      </c>
      <c r="H75" s="109">
        <v>3</v>
      </c>
      <c r="I75" s="109">
        <v>3</v>
      </c>
      <c r="K75" s="16">
        <f t="shared" si="10"/>
        <v>0</v>
      </c>
      <c r="L75" s="16">
        <f t="shared" si="11"/>
        <v>0</v>
      </c>
      <c r="M75" s="16">
        <f t="shared" si="13"/>
        <v>0</v>
      </c>
      <c r="N75" s="16">
        <f t="shared" si="12"/>
        <v>0</v>
      </c>
      <c r="O75" s="82">
        <f>IF(AI64=0,0,IF(H75&gt;AI64,0,1))</f>
        <v>0</v>
      </c>
      <c r="P75" s="82">
        <f>IF(AR64=0,0,IF(I75&gt;AR64,0,1))</f>
        <v>0</v>
      </c>
      <c r="R75" s="16">
        <f t="shared" si="8"/>
        <v>0</v>
      </c>
      <c r="S75" s="2"/>
      <c r="T75" s="16" t="s">
        <v>2237</v>
      </c>
      <c r="U75" s="16" t="s">
        <v>2239</v>
      </c>
      <c r="V75" s="200" t="s">
        <v>2237</v>
      </c>
      <c r="X75" s="21" t="s">
        <v>2833</v>
      </c>
      <c r="Y75" s="21" t="s">
        <v>2826</v>
      </c>
      <c r="Z75" s="21" t="s">
        <v>2808</v>
      </c>
      <c r="AK75" s="2"/>
      <c r="AL75" s="2"/>
      <c r="AM75" s="2"/>
      <c r="AN75" s="2"/>
    </row>
    <row r="76" spans="1:53" x14ac:dyDescent="0.3">
      <c r="A76" s="65" t="s">
        <v>265</v>
      </c>
      <c r="B76" s="251"/>
      <c r="D76" s="251"/>
      <c r="E76" s="251"/>
      <c r="F76" s="251"/>
      <c r="G76" s="251"/>
      <c r="H76" s="251"/>
      <c r="I76" s="251"/>
      <c r="J76" s="251"/>
      <c r="K76" s="251"/>
      <c r="L76" s="251"/>
      <c r="M76" s="251"/>
      <c r="N76" s="251"/>
      <c r="O76" s="251"/>
      <c r="P76" s="251"/>
      <c r="Q76" s="251"/>
      <c r="R76" s="251"/>
      <c r="S76" s="251"/>
      <c r="T76" s="251"/>
      <c r="U76" s="251"/>
      <c r="V76" s="251"/>
      <c r="W76" s="251"/>
      <c r="X76" s="251"/>
      <c r="Y76" s="251"/>
      <c r="Z76" s="251"/>
    </row>
    <row r="77" spans="1:53" x14ac:dyDescent="0.3">
      <c r="A77" s="11" t="s">
        <v>1942</v>
      </c>
      <c r="B77" s="11" t="s">
        <v>1944</v>
      </c>
      <c r="C77" s="356" t="s">
        <v>1950</v>
      </c>
      <c r="D77" s="111" t="s">
        <v>1953</v>
      </c>
      <c r="E77" s="111" t="s">
        <v>1954</v>
      </c>
      <c r="F77" s="111" t="s">
        <v>1955</v>
      </c>
      <c r="G77" s="111" t="s">
        <v>1956</v>
      </c>
      <c r="H77" s="111" t="s">
        <v>1957</v>
      </c>
      <c r="I77" s="111" t="s">
        <v>1958</v>
      </c>
      <c r="J77" s="11"/>
      <c r="K77" s="19" t="s">
        <v>1953</v>
      </c>
      <c r="L77" s="19" t="s">
        <v>1954</v>
      </c>
      <c r="M77" s="19" t="s">
        <v>1955</v>
      </c>
      <c r="N77" s="19" t="s">
        <v>1956</v>
      </c>
      <c r="O77" s="19" t="s">
        <v>1957</v>
      </c>
      <c r="P77" s="19" t="s">
        <v>1958</v>
      </c>
      <c r="Q77" s="53"/>
      <c r="R77" s="19" t="s">
        <v>1951</v>
      </c>
      <c r="S77" s="2"/>
      <c r="T77" s="19" t="s">
        <v>2233</v>
      </c>
      <c r="U77" s="19" t="s">
        <v>2234</v>
      </c>
      <c r="V77" s="19" t="s">
        <v>2235</v>
      </c>
      <c r="W77" s="190"/>
      <c r="AA77" s="394" t="s">
        <v>2330</v>
      </c>
      <c r="AB77" s="394" t="s">
        <v>2236</v>
      </c>
      <c r="AC77" s="122"/>
      <c r="AD77" s="183"/>
      <c r="AE77" s="183"/>
      <c r="AF77" s="183"/>
      <c r="AG77" s="183"/>
      <c r="AH77" s="183"/>
      <c r="AI77" s="183"/>
      <c r="AJ77" s="183"/>
    </row>
    <row r="78" spans="1:53" x14ac:dyDescent="0.3">
      <c r="A78" s="2" t="str">
        <f>'Reference Score Calculation'!A69</f>
        <v>JS2020</v>
      </c>
      <c r="B78" s="2" t="str">
        <f>'Reference Score Calculation'!D69</f>
        <v>文學士(榮譽) (中國語言文學 / 創意及專業寫作 / 英國語言文學 / 人文學 / 翻譯學)</v>
      </c>
      <c r="C78" s="355">
        <f>'Offer Statistics'!AJ95</f>
        <v>105</v>
      </c>
      <c r="D78" s="109">
        <v>3</v>
      </c>
      <c r="E78" s="109">
        <v>3</v>
      </c>
      <c r="F78" s="109">
        <v>2</v>
      </c>
      <c r="G78" s="109">
        <v>2</v>
      </c>
      <c r="H78" s="109">
        <v>3</v>
      </c>
      <c r="I78" s="109">
        <v>3</v>
      </c>
      <c r="K78" s="16">
        <f>IF(D78&gt;D$3,0,1)</f>
        <v>0</v>
      </c>
      <c r="L78" s="190">
        <f t="shared" ref="L78:N78" si="15">IF(E78&gt;E$3,0,1)</f>
        <v>0</v>
      </c>
      <c r="M78" s="190">
        <f t="shared" si="15"/>
        <v>0</v>
      </c>
      <c r="N78" s="190">
        <f t="shared" si="15"/>
        <v>0</v>
      </c>
      <c r="O78" s="190">
        <f>IF(H78&gt;LARGE($H$3:$M$3,1),0,1)</f>
        <v>0</v>
      </c>
      <c r="P78" s="190">
        <f>IF(I78&gt;LARGE($H$3:$M$3,2),0,1)</f>
        <v>0</v>
      </c>
      <c r="R78" s="16">
        <f>K78*L78*M78*N78*O78*P78</f>
        <v>0</v>
      </c>
      <c r="S78" s="2"/>
      <c r="T78" s="190" t="s">
        <v>2237</v>
      </c>
      <c r="U78" s="190" t="s">
        <v>2238</v>
      </c>
      <c r="V78" s="190" t="s">
        <v>2239</v>
      </c>
      <c r="W78" s="190"/>
      <c r="X78" s="2" t="s">
        <v>1978</v>
      </c>
      <c r="Y78" s="2" t="s">
        <v>1978</v>
      </c>
      <c r="AA78" s="184"/>
      <c r="AB78" s="184"/>
      <c r="AC78" s="184"/>
      <c r="AD78" s="184"/>
      <c r="AE78" s="184"/>
      <c r="AF78" s="184"/>
      <c r="AG78" s="122"/>
      <c r="AH78" s="122"/>
      <c r="AI78" s="122"/>
      <c r="AJ78" s="122"/>
    </row>
    <row r="79" spans="1:53" x14ac:dyDescent="0.3">
      <c r="A79" s="2" t="str">
        <f>'Reference Score Calculation'!A70</f>
        <v>JS2025</v>
      </c>
      <c r="B79" s="2" t="str">
        <f>'Reference Score Calculation'!D70</f>
        <v>宗教、哲學及倫理文學士(榮譽)</v>
      </c>
      <c r="C79" s="355">
        <f>'Offer Statistics'!AJ96</f>
        <v>15</v>
      </c>
      <c r="D79" s="109">
        <v>3</v>
      </c>
      <c r="E79" s="109">
        <v>3</v>
      </c>
      <c r="F79" s="109">
        <v>2</v>
      </c>
      <c r="G79" s="109">
        <v>2</v>
      </c>
      <c r="H79" s="109">
        <v>3</v>
      </c>
      <c r="I79" s="109">
        <v>3</v>
      </c>
      <c r="K79" s="190">
        <f t="shared" ref="K79:K92" si="16">IF(D79&gt;D$3,0,1)</f>
        <v>0</v>
      </c>
      <c r="L79" s="190">
        <f t="shared" ref="L79:L92" si="17">IF(E79&gt;E$3,0,1)</f>
        <v>0</v>
      </c>
      <c r="M79" s="190">
        <f t="shared" ref="M79:M92" si="18">IF(F79&gt;F$3,0,1)</f>
        <v>0</v>
      </c>
      <c r="N79" s="190">
        <f t="shared" ref="N79:N92" si="19">IF(G79&gt;G$3,0,1)</f>
        <v>0</v>
      </c>
      <c r="O79" s="190">
        <f>IF(H79&gt;LARGE($H$3:$L$3,1),0,1)</f>
        <v>0</v>
      </c>
      <c r="P79" s="190">
        <f t="shared" ref="P79:P92" si="20">IF(I79&gt;LARGE($H$3:$M$3,2),0,1)</f>
        <v>0</v>
      </c>
      <c r="R79" s="355">
        <f t="shared" ref="R79:R98" si="21">K79*L79*M79*N79*O79*P79</f>
        <v>0</v>
      </c>
      <c r="S79" s="2"/>
      <c r="T79" s="190" t="s">
        <v>2237</v>
      </c>
      <c r="U79" s="190" t="s">
        <v>2238</v>
      </c>
      <c r="V79" s="190" t="s">
        <v>2239</v>
      </c>
      <c r="X79" s="2" t="s">
        <v>1978</v>
      </c>
      <c r="Y79" s="2" t="s">
        <v>1978</v>
      </c>
      <c r="AA79" s="184"/>
      <c r="AB79" s="184" t="str">
        <f>I2</f>
        <v>請選擇第一選修科</v>
      </c>
      <c r="AC79" s="184" t="str">
        <f>J2</f>
        <v>請選擇第二選修科</v>
      </c>
      <c r="AD79" s="184" t="str">
        <f>K2</f>
        <v>請選擇第三選修科</v>
      </c>
      <c r="AE79" s="184" t="str">
        <f>L2</f>
        <v>請選擇第四選修科</v>
      </c>
      <c r="AF79" s="184"/>
      <c r="AG79" s="122"/>
      <c r="AH79" s="184" t="s">
        <v>2931</v>
      </c>
      <c r="AI79" s="184"/>
      <c r="AJ79" s="122"/>
    </row>
    <row r="80" spans="1:53" x14ac:dyDescent="0.3">
      <c r="A80" s="2" t="str">
        <f>'Reference Score Calculation'!A71</f>
        <v>JS2060</v>
      </c>
      <c r="B80" s="2" t="str">
        <f>'Reference Score Calculation'!D71</f>
        <v>文學士(榮譽) / 音樂學士(榮譽) (音樂 / 創意產業)</v>
      </c>
      <c r="C80" s="355">
        <f>'Offer Statistics'!AJ97</f>
        <v>43</v>
      </c>
      <c r="D80" s="109">
        <v>3</v>
      </c>
      <c r="E80" s="109">
        <v>3</v>
      </c>
      <c r="F80" s="109">
        <v>2</v>
      </c>
      <c r="G80" s="109">
        <v>2</v>
      </c>
      <c r="H80" s="109">
        <v>3</v>
      </c>
      <c r="I80" s="109">
        <v>3</v>
      </c>
      <c r="K80" s="190">
        <f t="shared" si="16"/>
        <v>0</v>
      </c>
      <c r="L80" s="190">
        <f t="shared" si="17"/>
        <v>0</v>
      </c>
      <c r="M80" s="190">
        <f t="shared" si="18"/>
        <v>0</v>
      </c>
      <c r="N80" s="190">
        <f t="shared" si="19"/>
        <v>0</v>
      </c>
      <c r="O80" s="190">
        <f>IF(H80&gt;LARGE($H$3:$L$3,1),0,1)</f>
        <v>0</v>
      </c>
      <c r="P80" s="190">
        <f t="shared" si="20"/>
        <v>0</v>
      </c>
      <c r="R80" s="355">
        <f t="shared" si="21"/>
        <v>0</v>
      </c>
      <c r="T80" s="190" t="s">
        <v>2237</v>
      </c>
      <c r="U80" s="190" t="s">
        <v>2238</v>
      </c>
      <c r="V80" s="190" t="s">
        <v>2237</v>
      </c>
      <c r="X80" s="2" t="s">
        <v>1978</v>
      </c>
      <c r="Y80" s="2" t="s">
        <v>1978</v>
      </c>
      <c r="AA80" s="184" t="s">
        <v>2924</v>
      </c>
      <c r="AB80" s="185">
        <f>IF(OR(I2="化學",I2="生物"),I3,0)</f>
        <v>0</v>
      </c>
      <c r="AC80" s="185">
        <f>IF(OR(J2="化學",J2="生物"),J3,0)</f>
        <v>0</v>
      </c>
      <c r="AD80" s="185">
        <f>IF(OR(K2="化學",K2="生物"),K3,0)</f>
        <v>0</v>
      </c>
      <c r="AE80" s="185">
        <f>IF(OR(L2="化學",L2="生物"),L3,0)</f>
        <v>0</v>
      </c>
      <c r="AF80" s="184"/>
      <c r="AG80" s="184"/>
      <c r="AH80" s="185" t="str">
        <f>IF(AI80&gt;0,INDEX(AB79:AF79,MATCH(LARGE(AB80:AF80,1),AB80:AF80,0)),"無")</f>
        <v>無</v>
      </c>
      <c r="AI80" s="185">
        <f>LARGE((AB80:AF80),1)</f>
        <v>0</v>
      </c>
      <c r="AJ80" s="122"/>
    </row>
    <row r="81" spans="1:40" x14ac:dyDescent="0.3">
      <c r="A81" s="2" t="str">
        <f>'Reference Score Calculation'!A72</f>
        <v>JS2110</v>
      </c>
      <c r="B81" s="2" t="str">
        <f>'Reference Score Calculation'!D72</f>
        <v>工商管理學士(榮譽) - 會計學專修</v>
      </c>
      <c r="C81" s="355">
        <f>'Offer Statistics'!AJ98</f>
        <v>47</v>
      </c>
      <c r="D81" s="109">
        <v>3</v>
      </c>
      <c r="E81" s="109">
        <v>3</v>
      </c>
      <c r="F81" s="109">
        <v>2</v>
      </c>
      <c r="G81" s="109">
        <v>2</v>
      </c>
      <c r="H81" s="109">
        <v>3</v>
      </c>
      <c r="I81" s="109">
        <v>3</v>
      </c>
      <c r="K81" s="190">
        <f t="shared" si="16"/>
        <v>0</v>
      </c>
      <c r="L81" s="190">
        <f t="shared" si="17"/>
        <v>0</v>
      </c>
      <c r="M81" s="190">
        <f t="shared" si="18"/>
        <v>0</v>
      </c>
      <c r="N81" s="190">
        <f t="shared" si="19"/>
        <v>0</v>
      </c>
      <c r="O81" s="190">
        <f>IF(H81&gt;LARGE($H$3:$L$3,1),0,1)</f>
        <v>0</v>
      </c>
      <c r="P81" s="190">
        <f t="shared" si="20"/>
        <v>0</v>
      </c>
      <c r="R81" s="355">
        <f t="shared" si="21"/>
        <v>0</v>
      </c>
      <c r="T81" s="190" t="s">
        <v>2237</v>
      </c>
      <c r="U81" s="190" t="s">
        <v>2239</v>
      </c>
      <c r="V81" s="190" t="s">
        <v>2237</v>
      </c>
      <c r="X81" s="2" t="s">
        <v>1978</v>
      </c>
      <c r="Y81" s="2" t="s">
        <v>1978</v>
      </c>
      <c r="AA81" s="184"/>
      <c r="AB81" s="184"/>
      <c r="AC81" s="184"/>
      <c r="AD81" s="184"/>
      <c r="AE81" s="184"/>
      <c r="AF81" s="184"/>
      <c r="AG81" s="184"/>
      <c r="AH81" s="122"/>
      <c r="AI81" s="122"/>
      <c r="AJ81" s="122"/>
    </row>
    <row r="82" spans="1:40" x14ac:dyDescent="0.3">
      <c r="A82" s="2" t="str">
        <f>'Reference Score Calculation'!A73</f>
        <v>JS2120</v>
      </c>
      <c r="B82" s="2" t="str">
        <f>'Reference Score Calculation'!D73</f>
        <v>工商管理學士(榮譽)</v>
      </c>
      <c r="C82" s="355">
        <f>'Offer Statistics'!AJ99</f>
        <v>187</v>
      </c>
      <c r="D82" s="109">
        <v>3</v>
      </c>
      <c r="E82" s="109">
        <v>3</v>
      </c>
      <c r="F82" s="109">
        <v>2</v>
      </c>
      <c r="G82" s="109">
        <v>2</v>
      </c>
      <c r="H82" s="109">
        <v>3</v>
      </c>
      <c r="I82" s="109">
        <v>3</v>
      </c>
      <c r="K82" s="190">
        <f t="shared" si="16"/>
        <v>0</v>
      </c>
      <c r="L82" s="190">
        <f t="shared" si="17"/>
        <v>0</v>
      </c>
      <c r="M82" s="190">
        <f t="shared" si="18"/>
        <v>0</v>
      </c>
      <c r="N82" s="190">
        <f t="shared" si="19"/>
        <v>0</v>
      </c>
      <c r="O82" s="190">
        <f>IF(H82&gt;LARGE($H$3:$L$3,1),0,1)</f>
        <v>0</v>
      </c>
      <c r="P82" s="190">
        <f t="shared" si="20"/>
        <v>0</v>
      </c>
      <c r="R82" s="355">
        <f t="shared" si="21"/>
        <v>0</v>
      </c>
      <c r="T82" s="190" t="s">
        <v>2237</v>
      </c>
      <c r="U82" s="190" t="s">
        <v>2239</v>
      </c>
      <c r="V82" s="190" t="s">
        <v>2237</v>
      </c>
      <c r="X82" s="2" t="s">
        <v>1978</v>
      </c>
      <c r="Y82" s="2" t="s">
        <v>1978</v>
      </c>
      <c r="AA82" s="184"/>
      <c r="AB82" s="184" t="str">
        <f>I2</f>
        <v>請選擇第一選修科</v>
      </c>
      <c r="AC82" s="184" t="str">
        <f>J2</f>
        <v>請選擇第二選修科</v>
      </c>
      <c r="AD82" s="184" t="str">
        <f>K2</f>
        <v>請選擇第三選修科</v>
      </c>
      <c r="AE82" s="184" t="str">
        <f>L2</f>
        <v>請選擇第四選修科</v>
      </c>
      <c r="AF82" s="184"/>
      <c r="AG82" s="122"/>
      <c r="AH82" s="184" t="s">
        <v>2932</v>
      </c>
      <c r="AI82" s="184"/>
      <c r="AJ82" s="122"/>
    </row>
    <row r="83" spans="1:40" x14ac:dyDescent="0.3">
      <c r="A83" s="2" t="str">
        <f>'Reference Score Calculation'!A74</f>
        <v>JS2310</v>
      </c>
      <c r="B83" s="2" t="str">
        <f>'Reference Score Calculation'!D74</f>
        <v>傳理學學士(榮譽) (新聞與數碼媒體 / 公關及廣告)</v>
      </c>
      <c r="C83" s="355">
        <f>'Offer Statistics'!AJ100</f>
        <v>77</v>
      </c>
      <c r="D83" s="109">
        <v>3</v>
      </c>
      <c r="E83" s="109">
        <v>3</v>
      </c>
      <c r="F83" s="109">
        <v>2</v>
      </c>
      <c r="G83" s="109">
        <v>2</v>
      </c>
      <c r="H83" s="109">
        <v>3</v>
      </c>
      <c r="I83" s="109">
        <v>3</v>
      </c>
      <c r="K83" s="190">
        <f t="shared" si="16"/>
        <v>0</v>
      </c>
      <c r="L83" s="190">
        <f t="shared" si="17"/>
        <v>0</v>
      </c>
      <c r="M83" s="190">
        <f t="shared" si="18"/>
        <v>0</v>
      </c>
      <c r="N83" s="190">
        <f t="shared" si="19"/>
        <v>0</v>
      </c>
      <c r="O83" s="190">
        <f t="shared" ref="O83:O92" si="22">IF(H83&gt;LARGE($H$3:$M$3,1),0,1)</f>
        <v>0</v>
      </c>
      <c r="P83" s="190">
        <f t="shared" si="20"/>
        <v>0</v>
      </c>
      <c r="R83" s="355">
        <f t="shared" si="21"/>
        <v>0</v>
      </c>
      <c r="T83" s="190" t="s">
        <v>2237</v>
      </c>
      <c r="U83" s="190" t="s">
        <v>2238</v>
      </c>
      <c r="V83" s="190" t="s">
        <v>2237</v>
      </c>
      <c r="X83" s="2" t="s">
        <v>1978</v>
      </c>
      <c r="Y83" s="2" t="s">
        <v>1978</v>
      </c>
      <c r="AA83" s="184" t="s">
        <v>2933</v>
      </c>
      <c r="AB83" s="185">
        <f>IF(I2="化學",I3,0)</f>
        <v>0</v>
      </c>
      <c r="AC83" s="185">
        <f>IF(J2="化學",J3,0)</f>
        <v>0</v>
      </c>
      <c r="AD83" s="185">
        <f>IF(K2="化學",K3,0)</f>
        <v>0</v>
      </c>
      <c r="AE83" s="185">
        <f>IF(L2="化學",L3,0)</f>
        <v>0</v>
      </c>
      <c r="AF83" s="184"/>
      <c r="AG83" s="184"/>
      <c r="AH83" s="185" t="str">
        <f>IF(AI83&gt;0,INDEX(AB82:AF82,MATCH(LARGE(AB83:AF83,1),AB83:AF83,0)),"無")</f>
        <v>無</v>
      </c>
      <c r="AI83" s="185">
        <f>LARGE((AB83:AF83),1)</f>
        <v>0</v>
      </c>
      <c r="AJ83" s="122"/>
    </row>
    <row r="84" spans="1:40" x14ac:dyDescent="0.3">
      <c r="A84" s="2" t="str">
        <f>'Reference Score Calculation'!A75</f>
        <v>JS2330</v>
      </c>
      <c r="B84" s="2" t="str">
        <f>'Reference Score Calculation'!D75</f>
        <v>傳理學學士(榮譽) - 電影主修 - 電影電視專修</v>
      </c>
      <c r="C84" s="355">
        <f>'Offer Statistics'!AJ101</f>
        <v>18</v>
      </c>
      <c r="D84" s="109">
        <v>3</v>
      </c>
      <c r="E84" s="109">
        <v>3</v>
      </c>
      <c r="F84" s="109">
        <v>2</v>
      </c>
      <c r="G84" s="109">
        <v>2</v>
      </c>
      <c r="H84" s="109">
        <v>3</v>
      </c>
      <c r="I84" s="109">
        <v>3</v>
      </c>
      <c r="K84" s="190">
        <f t="shared" si="16"/>
        <v>0</v>
      </c>
      <c r="L84" s="190">
        <f t="shared" si="17"/>
        <v>0</v>
      </c>
      <c r="M84" s="190">
        <f t="shared" si="18"/>
        <v>0</v>
      </c>
      <c r="N84" s="190">
        <f t="shared" si="19"/>
        <v>0</v>
      </c>
      <c r="O84" s="190">
        <f t="shared" si="22"/>
        <v>0</v>
      </c>
      <c r="P84" s="190">
        <f t="shared" si="20"/>
        <v>0</v>
      </c>
      <c r="R84" s="355">
        <f t="shared" si="21"/>
        <v>0</v>
      </c>
      <c r="T84" s="190" t="s">
        <v>2237</v>
      </c>
      <c r="U84" s="190" t="s">
        <v>2238</v>
      </c>
      <c r="V84" s="190" t="s">
        <v>2237</v>
      </c>
      <c r="X84" s="2" t="s">
        <v>1978</v>
      </c>
      <c r="Y84" s="2" t="s">
        <v>1978</v>
      </c>
      <c r="AA84" s="184"/>
      <c r="AB84" s="184"/>
      <c r="AC84" s="184"/>
      <c r="AD84" s="184"/>
      <c r="AE84" s="184"/>
      <c r="AF84" s="184"/>
      <c r="AG84" s="184"/>
      <c r="AH84" s="122"/>
      <c r="AI84" s="122"/>
      <c r="AJ84" s="122"/>
    </row>
    <row r="85" spans="1:40" x14ac:dyDescent="0.3">
      <c r="A85" s="2" t="str">
        <f>'Reference Score Calculation'!A76</f>
        <v>JS2340</v>
      </c>
      <c r="B85" s="2" t="str">
        <f>'Reference Score Calculation'!D76</f>
        <v>環球螢幕演技藝術學士(榮譽)</v>
      </c>
      <c r="C85" s="355">
        <f>'Offer Statistics'!AJ102</f>
        <v>8</v>
      </c>
      <c r="D85" s="109">
        <v>3</v>
      </c>
      <c r="E85" s="109">
        <v>3</v>
      </c>
      <c r="F85" s="109">
        <v>2</v>
      </c>
      <c r="G85" s="109">
        <v>2</v>
      </c>
      <c r="H85" s="109">
        <v>3</v>
      </c>
      <c r="I85" s="109">
        <v>3</v>
      </c>
      <c r="K85" s="190">
        <f t="shared" si="16"/>
        <v>0</v>
      </c>
      <c r="L85" s="190">
        <f t="shared" si="17"/>
        <v>0</v>
      </c>
      <c r="M85" s="190">
        <f t="shared" si="18"/>
        <v>0</v>
      </c>
      <c r="N85" s="190">
        <f t="shared" si="19"/>
        <v>0</v>
      </c>
      <c r="O85" s="190">
        <f t="shared" si="22"/>
        <v>0</v>
      </c>
      <c r="P85" s="190">
        <f t="shared" si="20"/>
        <v>0</v>
      </c>
      <c r="R85" s="355">
        <f t="shared" si="21"/>
        <v>0</v>
      </c>
      <c r="T85" s="190" t="s">
        <v>2237</v>
      </c>
      <c r="U85" s="190" t="s">
        <v>2238</v>
      </c>
      <c r="V85" s="190" t="s">
        <v>2237</v>
      </c>
      <c r="X85" s="2" t="s">
        <v>1978</v>
      </c>
      <c r="Y85" s="2" t="s">
        <v>1978</v>
      </c>
    </row>
    <row r="86" spans="1:40" x14ac:dyDescent="0.3">
      <c r="A86" s="2" t="str">
        <f>'Reference Score Calculation'!A77</f>
        <v>JS2370</v>
      </c>
      <c r="B86" s="2" t="str">
        <f>'Reference Score Calculation'!D77</f>
        <v>傳理學學士(榮譽) - 遊戲設計與動畫主修</v>
      </c>
      <c r="C86" s="355">
        <f>'Offer Statistics'!AJ103</f>
        <v>20</v>
      </c>
      <c r="D86" s="109">
        <v>3</v>
      </c>
      <c r="E86" s="109">
        <v>3</v>
      </c>
      <c r="F86" s="109">
        <v>2</v>
      </c>
      <c r="G86" s="109">
        <v>2</v>
      </c>
      <c r="H86" s="109">
        <v>3</v>
      </c>
      <c r="I86" s="109">
        <v>3</v>
      </c>
      <c r="K86" s="190">
        <f t="shared" si="16"/>
        <v>0</v>
      </c>
      <c r="L86" s="190">
        <f t="shared" si="17"/>
        <v>0</v>
      </c>
      <c r="M86" s="190">
        <f t="shared" si="18"/>
        <v>0</v>
      </c>
      <c r="N86" s="190">
        <f t="shared" si="19"/>
        <v>0</v>
      </c>
      <c r="O86" s="190">
        <f t="shared" si="22"/>
        <v>0</v>
      </c>
      <c r="P86" s="190">
        <f>IF(I86&gt;LARGE($H$3:$M$3,2),0,1)</f>
        <v>0</v>
      </c>
      <c r="R86" s="355">
        <f t="shared" si="21"/>
        <v>0</v>
      </c>
      <c r="T86" s="190" t="s">
        <v>2237</v>
      </c>
      <c r="U86" s="190" t="s">
        <v>2238</v>
      </c>
      <c r="V86" s="190" t="s">
        <v>2237</v>
      </c>
      <c r="X86" s="2" t="s">
        <v>1978</v>
      </c>
      <c r="Y86" s="2" t="s">
        <v>1978</v>
      </c>
    </row>
    <row r="87" spans="1:40" x14ac:dyDescent="0.3">
      <c r="A87" s="2" t="str">
        <f>'Reference Score Calculation'!A78</f>
        <v>JS2410</v>
      </c>
      <c r="B87" s="2" t="str">
        <f>'Reference Score Calculation'!D78</f>
        <v>中醫學學士及生物醫學理學士(榮譽)</v>
      </c>
      <c r="C87" s="355">
        <f>'Offer Statistics'!AJ104</f>
        <v>40</v>
      </c>
      <c r="D87" s="109">
        <v>3</v>
      </c>
      <c r="E87" s="109">
        <v>3</v>
      </c>
      <c r="F87" s="109">
        <v>2</v>
      </c>
      <c r="G87" s="109">
        <v>2</v>
      </c>
      <c r="H87" s="109">
        <v>3</v>
      </c>
      <c r="I87" s="109">
        <v>3</v>
      </c>
      <c r="K87" s="190">
        <f t="shared" si="16"/>
        <v>0</v>
      </c>
      <c r="L87" s="190">
        <f t="shared" si="17"/>
        <v>0</v>
      </c>
      <c r="M87" s="190">
        <f t="shared" si="18"/>
        <v>0</v>
      </c>
      <c r="N87" s="190">
        <f t="shared" si="19"/>
        <v>0</v>
      </c>
      <c r="O87" s="82">
        <f>IF(AI80=0,0,IF(H87&gt;AI80,0,1))</f>
        <v>0</v>
      </c>
      <c r="P87" s="190">
        <f>IF(I87&gt;LARGE($H$3:$L$3,2),0,1)</f>
        <v>0</v>
      </c>
      <c r="R87" s="355">
        <f t="shared" si="21"/>
        <v>0</v>
      </c>
      <c r="T87" s="190" t="s">
        <v>2237</v>
      </c>
      <c r="U87" s="190" t="s">
        <v>2239</v>
      </c>
      <c r="V87" s="190" t="s">
        <v>2239</v>
      </c>
      <c r="X87" s="21" t="s">
        <v>2936</v>
      </c>
      <c r="Y87" s="2" t="s">
        <v>1978</v>
      </c>
    </row>
    <row r="88" spans="1:40" x14ac:dyDescent="0.3">
      <c r="A88" s="2" t="str">
        <f>'Reference Score Calculation'!A79</f>
        <v>JS2420</v>
      </c>
      <c r="B88" s="2" t="str">
        <f>'Reference Score Calculation'!D79</f>
        <v>中藥學學士(榮譽)</v>
      </c>
      <c r="C88" s="355">
        <f>'Offer Statistics'!AJ105</f>
        <v>20</v>
      </c>
      <c r="D88" s="109">
        <v>3</v>
      </c>
      <c r="E88" s="109">
        <v>3</v>
      </c>
      <c r="F88" s="109">
        <v>2</v>
      </c>
      <c r="G88" s="109">
        <v>2</v>
      </c>
      <c r="H88" s="109">
        <v>3</v>
      </c>
      <c r="I88" s="109">
        <v>3</v>
      </c>
      <c r="K88" s="190">
        <f t="shared" si="16"/>
        <v>0</v>
      </c>
      <c r="L88" s="190">
        <f t="shared" si="17"/>
        <v>0</v>
      </c>
      <c r="M88" s="190">
        <f t="shared" si="18"/>
        <v>0</v>
      </c>
      <c r="N88" s="190">
        <f t="shared" si="19"/>
        <v>0</v>
      </c>
      <c r="O88" s="82">
        <f>IF(AI83=0,0,IF(H88&gt;AI83,0,1))</f>
        <v>0</v>
      </c>
      <c r="P88" s="190">
        <f>IF(I88&gt;LARGE($H$3:$L$3,2),0,1)</f>
        <v>0</v>
      </c>
      <c r="R88" s="355">
        <f t="shared" si="21"/>
        <v>0</v>
      </c>
      <c r="T88" s="190" t="s">
        <v>2237</v>
      </c>
      <c r="U88" s="190" t="s">
        <v>2239</v>
      </c>
      <c r="V88" s="190" t="s">
        <v>2239</v>
      </c>
      <c r="X88" s="21" t="s">
        <v>2937</v>
      </c>
      <c r="Y88" s="2" t="s">
        <v>1978</v>
      </c>
    </row>
    <row r="89" spans="1:40" x14ac:dyDescent="0.3">
      <c r="A89" s="2" t="str">
        <f>'Reference Score Calculation'!A80</f>
        <v>JS2510</v>
      </c>
      <c r="B89" s="2" t="str">
        <f>'Reference Score Calculation'!D80</f>
        <v>理學士(榮譽)</v>
      </c>
      <c r="C89" s="355">
        <f>'Offer Statistics'!AJ106</f>
        <v>195</v>
      </c>
      <c r="D89" s="109">
        <v>3</v>
      </c>
      <c r="E89" s="109">
        <v>3</v>
      </c>
      <c r="F89" s="109">
        <v>2</v>
      </c>
      <c r="G89" s="109">
        <v>2</v>
      </c>
      <c r="H89" s="109">
        <v>3</v>
      </c>
      <c r="I89" s="109">
        <v>3</v>
      </c>
      <c r="K89" s="190">
        <f t="shared" si="16"/>
        <v>0</v>
      </c>
      <c r="L89" s="190">
        <f t="shared" si="17"/>
        <v>0</v>
      </c>
      <c r="M89" s="190">
        <f t="shared" si="18"/>
        <v>0</v>
      </c>
      <c r="N89" s="190">
        <f t="shared" si="19"/>
        <v>0</v>
      </c>
      <c r="O89" s="190">
        <f t="shared" si="22"/>
        <v>0</v>
      </c>
      <c r="P89" s="190">
        <f>IF(I89&gt;LARGE($H$3:$M$3,2),0,1)</f>
        <v>0</v>
      </c>
      <c r="R89" s="355">
        <f t="shared" si="21"/>
        <v>0</v>
      </c>
      <c r="T89" s="190" t="s">
        <v>2237</v>
      </c>
      <c r="U89" s="190" t="s">
        <v>2238</v>
      </c>
      <c r="V89" s="190" t="s">
        <v>2237</v>
      </c>
      <c r="X89" s="2" t="s">
        <v>1978</v>
      </c>
      <c r="Y89" s="2" t="s">
        <v>1978</v>
      </c>
    </row>
    <row r="90" spans="1:40" x14ac:dyDescent="0.3">
      <c r="A90" s="2" t="str">
        <f>'Reference Score Calculation'!A81</f>
        <v>JS2610</v>
      </c>
      <c r="B90" s="2" t="str">
        <f>'Reference Score Calculation'!D81</f>
        <v>文學士(榮譽) / 社會科學學士(榮譽) (歐洲研究 [法文/德文] / 地理 / 全球及中國研究 / 政治及國際關係學 / 歷史 / 社會學)</v>
      </c>
      <c r="C90" s="355">
        <f>'Offer Statistics'!AJ107</f>
        <v>135</v>
      </c>
      <c r="D90" s="109">
        <v>3</v>
      </c>
      <c r="E90" s="109">
        <v>3</v>
      </c>
      <c r="F90" s="109">
        <v>2</v>
      </c>
      <c r="G90" s="109">
        <v>2</v>
      </c>
      <c r="H90" s="109">
        <v>3</v>
      </c>
      <c r="I90" s="109">
        <v>3</v>
      </c>
      <c r="K90" s="190">
        <f t="shared" si="16"/>
        <v>0</v>
      </c>
      <c r="L90" s="190">
        <f t="shared" si="17"/>
        <v>0</v>
      </c>
      <c r="M90" s="190">
        <f t="shared" si="18"/>
        <v>0</v>
      </c>
      <c r="N90" s="190">
        <f t="shared" si="19"/>
        <v>0</v>
      </c>
      <c r="O90" s="190">
        <f t="shared" si="22"/>
        <v>0</v>
      </c>
      <c r="P90" s="190">
        <f t="shared" si="20"/>
        <v>0</v>
      </c>
      <c r="R90" s="355">
        <f t="shared" si="21"/>
        <v>0</v>
      </c>
      <c r="T90" s="190" t="s">
        <v>2237</v>
      </c>
      <c r="U90" s="190" t="s">
        <v>2238</v>
      </c>
      <c r="V90" s="190" t="s">
        <v>2239</v>
      </c>
      <c r="X90" s="2" t="s">
        <v>1978</v>
      </c>
      <c r="Y90" s="2" t="s">
        <v>1978</v>
      </c>
    </row>
    <row r="91" spans="1:40" x14ac:dyDescent="0.3">
      <c r="A91" s="2" t="str">
        <f>'Reference Score Calculation'!A82</f>
        <v>JS2620</v>
      </c>
      <c r="B91" s="2" t="str">
        <f>'Reference Score Calculation'!D82</f>
        <v>體育及康樂管理文學士(榮譽)</v>
      </c>
      <c r="C91" s="355">
        <f>'Offer Statistics'!AJ108</f>
        <v>22</v>
      </c>
      <c r="D91" s="109">
        <v>3</v>
      </c>
      <c r="E91" s="109">
        <v>3</v>
      </c>
      <c r="F91" s="109">
        <v>2</v>
      </c>
      <c r="G91" s="109">
        <v>2</v>
      </c>
      <c r="H91" s="109">
        <v>3</v>
      </c>
      <c r="I91" s="109">
        <v>3</v>
      </c>
      <c r="K91" s="190">
        <f t="shared" si="16"/>
        <v>0</v>
      </c>
      <c r="L91" s="190">
        <f t="shared" si="17"/>
        <v>0</v>
      </c>
      <c r="M91" s="190">
        <f t="shared" si="18"/>
        <v>0</v>
      </c>
      <c r="N91" s="190">
        <f t="shared" si="19"/>
        <v>0</v>
      </c>
      <c r="O91" s="190">
        <f t="shared" si="22"/>
        <v>0</v>
      </c>
      <c r="P91" s="190">
        <f t="shared" si="20"/>
        <v>0</v>
      </c>
      <c r="R91" s="355">
        <f t="shared" si="21"/>
        <v>0</v>
      </c>
      <c r="T91" s="190" t="s">
        <v>2237</v>
      </c>
      <c r="U91" s="190" t="s">
        <v>2238</v>
      </c>
      <c r="V91" s="190" t="s">
        <v>2237</v>
      </c>
      <c r="X91" s="2" t="s">
        <v>1978</v>
      </c>
      <c r="Y91" s="2" t="s">
        <v>1978</v>
      </c>
    </row>
    <row r="92" spans="1:40" x14ac:dyDescent="0.3">
      <c r="A92" s="2" t="str">
        <f>'Reference Score Calculation'!A83</f>
        <v>JS2660</v>
      </c>
      <c r="B92" s="2" t="str">
        <f>'Reference Score Calculation'!D83</f>
        <v>社會工作學士(榮譽)</v>
      </c>
      <c r="C92" s="355">
        <f>'Offer Statistics'!AJ109</f>
        <v>30</v>
      </c>
      <c r="D92" s="109">
        <v>3</v>
      </c>
      <c r="E92" s="109">
        <v>3</v>
      </c>
      <c r="F92" s="109">
        <v>2</v>
      </c>
      <c r="G92" s="109">
        <v>2</v>
      </c>
      <c r="H92" s="109">
        <v>3</v>
      </c>
      <c r="I92" s="109">
        <v>3</v>
      </c>
      <c r="K92" s="190">
        <f t="shared" si="16"/>
        <v>0</v>
      </c>
      <c r="L92" s="190">
        <f t="shared" si="17"/>
        <v>0</v>
      </c>
      <c r="M92" s="190">
        <f t="shared" si="18"/>
        <v>0</v>
      </c>
      <c r="N92" s="190">
        <f t="shared" si="19"/>
        <v>0</v>
      </c>
      <c r="O92" s="190">
        <f t="shared" si="22"/>
        <v>0</v>
      </c>
      <c r="P92" s="190">
        <f t="shared" si="20"/>
        <v>0</v>
      </c>
      <c r="R92" s="355">
        <f t="shared" si="21"/>
        <v>0</v>
      </c>
      <c r="T92" s="190" t="s">
        <v>2237</v>
      </c>
      <c r="U92" s="190" t="s">
        <v>2238</v>
      </c>
      <c r="V92" s="190" t="s">
        <v>2237</v>
      </c>
      <c r="X92" s="2" t="s">
        <v>1978</v>
      </c>
      <c r="Y92" s="2" t="s">
        <v>1978</v>
      </c>
    </row>
    <row r="93" spans="1:40" x14ac:dyDescent="0.3">
      <c r="A93" s="2" t="str">
        <f>'Reference Score Calculation'!A84</f>
        <v>JS2810</v>
      </c>
      <c r="B93" s="2" t="str">
        <f>'Reference Score Calculation'!D84</f>
        <v>視覺藝術文學士(榮譽)</v>
      </c>
      <c r="C93" s="355">
        <f>'Offer Statistics'!AJ110</f>
        <v>40</v>
      </c>
      <c r="D93" s="109">
        <v>3</v>
      </c>
      <c r="E93" s="109">
        <v>3</v>
      </c>
      <c r="F93" s="109">
        <v>2</v>
      </c>
      <c r="G93" s="109">
        <v>2</v>
      </c>
      <c r="H93" s="109">
        <v>3</v>
      </c>
      <c r="I93" s="109">
        <v>3</v>
      </c>
      <c r="K93" s="190">
        <f t="shared" ref="K93:K98" si="23">IF(D93&gt;D$3,0,1)</f>
        <v>0</v>
      </c>
      <c r="L93" s="190">
        <f t="shared" ref="L93:L98" si="24">IF(E93&gt;E$3,0,1)</f>
        <v>0</v>
      </c>
      <c r="M93" s="190">
        <f t="shared" ref="M93:M98" si="25">IF(F93&gt;F$3,0,1)</f>
        <v>0</v>
      </c>
      <c r="N93" s="190">
        <f t="shared" ref="N93:N98" si="26">IF(G93&gt;G$3,0,1)</f>
        <v>0</v>
      </c>
      <c r="O93" s="190">
        <f t="shared" ref="O93:O97" si="27">IF(H93&gt;LARGE($H$3:$M$3,1),0,1)</f>
        <v>0</v>
      </c>
      <c r="P93" s="190">
        <f t="shared" ref="P93:P98" si="28">IF(I93&gt;LARGE($H$3:$M$3,2),0,1)</f>
        <v>0</v>
      </c>
      <c r="R93" s="355">
        <f t="shared" si="21"/>
        <v>0</v>
      </c>
      <c r="S93" s="190"/>
      <c r="T93" s="190" t="s">
        <v>2237</v>
      </c>
      <c r="U93" s="190" t="s">
        <v>2238</v>
      </c>
      <c r="V93" s="190" t="s">
        <v>2237</v>
      </c>
      <c r="W93" s="190"/>
      <c r="X93" s="2" t="s">
        <v>1978</v>
      </c>
      <c r="Y93" s="2" t="s">
        <v>1978</v>
      </c>
      <c r="AA93" s="190"/>
      <c r="AB93" s="190"/>
      <c r="AC93" s="190"/>
      <c r="AD93" s="190"/>
      <c r="AE93" s="190"/>
      <c r="AF93" s="190"/>
      <c r="AG93" s="190"/>
      <c r="AH93" s="190"/>
      <c r="AI93" s="190"/>
      <c r="AJ93" s="190"/>
      <c r="AK93" s="190"/>
      <c r="AL93" s="190"/>
      <c r="AM93" s="190"/>
      <c r="AN93" s="190"/>
    </row>
    <row r="94" spans="1:40" x14ac:dyDescent="0.3">
      <c r="A94" s="2" t="str">
        <f>'Reference Score Calculation'!A85</f>
        <v>JS2910</v>
      </c>
      <c r="B94" s="2" t="str">
        <f>'Reference Score Calculation'!D85</f>
        <v>商業計算及數據分析理學士(榮譽)</v>
      </c>
      <c r="C94" s="355">
        <f>'Offer Statistics'!AJ111</f>
        <v>15</v>
      </c>
      <c r="D94" s="109">
        <v>3</v>
      </c>
      <c r="E94" s="109">
        <v>3</v>
      </c>
      <c r="F94" s="109">
        <v>2</v>
      </c>
      <c r="G94" s="109">
        <v>2</v>
      </c>
      <c r="H94" s="109">
        <v>3</v>
      </c>
      <c r="I94" s="109">
        <v>3</v>
      </c>
      <c r="K94" s="190">
        <f t="shared" si="23"/>
        <v>0</v>
      </c>
      <c r="L94" s="190">
        <f t="shared" si="24"/>
        <v>0</v>
      </c>
      <c r="M94" s="190">
        <f t="shared" si="25"/>
        <v>0</v>
      </c>
      <c r="N94" s="190">
        <f t="shared" si="26"/>
        <v>0</v>
      </c>
      <c r="O94" s="190">
        <f>IF(H94&gt;LARGE($H$3:$L$3,1),0,1)</f>
        <v>0</v>
      </c>
      <c r="P94" s="190">
        <f>IF(I94&gt;LARGE($H$3:$L$3,2),0,1)</f>
        <v>0</v>
      </c>
      <c r="R94" s="355">
        <f t="shared" si="21"/>
        <v>0</v>
      </c>
      <c r="S94" s="190"/>
      <c r="T94" s="190" t="s">
        <v>2237</v>
      </c>
      <c r="U94" s="190" t="s">
        <v>2239</v>
      </c>
      <c r="V94" s="190" t="s">
        <v>2237</v>
      </c>
      <c r="W94" s="190"/>
      <c r="X94" s="2" t="s">
        <v>1978</v>
      </c>
      <c r="Y94" s="2" t="s">
        <v>1978</v>
      </c>
      <c r="AA94" s="190"/>
      <c r="AB94" s="190"/>
      <c r="AC94" s="190"/>
      <c r="AD94" s="190"/>
      <c r="AE94" s="190"/>
      <c r="AF94" s="190"/>
      <c r="AG94" s="190"/>
      <c r="AH94" s="190"/>
      <c r="AI94" s="190"/>
      <c r="AJ94" s="190"/>
      <c r="AK94" s="190"/>
      <c r="AL94" s="190"/>
      <c r="AM94" s="190"/>
      <c r="AN94" s="190"/>
    </row>
    <row r="95" spans="1:40" x14ac:dyDescent="0.3">
      <c r="A95" s="2" t="str">
        <f>'Reference Score Calculation'!A86</f>
        <v>JS2920</v>
      </c>
      <c r="B95" s="2" t="str">
        <f>'Reference Score Calculation'!D86</f>
        <v>藝術及科技文理學士(榮譽)</v>
      </c>
      <c r="C95" s="355">
        <f>'Offer Statistics'!AJ112</f>
        <v>40</v>
      </c>
      <c r="D95" s="109">
        <v>3</v>
      </c>
      <c r="E95" s="109">
        <v>3</v>
      </c>
      <c r="F95" s="109">
        <v>2</v>
      </c>
      <c r="G95" s="109">
        <v>2</v>
      </c>
      <c r="H95" s="109">
        <v>3</v>
      </c>
      <c r="I95" s="109">
        <v>3</v>
      </c>
      <c r="K95" s="190">
        <f t="shared" si="23"/>
        <v>0</v>
      </c>
      <c r="L95" s="190">
        <f t="shared" si="24"/>
        <v>0</v>
      </c>
      <c r="M95" s="190">
        <f t="shared" si="25"/>
        <v>0</v>
      </c>
      <c r="N95" s="190">
        <f t="shared" si="26"/>
        <v>0</v>
      </c>
      <c r="O95" s="190">
        <f t="shared" si="27"/>
        <v>0</v>
      </c>
      <c r="P95" s="190">
        <f t="shared" si="28"/>
        <v>0</v>
      </c>
      <c r="R95" s="355">
        <f t="shared" si="21"/>
        <v>0</v>
      </c>
      <c r="S95" s="190"/>
      <c r="T95" s="190" t="s">
        <v>2237</v>
      </c>
      <c r="U95" s="190" t="s">
        <v>2238</v>
      </c>
      <c r="V95" s="190" t="s">
        <v>2237</v>
      </c>
      <c r="W95" s="190"/>
      <c r="X95" s="2" t="s">
        <v>1978</v>
      </c>
      <c r="Y95" s="2" t="s">
        <v>1978</v>
      </c>
      <c r="AA95" s="190"/>
      <c r="AB95" s="190"/>
      <c r="AC95" s="190"/>
      <c r="AD95" s="190"/>
      <c r="AE95" s="190"/>
      <c r="AF95" s="190"/>
      <c r="AG95" s="190"/>
      <c r="AH95" s="190"/>
      <c r="AI95" s="190"/>
      <c r="AJ95" s="190"/>
      <c r="AK95" s="190"/>
      <c r="AL95" s="190"/>
      <c r="AM95" s="190"/>
      <c r="AN95" s="190"/>
    </row>
    <row r="96" spans="1:40" x14ac:dyDescent="0.3">
      <c r="A96" s="2" t="str">
        <f>'Reference Score Calculation'!A87</f>
        <v>JS2930</v>
      </c>
      <c r="B96" s="2" t="str">
        <f>'Reference Score Calculation'!D87</f>
        <v>工商管理文學士(榮譽)(全球娛樂)</v>
      </c>
      <c r="C96" s="355">
        <f>'Offer Statistics'!AJ113</f>
        <v>15</v>
      </c>
      <c r="D96" s="109">
        <v>3</v>
      </c>
      <c r="E96" s="109">
        <v>3</v>
      </c>
      <c r="F96" s="109">
        <v>2</v>
      </c>
      <c r="G96" s="109">
        <v>2</v>
      </c>
      <c r="H96" s="109">
        <v>3</v>
      </c>
      <c r="I96" s="109">
        <v>3</v>
      </c>
      <c r="K96" s="190">
        <f t="shared" si="23"/>
        <v>0</v>
      </c>
      <c r="L96" s="190">
        <f t="shared" si="24"/>
        <v>0</v>
      </c>
      <c r="M96" s="190">
        <f t="shared" si="25"/>
        <v>0</v>
      </c>
      <c r="N96" s="190">
        <f t="shared" si="26"/>
        <v>0</v>
      </c>
      <c r="O96" s="190">
        <f t="shared" si="27"/>
        <v>0</v>
      </c>
      <c r="P96" s="190">
        <f t="shared" si="28"/>
        <v>0</v>
      </c>
      <c r="R96" s="355">
        <f t="shared" si="21"/>
        <v>0</v>
      </c>
      <c r="S96" s="190"/>
      <c r="T96" s="190" t="s">
        <v>2237</v>
      </c>
      <c r="U96" s="190" t="s">
        <v>2238</v>
      </c>
      <c r="V96" s="190" t="s">
        <v>2237</v>
      </c>
      <c r="W96" s="190"/>
      <c r="X96" s="2" t="s">
        <v>1978</v>
      </c>
      <c r="Y96" s="2" t="s">
        <v>1978</v>
      </c>
      <c r="AA96" s="190"/>
      <c r="AB96" s="190"/>
      <c r="AC96" s="190"/>
      <c r="AD96" s="190"/>
      <c r="AE96" s="190"/>
      <c r="AF96" s="190"/>
      <c r="AG96" s="190"/>
      <c r="AH96" s="190"/>
      <c r="AI96" s="190"/>
      <c r="AJ96" s="190"/>
      <c r="AK96" s="190"/>
      <c r="AL96" s="190"/>
      <c r="AM96" s="190"/>
      <c r="AN96" s="190"/>
    </row>
    <row r="97" spans="1:40" x14ac:dyDescent="0.3">
      <c r="A97" s="2" t="str">
        <f>'Reference Score Calculation'!A88</f>
        <v>JS2940</v>
      </c>
      <c r="B97" s="2" t="str">
        <f>'Reference Score Calculation'!D88</f>
        <v>創新醫療及社會健康社會科學學士(榮譽) / 理學士(榮譽)</v>
      </c>
      <c r="C97" s="355">
        <f>'Offer Statistics'!AJ114</f>
        <v>30</v>
      </c>
      <c r="D97" s="109">
        <v>3</v>
      </c>
      <c r="E97" s="109">
        <v>3</v>
      </c>
      <c r="F97" s="109">
        <v>2</v>
      </c>
      <c r="G97" s="109">
        <v>2</v>
      </c>
      <c r="H97" s="109">
        <v>3</v>
      </c>
      <c r="I97" s="109">
        <v>3</v>
      </c>
      <c r="K97" s="190">
        <f t="shared" si="23"/>
        <v>0</v>
      </c>
      <c r="L97" s="190">
        <f t="shared" si="24"/>
        <v>0</v>
      </c>
      <c r="M97" s="190">
        <f t="shared" si="25"/>
        <v>0</v>
      </c>
      <c r="N97" s="190">
        <f t="shared" si="26"/>
        <v>0</v>
      </c>
      <c r="O97" s="190">
        <f t="shared" si="27"/>
        <v>0</v>
      </c>
      <c r="P97" s="190">
        <f t="shared" si="28"/>
        <v>0</v>
      </c>
      <c r="R97" s="355">
        <f t="shared" si="21"/>
        <v>0</v>
      </c>
      <c r="S97" s="190"/>
      <c r="T97" s="190" t="s">
        <v>2237</v>
      </c>
      <c r="U97" s="190" t="s">
        <v>2238</v>
      </c>
      <c r="V97" s="190" t="s">
        <v>2237</v>
      </c>
      <c r="W97" s="190"/>
      <c r="X97" s="2" t="s">
        <v>1978</v>
      </c>
      <c r="Y97" s="2" t="s">
        <v>1978</v>
      </c>
      <c r="AA97" s="190"/>
      <c r="AB97" s="190"/>
      <c r="AC97" s="190"/>
      <c r="AD97" s="190"/>
      <c r="AE97" s="190"/>
      <c r="AF97" s="190"/>
      <c r="AG97" s="190"/>
      <c r="AH97" s="190"/>
      <c r="AI97" s="190"/>
      <c r="AJ97" s="190"/>
      <c r="AK97" s="190"/>
      <c r="AL97" s="190"/>
      <c r="AM97" s="190"/>
      <c r="AN97" s="190"/>
    </row>
    <row r="98" spans="1:40" x14ac:dyDescent="0.3">
      <c r="A98" s="2" t="str">
        <f>'Reference Score Calculation'!A89</f>
        <v>JS2950</v>
      </c>
      <c r="B98" s="2" t="str">
        <f>'Reference Score Calculation'!D89</f>
        <v>文理及科技學士(榮譽)</v>
      </c>
      <c r="C98" s="355">
        <f>'Offer Statistics'!AJ115</f>
        <v>10</v>
      </c>
      <c r="D98" s="109">
        <v>3</v>
      </c>
      <c r="E98" s="109">
        <v>3</v>
      </c>
      <c r="F98" s="109">
        <v>2</v>
      </c>
      <c r="G98" s="109">
        <v>2</v>
      </c>
      <c r="H98" s="109">
        <v>3</v>
      </c>
      <c r="I98" s="109">
        <v>3</v>
      </c>
      <c r="K98" s="190">
        <f t="shared" si="23"/>
        <v>0</v>
      </c>
      <c r="L98" s="190">
        <f t="shared" si="24"/>
        <v>0</v>
      </c>
      <c r="M98" s="190">
        <f t="shared" si="25"/>
        <v>0</v>
      </c>
      <c r="N98" s="190">
        <f t="shared" si="26"/>
        <v>0</v>
      </c>
      <c r="O98" s="190">
        <f>IF(H98&gt;LARGE($H$3:$M$3,1),0,1)</f>
        <v>0</v>
      </c>
      <c r="P98" s="190">
        <f t="shared" si="28"/>
        <v>0</v>
      </c>
      <c r="R98" s="355">
        <f t="shared" si="21"/>
        <v>0</v>
      </c>
      <c r="S98" s="190"/>
      <c r="T98" s="190" t="s">
        <v>2237</v>
      </c>
      <c r="U98" s="190" t="s">
        <v>2238</v>
      </c>
      <c r="V98" s="190" t="s">
        <v>2237</v>
      </c>
      <c r="W98" s="190"/>
      <c r="X98" s="2" t="s">
        <v>1978</v>
      </c>
      <c r="Y98" s="2" t="s">
        <v>1978</v>
      </c>
      <c r="AA98" s="190"/>
      <c r="AB98" s="190"/>
      <c r="AC98" s="190"/>
      <c r="AD98" s="190"/>
      <c r="AE98" s="190"/>
      <c r="AF98" s="190"/>
      <c r="AG98" s="190"/>
      <c r="AH98" s="190"/>
      <c r="AI98" s="190"/>
      <c r="AJ98" s="190"/>
      <c r="AK98" s="190"/>
      <c r="AL98" s="190"/>
      <c r="AM98" s="190"/>
      <c r="AN98" s="190"/>
    </row>
    <row r="99" spans="1:40" x14ac:dyDescent="0.3">
      <c r="A99" s="11" t="s">
        <v>2246</v>
      </c>
      <c r="B99" s="251"/>
      <c r="D99" s="251"/>
      <c r="E99" s="251"/>
      <c r="F99" s="251"/>
      <c r="G99" s="251"/>
      <c r="H99" s="251"/>
      <c r="I99" s="251"/>
      <c r="J99" s="251"/>
      <c r="K99" s="251"/>
      <c r="L99" s="251"/>
      <c r="M99" s="251"/>
      <c r="N99" s="251"/>
      <c r="O99" s="251"/>
      <c r="P99" s="251"/>
      <c r="Q99" s="251"/>
      <c r="R99" s="251"/>
      <c r="S99" s="251"/>
      <c r="T99" s="251"/>
      <c r="U99" s="251"/>
      <c r="V99" s="251"/>
      <c r="W99" s="251"/>
      <c r="X99" s="251"/>
      <c r="Y99" s="251"/>
      <c r="Z99" s="251"/>
    </row>
    <row r="100" spans="1:40" x14ac:dyDescent="0.3">
      <c r="A100" s="11" t="s">
        <v>1942</v>
      </c>
      <c r="B100" s="11" t="s">
        <v>1944</v>
      </c>
      <c r="C100" s="356" t="s">
        <v>1950</v>
      </c>
      <c r="D100" s="111" t="s">
        <v>1953</v>
      </c>
      <c r="E100" s="111" t="s">
        <v>1954</v>
      </c>
      <c r="F100" s="111" t="s">
        <v>1955</v>
      </c>
      <c r="G100" s="111" t="s">
        <v>1956</v>
      </c>
      <c r="H100" s="111" t="s">
        <v>1957</v>
      </c>
      <c r="I100" s="111" t="s">
        <v>1958</v>
      </c>
      <c r="J100" s="11"/>
      <c r="K100" s="19" t="s">
        <v>1953</v>
      </c>
      <c r="L100" s="19" t="s">
        <v>1954</v>
      </c>
      <c r="M100" s="19" t="s">
        <v>1955</v>
      </c>
      <c r="N100" s="19" t="s">
        <v>1956</v>
      </c>
      <c r="O100" s="19" t="s">
        <v>1957</v>
      </c>
      <c r="P100" s="19" t="s">
        <v>1958</v>
      </c>
      <c r="Q100" s="16"/>
      <c r="R100" s="19" t="s">
        <v>1951</v>
      </c>
      <c r="T100" s="19" t="s">
        <v>2233</v>
      </c>
      <c r="U100" s="19" t="s">
        <v>2234</v>
      </c>
      <c r="V100" s="19" t="s">
        <v>2235</v>
      </c>
      <c r="W100" s="251"/>
      <c r="X100" s="251"/>
      <c r="Y100" s="251"/>
      <c r="Z100" s="251"/>
      <c r="AA100" s="312"/>
      <c r="AB100" s="312"/>
      <c r="AC100" s="312"/>
      <c r="AD100" s="312"/>
      <c r="AE100" s="312"/>
      <c r="AF100" s="19"/>
    </row>
    <row r="101" spans="1:40" x14ac:dyDescent="0.3">
      <c r="A101" s="251" t="str">
        <f>'Reference Score Calculation'!A92</f>
        <v>JS3010</v>
      </c>
      <c r="B101" s="251" t="str">
        <f>'Reference Score Calculation'!D92</f>
        <v>生物科技、食物安全及化學科技(榮譽)理學士組合課程</v>
      </c>
      <c r="C101" s="355">
        <v>76</v>
      </c>
      <c r="D101" s="109">
        <v>3</v>
      </c>
      <c r="E101" s="109">
        <v>3</v>
      </c>
      <c r="F101" s="109">
        <v>2</v>
      </c>
      <c r="G101" s="109">
        <v>2</v>
      </c>
      <c r="H101" s="109">
        <v>3</v>
      </c>
      <c r="I101" s="109">
        <v>3</v>
      </c>
      <c r="K101" s="312">
        <f>IF(D101&gt;D$3,0,1)</f>
        <v>0</v>
      </c>
      <c r="L101" s="312">
        <f t="shared" ref="L101:N101" si="29">IF(E101&gt;E$3,0,1)</f>
        <v>0</v>
      </c>
      <c r="M101" s="312">
        <f t="shared" si="29"/>
        <v>0</v>
      </c>
      <c r="N101" s="312">
        <f t="shared" si="29"/>
        <v>0</v>
      </c>
      <c r="O101" s="312">
        <f>IF(H101&gt;LARGE($H$3:$M$3,1),0,1)</f>
        <v>0</v>
      </c>
      <c r="P101" s="312">
        <f>IF(I101&gt;LARGE($H$3:$M$3,2),0,1)</f>
        <v>0</v>
      </c>
      <c r="R101" s="16">
        <f t="shared" ref="R101:R145" si="30">K101*L101*M101*N101*O101*P101</f>
        <v>0</v>
      </c>
      <c r="T101" s="16" t="s">
        <v>2237</v>
      </c>
      <c r="U101" s="16" t="s">
        <v>2238</v>
      </c>
      <c r="V101" s="16" t="s">
        <v>2237</v>
      </c>
      <c r="X101" s="344" t="s">
        <v>1978</v>
      </c>
      <c r="Y101" s="344" t="s">
        <v>1978</v>
      </c>
    </row>
    <row r="102" spans="1:40" x14ac:dyDescent="0.3">
      <c r="A102" s="251" t="str">
        <f>'Reference Score Calculation'!A93</f>
        <v>JS3010-2</v>
      </c>
      <c r="B102" s="251" t="str">
        <f>'Reference Score Calculation'!D93</f>
        <v/>
      </c>
      <c r="D102" s="109">
        <v>3</v>
      </c>
      <c r="E102" s="109">
        <v>3</v>
      </c>
      <c r="F102" s="109">
        <v>2</v>
      </c>
      <c r="G102" s="109">
        <v>2</v>
      </c>
      <c r="H102" s="109">
        <v>3</v>
      </c>
      <c r="I102" s="109">
        <v>3</v>
      </c>
      <c r="K102" s="312">
        <f t="shared" ref="K102:K145" si="31">IF(D102&gt;D$3,0,1)</f>
        <v>0</v>
      </c>
      <c r="L102" s="312">
        <f t="shared" ref="L102:L145" si="32">IF(E102&gt;E$3,0,1)</f>
        <v>0</v>
      </c>
      <c r="M102" s="312">
        <f t="shared" ref="M102:M145" si="33">IF(F102&gt;F$3,0,1)</f>
        <v>0</v>
      </c>
      <c r="N102" s="312">
        <f t="shared" ref="N102:N145" si="34">IF(G102&gt;G$3,0,1)</f>
        <v>0</v>
      </c>
      <c r="O102" s="312">
        <f t="shared" ref="O102:O144" si="35">IF(H102&gt;LARGE($H$3:$M$3,1),0,1)</f>
        <v>0</v>
      </c>
      <c r="P102" s="355">
        <f t="shared" ref="P102:P145" si="36">IF(I102&gt;LARGE($H$3:$M$3,2),0,1)</f>
        <v>0</v>
      </c>
      <c r="R102" s="16">
        <f t="shared" si="30"/>
        <v>0</v>
      </c>
      <c r="T102" s="312" t="s">
        <v>2237</v>
      </c>
      <c r="U102" s="312" t="s">
        <v>2238</v>
      </c>
      <c r="V102" s="312" t="s">
        <v>2237</v>
      </c>
      <c r="X102" s="344" t="s">
        <v>1978</v>
      </c>
      <c r="Y102" s="344" t="s">
        <v>1978</v>
      </c>
    </row>
    <row r="103" spans="1:40" x14ac:dyDescent="0.3">
      <c r="A103" s="251" t="str">
        <f>'Reference Score Calculation'!A94</f>
        <v>JS3010-3</v>
      </c>
      <c r="B103" s="251" t="str">
        <f>'Reference Score Calculation'!D94</f>
        <v/>
      </c>
      <c r="D103" s="109">
        <v>3</v>
      </c>
      <c r="E103" s="109">
        <v>3</v>
      </c>
      <c r="F103" s="109">
        <v>2</v>
      </c>
      <c r="G103" s="109">
        <v>2</v>
      </c>
      <c r="H103" s="109">
        <v>3</v>
      </c>
      <c r="I103" s="109">
        <v>3</v>
      </c>
      <c r="K103" s="312">
        <f t="shared" si="31"/>
        <v>0</v>
      </c>
      <c r="L103" s="312">
        <f t="shared" si="32"/>
        <v>0</v>
      </c>
      <c r="M103" s="312">
        <f t="shared" si="33"/>
        <v>0</v>
      </c>
      <c r="N103" s="312">
        <f t="shared" si="34"/>
        <v>0</v>
      </c>
      <c r="O103" s="312">
        <f t="shared" si="35"/>
        <v>0</v>
      </c>
      <c r="P103" s="355">
        <f t="shared" si="36"/>
        <v>0</v>
      </c>
      <c r="R103" s="16">
        <f t="shared" si="30"/>
        <v>0</v>
      </c>
      <c r="T103" s="312" t="s">
        <v>2237</v>
      </c>
      <c r="U103" s="312" t="s">
        <v>2238</v>
      </c>
      <c r="V103" s="312" t="s">
        <v>2237</v>
      </c>
      <c r="X103" s="344" t="s">
        <v>1978</v>
      </c>
      <c r="Y103" s="344" t="s">
        <v>1978</v>
      </c>
    </row>
    <row r="104" spans="1:40" x14ac:dyDescent="0.3">
      <c r="A104" s="251" t="str">
        <f>'Reference Score Calculation'!A95</f>
        <v>JS3020</v>
      </c>
      <c r="B104" s="251" t="str">
        <f>'Reference Score Calculation'!D95</f>
        <v>數據科學(榮譽)理學士組合課程</v>
      </c>
      <c r="C104" s="355">
        <v>25</v>
      </c>
      <c r="D104" s="109">
        <v>3</v>
      </c>
      <c r="E104" s="109">
        <v>3</v>
      </c>
      <c r="F104" s="109">
        <v>2</v>
      </c>
      <c r="G104" s="109">
        <v>2</v>
      </c>
      <c r="H104" s="109">
        <v>3</v>
      </c>
      <c r="I104" s="109">
        <v>3</v>
      </c>
      <c r="K104" s="312">
        <f t="shared" si="31"/>
        <v>0</v>
      </c>
      <c r="L104" s="312">
        <f t="shared" si="32"/>
        <v>0</v>
      </c>
      <c r="M104" s="312">
        <f t="shared" si="33"/>
        <v>0</v>
      </c>
      <c r="N104" s="312">
        <f t="shared" si="34"/>
        <v>0</v>
      </c>
      <c r="O104" s="312">
        <f t="shared" si="35"/>
        <v>0</v>
      </c>
      <c r="P104" s="355">
        <f t="shared" si="36"/>
        <v>0</v>
      </c>
      <c r="R104" s="16">
        <f t="shared" si="30"/>
        <v>0</v>
      </c>
      <c r="T104" s="312" t="s">
        <v>2237</v>
      </c>
      <c r="U104" s="312" t="s">
        <v>2238</v>
      </c>
      <c r="V104" s="16" t="s">
        <v>2239</v>
      </c>
      <c r="X104" s="344" t="s">
        <v>1978</v>
      </c>
      <c r="Y104" s="344" t="s">
        <v>1978</v>
      </c>
    </row>
    <row r="105" spans="1:40" x14ac:dyDescent="0.3">
      <c r="A105" s="251" t="str">
        <f>'Reference Score Calculation'!A96</f>
        <v>JS3030</v>
      </c>
      <c r="B105" s="251" t="str">
        <f>'Reference Score Calculation'!D96</f>
        <v>物理學(榮譽)理學士 副主修人工智能及數據分析 / 創新及創業</v>
      </c>
      <c r="C105" s="355">
        <v>25</v>
      </c>
      <c r="D105" s="109">
        <v>3</v>
      </c>
      <c r="E105" s="109">
        <v>3</v>
      </c>
      <c r="F105" s="109">
        <v>2</v>
      </c>
      <c r="G105" s="109">
        <v>2</v>
      </c>
      <c r="H105" s="109">
        <v>3</v>
      </c>
      <c r="I105" s="109">
        <v>3</v>
      </c>
      <c r="K105" s="312">
        <f t="shared" si="31"/>
        <v>0</v>
      </c>
      <c r="L105" s="312">
        <f t="shared" si="32"/>
        <v>0</v>
      </c>
      <c r="M105" s="312">
        <f t="shared" si="33"/>
        <v>0</v>
      </c>
      <c r="N105" s="312">
        <f t="shared" si="34"/>
        <v>0</v>
      </c>
      <c r="O105" s="312">
        <f t="shared" si="35"/>
        <v>0</v>
      </c>
      <c r="P105" s="355">
        <f t="shared" si="36"/>
        <v>0</v>
      </c>
      <c r="R105" s="16">
        <f t="shared" si="30"/>
        <v>0</v>
      </c>
      <c r="T105" s="312" t="s">
        <v>2237</v>
      </c>
      <c r="U105" s="312" t="s">
        <v>2238</v>
      </c>
      <c r="V105" s="312" t="s">
        <v>2239</v>
      </c>
      <c r="X105" s="344" t="s">
        <v>1978</v>
      </c>
      <c r="Y105" s="344" t="s">
        <v>1978</v>
      </c>
    </row>
    <row r="106" spans="1:40" x14ac:dyDescent="0.3">
      <c r="A106" s="251" t="str">
        <f>'Reference Score Calculation'!A97</f>
        <v>JS3060</v>
      </c>
      <c r="B106" s="251" t="str">
        <f>'Reference Score Calculation'!D97</f>
        <v>會計及金融(榮譽)工商管理學士組合課程</v>
      </c>
      <c r="C106" s="355">
        <v>160</v>
      </c>
      <c r="D106" s="109">
        <v>3</v>
      </c>
      <c r="E106" s="109">
        <v>3</v>
      </c>
      <c r="F106" s="109">
        <v>2</v>
      </c>
      <c r="G106" s="109">
        <v>2</v>
      </c>
      <c r="H106" s="109">
        <v>3</v>
      </c>
      <c r="I106" s="109">
        <v>3</v>
      </c>
      <c r="K106" s="312">
        <f t="shared" si="31"/>
        <v>0</v>
      </c>
      <c r="L106" s="312">
        <f t="shared" si="32"/>
        <v>0</v>
      </c>
      <c r="M106" s="312">
        <f t="shared" si="33"/>
        <v>0</v>
      </c>
      <c r="N106" s="312">
        <f t="shared" si="34"/>
        <v>0</v>
      </c>
      <c r="O106" s="312">
        <f t="shared" si="35"/>
        <v>0</v>
      </c>
      <c r="P106" s="355">
        <f t="shared" si="36"/>
        <v>0</v>
      </c>
      <c r="R106" s="16">
        <f t="shared" si="30"/>
        <v>0</v>
      </c>
      <c r="T106" s="312" t="s">
        <v>2237</v>
      </c>
      <c r="U106" s="312" t="s">
        <v>2238</v>
      </c>
      <c r="V106" s="312" t="s">
        <v>2239</v>
      </c>
      <c r="X106" s="344" t="s">
        <v>1978</v>
      </c>
      <c r="Y106" s="344" t="s">
        <v>1978</v>
      </c>
    </row>
    <row r="107" spans="1:40" x14ac:dyDescent="0.3">
      <c r="A107" s="251" t="str">
        <f>'Reference Score Calculation'!A98</f>
        <v>JS3060-2</v>
      </c>
      <c r="B107" s="251" t="str">
        <f>'Reference Score Calculation'!D98</f>
        <v/>
      </c>
      <c r="D107" s="109">
        <v>3</v>
      </c>
      <c r="E107" s="109">
        <v>3</v>
      </c>
      <c r="F107" s="109">
        <v>2</v>
      </c>
      <c r="G107" s="109">
        <v>2</v>
      </c>
      <c r="H107" s="109">
        <v>3</v>
      </c>
      <c r="I107" s="109">
        <v>3</v>
      </c>
      <c r="K107" s="312">
        <f t="shared" si="31"/>
        <v>0</v>
      </c>
      <c r="L107" s="312">
        <f t="shared" si="32"/>
        <v>0</v>
      </c>
      <c r="M107" s="312">
        <f t="shared" si="33"/>
        <v>0</v>
      </c>
      <c r="N107" s="312">
        <f t="shared" si="34"/>
        <v>0</v>
      </c>
      <c r="O107" s="312">
        <f t="shared" si="35"/>
        <v>0</v>
      </c>
      <c r="P107" s="355">
        <f t="shared" si="36"/>
        <v>0</v>
      </c>
      <c r="R107" s="16">
        <f t="shared" si="30"/>
        <v>0</v>
      </c>
      <c r="T107" s="312" t="s">
        <v>2237</v>
      </c>
      <c r="U107" s="312" t="s">
        <v>2238</v>
      </c>
      <c r="V107" s="312" t="s">
        <v>2239</v>
      </c>
      <c r="X107" s="344" t="s">
        <v>1978</v>
      </c>
      <c r="Y107" s="344" t="s">
        <v>1978</v>
      </c>
    </row>
    <row r="108" spans="1:40" x14ac:dyDescent="0.3">
      <c r="A108" s="251" t="str">
        <f>'Reference Score Calculation'!A99</f>
        <v>JS3060-3</v>
      </c>
      <c r="B108" s="251" t="str">
        <f>'Reference Score Calculation'!D99</f>
        <v/>
      </c>
      <c r="D108" s="109">
        <v>3</v>
      </c>
      <c r="E108" s="109">
        <v>3</v>
      </c>
      <c r="F108" s="109">
        <v>2</v>
      </c>
      <c r="G108" s="109">
        <v>2</v>
      </c>
      <c r="H108" s="109">
        <v>3</v>
      </c>
      <c r="I108" s="109">
        <v>3</v>
      </c>
      <c r="K108" s="312">
        <f t="shared" si="31"/>
        <v>0</v>
      </c>
      <c r="L108" s="312">
        <f t="shared" si="32"/>
        <v>0</v>
      </c>
      <c r="M108" s="312">
        <f t="shared" si="33"/>
        <v>0</v>
      </c>
      <c r="N108" s="312">
        <f t="shared" si="34"/>
        <v>0</v>
      </c>
      <c r="O108" s="312">
        <f t="shared" si="35"/>
        <v>0</v>
      </c>
      <c r="P108" s="355">
        <f t="shared" si="36"/>
        <v>0</v>
      </c>
      <c r="R108" s="16">
        <f t="shared" si="30"/>
        <v>0</v>
      </c>
      <c r="T108" s="312" t="s">
        <v>2237</v>
      </c>
      <c r="U108" s="312" t="s">
        <v>2238</v>
      </c>
      <c r="V108" s="312" t="s">
        <v>2239</v>
      </c>
      <c r="X108" s="344" t="s">
        <v>1978</v>
      </c>
      <c r="Y108" s="344" t="s">
        <v>1978</v>
      </c>
    </row>
    <row r="109" spans="1:40" x14ac:dyDescent="0.3">
      <c r="A109" s="251" t="str">
        <f>'Reference Score Calculation'!A100</f>
        <v>JS3070</v>
      </c>
      <c r="B109" s="251" t="str">
        <f>'Reference Score Calculation'!D100</f>
        <v>航空、航運及供應鏈管理(榮譽)工商管理學士組合課程</v>
      </c>
      <c r="C109" s="355">
        <v>60</v>
      </c>
      <c r="D109" s="109">
        <v>3</v>
      </c>
      <c r="E109" s="109">
        <v>3</v>
      </c>
      <c r="F109" s="109">
        <v>2</v>
      </c>
      <c r="G109" s="109">
        <v>2</v>
      </c>
      <c r="H109" s="109">
        <v>3</v>
      </c>
      <c r="I109" s="109">
        <v>3</v>
      </c>
      <c r="K109" s="312">
        <f t="shared" si="31"/>
        <v>0</v>
      </c>
      <c r="L109" s="312">
        <f t="shared" si="32"/>
        <v>0</v>
      </c>
      <c r="M109" s="312">
        <f t="shared" si="33"/>
        <v>0</v>
      </c>
      <c r="N109" s="312">
        <f t="shared" si="34"/>
        <v>0</v>
      </c>
      <c r="O109" s="312">
        <f t="shared" si="35"/>
        <v>0</v>
      </c>
      <c r="P109" s="355">
        <f t="shared" si="36"/>
        <v>0</v>
      </c>
      <c r="R109" s="16">
        <f t="shared" si="30"/>
        <v>0</v>
      </c>
      <c r="T109" s="312" t="s">
        <v>2237</v>
      </c>
      <c r="U109" s="312" t="s">
        <v>2238</v>
      </c>
      <c r="V109" s="312" t="s">
        <v>2239</v>
      </c>
      <c r="X109" s="344" t="s">
        <v>1978</v>
      </c>
      <c r="Y109" s="344" t="s">
        <v>1978</v>
      </c>
    </row>
    <row r="110" spans="1:40" x14ac:dyDescent="0.3">
      <c r="A110" s="251" t="str">
        <f>'Reference Score Calculation'!A101</f>
        <v>JS3070-2</v>
      </c>
      <c r="B110" s="251" t="str">
        <f>'Reference Score Calculation'!D101</f>
        <v/>
      </c>
      <c r="D110" s="109">
        <v>3</v>
      </c>
      <c r="E110" s="109">
        <v>3</v>
      </c>
      <c r="F110" s="109">
        <v>2</v>
      </c>
      <c r="G110" s="109">
        <v>2</v>
      </c>
      <c r="H110" s="109">
        <v>3</v>
      </c>
      <c r="I110" s="109">
        <v>3</v>
      </c>
      <c r="K110" s="312">
        <f t="shared" si="31"/>
        <v>0</v>
      </c>
      <c r="L110" s="312">
        <f t="shared" si="32"/>
        <v>0</v>
      </c>
      <c r="M110" s="312">
        <f t="shared" si="33"/>
        <v>0</v>
      </c>
      <c r="N110" s="312">
        <f t="shared" si="34"/>
        <v>0</v>
      </c>
      <c r="O110" s="312">
        <f t="shared" si="35"/>
        <v>0</v>
      </c>
      <c r="P110" s="355">
        <f t="shared" si="36"/>
        <v>0</v>
      </c>
      <c r="R110" s="16">
        <f t="shared" si="30"/>
        <v>0</v>
      </c>
      <c r="T110" s="312" t="s">
        <v>2237</v>
      </c>
      <c r="U110" s="312" t="s">
        <v>2238</v>
      </c>
      <c r="V110" s="312" t="s">
        <v>2239</v>
      </c>
      <c r="X110" s="344" t="s">
        <v>1978</v>
      </c>
      <c r="Y110" s="344" t="s">
        <v>1978</v>
      </c>
    </row>
    <row r="111" spans="1:40" x14ac:dyDescent="0.3">
      <c r="A111" s="251" t="str">
        <f>'Reference Score Calculation'!A102</f>
        <v>JS3080</v>
      </c>
      <c r="B111" s="251" t="str">
        <f>'Reference Score Calculation'!D102</f>
        <v>管理及市場學(榮譽)工商管理學士組合課程</v>
      </c>
      <c r="C111" s="355">
        <v>97</v>
      </c>
      <c r="D111" s="109">
        <v>3</v>
      </c>
      <c r="E111" s="109">
        <v>3</v>
      </c>
      <c r="F111" s="109">
        <v>2</v>
      </c>
      <c r="G111" s="109">
        <v>2</v>
      </c>
      <c r="H111" s="109">
        <v>3</v>
      </c>
      <c r="I111" s="109">
        <v>3</v>
      </c>
      <c r="K111" s="312">
        <f t="shared" si="31"/>
        <v>0</v>
      </c>
      <c r="L111" s="312">
        <f t="shared" si="32"/>
        <v>0</v>
      </c>
      <c r="M111" s="312">
        <f t="shared" si="33"/>
        <v>0</v>
      </c>
      <c r="N111" s="312">
        <f t="shared" si="34"/>
        <v>0</v>
      </c>
      <c r="O111" s="312">
        <f t="shared" si="35"/>
        <v>0</v>
      </c>
      <c r="P111" s="355">
        <f t="shared" si="36"/>
        <v>0</v>
      </c>
      <c r="R111" s="16">
        <f t="shared" si="30"/>
        <v>0</v>
      </c>
      <c r="T111" s="312" t="s">
        <v>2237</v>
      </c>
      <c r="U111" s="312" t="s">
        <v>2238</v>
      </c>
      <c r="V111" s="312" t="s">
        <v>2239</v>
      </c>
      <c r="X111" s="344" t="s">
        <v>1978</v>
      </c>
      <c r="Y111" s="344" t="s">
        <v>1978</v>
      </c>
    </row>
    <row r="112" spans="1:40" x14ac:dyDescent="0.3">
      <c r="A112" s="251" t="str">
        <f>'Reference Score Calculation'!A103</f>
        <v>JS3080-2</v>
      </c>
      <c r="B112" s="251" t="str">
        <f>'Reference Score Calculation'!D103</f>
        <v/>
      </c>
      <c r="D112" s="109">
        <v>3</v>
      </c>
      <c r="E112" s="109">
        <v>3</v>
      </c>
      <c r="F112" s="109">
        <v>2</v>
      </c>
      <c r="G112" s="109">
        <v>2</v>
      </c>
      <c r="H112" s="109">
        <v>3</v>
      </c>
      <c r="I112" s="109">
        <v>3</v>
      </c>
      <c r="K112" s="312">
        <f t="shared" si="31"/>
        <v>0</v>
      </c>
      <c r="L112" s="312">
        <f t="shared" si="32"/>
        <v>0</v>
      </c>
      <c r="M112" s="312">
        <f t="shared" si="33"/>
        <v>0</v>
      </c>
      <c r="N112" s="312">
        <f t="shared" si="34"/>
        <v>0</v>
      </c>
      <c r="O112" s="312">
        <f t="shared" si="35"/>
        <v>0</v>
      </c>
      <c r="P112" s="355">
        <f t="shared" si="36"/>
        <v>0</v>
      </c>
      <c r="R112" s="16">
        <f t="shared" si="30"/>
        <v>0</v>
      </c>
      <c r="T112" s="312" t="s">
        <v>2237</v>
      </c>
      <c r="U112" s="312" t="s">
        <v>2238</v>
      </c>
      <c r="V112" s="312" t="s">
        <v>2239</v>
      </c>
      <c r="X112" s="344" t="s">
        <v>1978</v>
      </c>
      <c r="Y112" s="344" t="s">
        <v>1978</v>
      </c>
    </row>
    <row r="113" spans="1:25" x14ac:dyDescent="0.3">
      <c r="A113" s="251" t="str">
        <f>'Reference Score Calculation'!A104</f>
        <v>JS3100</v>
      </c>
      <c r="B113" s="251" t="str">
        <f>'Reference Score Calculation'!D104</f>
        <v>建築及房地產(榮譽)理學士組合課程</v>
      </c>
      <c r="C113" s="355">
        <v>98</v>
      </c>
      <c r="D113" s="109">
        <v>3</v>
      </c>
      <c r="E113" s="109">
        <v>3</v>
      </c>
      <c r="F113" s="109">
        <v>2</v>
      </c>
      <c r="G113" s="109">
        <v>2</v>
      </c>
      <c r="H113" s="109">
        <v>3</v>
      </c>
      <c r="I113" s="109">
        <v>3</v>
      </c>
      <c r="K113" s="312">
        <f t="shared" si="31"/>
        <v>0</v>
      </c>
      <c r="L113" s="312">
        <f t="shared" si="32"/>
        <v>0</v>
      </c>
      <c r="M113" s="312">
        <f t="shared" si="33"/>
        <v>0</v>
      </c>
      <c r="N113" s="312">
        <f t="shared" si="34"/>
        <v>0</v>
      </c>
      <c r="O113" s="312">
        <f t="shared" si="35"/>
        <v>0</v>
      </c>
      <c r="P113" s="355">
        <f t="shared" si="36"/>
        <v>0</v>
      </c>
      <c r="R113" s="16">
        <f t="shared" si="30"/>
        <v>0</v>
      </c>
      <c r="T113" s="312" t="s">
        <v>2237</v>
      </c>
      <c r="U113" s="312" t="s">
        <v>2238</v>
      </c>
      <c r="V113" s="312" t="s">
        <v>2239</v>
      </c>
      <c r="X113" s="344" t="s">
        <v>1978</v>
      </c>
      <c r="Y113" s="344" t="s">
        <v>1978</v>
      </c>
    </row>
    <row r="114" spans="1:25" x14ac:dyDescent="0.3">
      <c r="A114" s="251" t="str">
        <f>'Reference Score Calculation'!A105</f>
        <v>JS3100-2</v>
      </c>
      <c r="B114" s="251" t="str">
        <f>'Reference Score Calculation'!D105</f>
        <v/>
      </c>
      <c r="D114" s="109">
        <v>3</v>
      </c>
      <c r="E114" s="109">
        <v>3</v>
      </c>
      <c r="F114" s="109">
        <v>2</v>
      </c>
      <c r="G114" s="109">
        <v>2</v>
      </c>
      <c r="H114" s="109">
        <v>3</v>
      </c>
      <c r="I114" s="109">
        <v>3</v>
      </c>
      <c r="K114" s="312">
        <f t="shared" si="31"/>
        <v>0</v>
      </c>
      <c r="L114" s="312">
        <f t="shared" si="32"/>
        <v>0</v>
      </c>
      <c r="M114" s="312">
        <f t="shared" si="33"/>
        <v>0</v>
      </c>
      <c r="N114" s="312">
        <f t="shared" si="34"/>
        <v>0</v>
      </c>
      <c r="O114" s="312">
        <f t="shared" si="35"/>
        <v>0</v>
      </c>
      <c r="P114" s="355">
        <f t="shared" si="36"/>
        <v>0</v>
      </c>
      <c r="R114" s="16">
        <f t="shared" si="30"/>
        <v>0</v>
      </c>
      <c r="T114" s="312" t="s">
        <v>2237</v>
      </c>
      <c r="U114" s="312" t="s">
        <v>2238</v>
      </c>
      <c r="V114" s="312" t="s">
        <v>2239</v>
      </c>
      <c r="X114" s="344" t="s">
        <v>1978</v>
      </c>
      <c r="Y114" s="344" t="s">
        <v>1978</v>
      </c>
    </row>
    <row r="115" spans="1:25" x14ac:dyDescent="0.3">
      <c r="A115" s="251" t="str">
        <f>'Reference Score Calculation'!A106</f>
        <v>JS3100-3</v>
      </c>
      <c r="B115" s="251" t="str">
        <f>'Reference Score Calculation'!D106</f>
        <v/>
      </c>
      <c r="D115" s="109">
        <v>3</v>
      </c>
      <c r="E115" s="109">
        <v>3</v>
      </c>
      <c r="F115" s="109">
        <v>2</v>
      </c>
      <c r="G115" s="109">
        <v>2</v>
      </c>
      <c r="H115" s="109">
        <v>3</v>
      </c>
      <c r="I115" s="109">
        <v>3</v>
      </c>
      <c r="K115" s="312">
        <f t="shared" si="31"/>
        <v>0</v>
      </c>
      <c r="L115" s="312">
        <f t="shared" si="32"/>
        <v>0</v>
      </c>
      <c r="M115" s="312">
        <f t="shared" si="33"/>
        <v>0</v>
      </c>
      <c r="N115" s="312">
        <f t="shared" si="34"/>
        <v>0</v>
      </c>
      <c r="O115" s="312">
        <f t="shared" si="35"/>
        <v>0</v>
      </c>
      <c r="P115" s="355">
        <f t="shared" si="36"/>
        <v>0</v>
      </c>
      <c r="R115" s="16">
        <f t="shared" si="30"/>
        <v>0</v>
      </c>
      <c r="T115" s="312" t="s">
        <v>2237</v>
      </c>
      <c r="U115" s="312" t="s">
        <v>2238</v>
      </c>
      <c r="V115" s="312" t="s">
        <v>2239</v>
      </c>
      <c r="X115" s="344" t="s">
        <v>1978</v>
      </c>
      <c r="Y115" s="344" t="s">
        <v>1978</v>
      </c>
    </row>
    <row r="116" spans="1:25" x14ac:dyDescent="0.3">
      <c r="A116" s="251" t="str">
        <f>'Reference Score Calculation'!A107</f>
        <v>JS3110</v>
      </c>
      <c r="B116" s="251" t="str">
        <f>'Reference Score Calculation'!D107</f>
        <v>建築科學及工程學(榮譽)工學士組合課程</v>
      </c>
      <c r="C116" s="355">
        <v>35</v>
      </c>
      <c r="D116" s="109">
        <v>3</v>
      </c>
      <c r="E116" s="109">
        <v>3</v>
      </c>
      <c r="F116" s="109">
        <v>2</v>
      </c>
      <c r="G116" s="109">
        <v>2</v>
      </c>
      <c r="H116" s="109">
        <v>3</v>
      </c>
      <c r="I116" s="109">
        <v>3</v>
      </c>
      <c r="K116" s="312">
        <f t="shared" si="31"/>
        <v>0</v>
      </c>
      <c r="L116" s="312">
        <f t="shared" si="32"/>
        <v>0</v>
      </c>
      <c r="M116" s="312">
        <f t="shared" si="33"/>
        <v>0</v>
      </c>
      <c r="N116" s="312">
        <f t="shared" si="34"/>
        <v>0</v>
      </c>
      <c r="O116" s="312">
        <f t="shared" si="35"/>
        <v>0</v>
      </c>
      <c r="P116" s="355">
        <f t="shared" si="36"/>
        <v>0</v>
      </c>
      <c r="R116" s="16">
        <f t="shared" si="30"/>
        <v>0</v>
      </c>
      <c r="T116" s="312" t="s">
        <v>2237</v>
      </c>
      <c r="U116" s="312" t="s">
        <v>2238</v>
      </c>
      <c r="V116" s="16" t="s">
        <v>2237</v>
      </c>
      <c r="X116" s="344" t="s">
        <v>1978</v>
      </c>
      <c r="Y116" s="344" t="s">
        <v>1978</v>
      </c>
    </row>
    <row r="117" spans="1:25" x14ac:dyDescent="0.3">
      <c r="A117" s="251" t="str">
        <f>'Reference Score Calculation'!A108</f>
        <v>JS3120</v>
      </c>
      <c r="B117" s="251" t="str">
        <f>'Reference Score Calculation'!D108</f>
        <v>土木工程及可持續發展學(榮譽)工學士組合課程</v>
      </c>
      <c r="C117" s="355">
        <v>128</v>
      </c>
      <c r="D117" s="109">
        <v>3</v>
      </c>
      <c r="E117" s="109">
        <v>3</v>
      </c>
      <c r="F117" s="109">
        <v>2</v>
      </c>
      <c r="G117" s="109">
        <v>2</v>
      </c>
      <c r="H117" s="109">
        <v>3</v>
      </c>
      <c r="I117" s="109">
        <v>3</v>
      </c>
      <c r="K117" s="312">
        <f t="shared" si="31"/>
        <v>0</v>
      </c>
      <c r="L117" s="312">
        <f t="shared" si="32"/>
        <v>0</v>
      </c>
      <c r="M117" s="312">
        <f t="shared" si="33"/>
        <v>0</v>
      </c>
      <c r="N117" s="312">
        <f t="shared" si="34"/>
        <v>0</v>
      </c>
      <c r="O117" s="312">
        <f t="shared" si="35"/>
        <v>0</v>
      </c>
      <c r="P117" s="355">
        <f t="shared" si="36"/>
        <v>0</v>
      </c>
      <c r="R117" s="16">
        <f t="shared" si="30"/>
        <v>0</v>
      </c>
      <c r="T117" s="312" t="s">
        <v>2237</v>
      </c>
      <c r="U117" s="312" t="s">
        <v>2238</v>
      </c>
      <c r="V117" s="16" t="s">
        <v>2237</v>
      </c>
      <c r="X117" s="344" t="s">
        <v>1978</v>
      </c>
      <c r="Y117" s="344" t="s">
        <v>1978</v>
      </c>
    </row>
    <row r="118" spans="1:25" x14ac:dyDescent="0.3">
      <c r="A118" s="251" t="str">
        <f>'Reference Score Calculation'!A109</f>
        <v>JS3120-2</v>
      </c>
      <c r="B118" s="251" t="str">
        <f>'Reference Score Calculation'!D109</f>
        <v/>
      </c>
      <c r="D118" s="109">
        <v>3</v>
      </c>
      <c r="E118" s="109">
        <v>3</v>
      </c>
      <c r="F118" s="109">
        <v>2</v>
      </c>
      <c r="G118" s="109">
        <v>2</v>
      </c>
      <c r="H118" s="109">
        <v>3</v>
      </c>
      <c r="I118" s="109">
        <v>3</v>
      </c>
      <c r="K118" s="312">
        <f t="shared" si="31"/>
        <v>0</v>
      </c>
      <c r="L118" s="312">
        <f t="shared" si="32"/>
        <v>0</v>
      </c>
      <c r="M118" s="312">
        <f t="shared" si="33"/>
        <v>0</v>
      </c>
      <c r="N118" s="312">
        <f t="shared" si="34"/>
        <v>0</v>
      </c>
      <c r="O118" s="312">
        <f t="shared" si="35"/>
        <v>0</v>
      </c>
      <c r="P118" s="355">
        <f t="shared" si="36"/>
        <v>0</v>
      </c>
      <c r="R118" s="16">
        <f t="shared" si="30"/>
        <v>0</v>
      </c>
      <c r="T118" s="312" t="s">
        <v>2237</v>
      </c>
      <c r="U118" s="312" t="s">
        <v>2238</v>
      </c>
      <c r="V118" s="312" t="s">
        <v>2237</v>
      </c>
      <c r="X118" s="344" t="s">
        <v>1978</v>
      </c>
      <c r="Y118" s="344" t="s">
        <v>1978</v>
      </c>
    </row>
    <row r="119" spans="1:25" x14ac:dyDescent="0.3">
      <c r="A119" s="251" t="str">
        <f>'Reference Score Calculation'!A110</f>
        <v>JS3120-3</v>
      </c>
      <c r="B119" s="251" t="str">
        <f>'Reference Score Calculation'!D110</f>
        <v/>
      </c>
      <c r="D119" s="109">
        <v>3</v>
      </c>
      <c r="E119" s="109">
        <v>3</v>
      </c>
      <c r="F119" s="109">
        <v>2</v>
      </c>
      <c r="G119" s="109">
        <v>2</v>
      </c>
      <c r="H119" s="109">
        <v>3</v>
      </c>
      <c r="I119" s="109">
        <v>3</v>
      </c>
      <c r="K119" s="312">
        <f t="shared" si="31"/>
        <v>0</v>
      </c>
      <c r="L119" s="312">
        <f t="shared" si="32"/>
        <v>0</v>
      </c>
      <c r="M119" s="312">
        <f t="shared" si="33"/>
        <v>0</v>
      </c>
      <c r="N119" s="312">
        <f t="shared" si="34"/>
        <v>0</v>
      </c>
      <c r="O119" s="312">
        <f t="shared" si="35"/>
        <v>0</v>
      </c>
      <c r="P119" s="355">
        <f t="shared" si="36"/>
        <v>0</v>
      </c>
      <c r="R119" s="16">
        <f t="shared" si="30"/>
        <v>0</v>
      </c>
      <c r="T119" s="312" t="s">
        <v>2237</v>
      </c>
      <c r="U119" s="312" t="s">
        <v>2238</v>
      </c>
      <c r="V119" s="312" t="s">
        <v>2237</v>
      </c>
      <c r="X119" s="344" t="s">
        <v>1978</v>
      </c>
      <c r="Y119" s="344" t="s">
        <v>1978</v>
      </c>
    </row>
    <row r="120" spans="1:25" x14ac:dyDescent="0.3">
      <c r="A120" s="251" t="str">
        <f>'Reference Score Calculation'!A111</f>
        <v>JS3130</v>
      </c>
      <c r="B120" s="251" t="str">
        <f>'Reference Score Calculation'!D111</f>
        <v>空間數據科學及智慧城市(榮譽)理學士組合課程 - 土地測量及地理資訊學(榮譽)理學士</v>
      </c>
      <c r="C120" s="355">
        <v>39</v>
      </c>
      <c r="D120" s="109">
        <v>3</v>
      </c>
      <c r="E120" s="109">
        <v>3</v>
      </c>
      <c r="F120" s="109">
        <v>2</v>
      </c>
      <c r="G120" s="109">
        <v>2</v>
      </c>
      <c r="H120" s="109">
        <v>3</v>
      </c>
      <c r="I120" s="109">
        <v>3</v>
      </c>
      <c r="K120" s="312">
        <f t="shared" si="31"/>
        <v>0</v>
      </c>
      <c r="L120" s="312">
        <f t="shared" si="32"/>
        <v>0</v>
      </c>
      <c r="M120" s="312">
        <f t="shared" si="33"/>
        <v>0</v>
      </c>
      <c r="N120" s="312">
        <f t="shared" si="34"/>
        <v>0</v>
      </c>
      <c r="O120" s="312">
        <f t="shared" si="35"/>
        <v>0</v>
      </c>
      <c r="P120" s="355">
        <f t="shared" si="36"/>
        <v>0</v>
      </c>
      <c r="R120" s="16">
        <f t="shared" si="30"/>
        <v>0</v>
      </c>
      <c r="T120" s="312" t="s">
        <v>2237</v>
      </c>
      <c r="U120" s="312" t="s">
        <v>2238</v>
      </c>
      <c r="V120" s="16" t="s">
        <v>2239</v>
      </c>
      <c r="X120" s="344" t="s">
        <v>1978</v>
      </c>
      <c r="Y120" s="344" t="s">
        <v>1978</v>
      </c>
    </row>
    <row r="121" spans="1:25" x14ac:dyDescent="0.3">
      <c r="A121" s="251" t="str">
        <f>'Reference Score Calculation'!A112</f>
        <v>JS3140</v>
      </c>
      <c r="B121" s="251" t="str">
        <f>'Reference Score Calculation'!D112</f>
        <v>航空工程學(榮譽)工學士組合課程</v>
      </c>
      <c r="C121" s="355">
        <v>56</v>
      </c>
      <c r="D121" s="109">
        <v>3</v>
      </c>
      <c r="E121" s="109">
        <v>3</v>
      </c>
      <c r="F121" s="109">
        <v>2</v>
      </c>
      <c r="G121" s="109">
        <v>2</v>
      </c>
      <c r="H121" s="109">
        <v>3</v>
      </c>
      <c r="I121" s="109">
        <v>3</v>
      </c>
      <c r="K121" s="312">
        <f t="shared" si="31"/>
        <v>0</v>
      </c>
      <c r="L121" s="312">
        <f t="shared" si="32"/>
        <v>0</v>
      </c>
      <c r="M121" s="312">
        <f t="shared" si="33"/>
        <v>0</v>
      </c>
      <c r="N121" s="312">
        <f t="shared" si="34"/>
        <v>0</v>
      </c>
      <c r="O121" s="312">
        <f t="shared" si="35"/>
        <v>0</v>
      </c>
      <c r="P121" s="355">
        <f t="shared" si="36"/>
        <v>0</v>
      </c>
      <c r="R121" s="16">
        <f t="shared" si="30"/>
        <v>0</v>
      </c>
      <c r="T121" s="312" t="s">
        <v>2237</v>
      </c>
      <c r="U121" s="312" t="s">
        <v>2238</v>
      </c>
      <c r="V121" s="312" t="s">
        <v>2239</v>
      </c>
      <c r="X121" s="344" t="s">
        <v>1978</v>
      </c>
      <c r="Y121" s="344" t="s">
        <v>1978</v>
      </c>
    </row>
    <row r="122" spans="1:25" x14ac:dyDescent="0.3">
      <c r="A122" s="251" t="str">
        <f>'Reference Score Calculation'!A113</f>
        <v>JS3150</v>
      </c>
      <c r="B122" s="251" t="str">
        <f>'Reference Score Calculation'!D113</f>
        <v>生物醫學工程(榮譽)理學士組合課程</v>
      </c>
      <c r="C122" s="355">
        <v>24</v>
      </c>
      <c r="D122" s="109">
        <v>3</v>
      </c>
      <c r="E122" s="109">
        <v>3</v>
      </c>
      <c r="F122" s="109">
        <v>2</v>
      </c>
      <c r="G122" s="109">
        <v>2</v>
      </c>
      <c r="H122" s="109">
        <v>3</v>
      </c>
      <c r="I122" s="109">
        <v>3</v>
      </c>
      <c r="K122" s="312">
        <f t="shared" si="31"/>
        <v>0</v>
      </c>
      <c r="L122" s="312">
        <f t="shared" si="32"/>
        <v>0</v>
      </c>
      <c r="M122" s="312">
        <f t="shared" si="33"/>
        <v>0</v>
      </c>
      <c r="N122" s="312">
        <f t="shared" si="34"/>
        <v>0</v>
      </c>
      <c r="O122" s="312">
        <f t="shared" si="35"/>
        <v>0</v>
      </c>
      <c r="P122" s="355">
        <f t="shared" si="36"/>
        <v>0</v>
      </c>
      <c r="R122" s="16">
        <f t="shared" si="30"/>
        <v>0</v>
      </c>
      <c r="S122" s="2"/>
      <c r="T122" s="312" t="s">
        <v>2237</v>
      </c>
      <c r="U122" s="312" t="s">
        <v>2238</v>
      </c>
      <c r="V122" s="312" t="s">
        <v>2239</v>
      </c>
      <c r="X122" s="344" t="s">
        <v>1978</v>
      </c>
      <c r="Y122" s="344" t="s">
        <v>1978</v>
      </c>
    </row>
    <row r="123" spans="1:25" x14ac:dyDescent="0.3">
      <c r="A123" s="251" t="str">
        <f>'Reference Score Calculation'!A114</f>
        <v>JS3170</v>
      </c>
      <c r="B123" s="251" t="str">
        <f>'Reference Score Calculation'!D114</f>
        <v>電機工程學(榮譽)工學士組合課程</v>
      </c>
      <c r="C123" s="355">
        <v>61</v>
      </c>
      <c r="D123" s="109">
        <v>3</v>
      </c>
      <c r="E123" s="109">
        <v>3</v>
      </c>
      <c r="F123" s="109">
        <v>2</v>
      </c>
      <c r="G123" s="109">
        <v>2</v>
      </c>
      <c r="H123" s="109">
        <v>3</v>
      </c>
      <c r="I123" s="109">
        <v>3</v>
      </c>
      <c r="K123" s="312">
        <f t="shared" si="31"/>
        <v>0</v>
      </c>
      <c r="L123" s="312">
        <f t="shared" si="32"/>
        <v>0</v>
      </c>
      <c r="M123" s="312">
        <f t="shared" si="33"/>
        <v>0</v>
      </c>
      <c r="N123" s="312">
        <f t="shared" si="34"/>
        <v>0</v>
      </c>
      <c r="O123" s="312">
        <f t="shared" si="35"/>
        <v>0</v>
      </c>
      <c r="P123" s="355">
        <f t="shared" si="36"/>
        <v>0</v>
      </c>
      <c r="R123" s="16">
        <f t="shared" si="30"/>
        <v>0</v>
      </c>
      <c r="S123" s="2"/>
      <c r="T123" s="312" t="s">
        <v>2237</v>
      </c>
      <c r="U123" s="312" t="s">
        <v>2238</v>
      </c>
      <c r="V123" s="312" t="s">
        <v>2239</v>
      </c>
      <c r="X123" s="344" t="s">
        <v>1978</v>
      </c>
      <c r="Y123" s="344" t="s">
        <v>1978</v>
      </c>
    </row>
    <row r="124" spans="1:25" x14ac:dyDescent="0.3">
      <c r="A124" s="251" t="str">
        <f>'Reference Score Calculation'!A115</f>
        <v>JS3170-2</v>
      </c>
      <c r="B124" s="251" t="str">
        <f>'Reference Score Calculation'!D115</f>
        <v/>
      </c>
      <c r="D124" s="109">
        <v>3</v>
      </c>
      <c r="E124" s="109">
        <v>3</v>
      </c>
      <c r="F124" s="109">
        <v>2</v>
      </c>
      <c r="G124" s="109">
        <v>2</v>
      </c>
      <c r="H124" s="109">
        <v>3</v>
      </c>
      <c r="I124" s="109">
        <v>3</v>
      </c>
      <c r="K124" s="312">
        <f t="shared" si="31"/>
        <v>0</v>
      </c>
      <c r="L124" s="312">
        <f t="shared" si="32"/>
        <v>0</v>
      </c>
      <c r="M124" s="312">
        <f t="shared" si="33"/>
        <v>0</v>
      </c>
      <c r="N124" s="312">
        <f t="shared" si="34"/>
        <v>0</v>
      </c>
      <c r="O124" s="312">
        <f t="shared" si="35"/>
        <v>0</v>
      </c>
      <c r="P124" s="355">
        <f t="shared" si="36"/>
        <v>0</v>
      </c>
      <c r="R124" s="16">
        <f t="shared" si="30"/>
        <v>0</v>
      </c>
      <c r="S124" s="2"/>
      <c r="T124" s="312" t="s">
        <v>2237</v>
      </c>
      <c r="U124" s="312" t="s">
        <v>2238</v>
      </c>
      <c r="V124" s="312" t="s">
        <v>2239</v>
      </c>
      <c r="X124" s="344" t="s">
        <v>1978</v>
      </c>
      <c r="Y124" s="344" t="s">
        <v>1978</v>
      </c>
    </row>
    <row r="125" spans="1:25" x14ac:dyDescent="0.3">
      <c r="A125" s="251" t="str">
        <f>'Reference Score Calculation'!A116</f>
        <v>JS3180</v>
      </c>
      <c r="B125" s="251" t="str">
        <f>'Reference Score Calculation'!D116</f>
        <v>資訊及人工智能工程學(榮譽)工學士/理學士組合課程</v>
      </c>
      <c r="C125" s="355">
        <v>68</v>
      </c>
      <c r="D125" s="109">
        <v>3</v>
      </c>
      <c r="E125" s="109">
        <v>3</v>
      </c>
      <c r="F125" s="109">
        <v>2</v>
      </c>
      <c r="G125" s="109">
        <v>2</v>
      </c>
      <c r="H125" s="109">
        <v>3</v>
      </c>
      <c r="I125" s="109">
        <v>3</v>
      </c>
      <c r="K125" s="312">
        <f t="shared" si="31"/>
        <v>0</v>
      </c>
      <c r="L125" s="312">
        <f t="shared" si="32"/>
        <v>0</v>
      </c>
      <c r="M125" s="312">
        <f t="shared" si="33"/>
        <v>0</v>
      </c>
      <c r="N125" s="312">
        <f t="shared" si="34"/>
        <v>0</v>
      </c>
      <c r="O125" s="312">
        <f t="shared" si="35"/>
        <v>0</v>
      </c>
      <c r="P125" s="355">
        <f t="shared" si="36"/>
        <v>0</v>
      </c>
      <c r="R125" s="16">
        <f t="shared" si="30"/>
        <v>0</v>
      </c>
      <c r="T125" s="312" t="s">
        <v>2237</v>
      </c>
      <c r="U125" s="312" t="s">
        <v>2238</v>
      </c>
      <c r="V125" s="16" t="s">
        <v>2237</v>
      </c>
      <c r="X125" s="344" t="s">
        <v>1978</v>
      </c>
      <c r="Y125" s="344" t="s">
        <v>1978</v>
      </c>
    </row>
    <row r="126" spans="1:25" x14ac:dyDescent="0.3">
      <c r="A126" s="251" t="str">
        <f>'Reference Score Calculation'!A117</f>
        <v>JS3180-2</v>
      </c>
      <c r="B126" s="251" t="str">
        <f>'Reference Score Calculation'!D117</f>
        <v/>
      </c>
      <c r="D126" s="109">
        <v>3</v>
      </c>
      <c r="E126" s="109">
        <v>3</v>
      </c>
      <c r="F126" s="109">
        <v>2</v>
      </c>
      <c r="G126" s="109">
        <v>2</v>
      </c>
      <c r="H126" s="109">
        <v>3</v>
      </c>
      <c r="I126" s="109">
        <v>3</v>
      </c>
      <c r="K126" s="312">
        <f t="shared" si="31"/>
        <v>0</v>
      </c>
      <c r="L126" s="312">
        <f t="shared" si="32"/>
        <v>0</v>
      </c>
      <c r="M126" s="312">
        <f t="shared" si="33"/>
        <v>0</v>
      </c>
      <c r="N126" s="312">
        <f t="shared" si="34"/>
        <v>0</v>
      </c>
      <c r="O126" s="312">
        <f t="shared" si="35"/>
        <v>0</v>
      </c>
      <c r="P126" s="355">
        <f t="shared" si="36"/>
        <v>0</v>
      </c>
      <c r="R126" s="16">
        <f t="shared" si="30"/>
        <v>0</v>
      </c>
      <c r="T126" s="312" t="s">
        <v>2237</v>
      </c>
      <c r="U126" s="312" t="s">
        <v>2238</v>
      </c>
      <c r="V126" s="312" t="s">
        <v>2237</v>
      </c>
      <c r="X126" s="344" t="s">
        <v>1978</v>
      </c>
      <c r="Y126" s="344" t="s">
        <v>1978</v>
      </c>
    </row>
    <row r="127" spans="1:25" x14ac:dyDescent="0.3">
      <c r="A127" s="251" t="str">
        <f>'Reference Score Calculation'!A118</f>
        <v>JS3868</v>
      </c>
      <c r="B127" s="251" t="str">
        <f>'Reference Score Calculation'!D118</f>
        <v>電子計算及人工智能(榮譽)理學士組合課程</v>
      </c>
      <c r="C127" s="355">
        <v>113</v>
      </c>
      <c r="D127" s="109">
        <v>3</v>
      </c>
      <c r="E127" s="109">
        <v>3</v>
      </c>
      <c r="F127" s="109">
        <v>2</v>
      </c>
      <c r="G127" s="109">
        <v>2</v>
      </c>
      <c r="H127" s="109">
        <v>3</v>
      </c>
      <c r="I127" s="109">
        <v>3</v>
      </c>
      <c r="K127" s="312">
        <f t="shared" si="31"/>
        <v>0</v>
      </c>
      <c r="L127" s="312">
        <f t="shared" si="32"/>
        <v>0</v>
      </c>
      <c r="M127" s="312">
        <f t="shared" si="33"/>
        <v>0</v>
      </c>
      <c r="N127" s="312">
        <f t="shared" si="34"/>
        <v>0</v>
      </c>
      <c r="O127" s="312">
        <f t="shared" si="35"/>
        <v>0</v>
      </c>
      <c r="P127" s="355">
        <f t="shared" si="36"/>
        <v>0</v>
      </c>
      <c r="R127" s="16">
        <f t="shared" si="30"/>
        <v>0</v>
      </c>
      <c r="T127" s="312" t="s">
        <v>2237</v>
      </c>
      <c r="U127" s="312" t="s">
        <v>2238</v>
      </c>
      <c r="V127" s="16" t="s">
        <v>2239</v>
      </c>
      <c r="X127" s="344" t="s">
        <v>1978</v>
      </c>
      <c r="Y127" s="344" t="s">
        <v>1978</v>
      </c>
    </row>
    <row r="128" spans="1:25" x14ac:dyDescent="0.3">
      <c r="A128" s="251" t="str">
        <f>'Reference Score Calculation'!A119</f>
        <v>JS3571</v>
      </c>
      <c r="B128" s="251" t="str">
        <f>'Reference Score Calculation'!D119</f>
        <v>物流及企業工程(榮譽)理學士組合課程</v>
      </c>
      <c r="C128" s="355">
        <v>49</v>
      </c>
      <c r="D128" s="109">
        <v>3</v>
      </c>
      <c r="E128" s="109">
        <v>3</v>
      </c>
      <c r="F128" s="109">
        <v>2</v>
      </c>
      <c r="G128" s="109">
        <v>2</v>
      </c>
      <c r="H128" s="109">
        <v>3</v>
      </c>
      <c r="I128" s="109">
        <v>3</v>
      </c>
      <c r="K128" s="312">
        <f t="shared" si="31"/>
        <v>0</v>
      </c>
      <c r="L128" s="312">
        <f t="shared" si="32"/>
        <v>0</v>
      </c>
      <c r="M128" s="312">
        <f t="shared" si="33"/>
        <v>0</v>
      </c>
      <c r="N128" s="312">
        <f t="shared" si="34"/>
        <v>0</v>
      </c>
      <c r="O128" s="312">
        <f t="shared" si="35"/>
        <v>0</v>
      </c>
      <c r="P128" s="355">
        <f t="shared" si="36"/>
        <v>0</v>
      </c>
      <c r="R128" s="16">
        <f t="shared" si="30"/>
        <v>0</v>
      </c>
      <c r="T128" s="312" t="s">
        <v>2237</v>
      </c>
      <c r="U128" s="312" t="s">
        <v>2238</v>
      </c>
      <c r="V128" s="16" t="s">
        <v>2237</v>
      </c>
      <c r="X128" s="344" t="s">
        <v>1978</v>
      </c>
      <c r="Y128" s="344" t="s">
        <v>1978</v>
      </c>
    </row>
    <row r="129" spans="1:25" x14ac:dyDescent="0.3">
      <c r="A129" s="251" t="str">
        <f>'Reference Score Calculation'!A120</f>
        <v>JS3557</v>
      </c>
      <c r="B129" s="251" t="str">
        <f>'Reference Score Calculation'!D120</f>
        <v>產品及工業工程(榮譽)工學士組合課程</v>
      </c>
      <c r="C129" s="355">
        <v>53</v>
      </c>
      <c r="D129" s="109">
        <v>3</v>
      </c>
      <c r="E129" s="109">
        <v>3</v>
      </c>
      <c r="F129" s="109">
        <v>2</v>
      </c>
      <c r="G129" s="109">
        <v>2</v>
      </c>
      <c r="H129" s="109">
        <v>3</v>
      </c>
      <c r="I129" s="109">
        <v>3</v>
      </c>
      <c r="K129" s="312">
        <f t="shared" si="31"/>
        <v>0</v>
      </c>
      <c r="L129" s="312">
        <f t="shared" si="32"/>
        <v>0</v>
      </c>
      <c r="M129" s="312">
        <f t="shared" si="33"/>
        <v>0</v>
      </c>
      <c r="N129" s="312">
        <f t="shared" si="34"/>
        <v>0</v>
      </c>
      <c r="O129" s="312">
        <f t="shared" si="35"/>
        <v>0</v>
      </c>
      <c r="P129" s="355">
        <f t="shared" si="36"/>
        <v>0</v>
      </c>
      <c r="R129" s="16">
        <f t="shared" si="30"/>
        <v>0</v>
      </c>
      <c r="T129" s="312" t="s">
        <v>2237</v>
      </c>
      <c r="U129" s="312" t="s">
        <v>2238</v>
      </c>
      <c r="V129" s="16" t="s">
        <v>2237</v>
      </c>
      <c r="X129" s="344" t="s">
        <v>1978</v>
      </c>
      <c r="Y129" s="344" t="s">
        <v>1978</v>
      </c>
    </row>
    <row r="130" spans="1:25" x14ac:dyDescent="0.3">
      <c r="A130" s="251" t="str">
        <f>'Reference Score Calculation'!A121</f>
        <v>JS3741</v>
      </c>
      <c r="B130" s="251" t="str">
        <f>'Reference Score Calculation'!D121</f>
        <v>機械工程學(榮譽)工學士組合課程</v>
      </c>
      <c r="C130" s="355">
        <v>60</v>
      </c>
      <c r="D130" s="109">
        <v>3</v>
      </c>
      <c r="E130" s="109">
        <v>3</v>
      </c>
      <c r="F130" s="109">
        <v>2</v>
      </c>
      <c r="G130" s="109">
        <v>2</v>
      </c>
      <c r="H130" s="109">
        <v>3</v>
      </c>
      <c r="I130" s="109">
        <v>3</v>
      </c>
      <c r="K130" s="312">
        <f t="shared" si="31"/>
        <v>0</v>
      </c>
      <c r="L130" s="312">
        <f t="shared" si="32"/>
        <v>0</v>
      </c>
      <c r="M130" s="312">
        <f t="shared" si="33"/>
        <v>0</v>
      </c>
      <c r="N130" s="312">
        <f t="shared" si="34"/>
        <v>0</v>
      </c>
      <c r="O130" s="312">
        <f t="shared" si="35"/>
        <v>0</v>
      </c>
      <c r="P130" s="355">
        <f t="shared" si="36"/>
        <v>0</v>
      </c>
      <c r="R130" s="16">
        <f t="shared" si="30"/>
        <v>0</v>
      </c>
      <c r="T130" s="312" t="s">
        <v>2237</v>
      </c>
      <c r="U130" s="312" t="s">
        <v>2238</v>
      </c>
      <c r="V130" s="16" t="s">
        <v>2239</v>
      </c>
      <c r="X130" s="344" t="s">
        <v>1978</v>
      </c>
      <c r="Y130" s="344" t="s">
        <v>1978</v>
      </c>
    </row>
    <row r="131" spans="1:25" x14ac:dyDescent="0.3">
      <c r="A131" s="251" t="str">
        <f>'Reference Score Calculation'!A122</f>
        <v>JS3230</v>
      </c>
      <c r="B131" s="251" t="str">
        <f>'Reference Score Calculation'!D122</f>
        <v>語言學及翻譯學(榮譽)文學士組合課程</v>
      </c>
      <c r="C131" s="355">
        <v>37</v>
      </c>
      <c r="D131" s="109">
        <v>3</v>
      </c>
      <c r="E131" s="109">
        <v>3</v>
      </c>
      <c r="F131" s="109">
        <v>2</v>
      </c>
      <c r="G131" s="109">
        <v>2</v>
      </c>
      <c r="H131" s="109">
        <v>3</v>
      </c>
      <c r="I131" s="109">
        <v>3</v>
      </c>
      <c r="K131" s="312">
        <f t="shared" si="31"/>
        <v>0</v>
      </c>
      <c r="L131" s="312">
        <f t="shared" si="32"/>
        <v>0</v>
      </c>
      <c r="M131" s="312">
        <f t="shared" si="33"/>
        <v>0</v>
      </c>
      <c r="N131" s="312">
        <f t="shared" si="34"/>
        <v>0</v>
      </c>
      <c r="O131" s="312">
        <f t="shared" si="35"/>
        <v>0</v>
      </c>
      <c r="P131" s="355">
        <f t="shared" si="36"/>
        <v>0</v>
      </c>
      <c r="R131" s="16">
        <f t="shared" si="30"/>
        <v>0</v>
      </c>
      <c r="T131" s="312" t="s">
        <v>2237</v>
      </c>
      <c r="U131" s="312" t="s">
        <v>2238</v>
      </c>
      <c r="V131" s="312" t="s">
        <v>2239</v>
      </c>
      <c r="X131" s="344" t="s">
        <v>1978</v>
      </c>
      <c r="Y131" s="344" t="s">
        <v>1978</v>
      </c>
    </row>
    <row r="132" spans="1:25" x14ac:dyDescent="0.3">
      <c r="A132" s="251" t="str">
        <f>'Reference Score Calculation'!A123</f>
        <v>JS3240</v>
      </c>
      <c r="B132" s="251" t="str">
        <f>'Reference Score Calculation'!D123</f>
        <v>英文及應用語言學(榮譽)文學士組合課程</v>
      </c>
      <c r="C132" s="355">
        <v>41</v>
      </c>
      <c r="D132" s="109">
        <v>3</v>
      </c>
      <c r="E132" s="109">
        <v>3</v>
      </c>
      <c r="F132" s="109">
        <v>2</v>
      </c>
      <c r="G132" s="109">
        <v>2</v>
      </c>
      <c r="H132" s="109">
        <v>3</v>
      </c>
      <c r="I132" s="109">
        <v>3</v>
      </c>
      <c r="K132" s="312">
        <f t="shared" si="31"/>
        <v>0</v>
      </c>
      <c r="L132" s="312">
        <f t="shared" si="32"/>
        <v>0</v>
      </c>
      <c r="M132" s="312">
        <f t="shared" si="33"/>
        <v>0</v>
      </c>
      <c r="N132" s="312">
        <f t="shared" si="34"/>
        <v>0</v>
      </c>
      <c r="O132" s="312">
        <f t="shared" si="35"/>
        <v>0</v>
      </c>
      <c r="P132" s="355">
        <f t="shared" si="36"/>
        <v>0</v>
      </c>
      <c r="R132" s="16">
        <f t="shared" si="30"/>
        <v>0</v>
      </c>
      <c r="T132" s="312" t="s">
        <v>2237</v>
      </c>
      <c r="U132" s="312" t="s">
        <v>2238</v>
      </c>
      <c r="V132" s="16" t="s">
        <v>2237</v>
      </c>
      <c r="X132" s="344" t="s">
        <v>1978</v>
      </c>
      <c r="Y132" s="344" t="s">
        <v>1978</v>
      </c>
    </row>
    <row r="133" spans="1:25" x14ac:dyDescent="0.3">
      <c r="A133" s="251" t="str">
        <f>'Reference Score Calculation'!A124</f>
        <v>JS3310</v>
      </c>
      <c r="B133" s="251" t="str">
        <f>'Reference Score Calculation'!D124</f>
        <v>酒店及旅遊管理(榮譽)理學士組合課程</v>
      </c>
      <c r="C133" s="355">
        <v>84</v>
      </c>
      <c r="D133" s="109">
        <v>3</v>
      </c>
      <c r="E133" s="109">
        <v>3</v>
      </c>
      <c r="F133" s="109">
        <v>2</v>
      </c>
      <c r="G133" s="109">
        <v>2</v>
      </c>
      <c r="H133" s="109">
        <v>3</v>
      </c>
      <c r="I133" s="109">
        <v>3</v>
      </c>
      <c r="K133" s="312">
        <f t="shared" si="31"/>
        <v>0</v>
      </c>
      <c r="L133" s="312">
        <f t="shared" si="32"/>
        <v>0</v>
      </c>
      <c r="M133" s="312">
        <f t="shared" si="33"/>
        <v>0</v>
      </c>
      <c r="N133" s="312">
        <f t="shared" si="34"/>
        <v>0</v>
      </c>
      <c r="O133" s="312">
        <f t="shared" si="35"/>
        <v>0</v>
      </c>
      <c r="P133" s="355">
        <f t="shared" si="36"/>
        <v>0</v>
      </c>
      <c r="R133" s="16">
        <f t="shared" si="30"/>
        <v>0</v>
      </c>
      <c r="T133" s="312" t="s">
        <v>2237</v>
      </c>
      <c r="U133" s="312" t="s">
        <v>2238</v>
      </c>
      <c r="V133" s="312" t="s">
        <v>2237</v>
      </c>
      <c r="X133" s="344" t="s">
        <v>1978</v>
      </c>
      <c r="Y133" s="344" t="s">
        <v>1978</v>
      </c>
    </row>
    <row r="134" spans="1:25" x14ac:dyDescent="0.3">
      <c r="A134" s="251" t="str">
        <f>'Reference Score Calculation'!A125</f>
        <v>JS3310-2</v>
      </c>
      <c r="B134" s="251" t="str">
        <f>'Reference Score Calculation'!D125</f>
        <v/>
      </c>
      <c r="D134" s="109">
        <v>3</v>
      </c>
      <c r="E134" s="109">
        <v>3</v>
      </c>
      <c r="F134" s="109">
        <v>2</v>
      </c>
      <c r="G134" s="109">
        <v>2</v>
      </c>
      <c r="H134" s="109">
        <v>3</v>
      </c>
      <c r="I134" s="109">
        <v>3</v>
      </c>
      <c r="K134" s="312">
        <f t="shared" si="31"/>
        <v>0</v>
      </c>
      <c r="L134" s="312">
        <f t="shared" si="32"/>
        <v>0</v>
      </c>
      <c r="M134" s="312">
        <f t="shared" si="33"/>
        <v>0</v>
      </c>
      <c r="N134" s="312">
        <f t="shared" si="34"/>
        <v>0</v>
      </c>
      <c r="O134" s="312">
        <f t="shared" si="35"/>
        <v>0</v>
      </c>
      <c r="P134" s="355">
        <f t="shared" si="36"/>
        <v>0</v>
      </c>
      <c r="R134" s="16">
        <f t="shared" si="30"/>
        <v>0</v>
      </c>
      <c r="T134" s="312" t="s">
        <v>2237</v>
      </c>
      <c r="U134" s="312" t="s">
        <v>2238</v>
      </c>
      <c r="V134" s="312" t="s">
        <v>2239</v>
      </c>
      <c r="X134" s="344" t="s">
        <v>1978</v>
      </c>
      <c r="Y134" s="344" t="s">
        <v>1978</v>
      </c>
    </row>
    <row r="135" spans="1:25" x14ac:dyDescent="0.3">
      <c r="A135" s="251" t="str">
        <f>'Reference Score Calculation'!A126</f>
        <v>JS3492</v>
      </c>
      <c r="B135" s="251" t="str">
        <f>'Reference Score Calculation'!D126</f>
        <v>服裝及紡織(榮譽)文學士組合課程</v>
      </c>
      <c r="C135" s="355">
        <v>93</v>
      </c>
      <c r="D135" s="109">
        <v>3</v>
      </c>
      <c r="E135" s="109">
        <v>3</v>
      </c>
      <c r="F135" s="109">
        <v>2</v>
      </c>
      <c r="G135" s="109">
        <v>2</v>
      </c>
      <c r="H135" s="109">
        <v>3</v>
      </c>
      <c r="I135" s="109">
        <v>3</v>
      </c>
      <c r="K135" s="312">
        <f t="shared" si="31"/>
        <v>0</v>
      </c>
      <c r="L135" s="312">
        <f t="shared" si="32"/>
        <v>0</v>
      </c>
      <c r="M135" s="312">
        <f t="shared" si="33"/>
        <v>0</v>
      </c>
      <c r="N135" s="312">
        <f t="shared" si="34"/>
        <v>0</v>
      </c>
      <c r="O135" s="312">
        <f t="shared" si="35"/>
        <v>0</v>
      </c>
      <c r="P135" s="355">
        <f t="shared" si="36"/>
        <v>0</v>
      </c>
      <c r="R135" s="16">
        <f t="shared" si="30"/>
        <v>0</v>
      </c>
      <c r="T135" s="312" t="s">
        <v>2237</v>
      </c>
      <c r="U135" s="312" t="s">
        <v>2238</v>
      </c>
      <c r="V135" s="16" t="s">
        <v>2237</v>
      </c>
      <c r="X135" s="344" t="s">
        <v>1978</v>
      </c>
      <c r="Y135" s="344" t="s">
        <v>1978</v>
      </c>
    </row>
    <row r="136" spans="1:25" x14ac:dyDescent="0.3">
      <c r="A136" s="251" t="str">
        <f>'Reference Score Calculation'!A127</f>
        <v>JS3569</v>
      </c>
      <c r="B136" s="251" t="str">
        <f>'Reference Score Calculation'!D127</f>
        <v>設計學(榮譽)文學士組合課程</v>
      </c>
      <c r="C136" s="355">
        <v>81</v>
      </c>
      <c r="D136" s="109">
        <v>3</v>
      </c>
      <c r="E136" s="109">
        <v>3</v>
      </c>
      <c r="F136" s="109">
        <v>2</v>
      </c>
      <c r="G136" s="109">
        <v>2</v>
      </c>
      <c r="H136" s="109">
        <v>3</v>
      </c>
      <c r="I136" s="109">
        <v>3</v>
      </c>
      <c r="K136" s="312">
        <f t="shared" si="31"/>
        <v>0</v>
      </c>
      <c r="L136" s="312">
        <f t="shared" si="32"/>
        <v>0</v>
      </c>
      <c r="M136" s="312">
        <f t="shared" si="33"/>
        <v>0</v>
      </c>
      <c r="N136" s="312">
        <f t="shared" si="34"/>
        <v>0</v>
      </c>
      <c r="O136" s="312">
        <f t="shared" si="35"/>
        <v>0</v>
      </c>
      <c r="P136" s="355">
        <f t="shared" si="36"/>
        <v>0</v>
      </c>
      <c r="R136" s="16">
        <f t="shared" si="30"/>
        <v>0</v>
      </c>
      <c r="T136" s="312" t="s">
        <v>2237</v>
      </c>
      <c r="U136" s="312" t="s">
        <v>2238</v>
      </c>
      <c r="V136" s="16" t="s">
        <v>2237</v>
      </c>
      <c r="X136" s="344" t="s">
        <v>1978</v>
      </c>
      <c r="Y136" s="344" t="s">
        <v>1978</v>
      </c>
    </row>
    <row r="137" spans="1:25" x14ac:dyDescent="0.3">
      <c r="A137" s="251" t="str">
        <f>'Reference Score Calculation'!A128</f>
        <v>JS3250</v>
      </c>
      <c r="B137" s="251" t="str">
        <f>'Reference Score Calculation'!D128</f>
        <v>應用社會科學(榮譽)文學士組合課程</v>
      </c>
      <c r="C137" s="355">
        <v>47</v>
      </c>
      <c r="D137" s="109">
        <v>3</v>
      </c>
      <c r="E137" s="109">
        <v>3</v>
      </c>
      <c r="F137" s="109">
        <v>2</v>
      </c>
      <c r="G137" s="109">
        <v>2</v>
      </c>
      <c r="H137" s="109">
        <v>3</v>
      </c>
      <c r="I137" s="109">
        <v>3</v>
      </c>
      <c r="K137" s="312">
        <f t="shared" si="31"/>
        <v>0</v>
      </c>
      <c r="L137" s="312">
        <f t="shared" si="32"/>
        <v>0</v>
      </c>
      <c r="M137" s="312">
        <f t="shared" si="33"/>
        <v>0</v>
      </c>
      <c r="N137" s="312">
        <f t="shared" si="34"/>
        <v>0</v>
      </c>
      <c r="O137" s="312">
        <f t="shared" si="35"/>
        <v>0</v>
      </c>
      <c r="P137" s="355">
        <f t="shared" si="36"/>
        <v>0</v>
      </c>
      <c r="R137" s="16">
        <f t="shared" si="30"/>
        <v>0</v>
      </c>
      <c r="T137" s="312" t="s">
        <v>2237</v>
      </c>
      <c r="U137" s="312" t="s">
        <v>2238</v>
      </c>
      <c r="V137" s="312" t="s">
        <v>2239</v>
      </c>
      <c r="X137" s="344" t="s">
        <v>1978</v>
      </c>
      <c r="Y137" s="344" t="s">
        <v>1978</v>
      </c>
    </row>
    <row r="138" spans="1:25" x14ac:dyDescent="0.3">
      <c r="A138" s="251" t="str">
        <f>'Reference Score Calculation'!A129</f>
        <v>JS3250-2</v>
      </c>
      <c r="B138" s="251" t="str">
        <f>'Reference Score Calculation'!D129</f>
        <v/>
      </c>
      <c r="D138" s="109">
        <v>3</v>
      </c>
      <c r="E138" s="109">
        <v>3</v>
      </c>
      <c r="F138" s="109">
        <v>2</v>
      </c>
      <c r="G138" s="109">
        <v>2</v>
      </c>
      <c r="H138" s="109">
        <v>3</v>
      </c>
      <c r="I138" s="109">
        <v>3</v>
      </c>
      <c r="K138" s="312">
        <f t="shared" si="31"/>
        <v>0</v>
      </c>
      <c r="L138" s="312">
        <f t="shared" si="32"/>
        <v>0</v>
      </c>
      <c r="M138" s="312">
        <f t="shared" si="33"/>
        <v>0</v>
      </c>
      <c r="N138" s="312">
        <f t="shared" si="34"/>
        <v>0</v>
      </c>
      <c r="O138" s="312">
        <f t="shared" si="35"/>
        <v>0</v>
      </c>
      <c r="P138" s="355">
        <f t="shared" si="36"/>
        <v>0</v>
      </c>
      <c r="R138" s="16">
        <f t="shared" si="30"/>
        <v>0</v>
      </c>
      <c r="T138" s="312" t="s">
        <v>2237</v>
      </c>
      <c r="U138" s="312" t="s">
        <v>2238</v>
      </c>
      <c r="V138" s="312" t="s">
        <v>2239</v>
      </c>
      <c r="X138" s="344" t="s">
        <v>1978</v>
      </c>
      <c r="Y138" s="344" t="s">
        <v>1978</v>
      </c>
    </row>
    <row r="139" spans="1:25" x14ac:dyDescent="0.3">
      <c r="A139" s="251" t="str">
        <f>'Reference Score Calculation'!A130</f>
        <v>JS3290</v>
      </c>
      <c r="B139" s="251" t="str">
        <f>'Reference Score Calculation'!D130</f>
        <v>眼科視光學(榮譽)理學士組合課程</v>
      </c>
      <c r="C139" s="355">
        <v>53</v>
      </c>
      <c r="D139" s="109">
        <v>3</v>
      </c>
      <c r="E139" s="109">
        <v>3</v>
      </c>
      <c r="F139" s="109">
        <v>2</v>
      </c>
      <c r="G139" s="109">
        <v>2</v>
      </c>
      <c r="H139" s="109">
        <v>3</v>
      </c>
      <c r="I139" s="109">
        <v>3</v>
      </c>
      <c r="K139" s="312">
        <f t="shared" si="31"/>
        <v>0</v>
      </c>
      <c r="L139" s="312">
        <f t="shared" si="32"/>
        <v>0</v>
      </c>
      <c r="M139" s="312">
        <f t="shared" si="33"/>
        <v>0</v>
      </c>
      <c r="N139" s="312">
        <f t="shared" si="34"/>
        <v>0</v>
      </c>
      <c r="O139" s="312">
        <f t="shared" si="35"/>
        <v>0</v>
      </c>
      <c r="P139" s="355">
        <f t="shared" si="36"/>
        <v>0</v>
      </c>
      <c r="R139" s="16">
        <f t="shared" si="30"/>
        <v>0</v>
      </c>
      <c r="T139" s="312" t="s">
        <v>2237</v>
      </c>
      <c r="U139" s="312" t="s">
        <v>2238</v>
      </c>
      <c r="V139" s="16" t="s">
        <v>2237</v>
      </c>
      <c r="X139" s="344" t="s">
        <v>1978</v>
      </c>
      <c r="Y139" s="344" t="s">
        <v>1978</v>
      </c>
    </row>
    <row r="140" spans="1:25" x14ac:dyDescent="0.3">
      <c r="A140" s="251" t="str">
        <f>'Reference Score Calculation'!A131</f>
        <v>JS3337</v>
      </c>
      <c r="B140" s="251" t="str">
        <f>'Reference Score Calculation'!D131</f>
        <v>護理學(榮譽)理學士組合課程 - 精神健康護理學(榮譽)理學士</v>
      </c>
      <c r="C140" s="355">
        <v>70</v>
      </c>
      <c r="D140" s="109">
        <v>3</v>
      </c>
      <c r="E140" s="109">
        <v>3</v>
      </c>
      <c r="F140" s="109">
        <v>2</v>
      </c>
      <c r="G140" s="109">
        <v>2</v>
      </c>
      <c r="H140" s="109">
        <v>3</v>
      </c>
      <c r="I140" s="109">
        <v>3</v>
      </c>
      <c r="K140" s="312">
        <f t="shared" si="31"/>
        <v>0</v>
      </c>
      <c r="L140" s="312">
        <f t="shared" si="32"/>
        <v>0</v>
      </c>
      <c r="M140" s="312">
        <f t="shared" si="33"/>
        <v>0</v>
      </c>
      <c r="N140" s="312">
        <f t="shared" si="34"/>
        <v>0</v>
      </c>
      <c r="O140" s="312">
        <f t="shared" si="35"/>
        <v>0</v>
      </c>
      <c r="P140" s="355">
        <f t="shared" si="36"/>
        <v>0</v>
      </c>
      <c r="R140" s="16">
        <f t="shared" si="30"/>
        <v>0</v>
      </c>
      <c r="T140" s="312" t="s">
        <v>2237</v>
      </c>
      <c r="U140" s="312" t="s">
        <v>2239</v>
      </c>
      <c r="V140" s="312" t="s">
        <v>2239</v>
      </c>
      <c r="X140" s="344" t="s">
        <v>1978</v>
      </c>
      <c r="Y140" s="344" t="s">
        <v>1978</v>
      </c>
    </row>
    <row r="141" spans="1:25" x14ac:dyDescent="0.3">
      <c r="A141" s="251" t="str">
        <f>'Reference Score Calculation'!A132</f>
        <v>JS3478</v>
      </c>
      <c r="B141" s="251" t="str">
        <f>'Reference Score Calculation'!D132</f>
        <v>醫療化驗科學及放射學(榮譽)理學士組合課程 - 醫療化驗科學(榮譽)理學士</v>
      </c>
      <c r="C141" s="355">
        <v>60</v>
      </c>
      <c r="D141" s="109">
        <v>3</v>
      </c>
      <c r="E141" s="109">
        <v>3</v>
      </c>
      <c r="F141" s="109">
        <v>2</v>
      </c>
      <c r="G141" s="109">
        <v>2</v>
      </c>
      <c r="H141" s="109">
        <v>3</v>
      </c>
      <c r="I141" s="109">
        <v>3</v>
      </c>
      <c r="K141" s="312">
        <f t="shared" si="31"/>
        <v>0</v>
      </c>
      <c r="L141" s="312">
        <f t="shared" si="32"/>
        <v>0</v>
      </c>
      <c r="M141" s="312">
        <f t="shared" si="33"/>
        <v>0</v>
      </c>
      <c r="N141" s="312">
        <f t="shared" si="34"/>
        <v>0</v>
      </c>
      <c r="O141" s="312">
        <f t="shared" si="35"/>
        <v>0</v>
      </c>
      <c r="P141" s="355">
        <f t="shared" si="36"/>
        <v>0</v>
      </c>
      <c r="R141" s="16">
        <f t="shared" si="30"/>
        <v>0</v>
      </c>
      <c r="T141" s="312" t="s">
        <v>2237</v>
      </c>
      <c r="U141" s="312" t="s">
        <v>2238</v>
      </c>
      <c r="V141" s="312" t="s">
        <v>2239</v>
      </c>
      <c r="X141" s="344" t="s">
        <v>1978</v>
      </c>
      <c r="Y141" s="344" t="s">
        <v>1978</v>
      </c>
    </row>
    <row r="142" spans="1:25" x14ac:dyDescent="0.3">
      <c r="A142" s="251" t="str">
        <f>'Reference Score Calculation'!A133</f>
        <v>JS3612</v>
      </c>
      <c r="B142" s="251" t="str">
        <f>'Reference Score Calculation'!D133</f>
        <v>醫療化驗科學及放射學(榮譽)理學士組合課程 - 放射學(榮譽)理學士</v>
      </c>
      <c r="C142" s="355">
        <v>115</v>
      </c>
      <c r="D142" s="109">
        <v>3</v>
      </c>
      <c r="E142" s="109">
        <v>3</v>
      </c>
      <c r="F142" s="109">
        <v>2</v>
      </c>
      <c r="G142" s="109">
        <v>2</v>
      </c>
      <c r="H142" s="109">
        <v>3</v>
      </c>
      <c r="I142" s="109">
        <v>3</v>
      </c>
      <c r="K142" s="312">
        <f t="shared" si="31"/>
        <v>0</v>
      </c>
      <c r="L142" s="312">
        <f t="shared" si="32"/>
        <v>0</v>
      </c>
      <c r="M142" s="312">
        <f t="shared" si="33"/>
        <v>0</v>
      </c>
      <c r="N142" s="312">
        <f t="shared" si="34"/>
        <v>0</v>
      </c>
      <c r="O142" s="312">
        <f t="shared" si="35"/>
        <v>0</v>
      </c>
      <c r="P142" s="355">
        <f t="shared" si="36"/>
        <v>0</v>
      </c>
      <c r="R142" s="16">
        <f t="shared" si="30"/>
        <v>0</v>
      </c>
      <c r="T142" s="312" t="s">
        <v>2237</v>
      </c>
      <c r="U142" s="312" t="s">
        <v>2238</v>
      </c>
      <c r="V142" s="312" t="s">
        <v>2239</v>
      </c>
      <c r="X142" s="344" t="s">
        <v>1978</v>
      </c>
      <c r="Y142" s="344" t="s">
        <v>1978</v>
      </c>
    </row>
    <row r="143" spans="1:25" x14ac:dyDescent="0.3">
      <c r="A143" s="251" t="str">
        <f>'Reference Score Calculation'!A134</f>
        <v>JS3624</v>
      </c>
      <c r="B143" s="251" t="str">
        <f>'Reference Score Calculation'!D134</f>
        <v>康復治療科學(榮譽)理學士組合課程 - 職業治療學(榮譽)理學士</v>
      </c>
      <c r="C143" s="355">
        <v>100</v>
      </c>
      <c r="D143" s="109">
        <v>3</v>
      </c>
      <c r="E143" s="109">
        <v>3</v>
      </c>
      <c r="F143" s="109">
        <v>2</v>
      </c>
      <c r="G143" s="109">
        <v>2</v>
      </c>
      <c r="H143" s="109">
        <v>3</v>
      </c>
      <c r="I143" s="109">
        <v>3</v>
      </c>
      <c r="K143" s="312">
        <f t="shared" si="31"/>
        <v>0</v>
      </c>
      <c r="L143" s="312">
        <f t="shared" si="32"/>
        <v>0</v>
      </c>
      <c r="M143" s="312">
        <f t="shared" si="33"/>
        <v>0</v>
      </c>
      <c r="N143" s="312">
        <f t="shared" si="34"/>
        <v>0</v>
      </c>
      <c r="O143" s="312">
        <f t="shared" si="35"/>
        <v>0</v>
      </c>
      <c r="P143" s="355">
        <f t="shared" si="36"/>
        <v>0</v>
      </c>
      <c r="R143" s="16">
        <f t="shared" si="30"/>
        <v>0</v>
      </c>
      <c r="T143" s="312" t="s">
        <v>2237</v>
      </c>
      <c r="U143" s="312" t="s">
        <v>2238</v>
      </c>
      <c r="V143" s="312" t="s">
        <v>2239</v>
      </c>
      <c r="X143" s="344" t="s">
        <v>1978</v>
      </c>
      <c r="Y143" s="344" t="s">
        <v>1978</v>
      </c>
    </row>
    <row r="144" spans="1:25" x14ac:dyDescent="0.3">
      <c r="A144" s="251" t="str">
        <f>'Reference Score Calculation'!A135</f>
        <v>JS3636</v>
      </c>
      <c r="B144" s="251" t="str">
        <f>'Reference Score Calculation'!D135</f>
        <v>康復治療科學(榮譽)理學士組合課程 - 物理治療學(榮譽)理學士</v>
      </c>
      <c r="C144" s="355">
        <v>150</v>
      </c>
      <c r="D144" s="109">
        <v>3</v>
      </c>
      <c r="E144" s="109">
        <v>3</v>
      </c>
      <c r="F144" s="109">
        <v>2</v>
      </c>
      <c r="G144" s="109">
        <v>2</v>
      </c>
      <c r="H144" s="109">
        <v>3</v>
      </c>
      <c r="I144" s="109">
        <v>3</v>
      </c>
      <c r="K144" s="312">
        <f t="shared" si="31"/>
        <v>0</v>
      </c>
      <c r="L144" s="312">
        <f t="shared" si="32"/>
        <v>0</v>
      </c>
      <c r="M144" s="312">
        <f t="shared" si="33"/>
        <v>0</v>
      </c>
      <c r="N144" s="312">
        <f t="shared" si="34"/>
        <v>0</v>
      </c>
      <c r="O144" s="312">
        <f t="shared" si="35"/>
        <v>0</v>
      </c>
      <c r="P144" s="355">
        <f t="shared" si="36"/>
        <v>0</v>
      </c>
      <c r="R144" s="16">
        <f t="shared" si="30"/>
        <v>0</v>
      </c>
      <c r="T144" s="312" t="s">
        <v>2237</v>
      </c>
      <c r="U144" s="312" t="s">
        <v>2238</v>
      </c>
      <c r="V144" s="312" t="s">
        <v>2239</v>
      </c>
      <c r="X144" s="344" t="s">
        <v>1978</v>
      </c>
      <c r="Y144" s="344" t="s">
        <v>1978</v>
      </c>
    </row>
    <row r="145" spans="1:38" x14ac:dyDescent="0.3">
      <c r="A145" s="251" t="str">
        <f>'Reference Score Calculation'!A136</f>
        <v>JS3648</v>
      </c>
      <c r="B145" s="251" t="str">
        <f>'Reference Score Calculation'!D136</f>
        <v>護理學(榮譽)理學士組合課程 - 護理學(榮譽)理學士</v>
      </c>
      <c r="C145" s="355">
        <v>193</v>
      </c>
      <c r="D145" s="109">
        <v>3</v>
      </c>
      <c r="E145" s="109">
        <v>3</v>
      </c>
      <c r="F145" s="109">
        <v>2</v>
      </c>
      <c r="G145" s="109">
        <v>2</v>
      </c>
      <c r="H145" s="109">
        <v>3</v>
      </c>
      <c r="I145" s="109">
        <v>3</v>
      </c>
      <c r="K145" s="312">
        <f t="shared" si="31"/>
        <v>0</v>
      </c>
      <c r="L145" s="312">
        <f t="shared" si="32"/>
        <v>0</v>
      </c>
      <c r="M145" s="312">
        <f t="shared" si="33"/>
        <v>0</v>
      </c>
      <c r="N145" s="312">
        <f t="shared" si="34"/>
        <v>0</v>
      </c>
      <c r="O145" s="312">
        <f>IF(H145&gt;LARGE($H$3:$M$3,1),0,1)</f>
        <v>0</v>
      </c>
      <c r="P145" s="355">
        <f t="shared" si="36"/>
        <v>0</v>
      </c>
      <c r="R145" s="16">
        <f t="shared" si="30"/>
        <v>0</v>
      </c>
      <c r="T145" s="312" t="s">
        <v>2237</v>
      </c>
      <c r="U145" s="312" t="s">
        <v>2239</v>
      </c>
      <c r="V145" s="312" t="s">
        <v>2239</v>
      </c>
      <c r="X145" s="344" t="s">
        <v>1978</v>
      </c>
      <c r="Y145" s="344" t="s">
        <v>1978</v>
      </c>
    </row>
    <row r="146" spans="1:38" x14ac:dyDescent="0.3">
      <c r="A146" s="11" t="s">
        <v>2247</v>
      </c>
      <c r="B146" s="251"/>
      <c r="D146" s="251"/>
      <c r="E146" s="251"/>
      <c r="F146" s="251"/>
      <c r="G146" s="251"/>
      <c r="H146" s="251"/>
      <c r="I146" s="251"/>
      <c r="J146" s="251"/>
      <c r="K146" s="251"/>
      <c r="L146" s="251"/>
      <c r="M146" s="251"/>
      <c r="N146" s="251"/>
      <c r="O146" s="251"/>
      <c r="P146" s="251"/>
      <c r="Q146" s="251"/>
      <c r="R146" s="251"/>
      <c r="S146" s="251"/>
      <c r="T146" s="251"/>
      <c r="U146" s="251"/>
      <c r="V146" s="251"/>
      <c r="W146" s="251"/>
      <c r="X146" s="251"/>
      <c r="Y146" s="251"/>
      <c r="Z146" s="251"/>
    </row>
    <row r="147" spans="1:38" x14ac:dyDescent="0.3">
      <c r="A147" s="11" t="s">
        <v>1942</v>
      </c>
      <c r="B147" s="11" t="s">
        <v>1944</v>
      </c>
      <c r="C147" s="356" t="s">
        <v>1950</v>
      </c>
      <c r="D147" s="111" t="s">
        <v>1953</v>
      </c>
      <c r="E147" s="111" t="s">
        <v>1954</v>
      </c>
      <c r="F147" s="111" t="s">
        <v>1955</v>
      </c>
      <c r="G147" s="111" t="s">
        <v>1956</v>
      </c>
      <c r="H147" s="111" t="s">
        <v>1957</v>
      </c>
      <c r="I147" s="111" t="s">
        <v>1958</v>
      </c>
      <c r="J147" s="11"/>
      <c r="K147" s="19" t="s">
        <v>1953</v>
      </c>
      <c r="L147" s="19" t="s">
        <v>1954</v>
      </c>
      <c r="M147" s="19" t="s">
        <v>1955</v>
      </c>
      <c r="N147" s="19" t="s">
        <v>1956</v>
      </c>
      <c r="O147" s="19" t="s">
        <v>1957</v>
      </c>
      <c r="P147" s="19" t="s">
        <v>1958</v>
      </c>
      <c r="Q147" s="16"/>
      <c r="S147" s="344"/>
      <c r="T147" s="16" t="s">
        <v>2233</v>
      </c>
      <c r="U147" s="16" t="s">
        <v>2234</v>
      </c>
      <c r="V147" s="16" t="s">
        <v>2235</v>
      </c>
      <c r="W147" s="355" t="s">
        <v>3137</v>
      </c>
      <c r="X147" s="344"/>
      <c r="Y147" s="344"/>
      <c r="Z147" s="344"/>
      <c r="AA147" s="394" t="s">
        <v>2247</v>
      </c>
      <c r="AB147" s="394" t="s">
        <v>2236</v>
      </c>
      <c r="AC147" s="384"/>
      <c r="AD147" s="389"/>
      <c r="AE147" s="389"/>
      <c r="AF147" s="389"/>
      <c r="AG147" s="389"/>
      <c r="AH147" s="389"/>
      <c r="AI147" s="389"/>
      <c r="AJ147" s="389"/>
      <c r="AK147" s="384"/>
      <c r="AL147" s="384"/>
    </row>
    <row r="148" spans="1:38" x14ac:dyDescent="0.3">
      <c r="A148" s="2" t="str">
        <f>'Reference Score Calculation'!A139</f>
        <v>JS4006</v>
      </c>
      <c r="B148" s="2" t="str">
        <f>'Reference Score Calculation'!D139</f>
        <v>人類學</v>
      </c>
      <c r="C148" s="355">
        <v>18</v>
      </c>
      <c r="D148" s="109">
        <v>3</v>
      </c>
      <c r="E148" s="109">
        <v>3</v>
      </c>
      <c r="F148" s="109">
        <v>2</v>
      </c>
      <c r="G148" s="109">
        <v>2</v>
      </c>
      <c r="H148" s="109">
        <v>3</v>
      </c>
      <c r="I148" s="109">
        <v>3</v>
      </c>
      <c r="K148" s="355">
        <f t="shared" ref="K148" si="37">IF(D148&gt;D$3,0,1)</f>
        <v>0</v>
      </c>
      <c r="L148" s="355">
        <f t="shared" ref="L148" si="38">IF(E148&gt;E$3,0,1)</f>
        <v>0</v>
      </c>
      <c r="M148" s="355">
        <f t="shared" ref="M148" si="39">IF(F148&gt;F$3,0,1)</f>
        <v>0</v>
      </c>
      <c r="N148" s="355">
        <f t="shared" ref="N148" si="40">IF(G148&gt;G$3,0,1)</f>
        <v>0</v>
      </c>
      <c r="O148" s="355">
        <f>IF(H148&gt;LARGE($H$3:$M$3,1),0,1)</f>
        <v>0</v>
      </c>
      <c r="P148" s="355">
        <f>IF(I148&gt;LARGE($H$3:$M$3,2),0,1)</f>
        <v>0</v>
      </c>
      <c r="Q148" s="16"/>
      <c r="R148" s="16">
        <f t="shared" ref="R148:R196" si="41">K148*L148*M148*N148*O148*P148</f>
        <v>0</v>
      </c>
      <c r="S148" s="344"/>
      <c r="T148" s="16" t="s">
        <v>2237</v>
      </c>
      <c r="U148" s="16" t="s">
        <v>2238</v>
      </c>
      <c r="V148" s="355" t="s">
        <v>2239</v>
      </c>
      <c r="W148" s="355" t="s">
        <v>2237</v>
      </c>
      <c r="X148" s="344" t="s">
        <v>1978</v>
      </c>
      <c r="Y148" s="344" t="s">
        <v>1978</v>
      </c>
      <c r="Z148" s="344"/>
      <c r="AA148" s="390"/>
      <c r="AB148" s="390"/>
      <c r="AC148" s="390"/>
      <c r="AD148" s="390"/>
      <c r="AE148" s="390"/>
      <c r="AF148" s="390" t="s">
        <v>3155</v>
      </c>
      <c r="AG148" s="384"/>
      <c r="AH148" s="384"/>
      <c r="AI148" s="384"/>
      <c r="AJ148" s="384"/>
      <c r="AK148" s="384"/>
      <c r="AL148" s="384"/>
    </row>
    <row r="149" spans="1:38" x14ac:dyDescent="0.3">
      <c r="A149" s="344" t="str">
        <f>'Reference Score Calculation'!A140</f>
        <v>JS4018</v>
      </c>
      <c r="B149" s="344" t="str">
        <f>'Reference Score Calculation'!D140</f>
        <v>中國語言及文學</v>
      </c>
      <c r="C149" s="355">
        <v>79</v>
      </c>
      <c r="D149" s="380">
        <v>3</v>
      </c>
      <c r="E149" s="380">
        <v>3</v>
      </c>
      <c r="F149" s="380">
        <v>2</v>
      </c>
      <c r="G149" s="380">
        <v>2</v>
      </c>
      <c r="H149" s="380">
        <v>3</v>
      </c>
      <c r="I149" s="380">
        <v>3</v>
      </c>
      <c r="K149" s="355">
        <f t="shared" ref="K149:K212" si="42">IF(D149&gt;D$3,0,1)</f>
        <v>0</v>
      </c>
      <c r="L149" s="355">
        <f t="shared" ref="L149:L212" si="43">IF(E149&gt;E$3,0,1)</f>
        <v>0</v>
      </c>
      <c r="M149" s="355">
        <f t="shared" ref="M149:M212" si="44">IF(F149&gt;F$3,0,1)</f>
        <v>0</v>
      </c>
      <c r="N149" s="355">
        <f t="shared" ref="N149:N212" si="45">IF(G149&gt;G$3,0,1)</f>
        <v>0</v>
      </c>
      <c r="O149" s="355">
        <f t="shared" ref="O149:O212" si="46">IF(H149&gt;LARGE($H$3:$M$3,1),0,1)</f>
        <v>0</v>
      </c>
      <c r="P149" s="355">
        <f t="shared" ref="P149:P165" si="47">IF(I149&gt;LARGE($H$3:$M$3,2),0,1)</f>
        <v>0</v>
      </c>
      <c r="Q149" s="16"/>
      <c r="R149" s="16">
        <f t="shared" si="41"/>
        <v>0</v>
      </c>
      <c r="S149" s="344"/>
      <c r="T149" s="16" t="s">
        <v>2237</v>
      </c>
      <c r="U149" s="16" t="s">
        <v>2238</v>
      </c>
      <c r="V149" s="16" t="s">
        <v>2239</v>
      </c>
      <c r="W149" s="355" t="s">
        <v>2239</v>
      </c>
      <c r="X149" s="344" t="s">
        <v>1978</v>
      </c>
      <c r="Y149" s="344" t="s">
        <v>1978</v>
      </c>
      <c r="Z149" s="344"/>
      <c r="AA149" s="390"/>
      <c r="AB149" s="390" t="s">
        <v>3153</v>
      </c>
      <c r="AC149" s="390"/>
      <c r="AD149" s="390" t="s">
        <v>3154</v>
      </c>
      <c r="AE149" s="390"/>
      <c r="AF149" s="390" t="s">
        <v>2229</v>
      </c>
      <c r="AG149" s="390" t="s">
        <v>2245</v>
      </c>
      <c r="AH149" s="384"/>
      <c r="AI149" s="384"/>
      <c r="AJ149" s="384"/>
      <c r="AK149" s="384"/>
      <c r="AL149" s="384"/>
    </row>
    <row r="150" spans="1:38" x14ac:dyDescent="0.3">
      <c r="A150" s="344" t="str">
        <f>'Reference Score Calculation'!A141</f>
        <v>JS4020</v>
      </c>
      <c r="B150" s="344" t="str">
        <f>'Reference Score Calculation'!D141</f>
        <v>文化研究</v>
      </c>
      <c r="C150" s="355">
        <v>17</v>
      </c>
      <c r="D150" s="380">
        <v>3</v>
      </c>
      <c r="E150" s="380">
        <v>3</v>
      </c>
      <c r="F150" s="380">
        <v>2</v>
      </c>
      <c r="G150" s="380">
        <v>2</v>
      </c>
      <c r="H150" s="380">
        <v>3</v>
      </c>
      <c r="I150" s="380">
        <v>3</v>
      </c>
      <c r="K150" s="355">
        <f t="shared" si="42"/>
        <v>0</v>
      </c>
      <c r="L150" s="355">
        <f t="shared" si="43"/>
        <v>0</v>
      </c>
      <c r="M150" s="355">
        <f t="shared" si="44"/>
        <v>0</v>
      </c>
      <c r="N150" s="355">
        <f t="shared" si="45"/>
        <v>0</v>
      </c>
      <c r="O150" s="355">
        <f t="shared" si="46"/>
        <v>0</v>
      </c>
      <c r="P150" s="355">
        <f t="shared" si="47"/>
        <v>0</v>
      </c>
      <c r="Q150" s="16"/>
      <c r="R150" s="16">
        <f t="shared" si="41"/>
        <v>0</v>
      </c>
      <c r="S150" s="344"/>
      <c r="T150" s="16" t="s">
        <v>2237</v>
      </c>
      <c r="U150" s="16" t="s">
        <v>2238</v>
      </c>
      <c r="V150" s="355" t="s">
        <v>2239</v>
      </c>
      <c r="W150" s="355" t="s">
        <v>2239</v>
      </c>
      <c r="X150" s="344" t="s">
        <v>1978</v>
      </c>
      <c r="Y150" s="344" t="s">
        <v>1978</v>
      </c>
      <c r="Z150" s="344"/>
      <c r="AA150" s="390" t="s">
        <v>3068</v>
      </c>
      <c r="AB150" s="391">
        <f>F3</f>
        <v>3E-10</v>
      </c>
      <c r="AC150" s="390"/>
      <c r="AD150" s="391">
        <f>H3</f>
        <v>5.0000000000000003E-10</v>
      </c>
      <c r="AE150" s="390"/>
      <c r="AF150" s="16">
        <f>IF(AB150&lt;5,IF(AB150&lt;4,0,2),1)</f>
        <v>0</v>
      </c>
      <c r="AG150" s="391">
        <f>IF(AND(AB150&lt;5,AD150&lt;5),0,1)</f>
        <v>0</v>
      </c>
      <c r="AH150" s="384"/>
      <c r="AI150" s="384"/>
      <c r="AJ150" s="384"/>
      <c r="AK150" s="384"/>
      <c r="AL150" s="384"/>
    </row>
    <row r="151" spans="1:38" x14ac:dyDescent="0.3">
      <c r="A151" s="344" t="str">
        <f>'Reference Score Calculation'!A142</f>
        <v>JS4022</v>
      </c>
      <c r="B151" s="344" t="str">
        <f>'Reference Score Calculation'!D142</f>
        <v>文化管理</v>
      </c>
      <c r="C151" s="355">
        <v>20</v>
      </c>
      <c r="D151" s="380">
        <v>3</v>
      </c>
      <c r="E151" s="380">
        <v>3</v>
      </c>
      <c r="F151" s="380">
        <v>2</v>
      </c>
      <c r="G151" s="380">
        <v>2</v>
      </c>
      <c r="H151" s="380">
        <v>3</v>
      </c>
      <c r="I151" s="380">
        <v>3</v>
      </c>
      <c r="K151" s="355">
        <f t="shared" si="42"/>
        <v>0</v>
      </c>
      <c r="L151" s="355">
        <f t="shared" si="43"/>
        <v>0</v>
      </c>
      <c r="M151" s="355">
        <f t="shared" si="44"/>
        <v>0</v>
      </c>
      <c r="N151" s="355">
        <f t="shared" si="45"/>
        <v>0</v>
      </c>
      <c r="O151" s="355">
        <f t="shared" si="46"/>
        <v>0</v>
      </c>
      <c r="P151" s="355">
        <f t="shared" si="47"/>
        <v>0</v>
      </c>
      <c r="Q151" s="16"/>
      <c r="R151" s="16">
        <f t="shared" si="41"/>
        <v>0</v>
      </c>
      <c r="S151" s="344"/>
      <c r="T151" s="16" t="s">
        <v>2237</v>
      </c>
      <c r="U151" s="16" t="s">
        <v>2238</v>
      </c>
      <c r="V151" s="355" t="s">
        <v>2239</v>
      </c>
      <c r="W151" s="355" t="s">
        <v>2239</v>
      </c>
      <c r="X151" s="344" t="s">
        <v>1978</v>
      </c>
      <c r="Y151" s="344" t="s">
        <v>1978</v>
      </c>
      <c r="Z151" s="344"/>
      <c r="AA151" s="390"/>
      <c r="AB151" s="390"/>
      <c r="AC151" s="390"/>
      <c r="AD151" s="390"/>
      <c r="AE151" s="390"/>
      <c r="AF151" s="390"/>
      <c r="AG151" s="390"/>
      <c r="AH151" s="384"/>
      <c r="AI151" s="384"/>
      <c r="AJ151" s="384"/>
      <c r="AK151" s="384"/>
      <c r="AL151" s="384"/>
    </row>
    <row r="152" spans="1:38" x14ac:dyDescent="0.3">
      <c r="A152" s="344" t="str">
        <f>'Reference Score Calculation'!A143</f>
        <v>JS4032</v>
      </c>
      <c r="B152" s="344" t="str">
        <f>'Reference Score Calculation'!D143</f>
        <v>英文</v>
      </c>
      <c r="C152" s="355">
        <v>55</v>
      </c>
      <c r="D152" s="380">
        <v>3</v>
      </c>
      <c r="E152" s="380">
        <v>3</v>
      </c>
      <c r="F152" s="380">
        <v>2</v>
      </c>
      <c r="G152" s="380">
        <v>2</v>
      </c>
      <c r="H152" s="380">
        <v>3</v>
      </c>
      <c r="I152" s="380">
        <v>3</v>
      </c>
      <c r="K152" s="355">
        <f t="shared" si="42"/>
        <v>0</v>
      </c>
      <c r="L152" s="355">
        <f t="shared" si="43"/>
        <v>0</v>
      </c>
      <c r="M152" s="355">
        <f t="shared" si="44"/>
        <v>0</v>
      </c>
      <c r="N152" s="355">
        <f t="shared" si="45"/>
        <v>0</v>
      </c>
      <c r="O152" s="355">
        <f t="shared" si="46"/>
        <v>0</v>
      </c>
      <c r="P152" s="355">
        <f t="shared" si="47"/>
        <v>0</v>
      </c>
      <c r="Q152" s="16"/>
      <c r="R152" s="16">
        <f t="shared" si="41"/>
        <v>0</v>
      </c>
      <c r="S152" s="344"/>
      <c r="T152" s="16" t="s">
        <v>2237</v>
      </c>
      <c r="U152" s="16" t="s">
        <v>2238</v>
      </c>
      <c r="V152" s="355" t="s">
        <v>2239</v>
      </c>
      <c r="W152" s="355" t="s">
        <v>2237</v>
      </c>
      <c r="X152" s="344" t="s">
        <v>1978</v>
      </c>
      <c r="Y152" s="344" t="s">
        <v>1978</v>
      </c>
      <c r="Z152" s="344"/>
      <c r="AA152" s="390" t="s">
        <v>888</v>
      </c>
      <c r="AB152" s="390" t="str">
        <f>I2</f>
        <v>請選擇第一選修科</v>
      </c>
      <c r="AC152" s="390" t="str">
        <f>J2</f>
        <v>請選擇第二選修科</v>
      </c>
      <c r="AD152" s="390" t="str">
        <f>K2</f>
        <v>請選擇第三選修科</v>
      </c>
      <c r="AE152" s="390" t="str">
        <f>L2</f>
        <v>請選擇第四選修科</v>
      </c>
      <c r="AF152" s="390" t="str">
        <f>H2</f>
        <v>數學延伸</v>
      </c>
      <c r="AG152" s="384"/>
      <c r="AH152" s="390" t="s">
        <v>3157</v>
      </c>
      <c r="AI152" s="390"/>
      <c r="AJ152" s="384"/>
      <c r="AK152" s="384"/>
      <c r="AL152" s="384"/>
    </row>
    <row r="153" spans="1:38" x14ac:dyDescent="0.3">
      <c r="A153" s="344" t="str">
        <f>'Reference Score Calculation'!A144</f>
        <v>JS4044</v>
      </c>
      <c r="B153" s="344" t="str">
        <f>'Reference Score Calculation'!D144</f>
        <v>藝術</v>
      </c>
      <c r="C153" s="355">
        <v>19</v>
      </c>
      <c r="D153" s="380">
        <v>3</v>
      </c>
      <c r="E153" s="380">
        <v>3</v>
      </c>
      <c r="F153" s="380">
        <v>2</v>
      </c>
      <c r="G153" s="380">
        <v>2</v>
      </c>
      <c r="H153" s="380">
        <v>3</v>
      </c>
      <c r="I153" s="380">
        <v>3</v>
      </c>
      <c r="K153" s="355">
        <f t="shared" si="42"/>
        <v>0</v>
      </c>
      <c r="L153" s="355">
        <f t="shared" si="43"/>
        <v>0</v>
      </c>
      <c r="M153" s="355">
        <f t="shared" si="44"/>
        <v>0</v>
      </c>
      <c r="N153" s="355">
        <f t="shared" si="45"/>
        <v>0</v>
      </c>
      <c r="O153" s="355">
        <f t="shared" si="46"/>
        <v>0</v>
      </c>
      <c r="P153" s="355">
        <f t="shared" si="47"/>
        <v>0</v>
      </c>
      <c r="Q153" s="16"/>
      <c r="R153" s="16">
        <f t="shared" si="41"/>
        <v>0</v>
      </c>
      <c r="S153" s="344"/>
      <c r="T153" s="16" t="s">
        <v>2237</v>
      </c>
      <c r="U153" s="16" t="s">
        <v>2238</v>
      </c>
      <c r="V153" s="355" t="s">
        <v>2239</v>
      </c>
      <c r="W153" s="355" t="s">
        <v>2237</v>
      </c>
      <c r="X153" s="344" t="s">
        <v>1978</v>
      </c>
      <c r="Y153" s="344" t="s">
        <v>1978</v>
      </c>
      <c r="Z153" s="344"/>
      <c r="AA153" s="390" t="s">
        <v>896</v>
      </c>
      <c r="AB153" s="391">
        <f>IF(OR(I2="物理",I2="化學",I2="生物",I2="組合科學(物理、化學)",I2="組合科學(生物、化學)",I2="組合科學(物理、生物)"),I3,0)</f>
        <v>0</v>
      </c>
      <c r="AC153" s="391">
        <f>IF(OR(J2="物理",J2="化學",J2="生物",J2="組合科學(物理、化學)",J2="組合科學(生物、化學)",J2="組合科學(物理、生物)"),J3,0)</f>
        <v>0</v>
      </c>
      <c r="AD153" s="391">
        <f>IF(OR(K2="物理",K2="化學",K2="生物",K2="組合科學(物理、化學)",K2="組合科學(生物、化學)",K2="組合科學(物理、生物)"),K3,0)</f>
        <v>0</v>
      </c>
      <c r="AE153" s="391">
        <f>IF(OR(L2="物理",L2="化學",L2="生物",L2="組合科學(物理、化學)",L2="組合科學(生物、化學)",L2="組合科學(物理、生物)"),L3,0)</f>
        <v>0</v>
      </c>
      <c r="AF153" s="391">
        <f>H3</f>
        <v>5.0000000000000003E-10</v>
      </c>
      <c r="AG153" s="390"/>
      <c r="AH153" s="391" t="str">
        <f>IF(AI153&gt;0,INDEX(AB152:AF152,MATCH(LARGE(AB153:AF153,1),AB153:AF153,0)),"無")</f>
        <v>數學延伸</v>
      </c>
      <c r="AI153" s="391">
        <f>LARGE((AB153:AF153),1)</f>
        <v>5.0000000000000003E-10</v>
      </c>
      <c r="AJ153" s="384"/>
      <c r="AK153" s="384"/>
      <c r="AL153" s="384"/>
    </row>
    <row r="154" spans="1:38" x14ac:dyDescent="0.3">
      <c r="A154" s="344" t="str">
        <f>'Reference Score Calculation'!A145</f>
        <v>JS4056</v>
      </c>
      <c r="B154" s="344" t="str">
        <f>'Reference Score Calculation'!D145</f>
        <v>歷史</v>
      </c>
      <c r="C154" s="355">
        <v>48</v>
      </c>
      <c r="D154" s="380">
        <v>3</v>
      </c>
      <c r="E154" s="380">
        <v>3</v>
      </c>
      <c r="F154" s="380">
        <v>2</v>
      </c>
      <c r="G154" s="380">
        <v>2</v>
      </c>
      <c r="H154" s="380">
        <v>3</v>
      </c>
      <c r="I154" s="380">
        <v>3</v>
      </c>
      <c r="K154" s="355">
        <f t="shared" si="42"/>
        <v>0</v>
      </c>
      <c r="L154" s="355">
        <f t="shared" si="43"/>
        <v>0</v>
      </c>
      <c r="M154" s="355">
        <f t="shared" si="44"/>
        <v>0</v>
      </c>
      <c r="N154" s="355">
        <f t="shared" si="45"/>
        <v>0</v>
      </c>
      <c r="O154" s="355">
        <f t="shared" si="46"/>
        <v>0</v>
      </c>
      <c r="P154" s="355">
        <f t="shared" si="47"/>
        <v>0</v>
      </c>
      <c r="Q154" s="16"/>
      <c r="R154" s="16">
        <f t="shared" si="41"/>
        <v>0</v>
      </c>
      <c r="S154" s="344"/>
      <c r="T154" s="16" t="s">
        <v>2237</v>
      </c>
      <c r="U154" s="16" t="s">
        <v>2238</v>
      </c>
      <c r="V154" s="355" t="s">
        <v>2239</v>
      </c>
      <c r="W154" s="355" t="s">
        <v>2239</v>
      </c>
      <c r="X154" s="344" t="s">
        <v>1978</v>
      </c>
      <c r="Y154" s="344" t="s">
        <v>1978</v>
      </c>
      <c r="Z154" s="344"/>
      <c r="AA154" s="390" t="s">
        <v>914</v>
      </c>
      <c r="AB154" s="417" t="s">
        <v>3156</v>
      </c>
      <c r="AC154" s="390"/>
      <c r="AD154" s="390"/>
      <c r="AE154" s="390"/>
      <c r="AF154" s="390"/>
      <c r="AG154" s="390"/>
      <c r="AH154" s="384"/>
      <c r="AI154" s="384"/>
      <c r="AJ154" s="384"/>
      <c r="AK154" s="384"/>
      <c r="AL154" s="384"/>
    </row>
    <row r="155" spans="1:38" x14ac:dyDescent="0.3">
      <c r="A155" s="344" t="str">
        <f>'Reference Score Calculation'!A146</f>
        <v>JS4068</v>
      </c>
      <c r="B155" s="344" t="str">
        <f>'Reference Score Calculation'!D146</f>
        <v>日本研究</v>
      </c>
      <c r="C155" s="355">
        <v>22</v>
      </c>
      <c r="D155" s="380">
        <v>3</v>
      </c>
      <c r="E155" s="380">
        <v>3</v>
      </c>
      <c r="F155" s="380">
        <v>2</v>
      </c>
      <c r="G155" s="380">
        <v>2</v>
      </c>
      <c r="H155" s="380">
        <v>3</v>
      </c>
      <c r="I155" s="380">
        <v>3</v>
      </c>
      <c r="K155" s="355">
        <f t="shared" si="42"/>
        <v>0</v>
      </c>
      <c r="L155" s="355">
        <f t="shared" si="43"/>
        <v>0</v>
      </c>
      <c r="M155" s="355">
        <f t="shared" si="44"/>
        <v>0</v>
      </c>
      <c r="N155" s="355">
        <f t="shared" si="45"/>
        <v>0</v>
      </c>
      <c r="O155" s="355">
        <f t="shared" si="46"/>
        <v>0</v>
      </c>
      <c r="P155" s="355">
        <f t="shared" si="47"/>
        <v>0</v>
      </c>
      <c r="Q155" s="16"/>
      <c r="R155" s="16">
        <f t="shared" si="41"/>
        <v>0</v>
      </c>
      <c r="S155" s="344"/>
      <c r="T155" s="16" t="s">
        <v>2237</v>
      </c>
      <c r="U155" s="16" t="s">
        <v>2238</v>
      </c>
      <c r="V155" s="355" t="s">
        <v>2239</v>
      </c>
      <c r="W155" s="355" t="s">
        <v>2237</v>
      </c>
      <c r="X155" s="344" t="s">
        <v>1978</v>
      </c>
      <c r="Y155" s="344" t="s">
        <v>1978</v>
      </c>
      <c r="Z155" s="344"/>
      <c r="AA155" s="390" t="s">
        <v>922</v>
      </c>
      <c r="AB155" s="390"/>
      <c r="AC155" s="390"/>
      <c r="AD155" s="390"/>
      <c r="AE155" s="390"/>
      <c r="AF155" s="390"/>
      <c r="AG155" s="390"/>
      <c r="AH155" s="384"/>
      <c r="AI155" s="384"/>
      <c r="AJ155" s="384"/>
      <c r="AK155" s="384"/>
      <c r="AL155" s="384"/>
    </row>
    <row r="156" spans="1:38" x14ac:dyDescent="0.3">
      <c r="A156" s="344" t="str">
        <f>'Reference Score Calculation'!A147</f>
        <v>JS4070</v>
      </c>
      <c r="B156" s="344" t="str">
        <f>'Reference Score Calculation'!D147</f>
        <v>語言學</v>
      </c>
      <c r="C156" s="355">
        <v>22</v>
      </c>
      <c r="D156" s="380">
        <v>3</v>
      </c>
      <c r="E156" s="380">
        <v>3</v>
      </c>
      <c r="F156" s="380">
        <v>2</v>
      </c>
      <c r="G156" s="380">
        <v>2</v>
      </c>
      <c r="H156" s="380">
        <v>3</v>
      </c>
      <c r="I156" s="380">
        <v>3</v>
      </c>
      <c r="K156" s="355">
        <f t="shared" si="42"/>
        <v>0</v>
      </c>
      <c r="L156" s="355">
        <f t="shared" si="43"/>
        <v>0</v>
      </c>
      <c r="M156" s="355">
        <f t="shared" si="44"/>
        <v>0</v>
      </c>
      <c r="N156" s="355">
        <f t="shared" si="45"/>
        <v>0</v>
      </c>
      <c r="O156" s="355">
        <f t="shared" si="46"/>
        <v>0</v>
      </c>
      <c r="P156" s="355">
        <f t="shared" si="47"/>
        <v>0</v>
      </c>
      <c r="Q156" s="16"/>
      <c r="R156" s="16">
        <f t="shared" si="41"/>
        <v>0</v>
      </c>
      <c r="S156" s="344"/>
      <c r="T156" s="16" t="s">
        <v>2237</v>
      </c>
      <c r="U156" s="16" t="s">
        <v>2238</v>
      </c>
      <c r="V156" s="355" t="s">
        <v>2239</v>
      </c>
      <c r="W156" s="355" t="s">
        <v>2239</v>
      </c>
      <c r="X156" s="344" t="s">
        <v>1978</v>
      </c>
      <c r="Y156" s="344" t="s">
        <v>1978</v>
      </c>
      <c r="Z156" s="344"/>
      <c r="AA156" s="390"/>
      <c r="AB156" s="390"/>
      <c r="AC156" s="390"/>
      <c r="AD156" s="390"/>
      <c r="AE156" s="390"/>
      <c r="AF156" s="390"/>
      <c r="AG156" s="390"/>
      <c r="AH156" s="384"/>
      <c r="AI156" s="384"/>
      <c r="AJ156" s="384"/>
      <c r="AK156" s="384"/>
      <c r="AL156" s="384"/>
    </row>
    <row r="157" spans="1:38" x14ac:dyDescent="0.3">
      <c r="A157" s="344" t="str">
        <f>'Reference Score Calculation'!A148</f>
        <v>JS4082</v>
      </c>
      <c r="B157" s="344" t="str">
        <f>'Reference Score Calculation'!D148</f>
        <v>音樂</v>
      </c>
      <c r="C157" s="355">
        <v>27</v>
      </c>
      <c r="D157" s="380">
        <v>3</v>
      </c>
      <c r="E157" s="380">
        <v>3</v>
      </c>
      <c r="F157" s="380">
        <v>2</v>
      </c>
      <c r="G157" s="380">
        <v>2</v>
      </c>
      <c r="H157" s="380">
        <v>3</v>
      </c>
      <c r="I157" s="380">
        <v>3</v>
      </c>
      <c r="K157" s="355">
        <f t="shared" si="42"/>
        <v>0</v>
      </c>
      <c r="L157" s="355">
        <f t="shared" si="43"/>
        <v>0</v>
      </c>
      <c r="M157" s="355">
        <f t="shared" si="44"/>
        <v>0</v>
      </c>
      <c r="N157" s="355">
        <f t="shared" si="45"/>
        <v>0</v>
      </c>
      <c r="O157" s="355">
        <f t="shared" si="46"/>
        <v>0</v>
      </c>
      <c r="P157" s="355">
        <f t="shared" si="47"/>
        <v>0</v>
      </c>
      <c r="Q157" s="16"/>
      <c r="R157" s="355">
        <f>IF(K157*L157*M157*N157*O157*P157=0,0,2)</f>
        <v>0</v>
      </c>
      <c r="S157" s="344"/>
      <c r="T157" s="16" t="s">
        <v>2237</v>
      </c>
      <c r="U157" s="16" t="s">
        <v>2238</v>
      </c>
      <c r="V157" s="355" t="s">
        <v>2239</v>
      </c>
      <c r="W157" s="355" t="s">
        <v>2239</v>
      </c>
      <c r="X157" s="344" t="s">
        <v>3140</v>
      </c>
      <c r="Y157" s="344" t="s">
        <v>1978</v>
      </c>
      <c r="Z157" s="344"/>
      <c r="AA157" s="390"/>
      <c r="AB157" s="390" t="str">
        <f>I2</f>
        <v>請選擇第一選修科</v>
      </c>
      <c r="AC157" s="390" t="str">
        <f>J2</f>
        <v>請選擇第二選修科</v>
      </c>
      <c r="AD157" s="390" t="str">
        <f>K2</f>
        <v>請選擇第三選修科</v>
      </c>
      <c r="AE157" s="390" t="str">
        <f>L2</f>
        <v>請選擇第四選修科</v>
      </c>
      <c r="AF157" s="390" t="str">
        <f>H2</f>
        <v>數學延伸</v>
      </c>
      <c r="AG157" s="384"/>
      <c r="AH157" s="390" t="s">
        <v>3157</v>
      </c>
      <c r="AI157" s="390"/>
      <c r="AJ157" s="384"/>
      <c r="AK157" s="384"/>
      <c r="AL157" s="384"/>
    </row>
    <row r="158" spans="1:38" x14ac:dyDescent="0.3">
      <c r="A158" s="344" t="str">
        <f>'Reference Score Calculation'!A149</f>
        <v>JS4094</v>
      </c>
      <c r="B158" s="344" t="str">
        <f>'Reference Score Calculation'!D149</f>
        <v>哲學</v>
      </c>
      <c r="C158" s="355">
        <v>19</v>
      </c>
      <c r="D158" s="380">
        <v>3</v>
      </c>
      <c r="E158" s="380">
        <v>3</v>
      </c>
      <c r="F158" s="380">
        <v>2</v>
      </c>
      <c r="G158" s="380">
        <v>2</v>
      </c>
      <c r="H158" s="380">
        <v>3</v>
      </c>
      <c r="I158" s="380">
        <v>3</v>
      </c>
      <c r="K158" s="355">
        <f t="shared" si="42"/>
        <v>0</v>
      </c>
      <c r="L158" s="355">
        <f t="shared" si="43"/>
        <v>0</v>
      </c>
      <c r="M158" s="355">
        <f t="shared" si="44"/>
        <v>0</v>
      </c>
      <c r="N158" s="355">
        <f t="shared" si="45"/>
        <v>0</v>
      </c>
      <c r="O158" s="355">
        <f t="shared" si="46"/>
        <v>0</v>
      </c>
      <c r="P158" s="355">
        <f t="shared" si="47"/>
        <v>0</v>
      </c>
      <c r="Q158" s="16"/>
      <c r="R158" s="16">
        <f t="shared" si="41"/>
        <v>0</v>
      </c>
      <c r="S158" s="344"/>
      <c r="T158" s="16" t="s">
        <v>2237</v>
      </c>
      <c r="U158" s="16" t="s">
        <v>2238</v>
      </c>
      <c r="V158" s="355" t="s">
        <v>2239</v>
      </c>
      <c r="W158" s="355" t="s">
        <v>2239</v>
      </c>
      <c r="X158" s="344" t="s">
        <v>1978</v>
      </c>
      <c r="Y158" s="344" t="s">
        <v>1978</v>
      </c>
      <c r="Z158" s="344"/>
      <c r="AA158" s="390" t="s">
        <v>3158</v>
      </c>
      <c r="AB158" s="391">
        <f>IF(OR(I2="物理",I2="化學",I2="生物",I2="組合科學(物理、化學)",I2="組合科學(生物、化學)",I2="組合科學(物理、生物)",I2="資訊及通訊科技",I2="設計與應用科技"),I3,0)</f>
        <v>0</v>
      </c>
      <c r="AC158" s="391">
        <f>IF(OR(J2="物理",J2="化學",J2="生物",J2="組合科學(物理、化學)",J2="組合科學(生物、化學)",J2="組合科學(物理、生物)",J2="資訊及通訊科技",J2="設計與應用科技"),J3,0)</f>
        <v>0</v>
      </c>
      <c r="AD158" s="391">
        <f>IF(OR(K2="物理",K2="化學",K2="生物",K2="組合科學(物理、化學)",K2="組合科學(生物、化學)",K2="組合科學(物理、生物)",K2="資訊及通訊科技",K2="設計與應用科技"),K3,0)</f>
        <v>0</v>
      </c>
      <c r="AE158" s="391">
        <f>IF(OR(L2="物理",L2="化學",L2="生物",L2="組合科學(物理、化學)",L2="組合科學(生物、化學)",L2="組合科學(物理、生物)",L2="資訊及通訊科技",L2="設計與應用科技"),L3,0)</f>
        <v>0</v>
      </c>
      <c r="AF158" s="391">
        <f>H3</f>
        <v>5.0000000000000003E-10</v>
      </c>
      <c r="AG158" s="390"/>
      <c r="AH158" s="391" t="str">
        <f>IF(AI158&gt;0,INDEX(AB157:AF157,MATCH(LARGE(AB158:AF158,1),AB158:AF158,0)),"無")</f>
        <v>數學延伸</v>
      </c>
      <c r="AI158" s="391">
        <f>LARGE((AB158:AF158),1)</f>
        <v>5.0000000000000003E-10</v>
      </c>
      <c r="AJ158" s="384"/>
      <c r="AK158" s="384"/>
      <c r="AL158" s="384"/>
    </row>
    <row r="159" spans="1:38" x14ac:dyDescent="0.3">
      <c r="A159" s="344" t="str">
        <f>'Reference Score Calculation'!A150</f>
        <v>JS4109</v>
      </c>
      <c r="B159" s="344" t="str">
        <f>'Reference Score Calculation'!D150</f>
        <v>宗教研究</v>
      </c>
      <c r="C159" s="355" t="s">
        <v>3199</v>
      </c>
      <c r="D159" s="380">
        <v>3</v>
      </c>
      <c r="E159" s="380">
        <v>3</v>
      </c>
      <c r="F159" s="380">
        <v>2</v>
      </c>
      <c r="G159" s="380">
        <v>2</v>
      </c>
      <c r="H159" s="380">
        <v>3</v>
      </c>
      <c r="I159" s="380">
        <v>3</v>
      </c>
      <c r="K159" s="355">
        <f t="shared" si="42"/>
        <v>0</v>
      </c>
      <c r="L159" s="355">
        <f t="shared" si="43"/>
        <v>0</v>
      </c>
      <c r="M159" s="355">
        <f t="shared" si="44"/>
        <v>0</v>
      </c>
      <c r="N159" s="355">
        <f t="shared" si="45"/>
        <v>0</v>
      </c>
      <c r="O159" s="355">
        <f t="shared" si="46"/>
        <v>0</v>
      </c>
      <c r="P159" s="355">
        <f t="shared" si="47"/>
        <v>0</v>
      </c>
      <c r="Q159" s="16"/>
      <c r="R159" s="16">
        <f t="shared" si="41"/>
        <v>0</v>
      </c>
      <c r="S159" s="344"/>
      <c r="T159" s="16" t="s">
        <v>2237</v>
      </c>
      <c r="U159" s="16" t="s">
        <v>2238</v>
      </c>
      <c r="V159" s="355" t="s">
        <v>2239</v>
      </c>
      <c r="W159" s="355" t="s">
        <v>2239</v>
      </c>
      <c r="X159" s="344" t="s">
        <v>1978</v>
      </c>
      <c r="Y159" s="344" t="s">
        <v>1978</v>
      </c>
      <c r="Z159" s="344"/>
      <c r="AA159" s="390" t="s">
        <v>3159</v>
      </c>
      <c r="AB159" s="417" t="s">
        <v>3121</v>
      </c>
      <c r="AC159" s="390"/>
      <c r="AD159" s="390"/>
      <c r="AE159" s="390"/>
      <c r="AF159" s="390"/>
      <c r="AG159" s="390"/>
      <c r="AH159" s="384"/>
      <c r="AI159" s="384"/>
      <c r="AJ159" s="384"/>
      <c r="AK159" s="384"/>
      <c r="AL159" s="384"/>
    </row>
    <row r="160" spans="1:38" x14ac:dyDescent="0.3">
      <c r="A160" s="344" t="str">
        <f>'Reference Score Calculation'!A151</f>
        <v>JS4111</v>
      </c>
      <c r="B160" s="344" t="str">
        <f>'Reference Score Calculation'!D151</f>
        <v>神學</v>
      </c>
      <c r="C160" s="355" t="s">
        <v>3199</v>
      </c>
      <c r="D160" s="380">
        <v>3</v>
      </c>
      <c r="E160" s="380">
        <v>3</v>
      </c>
      <c r="F160" s="380">
        <v>2</v>
      </c>
      <c r="G160" s="380">
        <v>2</v>
      </c>
      <c r="H160" s="380">
        <v>3</v>
      </c>
      <c r="I160" s="380">
        <v>3</v>
      </c>
      <c r="K160" s="355">
        <f t="shared" si="42"/>
        <v>0</v>
      </c>
      <c r="L160" s="355">
        <f t="shared" si="43"/>
        <v>0</v>
      </c>
      <c r="M160" s="355">
        <f t="shared" si="44"/>
        <v>0</v>
      </c>
      <c r="N160" s="355">
        <f t="shared" si="45"/>
        <v>0</v>
      </c>
      <c r="O160" s="355">
        <f t="shared" si="46"/>
        <v>0</v>
      </c>
      <c r="P160" s="355">
        <f t="shared" si="47"/>
        <v>0</v>
      </c>
      <c r="Q160" s="16"/>
      <c r="R160" s="16">
        <f t="shared" si="41"/>
        <v>0</v>
      </c>
      <c r="S160" s="344"/>
      <c r="T160" s="16" t="s">
        <v>2237</v>
      </c>
      <c r="U160" s="16" t="s">
        <v>2238</v>
      </c>
      <c r="V160" s="355" t="s">
        <v>2239</v>
      </c>
      <c r="W160" s="355" t="s">
        <v>2237</v>
      </c>
      <c r="X160" s="344" t="s">
        <v>1978</v>
      </c>
      <c r="Y160" s="344" t="s">
        <v>1978</v>
      </c>
      <c r="Z160" s="344"/>
      <c r="AA160" s="390"/>
      <c r="AB160" s="390"/>
      <c r="AC160" s="390"/>
      <c r="AD160" s="390"/>
      <c r="AE160" s="390"/>
      <c r="AF160" s="390"/>
      <c r="AG160" s="390"/>
      <c r="AH160" s="384"/>
      <c r="AI160" s="384"/>
      <c r="AJ160" s="384"/>
      <c r="AK160" s="384"/>
      <c r="AL160" s="384"/>
    </row>
    <row r="161" spans="1:38" x14ac:dyDescent="0.3">
      <c r="A161" s="344" t="str">
        <f>'Reference Score Calculation'!A152</f>
        <v>JS4123</v>
      </c>
      <c r="B161" s="344" t="str">
        <f>'Reference Score Calculation'!D152</f>
        <v>翻譯</v>
      </c>
      <c r="C161" s="355">
        <v>32</v>
      </c>
      <c r="D161" s="380">
        <v>3</v>
      </c>
      <c r="E161" s="380">
        <v>3</v>
      </c>
      <c r="F161" s="380">
        <v>2</v>
      </c>
      <c r="G161" s="380">
        <v>2</v>
      </c>
      <c r="H161" s="380">
        <v>3</v>
      </c>
      <c r="I161" s="380">
        <v>3</v>
      </c>
      <c r="K161" s="355">
        <f t="shared" si="42"/>
        <v>0</v>
      </c>
      <c r="L161" s="355">
        <f t="shared" si="43"/>
        <v>0</v>
      </c>
      <c r="M161" s="355">
        <f t="shared" si="44"/>
        <v>0</v>
      </c>
      <c r="N161" s="355">
        <f t="shared" si="45"/>
        <v>0</v>
      </c>
      <c r="O161" s="355">
        <f t="shared" si="46"/>
        <v>0</v>
      </c>
      <c r="P161" s="355">
        <f t="shared" si="47"/>
        <v>0</v>
      </c>
      <c r="Q161" s="16"/>
      <c r="R161" s="16">
        <f t="shared" si="41"/>
        <v>0</v>
      </c>
      <c r="S161" s="344"/>
      <c r="T161" s="16" t="s">
        <v>2237</v>
      </c>
      <c r="U161" s="16" t="s">
        <v>2238</v>
      </c>
      <c r="V161" s="355" t="s">
        <v>2239</v>
      </c>
      <c r="W161" s="355" t="s">
        <v>2239</v>
      </c>
      <c r="X161" s="344" t="s">
        <v>1978</v>
      </c>
      <c r="Y161" s="344" t="s">
        <v>1978</v>
      </c>
      <c r="Z161" s="344"/>
      <c r="AA161" s="390"/>
      <c r="AB161" s="390" t="str">
        <f>I2</f>
        <v>請選擇第一選修科</v>
      </c>
      <c r="AC161" s="390" t="str">
        <f>J2</f>
        <v>請選擇第二選修科</v>
      </c>
      <c r="AD161" s="390" t="str">
        <f>K2</f>
        <v>請選擇第三選修科</v>
      </c>
      <c r="AE161" s="390" t="str">
        <f>L2</f>
        <v>請選擇第四選修科</v>
      </c>
      <c r="AF161" s="390" t="str">
        <f>H2</f>
        <v>數學延伸</v>
      </c>
      <c r="AG161" s="384"/>
      <c r="AH161" s="390" t="s">
        <v>3157</v>
      </c>
      <c r="AI161" s="390"/>
      <c r="AJ161" s="384"/>
      <c r="AK161" s="384"/>
      <c r="AL161" s="384"/>
    </row>
    <row r="162" spans="1:38" x14ac:dyDescent="0.3">
      <c r="A162" s="344" t="str">
        <f>'Reference Score Calculation'!A153</f>
        <v>JS4136</v>
      </c>
      <c r="B162" s="344" t="str">
        <f>'Reference Score Calculation'!D153</f>
        <v>中國研究</v>
      </c>
      <c r="C162" s="355">
        <v>10</v>
      </c>
      <c r="D162" s="380">
        <v>3</v>
      </c>
      <c r="E162" s="380">
        <v>3</v>
      </c>
      <c r="F162" s="380">
        <v>2</v>
      </c>
      <c r="G162" s="380">
        <v>2</v>
      </c>
      <c r="H162" s="380">
        <v>3</v>
      </c>
      <c r="I162" s="380">
        <v>3</v>
      </c>
      <c r="K162" s="355">
        <f t="shared" si="42"/>
        <v>0</v>
      </c>
      <c r="L162" s="355">
        <f t="shared" si="43"/>
        <v>0</v>
      </c>
      <c r="M162" s="355">
        <f t="shared" si="44"/>
        <v>0</v>
      </c>
      <c r="N162" s="355">
        <f t="shared" si="45"/>
        <v>0</v>
      </c>
      <c r="O162" s="355">
        <f t="shared" si="46"/>
        <v>0</v>
      </c>
      <c r="P162" s="355">
        <f t="shared" si="47"/>
        <v>0</v>
      </c>
      <c r="Q162" s="16"/>
      <c r="R162" s="16">
        <f t="shared" si="41"/>
        <v>0</v>
      </c>
      <c r="S162" s="344"/>
      <c r="T162" s="16" t="s">
        <v>2237</v>
      </c>
      <c r="U162" s="16" t="s">
        <v>2238</v>
      </c>
      <c r="V162" s="355" t="s">
        <v>2239</v>
      </c>
      <c r="W162" s="355" t="s">
        <v>2239</v>
      </c>
      <c r="X162" s="344" t="s">
        <v>1978</v>
      </c>
      <c r="Y162" s="344" t="s">
        <v>1978</v>
      </c>
      <c r="Z162" s="344"/>
      <c r="AA162" s="390" t="s">
        <v>3160</v>
      </c>
      <c r="AB162" s="391">
        <f>IF(OR(I2="物理",I2="化學",I2="生物",I2="組合科學(物理、化學)",I2="組合科學(生物、化學)",I2="組合科學(物理、生物)",I2="資訊及通訊科技"),I3,0)</f>
        <v>0</v>
      </c>
      <c r="AC162" s="391">
        <f>IF(OR(J2="物理",J2="化學",J2="生物",J2="組合科學(物理、化學)",J2="組合科學(生物、化學)",J2="組合科學(物理、生物)",J2="資訊及通訊科技"),J3,0)</f>
        <v>0</v>
      </c>
      <c r="AD162" s="391">
        <f>IF(OR(K2="物理",K2="化學",K2="生物",K2="組合科學(物理、化學)",K2="組合科學(生物、化學)",K2="組合科學(物理、生物)",K2="資訊及通訊科技"),K3,0)</f>
        <v>0</v>
      </c>
      <c r="AE162" s="391">
        <f>IF(OR(L2="物理",L2="化學",L2="生物",L2="組合科學(物理、化學)",L2="組合科學(生物、化學)",L2="組合科學(物理、生物)",L2="資訊及通訊科技"),L3,0)</f>
        <v>0</v>
      </c>
      <c r="AF162" s="391">
        <f>H3</f>
        <v>5.0000000000000003E-10</v>
      </c>
      <c r="AG162" s="390"/>
      <c r="AH162" s="391" t="str">
        <f>IF(AI162&gt;0,INDEX(AB161:AF161,MATCH(LARGE(AB162:AF162,1),AB162:AF162,0)),"無")</f>
        <v>數學延伸</v>
      </c>
      <c r="AI162" s="391">
        <f>LARGE((AB162:AF162),1)</f>
        <v>5.0000000000000003E-10</v>
      </c>
      <c r="AJ162" s="384"/>
      <c r="AK162" s="384"/>
      <c r="AL162" s="384"/>
    </row>
    <row r="163" spans="1:38" x14ac:dyDescent="0.3">
      <c r="A163" s="344" t="str">
        <f>'Reference Score Calculation'!A154</f>
        <v>JS4202</v>
      </c>
      <c r="B163" s="344" t="str">
        <f>'Reference Score Calculation'!D154</f>
        <v>工商管理學士綜合課程</v>
      </c>
      <c r="C163" s="355">
        <v>222</v>
      </c>
      <c r="D163" s="380">
        <v>3</v>
      </c>
      <c r="E163" s="380">
        <v>3</v>
      </c>
      <c r="F163" s="380">
        <v>2</v>
      </c>
      <c r="G163" s="380">
        <v>2</v>
      </c>
      <c r="H163" s="380">
        <v>3</v>
      </c>
      <c r="I163" s="380">
        <v>3</v>
      </c>
      <c r="K163" s="355">
        <f t="shared" si="42"/>
        <v>0</v>
      </c>
      <c r="L163" s="355">
        <f t="shared" si="43"/>
        <v>0</v>
      </c>
      <c r="M163" s="355">
        <f t="shared" si="44"/>
        <v>0</v>
      </c>
      <c r="N163" s="355">
        <f t="shared" si="45"/>
        <v>0</v>
      </c>
      <c r="O163" s="355">
        <f t="shared" si="46"/>
        <v>0</v>
      </c>
      <c r="P163" s="355">
        <f t="shared" si="47"/>
        <v>0</v>
      </c>
      <c r="Q163" s="16"/>
      <c r="R163" s="16">
        <f t="shared" si="41"/>
        <v>0</v>
      </c>
      <c r="S163" s="344"/>
      <c r="T163" s="16" t="s">
        <v>2237</v>
      </c>
      <c r="U163" s="16" t="s">
        <v>2238</v>
      </c>
      <c r="V163" s="355" t="s">
        <v>2239</v>
      </c>
      <c r="W163" s="355" t="s">
        <v>2239</v>
      </c>
      <c r="X163" s="344" t="s">
        <v>1978</v>
      </c>
      <c r="Y163" s="344" t="s">
        <v>1978</v>
      </c>
      <c r="Z163" s="344"/>
      <c r="AA163" s="390"/>
      <c r="AB163" s="417" t="s">
        <v>3088</v>
      </c>
      <c r="AC163" s="390"/>
      <c r="AD163" s="390"/>
      <c r="AE163" s="390"/>
      <c r="AF163" s="390"/>
      <c r="AG163" s="390"/>
      <c r="AH163" s="384"/>
      <c r="AI163" s="384"/>
      <c r="AJ163" s="384"/>
      <c r="AK163" s="384"/>
      <c r="AL163" s="384"/>
    </row>
    <row r="164" spans="1:38" x14ac:dyDescent="0.3">
      <c r="A164" s="344" t="str">
        <f>'Reference Score Calculation'!A155</f>
        <v>JS4214</v>
      </c>
      <c r="B164" s="344" t="str">
        <f>'Reference Score Calculation'!D155</f>
        <v>環球商業學</v>
      </c>
      <c r="C164" s="355">
        <v>15</v>
      </c>
      <c r="D164" s="380">
        <v>4</v>
      </c>
      <c r="E164" s="380">
        <v>5</v>
      </c>
      <c r="F164" s="380">
        <v>3</v>
      </c>
      <c r="G164" s="380">
        <v>3</v>
      </c>
      <c r="H164" s="380">
        <v>3</v>
      </c>
      <c r="I164" s="380">
        <v>3</v>
      </c>
      <c r="K164" s="355">
        <f t="shared" si="42"/>
        <v>0</v>
      </c>
      <c r="L164" s="355">
        <f t="shared" si="43"/>
        <v>0</v>
      </c>
      <c r="M164" s="355">
        <f t="shared" si="44"/>
        <v>0</v>
      </c>
      <c r="N164" s="355">
        <f t="shared" si="45"/>
        <v>0</v>
      </c>
      <c r="O164" s="355">
        <f>IF(H164&gt;LARGE($H$3:$M$3,1),0,1)</f>
        <v>0</v>
      </c>
      <c r="P164" s="355">
        <f t="shared" si="47"/>
        <v>0</v>
      </c>
      <c r="Q164" s="16"/>
      <c r="R164" s="355">
        <f>IF(K164*L164*M164*N164*O164*P164=0,0,2)</f>
        <v>0</v>
      </c>
      <c r="S164" s="344"/>
      <c r="T164" s="16" t="s">
        <v>2237</v>
      </c>
      <c r="U164" s="16" t="s">
        <v>2238</v>
      </c>
      <c r="V164" s="355" t="s">
        <v>2239</v>
      </c>
      <c r="W164" s="355" t="s">
        <v>2239</v>
      </c>
      <c r="X164" s="344" t="s">
        <v>3142</v>
      </c>
      <c r="Y164" s="344" t="s">
        <v>3143</v>
      </c>
      <c r="Z164" s="344" t="s">
        <v>1978</v>
      </c>
      <c r="AA164" s="390"/>
      <c r="AB164" s="390"/>
      <c r="AC164" s="390"/>
      <c r="AD164" s="390" t="s">
        <v>3155</v>
      </c>
      <c r="AE164" s="384"/>
      <c r="AF164" s="384"/>
      <c r="AG164" s="384"/>
      <c r="AH164" s="384"/>
      <c r="AI164" s="384"/>
      <c r="AJ164" s="384"/>
      <c r="AK164" s="384"/>
      <c r="AL164" s="384"/>
    </row>
    <row r="165" spans="1:38" x14ac:dyDescent="0.3">
      <c r="A165" s="344" t="str">
        <f>'Reference Score Calculation'!A156</f>
        <v>JS4226</v>
      </c>
      <c r="B165" s="344" t="str">
        <f>'Reference Score Calculation'!D156</f>
        <v>酒店旅遊及房地產</v>
      </c>
      <c r="C165" s="355">
        <v>60</v>
      </c>
      <c r="D165" s="380">
        <v>3</v>
      </c>
      <c r="E165" s="380">
        <v>3</v>
      </c>
      <c r="F165" s="380">
        <v>2</v>
      </c>
      <c r="G165" s="380">
        <v>2</v>
      </c>
      <c r="H165" s="380">
        <v>3</v>
      </c>
      <c r="I165" s="380">
        <v>3</v>
      </c>
      <c r="K165" s="355">
        <f t="shared" si="42"/>
        <v>0</v>
      </c>
      <c r="L165" s="355">
        <f t="shared" si="43"/>
        <v>0</v>
      </c>
      <c r="M165" s="355">
        <f t="shared" si="44"/>
        <v>0</v>
      </c>
      <c r="N165" s="355">
        <f t="shared" si="45"/>
        <v>0</v>
      </c>
      <c r="O165" s="355">
        <f t="shared" si="46"/>
        <v>0</v>
      </c>
      <c r="P165" s="355">
        <f t="shared" si="47"/>
        <v>0</v>
      </c>
      <c r="Q165" s="16"/>
      <c r="R165" s="16">
        <f t="shared" si="41"/>
        <v>0</v>
      </c>
      <c r="S165" s="344"/>
      <c r="T165" s="16" t="s">
        <v>2237</v>
      </c>
      <c r="U165" s="16" t="s">
        <v>2238</v>
      </c>
      <c r="V165" s="355" t="s">
        <v>2239</v>
      </c>
      <c r="W165" s="355" t="s">
        <v>2237</v>
      </c>
      <c r="X165" s="344" t="s">
        <v>1978</v>
      </c>
      <c r="Y165" s="344" t="s">
        <v>1978</v>
      </c>
      <c r="Z165" s="344"/>
      <c r="AA165" s="390"/>
      <c r="AB165" s="390" t="s">
        <v>3153</v>
      </c>
      <c r="AC165" s="390"/>
      <c r="AD165" s="390" t="s">
        <v>2229</v>
      </c>
      <c r="AE165" s="384"/>
      <c r="AF165" s="384"/>
      <c r="AG165" s="384"/>
      <c r="AH165" s="384"/>
      <c r="AI165" s="384"/>
      <c r="AJ165" s="384"/>
      <c r="AK165" s="384"/>
      <c r="AL165" s="384"/>
    </row>
    <row r="166" spans="1:38" x14ac:dyDescent="0.3">
      <c r="A166" s="344" t="str">
        <f>'Reference Score Calculation'!A157</f>
        <v>JS4238</v>
      </c>
      <c r="B166" s="344" t="str">
        <f>'Reference Score Calculation'!D157</f>
        <v>保險、金融與精算學</v>
      </c>
      <c r="C166" s="355">
        <v>45</v>
      </c>
      <c r="D166" s="380">
        <v>3</v>
      </c>
      <c r="E166" s="380">
        <v>3</v>
      </c>
      <c r="F166" s="380">
        <v>5</v>
      </c>
      <c r="G166" s="380">
        <v>2</v>
      </c>
      <c r="H166" s="380">
        <v>3</v>
      </c>
      <c r="I166" s="380">
        <v>3</v>
      </c>
      <c r="K166" s="355">
        <f t="shared" si="42"/>
        <v>0</v>
      </c>
      <c r="L166" s="355">
        <f t="shared" si="43"/>
        <v>0</v>
      </c>
      <c r="M166" s="376">
        <f>AF150</f>
        <v>0</v>
      </c>
      <c r="N166" s="355">
        <f t="shared" si="45"/>
        <v>0</v>
      </c>
      <c r="O166" s="355">
        <f>IF(H166&gt;LARGE($H$3:$M$3,1),0,1)</f>
        <v>0</v>
      </c>
      <c r="P166" s="376">
        <f>IF(AF150=2,AG150,IF(I166&gt;LARGE($H$3:$M$3,2),0,1))</f>
        <v>0</v>
      </c>
      <c r="Q166" s="16"/>
      <c r="R166" s="16">
        <f t="shared" si="41"/>
        <v>0</v>
      </c>
      <c r="S166" s="344"/>
      <c r="T166" s="16" t="s">
        <v>2237</v>
      </c>
      <c r="U166" s="16" t="s">
        <v>2238</v>
      </c>
      <c r="V166" s="355" t="s">
        <v>2239</v>
      </c>
      <c r="W166" s="355" t="s">
        <v>2237</v>
      </c>
      <c r="X166" s="344" t="s">
        <v>3141</v>
      </c>
      <c r="Y166" s="344"/>
      <c r="Z166" s="344"/>
      <c r="AA166" s="390" t="s">
        <v>3161</v>
      </c>
      <c r="AB166" s="391">
        <f>F3</f>
        <v>3E-10</v>
      </c>
      <c r="AC166" s="390"/>
      <c r="AD166" s="355">
        <f>IF(AB166&lt;5,IF(AB166&lt;4,0,2),1)</f>
        <v>0</v>
      </c>
      <c r="AE166" s="384"/>
      <c r="AF166" s="384"/>
      <c r="AG166" s="384"/>
      <c r="AH166" s="384"/>
      <c r="AI166" s="384"/>
      <c r="AJ166" s="384"/>
      <c r="AK166" s="384"/>
      <c r="AL166" s="384"/>
    </row>
    <row r="167" spans="1:38" x14ac:dyDescent="0.3">
      <c r="A167" s="344" t="str">
        <f>'Reference Score Calculation'!A158</f>
        <v>JS4240</v>
      </c>
      <c r="B167" s="344" t="str">
        <f>'Reference Score Calculation'!D158</f>
        <v>專業會計學</v>
      </c>
      <c r="C167" s="355">
        <v>126</v>
      </c>
      <c r="D167" s="380">
        <v>3</v>
      </c>
      <c r="E167" s="380">
        <v>3</v>
      </c>
      <c r="F167" s="380">
        <v>3</v>
      </c>
      <c r="G167" s="380">
        <v>2</v>
      </c>
      <c r="H167" s="380">
        <v>3</v>
      </c>
      <c r="I167" s="380">
        <v>3</v>
      </c>
      <c r="K167" s="355">
        <f t="shared" si="42"/>
        <v>0</v>
      </c>
      <c r="L167" s="355">
        <f t="shared" si="43"/>
        <v>0</v>
      </c>
      <c r="M167" s="355">
        <f t="shared" si="44"/>
        <v>0</v>
      </c>
      <c r="N167" s="355">
        <f t="shared" si="45"/>
        <v>0</v>
      </c>
      <c r="O167" s="355">
        <f t="shared" si="46"/>
        <v>0</v>
      </c>
      <c r="P167" s="355">
        <f>IF(I167&gt;LARGE($H$3:$M$3,2),0,1)</f>
        <v>0</v>
      </c>
      <c r="Q167" s="16"/>
      <c r="R167" s="16">
        <f t="shared" si="41"/>
        <v>0</v>
      </c>
      <c r="S167" s="344"/>
      <c r="T167" s="16" t="s">
        <v>2237</v>
      </c>
      <c r="U167" s="16" t="s">
        <v>2238</v>
      </c>
      <c r="V167" s="355" t="s">
        <v>2239</v>
      </c>
      <c r="W167" s="355" t="s">
        <v>2237</v>
      </c>
      <c r="X167" s="344" t="s">
        <v>1978</v>
      </c>
      <c r="Y167" s="344" t="s">
        <v>1978</v>
      </c>
      <c r="Z167" s="344"/>
      <c r="AA167" s="390"/>
      <c r="AB167" s="390"/>
      <c r="AC167" s="390"/>
      <c r="AD167" s="390"/>
      <c r="AE167" s="390"/>
      <c r="AF167" s="390"/>
      <c r="AG167" s="384"/>
      <c r="AH167" s="384"/>
      <c r="AI167" s="384"/>
      <c r="AJ167" s="384"/>
      <c r="AK167" s="384"/>
      <c r="AL167" s="384"/>
    </row>
    <row r="168" spans="1:38" x14ac:dyDescent="0.3">
      <c r="A168" s="344" t="str">
        <f>'Reference Score Calculation'!A159</f>
        <v>JS4252</v>
      </c>
      <c r="B168" s="344" t="str">
        <f>'Reference Score Calculation'!D159</f>
        <v>計量金融學</v>
      </c>
      <c r="C168" s="355">
        <v>37</v>
      </c>
      <c r="D168" s="380">
        <v>3</v>
      </c>
      <c r="E168" s="380">
        <v>3</v>
      </c>
      <c r="F168" s="380">
        <v>3</v>
      </c>
      <c r="G168" s="380">
        <v>2</v>
      </c>
      <c r="H168" s="380">
        <v>3</v>
      </c>
      <c r="I168" s="380">
        <v>3</v>
      </c>
      <c r="K168" s="355">
        <f t="shared" si="42"/>
        <v>0</v>
      </c>
      <c r="L168" s="355">
        <f t="shared" si="43"/>
        <v>0</v>
      </c>
      <c r="M168" s="355">
        <f t="shared" si="44"/>
        <v>0</v>
      </c>
      <c r="N168" s="355">
        <f t="shared" si="45"/>
        <v>0</v>
      </c>
      <c r="O168" s="355">
        <f t="shared" si="46"/>
        <v>0</v>
      </c>
      <c r="P168" s="355">
        <f t="shared" ref="P168:P174" si="48">IF(I168&gt;LARGE($H$3:$M$3,2),0,1)</f>
        <v>0</v>
      </c>
      <c r="Q168" s="16"/>
      <c r="R168" s="16">
        <f t="shared" si="41"/>
        <v>0</v>
      </c>
      <c r="S168" s="344"/>
      <c r="T168" s="16" t="s">
        <v>2237</v>
      </c>
      <c r="U168" s="16" t="s">
        <v>2238</v>
      </c>
      <c r="V168" s="355" t="s">
        <v>2239</v>
      </c>
      <c r="W168" s="355" t="s">
        <v>2237</v>
      </c>
      <c r="X168" s="344" t="s">
        <v>1978</v>
      </c>
      <c r="Y168" s="344" t="s">
        <v>1978</v>
      </c>
      <c r="Z168" s="344"/>
      <c r="AA168" s="390" t="s">
        <v>3163</v>
      </c>
      <c r="AB168" s="390" t="str">
        <f>I2</f>
        <v>請選擇第一選修科</v>
      </c>
      <c r="AC168" s="390" t="str">
        <f>J2</f>
        <v>請選擇第二選修科</v>
      </c>
      <c r="AD168" s="390" t="str">
        <f>K2</f>
        <v>請選擇第三選修科</v>
      </c>
      <c r="AE168" s="390" t="str">
        <f>L2</f>
        <v>請選擇第四選修科</v>
      </c>
      <c r="AF168" s="384"/>
      <c r="AG168" s="384"/>
      <c r="AH168" s="390" t="s">
        <v>3162</v>
      </c>
      <c r="AI168" s="390"/>
      <c r="AJ168" s="384"/>
      <c r="AK168" s="384"/>
      <c r="AL168" s="384"/>
    </row>
    <row r="169" spans="1:38" x14ac:dyDescent="0.3">
      <c r="A169" s="344" t="str">
        <f>'Reference Score Calculation'!A160</f>
        <v>JS4254</v>
      </c>
      <c r="B169" s="344" t="str">
        <f>'Reference Score Calculation'!D160</f>
        <v>環球經濟與金融跨學科主修課程</v>
      </c>
      <c r="C169" s="355">
        <v>24</v>
      </c>
      <c r="D169" s="380">
        <v>4</v>
      </c>
      <c r="E169" s="380">
        <v>5</v>
      </c>
      <c r="F169" s="380">
        <v>3</v>
      </c>
      <c r="G169" s="380">
        <v>2</v>
      </c>
      <c r="H169" s="380">
        <v>3</v>
      </c>
      <c r="I169" s="380">
        <v>3</v>
      </c>
      <c r="K169" s="355">
        <f t="shared" si="42"/>
        <v>0</v>
      </c>
      <c r="L169" s="355">
        <f t="shared" si="43"/>
        <v>0</v>
      </c>
      <c r="M169" s="355">
        <f t="shared" si="44"/>
        <v>0</v>
      </c>
      <c r="N169" s="355">
        <f t="shared" si="45"/>
        <v>0</v>
      </c>
      <c r="O169" s="355">
        <f t="shared" si="46"/>
        <v>0</v>
      </c>
      <c r="P169" s="355">
        <f t="shared" si="48"/>
        <v>0</v>
      </c>
      <c r="Q169" s="16"/>
      <c r="R169" s="16">
        <f t="shared" si="41"/>
        <v>0</v>
      </c>
      <c r="S169" s="344"/>
      <c r="T169" s="16" t="s">
        <v>2237</v>
      </c>
      <c r="U169" s="16" t="s">
        <v>2238</v>
      </c>
      <c r="V169" s="355" t="s">
        <v>2239</v>
      </c>
      <c r="W169" s="355" t="s">
        <v>2239</v>
      </c>
      <c r="X169" s="344" t="s">
        <v>1978</v>
      </c>
      <c r="Y169" s="344" t="s">
        <v>1978</v>
      </c>
      <c r="Z169" s="344"/>
      <c r="AA169" s="390" t="s">
        <v>940</v>
      </c>
      <c r="AB169" s="391">
        <f>IF(OR(I2="化學",I2="生物"),I3,0)</f>
        <v>0</v>
      </c>
      <c r="AC169" s="391">
        <f>IF(OR(J2="化學",J2="生物"),J3,0)</f>
        <v>0</v>
      </c>
      <c r="AD169" s="391">
        <f>IF(OR(K2="化學",K2="生物"),K3,0)</f>
        <v>0</v>
      </c>
      <c r="AE169" s="391">
        <f>IF(OR(L2="化學",L2="生物"),L3,0)</f>
        <v>0</v>
      </c>
      <c r="AF169" s="390"/>
      <c r="AG169" s="390"/>
      <c r="AH169" s="391" t="str">
        <f>IF(AI169&gt;0,INDEX(AB168:AE168,MATCH(LARGE(AB169:AE169,1),AB169:AE169,0)),"無")</f>
        <v>無</v>
      </c>
      <c r="AI169" s="391">
        <f>LARGE((AB169:AE169),1)</f>
        <v>0</v>
      </c>
      <c r="AJ169" s="384"/>
      <c r="AK169" s="384"/>
      <c r="AL169" s="384"/>
    </row>
    <row r="170" spans="1:38" x14ac:dyDescent="0.3">
      <c r="A170" s="344" t="str">
        <f>'Reference Score Calculation'!A161</f>
        <v>JS4264</v>
      </c>
      <c r="B170" s="344" t="str">
        <f>'Reference Score Calculation'!D161</f>
        <v>工商管理學士（工商管理學士綜合課程）及法律博士雙學位課程</v>
      </c>
      <c r="C170" s="355">
        <v>25</v>
      </c>
      <c r="D170" s="380">
        <v>4</v>
      </c>
      <c r="E170" s="380">
        <v>5</v>
      </c>
      <c r="F170" s="380">
        <v>3</v>
      </c>
      <c r="G170" s="380">
        <v>3</v>
      </c>
      <c r="H170" s="380">
        <v>3</v>
      </c>
      <c r="I170" s="380">
        <v>3</v>
      </c>
      <c r="K170" s="355">
        <f t="shared" si="42"/>
        <v>0</v>
      </c>
      <c r="L170" s="355">
        <f t="shared" si="43"/>
        <v>0</v>
      </c>
      <c r="M170" s="355">
        <f t="shared" si="44"/>
        <v>0</v>
      </c>
      <c r="N170" s="355">
        <f t="shared" si="45"/>
        <v>0</v>
      </c>
      <c r="O170" s="355">
        <f t="shared" si="46"/>
        <v>0</v>
      </c>
      <c r="P170" s="355">
        <f t="shared" si="48"/>
        <v>0</v>
      </c>
      <c r="Q170" s="16"/>
      <c r="R170" s="16">
        <f t="shared" si="41"/>
        <v>0</v>
      </c>
      <c r="S170" s="344"/>
      <c r="T170" s="16" t="s">
        <v>2237</v>
      </c>
      <c r="U170" s="16" t="s">
        <v>2238</v>
      </c>
      <c r="V170" s="355" t="s">
        <v>2239</v>
      </c>
      <c r="W170" s="355" t="s">
        <v>2239</v>
      </c>
      <c r="X170" s="344" t="s">
        <v>1978</v>
      </c>
      <c r="Y170" s="344" t="s">
        <v>1978</v>
      </c>
      <c r="Z170" s="344"/>
      <c r="AA170" s="390" t="s">
        <v>3164</v>
      </c>
      <c r="AB170" s="390"/>
      <c r="AC170" s="390"/>
      <c r="AD170" s="390"/>
      <c r="AE170" s="390"/>
      <c r="AF170" s="390"/>
      <c r="AG170" s="390"/>
      <c r="AH170" s="384"/>
      <c r="AI170" s="384"/>
      <c r="AJ170" s="384"/>
      <c r="AK170" s="384"/>
      <c r="AL170" s="384"/>
    </row>
    <row r="171" spans="1:38" x14ac:dyDescent="0.3">
      <c r="A171" s="344" t="str">
        <f>'Reference Score Calculation'!A162</f>
        <v>JS4276</v>
      </c>
      <c r="B171" s="344" t="str">
        <f>'Reference Score Calculation'!D162</f>
        <v>計量金融學及風險管理科學</v>
      </c>
      <c r="C171" s="355">
        <v>20</v>
      </c>
      <c r="D171" s="380">
        <v>3</v>
      </c>
      <c r="E171" s="380">
        <v>3</v>
      </c>
      <c r="F171" s="380">
        <v>3</v>
      </c>
      <c r="G171" s="380">
        <v>2</v>
      </c>
      <c r="H171" s="380">
        <v>3</v>
      </c>
      <c r="I171" s="380">
        <v>3</v>
      </c>
      <c r="K171" s="355">
        <f t="shared" si="42"/>
        <v>0</v>
      </c>
      <c r="L171" s="355">
        <f t="shared" si="43"/>
        <v>0</v>
      </c>
      <c r="M171" s="355">
        <f t="shared" si="44"/>
        <v>0</v>
      </c>
      <c r="N171" s="355">
        <f t="shared" si="45"/>
        <v>0</v>
      </c>
      <c r="O171" s="355">
        <f t="shared" si="46"/>
        <v>0</v>
      </c>
      <c r="P171" s="355">
        <f t="shared" si="48"/>
        <v>0</v>
      </c>
      <c r="Q171" s="16"/>
      <c r="R171" s="16">
        <f t="shared" si="41"/>
        <v>0</v>
      </c>
      <c r="S171" s="344"/>
      <c r="T171" s="16" t="s">
        <v>2237</v>
      </c>
      <c r="U171" s="16" t="s">
        <v>2238</v>
      </c>
      <c r="V171" s="355" t="s">
        <v>2239</v>
      </c>
      <c r="W171" s="355" t="s">
        <v>2237</v>
      </c>
      <c r="X171" s="344" t="s">
        <v>1978</v>
      </c>
      <c r="Y171" s="344" t="s">
        <v>1978</v>
      </c>
      <c r="Z171" s="344"/>
      <c r="AA171" s="390"/>
      <c r="AB171" s="390"/>
      <c r="AC171" s="390"/>
      <c r="AD171" s="390"/>
      <c r="AE171" s="390"/>
      <c r="AF171" s="390"/>
      <c r="AG171" s="390"/>
      <c r="AH171" s="384"/>
      <c r="AI171" s="384"/>
      <c r="AJ171" s="384"/>
      <c r="AK171" s="384"/>
      <c r="AL171" s="384"/>
    </row>
    <row r="172" spans="1:38" x14ac:dyDescent="0.3">
      <c r="A172" s="344" t="str">
        <f>'Reference Score Calculation'!A163</f>
        <v>JS4329</v>
      </c>
      <c r="B172" s="344" t="str">
        <f>'Reference Score Calculation'!D163</f>
        <v>健康與體育運動科學</v>
      </c>
      <c r="C172" s="355">
        <v>17</v>
      </c>
      <c r="D172" s="380">
        <v>3</v>
      </c>
      <c r="E172" s="380">
        <v>3</v>
      </c>
      <c r="F172" s="380">
        <v>2</v>
      </c>
      <c r="G172" s="380">
        <v>2</v>
      </c>
      <c r="H172" s="380">
        <v>3</v>
      </c>
      <c r="I172" s="380">
        <v>3</v>
      </c>
      <c r="K172" s="355">
        <f t="shared" si="42"/>
        <v>0</v>
      </c>
      <c r="L172" s="355">
        <f t="shared" si="43"/>
        <v>0</v>
      </c>
      <c r="M172" s="355">
        <f t="shared" si="44"/>
        <v>0</v>
      </c>
      <c r="N172" s="355">
        <f t="shared" si="45"/>
        <v>0</v>
      </c>
      <c r="O172" s="355">
        <f t="shared" si="46"/>
        <v>0</v>
      </c>
      <c r="P172" s="355">
        <f t="shared" si="48"/>
        <v>0</v>
      </c>
      <c r="Q172" s="16"/>
      <c r="R172" s="16">
        <f t="shared" si="41"/>
        <v>0</v>
      </c>
      <c r="S172" s="344"/>
      <c r="T172" s="16" t="s">
        <v>2237</v>
      </c>
      <c r="U172" s="16" t="s">
        <v>2238</v>
      </c>
      <c r="V172" s="355" t="s">
        <v>2239</v>
      </c>
      <c r="W172" s="355" t="s">
        <v>2239</v>
      </c>
      <c r="X172" s="344" t="s">
        <v>1978</v>
      </c>
      <c r="Y172" s="344" t="s">
        <v>1978</v>
      </c>
      <c r="Z172" s="344"/>
      <c r="AA172" s="390"/>
      <c r="AB172" s="390" t="str">
        <f>I2</f>
        <v>請選擇第一選修科</v>
      </c>
      <c r="AC172" s="390" t="str">
        <f>J2</f>
        <v>請選擇第二選修科</v>
      </c>
      <c r="AD172" s="390" t="str">
        <f>K2</f>
        <v>請選擇第三選修科</v>
      </c>
      <c r="AE172" s="390" t="str">
        <f>L2</f>
        <v>請選擇第四選修科</v>
      </c>
      <c r="AF172" s="390" t="str">
        <f>H2</f>
        <v>數學延伸</v>
      </c>
      <c r="AG172" s="384"/>
      <c r="AH172" s="390" t="s">
        <v>3157</v>
      </c>
      <c r="AI172" s="390"/>
      <c r="AJ172" s="384"/>
      <c r="AK172" s="384"/>
      <c r="AL172" s="384"/>
    </row>
    <row r="173" spans="1:38" x14ac:dyDescent="0.3">
      <c r="A173" s="344" t="str">
        <f>'Reference Score Calculation'!A164</f>
        <v>JS4331</v>
      </c>
      <c r="B173" s="344" t="str">
        <f>'Reference Score Calculation'!D164</f>
        <v>文學士 (中國語文研究) 及教育學士 (中國語文教育)</v>
      </c>
      <c r="C173" s="355">
        <v>12</v>
      </c>
      <c r="D173" s="380">
        <v>4</v>
      </c>
      <c r="E173" s="380">
        <v>3</v>
      </c>
      <c r="F173" s="380">
        <v>2</v>
      </c>
      <c r="G173" s="380">
        <v>2</v>
      </c>
      <c r="H173" s="380">
        <v>3</v>
      </c>
      <c r="I173" s="380">
        <v>3</v>
      </c>
      <c r="K173" s="355">
        <f t="shared" si="42"/>
        <v>0</v>
      </c>
      <c r="L173" s="355">
        <f t="shared" si="43"/>
        <v>0</v>
      </c>
      <c r="M173" s="355">
        <f t="shared" si="44"/>
        <v>0</v>
      </c>
      <c r="N173" s="355">
        <f t="shared" si="45"/>
        <v>0</v>
      </c>
      <c r="O173" s="355">
        <f t="shared" si="46"/>
        <v>0</v>
      </c>
      <c r="P173" s="355">
        <f t="shared" si="48"/>
        <v>0</v>
      </c>
      <c r="Q173" s="16"/>
      <c r="R173" s="16">
        <f t="shared" si="41"/>
        <v>0</v>
      </c>
      <c r="S173" s="344"/>
      <c r="T173" s="16" t="s">
        <v>2237</v>
      </c>
      <c r="U173" s="16" t="s">
        <v>2238</v>
      </c>
      <c r="V173" s="355" t="s">
        <v>2239</v>
      </c>
      <c r="W173" s="355" t="s">
        <v>2239</v>
      </c>
      <c r="X173" s="344" t="s">
        <v>1978</v>
      </c>
      <c r="Y173" s="344" t="s">
        <v>1978</v>
      </c>
      <c r="Z173" s="344"/>
      <c r="AA173" s="390" t="s">
        <v>2336</v>
      </c>
      <c r="AB173" s="391">
        <f>IF(OR(I2="物理",I2="化學",I2="生物",I2="組合科學(物理、化學)",I2="組合科學(生物、化學)",I2="組合科學(物理、生物)",I2="綜合科學"),I3,0)</f>
        <v>0</v>
      </c>
      <c r="AC173" s="391">
        <f>IF(OR(J2="物理",J2="化學",J2="生物",J2="組合科學(物理、化學)",J2="組合科學(生物、化學)",J2="組合科學(物理、生物)",J2="綜合科學"),J3,0)</f>
        <v>0</v>
      </c>
      <c r="AD173" s="391">
        <f>IF(OR(K2="物理",K2="化學",K2="生物",K2="組合科學(物理、化學)",K2="組合科學(生物、化學)",K2="組合科學(物理、生物)",K2="綜合科學"),K3,0)</f>
        <v>0</v>
      </c>
      <c r="AE173" s="391">
        <f>IF(OR(L2="物理",L2="化學",L2="生物",L2="組合科學(物理、化學)",L2="組合科學(生物、化學)",L2="組合科學(物理、生物)",L2="綜合科學"),L3,0)</f>
        <v>0</v>
      </c>
      <c r="AF173" s="391">
        <f>H3</f>
        <v>5.0000000000000003E-10</v>
      </c>
      <c r="AG173" s="390"/>
      <c r="AH173" s="391" t="str">
        <f>IF(AI173&gt;0,INDEX(AB172:AF172,MATCH(LARGE(AB173:AF173,1),AB173:AF173,0)),"無")</f>
        <v>數學延伸</v>
      </c>
      <c r="AI173" s="391">
        <f>LARGE((AB173:AF173),1)</f>
        <v>5.0000000000000003E-10</v>
      </c>
      <c r="AJ173" s="384"/>
      <c r="AK173" s="384"/>
      <c r="AL173" s="384"/>
    </row>
    <row r="174" spans="1:38" x14ac:dyDescent="0.3">
      <c r="A174" s="344" t="str">
        <f>'Reference Score Calculation'!A165</f>
        <v>JS4343</v>
      </c>
      <c r="B174" s="344" t="str">
        <f>'Reference Score Calculation'!D165</f>
        <v>文學士(英國語文研究)及教育學士(英國語文教育)</v>
      </c>
      <c r="C174" s="355">
        <v>12</v>
      </c>
      <c r="D174" s="380">
        <v>3</v>
      </c>
      <c r="E174" s="380">
        <v>4</v>
      </c>
      <c r="F174" s="380">
        <v>2</v>
      </c>
      <c r="G174" s="380">
        <v>2</v>
      </c>
      <c r="H174" s="380">
        <v>3</v>
      </c>
      <c r="I174" s="380">
        <v>3</v>
      </c>
      <c r="K174" s="355">
        <f t="shared" si="42"/>
        <v>0</v>
      </c>
      <c r="L174" s="355">
        <f t="shared" si="43"/>
        <v>0</v>
      </c>
      <c r="M174" s="355">
        <f t="shared" si="44"/>
        <v>0</v>
      </c>
      <c r="N174" s="355">
        <f t="shared" si="45"/>
        <v>0</v>
      </c>
      <c r="O174" s="355">
        <f t="shared" si="46"/>
        <v>0</v>
      </c>
      <c r="P174" s="355">
        <f t="shared" si="48"/>
        <v>0</v>
      </c>
      <c r="Q174" s="16"/>
      <c r="R174" s="16">
        <f t="shared" si="41"/>
        <v>0</v>
      </c>
      <c r="S174" s="344"/>
      <c r="T174" s="16" t="s">
        <v>2237</v>
      </c>
      <c r="U174" s="16" t="s">
        <v>2238</v>
      </c>
      <c r="V174" s="355" t="s">
        <v>2239</v>
      </c>
      <c r="W174" s="355" t="s">
        <v>2237</v>
      </c>
      <c r="X174" s="344" t="s">
        <v>1978</v>
      </c>
      <c r="Y174" s="344" t="s">
        <v>1978</v>
      </c>
      <c r="Z174" s="344"/>
      <c r="AA174" s="390"/>
      <c r="AB174" s="417" t="s">
        <v>3165</v>
      </c>
      <c r="AC174" s="390"/>
      <c r="AD174" s="390"/>
      <c r="AE174" s="390"/>
      <c r="AF174" s="390"/>
      <c r="AG174" s="390"/>
      <c r="AH174" s="384"/>
      <c r="AI174" s="384"/>
      <c r="AJ174" s="384"/>
      <c r="AK174" s="384"/>
      <c r="AL174" s="384"/>
    </row>
    <row r="175" spans="1:38" x14ac:dyDescent="0.3">
      <c r="A175" s="344" t="str">
        <f>'Reference Score Calculation'!A166</f>
        <v>JS4361</v>
      </c>
      <c r="B175" s="344" t="str">
        <f>'Reference Score Calculation'!D166</f>
        <v>教育學士(數學及數學教育)</v>
      </c>
      <c r="C175" s="355">
        <v>12</v>
      </c>
      <c r="D175" s="380">
        <v>3</v>
      </c>
      <c r="E175" s="380">
        <v>3</v>
      </c>
      <c r="F175" s="380">
        <v>4</v>
      </c>
      <c r="G175" s="380">
        <v>2</v>
      </c>
      <c r="H175" s="380">
        <v>3</v>
      </c>
      <c r="I175" s="380">
        <v>3</v>
      </c>
      <c r="K175" s="355">
        <f t="shared" si="42"/>
        <v>0</v>
      </c>
      <c r="L175" s="355">
        <f t="shared" si="43"/>
        <v>0</v>
      </c>
      <c r="M175" s="355">
        <f t="shared" si="44"/>
        <v>0</v>
      </c>
      <c r="N175" s="355">
        <f t="shared" si="45"/>
        <v>0</v>
      </c>
      <c r="O175" s="355">
        <f>IF(H175&gt;LARGE($I$3:$M$3,1),0,1)</f>
        <v>0</v>
      </c>
      <c r="P175" s="376">
        <f>IF(I175&gt;$H$3,0,1)</f>
        <v>0</v>
      </c>
      <c r="Q175" s="16"/>
      <c r="R175" s="16">
        <f t="shared" si="41"/>
        <v>0</v>
      </c>
      <c r="S175" s="344"/>
      <c r="T175" s="16" t="s">
        <v>2237</v>
      </c>
      <c r="U175" s="16" t="s">
        <v>2238</v>
      </c>
      <c r="V175" s="355" t="s">
        <v>2239</v>
      </c>
      <c r="W175" s="355" t="s">
        <v>2239</v>
      </c>
      <c r="X175" s="344" t="s">
        <v>3144</v>
      </c>
      <c r="Y175" s="344" t="s">
        <v>1978</v>
      </c>
      <c r="Z175" s="344"/>
      <c r="AA175" s="390"/>
      <c r="AB175" s="417"/>
      <c r="AC175" s="390"/>
      <c r="AD175" s="390"/>
      <c r="AE175" s="390"/>
      <c r="AF175" s="390"/>
      <c r="AG175" s="390"/>
      <c r="AH175" s="384"/>
      <c r="AI175" s="384"/>
      <c r="AJ175" s="384"/>
      <c r="AK175" s="384"/>
      <c r="AL175" s="384"/>
    </row>
    <row r="176" spans="1:38" x14ac:dyDescent="0.3">
      <c r="A176" s="344" t="str">
        <f>'Reference Score Calculation'!A167</f>
        <v>JS4372</v>
      </c>
      <c r="B176" s="344" t="str">
        <f>'Reference Score Calculation'!D167</f>
        <v>教育學士(幼兒教育)</v>
      </c>
      <c r="C176" s="355">
        <v>21</v>
      </c>
      <c r="D176" s="380">
        <v>3</v>
      </c>
      <c r="E176" s="380">
        <v>3</v>
      </c>
      <c r="F176" s="380">
        <v>2</v>
      </c>
      <c r="G176" s="380">
        <v>2</v>
      </c>
      <c r="H176" s="380">
        <v>3</v>
      </c>
      <c r="I176" s="380">
        <v>3</v>
      </c>
      <c r="K176" s="355">
        <f t="shared" si="42"/>
        <v>0</v>
      </c>
      <c r="L176" s="355">
        <f t="shared" si="43"/>
        <v>0</v>
      </c>
      <c r="M176" s="355">
        <f t="shared" si="44"/>
        <v>0</v>
      </c>
      <c r="N176" s="355">
        <f t="shared" si="45"/>
        <v>0</v>
      </c>
      <c r="O176" s="355">
        <f t="shared" si="46"/>
        <v>0</v>
      </c>
      <c r="P176" s="355">
        <f>IF(I176&gt;LARGE($H$3:$M$3,2),0,1)</f>
        <v>0</v>
      </c>
      <c r="Q176" s="16"/>
      <c r="R176" s="16">
        <f t="shared" si="41"/>
        <v>0</v>
      </c>
      <c r="S176" s="344"/>
      <c r="T176" s="16" t="s">
        <v>2237</v>
      </c>
      <c r="U176" s="16" t="s">
        <v>2238</v>
      </c>
      <c r="V176" s="355" t="s">
        <v>2239</v>
      </c>
      <c r="W176" s="355" t="s">
        <v>2237</v>
      </c>
      <c r="X176" s="344" t="s">
        <v>1978</v>
      </c>
      <c r="Y176" s="344" t="s">
        <v>1978</v>
      </c>
      <c r="Z176" s="344"/>
      <c r="AA176" s="390"/>
      <c r="AB176" s="390" t="str">
        <f>I2</f>
        <v>請選擇第一選修科</v>
      </c>
      <c r="AC176" s="390" t="str">
        <f>J2</f>
        <v>請選擇第二選修科</v>
      </c>
      <c r="AD176" s="390" t="str">
        <f>K2</f>
        <v>請選擇第三選修科</v>
      </c>
      <c r="AE176" s="390" t="str">
        <f>L2</f>
        <v>請選擇第四選修科</v>
      </c>
      <c r="AF176" s="390" t="str">
        <f>H2</f>
        <v>數學延伸</v>
      </c>
      <c r="AG176" s="384"/>
      <c r="AH176" s="390" t="s">
        <v>3157</v>
      </c>
      <c r="AI176" s="390"/>
      <c r="AJ176" s="384"/>
      <c r="AK176" s="384"/>
      <c r="AL176" s="384"/>
    </row>
    <row r="177" spans="1:38" x14ac:dyDescent="0.3">
      <c r="A177" s="344" t="str">
        <f>'Reference Score Calculation'!A168</f>
        <v>JS4386</v>
      </c>
      <c r="B177" s="344" t="str">
        <f>'Reference Score Calculation'!D168</f>
        <v>理學士（學習設計與科技）</v>
      </c>
      <c r="C177" s="355">
        <v>20</v>
      </c>
      <c r="D177" s="380">
        <v>3</v>
      </c>
      <c r="E177" s="380">
        <v>3</v>
      </c>
      <c r="F177" s="380">
        <v>3</v>
      </c>
      <c r="G177" s="380">
        <v>2</v>
      </c>
      <c r="H177" s="380">
        <v>3</v>
      </c>
      <c r="I177" s="380">
        <v>3</v>
      </c>
      <c r="K177" s="355">
        <f t="shared" si="42"/>
        <v>0</v>
      </c>
      <c r="L177" s="355">
        <f t="shared" si="43"/>
        <v>0</v>
      </c>
      <c r="M177" s="355">
        <f t="shared" si="44"/>
        <v>0</v>
      </c>
      <c r="N177" s="355">
        <f t="shared" si="45"/>
        <v>0</v>
      </c>
      <c r="O177" s="376">
        <f>IF(H177&gt;$AI$153,0,1)</f>
        <v>0</v>
      </c>
      <c r="P177" s="355">
        <f t="shared" ref="P177:P193" si="49">IF(I177&gt;LARGE($H$3:$M$3,2),0,1)</f>
        <v>0</v>
      </c>
      <c r="Q177" s="16"/>
      <c r="R177" s="16">
        <f t="shared" si="41"/>
        <v>0</v>
      </c>
      <c r="S177" s="344"/>
      <c r="T177" s="16" t="s">
        <v>2237</v>
      </c>
      <c r="U177" s="16" t="s">
        <v>2238</v>
      </c>
      <c r="V177" s="355" t="s">
        <v>2239</v>
      </c>
      <c r="W177" s="355" t="s">
        <v>2237</v>
      </c>
      <c r="X177" s="358" t="s">
        <v>3145</v>
      </c>
      <c r="Y177" s="344" t="s">
        <v>1978</v>
      </c>
      <c r="Z177" s="344"/>
      <c r="AA177" s="390" t="s">
        <v>3100</v>
      </c>
      <c r="AB177" s="391">
        <f>IF(OR(I2="物理",I2="化學",I2="生物",I2="組合科學(物理、化學)",I2="組合科學(生物、化學)",I2="組合科學(物理、生物)",I2="地理"),I3,0)</f>
        <v>0</v>
      </c>
      <c r="AC177" s="391">
        <f>IF(OR(J2="物理",J2="化學",J2="生物",J2="組合科學(物理、化學)",J2="組合科學(生物、化學)",J2="組合科學(物理、生物)",J2="地理"),J3,0)</f>
        <v>0</v>
      </c>
      <c r="AD177" s="391">
        <f>IF(OR(K2="物理",K2="化學",K2="生物",K2="組合科學(物理、化學)",K2="組合科學(生物、化學)",K2="組合科學(物理、生物)",K2="地理"),K3,0)</f>
        <v>0</v>
      </c>
      <c r="AE177" s="391">
        <f>IF(OR(L2="物理",L2="化學",L2="生物",L2="組合科學(物理、化學)",L2="組合科學(生物、化學)",L2="組合科學(物理、生物)",L2="地理"),L3,0)</f>
        <v>0</v>
      </c>
      <c r="AF177" s="391">
        <f>H3</f>
        <v>5.0000000000000003E-10</v>
      </c>
      <c r="AG177" s="390"/>
      <c r="AH177" s="391" t="str">
        <f>IF(AI177&gt;0,INDEX(AB176:AF176,MATCH(LARGE(AB177:AF177,1),AB177:AF177,0)),"無")</f>
        <v>數學延伸</v>
      </c>
      <c r="AI177" s="391">
        <f>LARGE((AB177:AF177),1)</f>
        <v>5.0000000000000003E-10</v>
      </c>
      <c r="AJ177" s="384"/>
      <c r="AK177" s="384"/>
      <c r="AL177" s="384"/>
    </row>
    <row r="178" spans="1:38" x14ac:dyDescent="0.3">
      <c r="A178" s="344" t="str">
        <f>'Reference Score Calculation'!A169</f>
        <v>JS4408</v>
      </c>
      <c r="B178" s="344" t="str">
        <f>'Reference Score Calculation'!D169</f>
        <v>機械與自動化工程學</v>
      </c>
      <c r="C178" s="355">
        <v>53</v>
      </c>
      <c r="D178" s="380">
        <v>3</v>
      </c>
      <c r="E178" s="380">
        <v>3</v>
      </c>
      <c r="F178" s="380">
        <v>3</v>
      </c>
      <c r="G178" s="380">
        <v>2</v>
      </c>
      <c r="H178" s="380">
        <v>3</v>
      </c>
      <c r="I178" s="380">
        <v>3</v>
      </c>
      <c r="K178" s="355">
        <f t="shared" si="42"/>
        <v>0</v>
      </c>
      <c r="L178" s="355">
        <f t="shared" si="43"/>
        <v>0</v>
      </c>
      <c r="M178" s="355">
        <f t="shared" si="44"/>
        <v>0</v>
      </c>
      <c r="N178" s="355">
        <f t="shared" si="45"/>
        <v>0</v>
      </c>
      <c r="O178" s="376">
        <f>IF(H178&gt;$AI$158,0,1)</f>
        <v>0</v>
      </c>
      <c r="P178" s="355">
        <f t="shared" si="49"/>
        <v>0</v>
      </c>
      <c r="Q178" s="16"/>
      <c r="R178" s="16">
        <f t="shared" si="41"/>
        <v>0</v>
      </c>
      <c r="S178" s="344"/>
      <c r="T178" s="16" t="s">
        <v>2237</v>
      </c>
      <c r="U178" s="16" t="s">
        <v>2238</v>
      </c>
      <c r="V178" s="355" t="s">
        <v>2239</v>
      </c>
      <c r="W178" s="355" t="s">
        <v>2237</v>
      </c>
      <c r="X178" s="358" t="s">
        <v>3146</v>
      </c>
      <c r="Y178" s="344" t="s">
        <v>1978</v>
      </c>
      <c r="Z178" s="344"/>
      <c r="AA178" s="390"/>
      <c r="AB178" s="417" t="s">
        <v>3166</v>
      </c>
      <c r="AC178" s="390"/>
      <c r="AD178" s="390"/>
      <c r="AE178" s="390"/>
      <c r="AF178" s="390"/>
      <c r="AG178" s="390"/>
      <c r="AH178" s="384"/>
      <c r="AI178" s="384"/>
      <c r="AJ178" s="384"/>
      <c r="AK178" s="384"/>
      <c r="AL178" s="384"/>
    </row>
    <row r="179" spans="1:38" x14ac:dyDescent="0.3">
      <c r="A179" s="344" t="str">
        <f>'Reference Score Calculation'!A170</f>
        <v>JS4412</v>
      </c>
      <c r="B179" s="344" t="str">
        <f>'Reference Score Calculation'!D170</f>
        <v>計算機科學與工程</v>
      </c>
      <c r="C179" s="355">
        <v>107</v>
      </c>
      <c r="D179" s="380">
        <v>3</v>
      </c>
      <c r="E179" s="380">
        <v>3</v>
      </c>
      <c r="F179" s="380">
        <v>4</v>
      </c>
      <c r="G179" s="380">
        <v>2</v>
      </c>
      <c r="H179" s="380">
        <v>3</v>
      </c>
      <c r="I179" s="380">
        <v>3</v>
      </c>
      <c r="K179" s="355">
        <f t="shared" si="42"/>
        <v>0</v>
      </c>
      <c r="L179" s="355">
        <f t="shared" si="43"/>
        <v>0</v>
      </c>
      <c r="M179" s="355">
        <f t="shared" si="44"/>
        <v>0</v>
      </c>
      <c r="N179" s="355">
        <f t="shared" si="45"/>
        <v>0</v>
      </c>
      <c r="O179" s="376">
        <f>IF(H179&gt;$AI$153,0,1)</f>
        <v>0</v>
      </c>
      <c r="P179" s="355">
        <f t="shared" si="49"/>
        <v>0</v>
      </c>
      <c r="Q179" s="16"/>
      <c r="R179" s="16">
        <f t="shared" si="41"/>
        <v>0</v>
      </c>
      <c r="S179" s="344"/>
      <c r="T179" s="16" t="s">
        <v>2237</v>
      </c>
      <c r="U179" s="16" t="s">
        <v>2238</v>
      </c>
      <c r="V179" s="355" t="s">
        <v>2239</v>
      </c>
      <c r="W179" s="355" t="s">
        <v>2237</v>
      </c>
      <c r="X179" s="358" t="s">
        <v>3145</v>
      </c>
      <c r="Y179" s="344" t="s">
        <v>1978</v>
      </c>
      <c r="Z179" s="344"/>
      <c r="AA179" s="390"/>
      <c r="AB179" s="390"/>
      <c r="AC179" s="390"/>
      <c r="AD179" s="390"/>
      <c r="AE179" s="390"/>
      <c r="AF179" s="390"/>
      <c r="AG179" s="390"/>
      <c r="AH179" s="384"/>
      <c r="AI179" s="384"/>
      <c r="AJ179" s="384"/>
      <c r="AK179" s="384"/>
      <c r="AL179" s="384"/>
    </row>
    <row r="180" spans="1:38" x14ac:dyDescent="0.3">
      <c r="A180" s="344" t="str">
        <f>'Reference Score Calculation'!A171</f>
        <v>JS4416</v>
      </c>
      <c r="B180" s="344" t="str">
        <f>'Reference Score Calculation'!D171</f>
        <v>計算數據科學</v>
      </c>
      <c r="C180" s="355">
        <v>20</v>
      </c>
      <c r="D180" s="380">
        <v>3</v>
      </c>
      <c r="E180" s="380">
        <v>4</v>
      </c>
      <c r="F180" s="380">
        <v>4</v>
      </c>
      <c r="G180" s="380">
        <v>2</v>
      </c>
      <c r="H180" s="380">
        <v>3</v>
      </c>
      <c r="I180" s="380">
        <v>3</v>
      </c>
      <c r="K180" s="355">
        <f t="shared" si="42"/>
        <v>0</v>
      </c>
      <c r="L180" s="355">
        <f t="shared" si="43"/>
        <v>0</v>
      </c>
      <c r="M180" s="355">
        <f t="shared" si="44"/>
        <v>0</v>
      </c>
      <c r="N180" s="355">
        <f t="shared" si="45"/>
        <v>0</v>
      </c>
      <c r="O180" s="355">
        <f t="shared" si="46"/>
        <v>0</v>
      </c>
      <c r="P180" s="355">
        <f t="shared" si="49"/>
        <v>0</v>
      </c>
      <c r="Q180" s="16"/>
      <c r="R180" s="16">
        <f t="shared" si="41"/>
        <v>0</v>
      </c>
      <c r="S180" s="344"/>
      <c r="T180" s="16" t="s">
        <v>2237</v>
      </c>
      <c r="U180" s="16" t="s">
        <v>2238</v>
      </c>
      <c r="V180" s="355" t="s">
        <v>2239</v>
      </c>
      <c r="W180" s="355" t="s">
        <v>2239</v>
      </c>
      <c r="X180" s="344" t="s">
        <v>1978</v>
      </c>
      <c r="Y180" s="344" t="s">
        <v>1978</v>
      </c>
      <c r="Z180" s="344"/>
      <c r="AA180" s="390"/>
      <c r="AB180" s="390" t="str">
        <f>I2</f>
        <v>請選擇第一選修科</v>
      </c>
      <c r="AC180" s="390" t="str">
        <f>J2</f>
        <v>請選擇第二選修科</v>
      </c>
      <c r="AD180" s="390" t="str">
        <f>K2</f>
        <v>請選擇第三選修科</v>
      </c>
      <c r="AE180" s="390" t="str">
        <f>L2</f>
        <v>請選擇第四選修科</v>
      </c>
      <c r="AF180" s="384"/>
      <c r="AG180" s="384"/>
      <c r="AH180" s="390" t="s">
        <v>3157</v>
      </c>
      <c r="AI180" s="390"/>
      <c r="AJ180" s="384"/>
      <c r="AK180" s="384"/>
      <c r="AL180" s="384"/>
    </row>
    <row r="181" spans="1:38" x14ac:dyDescent="0.3">
      <c r="A181" s="344" t="str">
        <f>'Reference Score Calculation'!A172</f>
        <v>JS4428</v>
      </c>
      <c r="B181" s="344" t="str">
        <f>'Reference Score Calculation'!D172</f>
        <v>金融科技學</v>
      </c>
      <c r="C181" s="355">
        <v>35</v>
      </c>
      <c r="D181" s="380">
        <v>3</v>
      </c>
      <c r="E181" s="380">
        <v>3</v>
      </c>
      <c r="F181" s="380">
        <v>4</v>
      </c>
      <c r="G181" s="380">
        <v>3</v>
      </c>
      <c r="H181" s="380">
        <v>3</v>
      </c>
      <c r="I181" s="380">
        <v>3</v>
      </c>
      <c r="K181" s="355">
        <f t="shared" si="42"/>
        <v>0</v>
      </c>
      <c r="L181" s="355">
        <f t="shared" si="43"/>
        <v>0</v>
      </c>
      <c r="M181" s="355">
        <f t="shared" si="44"/>
        <v>0</v>
      </c>
      <c r="N181" s="355">
        <f t="shared" si="45"/>
        <v>0</v>
      </c>
      <c r="O181" s="355">
        <f t="shared" si="46"/>
        <v>0</v>
      </c>
      <c r="P181" s="355">
        <f t="shared" si="49"/>
        <v>0</v>
      </c>
      <c r="Q181" s="16"/>
      <c r="R181" s="16">
        <f t="shared" si="41"/>
        <v>0</v>
      </c>
      <c r="S181" s="344"/>
      <c r="T181" s="16" t="s">
        <v>2237</v>
      </c>
      <c r="U181" s="16" t="s">
        <v>2238</v>
      </c>
      <c r="V181" s="355" t="s">
        <v>2239</v>
      </c>
      <c r="W181" s="355" t="s">
        <v>2237</v>
      </c>
      <c r="X181" s="344" t="s">
        <v>1978</v>
      </c>
      <c r="Y181" s="344" t="s">
        <v>1978</v>
      </c>
      <c r="Z181" s="344"/>
      <c r="AA181" s="390" t="s">
        <v>2496</v>
      </c>
      <c r="AB181" s="391">
        <f>IF(OR(I2="物理",I2="化學",I2="生物",I2="組合科學(物理、化學)",I2="組合科學(生物、化學)",I2="組合科學(物理、生物)",I2="地理",I2="經濟",,I2="資訊及通訊科技",I2="科技與生活",I2="綜合科學"),I3,0)</f>
        <v>0</v>
      </c>
      <c r="AC181" s="391">
        <f>IF(OR(J2="物理",J2="化學",J2="生物",J2="組合科學(物理、化學)",J2="組合科學(生物、化學)",J2="組合科學(物理、生物)",J2="地理",J2="經濟",,J2="資訊及通訊科技",J2="科技與生活",J2="綜合科學"),J3,0)</f>
        <v>0</v>
      </c>
      <c r="AD181" s="391">
        <f>IF(OR(K2="物理",K2="化學",K2="生物",K2="組合科學(物理、化學)",K2="組合科學(生物、化學)",K2="組合科學(物理、生物)",K2="地理",K2="經濟",,K2="資訊及通訊科技",K2="科技與生活",K2="綜合科學"),K3,0)</f>
        <v>0</v>
      </c>
      <c r="AE181" s="391">
        <f>IF(OR(L2="物理",L2="化學",L2="生物",L2="組合科學(物理、化學)",L2="組合科學(生物、化學)",L2="組合科學(物理、生物)",L2="地理",L2="經濟",,L2="資訊及通訊科技",L2="科技與生活",L2="綜合科學"),L3,0)</f>
        <v>0</v>
      </c>
      <c r="AF181" s="390"/>
      <c r="AG181" s="390"/>
      <c r="AH181" s="391" t="str">
        <f>IF(AI181&gt;0,INDEX(AB180:AE180,MATCH(LARGE(AB181:AE181,1),AB181:AE181,0)),"無")</f>
        <v>無</v>
      </c>
      <c r="AI181" s="391">
        <f>LARGE((AB181:AE181),1)</f>
        <v>0</v>
      </c>
      <c r="AJ181" s="384"/>
      <c r="AK181" s="384"/>
      <c r="AL181" s="384"/>
    </row>
    <row r="182" spans="1:38" x14ac:dyDescent="0.3">
      <c r="A182" s="344" t="str">
        <f>'Reference Score Calculation'!A173</f>
        <v>JS4434</v>
      </c>
      <c r="B182" s="344" t="str">
        <f>'Reference Score Calculation'!D173</f>
        <v>電子工程學</v>
      </c>
      <c r="C182" s="355">
        <v>53</v>
      </c>
      <c r="D182" s="380">
        <v>3</v>
      </c>
      <c r="E182" s="380">
        <v>3</v>
      </c>
      <c r="F182" s="380">
        <v>3</v>
      </c>
      <c r="G182" s="380">
        <v>2</v>
      </c>
      <c r="H182" s="380">
        <v>3</v>
      </c>
      <c r="I182" s="380">
        <v>3</v>
      </c>
      <c r="K182" s="355">
        <f t="shared" si="42"/>
        <v>0</v>
      </c>
      <c r="L182" s="355">
        <f t="shared" si="43"/>
        <v>0</v>
      </c>
      <c r="M182" s="355">
        <f t="shared" si="44"/>
        <v>0</v>
      </c>
      <c r="N182" s="355">
        <f t="shared" si="45"/>
        <v>0</v>
      </c>
      <c r="O182" s="376">
        <f>IF(H182&gt;$AI$162,0,1)</f>
        <v>0</v>
      </c>
      <c r="P182" s="355">
        <f t="shared" si="49"/>
        <v>0</v>
      </c>
      <c r="Q182" s="16"/>
      <c r="R182" s="16">
        <f t="shared" si="41"/>
        <v>0</v>
      </c>
      <c r="S182" s="344"/>
      <c r="T182" s="16" t="s">
        <v>2237</v>
      </c>
      <c r="U182" s="16" t="s">
        <v>2238</v>
      </c>
      <c r="V182" s="355" t="s">
        <v>2239</v>
      </c>
      <c r="W182" s="355" t="s">
        <v>2237</v>
      </c>
      <c r="X182" s="358" t="s">
        <v>3147</v>
      </c>
      <c r="Y182" s="344" t="s">
        <v>1978</v>
      </c>
      <c r="Z182" s="344"/>
      <c r="AA182" s="390"/>
      <c r="AB182" s="417" t="s">
        <v>3167</v>
      </c>
      <c r="AC182" s="390"/>
      <c r="AD182" s="390"/>
      <c r="AE182" s="390"/>
      <c r="AF182" s="390"/>
      <c r="AG182" s="390"/>
      <c r="AH182" s="384"/>
      <c r="AI182" s="384"/>
      <c r="AJ182" s="384"/>
      <c r="AK182" s="384"/>
      <c r="AL182" s="384"/>
    </row>
    <row r="183" spans="1:38" x14ac:dyDescent="0.3">
      <c r="A183" s="344" t="str">
        <f>'Reference Score Calculation'!A174</f>
        <v>JS4446</v>
      </c>
      <c r="B183" s="344" t="str">
        <f>'Reference Score Calculation'!D174</f>
        <v>信息工程學</v>
      </c>
      <c r="C183" s="355">
        <v>75</v>
      </c>
      <c r="D183" s="380">
        <v>3</v>
      </c>
      <c r="E183" s="380">
        <v>3</v>
      </c>
      <c r="F183" s="380">
        <v>4</v>
      </c>
      <c r="G183" s="380">
        <v>2</v>
      </c>
      <c r="H183" s="380">
        <v>3</v>
      </c>
      <c r="I183" s="380">
        <v>3</v>
      </c>
      <c r="K183" s="355">
        <f t="shared" si="42"/>
        <v>0</v>
      </c>
      <c r="L183" s="355">
        <f t="shared" si="43"/>
        <v>0</v>
      </c>
      <c r="M183" s="355">
        <f t="shared" si="44"/>
        <v>0</v>
      </c>
      <c r="N183" s="355">
        <f t="shared" si="45"/>
        <v>0</v>
      </c>
      <c r="O183" s="376">
        <f>IF(H183&gt;$AI$153,0,1)</f>
        <v>0</v>
      </c>
      <c r="P183" s="355">
        <f t="shared" si="49"/>
        <v>0</v>
      </c>
      <c r="Q183" s="16"/>
      <c r="R183" s="16">
        <f t="shared" si="41"/>
        <v>0</v>
      </c>
      <c r="S183" s="344"/>
      <c r="T183" s="16" t="s">
        <v>2237</v>
      </c>
      <c r="U183" s="16" t="s">
        <v>2238</v>
      </c>
      <c r="V183" s="355" t="s">
        <v>2239</v>
      </c>
      <c r="W183" s="355" t="s">
        <v>2237</v>
      </c>
      <c r="X183" s="358" t="s">
        <v>3145</v>
      </c>
      <c r="Y183" s="344" t="s">
        <v>1978</v>
      </c>
      <c r="Z183" s="344"/>
      <c r="AA183" s="390"/>
      <c r="AB183" s="390"/>
      <c r="AC183" s="390"/>
      <c r="AD183" s="390"/>
      <c r="AE183" s="390"/>
      <c r="AF183" s="390"/>
      <c r="AG183" s="390"/>
      <c r="AH183" s="384"/>
      <c r="AI183" s="384"/>
      <c r="AJ183" s="384"/>
      <c r="AK183" s="384"/>
      <c r="AL183" s="384"/>
    </row>
    <row r="184" spans="1:38" x14ac:dyDescent="0.3">
      <c r="A184" s="344" t="str">
        <f>'Reference Score Calculation'!A175</f>
        <v>JS4458</v>
      </c>
      <c r="B184" s="344" t="str">
        <f>'Reference Score Calculation'!D175</f>
        <v>系統工程與工程管理</v>
      </c>
      <c r="C184" s="355">
        <v>53</v>
      </c>
      <c r="D184" s="380">
        <v>3</v>
      </c>
      <c r="E184" s="380">
        <v>3</v>
      </c>
      <c r="F184" s="380">
        <v>3</v>
      </c>
      <c r="G184" s="380">
        <v>2</v>
      </c>
      <c r="H184" s="380">
        <v>3</v>
      </c>
      <c r="I184" s="380">
        <v>3</v>
      </c>
      <c r="K184" s="355">
        <f t="shared" si="42"/>
        <v>0</v>
      </c>
      <c r="L184" s="355">
        <f t="shared" si="43"/>
        <v>0</v>
      </c>
      <c r="M184" s="355">
        <f t="shared" si="44"/>
        <v>0</v>
      </c>
      <c r="N184" s="355">
        <f t="shared" si="45"/>
        <v>0</v>
      </c>
      <c r="O184" s="355">
        <f t="shared" si="46"/>
        <v>0</v>
      </c>
      <c r="P184" s="355">
        <f t="shared" si="49"/>
        <v>0</v>
      </c>
      <c r="Q184" s="16"/>
      <c r="R184" s="16">
        <f t="shared" si="41"/>
        <v>0</v>
      </c>
      <c r="S184" s="344"/>
      <c r="T184" s="16" t="s">
        <v>2237</v>
      </c>
      <c r="U184" s="16" t="s">
        <v>2238</v>
      </c>
      <c r="V184" s="355" t="s">
        <v>2239</v>
      </c>
      <c r="W184" s="355" t="s">
        <v>2237</v>
      </c>
      <c r="X184" s="344" t="s">
        <v>1978</v>
      </c>
      <c r="Y184" s="344" t="s">
        <v>1978</v>
      </c>
      <c r="Z184" s="344"/>
      <c r="AA184" s="390"/>
      <c r="AB184" s="390" t="str">
        <f>I2</f>
        <v>請選擇第一選修科</v>
      </c>
      <c r="AC184" s="390" t="str">
        <f>J2</f>
        <v>請選擇第二選修科</v>
      </c>
      <c r="AD184" s="390" t="str">
        <f>K2</f>
        <v>請選擇第三選修科</v>
      </c>
      <c r="AE184" s="390" t="str">
        <f>L2</f>
        <v>請選擇第四選修科</v>
      </c>
      <c r="AF184" s="390" t="str">
        <f>H2</f>
        <v>數學延伸</v>
      </c>
      <c r="AG184" s="384"/>
      <c r="AH184" s="390" t="s">
        <v>3157</v>
      </c>
      <c r="AI184" s="390"/>
      <c r="AJ184" s="390" t="s">
        <v>3170</v>
      </c>
      <c r="AK184" s="390"/>
      <c r="AL184" s="384"/>
    </row>
    <row r="185" spans="1:38" x14ac:dyDescent="0.3">
      <c r="A185" s="344" t="str">
        <f>'Reference Score Calculation'!A176</f>
        <v>JS4460</v>
      </c>
      <c r="B185" s="344" t="str">
        <f>'Reference Score Calculation'!D176</f>
        <v>生物醫學工程學</v>
      </c>
      <c r="C185" s="355">
        <v>44</v>
      </c>
      <c r="D185" s="380">
        <v>3</v>
      </c>
      <c r="E185" s="380">
        <v>3</v>
      </c>
      <c r="F185" s="380">
        <v>3</v>
      </c>
      <c r="G185" s="380">
        <v>2</v>
      </c>
      <c r="H185" s="380">
        <v>3</v>
      </c>
      <c r="I185" s="380">
        <v>3</v>
      </c>
      <c r="K185" s="355">
        <f t="shared" si="42"/>
        <v>0</v>
      </c>
      <c r="L185" s="355">
        <f t="shared" si="43"/>
        <v>0</v>
      </c>
      <c r="M185" s="355">
        <f t="shared" si="44"/>
        <v>0</v>
      </c>
      <c r="N185" s="355">
        <f t="shared" si="45"/>
        <v>0</v>
      </c>
      <c r="O185" s="376">
        <f>IF(H185&gt;$AI$153,0,1)</f>
        <v>0</v>
      </c>
      <c r="P185" s="355">
        <f t="shared" si="49"/>
        <v>0</v>
      </c>
      <c r="Q185" s="16"/>
      <c r="R185" s="16">
        <f t="shared" si="41"/>
        <v>0</v>
      </c>
      <c r="S185" s="344"/>
      <c r="T185" s="16" t="s">
        <v>2237</v>
      </c>
      <c r="U185" s="16" t="s">
        <v>2238</v>
      </c>
      <c r="V185" s="355" t="s">
        <v>2239</v>
      </c>
      <c r="W185" s="355" t="s">
        <v>2237</v>
      </c>
      <c r="X185" s="358" t="s">
        <v>3145</v>
      </c>
      <c r="Y185" s="344" t="s">
        <v>1978</v>
      </c>
      <c r="Z185" s="344"/>
      <c r="AA185" s="390" t="s">
        <v>3168</v>
      </c>
      <c r="AB185" s="391">
        <f>IF(OR(I2="化學",I2="生物",I2="組合科學(物理、化學)",I2="組合科學(生物、化學)",I2="組合科學(物理、生物)",I2="地理",I2="經濟",,I2="資訊及通訊科技",I2="科技與生活",I2="綜合科學"),I3,0)</f>
        <v>0</v>
      </c>
      <c r="AC185" s="391">
        <f>IF(OR(J2="化學",J2="生物",J2="組合科學(物理、化學)",J2="組合科學(生物、化學)",J2="組合科學(物理、生物)",J2="地理",J2="經濟",,J2="資訊及通訊科技",J2="科技與生活",J2="綜合科學"),J3,0)</f>
        <v>0</v>
      </c>
      <c r="AD185" s="391">
        <f>IF(OR(K2="化學",K2="生物",K2="組合科學(物理、化學)",K2="組合科學(生物、化學)",K2="組合科學(物理、生物)",K2="地理",K2="經濟",,K2="資訊及通訊科技",K2="科技與生活",K2="綜合科學"),K3,0)</f>
        <v>0</v>
      </c>
      <c r="AE185" s="391">
        <f>IF(OR(L2="化學",L2="生物",L2="組合科學(物理、化學)",L2="組合科學(生物、化學)",L2="組合科學(物理、生物)",L2="地理",L2="經濟",,L2="資訊及通訊科技",L2="科技與生活",L2="綜合科學"),L3,0)</f>
        <v>0</v>
      </c>
      <c r="AF185" s="391">
        <f>H3</f>
        <v>5.0000000000000003E-10</v>
      </c>
      <c r="AG185" s="390"/>
      <c r="AH185" s="391" t="str">
        <f>IF(AI185&gt;0,INDEX(AB184:AF184,MATCH(LARGE(AB185:AF185,1),AB185:AF185,0)),"無")</f>
        <v>數學延伸</v>
      </c>
      <c r="AI185" s="391">
        <f>LARGE((AB185:AF185),1)</f>
        <v>5.0000000000000003E-10</v>
      </c>
      <c r="AJ185" s="391" t="str">
        <f>IF(AK185&gt;0,INDEX(AB184:AE184,MATCH(LARGE(AB186:AE186,1),AB186:AE186,0)),"無")</f>
        <v>無</v>
      </c>
      <c r="AK185" s="391">
        <f>LARGE((AB186:AE186),1)</f>
        <v>0</v>
      </c>
      <c r="AL185" s="384"/>
    </row>
    <row r="186" spans="1:38" x14ac:dyDescent="0.3">
      <c r="A186" s="344" t="str">
        <f>'Reference Score Calculation'!A177</f>
        <v>JS4462</v>
      </c>
      <c r="B186" s="344" t="str">
        <f>'Reference Score Calculation'!D177</f>
        <v>能源與環境工程學</v>
      </c>
      <c r="C186" s="355">
        <v>28</v>
      </c>
      <c r="D186" s="380">
        <v>3</v>
      </c>
      <c r="E186" s="380">
        <v>3</v>
      </c>
      <c r="F186" s="380">
        <v>3</v>
      </c>
      <c r="G186" s="380">
        <v>2</v>
      </c>
      <c r="H186" s="380">
        <v>3</v>
      </c>
      <c r="I186" s="380">
        <v>3</v>
      </c>
      <c r="K186" s="355">
        <f t="shared" si="42"/>
        <v>0</v>
      </c>
      <c r="L186" s="355">
        <f t="shared" si="43"/>
        <v>0</v>
      </c>
      <c r="M186" s="355">
        <f t="shared" si="44"/>
        <v>0</v>
      </c>
      <c r="N186" s="355">
        <f t="shared" si="45"/>
        <v>0</v>
      </c>
      <c r="O186" s="376">
        <f>IF(H186&gt;$AI$158,0,1)</f>
        <v>0</v>
      </c>
      <c r="P186" s="355">
        <f t="shared" si="49"/>
        <v>0</v>
      </c>
      <c r="Q186" s="16"/>
      <c r="R186" s="16">
        <f t="shared" si="41"/>
        <v>0</v>
      </c>
      <c r="S186" s="344"/>
      <c r="T186" s="16" t="s">
        <v>2237</v>
      </c>
      <c r="U186" s="16" t="s">
        <v>2238</v>
      </c>
      <c r="V186" s="355" t="s">
        <v>2239</v>
      </c>
      <c r="W186" s="355" t="s">
        <v>2237</v>
      </c>
      <c r="X186" s="358" t="s">
        <v>3146</v>
      </c>
      <c r="Y186" s="344" t="s">
        <v>1978</v>
      </c>
      <c r="Z186" s="344"/>
      <c r="AA186" s="390"/>
      <c r="AB186" s="392">
        <f>IF(I2="物理",I3,0)</f>
        <v>0</v>
      </c>
      <c r="AC186" s="392">
        <f>IF(J2="物理",J3,0)</f>
        <v>0</v>
      </c>
      <c r="AD186" s="392">
        <f>IF(K2="物理",K3,0)</f>
        <v>0</v>
      </c>
      <c r="AE186" s="392">
        <f>IF(L2="物理",L3,0)</f>
        <v>0</v>
      </c>
      <c r="AF186" s="390"/>
      <c r="AG186" s="390"/>
      <c r="AH186" s="384"/>
      <c r="AI186" s="384"/>
      <c r="AJ186" s="384"/>
      <c r="AK186" s="384"/>
      <c r="AL186" s="384"/>
    </row>
    <row r="187" spans="1:38" x14ac:dyDescent="0.3">
      <c r="A187" s="344" t="str">
        <f>'Reference Score Calculation'!A178</f>
        <v>JS4468</v>
      </c>
      <c r="B187" s="344" t="str">
        <f>'Reference Score Calculation'!D178</f>
        <v>人工智能：系統與科技</v>
      </c>
      <c r="C187" s="355">
        <v>30</v>
      </c>
      <c r="D187" s="380">
        <v>3</v>
      </c>
      <c r="E187" s="380">
        <v>4</v>
      </c>
      <c r="F187" s="380">
        <v>5</v>
      </c>
      <c r="G187" s="380">
        <v>3</v>
      </c>
      <c r="H187" s="380">
        <v>3</v>
      </c>
      <c r="I187" s="380">
        <v>3</v>
      </c>
      <c r="K187" s="355">
        <f t="shared" si="42"/>
        <v>0</v>
      </c>
      <c r="L187" s="355">
        <f t="shared" si="43"/>
        <v>0</v>
      </c>
      <c r="M187" s="376">
        <f>AD166</f>
        <v>0</v>
      </c>
      <c r="N187" s="355">
        <f t="shared" si="45"/>
        <v>0</v>
      </c>
      <c r="O187" s="355">
        <f t="shared" si="46"/>
        <v>0</v>
      </c>
      <c r="P187" s="355">
        <f t="shared" si="49"/>
        <v>0</v>
      </c>
      <c r="Q187" s="16"/>
      <c r="R187" s="16">
        <f t="shared" si="41"/>
        <v>0</v>
      </c>
      <c r="S187" s="344"/>
      <c r="T187" s="16" t="s">
        <v>2237</v>
      </c>
      <c r="U187" s="16" t="s">
        <v>2238</v>
      </c>
      <c r="V187" s="355" t="s">
        <v>2239</v>
      </c>
      <c r="W187" s="355" t="s">
        <v>2239</v>
      </c>
      <c r="X187" s="344" t="s">
        <v>3148</v>
      </c>
      <c r="Y187" s="344" t="s">
        <v>1978</v>
      </c>
      <c r="Z187" s="344"/>
      <c r="AA187" s="390"/>
      <c r="AB187" s="417" t="s">
        <v>3169</v>
      </c>
      <c r="AC187" s="390"/>
      <c r="AD187" s="390"/>
      <c r="AE187" s="390"/>
      <c r="AF187" s="390"/>
      <c r="AG187" s="390"/>
      <c r="AH187" s="384"/>
      <c r="AI187" s="384"/>
      <c r="AJ187" s="384"/>
      <c r="AK187" s="384"/>
      <c r="AL187" s="384"/>
    </row>
    <row r="188" spans="1:38" x14ac:dyDescent="0.3">
      <c r="A188" s="344" t="str">
        <f>'Reference Score Calculation'!A179</f>
        <v>JS4501</v>
      </c>
      <c r="B188" s="344" t="str">
        <f>'Reference Score Calculation'!D179</f>
        <v>內外全科醫學士課程</v>
      </c>
      <c r="C188" s="355" t="s">
        <v>3172</v>
      </c>
      <c r="D188" s="380">
        <v>3</v>
      </c>
      <c r="E188" s="380">
        <v>4</v>
      </c>
      <c r="F188" s="380">
        <v>3</v>
      </c>
      <c r="G188" s="380">
        <v>3</v>
      </c>
      <c r="H188" s="380">
        <v>3</v>
      </c>
      <c r="I188" s="380">
        <v>3</v>
      </c>
      <c r="K188" s="355">
        <f t="shared" si="42"/>
        <v>0</v>
      </c>
      <c r="L188" s="355">
        <f t="shared" si="43"/>
        <v>0</v>
      </c>
      <c r="M188" s="355">
        <f t="shared" si="44"/>
        <v>0</v>
      </c>
      <c r="N188" s="355">
        <f t="shared" si="45"/>
        <v>0</v>
      </c>
      <c r="O188" s="376">
        <f>IF(H188&gt;$AI$169,0,1)</f>
        <v>0</v>
      </c>
      <c r="P188" s="355">
        <f t="shared" si="49"/>
        <v>0</v>
      </c>
      <c r="Q188" s="16"/>
      <c r="R188" s="16">
        <f t="shared" si="41"/>
        <v>0</v>
      </c>
      <c r="S188" s="344"/>
      <c r="T188" s="16" t="s">
        <v>2237</v>
      </c>
      <c r="U188" s="16" t="s">
        <v>2238</v>
      </c>
      <c r="V188" s="355" t="s">
        <v>2239</v>
      </c>
      <c r="W188" s="355" t="s">
        <v>2239</v>
      </c>
      <c r="X188" s="358" t="s">
        <v>2936</v>
      </c>
      <c r="Y188" s="344" t="s">
        <v>1978</v>
      </c>
      <c r="Z188" s="344"/>
      <c r="AA188" s="390"/>
      <c r="AB188" s="390"/>
      <c r="AC188" s="390"/>
      <c r="AD188" s="390"/>
      <c r="AE188" s="390"/>
      <c r="AF188" s="390"/>
      <c r="AG188" s="390"/>
      <c r="AH188" s="384"/>
      <c r="AI188" s="384"/>
      <c r="AJ188" s="384"/>
      <c r="AK188" s="384"/>
      <c r="AL188" s="384"/>
    </row>
    <row r="189" spans="1:38" x14ac:dyDescent="0.3">
      <c r="A189" s="344" t="str">
        <f>'Reference Score Calculation'!A180</f>
        <v>JS4502</v>
      </c>
      <c r="B189" s="344" t="str">
        <f>'Reference Score Calculation'!D180</f>
        <v>內外全科醫學士課程環球醫學領袖培訓專修組別</v>
      </c>
      <c r="C189" s="355" t="s">
        <v>3173</v>
      </c>
      <c r="D189" s="380">
        <v>3</v>
      </c>
      <c r="E189" s="380">
        <v>4</v>
      </c>
      <c r="F189" s="380">
        <v>3</v>
      </c>
      <c r="G189" s="380">
        <v>3</v>
      </c>
      <c r="H189" s="380">
        <v>3</v>
      </c>
      <c r="I189" s="380">
        <v>3</v>
      </c>
      <c r="K189" s="355">
        <f t="shared" si="42"/>
        <v>0</v>
      </c>
      <c r="L189" s="355">
        <f t="shared" si="43"/>
        <v>0</v>
      </c>
      <c r="M189" s="355">
        <f t="shared" si="44"/>
        <v>0</v>
      </c>
      <c r="N189" s="355">
        <f t="shared" si="45"/>
        <v>0</v>
      </c>
      <c r="O189" s="376">
        <f>IF(H189&gt;$AI$169,0,1)</f>
        <v>0</v>
      </c>
      <c r="P189" s="355">
        <f t="shared" si="49"/>
        <v>0</v>
      </c>
      <c r="Q189" s="16"/>
      <c r="R189" s="16">
        <f>K189*L189*M189*N189*O189*P189*AI194</f>
        <v>0</v>
      </c>
      <c r="S189" s="344"/>
      <c r="T189" s="16" t="s">
        <v>2237</v>
      </c>
      <c r="U189" s="16" t="s">
        <v>2238</v>
      </c>
      <c r="V189" s="355" t="s">
        <v>2239</v>
      </c>
      <c r="W189" s="355" t="s">
        <v>2239</v>
      </c>
      <c r="X189" s="358" t="s">
        <v>2936</v>
      </c>
      <c r="Y189" s="344" t="s">
        <v>3174</v>
      </c>
      <c r="Z189" s="344" t="s">
        <v>1978</v>
      </c>
      <c r="AA189" s="390"/>
      <c r="AB189" s="390" t="str">
        <f t="shared" ref="AB189:AK190" si="50">D2</f>
        <v>中國語文</v>
      </c>
      <c r="AC189" s="390" t="str">
        <f t="shared" si="50"/>
        <v>英國語文</v>
      </c>
      <c r="AD189" s="390" t="str">
        <f t="shared" si="50"/>
        <v>數學</v>
      </c>
      <c r="AE189" s="390" t="str">
        <f t="shared" si="50"/>
        <v>通識教育</v>
      </c>
      <c r="AF189" s="390" t="str">
        <f t="shared" si="50"/>
        <v>數學延伸</v>
      </c>
      <c r="AG189" s="390" t="str">
        <f t="shared" si="50"/>
        <v>請選擇第一選修科</v>
      </c>
      <c r="AH189" s="390" t="str">
        <f t="shared" si="50"/>
        <v>請選擇第二選修科</v>
      </c>
      <c r="AI189" s="390" t="str">
        <f t="shared" si="50"/>
        <v>請選擇第三選修科</v>
      </c>
      <c r="AJ189" s="390" t="str">
        <f t="shared" si="50"/>
        <v>請選擇第四選修科</v>
      </c>
      <c r="AK189" s="390" t="str">
        <f t="shared" si="50"/>
        <v>請選擇語言科目</v>
      </c>
      <c r="AL189" s="384"/>
    </row>
    <row r="190" spans="1:38" x14ac:dyDescent="0.3">
      <c r="A190" s="344" t="str">
        <f>'Reference Score Calculation'!A181</f>
        <v>JS4513</v>
      </c>
      <c r="B190" s="344" t="str">
        <f>'Reference Score Calculation'!D181</f>
        <v>護理學</v>
      </c>
      <c r="C190" s="355">
        <v>217</v>
      </c>
      <c r="D190" s="380">
        <v>3</v>
      </c>
      <c r="E190" s="380">
        <v>3</v>
      </c>
      <c r="F190" s="380">
        <v>2</v>
      </c>
      <c r="G190" s="380">
        <v>2</v>
      </c>
      <c r="H190" s="380">
        <v>3</v>
      </c>
      <c r="I190" s="380">
        <v>3</v>
      </c>
      <c r="K190" s="355">
        <f t="shared" si="42"/>
        <v>0</v>
      </c>
      <c r="L190" s="355">
        <f t="shared" si="43"/>
        <v>0</v>
      </c>
      <c r="M190" s="355">
        <f t="shared" si="44"/>
        <v>0</v>
      </c>
      <c r="N190" s="355">
        <f t="shared" si="45"/>
        <v>0</v>
      </c>
      <c r="O190" s="355">
        <f t="shared" si="46"/>
        <v>0</v>
      </c>
      <c r="P190" s="355">
        <f t="shared" si="49"/>
        <v>0</v>
      </c>
      <c r="Q190" s="16"/>
      <c r="R190" s="16">
        <f t="shared" si="41"/>
        <v>0</v>
      </c>
      <c r="S190" s="344"/>
      <c r="T190" s="16" t="s">
        <v>2237</v>
      </c>
      <c r="U190" s="16" t="s">
        <v>2238</v>
      </c>
      <c r="V190" s="355" t="s">
        <v>2239</v>
      </c>
      <c r="W190" s="355" t="s">
        <v>2237</v>
      </c>
      <c r="X190" s="344" t="s">
        <v>1978</v>
      </c>
      <c r="Y190" s="344" t="s">
        <v>1978</v>
      </c>
      <c r="Z190" s="344"/>
      <c r="AA190" s="390" t="s">
        <v>3175</v>
      </c>
      <c r="AB190" s="403">
        <f t="shared" si="50"/>
        <v>1E-10</v>
      </c>
      <c r="AC190" s="403">
        <f t="shared" si="50"/>
        <v>2.0000000000000001E-10</v>
      </c>
      <c r="AD190" s="403">
        <f t="shared" si="50"/>
        <v>3E-10</v>
      </c>
      <c r="AE190" s="403">
        <f t="shared" si="50"/>
        <v>4.0000000000000001E-10</v>
      </c>
      <c r="AF190" s="403">
        <f t="shared" si="50"/>
        <v>5.0000000000000003E-10</v>
      </c>
      <c r="AG190" s="403">
        <f t="shared" si="50"/>
        <v>6E-10</v>
      </c>
      <c r="AH190" s="403">
        <f t="shared" si="50"/>
        <v>6.9999999999999996E-10</v>
      </c>
      <c r="AI190" s="403">
        <f t="shared" si="50"/>
        <v>8.0000000000000003E-10</v>
      </c>
      <c r="AJ190" s="403">
        <f t="shared" si="50"/>
        <v>8.9999999999999999E-10</v>
      </c>
      <c r="AK190" s="403">
        <f t="shared" si="50"/>
        <v>0</v>
      </c>
      <c r="AL190" s="384"/>
    </row>
    <row r="191" spans="1:38" x14ac:dyDescent="0.3">
      <c r="A191" s="344" t="str">
        <f>'Reference Score Calculation'!A182</f>
        <v>JS4525</v>
      </c>
      <c r="B191" s="344" t="str">
        <f>'Reference Score Calculation'!D182</f>
        <v>藥劑學</v>
      </c>
      <c r="C191" s="355">
        <v>59</v>
      </c>
      <c r="D191" s="380">
        <v>3</v>
      </c>
      <c r="E191" s="380">
        <v>3</v>
      </c>
      <c r="F191" s="380">
        <v>3</v>
      </c>
      <c r="G191" s="380">
        <v>3</v>
      </c>
      <c r="H191" s="380">
        <v>3</v>
      </c>
      <c r="I191" s="380">
        <v>3</v>
      </c>
      <c r="K191" s="355">
        <f t="shared" si="42"/>
        <v>0</v>
      </c>
      <c r="L191" s="355">
        <f t="shared" si="43"/>
        <v>0</v>
      </c>
      <c r="M191" s="355">
        <f t="shared" si="44"/>
        <v>0</v>
      </c>
      <c r="N191" s="355">
        <f t="shared" si="45"/>
        <v>0</v>
      </c>
      <c r="O191" s="355">
        <f t="shared" si="46"/>
        <v>0</v>
      </c>
      <c r="P191" s="355">
        <f t="shared" si="49"/>
        <v>0</v>
      </c>
      <c r="Q191" s="16"/>
      <c r="R191" s="16">
        <f t="shared" si="41"/>
        <v>0</v>
      </c>
      <c r="S191" s="344"/>
      <c r="T191" s="16" t="s">
        <v>2237</v>
      </c>
      <c r="U191" s="16" t="s">
        <v>2238</v>
      </c>
      <c r="V191" s="355" t="s">
        <v>2239</v>
      </c>
      <c r="W191" s="355" t="s">
        <v>2239</v>
      </c>
      <c r="X191" s="344" t="s">
        <v>1978</v>
      </c>
      <c r="Y191" s="344" t="s">
        <v>1978</v>
      </c>
      <c r="Z191" s="344"/>
      <c r="AA191" s="397" t="s">
        <v>3178</v>
      </c>
      <c r="AB191" s="390" t="b">
        <f>IF(AB190&gt;LARGE($AB$190:$AK$190,8),TRUE)</f>
        <v>0</v>
      </c>
      <c r="AC191" s="390" t="b">
        <f t="shared" ref="AC191:AK191" si="51">IF(AC190&gt;LARGE($AB$190:$AK$190,8),TRUE)</f>
        <v>0</v>
      </c>
      <c r="AD191" s="390" t="b">
        <f t="shared" si="51"/>
        <v>1</v>
      </c>
      <c r="AE191" s="390" t="b">
        <f t="shared" si="51"/>
        <v>1</v>
      </c>
      <c r="AF191" s="390" t="b">
        <f t="shared" si="51"/>
        <v>1</v>
      </c>
      <c r="AG191" s="390" t="b">
        <f t="shared" si="51"/>
        <v>1</v>
      </c>
      <c r="AH191" s="390" t="b">
        <f t="shared" si="51"/>
        <v>1</v>
      </c>
      <c r="AI191" s="390" t="b">
        <f t="shared" si="51"/>
        <v>1</v>
      </c>
      <c r="AJ191" s="390" t="b">
        <f t="shared" si="51"/>
        <v>1</v>
      </c>
      <c r="AK191" s="390" t="b">
        <f t="shared" si="51"/>
        <v>0</v>
      </c>
      <c r="AL191" s="384"/>
    </row>
    <row r="192" spans="1:38" x14ac:dyDescent="0.3">
      <c r="A192" s="344" t="str">
        <f>'Reference Score Calculation'!A183</f>
        <v>JS4537</v>
      </c>
      <c r="B192" s="344" t="str">
        <f>'Reference Score Calculation'!D183</f>
        <v>公共衞生</v>
      </c>
      <c r="C192" s="355">
        <v>31</v>
      </c>
      <c r="D192" s="380">
        <v>3</v>
      </c>
      <c r="E192" s="380">
        <v>3</v>
      </c>
      <c r="F192" s="380">
        <v>2</v>
      </c>
      <c r="G192" s="380">
        <v>2</v>
      </c>
      <c r="H192" s="380">
        <v>3</v>
      </c>
      <c r="I192" s="380">
        <v>3</v>
      </c>
      <c r="K192" s="355">
        <f t="shared" si="42"/>
        <v>0</v>
      </c>
      <c r="L192" s="355">
        <f t="shared" si="43"/>
        <v>0</v>
      </c>
      <c r="M192" s="355">
        <f t="shared" si="44"/>
        <v>0</v>
      </c>
      <c r="N192" s="355">
        <f t="shared" si="45"/>
        <v>0</v>
      </c>
      <c r="O192" s="355">
        <f t="shared" si="46"/>
        <v>0</v>
      </c>
      <c r="P192" s="355">
        <f t="shared" si="49"/>
        <v>0</v>
      </c>
      <c r="Q192" s="16"/>
      <c r="R192" s="16">
        <f t="shared" si="41"/>
        <v>0</v>
      </c>
      <c r="S192" s="344"/>
      <c r="T192" s="16" t="s">
        <v>2237</v>
      </c>
      <c r="U192" s="16" t="s">
        <v>2238</v>
      </c>
      <c r="V192" s="355" t="s">
        <v>2239</v>
      </c>
      <c r="W192" s="355" t="s">
        <v>2237</v>
      </c>
      <c r="X192" s="344" t="s">
        <v>1978</v>
      </c>
      <c r="Y192" s="344" t="s">
        <v>1978</v>
      </c>
      <c r="Z192" s="344"/>
      <c r="AA192" s="397" t="s">
        <v>3179</v>
      </c>
      <c r="AB192" s="390" t="b">
        <f>IF(AB190&gt;7,TRUE)</f>
        <v>0</v>
      </c>
      <c r="AC192" s="390" t="b">
        <f t="shared" ref="AC192:AK192" si="52">IF(AC190&gt;7,TRUE)</f>
        <v>0</v>
      </c>
      <c r="AD192" s="390" t="b">
        <f t="shared" si="52"/>
        <v>0</v>
      </c>
      <c r="AE192" s="390" t="b">
        <f t="shared" si="52"/>
        <v>0</v>
      </c>
      <c r="AF192" s="390" t="b">
        <f t="shared" si="52"/>
        <v>0</v>
      </c>
      <c r="AG192" s="390" t="b">
        <f t="shared" si="52"/>
        <v>0</v>
      </c>
      <c r="AH192" s="390" t="b">
        <f t="shared" si="52"/>
        <v>0</v>
      </c>
      <c r="AI192" s="390" t="b">
        <f t="shared" si="52"/>
        <v>0</v>
      </c>
      <c r="AJ192" s="390" t="b">
        <f t="shared" si="52"/>
        <v>0</v>
      </c>
      <c r="AK192" s="390" t="b">
        <f t="shared" si="52"/>
        <v>0</v>
      </c>
      <c r="AL192" s="384"/>
    </row>
    <row r="193" spans="1:38" x14ac:dyDescent="0.3">
      <c r="A193" s="344" t="str">
        <f>'Reference Score Calculation'!A184</f>
        <v>JS4542</v>
      </c>
      <c r="B193" s="344" t="str">
        <f>'Reference Score Calculation'!D184</f>
        <v>中醫學</v>
      </c>
      <c r="C193" s="355">
        <v>20</v>
      </c>
      <c r="D193" s="380">
        <v>3</v>
      </c>
      <c r="E193" s="380">
        <v>3</v>
      </c>
      <c r="F193" s="380">
        <v>2</v>
      </c>
      <c r="G193" s="380">
        <v>2</v>
      </c>
      <c r="H193" s="380">
        <v>3</v>
      </c>
      <c r="I193" s="380">
        <v>3</v>
      </c>
      <c r="K193" s="355">
        <f t="shared" si="42"/>
        <v>0</v>
      </c>
      <c r="L193" s="355">
        <f t="shared" si="43"/>
        <v>0</v>
      </c>
      <c r="M193" s="355">
        <f t="shared" si="44"/>
        <v>0</v>
      </c>
      <c r="N193" s="355">
        <f t="shared" si="45"/>
        <v>0</v>
      </c>
      <c r="O193" s="355">
        <f t="shared" si="46"/>
        <v>0</v>
      </c>
      <c r="P193" s="355">
        <f t="shared" si="49"/>
        <v>0</v>
      </c>
      <c r="Q193" s="16"/>
      <c r="R193" s="16">
        <f t="shared" si="41"/>
        <v>0</v>
      </c>
      <c r="S193" s="344"/>
      <c r="T193" s="16" t="s">
        <v>2237</v>
      </c>
      <c r="U193" s="16" t="s">
        <v>2238</v>
      </c>
      <c r="V193" s="355" t="s">
        <v>2239</v>
      </c>
      <c r="W193" s="355" t="s">
        <v>2237</v>
      </c>
      <c r="X193" s="344" t="s">
        <v>1978</v>
      </c>
      <c r="Y193" s="344" t="s">
        <v>1978</v>
      </c>
      <c r="Z193" s="344"/>
      <c r="AA193" s="390"/>
      <c r="AB193" s="390"/>
      <c r="AC193" s="390"/>
      <c r="AD193" s="390"/>
      <c r="AE193" s="390"/>
      <c r="AF193" s="390"/>
      <c r="AG193" s="390"/>
      <c r="AH193" s="384"/>
      <c r="AI193" s="384"/>
      <c r="AJ193" s="384"/>
      <c r="AK193" s="384"/>
      <c r="AL193" s="384"/>
    </row>
    <row r="194" spans="1:38" x14ac:dyDescent="0.3">
      <c r="A194" s="344" t="str">
        <f>'Reference Score Calculation'!A185</f>
        <v>JS4550</v>
      </c>
      <c r="B194" s="344" t="str">
        <f>'Reference Score Calculation'!D185</f>
        <v>生物醫學</v>
      </c>
      <c r="C194" s="355">
        <v>19</v>
      </c>
      <c r="D194" s="380">
        <v>3</v>
      </c>
      <c r="E194" s="380">
        <v>3</v>
      </c>
      <c r="F194" s="380">
        <v>3</v>
      </c>
      <c r="G194" s="380">
        <v>2</v>
      </c>
      <c r="H194" s="380">
        <v>3</v>
      </c>
      <c r="I194" s="380">
        <v>3</v>
      </c>
      <c r="K194" s="355">
        <f t="shared" si="42"/>
        <v>0</v>
      </c>
      <c r="L194" s="355">
        <f t="shared" si="43"/>
        <v>0</v>
      </c>
      <c r="M194" s="355">
        <f t="shared" si="44"/>
        <v>0</v>
      </c>
      <c r="N194" s="355">
        <f t="shared" si="45"/>
        <v>0</v>
      </c>
      <c r="O194" s="376">
        <f>IF(H194&gt;$AI$169,0,1)</f>
        <v>0</v>
      </c>
      <c r="P194" s="355">
        <f>IF(I194&gt;LARGE($H$3:$L$3,2),0,1)</f>
        <v>0</v>
      </c>
      <c r="Q194" s="16"/>
      <c r="R194" s="16">
        <f t="shared" si="41"/>
        <v>0</v>
      </c>
      <c r="S194" s="344"/>
      <c r="T194" s="16" t="s">
        <v>2237</v>
      </c>
      <c r="U194" s="16" t="s">
        <v>2239</v>
      </c>
      <c r="V194" s="355" t="s">
        <v>2239</v>
      </c>
      <c r="W194" s="355" t="s">
        <v>2237</v>
      </c>
      <c r="X194" s="358" t="s">
        <v>2936</v>
      </c>
      <c r="Y194" s="344" t="s">
        <v>1978</v>
      </c>
      <c r="Z194" s="344"/>
      <c r="AA194" s="390"/>
      <c r="AB194" s="390" t="s">
        <v>3176</v>
      </c>
      <c r="AC194" s="403">
        <f>IF(SUMIF(AB191:AK191,TRUE,AB190:AK190)&lt;46,0,1)</f>
        <v>0</v>
      </c>
      <c r="AD194" s="390"/>
      <c r="AE194" s="390" t="s">
        <v>3177</v>
      </c>
      <c r="AF194" s="403">
        <f>IF(COUNTIF(AB192:AK192,TRUE)&lt;4,0,1)</f>
        <v>0</v>
      </c>
      <c r="AG194" s="390"/>
      <c r="AH194" s="384" t="s">
        <v>3180</v>
      </c>
      <c r="AI194" s="395">
        <f>AC194*AF194</f>
        <v>0</v>
      </c>
      <c r="AJ194" s="384"/>
      <c r="AK194" s="384"/>
      <c r="AL194" s="384"/>
    </row>
    <row r="195" spans="1:38" x14ac:dyDescent="0.3">
      <c r="A195" s="344" t="str">
        <f>'Reference Score Calculation'!A186</f>
        <v>JS4601</v>
      </c>
      <c r="B195" s="344" t="str">
        <f>'Reference Score Calculation'!D186</f>
        <v>理學</v>
      </c>
      <c r="C195" s="355">
        <v>352</v>
      </c>
      <c r="D195" s="380">
        <v>3</v>
      </c>
      <c r="E195" s="380">
        <v>3</v>
      </c>
      <c r="F195" s="380">
        <v>2</v>
      </c>
      <c r="G195" s="380">
        <v>2</v>
      </c>
      <c r="H195" s="380">
        <v>3</v>
      </c>
      <c r="I195" s="380">
        <v>3</v>
      </c>
      <c r="K195" s="355">
        <f t="shared" si="42"/>
        <v>0</v>
      </c>
      <c r="L195" s="355">
        <f t="shared" si="43"/>
        <v>0</v>
      </c>
      <c r="M195" s="355">
        <f t="shared" si="44"/>
        <v>0</v>
      </c>
      <c r="N195" s="355">
        <f t="shared" si="45"/>
        <v>0</v>
      </c>
      <c r="O195" s="376">
        <f>IF(H195&gt;$AI$173,0,1)</f>
        <v>0</v>
      </c>
      <c r="P195" s="355">
        <f t="shared" ref="P195:P196" si="53">IF(I195&gt;LARGE($H$3:$L$3,2),0,1)</f>
        <v>0</v>
      </c>
      <c r="Q195" s="16"/>
      <c r="R195" s="16">
        <f t="shared" si="41"/>
        <v>0</v>
      </c>
      <c r="S195" s="344"/>
      <c r="T195" s="16" t="s">
        <v>2237</v>
      </c>
      <c r="U195" s="355" t="s">
        <v>2239</v>
      </c>
      <c r="V195" s="355" t="s">
        <v>2239</v>
      </c>
      <c r="W195" s="355" t="s">
        <v>2237</v>
      </c>
      <c r="X195" s="358" t="s">
        <v>3149</v>
      </c>
      <c r="Y195" s="344" t="s">
        <v>1978</v>
      </c>
      <c r="Z195" s="344"/>
      <c r="AA195" s="390"/>
      <c r="AB195" s="390"/>
      <c r="AC195" s="390"/>
      <c r="AD195" s="390"/>
      <c r="AE195" s="390"/>
      <c r="AF195" s="390"/>
      <c r="AG195" s="390"/>
      <c r="AH195" s="384"/>
      <c r="AI195" s="384"/>
      <c r="AJ195" s="384"/>
      <c r="AK195" s="384"/>
      <c r="AL195" s="384"/>
    </row>
    <row r="196" spans="1:38" x14ac:dyDescent="0.3">
      <c r="A196" s="344" t="str">
        <f>'Reference Score Calculation'!A187</f>
        <v>JS4648</v>
      </c>
      <c r="B196" s="344" t="str">
        <f>'Reference Score Calculation'!D187</f>
        <v>地球與環境科學</v>
      </c>
      <c r="C196" s="355">
        <v>35</v>
      </c>
      <c r="D196" s="380">
        <v>3</v>
      </c>
      <c r="E196" s="380">
        <v>3</v>
      </c>
      <c r="F196" s="380">
        <v>3</v>
      </c>
      <c r="G196" s="380">
        <v>2</v>
      </c>
      <c r="H196" s="380">
        <v>4</v>
      </c>
      <c r="I196" s="380">
        <v>3</v>
      </c>
      <c r="K196" s="355">
        <f t="shared" si="42"/>
        <v>0</v>
      </c>
      <c r="L196" s="355">
        <f t="shared" si="43"/>
        <v>0</v>
      </c>
      <c r="M196" s="355">
        <f t="shared" si="44"/>
        <v>0</v>
      </c>
      <c r="N196" s="355">
        <f t="shared" si="45"/>
        <v>0</v>
      </c>
      <c r="O196" s="376">
        <f>IF(H196&gt;$AI$177,0,1)</f>
        <v>0</v>
      </c>
      <c r="P196" s="355">
        <f t="shared" si="53"/>
        <v>0</v>
      </c>
      <c r="Q196" s="16"/>
      <c r="R196" s="16">
        <f t="shared" si="41"/>
        <v>0</v>
      </c>
      <c r="S196" s="344"/>
      <c r="T196" s="16" t="s">
        <v>2237</v>
      </c>
      <c r="U196" s="355" t="s">
        <v>2239</v>
      </c>
      <c r="V196" s="355" t="s">
        <v>2239</v>
      </c>
      <c r="W196" s="355" t="s">
        <v>2239</v>
      </c>
      <c r="X196" s="358" t="s">
        <v>3171</v>
      </c>
      <c r="Y196" s="344" t="s">
        <v>1978</v>
      </c>
      <c r="Z196" s="344"/>
      <c r="AA196" s="390"/>
      <c r="AB196" s="390"/>
      <c r="AC196" s="390"/>
      <c r="AD196" s="390"/>
      <c r="AE196" s="390"/>
      <c r="AF196" s="390"/>
      <c r="AG196" s="390"/>
      <c r="AH196" s="384"/>
      <c r="AI196" s="384"/>
      <c r="AJ196" s="384"/>
      <c r="AK196" s="384"/>
      <c r="AL196" s="384"/>
    </row>
    <row r="197" spans="1:38" x14ac:dyDescent="0.3">
      <c r="A197" s="344" t="str">
        <f>'Reference Score Calculation'!A188</f>
        <v>JS4682</v>
      </c>
      <c r="B197" s="344" t="str">
        <f>'Reference Score Calculation'!D188</f>
        <v>數學精研</v>
      </c>
      <c r="C197" s="355">
        <v>27</v>
      </c>
      <c r="D197" s="380">
        <v>3</v>
      </c>
      <c r="E197" s="380">
        <v>3</v>
      </c>
      <c r="F197" s="380">
        <v>4</v>
      </c>
      <c r="G197" s="380">
        <v>2</v>
      </c>
      <c r="H197" s="380">
        <v>3</v>
      </c>
      <c r="I197" s="380">
        <v>4</v>
      </c>
      <c r="K197" s="355">
        <f t="shared" si="42"/>
        <v>0</v>
      </c>
      <c r="L197" s="355">
        <f t="shared" si="43"/>
        <v>0</v>
      </c>
      <c r="M197" s="355">
        <f t="shared" si="44"/>
        <v>0</v>
      </c>
      <c r="N197" s="355">
        <f t="shared" si="45"/>
        <v>0</v>
      </c>
      <c r="O197" s="376">
        <f>IF(H197&gt;$AI$181,0,1)</f>
        <v>0</v>
      </c>
      <c r="P197" s="355">
        <f>IF(I197&gt;H3,0,1)</f>
        <v>0</v>
      </c>
      <c r="Q197" s="16"/>
      <c r="R197" s="16">
        <f t="shared" ref="R197:R215" si="54">K197*L197*M197*N197*O197*P197</f>
        <v>0</v>
      </c>
      <c r="S197" s="344"/>
      <c r="T197" s="16" t="s">
        <v>2237</v>
      </c>
      <c r="U197" s="16" t="s">
        <v>2238</v>
      </c>
      <c r="V197" s="355" t="s">
        <v>2239</v>
      </c>
      <c r="W197" s="355" t="s">
        <v>2239</v>
      </c>
      <c r="X197" s="358" t="s">
        <v>3150</v>
      </c>
      <c r="Y197" s="344" t="s">
        <v>3327</v>
      </c>
      <c r="Z197" s="344"/>
      <c r="AA197" s="390"/>
      <c r="AB197" s="390"/>
      <c r="AC197" s="390"/>
      <c r="AD197" s="390"/>
      <c r="AE197" s="390"/>
      <c r="AF197" s="390"/>
      <c r="AG197" s="390"/>
      <c r="AH197" s="384"/>
      <c r="AI197" s="384"/>
      <c r="AJ197" s="384"/>
      <c r="AK197" s="384"/>
      <c r="AL197" s="384"/>
    </row>
    <row r="198" spans="1:38" x14ac:dyDescent="0.3">
      <c r="A198" s="344" t="str">
        <f>'Reference Score Calculation'!A189</f>
        <v>JS4690</v>
      </c>
      <c r="B198" s="344" t="str">
        <f>'Reference Score Calculation'!D189</f>
        <v>理論物理精研</v>
      </c>
      <c r="C198" s="355">
        <v>20</v>
      </c>
      <c r="D198" s="380">
        <v>3</v>
      </c>
      <c r="E198" s="380">
        <v>3</v>
      </c>
      <c r="F198" s="380">
        <v>2</v>
      </c>
      <c r="G198" s="380">
        <v>2</v>
      </c>
      <c r="H198" s="380">
        <v>4</v>
      </c>
      <c r="I198" s="380">
        <v>3</v>
      </c>
      <c r="K198" s="355">
        <f t="shared" si="42"/>
        <v>0</v>
      </c>
      <c r="L198" s="355">
        <f t="shared" si="43"/>
        <v>0</v>
      </c>
      <c r="M198" s="355">
        <f t="shared" si="44"/>
        <v>0</v>
      </c>
      <c r="N198" s="355">
        <f t="shared" si="45"/>
        <v>0</v>
      </c>
      <c r="O198" s="355">
        <f>IF(H198&gt;$AK$185,0,1)</f>
        <v>0</v>
      </c>
      <c r="P198" s="355">
        <f>IF(I198&gt;$AI$185,0,1)</f>
        <v>0</v>
      </c>
      <c r="Q198" s="16"/>
      <c r="R198" s="16">
        <f t="shared" si="54"/>
        <v>0</v>
      </c>
      <c r="S198" s="344"/>
      <c r="T198" s="16" t="s">
        <v>2237</v>
      </c>
      <c r="U198" s="16" t="s">
        <v>2238</v>
      </c>
      <c r="V198" s="355" t="s">
        <v>2239</v>
      </c>
      <c r="W198" s="355" t="s">
        <v>2239</v>
      </c>
      <c r="X198" s="344" t="s">
        <v>3326</v>
      </c>
      <c r="Y198" s="358" t="s">
        <v>3151</v>
      </c>
      <c r="Z198" s="344"/>
      <c r="AA198" s="390"/>
      <c r="AB198" s="390"/>
      <c r="AC198" s="390"/>
      <c r="AD198" s="390"/>
      <c r="AE198" s="390"/>
      <c r="AF198" s="390"/>
      <c r="AG198" s="390"/>
      <c r="AH198" s="384"/>
      <c r="AI198" s="384"/>
      <c r="AJ198" s="384"/>
      <c r="AK198" s="384"/>
      <c r="AL198" s="384"/>
    </row>
    <row r="199" spans="1:38" x14ac:dyDescent="0.3">
      <c r="A199" s="344" t="str">
        <f>'Reference Score Calculation'!A190</f>
        <v>JS4719</v>
      </c>
      <c r="B199" s="344" t="str">
        <f>'Reference Score Calculation'!D190</f>
        <v>風險管理科學</v>
      </c>
      <c r="C199" s="355">
        <v>25</v>
      </c>
      <c r="D199" s="380">
        <v>3</v>
      </c>
      <c r="E199" s="380">
        <v>3</v>
      </c>
      <c r="F199" s="380">
        <v>2</v>
      </c>
      <c r="G199" s="380">
        <v>2</v>
      </c>
      <c r="H199" s="380">
        <v>3</v>
      </c>
      <c r="I199" s="380">
        <v>3</v>
      </c>
      <c r="K199" s="355">
        <f t="shared" si="42"/>
        <v>0</v>
      </c>
      <c r="L199" s="355">
        <f t="shared" si="43"/>
        <v>0</v>
      </c>
      <c r="M199" s="355">
        <f t="shared" si="44"/>
        <v>0</v>
      </c>
      <c r="N199" s="355">
        <f t="shared" si="45"/>
        <v>0</v>
      </c>
      <c r="O199" s="355">
        <f>IF(H199&gt;LARGE($I$3:$L$3,1),0,1)</f>
        <v>0</v>
      </c>
      <c r="P199" s="355">
        <f>IF(I199&gt;H3,0,1)</f>
        <v>0</v>
      </c>
      <c r="Q199" s="16"/>
      <c r="R199" s="16">
        <f t="shared" si="54"/>
        <v>0</v>
      </c>
      <c r="S199" s="344"/>
      <c r="T199" s="16" t="s">
        <v>2237</v>
      </c>
      <c r="U199" s="16" t="s">
        <v>2238</v>
      </c>
      <c r="V199" s="355" t="s">
        <v>2239</v>
      </c>
      <c r="W199" s="355" t="s">
        <v>2237</v>
      </c>
      <c r="X199" s="344" t="s">
        <v>3144</v>
      </c>
      <c r="Y199" s="344" t="s">
        <v>1978</v>
      </c>
      <c r="Z199" s="344"/>
      <c r="AA199" s="390"/>
      <c r="AB199" s="390"/>
      <c r="AC199" s="390"/>
      <c r="AD199" s="390"/>
      <c r="AE199" s="390"/>
      <c r="AF199" s="390"/>
      <c r="AG199" s="390"/>
      <c r="AH199" s="384"/>
      <c r="AI199" s="384"/>
      <c r="AJ199" s="384"/>
      <c r="AK199" s="384"/>
      <c r="AL199" s="384"/>
    </row>
    <row r="200" spans="1:38" x14ac:dyDescent="0.3">
      <c r="A200" s="344" t="str">
        <f>'Reference Score Calculation'!A191</f>
        <v>JS4725</v>
      </c>
      <c r="B200" s="344" t="str">
        <f>'Reference Score Calculation'!D191</f>
        <v>生物科技、創業與醫療管理</v>
      </c>
      <c r="C200" s="355">
        <v>15</v>
      </c>
      <c r="D200" s="380">
        <v>3</v>
      </c>
      <c r="E200" s="380">
        <v>4</v>
      </c>
      <c r="F200" s="380">
        <v>3</v>
      </c>
      <c r="G200" s="380">
        <v>2</v>
      </c>
      <c r="H200" s="380">
        <v>3</v>
      </c>
      <c r="I200" s="380">
        <v>3</v>
      </c>
      <c r="K200" s="355">
        <f t="shared" si="42"/>
        <v>0</v>
      </c>
      <c r="L200" s="355">
        <f t="shared" si="43"/>
        <v>0</v>
      </c>
      <c r="M200" s="355">
        <f t="shared" si="44"/>
        <v>0</v>
      </c>
      <c r="N200" s="355">
        <f t="shared" si="45"/>
        <v>0</v>
      </c>
      <c r="O200" s="355">
        <f>IF(H200&gt;AI169,0,1)</f>
        <v>0</v>
      </c>
      <c r="P200" s="355">
        <f>IF(I200&gt;LARGE($H$3:$M$3,2),0,1)</f>
        <v>0</v>
      </c>
      <c r="Q200" s="16"/>
      <c r="R200" s="16">
        <f t="shared" si="54"/>
        <v>0</v>
      </c>
      <c r="S200" s="344"/>
      <c r="T200" s="16" t="s">
        <v>2237</v>
      </c>
      <c r="U200" s="16" t="s">
        <v>2238</v>
      </c>
      <c r="V200" s="355" t="s">
        <v>2239</v>
      </c>
      <c r="W200" s="355" t="s">
        <v>2237</v>
      </c>
      <c r="X200" s="358" t="s">
        <v>2936</v>
      </c>
      <c r="Y200" s="344" t="s">
        <v>1978</v>
      </c>
      <c r="Z200" s="344"/>
      <c r="AA200" s="390"/>
      <c r="AB200" s="390"/>
      <c r="AC200" s="390"/>
      <c r="AD200" s="390"/>
      <c r="AE200" s="390"/>
      <c r="AF200" s="390"/>
      <c r="AG200" s="390"/>
      <c r="AH200" s="384"/>
      <c r="AI200" s="384"/>
      <c r="AJ200" s="384"/>
      <c r="AK200" s="384"/>
      <c r="AL200" s="384"/>
    </row>
    <row r="201" spans="1:38" x14ac:dyDescent="0.3">
      <c r="A201" s="344" t="str">
        <f>'Reference Score Calculation'!A192</f>
        <v>JS4733</v>
      </c>
      <c r="B201" s="344" t="str">
        <f>'Reference Score Calculation'!D192</f>
        <v>數學與信息工程學</v>
      </c>
      <c r="C201" s="355">
        <v>13</v>
      </c>
      <c r="D201" s="380">
        <v>3</v>
      </c>
      <c r="E201" s="380">
        <v>4</v>
      </c>
      <c r="F201" s="380">
        <v>5</v>
      </c>
      <c r="G201" s="380">
        <v>3</v>
      </c>
      <c r="H201" s="380">
        <v>5</v>
      </c>
      <c r="I201" s="380">
        <v>4</v>
      </c>
      <c r="K201" s="355">
        <f t="shared" si="42"/>
        <v>0</v>
      </c>
      <c r="L201" s="355">
        <f t="shared" si="43"/>
        <v>0</v>
      </c>
      <c r="M201" s="355">
        <f t="shared" si="44"/>
        <v>0</v>
      </c>
      <c r="N201" s="355">
        <f t="shared" si="45"/>
        <v>0</v>
      </c>
      <c r="O201" s="355">
        <f>IF(H201&gt;H3,0,1)</f>
        <v>0</v>
      </c>
      <c r="P201" s="355">
        <f t="shared" ref="P201:P215" si="55">IF(I201&gt;LARGE($H$3:$M$3,2),0,1)</f>
        <v>0</v>
      </c>
      <c r="Q201" s="16"/>
      <c r="R201" s="16">
        <f t="shared" si="54"/>
        <v>0</v>
      </c>
      <c r="S201" s="344"/>
      <c r="T201" s="16" t="s">
        <v>2237</v>
      </c>
      <c r="U201" s="16" t="s">
        <v>2238</v>
      </c>
      <c r="V201" s="355" t="s">
        <v>2239</v>
      </c>
      <c r="W201" s="355" t="s">
        <v>2239</v>
      </c>
      <c r="X201" s="344" t="s">
        <v>3152</v>
      </c>
      <c r="Y201" s="344" t="s">
        <v>1978</v>
      </c>
      <c r="Z201" s="344"/>
      <c r="AA201" s="390"/>
      <c r="AB201" s="390"/>
      <c r="AC201" s="390"/>
      <c r="AD201" s="390"/>
      <c r="AE201" s="390"/>
      <c r="AF201" s="390"/>
      <c r="AG201" s="390"/>
      <c r="AH201" s="384"/>
      <c r="AI201" s="384"/>
      <c r="AJ201" s="384"/>
      <c r="AK201" s="384"/>
      <c r="AL201" s="384"/>
    </row>
    <row r="202" spans="1:38" x14ac:dyDescent="0.3">
      <c r="A202" s="344" t="str">
        <f>'Reference Score Calculation'!A193</f>
        <v>JS4801</v>
      </c>
      <c r="B202" s="344" t="str">
        <f>'Reference Score Calculation'!D193</f>
        <v>社會科學</v>
      </c>
      <c r="C202" s="355">
        <v>63</v>
      </c>
      <c r="D202" s="380">
        <v>3</v>
      </c>
      <c r="E202" s="380">
        <v>3</v>
      </c>
      <c r="F202" s="380">
        <v>2</v>
      </c>
      <c r="G202" s="380">
        <v>2</v>
      </c>
      <c r="H202" s="380">
        <v>3</v>
      </c>
      <c r="I202" s="380">
        <v>3</v>
      </c>
      <c r="K202" s="355">
        <f t="shared" si="42"/>
        <v>0</v>
      </c>
      <c r="L202" s="355">
        <f t="shared" si="43"/>
        <v>0</v>
      </c>
      <c r="M202" s="355">
        <f t="shared" si="44"/>
        <v>0</v>
      </c>
      <c r="N202" s="355">
        <f t="shared" si="45"/>
        <v>0</v>
      </c>
      <c r="O202" s="355">
        <f t="shared" si="46"/>
        <v>0</v>
      </c>
      <c r="P202" s="355">
        <f t="shared" si="55"/>
        <v>0</v>
      </c>
      <c r="Q202" s="16"/>
      <c r="R202" s="16">
        <f t="shared" si="54"/>
        <v>0</v>
      </c>
      <c r="S202" s="344"/>
      <c r="T202" s="16" t="s">
        <v>2237</v>
      </c>
      <c r="U202" s="16" t="s">
        <v>2238</v>
      </c>
      <c r="V202" s="355" t="s">
        <v>2239</v>
      </c>
      <c r="W202" s="355" t="s">
        <v>2237</v>
      </c>
      <c r="X202" s="344" t="s">
        <v>1978</v>
      </c>
      <c r="Y202" s="344" t="s">
        <v>1978</v>
      </c>
      <c r="Z202" s="344"/>
      <c r="AA202" s="390"/>
      <c r="AB202" s="390"/>
      <c r="AC202" s="390"/>
      <c r="AD202" s="390"/>
      <c r="AE202" s="390"/>
      <c r="AF202" s="390"/>
      <c r="AG202" s="390"/>
      <c r="AH202" s="384"/>
      <c r="AI202" s="384"/>
      <c r="AJ202" s="384"/>
      <c r="AK202" s="384"/>
      <c r="AL202" s="384"/>
    </row>
    <row r="203" spans="1:38" x14ac:dyDescent="0.3">
      <c r="A203" s="344" t="str">
        <f>'Reference Score Calculation'!A194</f>
        <v>JS4812</v>
      </c>
      <c r="B203" s="344" t="str">
        <f>'Reference Score Calculation'!D194</f>
        <v>建築學</v>
      </c>
      <c r="C203" s="355">
        <v>31</v>
      </c>
      <c r="D203" s="380">
        <v>3</v>
      </c>
      <c r="E203" s="380">
        <v>3</v>
      </c>
      <c r="F203" s="380">
        <v>3</v>
      </c>
      <c r="G203" s="380">
        <v>2</v>
      </c>
      <c r="H203" s="380">
        <v>3</v>
      </c>
      <c r="I203" s="380">
        <v>3</v>
      </c>
      <c r="K203" s="355">
        <f t="shared" si="42"/>
        <v>0</v>
      </c>
      <c r="L203" s="355">
        <f t="shared" si="43"/>
        <v>0</v>
      </c>
      <c r="M203" s="355">
        <f t="shared" si="44"/>
        <v>0</v>
      </c>
      <c r="N203" s="355">
        <f t="shared" si="45"/>
        <v>0</v>
      </c>
      <c r="O203" s="355">
        <f t="shared" si="46"/>
        <v>0</v>
      </c>
      <c r="P203" s="355">
        <f t="shared" si="55"/>
        <v>0</v>
      </c>
      <c r="Q203" s="16"/>
      <c r="R203" s="16">
        <f t="shared" si="54"/>
        <v>0</v>
      </c>
      <c r="S203" s="344"/>
      <c r="T203" s="16" t="s">
        <v>2237</v>
      </c>
      <c r="U203" s="16" t="s">
        <v>2238</v>
      </c>
      <c r="V203" s="355" t="s">
        <v>2239</v>
      </c>
      <c r="W203" s="355" t="s">
        <v>2237</v>
      </c>
      <c r="X203" s="344" t="s">
        <v>1978</v>
      </c>
      <c r="Y203" s="344" t="s">
        <v>1978</v>
      </c>
      <c r="Z203" s="344"/>
      <c r="AA203" s="390"/>
      <c r="AB203" s="390"/>
      <c r="AC203" s="390"/>
      <c r="AD203" s="390"/>
      <c r="AE203" s="390"/>
      <c r="AF203" s="390"/>
      <c r="AG203" s="390"/>
      <c r="AH203" s="384"/>
      <c r="AI203" s="384"/>
      <c r="AJ203" s="384"/>
      <c r="AK203" s="384"/>
      <c r="AL203" s="384"/>
    </row>
    <row r="204" spans="1:38" x14ac:dyDescent="0.3">
      <c r="A204" s="344" t="str">
        <f>'Reference Score Calculation'!A195</f>
        <v>JS4824</v>
      </c>
      <c r="B204" s="344" t="str">
        <f>'Reference Score Calculation'!D195</f>
        <v>經濟學</v>
      </c>
      <c r="C204" s="355">
        <v>65</v>
      </c>
      <c r="D204" s="380">
        <v>3</v>
      </c>
      <c r="E204" s="380">
        <v>3</v>
      </c>
      <c r="F204" s="380">
        <v>3</v>
      </c>
      <c r="G204" s="380">
        <v>2</v>
      </c>
      <c r="H204" s="380">
        <v>3</v>
      </c>
      <c r="I204" s="380">
        <v>3</v>
      </c>
      <c r="K204" s="355">
        <f t="shared" si="42"/>
        <v>0</v>
      </c>
      <c r="L204" s="355">
        <f t="shared" si="43"/>
        <v>0</v>
      </c>
      <c r="M204" s="355">
        <f t="shared" si="44"/>
        <v>0</v>
      </c>
      <c r="N204" s="355">
        <f t="shared" si="45"/>
        <v>0</v>
      </c>
      <c r="O204" s="355">
        <f t="shared" si="46"/>
        <v>0</v>
      </c>
      <c r="P204" s="355">
        <f t="shared" si="55"/>
        <v>0</v>
      </c>
      <c r="Q204" s="16"/>
      <c r="R204" s="16">
        <f t="shared" si="54"/>
        <v>0</v>
      </c>
      <c r="S204" s="344"/>
      <c r="T204" s="16" t="s">
        <v>2237</v>
      </c>
      <c r="U204" s="16" t="s">
        <v>2238</v>
      </c>
      <c r="V204" s="355" t="s">
        <v>2239</v>
      </c>
      <c r="W204" s="355" t="s">
        <v>2239</v>
      </c>
      <c r="X204" s="344" t="s">
        <v>1978</v>
      </c>
      <c r="Y204" s="344" t="s">
        <v>1978</v>
      </c>
      <c r="Z204" s="344"/>
      <c r="AA204" s="390"/>
      <c r="AB204" s="390"/>
      <c r="AC204" s="390"/>
      <c r="AD204" s="390"/>
      <c r="AE204" s="390"/>
      <c r="AF204" s="390"/>
      <c r="AG204" s="390"/>
      <c r="AH204" s="384"/>
      <c r="AI204" s="384"/>
      <c r="AJ204" s="384"/>
      <c r="AK204" s="384"/>
      <c r="AL204" s="384"/>
    </row>
    <row r="205" spans="1:38" x14ac:dyDescent="0.3">
      <c r="A205" s="344" t="str">
        <f>'Reference Score Calculation'!A196</f>
        <v>JS4836</v>
      </c>
      <c r="B205" s="344" t="str">
        <f>'Reference Score Calculation'!D196</f>
        <v>地理與資源管理學</v>
      </c>
      <c r="C205" s="355">
        <v>39</v>
      </c>
      <c r="D205" s="380">
        <v>3</v>
      </c>
      <c r="E205" s="380">
        <v>3</v>
      </c>
      <c r="F205" s="380">
        <v>2</v>
      </c>
      <c r="G205" s="380">
        <v>2</v>
      </c>
      <c r="H205" s="380">
        <v>3</v>
      </c>
      <c r="I205" s="380">
        <v>3</v>
      </c>
      <c r="K205" s="355">
        <f t="shared" si="42"/>
        <v>0</v>
      </c>
      <c r="L205" s="355">
        <f t="shared" si="43"/>
        <v>0</v>
      </c>
      <c r="M205" s="355">
        <f t="shared" si="44"/>
        <v>0</v>
      </c>
      <c r="N205" s="355">
        <f t="shared" si="45"/>
        <v>0</v>
      </c>
      <c r="O205" s="355">
        <f t="shared" si="46"/>
        <v>0</v>
      </c>
      <c r="P205" s="355">
        <f t="shared" si="55"/>
        <v>0</v>
      </c>
      <c r="Q205" s="16"/>
      <c r="R205" s="16">
        <f t="shared" si="54"/>
        <v>0</v>
      </c>
      <c r="S205" s="344"/>
      <c r="T205" s="16" t="s">
        <v>2237</v>
      </c>
      <c r="U205" s="16" t="s">
        <v>2238</v>
      </c>
      <c r="V205" s="355" t="s">
        <v>2239</v>
      </c>
      <c r="W205" s="355" t="s">
        <v>2239</v>
      </c>
      <c r="X205" s="344" t="s">
        <v>1978</v>
      </c>
      <c r="Y205" s="344" t="s">
        <v>1978</v>
      </c>
      <c r="Z205" s="344"/>
      <c r="AA205" s="390"/>
      <c r="AB205" s="390"/>
      <c r="AC205" s="390"/>
      <c r="AD205" s="390"/>
      <c r="AE205" s="390"/>
      <c r="AF205" s="390"/>
      <c r="AG205" s="390"/>
      <c r="AH205" s="384"/>
      <c r="AI205" s="384"/>
      <c r="AJ205" s="384"/>
      <c r="AK205" s="384"/>
      <c r="AL205" s="384"/>
    </row>
    <row r="206" spans="1:38" x14ac:dyDescent="0.3">
      <c r="A206" s="344" t="str">
        <f>'Reference Score Calculation'!A197</f>
        <v>JS4838</v>
      </c>
      <c r="B206" s="344" t="str">
        <f>'Reference Score Calculation'!D197</f>
        <v>城市研究</v>
      </c>
      <c r="C206" s="355">
        <v>19</v>
      </c>
      <c r="D206" s="380">
        <v>3</v>
      </c>
      <c r="E206" s="380">
        <v>3</v>
      </c>
      <c r="F206" s="380">
        <v>2</v>
      </c>
      <c r="G206" s="380">
        <v>2</v>
      </c>
      <c r="H206" s="380">
        <v>3</v>
      </c>
      <c r="I206" s="380">
        <v>3</v>
      </c>
      <c r="K206" s="355">
        <f t="shared" si="42"/>
        <v>0</v>
      </c>
      <c r="L206" s="355">
        <f t="shared" si="43"/>
        <v>0</v>
      </c>
      <c r="M206" s="355">
        <f t="shared" si="44"/>
        <v>0</v>
      </c>
      <c r="N206" s="355">
        <f t="shared" si="45"/>
        <v>0</v>
      </c>
      <c r="O206" s="355">
        <f t="shared" si="46"/>
        <v>0</v>
      </c>
      <c r="P206" s="355">
        <f t="shared" si="55"/>
        <v>0</v>
      </c>
      <c r="Q206" s="16"/>
      <c r="R206" s="16">
        <f t="shared" si="54"/>
        <v>0</v>
      </c>
      <c r="S206" s="344"/>
      <c r="T206" s="16" t="s">
        <v>2237</v>
      </c>
      <c r="U206" s="16" t="s">
        <v>2238</v>
      </c>
      <c r="V206" s="355" t="s">
        <v>2239</v>
      </c>
      <c r="W206" s="355" t="s">
        <v>2237</v>
      </c>
      <c r="X206" s="344" t="s">
        <v>1978</v>
      </c>
      <c r="Y206" s="344" t="s">
        <v>1978</v>
      </c>
      <c r="Z206" s="344"/>
      <c r="AA206" s="390"/>
      <c r="AB206" s="390"/>
      <c r="AC206" s="390"/>
      <c r="AD206" s="390"/>
      <c r="AE206" s="390"/>
      <c r="AF206" s="390"/>
      <c r="AG206" s="390"/>
      <c r="AH206" s="384"/>
      <c r="AI206" s="384"/>
      <c r="AJ206" s="384"/>
      <c r="AK206" s="384"/>
      <c r="AL206" s="384"/>
    </row>
    <row r="207" spans="1:38" x14ac:dyDescent="0.3">
      <c r="A207" s="344" t="str">
        <f>'Reference Score Calculation'!A198</f>
        <v>JS4848</v>
      </c>
      <c r="B207" s="344" t="str">
        <f>'Reference Score Calculation'!D198</f>
        <v>政治與行政學</v>
      </c>
      <c r="C207" s="355">
        <v>37</v>
      </c>
      <c r="D207" s="380">
        <v>3</v>
      </c>
      <c r="E207" s="380">
        <v>3</v>
      </c>
      <c r="F207" s="380">
        <v>2</v>
      </c>
      <c r="G207" s="380">
        <v>2</v>
      </c>
      <c r="H207" s="380">
        <v>3</v>
      </c>
      <c r="I207" s="380">
        <v>3</v>
      </c>
      <c r="K207" s="355">
        <f t="shared" si="42"/>
        <v>0</v>
      </c>
      <c r="L207" s="355">
        <f t="shared" si="43"/>
        <v>0</v>
      </c>
      <c r="M207" s="355">
        <f t="shared" si="44"/>
        <v>0</v>
      </c>
      <c r="N207" s="355">
        <f t="shared" si="45"/>
        <v>0</v>
      </c>
      <c r="O207" s="355">
        <f t="shared" si="46"/>
        <v>0</v>
      </c>
      <c r="P207" s="355">
        <f t="shared" si="55"/>
        <v>0</v>
      </c>
      <c r="Q207" s="16"/>
      <c r="R207" s="16">
        <f t="shared" si="54"/>
        <v>0</v>
      </c>
      <c r="S207" s="344"/>
      <c r="T207" s="16" t="s">
        <v>2237</v>
      </c>
      <c r="U207" s="16" t="s">
        <v>2238</v>
      </c>
      <c r="V207" s="355" t="s">
        <v>2239</v>
      </c>
      <c r="W207" s="355" t="s">
        <v>2237</v>
      </c>
      <c r="X207" s="344" t="s">
        <v>1978</v>
      </c>
      <c r="Y207" s="344" t="s">
        <v>1978</v>
      </c>
      <c r="Z207" s="344"/>
      <c r="AA207" s="390"/>
      <c r="AB207" s="390"/>
      <c r="AC207" s="390"/>
      <c r="AD207" s="390"/>
      <c r="AE207" s="390"/>
      <c r="AF207" s="390"/>
      <c r="AG207" s="390"/>
      <c r="AH207" s="384"/>
      <c r="AI207" s="384"/>
      <c r="AJ207" s="384"/>
      <c r="AK207" s="384"/>
      <c r="AL207" s="384"/>
    </row>
    <row r="208" spans="1:38" x14ac:dyDescent="0.3">
      <c r="A208" s="344" t="str">
        <f>'Reference Score Calculation'!A199</f>
        <v>JS4850</v>
      </c>
      <c r="B208" s="344" t="str">
        <f>'Reference Score Calculation'!D199</f>
        <v>新聞與傳播學</v>
      </c>
      <c r="C208" s="355">
        <v>43</v>
      </c>
      <c r="D208" s="380">
        <v>3</v>
      </c>
      <c r="E208" s="380">
        <v>3</v>
      </c>
      <c r="F208" s="380">
        <v>2</v>
      </c>
      <c r="G208" s="380">
        <v>2</v>
      </c>
      <c r="H208" s="380">
        <v>3</v>
      </c>
      <c r="I208" s="380">
        <v>3</v>
      </c>
      <c r="K208" s="355">
        <f t="shared" si="42"/>
        <v>0</v>
      </c>
      <c r="L208" s="355">
        <f t="shared" si="43"/>
        <v>0</v>
      </c>
      <c r="M208" s="355">
        <f t="shared" si="44"/>
        <v>0</v>
      </c>
      <c r="N208" s="355">
        <f t="shared" si="45"/>
        <v>0</v>
      </c>
      <c r="O208" s="355">
        <f t="shared" si="46"/>
        <v>0</v>
      </c>
      <c r="P208" s="355">
        <f t="shared" si="55"/>
        <v>0</v>
      </c>
      <c r="Q208" s="16"/>
      <c r="R208" s="16">
        <f t="shared" si="54"/>
        <v>0</v>
      </c>
      <c r="S208" s="344"/>
      <c r="T208" s="16" t="s">
        <v>2237</v>
      </c>
      <c r="U208" s="16" t="s">
        <v>2238</v>
      </c>
      <c r="V208" s="355" t="s">
        <v>2239</v>
      </c>
      <c r="W208" s="355" t="s">
        <v>2239</v>
      </c>
      <c r="X208" s="344" t="s">
        <v>1978</v>
      </c>
      <c r="Y208" s="344" t="s">
        <v>1978</v>
      </c>
      <c r="Z208" s="344"/>
      <c r="AA208" s="390"/>
      <c r="AB208" s="390"/>
      <c r="AC208" s="390"/>
      <c r="AD208" s="390"/>
      <c r="AE208" s="390"/>
      <c r="AF208" s="390"/>
      <c r="AG208" s="390"/>
      <c r="AH208" s="384"/>
      <c r="AI208" s="384"/>
      <c r="AJ208" s="384"/>
      <c r="AK208" s="384"/>
      <c r="AL208" s="384"/>
    </row>
    <row r="209" spans="1:40" s="344" customFormat="1" x14ac:dyDescent="0.3">
      <c r="A209" s="344" t="str">
        <f>'Reference Score Calculation'!A200</f>
        <v>JS4858</v>
      </c>
      <c r="B209" s="344" t="str">
        <f>'Reference Score Calculation'!D200</f>
        <v>全球傳播</v>
      </c>
      <c r="C209" s="355">
        <v>9</v>
      </c>
      <c r="D209" s="380">
        <v>3</v>
      </c>
      <c r="E209" s="380">
        <v>4</v>
      </c>
      <c r="F209" s="380">
        <v>2</v>
      </c>
      <c r="G209" s="380">
        <v>2</v>
      </c>
      <c r="H209" s="380">
        <v>3</v>
      </c>
      <c r="I209" s="380">
        <v>3</v>
      </c>
      <c r="K209" s="355">
        <f t="shared" si="42"/>
        <v>0</v>
      </c>
      <c r="L209" s="355">
        <f t="shared" si="43"/>
        <v>0</v>
      </c>
      <c r="M209" s="355">
        <f t="shared" si="44"/>
        <v>0</v>
      </c>
      <c r="N209" s="355">
        <f t="shared" si="45"/>
        <v>0</v>
      </c>
      <c r="O209" s="355">
        <f t="shared" si="46"/>
        <v>0</v>
      </c>
      <c r="P209" s="355">
        <f t="shared" si="55"/>
        <v>0</v>
      </c>
      <c r="Q209" s="355"/>
      <c r="R209" s="355">
        <f t="shared" si="54"/>
        <v>0</v>
      </c>
      <c r="T209" s="355" t="s">
        <v>2237</v>
      </c>
      <c r="U209" s="355" t="s">
        <v>2238</v>
      </c>
      <c r="V209" s="355" t="s">
        <v>2239</v>
      </c>
      <c r="W209" s="355" t="s">
        <v>2239</v>
      </c>
      <c r="X209" s="344" t="s">
        <v>1978</v>
      </c>
      <c r="Y209" s="344" t="s">
        <v>1978</v>
      </c>
      <c r="AA209" s="390"/>
      <c r="AB209" s="390"/>
      <c r="AC209" s="390"/>
      <c r="AD209" s="390"/>
      <c r="AE209" s="390"/>
      <c r="AF209" s="390"/>
      <c r="AG209" s="390"/>
      <c r="AH209" s="384"/>
      <c r="AI209" s="384"/>
      <c r="AJ209" s="384"/>
      <c r="AK209" s="384"/>
      <c r="AL209" s="384"/>
      <c r="AM209" s="355"/>
      <c r="AN209" s="355"/>
    </row>
    <row r="210" spans="1:40" s="344" customFormat="1" x14ac:dyDescent="0.3">
      <c r="A210" s="344" t="str">
        <f>'Reference Score Calculation'!A201</f>
        <v>JS4862</v>
      </c>
      <c r="B210" s="344" t="str">
        <f>'Reference Score Calculation'!D201</f>
        <v>心理學</v>
      </c>
      <c r="C210" s="355">
        <v>56</v>
      </c>
      <c r="D210" s="380">
        <v>3</v>
      </c>
      <c r="E210" s="380">
        <v>3</v>
      </c>
      <c r="F210" s="380">
        <v>2</v>
      </c>
      <c r="G210" s="380">
        <v>2</v>
      </c>
      <c r="H210" s="380">
        <v>3</v>
      </c>
      <c r="I210" s="380">
        <v>3</v>
      </c>
      <c r="K210" s="355">
        <f t="shared" si="42"/>
        <v>0</v>
      </c>
      <c r="L210" s="355">
        <f t="shared" si="43"/>
        <v>0</v>
      </c>
      <c r="M210" s="355">
        <f t="shared" si="44"/>
        <v>0</v>
      </c>
      <c r="N210" s="355">
        <f t="shared" si="45"/>
        <v>0</v>
      </c>
      <c r="O210" s="355">
        <f t="shared" si="46"/>
        <v>0</v>
      </c>
      <c r="P210" s="355">
        <f t="shared" si="55"/>
        <v>0</v>
      </c>
      <c r="Q210" s="355"/>
      <c r="R210" s="355">
        <f t="shared" si="54"/>
        <v>0</v>
      </c>
      <c r="T210" s="355" t="s">
        <v>2237</v>
      </c>
      <c r="U210" s="355" t="s">
        <v>2238</v>
      </c>
      <c r="V210" s="355" t="s">
        <v>2239</v>
      </c>
      <c r="W210" s="355" t="s">
        <v>2237</v>
      </c>
      <c r="X210" s="344" t="s">
        <v>1978</v>
      </c>
      <c r="Y210" s="344" t="s">
        <v>1978</v>
      </c>
      <c r="AA210" s="390"/>
      <c r="AB210" s="390"/>
      <c r="AC210" s="390"/>
      <c r="AD210" s="390"/>
      <c r="AE210" s="390"/>
      <c r="AF210" s="390"/>
      <c r="AG210" s="390"/>
      <c r="AH210" s="384"/>
      <c r="AI210" s="384"/>
      <c r="AJ210" s="384"/>
      <c r="AK210" s="384"/>
      <c r="AL210" s="384"/>
      <c r="AM210" s="355"/>
      <c r="AN210" s="355"/>
    </row>
    <row r="211" spans="1:40" s="344" customFormat="1" x14ac:dyDescent="0.3">
      <c r="A211" s="344" t="str">
        <f>'Reference Score Calculation'!A202</f>
        <v>JS4874</v>
      </c>
      <c r="B211" s="344" t="str">
        <f>'Reference Score Calculation'!D202</f>
        <v>社會工作</v>
      </c>
      <c r="C211" s="355">
        <v>45</v>
      </c>
      <c r="D211" s="380">
        <v>3</v>
      </c>
      <c r="E211" s="380">
        <v>3</v>
      </c>
      <c r="F211" s="380">
        <v>2</v>
      </c>
      <c r="G211" s="380">
        <v>2</v>
      </c>
      <c r="H211" s="380">
        <v>3</v>
      </c>
      <c r="I211" s="380">
        <v>3</v>
      </c>
      <c r="K211" s="355">
        <f t="shared" si="42"/>
        <v>0</v>
      </c>
      <c r="L211" s="355">
        <f t="shared" si="43"/>
        <v>0</v>
      </c>
      <c r="M211" s="355">
        <f t="shared" si="44"/>
        <v>0</v>
      </c>
      <c r="N211" s="355">
        <f t="shared" si="45"/>
        <v>0</v>
      </c>
      <c r="O211" s="355">
        <f t="shared" si="46"/>
        <v>0</v>
      </c>
      <c r="P211" s="355">
        <f t="shared" si="55"/>
        <v>0</v>
      </c>
      <c r="Q211" s="355"/>
      <c r="R211" s="355">
        <f t="shared" si="54"/>
        <v>0</v>
      </c>
      <c r="T211" s="355" t="s">
        <v>2237</v>
      </c>
      <c r="U211" s="355" t="s">
        <v>2238</v>
      </c>
      <c r="V211" s="355" t="s">
        <v>2239</v>
      </c>
      <c r="W211" s="355" t="s">
        <v>2237</v>
      </c>
      <c r="X211" s="344" t="s">
        <v>1978</v>
      </c>
      <c r="Y211" s="344" t="s">
        <v>1978</v>
      </c>
      <c r="AA211" s="390"/>
      <c r="AB211" s="390"/>
      <c r="AC211" s="390"/>
      <c r="AD211" s="390"/>
      <c r="AE211" s="390"/>
      <c r="AF211" s="390"/>
      <c r="AG211" s="390"/>
      <c r="AH211" s="384"/>
      <c r="AI211" s="384"/>
      <c r="AJ211" s="384"/>
      <c r="AK211" s="384"/>
      <c r="AL211" s="384"/>
      <c r="AM211" s="355"/>
      <c r="AN211" s="355"/>
    </row>
    <row r="212" spans="1:40" s="344" customFormat="1" x14ac:dyDescent="0.3">
      <c r="A212" s="344" t="str">
        <f>'Reference Score Calculation'!A203</f>
        <v>JS4886</v>
      </c>
      <c r="B212" s="344" t="str">
        <f>'Reference Score Calculation'!D203</f>
        <v>社會學</v>
      </c>
      <c r="C212" s="355">
        <v>38</v>
      </c>
      <c r="D212" s="380">
        <v>3</v>
      </c>
      <c r="E212" s="380">
        <v>3</v>
      </c>
      <c r="F212" s="380">
        <v>2</v>
      </c>
      <c r="G212" s="380">
        <v>2</v>
      </c>
      <c r="H212" s="380">
        <v>3</v>
      </c>
      <c r="I212" s="380">
        <v>3</v>
      </c>
      <c r="K212" s="355">
        <f t="shared" si="42"/>
        <v>0</v>
      </c>
      <c r="L212" s="355">
        <f t="shared" si="43"/>
        <v>0</v>
      </c>
      <c r="M212" s="355">
        <f t="shared" si="44"/>
        <v>0</v>
      </c>
      <c r="N212" s="355">
        <f t="shared" si="45"/>
        <v>0</v>
      </c>
      <c r="O212" s="355">
        <f t="shared" si="46"/>
        <v>0</v>
      </c>
      <c r="P212" s="355">
        <f t="shared" si="55"/>
        <v>0</v>
      </c>
      <c r="Q212" s="355"/>
      <c r="R212" s="355">
        <f t="shared" si="54"/>
        <v>0</v>
      </c>
      <c r="T212" s="355" t="s">
        <v>2237</v>
      </c>
      <c r="U212" s="355" t="s">
        <v>2238</v>
      </c>
      <c r="V212" s="355" t="s">
        <v>2239</v>
      </c>
      <c r="W212" s="355" t="s">
        <v>2237</v>
      </c>
      <c r="X212" s="344" t="s">
        <v>1978</v>
      </c>
      <c r="Y212" s="344" t="s">
        <v>1978</v>
      </c>
      <c r="AA212" s="390"/>
      <c r="AB212" s="390"/>
      <c r="AC212" s="390"/>
      <c r="AD212" s="390"/>
      <c r="AE212" s="390"/>
      <c r="AF212" s="390"/>
      <c r="AG212" s="390"/>
      <c r="AH212" s="384"/>
      <c r="AI212" s="384"/>
      <c r="AJ212" s="384"/>
      <c r="AK212" s="384"/>
      <c r="AL212" s="384"/>
      <c r="AM212" s="355"/>
      <c r="AN212" s="355"/>
    </row>
    <row r="213" spans="1:40" s="344" customFormat="1" x14ac:dyDescent="0.3">
      <c r="A213" s="344" t="str">
        <f>'Reference Score Calculation'!A204</f>
        <v>JS4892</v>
      </c>
      <c r="B213" s="344" t="str">
        <f>'Reference Score Calculation'!D204</f>
        <v>全球研究</v>
      </c>
      <c r="C213" s="355">
        <v>19</v>
      </c>
      <c r="D213" s="380">
        <v>3</v>
      </c>
      <c r="E213" s="380">
        <v>3</v>
      </c>
      <c r="F213" s="380">
        <v>2</v>
      </c>
      <c r="G213" s="380">
        <v>2</v>
      </c>
      <c r="H213" s="380">
        <v>3</v>
      </c>
      <c r="I213" s="380">
        <v>3</v>
      </c>
      <c r="K213" s="355">
        <f t="shared" ref="K213:K215" si="56">IF(D213&gt;D$3,0,1)</f>
        <v>0</v>
      </c>
      <c r="L213" s="355">
        <f t="shared" ref="L213:L215" si="57">IF(E213&gt;E$3,0,1)</f>
        <v>0</v>
      </c>
      <c r="M213" s="355">
        <f t="shared" ref="M213:M215" si="58">IF(F213&gt;F$3,0,1)</f>
        <v>0</v>
      </c>
      <c r="N213" s="355">
        <f t="shared" ref="N213:N215" si="59">IF(G213&gt;G$3,0,1)</f>
        <v>0</v>
      </c>
      <c r="O213" s="355">
        <f t="shared" ref="O213:O215" si="60">IF(H213&gt;LARGE($H$3:$M$3,1),0,1)</f>
        <v>0</v>
      </c>
      <c r="P213" s="355">
        <f t="shared" si="55"/>
        <v>0</v>
      </c>
      <c r="Q213" s="355"/>
      <c r="R213" s="355">
        <f t="shared" si="54"/>
        <v>0</v>
      </c>
      <c r="T213" s="355" t="s">
        <v>2237</v>
      </c>
      <c r="U213" s="355" t="s">
        <v>2238</v>
      </c>
      <c r="V213" s="355" t="s">
        <v>2239</v>
      </c>
      <c r="W213" s="355" t="s">
        <v>2239</v>
      </c>
      <c r="X213" s="344" t="s">
        <v>1978</v>
      </c>
      <c r="Y213" s="344" t="s">
        <v>1978</v>
      </c>
      <c r="AA213" s="390"/>
      <c r="AB213" s="390"/>
      <c r="AC213" s="390"/>
      <c r="AD213" s="390"/>
      <c r="AE213" s="390"/>
      <c r="AF213" s="390"/>
      <c r="AG213" s="390"/>
      <c r="AH213" s="384"/>
      <c r="AI213" s="384"/>
      <c r="AJ213" s="384"/>
      <c r="AK213" s="384"/>
      <c r="AL213" s="384"/>
      <c r="AM213" s="355"/>
      <c r="AN213" s="355"/>
    </row>
    <row r="214" spans="1:40" s="344" customFormat="1" x14ac:dyDescent="0.3">
      <c r="A214" s="344" t="str">
        <f>'Reference Score Calculation'!A205</f>
        <v>JS4893</v>
      </c>
      <c r="B214" s="344" t="str">
        <f>'Reference Score Calculation'!D205</f>
        <v>數據科學與政策研究</v>
      </c>
      <c r="C214" s="355">
        <v>19</v>
      </c>
      <c r="D214" s="380">
        <v>3</v>
      </c>
      <c r="E214" s="380">
        <v>3</v>
      </c>
      <c r="F214" s="380">
        <v>3</v>
      </c>
      <c r="G214" s="380">
        <v>2</v>
      </c>
      <c r="H214" s="380">
        <v>3</v>
      </c>
      <c r="I214" s="380">
        <v>3</v>
      </c>
      <c r="K214" s="355">
        <f t="shared" si="56"/>
        <v>0</v>
      </c>
      <c r="L214" s="355">
        <f t="shared" si="57"/>
        <v>0</v>
      </c>
      <c r="M214" s="355">
        <f t="shared" si="58"/>
        <v>0</v>
      </c>
      <c r="N214" s="355">
        <f t="shared" si="59"/>
        <v>0</v>
      </c>
      <c r="O214" s="355">
        <f t="shared" si="60"/>
        <v>0</v>
      </c>
      <c r="P214" s="355">
        <f t="shared" si="55"/>
        <v>0</v>
      </c>
      <c r="Q214" s="355"/>
      <c r="R214" s="355">
        <f t="shared" si="54"/>
        <v>0</v>
      </c>
      <c r="T214" s="355" t="s">
        <v>2237</v>
      </c>
      <c r="U214" s="355" t="s">
        <v>2238</v>
      </c>
      <c r="V214" s="355" t="s">
        <v>2239</v>
      </c>
      <c r="W214" s="355" t="s">
        <v>2237</v>
      </c>
      <c r="X214" s="344" t="s">
        <v>1978</v>
      </c>
      <c r="Y214" s="344" t="s">
        <v>1978</v>
      </c>
      <c r="AA214" s="390"/>
      <c r="AB214" s="390"/>
      <c r="AC214" s="390"/>
      <c r="AD214" s="390"/>
      <c r="AE214" s="390"/>
      <c r="AF214" s="390"/>
      <c r="AG214" s="390"/>
      <c r="AH214" s="384"/>
      <c r="AI214" s="384"/>
      <c r="AJ214" s="384"/>
      <c r="AK214" s="384"/>
      <c r="AL214" s="384"/>
      <c r="AM214" s="355"/>
      <c r="AN214" s="355"/>
    </row>
    <row r="215" spans="1:40" s="344" customFormat="1" x14ac:dyDescent="0.3">
      <c r="A215" s="344" t="str">
        <f>'Reference Score Calculation'!A206</f>
        <v>JS4903</v>
      </c>
      <c r="B215" s="344" t="str">
        <f>'Reference Score Calculation'!D206</f>
        <v>法學士</v>
      </c>
      <c r="C215" s="355">
        <v>73</v>
      </c>
      <c r="D215" s="380">
        <v>4</v>
      </c>
      <c r="E215" s="380">
        <v>5</v>
      </c>
      <c r="F215" s="380">
        <v>3</v>
      </c>
      <c r="G215" s="380">
        <v>3</v>
      </c>
      <c r="H215" s="380">
        <v>3</v>
      </c>
      <c r="I215" s="380">
        <v>3</v>
      </c>
      <c r="K215" s="355">
        <f t="shared" si="56"/>
        <v>0</v>
      </c>
      <c r="L215" s="355">
        <f t="shared" si="57"/>
        <v>0</v>
      </c>
      <c r="M215" s="355">
        <f t="shared" si="58"/>
        <v>0</v>
      </c>
      <c r="N215" s="355">
        <f t="shared" si="59"/>
        <v>0</v>
      </c>
      <c r="O215" s="355">
        <f t="shared" si="60"/>
        <v>0</v>
      </c>
      <c r="P215" s="355">
        <f t="shared" si="55"/>
        <v>0</v>
      </c>
      <c r="Q215" s="355"/>
      <c r="R215" s="355">
        <f t="shared" si="54"/>
        <v>0</v>
      </c>
      <c r="T215" s="355" t="s">
        <v>2237</v>
      </c>
      <c r="U215" s="355" t="s">
        <v>2238</v>
      </c>
      <c r="V215" s="355" t="s">
        <v>2239</v>
      </c>
      <c r="W215" s="355" t="s">
        <v>2239</v>
      </c>
      <c r="X215" s="344" t="s">
        <v>1978</v>
      </c>
      <c r="Y215" s="344" t="s">
        <v>1978</v>
      </c>
      <c r="AA215" s="390"/>
      <c r="AB215" s="390"/>
      <c r="AC215" s="390"/>
      <c r="AD215" s="390"/>
      <c r="AE215" s="390"/>
      <c r="AF215" s="390"/>
      <c r="AG215" s="390"/>
      <c r="AH215" s="384"/>
      <c r="AI215" s="384"/>
      <c r="AJ215" s="384"/>
      <c r="AK215" s="384"/>
      <c r="AL215" s="384"/>
      <c r="AM215" s="355"/>
      <c r="AN215" s="355"/>
    </row>
    <row r="216" spans="1:40" x14ac:dyDescent="0.3">
      <c r="A216" s="11" t="s">
        <v>2251</v>
      </c>
      <c r="D216" s="109"/>
      <c r="E216" s="109"/>
      <c r="F216" s="109"/>
      <c r="G216" s="109"/>
      <c r="H216" s="109"/>
      <c r="I216" s="109"/>
    </row>
    <row r="217" spans="1:40" x14ac:dyDescent="0.3">
      <c r="A217" s="11" t="s">
        <v>1942</v>
      </c>
      <c r="B217" s="11" t="s">
        <v>1944</v>
      </c>
      <c r="C217" s="356" t="s">
        <v>1950</v>
      </c>
      <c r="D217" s="111" t="s">
        <v>1953</v>
      </c>
      <c r="E217" s="111" t="s">
        <v>1954</v>
      </c>
      <c r="F217" s="111" t="s">
        <v>1955</v>
      </c>
      <c r="G217" s="111" t="s">
        <v>1956</v>
      </c>
      <c r="H217" s="111" t="s">
        <v>1957</v>
      </c>
      <c r="I217" s="111" t="s">
        <v>1958</v>
      </c>
      <c r="J217" s="11"/>
      <c r="K217" s="19" t="s">
        <v>1953</v>
      </c>
      <c r="L217" s="19" t="s">
        <v>1954</v>
      </c>
      <c r="M217" s="19" t="s">
        <v>1955</v>
      </c>
      <c r="N217" s="19" t="s">
        <v>1956</v>
      </c>
      <c r="O217" s="19" t="s">
        <v>1957</v>
      </c>
      <c r="P217" s="19" t="s">
        <v>1958</v>
      </c>
      <c r="Q217" s="16"/>
      <c r="S217" s="21"/>
      <c r="T217" s="16" t="s">
        <v>2233</v>
      </c>
      <c r="U217" s="16" t="s">
        <v>2234</v>
      </c>
      <c r="V217" s="16" t="s">
        <v>2235</v>
      </c>
      <c r="W217" s="355"/>
      <c r="X217" s="358"/>
      <c r="Y217" s="358"/>
      <c r="Z217" s="358"/>
      <c r="AA217" s="394" t="s">
        <v>3195</v>
      </c>
      <c r="AB217" s="394" t="s">
        <v>2236</v>
      </c>
      <c r="AC217" s="384"/>
      <c r="AD217" s="389"/>
      <c r="AE217" s="389"/>
      <c r="AF217" s="389"/>
      <c r="AG217" s="389"/>
      <c r="AH217" s="389"/>
      <c r="AI217" s="389"/>
      <c r="AJ217" s="389"/>
      <c r="AK217" s="384"/>
      <c r="AL217" s="384"/>
    </row>
    <row r="218" spans="1:40" x14ac:dyDescent="0.3">
      <c r="A218" s="344" t="str">
        <f>'Reference Score Calculation'!A209</f>
        <v>JS5101</v>
      </c>
      <c r="B218" s="344" t="str">
        <f>'Reference Score Calculation'!D209</f>
        <v>國際科研</v>
      </c>
      <c r="C218" s="355">
        <f>INDEX('Offer Statistics'!$CI$80:$CI$105,MATCH(入學要求!A218,'Offer Statistics'!$BS$80:$BS$105,0))</f>
        <v>21</v>
      </c>
      <c r="D218" s="109">
        <v>3</v>
      </c>
      <c r="E218" s="109">
        <v>3</v>
      </c>
      <c r="F218" s="109">
        <v>2</v>
      </c>
      <c r="G218" s="109">
        <v>2</v>
      </c>
      <c r="H218" s="109">
        <v>3</v>
      </c>
      <c r="I218" s="380">
        <v>3</v>
      </c>
      <c r="K218" s="355">
        <f>IF(D218&gt;D$3,0,1)</f>
        <v>0</v>
      </c>
      <c r="L218" s="355">
        <f t="shared" ref="L218:N218" si="61">IF(E218&gt;E$3,0,1)</f>
        <v>0</v>
      </c>
      <c r="M218" s="355">
        <f t="shared" si="61"/>
        <v>0</v>
      </c>
      <c r="N218" s="355">
        <f t="shared" si="61"/>
        <v>0</v>
      </c>
      <c r="O218" s="355">
        <f>IF(H218&gt;$AI$220,0,1)</f>
        <v>0</v>
      </c>
      <c r="P218" s="355">
        <f t="shared" ref="P218:P243" si="62">IF(I218&gt;LARGE($H$3:$L$3,2),0,1)</f>
        <v>0</v>
      </c>
      <c r="R218" s="16">
        <f>K218*L218*M218*N218*O218*P218</f>
        <v>0</v>
      </c>
      <c r="S218" s="21"/>
      <c r="T218" s="16" t="s">
        <v>2237</v>
      </c>
      <c r="U218" s="355" t="s">
        <v>2239</v>
      </c>
      <c r="V218" s="355" t="s">
        <v>2239</v>
      </c>
      <c r="X218" s="358" t="s">
        <v>3145</v>
      </c>
      <c r="Y218" s="344" t="s">
        <v>3208</v>
      </c>
      <c r="AA218" s="390"/>
      <c r="AB218" s="390"/>
      <c r="AC218" s="390"/>
      <c r="AD218" s="390"/>
      <c r="AE218" s="390"/>
      <c r="AF218" s="384"/>
      <c r="AG218" s="384"/>
      <c r="AH218" s="384"/>
      <c r="AI218" s="384"/>
      <c r="AJ218" s="384"/>
      <c r="AK218" s="384"/>
      <c r="AL218" s="384"/>
    </row>
    <row r="219" spans="1:40" x14ac:dyDescent="0.3">
      <c r="A219" s="344" t="str">
        <f>'Reference Score Calculation'!A210</f>
        <v>JS5102</v>
      </c>
      <c r="B219" s="344" t="str">
        <f>'Reference Score Calculation'!D210</f>
        <v>理學Ａ組</v>
      </c>
      <c r="C219" s="355" t="str">
        <f>INDEX('Offer Statistics'!$CI$80:$CI$105,MATCH(入學要求!A219,'Offer Statistics'!$BS$80:$BS$105,0))</f>
        <v>431*</v>
      </c>
      <c r="D219" s="109">
        <v>3</v>
      </c>
      <c r="E219" s="109">
        <v>3</v>
      </c>
      <c r="F219" s="109">
        <v>2</v>
      </c>
      <c r="G219" s="109">
        <v>2</v>
      </c>
      <c r="H219" s="109">
        <v>3</v>
      </c>
      <c r="I219" s="109">
        <v>3</v>
      </c>
      <c r="K219" s="355">
        <f t="shared" ref="K219:K243" si="63">IF(D219&gt;D$3,0,1)</f>
        <v>0</v>
      </c>
      <c r="L219" s="355">
        <f t="shared" ref="L219:L243" si="64">IF(E219&gt;E$3,0,1)</f>
        <v>0</v>
      </c>
      <c r="M219" s="355">
        <f t="shared" ref="M219:M243" si="65">IF(F219&gt;F$3,0,1)</f>
        <v>0</v>
      </c>
      <c r="N219" s="355">
        <f t="shared" ref="N219:N243" si="66">IF(G219&gt;G$3,0,1)</f>
        <v>0</v>
      </c>
      <c r="O219" s="355">
        <f>IF(H219&gt;$AI$220,0,1)</f>
        <v>0</v>
      </c>
      <c r="P219" s="355">
        <f t="shared" si="62"/>
        <v>0</v>
      </c>
      <c r="R219" s="16">
        <f t="shared" ref="R219:R243" si="67">K219*L219*M219*N219*O219*P219</f>
        <v>0</v>
      </c>
      <c r="S219" s="21"/>
      <c r="T219" s="16" t="s">
        <v>2237</v>
      </c>
      <c r="U219" s="355" t="s">
        <v>2239</v>
      </c>
      <c r="V219" s="355" t="s">
        <v>2239</v>
      </c>
      <c r="X219" s="358" t="s">
        <v>3145</v>
      </c>
      <c r="Y219" s="344" t="s">
        <v>1978</v>
      </c>
      <c r="AA219" s="390" t="s">
        <v>1065</v>
      </c>
      <c r="AB219" s="390" t="str">
        <f>I2</f>
        <v>請選擇第一選修科</v>
      </c>
      <c r="AC219" s="390" t="str">
        <f>J2</f>
        <v>請選擇第二選修科</v>
      </c>
      <c r="AD219" s="390" t="str">
        <f>K2</f>
        <v>請選擇第三選修科</v>
      </c>
      <c r="AE219" s="390" t="str">
        <f>L2</f>
        <v>請選擇第四選修科</v>
      </c>
      <c r="AF219" s="390" t="str">
        <f>H$2</f>
        <v>數學延伸</v>
      </c>
      <c r="AG219" s="384"/>
      <c r="AH219" s="390" t="s">
        <v>3200</v>
      </c>
      <c r="AI219" s="390"/>
      <c r="AJ219" s="390" t="s">
        <v>2338</v>
      </c>
      <c r="AK219" s="390"/>
      <c r="AL219" s="384"/>
    </row>
    <row r="220" spans="1:40" x14ac:dyDescent="0.3">
      <c r="A220" s="344" t="str">
        <f>'Reference Score Calculation'!A211</f>
        <v>JS5103</v>
      </c>
      <c r="B220" s="344" t="str">
        <f>'Reference Score Calculation'!D211</f>
        <v>理學Ｂ組</v>
      </c>
      <c r="C220" s="355" t="str">
        <f>INDEX('Offer Statistics'!$CI$80:$CI$105,MATCH(入學要求!A220,'Offer Statistics'!$BS$80:$BS$105,0))</f>
        <v>431*</v>
      </c>
      <c r="D220" s="109">
        <v>3</v>
      </c>
      <c r="E220" s="109">
        <v>3</v>
      </c>
      <c r="F220" s="109">
        <v>2</v>
      </c>
      <c r="G220" s="109">
        <v>2</v>
      </c>
      <c r="H220" s="109">
        <v>3</v>
      </c>
      <c r="I220" s="109">
        <v>3</v>
      </c>
      <c r="K220" s="355">
        <f t="shared" si="63"/>
        <v>0</v>
      </c>
      <c r="L220" s="355">
        <f t="shared" si="64"/>
        <v>0</v>
      </c>
      <c r="M220" s="355">
        <f t="shared" si="65"/>
        <v>0</v>
      </c>
      <c r="N220" s="355">
        <f t="shared" si="66"/>
        <v>0</v>
      </c>
      <c r="O220" s="355">
        <f>IF(H220&gt;$AI$220,0,1)</f>
        <v>0</v>
      </c>
      <c r="P220" s="355">
        <f t="shared" si="62"/>
        <v>0</v>
      </c>
      <c r="R220" s="16">
        <f t="shared" si="67"/>
        <v>0</v>
      </c>
      <c r="S220" s="21"/>
      <c r="T220" s="16" t="s">
        <v>2237</v>
      </c>
      <c r="U220" s="355" t="s">
        <v>2239</v>
      </c>
      <c r="V220" s="355" t="s">
        <v>2239</v>
      </c>
      <c r="X220" s="358" t="s">
        <v>3145</v>
      </c>
      <c r="Y220" s="344" t="s">
        <v>1978</v>
      </c>
      <c r="AA220" s="390" t="s">
        <v>1069</v>
      </c>
      <c r="AB220" s="391">
        <f>IF(OR(I2="物理",I2="化學",I2="生物",I2="組合科學(物理、化學)",I2="組合科學(生物、化學)",I2="組合科學(物理、生物)"),I3,0)</f>
        <v>0</v>
      </c>
      <c r="AC220" s="391">
        <f>IF(OR(J2="物理",J2="化學",J2="生物",J2="組合科學(物理、化學)",J2="組合科學(生物、化學)",J2="組合科學(物理、生物)"),J3,0)</f>
        <v>0</v>
      </c>
      <c r="AD220" s="391">
        <f>IF(OR(K2="物理",K2="化學",K2="生物",K2="組合科學(物理、化學)",K2="組合科學(生物、化學)",K2="組合科學(物理、生物)"),K3,0)</f>
        <v>0</v>
      </c>
      <c r="AE220" s="391">
        <f>IF(OR(L2="物理",L2="化學",L2="生物",L2="組合科學(物理、化學)",L2="組合科學(生物、化學)",L2="組合科學(物理、生物)"),L3,0)</f>
        <v>0</v>
      </c>
      <c r="AF220" s="391">
        <f>H$3</f>
        <v>5.0000000000000003E-10</v>
      </c>
      <c r="AG220" s="390"/>
      <c r="AH220" s="391" t="str">
        <f>IF(AI220&gt;0.1,INDEX(AB219:AF219,MATCH(LARGE(AB220:AF220,1),AB220:AF220,0)),"無")</f>
        <v>無</v>
      </c>
      <c r="AI220" s="391">
        <f>LARGE((AB220:AF220),1)</f>
        <v>5.0000000000000003E-10</v>
      </c>
      <c r="AJ220" s="391" t="str">
        <f>IF(AK220&gt;0.1,INDEX(AB219:AF219,MATCH(LARGE(AB220:AF220,2),AB220:AF220,0)),"無")</f>
        <v>無</v>
      </c>
      <c r="AK220" s="391">
        <f>LARGE((AB220:AF220),2)</f>
        <v>0</v>
      </c>
      <c r="AL220" s="384"/>
    </row>
    <row r="221" spans="1:40" x14ac:dyDescent="0.3">
      <c r="A221" s="344" t="str">
        <f>'Reference Score Calculation'!A212</f>
        <v>JS5181</v>
      </c>
      <c r="B221" s="344" t="str">
        <f>'Reference Score Calculation'!D212</f>
        <v>理學Ａ組– 延伸主修人工智能</v>
      </c>
      <c r="C221" s="355">
        <f>INDEX('Offer Statistics'!$CI$80:$CI$105,MATCH(入學要求!A221,'Offer Statistics'!$BS$80:$BS$105,0))</f>
        <v>41</v>
      </c>
      <c r="D221" s="109">
        <v>3</v>
      </c>
      <c r="E221" s="109">
        <v>3</v>
      </c>
      <c r="F221" s="109">
        <v>3</v>
      </c>
      <c r="G221" s="109">
        <v>2</v>
      </c>
      <c r="H221" s="109">
        <v>3</v>
      </c>
      <c r="I221" s="109">
        <v>3</v>
      </c>
      <c r="K221" s="355">
        <f t="shared" si="63"/>
        <v>0</v>
      </c>
      <c r="L221" s="355">
        <f t="shared" si="64"/>
        <v>0</v>
      </c>
      <c r="M221" s="355">
        <f t="shared" si="65"/>
        <v>0</v>
      </c>
      <c r="N221" s="355">
        <f t="shared" si="66"/>
        <v>0</v>
      </c>
      <c r="O221" s="355">
        <f>IF(H221&gt;$AI$220,0,1)</f>
        <v>0</v>
      </c>
      <c r="P221" s="355">
        <f t="shared" si="62"/>
        <v>0</v>
      </c>
      <c r="R221" s="16">
        <f t="shared" si="67"/>
        <v>0</v>
      </c>
      <c r="S221" s="21"/>
      <c r="T221" s="16" t="s">
        <v>2237</v>
      </c>
      <c r="U221" s="355" t="s">
        <v>2239</v>
      </c>
      <c r="V221" s="355" t="s">
        <v>2239</v>
      </c>
      <c r="X221" s="358" t="s">
        <v>3145</v>
      </c>
      <c r="Y221" s="344" t="s">
        <v>1978</v>
      </c>
      <c r="AA221" s="390" t="s">
        <v>1073</v>
      </c>
      <c r="AB221" s="417" t="s">
        <v>3156</v>
      </c>
      <c r="AC221" s="390"/>
      <c r="AD221" s="390"/>
      <c r="AE221" s="390"/>
      <c r="AF221" s="390"/>
      <c r="AG221" s="390"/>
      <c r="AH221" s="384"/>
      <c r="AI221" s="384"/>
      <c r="AJ221" s="384"/>
      <c r="AK221" s="384"/>
      <c r="AL221" s="384"/>
    </row>
    <row r="222" spans="1:40" x14ac:dyDescent="0.3">
      <c r="A222" s="344" t="str">
        <f>'Reference Score Calculation'!A213</f>
        <v>JS5200</v>
      </c>
      <c r="B222" s="344" t="str">
        <f>'Reference Score Calculation'!D213</f>
        <v>工程學</v>
      </c>
      <c r="C222" s="355">
        <f>INDEX('Offer Statistics'!$CI$80:$CI$105,MATCH(入學要求!A222,'Offer Statistics'!$BS$80:$BS$105,0))</f>
        <v>532</v>
      </c>
      <c r="D222" s="109">
        <v>3</v>
      </c>
      <c r="E222" s="109">
        <v>3</v>
      </c>
      <c r="F222" s="109">
        <v>3</v>
      </c>
      <c r="G222" s="109">
        <v>2</v>
      </c>
      <c r="H222" s="109">
        <v>3</v>
      </c>
      <c r="I222" s="109">
        <v>3</v>
      </c>
      <c r="K222" s="355">
        <f t="shared" si="63"/>
        <v>0</v>
      </c>
      <c r="L222" s="355">
        <f t="shared" si="64"/>
        <v>0</v>
      </c>
      <c r="M222" s="355">
        <f t="shared" si="65"/>
        <v>0</v>
      </c>
      <c r="N222" s="355">
        <f t="shared" si="66"/>
        <v>0</v>
      </c>
      <c r="O222" s="355">
        <f>IF(H222&gt;$AI$224,0,1)</f>
        <v>0</v>
      </c>
      <c r="P222" s="355">
        <f>IF(I222&gt;LARGE($H$3:$L$3,2),0,1)</f>
        <v>0</v>
      </c>
      <c r="R222" s="16">
        <f t="shared" si="67"/>
        <v>0</v>
      </c>
      <c r="S222" s="21"/>
      <c r="T222" s="16" t="s">
        <v>2237</v>
      </c>
      <c r="U222" s="355" t="s">
        <v>2239</v>
      </c>
      <c r="V222" s="355" t="s">
        <v>2239</v>
      </c>
      <c r="X222" s="358" t="s">
        <v>3205</v>
      </c>
      <c r="Y222" s="344" t="s">
        <v>1978</v>
      </c>
      <c r="AA222" s="390" t="s">
        <v>1077</v>
      </c>
      <c r="AB222" s="390"/>
      <c r="AC222" s="390"/>
      <c r="AD222" s="390"/>
      <c r="AE222" s="390"/>
      <c r="AF222" s="390"/>
      <c r="AG222" s="390"/>
      <c r="AH222" s="384"/>
      <c r="AI222" s="384"/>
      <c r="AJ222" s="384"/>
      <c r="AK222" s="384"/>
      <c r="AL222" s="384"/>
    </row>
    <row r="223" spans="1:40" x14ac:dyDescent="0.3">
      <c r="A223" s="344" t="str">
        <f>'Reference Score Calculation'!A214</f>
        <v>JS5211</v>
      </c>
      <c r="B223" s="344" t="str">
        <f>'Reference Score Calculation'!D214</f>
        <v>理學士（綜合系統與設計）</v>
      </c>
      <c r="C223" s="355">
        <f>INDEX('Offer Statistics'!$CI$80:$CI$105,MATCH(入學要求!A223,'Offer Statistics'!$BS$80:$BS$105,0))</f>
        <v>25</v>
      </c>
      <c r="D223" s="109">
        <v>3</v>
      </c>
      <c r="E223" s="109">
        <v>3</v>
      </c>
      <c r="F223" s="109">
        <v>3</v>
      </c>
      <c r="G223" s="109">
        <v>2</v>
      </c>
      <c r="H223" s="109">
        <v>3</v>
      </c>
      <c r="I223" s="109">
        <v>3</v>
      </c>
      <c r="K223" s="355">
        <f t="shared" si="63"/>
        <v>0</v>
      </c>
      <c r="L223" s="355">
        <f t="shared" si="64"/>
        <v>0</v>
      </c>
      <c r="M223" s="355">
        <f t="shared" si="65"/>
        <v>0</v>
      </c>
      <c r="N223" s="355">
        <f t="shared" si="66"/>
        <v>0</v>
      </c>
      <c r="O223" s="355">
        <f>IF(H223&gt;$AI$228,0,1)</f>
        <v>0</v>
      </c>
      <c r="P223" s="355">
        <f t="shared" si="62"/>
        <v>0</v>
      </c>
      <c r="R223" s="355">
        <f>IF(K223*L223*M223*N223*O223*P223=0,0,2)</f>
        <v>0</v>
      </c>
      <c r="S223" s="21"/>
      <c r="T223" s="16" t="s">
        <v>2237</v>
      </c>
      <c r="U223" s="355" t="s">
        <v>2239</v>
      </c>
      <c r="V223" s="355" t="s">
        <v>2239</v>
      </c>
      <c r="X223" s="358" t="s">
        <v>3206</v>
      </c>
      <c r="Y223" s="344" t="s">
        <v>3222</v>
      </c>
      <c r="Z223" s="21" t="s">
        <v>1978</v>
      </c>
      <c r="AA223" s="390"/>
      <c r="AB223" s="390" t="str">
        <f>I$2</f>
        <v>請選擇第一選修科</v>
      </c>
      <c r="AC223" s="390" t="str">
        <f t="shared" ref="AC223:AE223" si="68">J$2</f>
        <v>請選擇第二選修科</v>
      </c>
      <c r="AD223" s="390" t="str">
        <f t="shared" si="68"/>
        <v>請選擇第三選修科</v>
      </c>
      <c r="AE223" s="390" t="str">
        <f t="shared" si="68"/>
        <v>請選擇第四選修科</v>
      </c>
      <c r="AF223" s="384"/>
      <c r="AG223" s="384"/>
      <c r="AH223" s="390" t="s">
        <v>3201</v>
      </c>
      <c r="AI223" s="390"/>
      <c r="AJ223" s="384"/>
      <c r="AK223" s="384"/>
      <c r="AL223" s="384"/>
    </row>
    <row r="224" spans="1:40" x14ac:dyDescent="0.3">
      <c r="A224" s="344" t="str">
        <f>'Reference Score Calculation'!A215</f>
        <v>JS5282</v>
      </c>
      <c r="B224" s="344" t="str">
        <f>'Reference Score Calculation'!D215</f>
        <v>工程學– 延伸主修人工智能</v>
      </c>
      <c r="C224" s="355">
        <f>INDEX('Offer Statistics'!$CI$80:$CI$105,MATCH(入學要求!A224,'Offer Statistics'!$BS$80:$BS$105,0))</f>
        <v>152</v>
      </c>
      <c r="D224" s="109">
        <v>3</v>
      </c>
      <c r="E224" s="109">
        <v>3</v>
      </c>
      <c r="F224" s="109">
        <v>3</v>
      </c>
      <c r="G224" s="109">
        <v>2</v>
      </c>
      <c r="H224" s="109">
        <v>3</v>
      </c>
      <c r="I224" s="109">
        <v>3</v>
      </c>
      <c r="K224" s="355">
        <f t="shared" si="63"/>
        <v>0</v>
      </c>
      <c r="L224" s="355">
        <f t="shared" si="64"/>
        <v>0</v>
      </c>
      <c r="M224" s="355">
        <f t="shared" si="65"/>
        <v>0</v>
      </c>
      <c r="N224" s="355">
        <f t="shared" si="66"/>
        <v>0</v>
      </c>
      <c r="O224" s="355">
        <f>IF(H224&gt;$AI$224,0,1)</f>
        <v>0</v>
      </c>
      <c r="P224" s="355">
        <f>IF(I224&gt;LARGE($H$3:$L$3,2),0,1)</f>
        <v>0</v>
      </c>
      <c r="R224" s="16">
        <f t="shared" si="67"/>
        <v>0</v>
      </c>
      <c r="S224" s="21"/>
      <c r="T224" s="16" t="s">
        <v>2237</v>
      </c>
      <c r="U224" s="355" t="s">
        <v>2239</v>
      </c>
      <c r="V224" s="355" t="s">
        <v>2239</v>
      </c>
      <c r="X224" s="21" t="s">
        <v>1978</v>
      </c>
      <c r="Y224" s="358" t="s">
        <v>1978</v>
      </c>
      <c r="AA224" s="390" t="s">
        <v>3202</v>
      </c>
      <c r="AB224" s="391">
        <f>IF(OR(I$2="物理",I$2="化學",I$2="生物",I$2="組合科學(物理、化學)",I$2="組合科學(生物、化學)",I$2="組合科學(物理、生物)",I$2="資訊及通訊科技"),I$3,0)</f>
        <v>0</v>
      </c>
      <c r="AC224" s="391">
        <f t="shared" ref="AC224:AE224" si="69">IF(OR(J$2="物理",J$2="化學",J$2="生物",J$2="組合科學(物理、化學)",J$2="組合科學(生物、化學)",J$2="組合科學(物理、生物)",J$2="資訊及通訊科技"),J$3,0)</f>
        <v>0</v>
      </c>
      <c r="AD224" s="391">
        <f t="shared" si="69"/>
        <v>0</v>
      </c>
      <c r="AE224" s="391">
        <f t="shared" si="69"/>
        <v>0</v>
      </c>
      <c r="AF224" s="390"/>
      <c r="AG224" s="390"/>
      <c r="AH224" s="391" t="str">
        <f>IF(AI224&gt;0.1,INDEX(AB223:AE223,MATCH(LARGE(AB224:AE224,1),AB224:AE224,0)),"無")</f>
        <v>無</v>
      </c>
      <c r="AI224" s="391">
        <f>LARGE((AB224:AE224),1)</f>
        <v>0</v>
      </c>
      <c r="AJ224" s="384"/>
      <c r="AK224" s="384"/>
      <c r="AL224" s="384"/>
    </row>
    <row r="225" spans="1:38" x14ac:dyDescent="0.3">
      <c r="A225" s="344" t="str">
        <f>'Reference Score Calculation'!A216</f>
        <v>JS5300</v>
      </c>
      <c r="B225" s="344" t="str">
        <f>'Reference Score Calculation'!D216</f>
        <v>工商管理</v>
      </c>
      <c r="C225" s="355">
        <f>INDEX('Offer Statistics'!$CI$80:$CI$105,MATCH(入學要求!A225,'Offer Statistics'!$BS$80:$BS$105,0))</f>
        <v>377</v>
      </c>
      <c r="D225" s="109">
        <v>3</v>
      </c>
      <c r="E225" s="109">
        <v>4</v>
      </c>
      <c r="F225" s="109">
        <v>3</v>
      </c>
      <c r="G225" s="109">
        <v>2</v>
      </c>
      <c r="H225" s="109">
        <v>3</v>
      </c>
      <c r="I225" s="109">
        <v>3</v>
      </c>
      <c r="K225" s="355">
        <f t="shared" si="63"/>
        <v>0</v>
      </c>
      <c r="L225" s="355">
        <f t="shared" si="64"/>
        <v>0</v>
      </c>
      <c r="M225" s="355">
        <f t="shared" si="65"/>
        <v>0</v>
      </c>
      <c r="N225" s="355">
        <f t="shared" si="66"/>
        <v>0</v>
      </c>
      <c r="O225" s="355">
        <f t="shared" ref="O225:O242" si="70">IF(H225&gt;LARGE($H$3:$L$3,1),0,1)</f>
        <v>0</v>
      </c>
      <c r="P225" s="355">
        <f t="shared" si="62"/>
        <v>0</v>
      </c>
      <c r="R225" s="355">
        <f t="shared" si="67"/>
        <v>0</v>
      </c>
      <c r="S225" s="21"/>
      <c r="T225" s="16" t="s">
        <v>2237</v>
      </c>
      <c r="U225" s="355" t="s">
        <v>2239</v>
      </c>
      <c r="V225" s="355" t="s">
        <v>2239</v>
      </c>
      <c r="X225" s="358" t="s">
        <v>1978</v>
      </c>
      <c r="Y225" s="358" t="s">
        <v>1978</v>
      </c>
      <c r="AA225" s="390" t="s">
        <v>2254</v>
      </c>
      <c r="AB225" s="417" t="s">
        <v>3203</v>
      </c>
      <c r="AC225" s="390"/>
      <c r="AD225" s="390"/>
      <c r="AE225" s="390"/>
      <c r="AF225" s="390"/>
      <c r="AG225" s="390"/>
      <c r="AH225" s="384"/>
      <c r="AI225" s="384"/>
      <c r="AJ225" s="384"/>
      <c r="AK225" s="384"/>
      <c r="AL225" s="384"/>
    </row>
    <row r="226" spans="1:38" x14ac:dyDescent="0.3">
      <c r="A226" s="344" t="str">
        <f>'Reference Score Calculation'!A217</f>
        <v>JS5311</v>
      </c>
      <c r="B226" s="344" t="str">
        <f>'Reference Score Calculation'!D217</f>
        <v>工商管理學士（經濟學）</v>
      </c>
      <c r="C226" s="355" t="str">
        <f>INDEX('Offer Statistics'!$CI$80:$CI$105,MATCH(入學要求!A226,'Offer Statistics'!$BS$80:$BS$105,0))</f>
        <v>125*</v>
      </c>
      <c r="D226" s="109">
        <v>3</v>
      </c>
      <c r="E226" s="109">
        <v>4</v>
      </c>
      <c r="F226" s="109">
        <v>3</v>
      </c>
      <c r="G226" s="109">
        <v>2</v>
      </c>
      <c r="H226" s="109">
        <v>3</v>
      </c>
      <c r="I226" s="109">
        <v>3</v>
      </c>
      <c r="K226" s="355">
        <f t="shared" si="63"/>
        <v>0</v>
      </c>
      <c r="L226" s="355">
        <f t="shared" si="64"/>
        <v>0</v>
      </c>
      <c r="M226" s="355">
        <f t="shared" si="65"/>
        <v>0</v>
      </c>
      <c r="N226" s="355">
        <f t="shared" si="66"/>
        <v>0</v>
      </c>
      <c r="O226" s="355">
        <f t="shared" si="70"/>
        <v>0</v>
      </c>
      <c r="P226" s="355">
        <f t="shared" si="62"/>
        <v>0</v>
      </c>
      <c r="R226" s="355">
        <f t="shared" si="67"/>
        <v>0</v>
      </c>
      <c r="S226" s="21"/>
      <c r="T226" s="16" t="s">
        <v>2237</v>
      </c>
      <c r="U226" s="355" t="s">
        <v>2239</v>
      </c>
      <c r="V226" s="355" t="s">
        <v>2239</v>
      </c>
      <c r="X226" s="358" t="s">
        <v>1978</v>
      </c>
      <c r="Y226" s="358" t="s">
        <v>1978</v>
      </c>
      <c r="AA226" s="390"/>
      <c r="AB226" s="390"/>
      <c r="AC226" s="390"/>
      <c r="AD226" s="390"/>
      <c r="AE226" s="390"/>
      <c r="AF226" s="390"/>
      <c r="AG226" s="390"/>
      <c r="AH226" s="384"/>
      <c r="AI226" s="384"/>
      <c r="AJ226" s="384"/>
      <c r="AK226" s="384"/>
      <c r="AL226" s="384"/>
    </row>
    <row r="227" spans="1:38" x14ac:dyDescent="0.3">
      <c r="A227" s="344" t="str">
        <f>'Reference Score Calculation'!A218</f>
        <v>JS5312</v>
      </c>
      <c r="B227" s="344" t="str">
        <f>'Reference Score Calculation'!D218</f>
        <v>工商管理學士（金融學）</v>
      </c>
      <c r="C227" s="355">
        <f>INDEX('Offer Statistics'!$CI$80:$CI$105,MATCH(入學要求!A227,'Offer Statistics'!$BS$80:$BS$105,0))</f>
        <v>30</v>
      </c>
      <c r="D227" s="109">
        <v>3</v>
      </c>
      <c r="E227" s="109">
        <v>4</v>
      </c>
      <c r="F227" s="109">
        <v>3</v>
      </c>
      <c r="G227" s="109">
        <v>2</v>
      </c>
      <c r="H227" s="109">
        <v>3</v>
      </c>
      <c r="I227" s="109">
        <v>3</v>
      </c>
      <c r="K227" s="355">
        <f t="shared" si="63"/>
        <v>0</v>
      </c>
      <c r="L227" s="355">
        <f t="shared" si="64"/>
        <v>0</v>
      </c>
      <c r="M227" s="355">
        <f t="shared" si="65"/>
        <v>0</v>
      </c>
      <c r="N227" s="355">
        <f t="shared" si="66"/>
        <v>0</v>
      </c>
      <c r="O227" s="355">
        <f t="shared" si="70"/>
        <v>0</v>
      </c>
      <c r="P227" s="355">
        <f t="shared" si="62"/>
        <v>0</v>
      </c>
      <c r="R227" s="355">
        <f t="shared" si="67"/>
        <v>0</v>
      </c>
      <c r="S227" s="21"/>
      <c r="T227" s="16" t="s">
        <v>2237</v>
      </c>
      <c r="U227" s="355" t="s">
        <v>2239</v>
      </c>
      <c r="V227" s="355" t="s">
        <v>2239</v>
      </c>
      <c r="X227" s="358" t="s">
        <v>1978</v>
      </c>
      <c r="Y227" s="358" t="s">
        <v>1978</v>
      </c>
      <c r="AA227" s="390"/>
      <c r="AB227" s="390" t="str">
        <f>I$2</f>
        <v>請選擇第一選修科</v>
      </c>
      <c r="AC227" s="390" t="str">
        <f t="shared" ref="AC227" si="71">J$2</f>
        <v>請選擇第二選修科</v>
      </c>
      <c r="AD227" s="390" t="str">
        <f t="shared" ref="AD227" si="72">K$2</f>
        <v>請選擇第三選修科</v>
      </c>
      <c r="AE227" s="390" t="str">
        <f t="shared" ref="AE227" si="73">L$2</f>
        <v>請選擇第四選修科</v>
      </c>
      <c r="AF227" s="384"/>
      <c r="AG227" s="384"/>
      <c r="AH227" s="390" t="s">
        <v>3201</v>
      </c>
      <c r="AI227" s="390"/>
      <c r="AJ227" s="384"/>
      <c r="AK227" s="384"/>
      <c r="AL227" s="384"/>
    </row>
    <row r="228" spans="1:38" x14ac:dyDescent="0.3">
      <c r="A228" s="344" t="str">
        <f>'Reference Score Calculation'!A219</f>
        <v>JS5313</v>
      </c>
      <c r="B228" s="344" t="str">
        <f>'Reference Score Calculation'!D219</f>
        <v>工商管理學士（環球商業管理）</v>
      </c>
      <c r="C228" s="355">
        <f>INDEX('Offer Statistics'!$CI$80:$CI$105,MATCH(入學要求!A228,'Offer Statistics'!$BS$80:$BS$105,0))</f>
        <v>26</v>
      </c>
      <c r="D228" s="109">
        <v>3</v>
      </c>
      <c r="E228" s="109">
        <v>4</v>
      </c>
      <c r="F228" s="109">
        <v>3</v>
      </c>
      <c r="G228" s="109">
        <v>2</v>
      </c>
      <c r="H228" s="109">
        <v>3</v>
      </c>
      <c r="I228" s="109">
        <v>3</v>
      </c>
      <c r="K228" s="355">
        <f t="shared" si="63"/>
        <v>0</v>
      </c>
      <c r="L228" s="355">
        <f>IF(E228&gt;E$3,0,IF(E$3&lt;5,2,1))</f>
        <v>0</v>
      </c>
      <c r="M228" s="355">
        <f t="shared" si="65"/>
        <v>0</v>
      </c>
      <c r="N228" s="355">
        <f t="shared" si="66"/>
        <v>0</v>
      </c>
      <c r="O228" s="355">
        <f t="shared" si="70"/>
        <v>0</v>
      </c>
      <c r="P228" s="355">
        <f t="shared" si="62"/>
        <v>0</v>
      </c>
      <c r="R228" s="355">
        <f t="shared" si="67"/>
        <v>0</v>
      </c>
      <c r="S228" s="21"/>
      <c r="T228" s="16" t="s">
        <v>2237</v>
      </c>
      <c r="U228" s="355" t="s">
        <v>2239</v>
      </c>
      <c r="V228" s="355" t="s">
        <v>2239</v>
      </c>
      <c r="X228" s="21" t="s">
        <v>3210</v>
      </c>
      <c r="Y228" s="344" t="s">
        <v>3208</v>
      </c>
      <c r="AA228" s="390" t="s">
        <v>2333</v>
      </c>
      <c r="AB228" s="391">
        <f>IF(OR(I$2="物理",I$2="化學",I$2="生物",I$2="組合科學(物理、化學)",I$2="組合科學(生物、化學)",I$2="組合科學(物理、生物)",I$2="資訊及通訊科技",I$2="設計與應用科技"),I$3,0)</f>
        <v>0</v>
      </c>
      <c r="AC228" s="391">
        <f t="shared" ref="AC228:AE228" si="74">IF(OR(J$2="物理",J$2="化學",J$2="生物",J$2="組合科學(物理、化學)",J$2="組合科學(生物、化學)",J$2="組合科學(物理、生物)",J$2="資訊及通訊科技",J$2="設計與應用科技"),J$3,0)</f>
        <v>0</v>
      </c>
      <c r="AD228" s="391">
        <f t="shared" si="74"/>
        <v>0</v>
      </c>
      <c r="AE228" s="391">
        <f t="shared" si="74"/>
        <v>0</v>
      </c>
      <c r="AF228" s="390"/>
      <c r="AG228" s="390"/>
      <c r="AH228" s="391" t="str">
        <f>IF(AI228&gt;0.1,INDEX(AB227:AE227,MATCH(LARGE(AB228:AE228,1),AB228:AE228,0)),"無")</f>
        <v>無</v>
      </c>
      <c r="AI228" s="391">
        <f>LARGE((AB228:AE228),1)</f>
        <v>0</v>
      </c>
      <c r="AJ228" s="384"/>
      <c r="AK228" s="384"/>
      <c r="AL228" s="384"/>
    </row>
    <row r="229" spans="1:38" x14ac:dyDescent="0.3">
      <c r="A229" s="344" t="str">
        <f>'Reference Score Calculation'!A220</f>
        <v>JS5314</v>
      </c>
      <c r="B229" s="344" t="str">
        <f>'Reference Score Calculation'!D220</f>
        <v>工商管理學士（資訊系統學）</v>
      </c>
      <c r="C229" s="355" t="str">
        <f>INDEX('Offer Statistics'!$CI$80:$CI$105,MATCH(入學要求!A229,'Offer Statistics'!$BS$80:$BS$105,0))</f>
        <v>125*</v>
      </c>
      <c r="D229" s="109">
        <v>3</v>
      </c>
      <c r="E229" s="109">
        <v>4</v>
      </c>
      <c r="F229" s="109">
        <v>3</v>
      </c>
      <c r="G229" s="109">
        <v>2</v>
      </c>
      <c r="H229" s="109">
        <v>3</v>
      </c>
      <c r="I229" s="109">
        <v>3</v>
      </c>
      <c r="K229" s="355">
        <f t="shared" si="63"/>
        <v>0</v>
      </c>
      <c r="L229" s="355">
        <f t="shared" si="64"/>
        <v>0</v>
      </c>
      <c r="M229" s="355">
        <f t="shared" si="65"/>
        <v>0</v>
      </c>
      <c r="N229" s="355">
        <f t="shared" si="66"/>
        <v>0</v>
      </c>
      <c r="O229" s="355">
        <f t="shared" si="70"/>
        <v>0</v>
      </c>
      <c r="P229" s="355">
        <f t="shared" si="62"/>
        <v>0</v>
      </c>
      <c r="R229" s="355">
        <f t="shared" si="67"/>
        <v>0</v>
      </c>
      <c r="S229" s="21"/>
      <c r="T229" s="16" t="s">
        <v>2237</v>
      </c>
      <c r="U229" s="355" t="s">
        <v>2239</v>
      </c>
      <c r="V229" s="355" t="s">
        <v>2239</v>
      </c>
      <c r="X229" s="358" t="s">
        <v>1978</v>
      </c>
      <c r="Y229" s="358" t="s">
        <v>1978</v>
      </c>
      <c r="AA229" s="390"/>
      <c r="AB229" s="417" t="s">
        <v>3204</v>
      </c>
      <c r="AC229" s="390"/>
      <c r="AD229" s="390"/>
      <c r="AE229" s="390"/>
      <c r="AF229" s="390"/>
      <c r="AG229" s="390"/>
      <c r="AH229" s="384"/>
      <c r="AI229" s="384"/>
      <c r="AJ229" s="384"/>
      <c r="AK229" s="384"/>
      <c r="AL229" s="384"/>
    </row>
    <row r="230" spans="1:38" x14ac:dyDescent="0.3">
      <c r="A230" s="344" t="str">
        <f>'Reference Score Calculation'!A221</f>
        <v>JS5315</v>
      </c>
      <c r="B230" s="344" t="str">
        <f>'Reference Score Calculation'!D221</f>
        <v>工商管理學士（管理學）</v>
      </c>
      <c r="C230" s="355" t="str">
        <f>INDEX('Offer Statistics'!$CI$80:$CI$105,MATCH(入學要求!A230,'Offer Statistics'!$BS$80:$BS$105,0))</f>
        <v>125*</v>
      </c>
      <c r="D230" s="109">
        <v>3</v>
      </c>
      <c r="E230" s="109">
        <v>4</v>
      </c>
      <c r="F230" s="109">
        <v>3</v>
      </c>
      <c r="G230" s="109">
        <v>2</v>
      </c>
      <c r="H230" s="109">
        <v>3</v>
      </c>
      <c r="I230" s="109">
        <v>3</v>
      </c>
      <c r="K230" s="355">
        <f t="shared" si="63"/>
        <v>0</v>
      </c>
      <c r="L230" s="355">
        <f t="shared" si="64"/>
        <v>0</v>
      </c>
      <c r="M230" s="355">
        <f t="shared" si="65"/>
        <v>0</v>
      </c>
      <c r="N230" s="355">
        <f t="shared" si="66"/>
        <v>0</v>
      </c>
      <c r="O230" s="355">
        <f t="shared" si="70"/>
        <v>0</v>
      </c>
      <c r="P230" s="355">
        <f t="shared" si="62"/>
        <v>0</v>
      </c>
      <c r="R230" s="355">
        <f t="shared" si="67"/>
        <v>0</v>
      </c>
      <c r="S230" s="21"/>
      <c r="T230" s="16" t="s">
        <v>2237</v>
      </c>
      <c r="U230" s="355" t="s">
        <v>2239</v>
      </c>
      <c r="V230" s="355" t="s">
        <v>2239</v>
      </c>
      <c r="X230" s="358" t="s">
        <v>1978</v>
      </c>
      <c r="Y230" s="358" t="s">
        <v>1978</v>
      </c>
      <c r="AA230" s="390"/>
      <c r="AB230" s="390"/>
      <c r="AC230" s="390"/>
      <c r="AD230" s="390"/>
      <c r="AE230" s="390"/>
      <c r="AF230" s="390"/>
      <c r="AG230" s="390"/>
      <c r="AH230" s="384"/>
      <c r="AI230" s="384"/>
      <c r="AJ230" s="384"/>
      <c r="AK230" s="384"/>
      <c r="AL230" s="384"/>
    </row>
    <row r="231" spans="1:38" x14ac:dyDescent="0.3">
      <c r="A231" s="344" t="str">
        <f>'Reference Score Calculation'!A222</f>
        <v>JS5316</v>
      </c>
      <c r="B231" s="344" t="str">
        <f>'Reference Score Calculation'!D222</f>
        <v>工商管理學士（市場學）</v>
      </c>
      <c r="C231" s="355" t="str">
        <f>INDEX('Offer Statistics'!$CI$80:$CI$105,MATCH(入學要求!A231,'Offer Statistics'!$BS$80:$BS$105,0))</f>
        <v>125*</v>
      </c>
      <c r="D231" s="109">
        <v>3</v>
      </c>
      <c r="E231" s="109">
        <v>4</v>
      </c>
      <c r="F231" s="109">
        <v>3</v>
      </c>
      <c r="G231" s="109">
        <v>2</v>
      </c>
      <c r="H231" s="109">
        <v>3</v>
      </c>
      <c r="I231" s="109">
        <v>3</v>
      </c>
      <c r="K231" s="355">
        <f t="shared" si="63"/>
        <v>0</v>
      </c>
      <c r="L231" s="355">
        <f t="shared" si="64"/>
        <v>0</v>
      </c>
      <c r="M231" s="355">
        <f t="shared" si="65"/>
        <v>0</v>
      </c>
      <c r="N231" s="355">
        <f t="shared" si="66"/>
        <v>0</v>
      </c>
      <c r="O231" s="355">
        <f t="shared" si="70"/>
        <v>0</v>
      </c>
      <c r="P231" s="355">
        <f t="shared" si="62"/>
        <v>0</v>
      </c>
      <c r="R231" s="355">
        <f t="shared" si="67"/>
        <v>0</v>
      </c>
      <c r="T231" s="16" t="s">
        <v>2237</v>
      </c>
      <c r="U231" s="355" t="s">
        <v>2239</v>
      </c>
      <c r="V231" s="355" t="s">
        <v>2239</v>
      </c>
      <c r="X231" s="358" t="s">
        <v>1978</v>
      </c>
      <c r="Y231" s="358" t="s">
        <v>1978</v>
      </c>
      <c r="AA231" s="390"/>
      <c r="AB231" s="390" t="str">
        <f>I$2</f>
        <v>請選擇第一選修科</v>
      </c>
      <c r="AC231" s="390" t="str">
        <f t="shared" ref="AC231" si="75">J$2</f>
        <v>請選擇第二選修科</v>
      </c>
      <c r="AD231" s="390" t="str">
        <f t="shared" ref="AD231" si="76">K$2</f>
        <v>請選擇第三選修科</v>
      </c>
      <c r="AE231" s="390" t="str">
        <f t="shared" ref="AE231" si="77">L$2</f>
        <v>請選擇第四選修科</v>
      </c>
      <c r="AF231" s="384"/>
      <c r="AG231" s="384"/>
      <c r="AH231" s="390" t="s">
        <v>3215</v>
      </c>
      <c r="AI231" s="390"/>
      <c r="AJ231" s="384"/>
      <c r="AK231" s="384"/>
      <c r="AL231" s="384"/>
    </row>
    <row r="232" spans="1:38" x14ac:dyDescent="0.3">
      <c r="A232" s="344" t="str">
        <f>'Reference Score Calculation'!A223</f>
        <v>JS5317</v>
      </c>
      <c r="B232" s="344" t="str">
        <f>'Reference Score Calculation'!D223</f>
        <v>工商管理學士（營運管理學）</v>
      </c>
      <c r="C232" s="355" t="str">
        <f>INDEX('Offer Statistics'!$CI$80:$CI$105,MATCH(入學要求!A232,'Offer Statistics'!$BS$80:$BS$105,0))</f>
        <v>125*</v>
      </c>
      <c r="D232" s="109">
        <v>3</v>
      </c>
      <c r="E232" s="109">
        <v>4</v>
      </c>
      <c r="F232" s="109">
        <v>3</v>
      </c>
      <c r="G232" s="109">
        <v>2</v>
      </c>
      <c r="H232" s="109">
        <v>3</v>
      </c>
      <c r="I232" s="109">
        <v>3</v>
      </c>
      <c r="K232" s="355">
        <f t="shared" si="63"/>
        <v>0</v>
      </c>
      <c r="L232" s="355">
        <f t="shared" si="64"/>
        <v>0</v>
      </c>
      <c r="M232" s="355">
        <f t="shared" si="65"/>
        <v>0</v>
      </c>
      <c r="N232" s="355">
        <f t="shared" si="66"/>
        <v>0</v>
      </c>
      <c r="O232" s="355">
        <f t="shared" si="70"/>
        <v>0</v>
      </c>
      <c r="P232" s="355">
        <f t="shared" si="62"/>
        <v>0</v>
      </c>
      <c r="R232" s="355">
        <f t="shared" si="67"/>
        <v>0</v>
      </c>
      <c r="T232" s="16" t="s">
        <v>2237</v>
      </c>
      <c r="U232" s="355" t="s">
        <v>2239</v>
      </c>
      <c r="V232" s="355" t="s">
        <v>2239</v>
      </c>
      <c r="X232" s="358" t="s">
        <v>1978</v>
      </c>
      <c r="Y232" s="358" t="s">
        <v>1978</v>
      </c>
      <c r="AA232" s="390" t="s">
        <v>2341</v>
      </c>
      <c r="AB232" s="391">
        <f>IF(OR(I$2="化學",I$2="生物"),I$3,0)</f>
        <v>0</v>
      </c>
      <c r="AC232" s="391">
        <f t="shared" ref="AC232:AE232" si="78">IF(OR(J$2="化學",J$2="生物"),J$3,0)</f>
        <v>0</v>
      </c>
      <c r="AD232" s="391">
        <f t="shared" si="78"/>
        <v>0</v>
      </c>
      <c r="AE232" s="391">
        <f t="shared" si="78"/>
        <v>0</v>
      </c>
      <c r="AF232" s="390"/>
      <c r="AG232" s="390"/>
      <c r="AH232" s="391" t="str">
        <f>IF(AI232&gt;0.1,INDEX(AB231:AE231,MATCH(LARGE(AB232:AE232,1),AB232:AE232,0)),"無")</f>
        <v>無</v>
      </c>
      <c r="AI232" s="391">
        <f>LARGE((AB232:AE232),1)</f>
        <v>0</v>
      </c>
      <c r="AJ232" s="384"/>
      <c r="AK232" s="384"/>
      <c r="AL232" s="384"/>
    </row>
    <row r="233" spans="1:38" x14ac:dyDescent="0.3">
      <c r="A233" s="344" t="str">
        <f>'Reference Score Calculation'!A224</f>
        <v>JS5318</v>
      </c>
      <c r="B233" s="344" t="str">
        <f>'Reference Score Calculation'!D224</f>
        <v>工商管理學士（專業會計學）</v>
      </c>
      <c r="C233" s="355">
        <f>INDEX('Offer Statistics'!$CI$80:$CI$105,MATCH(入學要求!A233,'Offer Statistics'!$BS$80:$BS$105,0))</f>
        <v>60</v>
      </c>
      <c r="D233" s="109">
        <v>3</v>
      </c>
      <c r="E233" s="109">
        <v>4</v>
      </c>
      <c r="F233" s="109">
        <v>3</v>
      </c>
      <c r="G233" s="109">
        <v>2</v>
      </c>
      <c r="H233" s="109">
        <v>3</v>
      </c>
      <c r="I233" s="109">
        <v>3</v>
      </c>
      <c r="K233" s="355">
        <f t="shared" si="63"/>
        <v>0</v>
      </c>
      <c r="L233" s="355">
        <f t="shared" si="64"/>
        <v>0</v>
      </c>
      <c r="M233" s="355">
        <f t="shared" si="65"/>
        <v>0</v>
      </c>
      <c r="N233" s="355">
        <f t="shared" si="66"/>
        <v>0</v>
      </c>
      <c r="O233" s="355">
        <f t="shared" si="70"/>
        <v>0</v>
      </c>
      <c r="P233" s="355">
        <f t="shared" si="62"/>
        <v>0</v>
      </c>
      <c r="R233" s="355">
        <f t="shared" si="67"/>
        <v>0</v>
      </c>
      <c r="T233" s="16" t="s">
        <v>2237</v>
      </c>
      <c r="U233" s="355" t="s">
        <v>2239</v>
      </c>
      <c r="V233" s="355" t="s">
        <v>2239</v>
      </c>
      <c r="X233" s="358" t="s">
        <v>1978</v>
      </c>
      <c r="Y233" s="358" t="s">
        <v>1978</v>
      </c>
      <c r="AA233" s="390"/>
      <c r="AB233" s="417" t="s">
        <v>3214</v>
      </c>
      <c r="AC233" s="390"/>
      <c r="AD233" s="390"/>
      <c r="AE233" s="390"/>
      <c r="AF233" s="390"/>
      <c r="AG233" s="390"/>
      <c r="AH233" s="384"/>
      <c r="AI233" s="384"/>
      <c r="AJ233" s="384"/>
      <c r="AK233" s="384"/>
      <c r="AL233" s="384"/>
    </row>
    <row r="234" spans="1:38" x14ac:dyDescent="0.3">
      <c r="A234" s="344" t="str">
        <f>'Reference Score Calculation'!A225</f>
        <v>JS5331</v>
      </c>
      <c r="B234" s="344" t="str">
        <f>'Reference Score Calculation'!D225</f>
        <v>理學士（經濟及金融學）</v>
      </c>
      <c r="C234" s="355">
        <f>INDEX('Offer Statistics'!$CI$80:$CI$105,MATCH(入學要求!A234,'Offer Statistics'!$BS$80:$BS$105,0))</f>
        <v>26</v>
      </c>
      <c r="D234" s="109">
        <v>3</v>
      </c>
      <c r="E234" s="109">
        <v>4</v>
      </c>
      <c r="F234" s="109">
        <v>3</v>
      </c>
      <c r="G234" s="109">
        <v>2</v>
      </c>
      <c r="H234" s="109">
        <v>3</v>
      </c>
      <c r="I234" s="109">
        <v>3</v>
      </c>
      <c r="K234" s="355">
        <f t="shared" si="63"/>
        <v>0</v>
      </c>
      <c r="L234" s="355">
        <f t="shared" si="64"/>
        <v>0</v>
      </c>
      <c r="M234" s="355">
        <f t="shared" si="65"/>
        <v>0</v>
      </c>
      <c r="N234" s="355">
        <f t="shared" si="66"/>
        <v>0</v>
      </c>
      <c r="O234" s="355">
        <f>IF(H234&gt;LARGE($H$3:$L$3,1),0,1)</f>
        <v>0</v>
      </c>
      <c r="P234" s="355">
        <f t="shared" si="62"/>
        <v>0</v>
      </c>
      <c r="R234" s="355">
        <f t="shared" si="67"/>
        <v>0</v>
      </c>
      <c r="T234" s="16" t="s">
        <v>2237</v>
      </c>
      <c r="U234" s="355" t="s">
        <v>2239</v>
      </c>
      <c r="V234" s="355" t="s">
        <v>2239</v>
      </c>
      <c r="X234" s="344" t="s">
        <v>3208</v>
      </c>
      <c r="Y234" s="358" t="s">
        <v>1978</v>
      </c>
      <c r="AA234" s="390"/>
      <c r="AB234" s="390"/>
      <c r="AC234" s="390"/>
      <c r="AD234" s="390"/>
      <c r="AE234" s="390"/>
      <c r="AF234" s="390"/>
      <c r="AG234" s="390"/>
      <c r="AH234" s="384"/>
      <c r="AI234" s="384"/>
      <c r="AJ234" s="384"/>
      <c r="AK234" s="384"/>
      <c r="AL234" s="384"/>
    </row>
    <row r="235" spans="1:38" x14ac:dyDescent="0.3">
      <c r="A235" s="344" t="str">
        <f>'Reference Score Calculation'!A226</f>
        <v>JS5332</v>
      </c>
      <c r="B235" s="344" t="str">
        <f>'Reference Score Calculation'!D226</f>
        <v>理學士（量化金融學）</v>
      </c>
      <c r="C235" s="355">
        <f>INDEX('Offer Statistics'!$CI$80:$CI$105,MATCH(入學要求!A235,'Offer Statistics'!$BS$80:$BS$105,0))</f>
        <v>20</v>
      </c>
      <c r="D235" s="109">
        <v>3</v>
      </c>
      <c r="E235" s="109">
        <v>4</v>
      </c>
      <c r="F235" s="109">
        <v>3</v>
      </c>
      <c r="G235" s="109">
        <v>2</v>
      </c>
      <c r="H235" s="109">
        <v>3</v>
      </c>
      <c r="I235" s="109">
        <v>3</v>
      </c>
      <c r="K235" s="355">
        <f t="shared" si="63"/>
        <v>0</v>
      </c>
      <c r="L235" s="355">
        <f t="shared" si="64"/>
        <v>0</v>
      </c>
      <c r="M235" s="355">
        <f t="shared" si="65"/>
        <v>0</v>
      </c>
      <c r="N235" s="355">
        <f t="shared" si="66"/>
        <v>0</v>
      </c>
      <c r="O235" s="355">
        <f t="shared" si="70"/>
        <v>0</v>
      </c>
      <c r="P235" s="355">
        <f t="shared" si="62"/>
        <v>0</v>
      </c>
      <c r="R235" s="355">
        <f t="shared" si="67"/>
        <v>0</v>
      </c>
      <c r="T235" s="16" t="s">
        <v>2237</v>
      </c>
      <c r="U235" s="355" t="s">
        <v>2239</v>
      </c>
      <c r="V235" s="355" t="s">
        <v>2239</v>
      </c>
      <c r="X235" s="344" t="s">
        <v>3208</v>
      </c>
      <c r="Y235" s="358" t="s">
        <v>1978</v>
      </c>
      <c r="AA235" s="390"/>
      <c r="AB235" s="390" t="str">
        <f>I$2</f>
        <v>請選擇第一選修科</v>
      </c>
      <c r="AC235" s="390" t="str">
        <f t="shared" ref="AC235" si="79">J$2</f>
        <v>請選擇第二選修科</v>
      </c>
      <c r="AD235" s="390" t="str">
        <f t="shared" ref="AD235" si="80">K$2</f>
        <v>請選擇第三選修科</v>
      </c>
      <c r="AE235" s="390" t="str">
        <f t="shared" ref="AE235" si="81">L$2</f>
        <v>請選擇第四選修科</v>
      </c>
      <c r="AF235" s="390" t="str">
        <f>H$2</f>
        <v>數學延伸</v>
      </c>
      <c r="AG235" s="384"/>
      <c r="AH235" s="390" t="s">
        <v>3201</v>
      </c>
      <c r="AI235" s="390"/>
      <c r="AJ235" s="384"/>
      <c r="AK235" s="384"/>
      <c r="AL235" s="384"/>
    </row>
    <row r="236" spans="1:38" x14ac:dyDescent="0.3">
      <c r="A236" s="344" t="str">
        <f>'Reference Score Calculation'!A227</f>
        <v>JS5411</v>
      </c>
      <c r="B236" s="344" t="str">
        <f>'Reference Score Calculation'!D227</f>
        <v>理學士（環球中國研究）</v>
      </c>
      <c r="C236" s="355">
        <f>INDEX('Offer Statistics'!$CI$80:$CI$105,MATCH(入學要求!A236,'Offer Statistics'!$BS$80:$BS$105,0))</f>
        <v>50</v>
      </c>
      <c r="D236" s="109">
        <v>3</v>
      </c>
      <c r="E236" s="109">
        <v>3</v>
      </c>
      <c r="F236" s="109">
        <v>2</v>
      </c>
      <c r="G236" s="109">
        <v>2</v>
      </c>
      <c r="H236" s="109">
        <v>3</v>
      </c>
      <c r="I236" s="109">
        <v>3</v>
      </c>
      <c r="K236" s="355">
        <f t="shared" si="63"/>
        <v>0</v>
      </c>
      <c r="L236" s="355">
        <f t="shared" si="64"/>
        <v>0</v>
      </c>
      <c r="M236" s="355">
        <f t="shared" si="65"/>
        <v>0</v>
      </c>
      <c r="N236" s="355">
        <f t="shared" si="66"/>
        <v>0</v>
      </c>
      <c r="O236" s="355">
        <f t="shared" si="70"/>
        <v>0</v>
      </c>
      <c r="P236" s="355">
        <f t="shared" si="62"/>
        <v>0</v>
      </c>
      <c r="R236" s="355">
        <f t="shared" si="67"/>
        <v>0</v>
      </c>
      <c r="T236" s="16" t="s">
        <v>2237</v>
      </c>
      <c r="U236" s="355" t="s">
        <v>2239</v>
      </c>
      <c r="V236" s="355" t="s">
        <v>2239</v>
      </c>
      <c r="X236" s="358" t="s">
        <v>1978</v>
      </c>
      <c r="Y236" s="358" t="s">
        <v>1978</v>
      </c>
      <c r="Z236" s="358"/>
      <c r="AA236" s="390" t="s">
        <v>2342</v>
      </c>
      <c r="AB236" s="391">
        <f>IF(OR(I$2="物理",I$2="化學",I$2="生物",I$2="組合科學(物理、化學)",I$2="組合科學(生物、化學)",I$2="組合科學(物理、生物)",I$2="經濟"),I$3,0)</f>
        <v>0</v>
      </c>
      <c r="AC236" s="391">
        <f t="shared" ref="AC236:AE236" si="82">IF(OR(J$2="物理",J$2="化學",J$2="生物",J$2="組合科學(物理、化學)",J$2="組合科學(生物、化學)",J$2="組合科學(物理、生物)",J$2="經濟"),J$3,0)</f>
        <v>0</v>
      </c>
      <c r="AD236" s="391">
        <f t="shared" si="82"/>
        <v>0</v>
      </c>
      <c r="AE236" s="391">
        <f t="shared" si="82"/>
        <v>0</v>
      </c>
      <c r="AF236" s="391">
        <f>H$3</f>
        <v>5.0000000000000003E-10</v>
      </c>
      <c r="AG236" s="390"/>
      <c r="AH236" s="391" t="str">
        <f>IF(AI236&gt;0.1,INDEX(AB235:AF235,MATCH(LARGE(AB236:AF236,1),AB236:AF236,0)),"無")</f>
        <v>無</v>
      </c>
      <c r="AI236" s="391">
        <f>LARGE((AB236:AF236),1)</f>
        <v>5.0000000000000003E-10</v>
      </c>
      <c r="AJ236" s="384"/>
      <c r="AK236" s="384"/>
      <c r="AL236" s="384"/>
    </row>
    <row r="237" spans="1:38" x14ac:dyDescent="0.3">
      <c r="A237" s="344" t="str">
        <f>'Reference Score Calculation'!A228</f>
        <v>JS5412</v>
      </c>
      <c r="B237" s="344" t="str">
        <f>'Reference Score Calculation'!D228</f>
        <v>理學士（定量社會數據分析）</v>
      </c>
      <c r="C237" s="355">
        <f>INDEX('Offer Statistics'!$CI$80:$CI$105,MATCH(入學要求!A237,'Offer Statistics'!$BS$80:$BS$105,0))</f>
        <v>28</v>
      </c>
      <c r="D237" s="109">
        <v>3</v>
      </c>
      <c r="E237" s="109">
        <v>3</v>
      </c>
      <c r="F237" s="109">
        <v>3</v>
      </c>
      <c r="G237" s="109">
        <v>2</v>
      </c>
      <c r="H237" s="109">
        <v>3</v>
      </c>
      <c r="I237" s="109">
        <v>3</v>
      </c>
      <c r="K237" s="355">
        <f t="shared" si="63"/>
        <v>0</v>
      </c>
      <c r="L237" s="355">
        <f t="shared" si="64"/>
        <v>0</v>
      </c>
      <c r="M237" s="355">
        <f>IF(F237&gt;F$3,0,IF(F$3&lt;4,2,1))</f>
        <v>0</v>
      </c>
      <c r="N237" s="355">
        <f t="shared" si="66"/>
        <v>0</v>
      </c>
      <c r="O237" s="355">
        <f t="shared" si="70"/>
        <v>0</v>
      </c>
      <c r="P237" s="355">
        <f t="shared" si="62"/>
        <v>0</v>
      </c>
      <c r="R237" s="355">
        <f t="shared" si="67"/>
        <v>0</v>
      </c>
      <c r="T237" s="16" t="s">
        <v>2237</v>
      </c>
      <c r="U237" s="355" t="s">
        <v>2239</v>
      </c>
      <c r="V237" s="355" t="s">
        <v>2239</v>
      </c>
      <c r="X237" s="358" t="s">
        <v>3213</v>
      </c>
      <c r="Y237" s="358" t="s">
        <v>1978</v>
      </c>
      <c r="AA237" s="390"/>
      <c r="AB237" s="417" t="s">
        <v>3218</v>
      </c>
      <c r="AC237" s="390"/>
      <c r="AD237" s="390"/>
      <c r="AE237" s="390"/>
      <c r="AF237" s="390"/>
      <c r="AG237" s="390"/>
      <c r="AH237" s="384"/>
      <c r="AI237" s="384"/>
      <c r="AJ237" s="384"/>
      <c r="AK237" s="384"/>
      <c r="AL237" s="384"/>
    </row>
    <row r="238" spans="1:38" x14ac:dyDescent="0.3">
      <c r="A238" s="344" t="str">
        <f>'Reference Score Calculation'!A229</f>
        <v>JS5811</v>
      </c>
      <c r="B238" s="344" t="str">
        <f>'Reference Score Calculation'!D229</f>
        <v>理學士（生物科技及商學）</v>
      </c>
      <c r="C238" s="355">
        <f>INDEX('Offer Statistics'!$CI$80:$CI$105,MATCH(入學要求!A238,'Offer Statistics'!$BS$80:$BS$105,0))</f>
        <v>26</v>
      </c>
      <c r="D238" s="109">
        <v>3</v>
      </c>
      <c r="E238" s="109">
        <v>4</v>
      </c>
      <c r="F238" s="109">
        <v>3</v>
      </c>
      <c r="G238" s="109">
        <v>2</v>
      </c>
      <c r="H238" s="109">
        <v>3</v>
      </c>
      <c r="I238" s="109">
        <v>3</v>
      </c>
      <c r="K238" s="355">
        <f t="shared" si="63"/>
        <v>0</v>
      </c>
      <c r="L238" s="355">
        <f t="shared" si="64"/>
        <v>0</v>
      </c>
      <c r="M238" s="355">
        <f t="shared" si="65"/>
        <v>0</v>
      </c>
      <c r="N238" s="355">
        <f t="shared" si="66"/>
        <v>0</v>
      </c>
      <c r="O238" s="355">
        <f>IF(H238&gt;$AI$232,0,1)</f>
        <v>0</v>
      </c>
      <c r="P238" s="355">
        <f t="shared" si="62"/>
        <v>0</v>
      </c>
      <c r="R238" s="355">
        <f t="shared" si="67"/>
        <v>0</v>
      </c>
      <c r="T238" s="16" t="s">
        <v>2237</v>
      </c>
      <c r="U238" s="355" t="s">
        <v>2239</v>
      </c>
      <c r="V238" s="355" t="s">
        <v>2239</v>
      </c>
      <c r="X238" s="358" t="s">
        <v>2936</v>
      </c>
      <c r="Y238" s="358" t="s">
        <v>1978</v>
      </c>
      <c r="AA238" s="390"/>
      <c r="AB238" s="390"/>
      <c r="AC238" s="390"/>
      <c r="AD238" s="390"/>
      <c r="AE238" s="390"/>
      <c r="AF238" s="390"/>
      <c r="AG238" s="390"/>
      <c r="AH238" s="384"/>
      <c r="AI238" s="384"/>
      <c r="AJ238" s="384"/>
      <c r="AK238" s="384"/>
      <c r="AL238" s="384"/>
    </row>
    <row r="239" spans="1:38" x14ac:dyDescent="0.3">
      <c r="A239" s="344" t="str">
        <f>'Reference Score Calculation'!A230</f>
        <v>JS5812</v>
      </c>
      <c r="B239" s="344" t="str">
        <f>'Reference Score Calculation'!D230</f>
        <v>理學士（環境管理及科技）</v>
      </c>
      <c r="C239" s="355">
        <f>INDEX('Offer Statistics'!$CI$80:$CI$105,MATCH(入學要求!A239,'Offer Statistics'!$BS$80:$BS$105,0))</f>
        <v>16</v>
      </c>
      <c r="D239" s="109">
        <v>3</v>
      </c>
      <c r="E239" s="109">
        <v>4</v>
      </c>
      <c r="F239" s="109">
        <v>3</v>
      </c>
      <c r="G239" s="109">
        <v>2</v>
      </c>
      <c r="H239" s="109">
        <v>3</v>
      </c>
      <c r="I239" s="109">
        <v>3</v>
      </c>
      <c r="K239" s="355">
        <f t="shared" si="63"/>
        <v>0</v>
      </c>
      <c r="L239" s="355">
        <f t="shared" si="64"/>
        <v>0</v>
      </c>
      <c r="M239" s="355">
        <f t="shared" si="65"/>
        <v>0</v>
      </c>
      <c r="N239" s="355">
        <f t="shared" si="66"/>
        <v>0</v>
      </c>
      <c r="O239" s="355">
        <f t="shared" si="70"/>
        <v>0</v>
      </c>
      <c r="P239" s="355">
        <f t="shared" si="62"/>
        <v>0</v>
      </c>
      <c r="R239" s="355">
        <f t="shared" si="67"/>
        <v>0</v>
      </c>
      <c r="T239" s="16" t="s">
        <v>2237</v>
      </c>
      <c r="U239" s="355" t="s">
        <v>2239</v>
      </c>
      <c r="V239" s="355" t="s">
        <v>2239</v>
      </c>
      <c r="X239" s="358" t="s">
        <v>1978</v>
      </c>
      <c r="Y239" s="358" t="s">
        <v>1978</v>
      </c>
      <c r="AA239" s="390"/>
      <c r="AB239" s="390" t="str">
        <f>I$2</f>
        <v>請選擇第一選修科</v>
      </c>
      <c r="AC239" s="390" t="str">
        <f t="shared" ref="AC239" si="83">J$2</f>
        <v>請選擇第二選修科</v>
      </c>
      <c r="AD239" s="390" t="str">
        <f t="shared" ref="AD239" si="84">K$2</f>
        <v>請選擇第三選修科</v>
      </c>
      <c r="AE239" s="390" t="str">
        <f t="shared" ref="AE239" si="85">L$2</f>
        <v>請選擇第四選修科</v>
      </c>
      <c r="AF239" s="384"/>
      <c r="AG239" s="384"/>
      <c r="AH239" s="390" t="s">
        <v>3201</v>
      </c>
      <c r="AI239" s="390"/>
      <c r="AJ239" s="384"/>
      <c r="AK239" s="384"/>
      <c r="AL239" s="384"/>
    </row>
    <row r="240" spans="1:38" x14ac:dyDescent="0.3">
      <c r="A240" s="344" t="str">
        <f>'Reference Score Calculation'!A231</f>
        <v>JS5813</v>
      </c>
      <c r="B240" s="344" t="str">
        <f>'Reference Score Calculation'!D231</f>
        <v>理學士（數學與經濟學）</v>
      </c>
      <c r="C240" s="355">
        <f>INDEX('Offer Statistics'!$CI$80:$CI$105,MATCH(入學要求!A240,'Offer Statistics'!$BS$80:$BS$105,0))</f>
        <v>16</v>
      </c>
      <c r="D240" s="109">
        <v>3</v>
      </c>
      <c r="E240" s="109">
        <v>4</v>
      </c>
      <c r="F240" s="109">
        <v>3</v>
      </c>
      <c r="G240" s="109">
        <v>2</v>
      </c>
      <c r="H240" s="109">
        <v>3</v>
      </c>
      <c r="I240" s="109">
        <v>3</v>
      </c>
      <c r="K240" s="355">
        <f t="shared" si="63"/>
        <v>0</v>
      </c>
      <c r="L240" s="355">
        <f t="shared" si="64"/>
        <v>0</v>
      </c>
      <c r="M240" s="355">
        <f t="shared" si="65"/>
        <v>0</v>
      </c>
      <c r="N240" s="355">
        <f t="shared" si="66"/>
        <v>0</v>
      </c>
      <c r="O240" s="355">
        <f>IF(H240&gt;$AI$236,0,1)</f>
        <v>0</v>
      </c>
      <c r="P240" s="355">
        <f t="shared" si="62"/>
        <v>0</v>
      </c>
      <c r="R240" s="355">
        <f t="shared" si="67"/>
        <v>0</v>
      </c>
      <c r="T240" s="16" t="s">
        <v>2237</v>
      </c>
      <c r="U240" s="355" t="s">
        <v>2239</v>
      </c>
      <c r="V240" s="355" t="s">
        <v>2239</v>
      </c>
      <c r="X240" s="358" t="s">
        <v>3216</v>
      </c>
      <c r="Y240" s="358" t="s">
        <v>1978</v>
      </c>
      <c r="AA240" s="390" t="s">
        <v>3217</v>
      </c>
      <c r="AB240" s="391">
        <f>IF(OR(I$2="物理",I$2="化學",I$2="生物",I$2="組合科學(物理、化學)",I$2="組合科學(生物、化學)",I$2="組合科學(物理、生物)",I$2="資訊及通訊科技"),I$3,0)</f>
        <v>0</v>
      </c>
      <c r="AC240" s="391">
        <f t="shared" ref="AC240:AE240" si="86">IF(OR(J$2="物理",J$2="化學",J$2="生物",J$2="組合科學(物理、化學)",J$2="組合科學(生物、化學)",J$2="組合科學(物理、生物)",J$2="資訊及通訊科技"),J$3,0)</f>
        <v>0</v>
      </c>
      <c r="AD240" s="391">
        <f t="shared" si="86"/>
        <v>0</v>
      </c>
      <c r="AE240" s="391">
        <f t="shared" si="86"/>
        <v>0</v>
      </c>
      <c r="AF240" s="390"/>
      <c r="AG240" s="390"/>
      <c r="AH240" s="391" t="str">
        <f>IF(AI240&gt;0.1,INDEX(AB239:AE239,MATCH(LARGE(AB240:AE240,1),AB240:AE240,0)),"無")</f>
        <v>無</v>
      </c>
      <c r="AI240" s="391">
        <f>LARGE((AB240:AE240),1)</f>
        <v>0</v>
      </c>
      <c r="AJ240" s="384"/>
      <c r="AK240" s="384"/>
      <c r="AL240" s="384"/>
    </row>
    <row r="241" spans="1:45" x14ac:dyDescent="0.3">
      <c r="A241" s="344" t="str">
        <f>'Reference Score Calculation'!A232</f>
        <v>JS5814</v>
      </c>
      <c r="B241" s="344" t="str">
        <f>'Reference Score Calculation'!D232</f>
        <v>理學士（風險管理及商業智能學）</v>
      </c>
      <c r="C241" s="355">
        <f>INDEX('Offer Statistics'!$CI$80:$CI$105,MATCH(入學要求!A241,'Offer Statistics'!$BS$80:$BS$105,0))</f>
        <v>23</v>
      </c>
      <c r="D241" s="109">
        <v>3</v>
      </c>
      <c r="E241" s="109">
        <v>4</v>
      </c>
      <c r="F241" s="109">
        <v>3</v>
      </c>
      <c r="G241" s="109">
        <v>2</v>
      </c>
      <c r="H241" s="109">
        <v>3</v>
      </c>
      <c r="I241" s="109">
        <v>3</v>
      </c>
      <c r="K241" s="355">
        <f t="shared" si="63"/>
        <v>0</v>
      </c>
      <c r="L241" s="355">
        <f t="shared" si="64"/>
        <v>0</v>
      </c>
      <c r="M241" s="355">
        <f t="shared" si="65"/>
        <v>0</v>
      </c>
      <c r="N241" s="355">
        <f t="shared" si="66"/>
        <v>0</v>
      </c>
      <c r="O241" s="355">
        <f t="shared" si="70"/>
        <v>0</v>
      </c>
      <c r="P241" s="355">
        <f t="shared" si="62"/>
        <v>0</v>
      </c>
      <c r="R241" s="355">
        <f t="shared" si="67"/>
        <v>0</v>
      </c>
      <c r="T241" s="16" t="s">
        <v>2237</v>
      </c>
      <c r="U241" s="355" t="s">
        <v>2239</v>
      </c>
      <c r="V241" s="355" t="s">
        <v>2239</v>
      </c>
      <c r="X241" s="344" t="s">
        <v>3208</v>
      </c>
      <c r="Y241" s="358" t="s">
        <v>1978</v>
      </c>
      <c r="AA241" s="390"/>
      <c r="AB241" s="417" t="s">
        <v>3203</v>
      </c>
      <c r="AC241" s="390"/>
      <c r="AD241" s="390"/>
      <c r="AE241" s="390"/>
      <c r="AF241" s="390"/>
      <c r="AG241" s="390"/>
      <c r="AH241" s="384"/>
      <c r="AI241" s="384"/>
      <c r="AJ241" s="384"/>
      <c r="AK241" s="384"/>
      <c r="AL241" s="384"/>
    </row>
    <row r="242" spans="1:45" s="344" customFormat="1" x14ac:dyDescent="0.3">
      <c r="A242" s="344" t="str">
        <f>'Reference Score Calculation'!A233</f>
        <v>JS5822</v>
      </c>
      <c r="B242" s="344" t="str">
        <f>'Reference Score Calculation'!D233</f>
        <v>理學士（可持續發展及綠色金融）</v>
      </c>
      <c r="C242" s="355">
        <f>INDEX('Offer Statistics'!$CI$80:$CI$105,MATCH(入學要求!A242,'Offer Statistics'!$BS$80:$BS$105,0))</f>
        <v>18</v>
      </c>
      <c r="D242" s="380">
        <v>3</v>
      </c>
      <c r="E242" s="380">
        <v>4</v>
      </c>
      <c r="F242" s="380">
        <v>3</v>
      </c>
      <c r="G242" s="380">
        <v>2</v>
      </c>
      <c r="H242" s="380">
        <v>3</v>
      </c>
      <c r="I242" s="380">
        <v>3</v>
      </c>
      <c r="K242" s="355">
        <f t="shared" si="63"/>
        <v>0</v>
      </c>
      <c r="L242" s="355">
        <f t="shared" si="64"/>
        <v>0</v>
      </c>
      <c r="M242" s="355">
        <f t="shared" si="65"/>
        <v>0</v>
      </c>
      <c r="N242" s="355">
        <f t="shared" si="66"/>
        <v>0</v>
      </c>
      <c r="O242" s="355">
        <f t="shared" si="70"/>
        <v>0</v>
      </c>
      <c r="P242" s="355">
        <f t="shared" si="62"/>
        <v>0</v>
      </c>
      <c r="R242" s="355">
        <f t="shared" si="67"/>
        <v>0</v>
      </c>
      <c r="S242" s="355"/>
      <c r="T242" s="355" t="s">
        <v>2237</v>
      </c>
      <c r="U242" s="355" t="s">
        <v>2239</v>
      </c>
      <c r="V242" s="355" t="s">
        <v>2239</v>
      </c>
      <c r="W242" s="355"/>
      <c r="X242" s="344" t="s">
        <v>3208</v>
      </c>
      <c r="Y242" s="358" t="s">
        <v>1978</v>
      </c>
      <c r="Z242" s="358"/>
      <c r="AA242" s="355"/>
      <c r="AB242" s="355"/>
      <c r="AC242" s="355"/>
      <c r="AD242" s="355"/>
      <c r="AE242" s="355"/>
      <c r="AF242" s="355"/>
      <c r="AJ242" s="355"/>
      <c r="AK242" s="355"/>
      <c r="AL242" s="355"/>
      <c r="AM242" s="355"/>
      <c r="AN242" s="355"/>
    </row>
    <row r="243" spans="1:45" x14ac:dyDescent="0.3">
      <c r="A243" s="344" t="str">
        <f>'Reference Score Calculation'!A234</f>
        <v>JS5901</v>
      </c>
      <c r="B243" s="344" t="str">
        <f>'Reference Score Calculation'!D234</f>
        <v>科技及管理學雙學位課程</v>
      </c>
      <c r="C243" s="355">
        <f>INDEX('Offer Statistics'!$CI$80:$CI$105,MATCH(入學要求!A243,'Offer Statistics'!$BS$80:$BS$105,0))</f>
        <v>22</v>
      </c>
      <c r="D243" s="109">
        <v>3</v>
      </c>
      <c r="E243" s="109">
        <v>4</v>
      </c>
      <c r="F243" s="109">
        <v>3</v>
      </c>
      <c r="G243" s="109">
        <v>2</v>
      </c>
      <c r="H243" s="109">
        <v>3</v>
      </c>
      <c r="I243" s="109">
        <v>3</v>
      </c>
      <c r="K243" s="355">
        <f t="shared" si="63"/>
        <v>0</v>
      </c>
      <c r="L243" s="355">
        <f t="shared" si="64"/>
        <v>0</v>
      </c>
      <c r="M243" s="355">
        <f t="shared" si="65"/>
        <v>0</v>
      </c>
      <c r="N243" s="355">
        <f t="shared" si="66"/>
        <v>0</v>
      </c>
      <c r="O243" s="355">
        <f>IF(H243&gt;$AI$240,0,1)</f>
        <v>0</v>
      </c>
      <c r="P243" s="355">
        <f t="shared" si="62"/>
        <v>0</v>
      </c>
      <c r="R243" s="355">
        <f t="shared" si="67"/>
        <v>0</v>
      </c>
      <c r="T243" s="16" t="s">
        <v>2237</v>
      </c>
      <c r="U243" s="355" t="s">
        <v>2239</v>
      </c>
      <c r="V243" s="355" t="s">
        <v>2239</v>
      </c>
      <c r="X243" s="358" t="s">
        <v>3205</v>
      </c>
      <c r="Y243" s="358" t="s">
        <v>1978</v>
      </c>
    </row>
    <row r="244" spans="1:45" x14ac:dyDescent="0.3">
      <c r="A244" s="11" t="s">
        <v>2163</v>
      </c>
      <c r="D244" s="109"/>
      <c r="E244" s="109"/>
      <c r="F244" s="109"/>
      <c r="G244" s="109"/>
      <c r="H244" s="109"/>
      <c r="I244" s="109"/>
    </row>
    <row r="245" spans="1:45" x14ac:dyDescent="0.3">
      <c r="A245" s="11" t="s">
        <v>1942</v>
      </c>
      <c r="B245" s="11" t="s">
        <v>1944</v>
      </c>
      <c r="C245" s="356" t="s">
        <v>1950</v>
      </c>
      <c r="D245" s="111" t="s">
        <v>1953</v>
      </c>
      <c r="E245" s="111" t="s">
        <v>1954</v>
      </c>
      <c r="F245" s="111" t="s">
        <v>1955</v>
      </c>
      <c r="G245" s="111" t="s">
        <v>1956</v>
      </c>
      <c r="H245" s="111" t="s">
        <v>1957</v>
      </c>
      <c r="I245" s="111" t="s">
        <v>1958</v>
      </c>
      <c r="J245" s="16"/>
      <c r="K245" s="19" t="s">
        <v>1953</v>
      </c>
      <c r="L245" s="19" t="s">
        <v>1954</v>
      </c>
      <c r="M245" s="19" t="s">
        <v>1955</v>
      </c>
      <c r="N245" s="19" t="s">
        <v>1956</v>
      </c>
      <c r="O245" s="19" t="s">
        <v>1957</v>
      </c>
      <c r="P245" s="19" t="s">
        <v>1958</v>
      </c>
      <c r="R245" s="2"/>
      <c r="S245" s="355"/>
      <c r="T245" s="355" t="s">
        <v>2233</v>
      </c>
      <c r="U245" s="355" t="s">
        <v>2234</v>
      </c>
      <c r="V245" s="355" t="s">
        <v>2235</v>
      </c>
      <c r="W245" s="355"/>
      <c r="X245" s="358"/>
      <c r="Y245" s="358"/>
      <c r="Z245" s="358"/>
      <c r="AA245" s="394" t="s">
        <v>2163</v>
      </c>
      <c r="AB245" s="394" t="s">
        <v>2236</v>
      </c>
      <c r="AC245" s="384"/>
      <c r="AD245" s="389"/>
      <c r="AE245" s="389"/>
      <c r="AF245" s="389"/>
      <c r="AG245" s="389"/>
      <c r="AH245" s="389"/>
      <c r="AI245" s="389"/>
      <c r="AJ245" s="389"/>
      <c r="AK245" s="384"/>
      <c r="AL245" s="384"/>
    </row>
    <row r="246" spans="1:45" x14ac:dyDescent="0.3">
      <c r="A246" s="2" t="str">
        <f>'Reference Score Calculation'!A237</f>
        <v>JS6004</v>
      </c>
      <c r="B246" s="2" t="str">
        <f>'Reference Score Calculation'!D237</f>
        <v>建築學文學士</v>
      </c>
      <c r="C246" s="355">
        <f>INDEX('Offer Statistics'!DB$134:DB$181,MATCH(入學要求!A246,'Offer Statistics'!$CL$134:$CL$181,0))</f>
        <v>54</v>
      </c>
      <c r="D246" s="109">
        <v>3</v>
      </c>
      <c r="E246" s="109">
        <v>3</v>
      </c>
      <c r="F246" s="109">
        <v>2</v>
      </c>
      <c r="G246" s="109">
        <v>2</v>
      </c>
      <c r="H246" s="109">
        <v>3</v>
      </c>
      <c r="I246" s="109">
        <v>3</v>
      </c>
      <c r="J246" s="16"/>
      <c r="K246" s="355">
        <f>IF(D246&gt;D$3,0,1)</f>
        <v>0</v>
      </c>
      <c r="L246" s="355">
        <f t="shared" ref="L246:N246" si="87">IF(E246&gt;E$3,0,1)</f>
        <v>0</v>
      </c>
      <c r="M246" s="355">
        <f t="shared" si="87"/>
        <v>0</v>
      </c>
      <c r="N246" s="355">
        <f t="shared" si="87"/>
        <v>0</v>
      </c>
      <c r="O246" s="355">
        <f t="shared" ref="O246:O251" si="88">IF(H246&gt;LARGE($I$3:$L$3,1),0,1)</f>
        <v>0</v>
      </c>
      <c r="P246" s="355">
        <f>IF(OR($H$3&gt;I246,$M$3&gt;I246),1,IF(I246&gt;LARGE($I$3:$L$3,2),0,1))</f>
        <v>0</v>
      </c>
      <c r="R246" s="16">
        <f>IF(K246*L246*M246*N246*O246*P246=0,0,2)</f>
        <v>0</v>
      </c>
      <c r="S246" s="355"/>
      <c r="T246" s="355" t="s">
        <v>2237</v>
      </c>
      <c r="U246" s="355" t="s">
        <v>2803</v>
      </c>
      <c r="V246" s="355" t="s">
        <v>2239</v>
      </c>
      <c r="W246" s="355"/>
      <c r="X246" s="358" t="s">
        <v>3320</v>
      </c>
      <c r="Y246" s="358" t="s">
        <v>3321</v>
      </c>
      <c r="Z246" s="358" t="s">
        <v>1978</v>
      </c>
      <c r="AA246" s="390"/>
      <c r="AB246" s="390"/>
      <c r="AC246" s="390"/>
      <c r="AD246" s="390"/>
      <c r="AE246" s="390"/>
      <c r="AF246" s="384"/>
      <c r="AG246" s="384"/>
      <c r="AH246" s="384"/>
      <c r="AI246" s="384"/>
      <c r="AJ246" s="384"/>
      <c r="AK246" s="384"/>
      <c r="AL246" s="384"/>
      <c r="AR246" s="2" t="s">
        <v>1173</v>
      </c>
      <c r="AS246" s="2" t="s">
        <v>1176</v>
      </c>
    </row>
    <row r="247" spans="1:45" x14ac:dyDescent="0.3">
      <c r="A247" s="344" t="str">
        <f>'Reference Score Calculation'!A238</f>
        <v>JS6016</v>
      </c>
      <c r="B247" s="344" t="str">
        <f>'Reference Score Calculation'!D238</f>
        <v>理學士(測量學)</v>
      </c>
      <c r="C247" s="355">
        <f>INDEX('Offer Statistics'!DB$134:DB$181,MATCH(入學要求!A247,'Offer Statistics'!$CL$134:$CL$181,0))</f>
        <v>42</v>
      </c>
      <c r="D247" s="109">
        <v>3</v>
      </c>
      <c r="E247" s="109">
        <v>3</v>
      </c>
      <c r="F247" s="109">
        <v>2</v>
      </c>
      <c r="G247" s="109">
        <v>2</v>
      </c>
      <c r="H247" s="109">
        <v>3</v>
      </c>
      <c r="I247" s="109">
        <v>3</v>
      </c>
      <c r="J247" s="16"/>
      <c r="K247" s="355">
        <f t="shared" ref="K247:K293" si="89">IF(D247&gt;D$3,0,1)</f>
        <v>0</v>
      </c>
      <c r="L247" s="355">
        <f t="shared" ref="L247:L293" si="90">IF(E247&gt;E$3,0,1)</f>
        <v>0</v>
      </c>
      <c r="M247" s="355">
        <f t="shared" ref="M247:M293" si="91">IF(F247&gt;F$3,0,1)</f>
        <v>0</v>
      </c>
      <c r="N247" s="355">
        <f t="shared" ref="N247:N293" si="92">IF(G247&gt;G$3,0,1)</f>
        <v>0</v>
      </c>
      <c r="O247" s="355">
        <f t="shared" si="88"/>
        <v>0</v>
      </c>
      <c r="P247" s="355">
        <f t="shared" ref="P247:P249" si="93">IF(OR($H$3&gt;I247,$M$3&gt;I247),1,IF(I247&gt;LARGE($I$3:$L$3,2),0,1))</f>
        <v>0</v>
      </c>
      <c r="R247" s="16">
        <f t="shared" ref="R247:R293" si="94">K247*L247*M247*N247*O247*P247</f>
        <v>0</v>
      </c>
      <c r="S247" s="355"/>
      <c r="T247" s="355" t="s">
        <v>2237</v>
      </c>
      <c r="U247" s="355" t="s">
        <v>2803</v>
      </c>
      <c r="V247" s="355" t="s">
        <v>2239</v>
      </c>
      <c r="W247" s="355"/>
      <c r="X247" s="358" t="s">
        <v>1978</v>
      </c>
      <c r="Y247" s="358" t="s">
        <v>1978</v>
      </c>
      <c r="Z247" s="358" t="s">
        <v>1978</v>
      </c>
      <c r="AA247" s="390"/>
      <c r="AB247" s="390" t="str">
        <f>I$2</f>
        <v>請選擇第一選修科</v>
      </c>
      <c r="AC247" s="390" t="str">
        <f t="shared" ref="AC247:AE247" si="95">J$2</f>
        <v>請選擇第二選修科</v>
      </c>
      <c r="AD247" s="390" t="str">
        <f t="shared" si="95"/>
        <v>請選擇第三選修科</v>
      </c>
      <c r="AE247" s="390" t="str">
        <f t="shared" si="95"/>
        <v>請選擇第四選修科</v>
      </c>
      <c r="AF247" s="390"/>
      <c r="AG247" s="384"/>
      <c r="AH247" s="390" t="s">
        <v>3201</v>
      </c>
      <c r="AI247" s="390"/>
      <c r="AJ247" s="384"/>
      <c r="AK247" s="384"/>
      <c r="AL247" s="384"/>
      <c r="AR247" s="2" t="s">
        <v>1177</v>
      </c>
      <c r="AS247" s="2" t="s">
        <v>1180</v>
      </c>
    </row>
    <row r="248" spans="1:45" x14ac:dyDescent="0.3">
      <c r="A248" s="344" t="str">
        <f>'Reference Score Calculation'!A239</f>
        <v>JS6028</v>
      </c>
      <c r="B248" s="344" t="str">
        <f>'Reference Score Calculation'!D239</f>
        <v>園境學文學士</v>
      </c>
      <c r="C248" s="355">
        <f>INDEX('Offer Statistics'!DB$134:DB$181,MATCH(入學要求!A248,'Offer Statistics'!$CL$134:$CL$181,0))</f>
        <v>12</v>
      </c>
      <c r="D248" s="109">
        <v>3</v>
      </c>
      <c r="E248" s="109">
        <v>3</v>
      </c>
      <c r="F248" s="109">
        <v>2</v>
      </c>
      <c r="G248" s="109">
        <v>2</v>
      </c>
      <c r="H248" s="109">
        <v>3</v>
      </c>
      <c r="I248" s="109">
        <v>3</v>
      </c>
      <c r="J248" s="16"/>
      <c r="K248" s="355">
        <f t="shared" si="89"/>
        <v>0</v>
      </c>
      <c r="L248" s="355">
        <f t="shared" si="90"/>
        <v>0</v>
      </c>
      <c r="M248" s="355">
        <f t="shared" si="91"/>
        <v>0</v>
      </c>
      <c r="N248" s="355">
        <f t="shared" si="92"/>
        <v>0</v>
      </c>
      <c r="O248" s="355">
        <f t="shared" si="88"/>
        <v>0</v>
      </c>
      <c r="P248" s="355">
        <f t="shared" si="93"/>
        <v>0</v>
      </c>
      <c r="R248" s="16">
        <f t="shared" si="94"/>
        <v>0</v>
      </c>
      <c r="S248" s="355"/>
      <c r="T248" s="355" t="s">
        <v>2237</v>
      </c>
      <c r="U248" s="355" t="s">
        <v>2803</v>
      </c>
      <c r="V248" s="355" t="s">
        <v>2239</v>
      </c>
      <c r="W248" s="355"/>
      <c r="X248" s="358" t="s">
        <v>3322</v>
      </c>
      <c r="Y248" s="358" t="s">
        <v>3323</v>
      </c>
      <c r="Z248" s="358" t="s">
        <v>1978</v>
      </c>
      <c r="AA248" s="390" t="s">
        <v>1306</v>
      </c>
      <c r="AB248" s="391">
        <f>IF(OR(I$2="物理",I$2="化學",I$2="生物",I$2="組合科學(物理、化學)",I$2="組合科學(生物、化學)",I$2="組合科學(物理、生物)",I$2="資訊及通訊科技",I$2="綜合科學"),I$3,0)</f>
        <v>0</v>
      </c>
      <c r="AC248" s="391">
        <f t="shared" ref="AC248:AE248" si="96">IF(OR(J$2="物理",J$2="化學",J$2="生物",J$2="組合科學(物理、化學)",J$2="組合科學(生物、化學)",J$2="組合科學(物理、生物)",J$2="資訊及通訊科技",J$2="綜合科學"),J$3,0)</f>
        <v>0</v>
      </c>
      <c r="AD248" s="391">
        <f t="shared" si="96"/>
        <v>0</v>
      </c>
      <c r="AE248" s="391">
        <f t="shared" si="96"/>
        <v>0</v>
      </c>
      <c r="AF248" s="390"/>
      <c r="AG248" s="390"/>
      <c r="AH248" s="391" t="str">
        <f>IF(AI248&gt;0.1,INDEX(AB247:AE247,MATCH(LARGE(AB248:AE248,1),AB248:AE248,0)),"無")</f>
        <v>無</v>
      </c>
      <c r="AI248" s="391">
        <f>LARGE((AB248:AE248),1)</f>
        <v>0</v>
      </c>
      <c r="AJ248" s="384"/>
      <c r="AK248" s="384"/>
      <c r="AL248" s="384"/>
      <c r="AR248" s="2" t="s">
        <v>1181</v>
      </c>
      <c r="AS248" s="2" t="s">
        <v>1184</v>
      </c>
    </row>
    <row r="249" spans="1:45" x14ac:dyDescent="0.3">
      <c r="A249" s="344" t="str">
        <f>'Reference Score Calculation'!A240</f>
        <v>JS6042</v>
      </c>
      <c r="B249" s="344" t="str">
        <f>'Reference Score Calculation'!D240</f>
        <v>文學士(城市研究)</v>
      </c>
      <c r="C249" s="355">
        <f>INDEX('Offer Statistics'!DB$134:DB$181,MATCH(入學要求!A249,'Offer Statistics'!$CL$134:$CL$181,0))</f>
        <v>17</v>
      </c>
      <c r="D249" s="109">
        <v>3</v>
      </c>
      <c r="E249" s="109">
        <v>3</v>
      </c>
      <c r="F249" s="109">
        <v>2</v>
      </c>
      <c r="G249" s="109">
        <v>2</v>
      </c>
      <c r="H249" s="109">
        <v>3</v>
      </c>
      <c r="I249" s="109">
        <v>3</v>
      </c>
      <c r="J249" s="16"/>
      <c r="K249" s="355">
        <f t="shared" si="89"/>
        <v>0</v>
      </c>
      <c r="L249" s="355">
        <f t="shared" si="90"/>
        <v>0</v>
      </c>
      <c r="M249" s="355">
        <f t="shared" si="91"/>
        <v>0</v>
      </c>
      <c r="N249" s="355">
        <f t="shared" si="92"/>
        <v>0</v>
      </c>
      <c r="O249" s="355">
        <f t="shared" si="88"/>
        <v>0</v>
      </c>
      <c r="P249" s="355">
        <f t="shared" si="93"/>
        <v>0</v>
      </c>
      <c r="R249" s="16">
        <f t="shared" si="94"/>
        <v>0</v>
      </c>
      <c r="S249" s="355"/>
      <c r="T249" s="355" t="s">
        <v>2237</v>
      </c>
      <c r="U249" s="355" t="s">
        <v>2803</v>
      </c>
      <c r="V249" s="355" t="s">
        <v>2239</v>
      </c>
      <c r="W249" s="355"/>
      <c r="X249" s="358" t="s">
        <v>1978</v>
      </c>
      <c r="Y249" s="358" t="s">
        <v>1978</v>
      </c>
      <c r="Z249" s="358" t="s">
        <v>1978</v>
      </c>
      <c r="AA249" s="390" t="s">
        <v>3341</v>
      </c>
      <c r="AB249" s="417" t="s">
        <v>3340</v>
      </c>
      <c r="AC249" s="390"/>
      <c r="AD249" s="390"/>
      <c r="AE249" s="390"/>
      <c r="AF249" s="390"/>
      <c r="AG249" s="390"/>
      <c r="AH249" s="384"/>
      <c r="AI249" s="384"/>
      <c r="AJ249" s="384"/>
      <c r="AK249" s="384"/>
      <c r="AL249" s="384"/>
      <c r="AR249" s="2" t="s">
        <v>1186</v>
      </c>
      <c r="AS249" s="2" t="s">
        <v>1189</v>
      </c>
    </row>
    <row r="250" spans="1:45" x14ac:dyDescent="0.3">
      <c r="A250" s="344" t="str">
        <f>'Reference Score Calculation'!A241</f>
        <v>JS6054</v>
      </c>
      <c r="B250" s="344" t="str">
        <f>'Reference Score Calculation'!D241</f>
        <v>文學士</v>
      </c>
      <c r="C250" s="355">
        <f>INDEX('Offer Statistics'!DB$134:DB$181,MATCH(入學要求!A250,'Offer Statistics'!$CL$134:$CL$181,0))</f>
        <v>289</v>
      </c>
      <c r="D250" s="109">
        <v>3</v>
      </c>
      <c r="E250" s="109">
        <v>3</v>
      </c>
      <c r="F250" s="109">
        <v>2</v>
      </c>
      <c r="G250" s="109">
        <v>2</v>
      </c>
      <c r="H250" s="109">
        <v>3</v>
      </c>
      <c r="I250" s="109">
        <v>3</v>
      </c>
      <c r="J250" s="16"/>
      <c r="K250" s="355">
        <f t="shared" si="89"/>
        <v>0</v>
      </c>
      <c r="L250" s="355">
        <f t="shared" si="90"/>
        <v>0</v>
      </c>
      <c r="M250" s="355">
        <f t="shared" si="91"/>
        <v>0</v>
      </c>
      <c r="N250" s="355">
        <f t="shared" si="92"/>
        <v>0</v>
      </c>
      <c r="O250" s="355">
        <f t="shared" si="88"/>
        <v>0</v>
      </c>
      <c r="P250" s="355">
        <f t="shared" ref="P250" si="97">IF(OR($H$3&gt;I250,$M$3&gt;I250),1,IF(I250&gt;LARGE($I$3:$L$3,2),0,1))</f>
        <v>0</v>
      </c>
      <c r="R250" s="16">
        <f t="shared" si="94"/>
        <v>0</v>
      </c>
      <c r="S250" s="355"/>
      <c r="T250" s="355" t="s">
        <v>2237</v>
      </c>
      <c r="U250" s="355" t="s">
        <v>2803</v>
      </c>
      <c r="V250" s="355" t="s">
        <v>2239</v>
      </c>
      <c r="W250" s="355"/>
      <c r="X250" s="358" t="s">
        <v>1978</v>
      </c>
      <c r="Y250" s="358" t="s">
        <v>1978</v>
      </c>
      <c r="Z250" s="358" t="s">
        <v>1978</v>
      </c>
      <c r="AA250" s="390"/>
      <c r="AB250" s="390"/>
      <c r="AC250" s="390"/>
      <c r="AD250" s="390"/>
      <c r="AE250" s="390"/>
      <c r="AF250" s="390"/>
      <c r="AG250" s="390"/>
      <c r="AH250" s="384"/>
      <c r="AI250" s="384"/>
      <c r="AJ250" s="384"/>
      <c r="AK250" s="384"/>
      <c r="AL250" s="384"/>
      <c r="AR250" s="2" t="s">
        <v>1190</v>
      </c>
      <c r="AS250" s="2" t="s">
        <v>269</v>
      </c>
    </row>
    <row r="251" spans="1:45" x14ac:dyDescent="0.3">
      <c r="A251" s="344" t="str">
        <f>'Reference Score Calculation'!A242</f>
        <v>JS6286</v>
      </c>
      <c r="B251" s="344" t="str">
        <f>'Reference Score Calculation'!D242</f>
        <v>文學士(人文及數碼科技)</v>
      </c>
      <c r="C251" s="355">
        <f>INDEX('Offer Statistics'!DB$134:DB$181,MATCH(入學要求!A251,'Offer Statistics'!$CL$134:$CL$181,0))</f>
        <v>50</v>
      </c>
      <c r="D251" s="109">
        <v>3</v>
      </c>
      <c r="E251" s="109">
        <v>3</v>
      </c>
      <c r="F251" s="109">
        <v>3</v>
      </c>
      <c r="G251" s="109">
        <v>2</v>
      </c>
      <c r="H251" s="109">
        <v>3</v>
      </c>
      <c r="I251" s="109">
        <v>3</v>
      </c>
      <c r="J251" s="16"/>
      <c r="K251" s="355">
        <f t="shared" si="89"/>
        <v>0</v>
      </c>
      <c r="L251" s="355">
        <f t="shared" si="90"/>
        <v>0</v>
      </c>
      <c r="M251" s="355">
        <f t="shared" si="91"/>
        <v>0</v>
      </c>
      <c r="N251" s="355">
        <f t="shared" si="92"/>
        <v>0</v>
      </c>
      <c r="O251" s="355">
        <f t="shared" si="88"/>
        <v>0</v>
      </c>
      <c r="P251" s="355">
        <f t="shared" ref="P251" si="98">IF(OR($H$3&gt;I251,$M$3&gt;I251),1,IF(I251&gt;LARGE($I$3:$L$3,2),0,1))</f>
        <v>0</v>
      </c>
      <c r="R251" s="16">
        <f t="shared" si="94"/>
        <v>0</v>
      </c>
      <c r="S251" s="355"/>
      <c r="T251" s="355" t="s">
        <v>2237</v>
      </c>
      <c r="U251" s="355" t="s">
        <v>2803</v>
      </c>
      <c r="V251" s="355" t="s">
        <v>2239</v>
      </c>
      <c r="W251" s="355"/>
      <c r="X251" s="358" t="s">
        <v>1978</v>
      </c>
      <c r="Y251" s="358" t="s">
        <v>1978</v>
      </c>
      <c r="Z251" s="358" t="s">
        <v>1978</v>
      </c>
      <c r="AA251" s="390" t="s">
        <v>2345</v>
      </c>
      <c r="AB251" s="390" t="str">
        <f>I$2</f>
        <v>請選擇第一選修科</v>
      </c>
      <c r="AC251" s="390" t="str">
        <f t="shared" ref="AC251" si="99">J$2</f>
        <v>請選擇第二選修科</v>
      </c>
      <c r="AD251" s="390" t="str">
        <f t="shared" ref="AD251" si="100">K$2</f>
        <v>請選擇第三選修科</v>
      </c>
      <c r="AE251" s="390" t="str">
        <f t="shared" ref="AE251" si="101">L$2</f>
        <v>請選擇第四選修科</v>
      </c>
      <c r="AF251" s="390"/>
      <c r="AG251" s="384"/>
      <c r="AH251" s="390" t="s">
        <v>3201</v>
      </c>
      <c r="AI251" s="390"/>
      <c r="AJ251" s="384"/>
      <c r="AK251" s="384"/>
      <c r="AL251" s="384"/>
      <c r="AR251" s="2" t="s">
        <v>2184</v>
      </c>
      <c r="AS251" s="2" t="s">
        <v>2185</v>
      </c>
    </row>
    <row r="252" spans="1:45" x14ac:dyDescent="0.3">
      <c r="A252" s="344" t="str">
        <f>'Reference Score Calculation'!A243</f>
        <v>JS6767</v>
      </c>
      <c r="B252" s="344" t="str">
        <f>'Reference Score Calculation'!D243</f>
        <v>經濟學學士 / 經濟金融學學士</v>
      </c>
      <c r="C252" s="355" t="str">
        <f>INDEX('Offer Statistics'!DB$134:DB$181,MATCH(入學要求!A252,'Offer Statistics'!$CL$134:$CL$181,0))</f>
        <v>220*</v>
      </c>
      <c r="D252" s="109">
        <v>3</v>
      </c>
      <c r="E252" s="109">
        <v>4</v>
      </c>
      <c r="F252" s="109">
        <v>3</v>
      </c>
      <c r="G252" s="109">
        <v>2</v>
      </c>
      <c r="H252" s="109">
        <v>3</v>
      </c>
      <c r="I252" s="109">
        <v>3</v>
      </c>
      <c r="J252" s="16"/>
      <c r="K252" s="355">
        <f t="shared" si="89"/>
        <v>0</v>
      </c>
      <c r="L252" s="355">
        <f t="shared" si="90"/>
        <v>0</v>
      </c>
      <c r="M252" s="355">
        <f t="shared" si="91"/>
        <v>0</v>
      </c>
      <c r="N252" s="355">
        <f t="shared" si="92"/>
        <v>0</v>
      </c>
      <c r="O252" s="355">
        <f t="shared" ref="O252" si="102">IF(H252&gt;LARGE($H$3:$L$3,1),0,1)</f>
        <v>0</v>
      </c>
      <c r="P252" s="355">
        <f>IF(I252&gt;LARGE($H$3:$L$3,2),0,1)</f>
        <v>0</v>
      </c>
      <c r="R252" s="16">
        <f t="shared" si="94"/>
        <v>0</v>
      </c>
      <c r="S252" s="355"/>
      <c r="T252" s="355" t="s">
        <v>2237</v>
      </c>
      <c r="U252" s="355" t="s">
        <v>2239</v>
      </c>
      <c r="V252" s="355" t="s">
        <v>2239</v>
      </c>
      <c r="W252" s="355"/>
      <c r="X252" s="358" t="s">
        <v>1978</v>
      </c>
      <c r="Y252" s="358" t="s">
        <v>1978</v>
      </c>
      <c r="Z252" s="358" t="s">
        <v>1978</v>
      </c>
      <c r="AA252" s="390" t="s">
        <v>3343</v>
      </c>
      <c r="AB252" s="391">
        <f>IF(OR(I$2="物理",I$2="化學",I$2="生物",I$2="組合科學(物理、化學)",I$2="組合科學(生物、化學)",I$2="組合科學(物理、生物)",I$2="綜合科學"),I$3,0)</f>
        <v>0</v>
      </c>
      <c r="AC252" s="391">
        <f t="shared" ref="AC252:AE252" si="103">IF(OR(J$2="物理",J$2="化學",J$2="生物",J$2="組合科學(物理、化學)",J$2="組合科學(生物、化學)",J$2="組合科學(物理、生物)",J$2="綜合科學"),J$3,0)</f>
        <v>0</v>
      </c>
      <c r="AD252" s="391">
        <f t="shared" si="103"/>
        <v>0</v>
      </c>
      <c r="AE252" s="391">
        <f t="shared" si="103"/>
        <v>0</v>
      </c>
      <c r="AF252" s="390"/>
      <c r="AG252" s="390"/>
      <c r="AH252" s="391" t="str">
        <f>IF(AI252&gt;0.1,INDEX(AB251:AE251,MATCH(LARGE(AB252:AE252,1),AB252:AE252,0)),"無")</f>
        <v>無</v>
      </c>
      <c r="AI252" s="391">
        <f>LARGE((AB252:AE252),1)</f>
        <v>0</v>
      </c>
      <c r="AJ252" s="384"/>
      <c r="AK252" s="384"/>
      <c r="AL252" s="384"/>
      <c r="AR252" s="2" t="s">
        <v>1298</v>
      </c>
      <c r="AS252" s="2" t="s">
        <v>1301</v>
      </c>
    </row>
    <row r="253" spans="1:45" x14ac:dyDescent="0.3">
      <c r="A253" s="344" t="str">
        <f>'Reference Score Calculation'!A244</f>
        <v>JS6781</v>
      </c>
      <c r="B253" s="344" t="str">
        <f>'Reference Score Calculation'!D244</f>
        <v>工商管理學學士 / 工商管理學學士(會計及財務)</v>
      </c>
      <c r="C253" s="355" t="str">
        <f>INDEX('Offer Statistics'!DB$134:DB$181,MATCH(入學要求!A253,'Offer Statistics'!$CL$134:$CL$181,0))</f>
        <v>220*</v>
      </c>
      <c r="D253" s="109">
        <v>3</v>
      </c>
      <c r="E253" s="109">
        <v>4</v>
      </c>
      <c r="F253" s="109">
        <v>3</v>
      </c>
      <c r="G253" s="109">
        <v>2</v>
      </c>
      <c r="H253" s="109">
        <v>3</v>
      </c>
      <c r="I253" s="109">
        <v>3</v>
      </c>
      <c r="J253" s="16"/>
      <c r="K253" s="355">
        <f t="shared" si="89"/>
        <v>0</v>
      </c>
      <c r="L253" s="355">
        <f t="shared" si="90"/>
        <v>0</v>
      </c>
      <c r="M253" s="355">
        <f t="shared" si="91"/>
        <v>0</v>
      </c>
      <c r="N253" s="355">
        <f t="shared" si="92"/>
        <v>0</v>
      </c>
      <c r="O253" s="355">
        <f t="shared" ref="O253:O254" si="104">IF(H253&gt;LARGE($H$3:$L$3,1),0,1)</f>
        <v>0</v>
      </c>
      <c r="P253" s="355">
        <f t="shared" ref="P253:P254" si="105">IF(I253&gt;LARGE($H$3:$L$3,2),0,1)</f>
        <v>0</v>
      </c>
      <c r="R253" s="16">
        <f t="shared" si="94"/>
        <v>0</v>
      </c>
      <c r="S253" s="355"/>
      <c r="T253" s="355" t="s">
        <v>2237</v>
      </c>
      <c r="U253" s="355" t="s">
        <v>2239</v>
      </c>
      <c r="V253" s="355" t="s">
        <v>2239</v>
      </c>
      <c r="W253" s="355"/>
      <c r="X253" s="358" t="s">
        <v>1978</v>
      </c>
      <c r="Y253" s="358" t="s">
        <v>1978</v>
      </c>
      <c r="Z253" s="358" t="s">
        <v>1978</v>
      </c>
      <c r="AA253" s="390" t="s">
        <v>3344</v>
      </c>
      <c r="AB253" s="417" t="s">
        <v>3342</v>
      </c>
      <c r="AC253" s="390"/>
      <c r="AD253" s="390"/>
      <c r="AE253" s="390"/>
      <c r="AF253" s="390"/>
      <c r="AG253" s="390"/>
      <c r="AH253" s="384"/>
      <c r="AI253" s="384"/>
      <c r="AJ253" s="384"/>
      <c r="AK253" s="384"/>
      <c r="AL253" s="384"/>
      <c r="AR253" s="2" t="s">
        <v>1302</v>
      </c>
      <c r="AS253" s="2" t="s">
        <v>1305</v>
      </c>
    </row>
    <row r="254" spans="1:45" x14ac:dyDescent="0.3">
      <c r="A254" s="344" t="str">
        <f>'Reference Score Calculation'!A245</f>
        <v>JS6860</v>
      </c>
      <c r="B254" s="344" t="str">
        <f>'Reference Score Calculation'!D245</f>
        <v>金融學學士(資產管理及私人銀行)</v>
      </c>
      <c r="C254" s="355">
        <f>INDEX('Offer Statistics'!DB$134:DB$181,MATCH(入學要求!A254,'Offer Statistics'!$CL$134:$CL$181,0))</f>
        <v>30</v>
      </c>
      <c r="D254" s="109">
        <v>3</v>
      </c>
      <c r="E254" s="109">
        <v>4</v>
      </c>
      <c r="F254" s="109">
        <v>3</v>
      </c>
      <c r="G254" s="109">
        <v>2</v>
      </c>
      <c r="H254" s="109">
        <v>3</v>
      </c>
      <c r="I254" s="109">
        <v>3</v>
      </c>
      <c r="J254" s="16"/>
      <c r="K254" s="355">
        <f t="shared" si="89"/>
        <v>0</v>
      </c>
      <c r="L254" s="355">
        <f t="shared" si="90"/>
        <v>0</v>
      </c>
      <c r="M254" s="355">
        <f t="shared" si="91"/>
        <v>0</v>
      </c>
      <c r="N254" s="355">
        <f t="shared" si="92"/>
        <v>0</v>
      </c>
      <c r="O254" s="355">
        <f t="shared" si="104"/>
        <v>0</v>
      </c>
      <c r="P254" s="355">
        <f t="shared" si="105"/>
        <v>0</v>
      </c>
      <c r="R254" s="16">
        <f t="shared" si="94"/>
        <v>0</v>
      </c>
      <c r="S254" s="355"/>
      <c r="T254" s="355" t="s">
        <v>2237</v>
      </c>
      <c r="U254" s="355" t="s">
        <v>2239</v>
      </c>
      <c r="V254" s="355" t="s">
        <v>2239</v>
      </c>
      <c r="W254" s="355"/>
      <c r="X254" s="358" t="s">
        <v>1978</v>
      </c>
      <c r="Y254" s="358" t="s">
        <v>1978</v>
      </c>
      <c r="Z254" s="358" t="s">
        <v>1978</v>
      </c>
      <c r="AA254" s="390" t="s">
        <v>3348</v>
      </c>
      <c r="AB254" s="390" t="s">
        <v>1329</v>
      </c>
      <c r="AC254" s="390" t="s">
        <v>3351</v>
      </c>
      <c r="AD254" s="390"/>
      <c r="AE254" s="390"/>
      <c r="AF254" s="390"/>
      <c r="AG254" s="390"/>
      <c r="AH254" s="384"/>
      <c r="AI254" s="384"/>
      <c r="AJ254" s="384"/>
      <c r="AK254" s="384"/>
      <c r="AL254" s="384"/>
      <c r="AR254" s="2" t="s">
        <v>1333</v>
      </c>
      <c r="AS254" s="2" t="s">
        <v>1336</v>
      </c>
    </row>
    <row r="255" spans="1:45" x14ac:dyDescent="0.3">
      <c r="A255" s="344" t="str">
        <f>'Reference Score Calculation'!A246</f>
        <v>JS6793</v>
      </c>
      <c r="B255" s="344" t="str">
        <f>'Reference Score Calculation'!D246</f>
        <v>工商管理學學士(資訊系統)</v>
      </c>
      <c r="C255" s="355">
        <f>INDEX('Offer Statistics'!DB$134:DB$181,MATCH(入學要求!A255,'Offer Statistics'!$CL$134:$CL$181,0))</f>
        <v>15</v>
      </c>
      <c r="D255" s="109">
        <v>3</v>
      </c>
      <c r="E255" s="109">
        <v>4</v>
      </c>
      <c r="F255" s="109">
        <v>3</v>
      </c>
      <c r="G255" s="109">
        <v>2</v>
      </c>
      <c r="H255" s="109">
        <v>3</v>
      </c>
      <c r="I255" s="109">
        <v>3</v>
      </c>
      <c r="J255" s="16"/>
      <c r="K255" s="355">
        <f t="shared" si="89"/>
        <v>0</v>
      </c>
      <c r="L255" s="355">
        <f t="shared" si="90"/>
        <v>0</v>
      </c>
      <c r="M255" s="355">
        <f t="shared" si="91"/>
        <v>0</v>
      </c>
      <c r="N255" s="355">
        <f t="shared" si="92"/>
        <v>0</v>
      </c>
      <c r="O255" s="355">
        <f>IF(H255&gt;AI248,0,1)</f>
        <v>0</v>
      </c>
      <c r="P255" s="355">
        <f>IF(I255&gt;LARGE($H$3:$L$3,2),0,IF($H$3&lt;3,2,1))</f>
        <v>0</v>
      </c>
      <c r="R255" s="16">
        <f>K255*L255*M255*N255*O255*P255</f>
        <v>0</v>
      </c>
      <c r="S255" s="355"/>
      <c r="T255" s="355" t="s">
        <v>2237</v>
      </c>
      <c r="U255" s="355" t="s">
        <v>2239</v>
      </c>
      <c r="V255" s="355" t="s">
        <v>2239</v>
      </c>
      <c r="W255" s="355"/>
      <c r="X255" s="358" t="s">
        <v>3324</v>
      </c>
      <c r="Y255" s="358" t="s">
        <v>3325</v>
      </c>
      <c r="Z255" s="358" t="s">
        <v>1978</v>
      </c>
      <c r="AA255" s="384"/>
      <c r="AB255" s="384"/>
      <c r="AC255" s="384"/>
      <c r="AD255" s="384"/>
      <c r="AE255" s="384"/>
      <c r="AF255" s="384"/>
      <c r="AG255" s="384"/>
      <c r="AH255" s="384"/>
      <c r="AI255" s="384"/>
      <c r="AJ255" s="384"/>
      <c r="AK255" s="384"/>
      <c r="AL255" s="384"/>
      <c r="AR255" s="2" t="s">
        <v>1306</v>
      </c>
      <c r="AS255" s="2" t="s">
        <v>1309</v>
      </c>
    </row>
    <row r="256" spans="1:45" x14ac:dyDescent="0.3">
      <c r="A256" s="344" t="str">
        <f>'Reference Score Calculation'!A247</f>
        <v>JS6808</v>
      </c>
      <c r="B256" s="344" t="str">
        <f>'Reference Score Calculation'!D247</f>
        <v>工商管理學學士(法學)及法學士 (雙學位課程)</v>
      </c>
      <c r="C256" s="355">
        <f>INDEX('Offer Statistics'!DB$134:DB$181,MATCH(入學要求!A256,'Offer Statistics'!$CL$134:$CL$181,0))</f>
        <v>80</v>
      </c>
      <c r="D256" s="109">
        <v>4</v>
      </c>
      <c r="E256" s="109">
        <v>5</v>
      </c>
      <c r="F256" s="109">
        <v>4</v>
      </c>
      <c r="G256" s="109">
        <v>2</v>
      </c>
      <c r="H256" s="109">
        <v>3</v>
      </c>
      <c r="I256" s="109">
        <v>3</v>
      </c>
      <c r="J256" s="16"/>
      <c r="K256" s="355">
        <f t="shared" si="89"/>
        <v>0</v>
      </c>
      <c r="L256" s="355">
        <f t="shared" si="90"/>
        <v>0</v>
      </c>
      <c r="M256" s="355">
        <f t="shared" si="91"/>
        <v>0</v>
      </c>
      <c r="N256" s="355">
        <f t="shared" si="92"/>
        <v>0</v>
      </c>
      <c r="O256" s="355">
        <f>IF(H256&gt;LARGE($H$3:$L$3,1),0,1)</f>
        <v>0</v>
      </c>
      <c r="P256" s="355">
        <f>IF(I256&gt;LARGE($H$3:$L$3,2),0,1)</f>
        <v>0</v>
      </c>
      <c r="R256" s="16">
        <f t="shared" si="94"/>
        <v>0</v>
      </c>
      <c r="S256" s="355"/>
      <c r="T256" s="355" t="s">
        <v>2237</v>
      </c>
      <c r="U256" s="355" t="s">
        <v>2239</v>
      </c>
      <c r="V256" s="355" t="s">
        <v>2239</v>
      </c>
      <c r="W256" s="355"/>
      <c r="X256" s="358" t="s">
        <v>1978</v>
      </c>
      <c r="Y256" s="358" t="s">
        <v>1978</v>
      </c>
      <c r="Z256" s="358" t="s">
        <v>1978</v>
      </c>
      <c r="AA256" s="390" t="s">
        <v>1348</v>
      </c>
      <c r="AB256" s="390" t="str">
        <f>I$2</f>
        <v>請選擇第一選修科</v>
      </c>
      <c r="AC256" s="390" t="str">
        <f t="shared" ref="AC256" si="106">J$2</f>
        <v>請選擇第二選修科</v>
      </c>
      <c r="AD256" s="390" t="str">
        <f t="shared" ref="AD256" si="107">K$2</f>
        <v>請選擇第三選修科</v>
      </c>
      <c r="AE256" s="390" t="str">
        <f t="shared" ref="AE256" si="108">L$2</f>
        <v>請選擇第四選修科</v>
      </c>
      <c r="AF256" s="390"/>
      <c r="AG256" s="384"/>
      <c r="AH256" s="390" t="s">
        <v>3201</v>
      </c>
      <c r="AI256" s="390"/>
      <c r="AJ256" s="384"/>
      <c r="AK256" s="384"/>
      <c r="AL256" s="384"/>
      <c r="AR256" s="2" t="s">
        <v>1313</v>
      </c>
      <c r="AS256" s="2" t="s">
        <v>1316</v>
      </c>
    </row>
    <row r="257" spans="1:45" x14ac:dyDescent="0.3">
      <c r="A257" s="344" t="str">
        <f>'Reference Score Calculation'!A248</f>
        <v>JS6846</v>
      </c>
      <c r="B257" s="344" t="str">
        <f>'Reference Score Calculation'!D248</f>
        <v>理學士(營銷分析及科技)</v>
      </c>
      <c r="C257" s="355">
        <f>INDEX('Offer Statistics'!DB$134:DB$181,MATCH(入學要求!A257,'Offer Statistics'!$CL$134:$CL$181,0))</f>
        <v>25</v>
      </c>
      <c r="D257" s="109">
        <v>3</v>
      </c>
      <c r="E257" s="109">
        <v>4</v>
      </c>
      <c r="F257" s="109">
        <v>3</v>
      </c>
      <c r="G257" s="109">
        <v>2</v>
      </c>
      <c r="H257" s="109">
        <v>3</v>
      </c>
      <c r="I257" s="109">
        <v>3</v>
      </c>
      <c r="J257" s="16"/>
      <c r="K257" s="355">
        <f t="shared" si="89"/>
        <v>0</v>
      </c>
      <c r="L257" s="355">
        <f t="shared" si="90"/>
        <v>0</v>
      </c>
      <c r="M257" s="355">
        <f t="shared" si="91"/>
        <v>0</v>
      </c>
      <c r="N257" s="355">
        <f t="shared" si="92"/>
        <v>0</v>
      </c>
      <c r="O257" s="355">
        <f>IF(H257&gt;$AI$248,0,1)</f>
        <v>0</v>
      </c>
      <c r="P257" s="355">
        <f>IF($H$3&lt;3,0,1)</f>
        <v>0</v>
      </c>
      <c r="R257" s="355">
        <f t="shared" si="94"/>
        <v>0</v>
      </c>
      <c r="S257" s="355"/>
      <c r="T257" s="355" t="s">
        <v>2237</v>
      </c>
      <c r="U257" s="355" t="s">
        <v>2239</v>
      </c>
      <c r="V257" s="355" t="s">
        <v>2239</v>
      </c>
      <c r="W257" s="355"/>
      <c r="X257" s="358" t="s">
        <v>3324</v>
      </c>
      <c r="Y257" s="358" t="s">
        <v>3328</v>
      </c>
      <c r="Z257" s="358" t="s">
        <v>1978</v>
      </c>
      <c r="AA257" s="390" t="s">
        <v>3346</v>
      </c>
      <c r="AB257" s="391">
        <f>IF(OR(I$2="物理",I$2="組合科學(物理、化學)",I$2="組合科學(物理、生物)"),I$3,0)</f>
        <v>0</v>
      </c>
      <c r="AC257" s="391">
        <f t="shared" ref="AC257:AE257" si="109">IF(OR(J$2="物理",J$2="組合科學(物理、化學)",J$2="組合科學(物理、生物)"),J$3,0)</f>
        <v>0</v>
      </c>
      <c r="AD257" s="391">
        <f t="shared" si="109"/>
        <v>0</v>
      </c>
      <c r="AE257" s="391">
        <f t="shared" si="109"/>
        <v>0</v>
      </c>
      <c r="AF257" s="390"/>
      <c r="AG257" s="390"/>
      <c r="AH257" s="391" t="str">
        <f>IF(AI257&gt;0.1,INDEX(AB256:AE256,MATCH(LARGE(AB257:AE257,1),AB257:AE257,0)),"無")</f>
        <v>無</v>
      </c>
      <c r="AI257" s="391">
        <f>LARGE((AB257:AE257),1)</f>
        <v>0</v>
      </c>
      <c r="AJ257" s="384"/>
      <c r="AK257" s="384"/>
      <c r="AL257" s="384"/>
      <c r="AR257" s="2" t="s">
        <v>1325</v>
      </c>
      <c r="AS257" s="2" t="s">
        <v>1328</v>
      </c>
    </row>
    <row r="258" spans="1:45" x14ac:dyDescent="0.3">
      <c r="A258" s="344" t="str">
        <f>'Reference Score Calculation'!A249</f>
        <v>JS6884</v>
      </c>
      <c r="B258" s="344" t="str">
        <f>'Reference Score Calculation'!D249</f>
        <v>理學士(計量金融)</v>
      </c>
      <c r="C258" s="355">
        <f>INDEX('Offer Statistics'!DB$134:DB$181,MATCH(入學要求!A258,'Offer Statistics'!$CL$134:$CL$181,0))</f>
        <v>25</v>
      </c>
      <c r="D258" s="109">
        <v>3</v>
      </c>
      <c r="E258" s="109">
        <v>4</v>
      </c>
      <c r="F258" s="109">
        <v>3</v>
      </c>
      <c r="G258" s="109">
        <v>2</v>
      </c>
      <c r="H258" s="109">
        <v>3</v>
      </c>
      <c r="I258" s="109">
        <v>3</v>
      </c>
      <c r="J258" s="16"/>
      <c r="K258" s="355">
        <f t="shared" si="89"/>
        <v>0</v>
      </c>
      <c r="L258" s="355">
        <f t="shared" si="90"/>
        <v>0</v>
      </c>
      <c r="M258" s="355">
        <f t="shared" si="91"/>
        <v>0</v>
      </c>
      <c r="N258" s="355">
        <f t="shared" si="92"/>
        <v>0</v>
      </c>
      <c r="O258" s="355">
        <f>IF(H258&gt;LARGE($H$3:$L$3,1),0,1)</f>
        <v>0</v>
      </c>
      <c r="P258" s="355">
        <f>IF(I252&gt;LARGE($H$3:$L$3,2),0,IF($H$3&lt;3,0,1))</f>
        <v>0</v>
      </c>
      <c r="R258" s="355">
        <f t="shared" si="94"/>
        <v>0</v>
      </c>
      <c r="S258" s="355"/>
      <c r="T258" s="355" t="s">
        <v>2237</v>
      </c>
      <c r="U258" s="355" t="s">
        <v>2239</v>
      </c>
      <c r="V258" s="355" t="s">
        <v>2239</v>
      </c>
      <c r="W258" s="355"/>
      <c r="X258" s="358" t="s">
        <v>3328</v>
      </c>
      <c r="Y258" s="358" t="s">
        <v>1978</v>
      </c>
      <c r="Z258" s="358" t="s">
        <v>1978</v>
      </c>
      <c r="AA258" s="390" t="s">
        <v>2553</v>
      </c>
      <c r="AB258" s="417" t="s">
        <v>3345</v>
      </c>
      <c r="AC258" s="390"/>
      <c r="AD258" s="390"/>
      <c r="AE258" s="390"/>
      <c r="AF258" s="390"/>
      <c r="AG258" s="390"/>
      <c r="AH258" s="384"/>
      <c r="AI258" s="384"/>
      <c r="AJ258" s="384"/>
      <c r="AK258" s="384"/>
      <c r="AL258" s="384"/>
      <c r="AR258" s="2" t="s">
        <v>1329</v>
      </c>
      <c r="AS258" s="2" t="s">
        <v>1332</v>
      </c>
    </row>
    <row r="259" spans="1:45" x14ac:dyDescent="0.3">
      <c r="A259" s="344" t="str">
        <f>'Reference Score Calculation'!A250</f>
        <v>JS6896</v>
      </c>
      <c r="B259" s="344" t="str">
        <f>'Reference Score Calculation'!D250</f>
        <v>工商管理學學士(國際商業及環球管理)</v>
      </c>
      <c r="C259" s="355">
        <f>INDEX('Offer Statistics'!DB$134:DB$181,MATCH(入學要求!A259,'Offer Statistics'!$CL$134:$CL$181,0))</f>
        <v>31</v>
      </c>
      <c r="D259" s="109">
        <v>3</v>
      </c>
      <c r="E259" s="109">
        <v>5</v>
      </c>
      <c r="F259" s="109">
        <v>4</v>
      </c>
      <c r="G259" s="109">
        <v>2</v>
      </c>
      <c r="H259" s="109">
        <v>3</v>
      </c>
      <c r="I259" s="109">
        <v>3</v>
      </c>
      <c r="J259" s="16"/>
      <c r="K259" s="355">
        <f t="shared" si="89"/>
        <v>0</v>
      </c>
      <c r="L259" s="355">
        <f t="shared" si="90"/>
        <v>0</v>
      </c>
      <c r="M259" s="355">
        <f t="shared" si="91"/>
        <v>0</v>
      </c>
      <c r="N259" s="355">
        <f t="shared" si="92"/>
        <v>0</v>
      </c>
      <c r="O259" s="355">
        <f>IF(H259&gt;LARGE($H$3:$L$3,1),0,1)</f>
        <v>0</v>
      </c>
      <c r="P259" s="355">
        <f t="shared" ref="P259:P265" si="110">IF(I259&gt;LARGE($H$3:$L$3,2),0,1)</f>
        <v>0</v>
      </c>
      <c r="R259" s="355">
        <f t="shared" si="94"/>
        <v>0</v>
      </c>
      <c r="S259" s="355"/>
      <c r="T259" s="355" t="s">
        <v>2237</v>
      </c>
      <c r="U259" s="355" t="s">
        <v>2239</v>
      </c>
      <c r="V259" s="355" t="s">
        <v>2239</v>
      </c>
      <c r="W259" s="355"/>
      <c r="X259" s="358" t="s">
        <v>1978</v>
      </c>
      <c r="Y259" s="358" t="s">
        <v>1978</v>
      </c>
      <c r="Z259" s="358" t="s">
        <v>1978</v>
      </c>
      <c r="AA259" s="390"/>
      <c r="AB259" s="417"/>
      <c r="AC259" s="390"/>
      <c r="AD259" s="390"/>
      <c r="AE259" s="390"/>
      <c r="AF259" s="390"/>
      <c r="AG259" s="390"/>
      <c r="AH259" s="384"/>
      <c r="AI259" s="384"/>
      <c r="AJ259" s="384"/>
      <c r="AK259" s="384"/>
      <c r="AL259" s="384"/>
      <c r="AR259" s="2" t="s">
        <v>1337</v>
      </c>
      <c r="AS259" s="2" t="s">
        <v>1340</v>
      </c>
    </row>
    <row r="260" spans="1:45" x14ac:dyDescent="0.3">
      <c r="A260" s="344" t="str">
        <f>'Reference Score Calculation'!A251</f>
        <v>JS6107</v>
      </c>
      <c r="B260" s="344" t="str">
        <f>'Reference Score Calculation'!D251</f>
        <v>牙醫學士</v>
      </c>
      <c r="C260" s="355">
        <f>INDEX('Offer Statistics'!DB$134:DB$181,MATCH(入學要求!A260,'Offer Statistics'!$CL$134:$CL$181,0))</f>
        <v>90</v>
      </c>
      <c r="D260" s="109">
        <v>3</v>
      </c>
      <c r="E260" s="109">
        <v>4</v>
      </c>
      <c r="F260" s="109">
        <v>3</v>
      </c>
      <c r="G260" s="109">
        <v>3</v>
      </c>
      <c r="H260" s="109">
        <v>3</v>
      </c>
      <c r="I260" s="109">
        <v>3</v>
      </c>
      <c r="J260" s="16"/>
      <c r="K260" s="355">
        <f t="shared" si="89"/>
        <v>0</v>
      </c>
      <c r="L260" s="355">
        <f t="shared" si="90"/>
        <v>0</v>
      </c>
      <c r="M260" s="355">
        <f t="shared" si="91"/>
        <v>0</v>
      </c>
      <c r="N260" s="355">
        <f t="shared" si="92"/>
        <v>0</v>
      </c>
      <c r="O260" s="355">
        <f>IF(H260&gt;$AI$252,0,1)</f>
        <v>0</v>
      </c>
      <c r="P260" s="355">
        <f t="shared" si="110"/>
        <v>0</v>
      </c>
      <c r="R260" s="355">
        <f t="shared" si="94"/>
        <v>0</v>
      </c>
      <c r="S260" s="355"/>
      <c r="T260" s="355" t="s">
        <v>2237</v>
      </c>
      <c r="U260" s="355" t="s">
        <v>2239</v>
      </c>
      <c r="V260" s="355" t="s">
        <v>2239</v>
      </c>
      <c r="W260" s="355"/>
      <c r="X260" s="358" t="s">
        <v>3329</v>
      </c>
      <c r="Y260" s="358" t="s">
        <v>1978</v>
      </c>
      <c r="Z260" s="358" t="s">
        <v>1978</v>
      </c>
      <c r="AA260" s="390" t="s">
        <v>1254</v>
      </c>
      <c r="AB260" s="390" t="str">
        <f>I$2</f>
        <v>請選擇第一選修科</v>
      </c>
      <c r="AC260" s="390" t="str">
        <f t="shared" ref="AC260" si="111">J$2</f>
        <v>請選擇第二選修科</v>
      </c>
      <c r="AD260" s="390" t="str">
        <f t="shared" ref="AD260" si="112">K$2</f>
        <v>請選擇第三選修科</v>
      </c>
      <c r="AE260" s="390" t="str">
        <f t="shared" ref="AE260" si="113">L$2</f>
        <v>請選擇第四選修科</v>
      </c>
      <c r="AF260" s="390"/>
      <c r="AG260" s="384"/>
      <c r="AH260" s="390" t="s">
        <v>3201</v>
      </c>
      <c r="AI260" s="390"/>
      <c r="AJ260" s="384"/>
      <c r="AK260" s="384"/>
      <c r="AL260" s="384"/>
      <c r="AR260" s="2" t="s">
        <v>1341</v>
      </c>
      <c r="AS260" s="2" t="s">
        <v>1344</v>
      </c>
    </row>
    <row r="261" spans="1:45" x14ac:dyDescent="0.3">
      <c r="A261" s="344" t="str">
        <f>'Reference Score Calculation'!A252</f>
        <v>JS6066</v>
      </c>
      <c r="B261" s="344" t="str">
        <f>'Reference Score Calculation'!D252</f>
        <v>文學士及教育學士(語文教育) - 英文教育 (雙學位課程)</v>
      </c>
      <c r="C261" s="355">
        <f>INDEX('Offer Statistics'!DB$134:DB$181,MATCH(入學要求!A261,'Offer Statistics'!$CL$134:$CL$181,0))</f>
        <v>17</v>
      </c>
      <c r="D261" s="109">
        <v>3</v>
      </c>
      <c r="E261" s="109">
        <v>3</v>
      </c>
      <c r="F261" s="109">
        <v>2</v>
      </c>
      <c r="G261" s="109">
        <v>2</v>
      </c>
      <c r="H261" s="109">
        <v>3</v>
      </c>
      <c r="I261" s="109">
        <v>3</v>
      </c>
      <c r="J261" s="16"/>
      <c r="K261" s="355">
        <f t="shared" si="89"/>
        <v>0</v>
      </c>
      <c r="L261" s="355">
        <f t="shared" si="90"/>
        <v>0</v>
      </c>
      <c r="M261" s="355">
        <f t="shared" si="91"/>
        <v>0</v>
      </c>
      <c r="N261" s="355">
        <f t="shared" si="92"/>
        <v>0</v>
      </c>
      <c r="O261" s="355">
        <f>IF(H261&gt;LARGE($H$3:$L$3,1),0,1)</f>
        <v>0</v>
      </c>
      <c r="P261" s="355">
        <f t="shared" si="110"/>
        <v>0</v>
      </c>
      <c r="R261" s="355">
        <f t="shared" si="94"/>
        <v>0</v>
      </c>
      <c r="S261" s="355"/>
      <c r="T261" s="355" t="s">
        <v>2237</v>
      </c>
      <c r="U261" s="355" t="s">
        <v>2239</v>
      </c>
      <c r="V261" s="355" t="s">
        <v>2239</v>
      </c>
      <c r="W261" s="355"/>
      <c r="X261" s="358" t="s">
        <v>1978</v>
      </c>
      <c r="Y261" s="358" t="s">
        <v>1978</v>
      </c>
      <c r="Z261" s="358" t="s">
        <v>1978</v>
      </c>
      <c r="AA261" s="390" t="s">
        <v>1258</v>
      </c>
      <c r="AB261" s="391">
        <f>IF(OR(I$2="化學",I$2="組合科學(物理、化學)",I$2="組合科學(生物、化學)"),I$3,0)</f>
        <v>0</v>
      </c>
      <c r="AC261" s="391">
        <f t="shared" ref="AC261:AE261" si="114">IF(OR(J$2="化學",J$2="組合科學(物理、化學)",J$2="組合科學(生物、化學)"),J$3,0)</f>
        <v>0</v>
      </c>
      <c r="AD261" s="391">
        <f t="shared" si="114"/>
        <v>0</v>
      </c>
      <c r="AE261" s="391">
        <f t="shared" si="114"/>
        <v>0</v>
      </c>
      <c r="AF261" s="390"/>
      <c r="AG261" s="390"/>
      <c r="AH261" s="391" t="str">
        <f>IF(AI261&gt;0.1,INDEX(AB260:AE260,MATCH(LARGE(AB261:AE261,1),AB261:AE261,0)),"無")</f>
        <v>無</v>
      </c>
      <c r="AI261" s="391">
        <f>LARGE((AB261:AE261),1)</f>
        <v>0</v>
      </c>
      <c r="AJ261" s="384"/>
      <c r="AK261" s="384"/>
      <c r="AL261" s="384"/>
      <c r="AR261" s="2" t="s">
        <v>1207</v>
      </c>
      <c r="AS261" s="2" t="s">
        <v>1210</v>
      </c>
    </row>
    <row r="262" spans="1:45" x14ac:dyDescent="0.3">
      <c r="A262" s="344" t="str">
        <f>'Reference Score Calculation'!A253</f>
        <v>JS6080</v>
      </c>
      <c r="B262" s="344" t="str">
        <f>'Reference Score Calculation'!D253</f>
        <v>文學士及教育學士(語文教育) - 中文教育 (雙學位課程)</v>
      </c>
      <c r="C262" s="355">
        <f>INDEX('Offer Statistics'!DB$134:DB$181,MATCH(入學要求!A262,'Offer Statistics'!$CL$134:$CL$181,0))</f>
        <v>17</v>
      </c>
      <c r="D262" s="380">
        <v>3</v>
      </c>
      <c r="E262" s="380">
        <v>3</v>
      </c>
      <c r="F262" s="380">
        <v>2</v>
      </c>
      <c r="G262" s="380">
        <v>2</v>
      </c>
      <c r="H262" s="380">
        <v>3</v>
      </c>
      <c r="I262" s="380">
        <v>3</v>
      </c>
      <c r="J262" s="16"/>
      <c r="K262" s="355">
        <f t="shared" si="89"/>
        <v>0</v>
      </c>
      <c r="L262" s="355">
        <f t="shared" si="90"/>
        <v>0</v>
      </c>
      <c r="M262" s="355">
        <f t="shared" si="91"/>
        <v>0</v>
      </c>
      <c r="N262" s="355">
        <f t="shared" si="92"/>
        <v>0</v>
      </c>
      <c r="O262" s="355">
        <f t="shared" ref="O262:O265" si="115">IF(H262&gt;LARGE($H$3:$L$3,1),0,1)</f>
        <v>0</v>
      </c>
      <c r="P262" s="355">
        <f t="shared" si="110"/>
        <v>0</v>
      </c>
      <c r="R262" s="355">
        <f t="shared" si="94"/>
        <v>0</v>
      </c>
      <c r="S262" s="355"/>
      <c r="T262" s="355" t="s">
        <v>2237</v>
      </c>
      <c r="U262" s="355" t="s">
        <v>2239</v>
      </c>
      <c r="V262" s="355" t="s">
        <v>2239</v>
      </c>
      <c r="W262" s="355"/>
      <c r="X262" s="358" t="s">
        <v>1978</v>
      </c>
      <c r="Y262" s="358" t="s">
        <v>1978</v>
      </c>
      <c r="Z262" s="358" t="s">
        <v>1978</v>
      </c>
      <c r="AA262" s="390" t="s">
        <v>3349</v>
      </c>
      <c r="AB262" s="417" t="s">
        <v>3347</v>
      </c>
      <c r="AC262" s="390"/>
      <c r="AD262" s="390"/>
      <c r="AE262" s="390"/>
      <c r="AF262" s="390"/>
      <c r="AG262" s="390"/>
      <c r="AH262" s="384"/>
      <c r="AI262" s="384"/>
      <c r="AJ262" s="384"/>
      <c r="AK262" s="384"/>
      <c r="AL262" s="384"/>
      <c r="AR262" s="2" t="s">
        <v>1191</v>
      </c>
      <c r="AS262" s="2" t="s">
        <v>1194</v>
      </c>
    </row>
    <row r="263" spans="1:45" x14ac:dyDescent="0.3">
      <c r="A263" s="344" t="str">
        <f>'Reference Score Calculation'!A254</f>
        <v>JS6092</v>
      </c>
      <c r="B263" s="344" t="str">
        <f>'Reference Score Calculation'!D254</f>
        <v>教育學士(幼兒教育及特殊教育)</v>
      </c>
      <c r="C263" s="355">
        <f>INDEX('Offer Statistics'!DB$134:DB$181,MATCH(入學要求!A263,'Offer Statistics'!$CL$134:$CL$181,0))</f>
        <v>18</v>
      </c>
      <c r="D263" s="380">
        <v>3</v>
      </c>
      <c r="E263" s="380">
        <v>3</v>
      </c>
      <c r="F263" s="380">
        <v>2</v>
      </c>
      <c r="G263" s="380">
        <v>2</v>
      </c>
      <c r="H263" s="380">
        <v>3</v>
      </c>
      <c r="I263" s="380">
        <v>3</v>
      </c>
      <c r="J263" s="16"/>
      <c r="K263" s="355">
        <f t="shared" si="89"/>
        <v>0</v>
      </c>
      <c r="L263" s="355">
        <f t="shared" si="90"/>
        <v>0</v>
      </c>
      <c r="M263" s="355">
        <f t="shared" si="91"/>
        <v>0</v>
      </c>
      <c r="N263" s="355">
        <f t="shared" si="92"/>
        <v>0</v>
      </c>
      <c r="O263" s="355">
        <f t="shared" si="115"/>
        <v>0</v>
      </c>
      <c r="P263" s="355">
        <f t="shared" si="110"/>
        <v>0</v>
      </c>
      <c r="R263" s="355">
        <f t="shared" si="94"/>
        <v>0</v>
      </c>
      <c r="S263" s="355"/>
      <c r="T263" s="355" t="s">
        <v>2237</v>
      </c>
      <c r="U263" s="355" t="s">
        <v>2239</v>
      </c>
      <c r="V263" s="355" t="s">
        <v>2239</v>
      </c>
      <c r="W263" s="355"/>
      <c r="X263" s="358" t="s">
        <v>1978</v>
      </c>
      <c r="Y263" s="358" t="s">
        <v>1978</v>
      </c>
      <c r="Z263" s="358" t="s">
        <v>1978</v>
      </c>
      <c r="AA263" s="390"/>
      <c r="AB263" s="417"/>
      <c r="AC263" s="390"/>
      <c r="AD263" s="390"/>
      <c r="AE263" s="390"/>
      <c r="AF263" s="390"/>
      <c r="AG263" s="390"/>
      <c r="AH263" s="384"/>
      <c r="AI263" s="384"/>
      <c r="AJ263" s="384"/>
      <c r="AK263" s="384"/>
      <c r="AL263" s="384"/>
      <c r="AR263" s="2" t="s">
        <v>1199</v>
      </c>
      <c r="AS263" s="2" t="s">
        <v>1202</v>
      </c>
    </row>
    <row r="264" spans="1:45" x14ac:dyDescent="0.3">
      <c r="A264" s="344" t="str">
        <f>'Reference Score Calculation'!A255</f>
        <v>JS6119</v>
      </c>
      <c r="B264" s="344" t="str">
        <f>'Reference Score Calculation'!D255</f>
        <v>教育學士及理學士 (雙學位課程)</v>
      </c>
      <c r="C264" s="355">
        <f>INDEX('Offer Statistics'!DB$134:DB$181,MATCH(入學要求!A264,'Offer Statistics'!$CL$134:$CL$181,0))</f>
        <v>16</v>
      </c>
      <c r="D264" s="380">
        <v>3</v>
      </c>
      <c r="E264" s="380">
        <v>3</v>
      </c>
      <c r="F264" s="380">
        <v>2</v>
      </c>
      <c r="G264" s="380">
        <v>2</v>
      </c>
      <c r="H264" s="380">
        <v>3</v>
      </c>
      <c r="I264" s="380">
        <v>3</v>
      </c>
      <c r="J264" s="16"/>
      <c r="K264" s="355">
        <f t="shared" si="89"/>
        <v>0</v>
      </c>
      <c r="L264" s="355">
        <f t="shared" si="90"/>
        <v>0</v>
      </c>
      <c r="M264" s="355">
        <f t="shared" si="91"/>
        <v>0</v>
      </c>
      <c r="N264" s="355">
        <f t="shared" si="92"/>
        <v>0</v>
      </c>
      <c r="O264" s="355">
        <f>IF(H264&gt;$AI$252,0,1)</f>
        <v>0</v>
      </c>
      <c r="P264" s="355">
        <f t="shared" si="110"/>
        <v>0</v>
      </c>
      <c r="R264" s="355">
        <f t="shared" si="94"/>
        <v>0</v>
      </c>
      <c r="S264" s="355"/>
      <c r="T264" s="355" t="s">
        <v>2237</v>
      </c>
      <c r="U264" s="355" t="s">
        <v>2239</v>
      </c>
      <c r="V264" s="355" t="s">
        <v>2239</v>
      </c>
      <c r="W264" s="355"/>
      <c r="X264" s="358" t="s">
        <v>3329</v>
      </c>
      <c r="Y264" s="358" t="s">
        <v>1978</v>
      </c>
      <c r="Z264" s="358" t="s">
        <v>1978</v>
      </c>
      <c r="AA264" s="390" t="s">
        <v>1266</v>
      </c>
      <c r="AB264" s="390" t="str">
        <f>I$2</f>
        <v>請選擇第一選修科</v>
      </c>
      <c r="AC264" s="390" t="str">
        <f t="shared" ref="AC264" si="116">J$2</f>
        <v>請選擇第二選修科</v>
      </c>
      <c r="AD264" s="390" t="str">
        <f t="shared" ref="AD264" si="117">K$2</f>
        <v>請選擇第三選修科</v>
      </c>
      <c r="AE264" s="390" t="str">
        <f t="shared" ref="AE264" si="118">L$2</f>
        <v>請選擇第四選修科</v>
      </c>
      <c r="AF264" s="390"/>
      <c r="AG264" s="384"/>
      <c r="AH264" s="390" t="s">
        <v>3201</v>
      </c>
      <c r="AI264" s="390"/>
      <c r="AJ264" s="384"/>
      <c r="AK264" s="384"/>
      <c r="AL264" s="384"/>
      <c r="AR264" s="2" t="s">
        <v>1203</v>
      </c>
      <c r="AS264" s="2" t="s">
        <v>1206</v>
      </c>
    </row>
    <row r="265" spans="1:45" x14ac:dyDescent="0.3">
      <c r="A265" s="344" t="str">
        <f>'Reference Score Calculation'!A256</f>
        <v>JS6157</v>
      </c>
      <c r="B265" s="344" t="str">
        <f>'Reference Score Calculation'!D256</f>
        <v>理學士(言語及聽覺科學)</v>
      </c>
      <c r="C265" s="355">
        <f>INDEX('Offer Statistics'!DB$134:DB$181,MATCH(入學要求!A265,'Offer Statistics'!$CL$134:$CL$181,0))</f>
        <v>48</v>
      </c>
      <c r="D265" s="109">
        <v>3</v>
      </c>
      <c r="E265" s="109">
        <v>4</v>
      </c>
      <c r="F265" s="109">
        <v>2</v>
      </c>
      <c r="G265" s="109">
        <v>2</v>
      </c>
      <c r="H265" s="109">
        <v>3</v>
      </c>
      <c r="I265" s="109">
        <v>3</v>
      </c>
      <c r="J265" s="16"/>
      <c r="K265" s="355">
        <f t="shared" si="89"/>
        <v>0</v>
      </c>
      <c r="L265" s="355">
        <f t="shared" si="90"/>
        <v>0</v>
      </c>
      <c r="M265" s="355">
        <f t="shared" si="91"/>
        <v>0</v>
      </c>
      <c r="N265" s="355">
        <f t="shared" si="92"/>
        <v>0</v>
      </c>
      <c r="O265" s="355">
        <f t="shared" si="115"/>
        <v>0</v>
      </c>
      <c r="P265" s="355">
        <f t="shared" si="110"/>
        <v>0</v>
      </c>
      <c r="R265" s="355">
        <f t="shared" si="94"/>
        <v>0</v>
      </c>
      <c r="S265" s="355"/>
      <c r="T265" s="355" t="s">
        <v>2237</v>
      </c>
      <c r="U265" s="355" t="s">
        <v>2239</v>
      </c>
      <c r="V265" s="355" t="s">
        <v>2239</v>
      </c>
      <c r="W265" s="355"/>
      <c r="X265" s="358" t="s">
        <v>1978</v>
      </c>
      <c r="Y265" s="358" t="s">
        <v>1978</v>
      </c>
      <c r="Z265" s="358" t="s">
        <v>1978</v>
      </c>
      <c r="AA265" s="390" t="s">
        <v>2344</v>
      </c>
      <c r="AB265" s="391">
        <f>IF(OR(I$2="化學",I$2="生物",I$2="組合科學(物理、化學)",I$2="組合科學(生物、化學)",I$2="組合科學(物理、生物)"),I$3,0)</f>
        <v>0</v>
      </c>
      <c r="AC265" s="391">
        <f t="shared" ref="AC265:AE265" si="119">IF(OR(J$2="化學",J$2="生物",J$2="組合科學(物理、化學)",J$2="組合科學(生物、化學)",J$2="組合科學(物理、生物)"),J$3,0)</f>
        <v>0</v>
      </c>
      <c r="AD265" s="391">
        <f t="shared" si="119"/>
        <v>0</v>
      </c>
      <c r="AE265" s="391">
        <f t="shared" si="119"/>
        <v>0</v>
      </c>
      <c r="AF265" s="390"/>
      <c r="AG265" s="390"/>
      <c r="AH265" s="391" t="str">
        <f>IF(AI265&gt;0.1,INDEX(AB264:AE264,MATCH(LARGE(AB265:AE265,1),AB265:AE265,0)),"無")</f>
        <v>無</v>
      </c>
      <c r="AI265" s="391">
        <f>LARGE((AB265:AE265),1)</f>
        <v>0</v>
      </c>
      <c r="AJ265" s="384"/>
      <c r="AK265" s="384"/>
      <c r="AL265" s="384"/>
      <c r="AR265" s="2" t="s">
        <v>1211</v>
      </c>
      <c r="AS265" s="2" t="s">
        <v>1214</v>
      </c>
    </row>
    <row r="266" spans="1:45" s="344" customFormat="1" x14ac:dyDescent="0.3">
      <c r="A266" s="344" t="str">
        <f>'Reference Score Calculation'!A257</f>
        <v>JS6262</v>
      </c>
      <c r="B266" s="344" t="str">
        <f>'Reference Score Calculation'!D257</f>
        <v>工學學士(數據科學及工程)</v>
      </c>
      <c r="C266" s="355">
        <f>INDEX('Offer Statistics'!DB$134:DB$181,MATCH(入學要求!A266,'Offer Statistics'!$CL$134:$CL$181,0))</f>
        <v>30</v>
      </c>
      <c r="D266" s="380">
        <v>3</v>
      </c>
      <c r="E266" s="380">
        <v>3</v>
      </c>
      <c r="F266" s="380">
        <v>3</v>
      </c>
      <c r="G266" s="380">
        <v>2</v>
      </c>
      <c r="H266" s="380">
        <v>3</v>
      </c>
      <c r="I266" s="380">
        <v>3</v>
      </c>
      <c r="J266" s="355"/>
      <c r="K266" s="355">
        <f t="shared" ref="K266" si="120">IF(D266&gt;D$3,0,1)</f>
        <v>0</v>
      </c>
      <c r="L266" s="355">
        <f t="shared" ref="L266" si="121">IF(E266&gt;E$3,0,1)</f>
        <v>0</v>
      </c>
      <c r="M266" s="355">
        <f t="shared" ref="M266" si="122">IF(F266&gt;F$3,0,1)</f>
        <v>0</v>
      </c>
      <c r="N266" s="355">
        <f t="shared" ref="N266" si="123">IF(G266&gt;G$3,0,1)</f>
        <v>0</v>
      </c>
      <c r="O266" s="355">
        <f>IF(H266&gt;LARGE($I$3:$L$3,1),0,1)</f>
        <v>0</v>
      </c>
      <c r="P266" s="355">
        <f>IF($H$3&lt;3,0,1)</f>
        <v>0</v>
      </c>
      <c r="R266" s="355">
        <f t="shared" si="94"/>
        <v>0</v>
      </c>
      <c r="S266" s="355"/>
      <c r="T266" s="355" t="s">
        <v>2237</v>
      </c>
      <c r="U266" s="355" t="s">
        <v>2803</v>
      </c>
      <c r="V266" s="355" t="s">
        <v>2239</v>
      </c>
      <c r="W266" s="355"/>
      <c r="X266" s="358" t="s">
        <v>3328</v>
      </c>
      <c r="Y266" s="358" t="s">
        <v>1978</v>
      </c>
      <c r="Z266" s="358" t="s">
        <v>1978</v>
      </c>
      <c r="AA266" s="390"/>
      <c r="AB266" s="417" t="s">
        <v>3350</v>
      </c>
      <c r="AC266" s="390"/>
      <c r="AD266" s="390"/>
      <c r="AE266" s="390"/>
      <c r="AF266" s="390"/>
      <c r="AG266" s="390"/>
      <c r="AH266" s="384"/>
      <c r="AI266" s="384"/>
      <c r="AJ266" s="384"/>
      <c r="AK266" s="384"/>
      <c r="AL266" s="384"/>
      <c r="AM266" s="355"/>
      <c r="AN266" s="355"/>
    </row>
    <row r="267" spans="1:45" x14ac:dyDescent="0.3">
      <c r="A267" s="344" t="str">
        <f>'Reference Score Calculation'!A258</f>
        <v>JS6925</v>
      </c>
      <c r="B267" s="344" t="str">
        <f>'Reference Score Calculation'!D258</f>
        <v>工學學士(生物醫學工程)</v>
      </c>
      <c r="C267" s="355">
        <f>INDEX('Offer Statistics'!DB$134:DB$181,MATCH(入學要求!A267,'Offer Statistics'!$CL$134:$CL$181,0))</f>
        <v>35</v>
      </c>
      <c r="D267" s="109">
        <v>3</v>
      </c>
      <c r="E267" s="109">
        <v>3</v>
      </c>
      <c r="F267" s="109">
        <v>3</v>
      </c>
      <c r="G267" s="109">
        <v>2</v>
      </c>
      <c r="H267" s="109">
        <v>3</v>
      </c>
      <c r="I267" s="109">
        <v>3</v>
      </c>
      <c r="J267" s="16"/>
      <c r="K267" s="355">
        <f t="shared" si="89"/>
        <v>0</v>
      </c>
      <c r="L267" s="355">
        <f t="shared" si="90"/>
        <v>0</v>
      </c>
      <c r="M267" s="355">
        <f t="shared" si="91"/>
        <v>0</v>
      </c>
      <c r="N267" s="355">
        <f t="shared" si="92"/>
        <v>0</v>
      </c>
      <c r="O267" s="355">
        <f>IF(H267&gt;$AI$257,0,1)</f>
        <v>0</v>
      </c>
      <c r="P267" s="355">
        <f>IF(OR($H$3&gt;I267,$M$3&gt;I267),1,IF(I267&gt;LARGE($I$3:$L$3,2),0,IF($H$3&lt;3,2,1)))</f>
        <v>0</v>
      </c>
      <c r="R267" s="355">
        <f t="shared" si="94"/>
        <v>0</v>
      </c>
      <c r="S267" s="355"/>
      <c r="T267" s="355" t="s">
        <v>2237</v>
      </c>
      <c r="U267" s="355" t="s">
        <v>2803</v>
      </c>
      <c r="V267" s="355" t="s">
        <v>2239</v>
      </c>
      <c r="W267" s="355"/>
      <c r="X267" s="358" t="s">
        <v>3334</v>
      </c>
      <c r="Y267" s="358" t="s">
        <v>3325</v>
      </c>
      <c r="Z267" s="358" t="s">
        <v>1978</v>
      </c>
      <c r="AA267" s="390"/>
      <c r="AB267" s="417"/>
      <c r="AC267" s="390"/>
      <c r="AD267" s="390"/>
      <c r="AE267" s="390"/>
      <c r="AF267" s="390"/>
      <c r="AG267" s="390"/>
      <c r="AH267" s="384"/>
      <c r="AI267" s="384"/>
      <c r="AJ267" s="384"/>
      <c r="AK267" s="384"/>
      <c r="AL267" s="384"/>
      <c r="AR267" s="2" t="s">
        <v>1216</v>
      </c>
      <c r="AS267" s="2" t="s">
        <v>1219</v>
      </c>
    </row>
    <row r="268" spans="1:45" x14ac:dyDescent="0.3">
      <c r="A268" s="344" t="str">
        <f>'Reference Score Calculation'!A259</f>
        <v>JS6937</v>
      </c>
      <c r="B268" s="344" t="str">
        <f>'Reference Score Calculation'!D259</f>
        <v>環球工程與商業課程</v>
      </c>
      <c r="C268" s="355" t="str">
        <f>INDEX('Offer Statistics'!DB$134:DB$181,MATCH(入學要求!A268,'Offer Statistics'!$CL$134:$CL$181,0))</f>
        <v>355*</v>
      </c>
      <c r="D268" s="109">
        <v>3</v>
      </c>
      <c r="E268" s="109">
        <v>4</v>
      </c>
      <c r="F268" s="109">
        <v>4</v>
      </c>
      <c r="G268" s="109">
        <v>2</v>
      </c>
      <c r="H268" s="109">
        <v>3</v>
      </c>
      <c r="I268" s="109">
        <v>3</v>
      </c>
      <c r="J268" s="16"/>
      <c r="K268" s="355">
        <f t="shared" si="89"/>
        <v>0</v>
      </c>
      <c r="L268" s="355">
        <f t="shared" si="90"/>
        <v>0</v>
      </c>
      <c r="M268" s="355">
        <f t="shared" si="91"/>
        <v>0</v>
      </c>
      <c r="N268" s="355">
        <f t="shared" si="92"/>
        <v>0</v>
      </c>
      <c r="O268" s="355">
        <f>IF(H268&gt;$AI$257,0,1)</f>
        <v>0</v>
      </c>
      <c r="P268" s="355">
        <f t="shared" ref="P268:P270" si="124">IF(OR($H$3&gt;I268,$M$3&gt;I268),1,IF(I268&gt;LARGE($I$3:$L$3,2),0,IF($H$3&lt;3,2,1)))</f>
        <v>0</v>
      </c>
      <c r="R268" s="355">
        <f t="shared" si="94"/>
        <v>0</v>
      </c>
      <c r="S268" s="355"/>
      <c r="T268" s="355" t="s">
        <v>2237</v>
      </c>
      <c r="U268" s="355" t="s">
        <v>2803</v>
      </c>
      <c r="V268" s="355" t="s">
        <v>2239</v>
      </c>
      <c r="W268" s="355"/>
      <c r="X268" s="358" t="s">
        <v>3334</v>
      </c>
      <c r="Y268" s="358" t="s">
        <v>3325</v>
      </c>
      <c r="Z268" s="358" t="s">
        <v>1978</v>
      </c>
      <c r="AA268" s="390"/>
      <c r="AB268" s="390" t="str">
        <f>I$2</f>
        <v>請選擇第一選修科</v>
      </c>
      <c r="AC268" s="390" t="str">
        <f t="shared" ref="AC268" si="125">J$2</f>
        <v>請選擇第二選修科</v>
      </c>
      <c r="AD268" s="390" t="str">
        <f t="shared" ref="AD268" si="126">K$2</f>
        <v>請選擇第三選修科</v>
      </c>
      <c r="AE268" s="390" t="str">
        <f t="shared" ref="AE268" si="127">L$2</f>
        <v>請選擇第四選修科</v>
      </c>
      <c r="AF268" s="390"/>
      <c r="AG268" s="390" t="s">
        <v>3200</v>
      </c>
      <c r="AH268" s="390"/>
      <c r="AI268" s="390" t="s">
        <v>2338</v>
      </c>
      <c r="AJ268" s="390"/>
      <c r="AK268" s="384"/>
      <c r="AL268" s="384"/>
      <c r="AR268" s="2" t="s">
        <v>1348</v>
      </c>
      <c r="AS268" s="2" t="s">
        <v>1351</v>
      </c>
    </row>
    <row r="269" spans="1:45" x14ac:dyDescent="0.3">
      <c r="A269" s="344" t="str">
        <f>'Reference Score Calculation'!A260</f>
        <v>JS6951</v>
      </c>
      <c r="B269" s="344" t="str">
        <f>'Reference Score Calculation'!D260</f>
        <v>工學學士(工程科學)</v>
      </c>
      <c r="C269" s="355">
        <f>INDEX('Offer Statistics'!DB$134:DB$181,MATCH(入學要求!A269,'Offer Statistics'!$CL$134:$CL$181,0))</f>
        <v>18</v>
      </c>
      <c r="D269" s="109">
        <v>3</v>
      </c>
      <c r="E269" s="109">
        <v>3</v>
      </c>
      <c r="F269" s="109">
        <v>3</v>
      </c>
      <c r="G269" s="109">
        <v>2</v>
      </c>
      <c r="H269" s="109">
        <v>3</v>
      </c>
      <c r="I269" s="109">
        <v>3</v>
      </c>
      <c r="J269" s="16"/>
      <c r="K269" s="355">
        <f t="shared" si="89"/>
        <v>0</v>
      </c>
      <c r="L269" s="355">
        <f t="shared" si="90"/>
        <v>0</v>
      </c>
      <c r="M269" s="355">
        <f t="shared" si="91"/>
        <v>0</v>
      </c>
      <c r="N269" s="355">
        <f t="shared" si="92"/>
        <v>0</v>
      </c>
      <c r="O269" s="355">
        <f>IF(H269&gt;$AI$252,0,1)</f>
        <v>0</v>
      </c>
      <c r="P269" s="355">
        <f>IF(OR($H$3&gt;I269,$M$3&gt;I269),1,IF(I269&gt;LARGE($I$3:$L$3,2),0,IF($H$3&lt;3,2,1)))</f>
        <v>0</v>
      </c>
      <c r="R269" s="355">
        <f t="shared" si="94"/>
        <v>0</v>
      </c>
      <c r="S269" s="355"/>
      <c r="T269" s="355" t="s">
        <v>2237</v>
      </c>
      <c r="U269" s="355" t="s">
        <v>2803</v>
      </c>
      <c r="V269" s="355" t="s">
        <v>2239</v>
      </c>
      <c r="W269" s="355"/>
      <c r="X269" s="358" t="s">
        <v>3329</v>
      </c>
      <c r="Y269" s="358" t="s">
        <v>3325</v>
      </c>
      <c r="Z269" s="358" t="s">
        <v>1978</v>
      </c>
      <c r="AA269" s="390" t="s">
        <v>2343</v>
      </c>
      <c r="AB269" s="391">
        <f>IF(OR(I$2="物理",I$2="化學",I$2="生物",I$2="組合科學(物理、化學)",I$2="組合科學(生物、化學)",I$2="組合科學(物理、生物)"),I$3,0)</f>
        <v>0</v>
      </c>
      <c r="AC269" s="391">
        <f t="shared" ref="AC269:AE269" si="128">IF(OR(J$2="物理",J$2="化學",J$2="生物",J$2="組合科學(物理、化學)",J$2="組合科學(生物、化學)",J$2="組合科學(物理、生物)"),J$3,0)</f>
        <v>0</v>
      </c>
      <c r="AD269" s="391">
        <f t="shared" si="128"/>
        <v>0</v>
      </c>
      <c r="AE269" s="391">
        <f t="shared" si="128"/>
        <v>0</v>
      </c>
      <c r="AF269" s="390"/>
      <c r="AG269" s="391" t="str">
        <f>IF(AH269&gt;0.1,INDEX(AB268:AE268,MATCH(LARGE(AB269:AE269,1),AB269:AE269,0)),"無")</f>
        <v>無</v>
      </c>
      <c r="AH269" s="391">
        <f>LARGE((AB269:AE269),1)</f>
        <v>0</v>
      </c>
      <c r="AI269" s="391" t="str">
        <f>IF(AJ269&gt;0.1,INDEX(AB268:AE268,MATCH(LARGE(AB269:AE269,2),AB269:AE269,0)),"無")</f>
        <v>無</v>
      </c>
      <c r="AJ269" s="391">
        <f>LARGE((AB269:AE269),2)</f>
        <v>0</v>
      </c>
      <c r="AK269" s="384"/>
      <c r="AL269" s="384"/>
      <c r="AR269" s="2" t="s">
        <v>1352</v>
      </c>
      <c r="AS269" s="2" t="s">
        <v>1355</v>
      </c>
    </row>
    <row r="270" spans="1:45" x14ac:dyDescent="0.3">
      <c r="A270" s="344" t="str">
        <f>'Reference Score Calculation'!A261</f>
        <v>JS6963</v>
      </c>
      <c r="B270" s="344" t="str">
        <f>'Reference Score Calculation'!D261</f>
        <v>工學學士</v>
      </c>
      <c r="C270" s="355" t="str">
        <f>INDEX('Offer Statistics'!DB$134:DB$181,MATCH(入學要求!A270,'Offer Statistics'!$CL$134:$CL$181,0))</f>
        <v>355*</v>
      </c>
      <c r="D270" s="109">
        <v>3</v>
      </c>
      <c r="E270" s="109">
        <v>3</v>
      </c>
      <c r="F270" s="109">
        <v>3</v>
      </c>
      <c r="G270" s="109">
        <v>2</v>
      </c>
      <c r="H270" s="109">
        <v>3</v>
      </c>
      <c r="I270" s="109">
        <v>3</v>
      </c>
      <c r="J270" s="16"/>
      <c r="K270" s="355">
        <f t="shared" si="89"/>
        <v>0</v>
      </c>
      <c r="L270" s="355">
        <f t="shared" si="90"/>
        <v>0</v>
      </c>
      <c r="M270" s="355">
        <f t="shared" si="91"/>
        <v>0</v>
      </c>
      <c r="N270" s="355">
        <f t="shared" si="92"/>
        <v>0</v>
      </c>
      <c r="O270" s="355">
        <f>IF(H270&gt;$AI$257,0,1)</f>
        <v>0</v>
      </c>
      <c r="P270" s="355">
        <f t="shared" si="124"/>
        <v>0</v>
      </c>
      <c r="R270" s="355">
        <f t="shared" si="94"/>
        <v>0</v>
      </c>
      <c r="S270" s="355"/>
      <c r="T270" s="355" t="s">
        <v>2237</v>
      </c>
      <c r="U270" s="355" t="s">
        <v>2803</v>
      </c>
      <c r="V270" s="355" t="s">
        <v>2239</v>
      </c>
      <c r="W270" s="355"/>
      <c r="X270" s="358" t="s">
        <v>3334</v>
      </c>
      <c r="Y270" s="358" t="s">
        <v>3325</v>
      </c>
      <c r="Z270" s="358" t="s">
        <v>1978</v>
      </c>
      <c r="AA270" s="390"/>
      <c r="AB270" s="417" t="s">
        <v>3342</v>
      </c>
      <c r="AC270" s="390"/>
      <c r="AD270" s="390"/>
      <c r="AE270" s="390"/>
      <c r="AF270" s="390"/>
      <c r="AG270" s="390"/>
      <c r="AH270" s="384"/>
      <c r="AI270" s="384"/>
      <c r="AJ270" s="384"/>
      <c r="AK270" s="384"/>
      <c r="AL270" s="384"/>
      <c r="AR270" s="2" t="s">
        <v>1362</v>
      </c>
      <c r="AS270" s="2" t="s">
        <v>1365</v>
      </c>
    </row>
    <row r="271" spans="1:45" x14ac:dyDescent="0.3">
      <c r="A271" s="344" t="str">
        <f>'Reference Score Calculation'!A262</f>
        <v>JS6078</v>
      </c>
      <c r="B271" s="344" t="str">
        <f>'Reference Score Calculation'!D262</f>
        <v>文學士及法學士 (雙學位課程)</v>
      </c>
      <c r="C271" s="355">
        <f>INDEX('Offer Statistics'!DB$134:DB$181,MATCH(入學要求!A271,'Offer Statistics'!$CL$134:$CL$181,0))</f>
        <v>20</v>
      </c>
      <c r="D271" s="109">
        <v>4</v>
      </c>
      <c r="E271" s="109">
        <v>5</v>
      </c>
      <c r="F271" s="109">
        <v>3</v>
      </c>
      <c r="G271" s="109">
        <v>3</v>
      </c>
      <c r="H271" s="109">
        <v>3</v>
      </c>
      <c r="I271" s="109">
        <v>3</v>
      </c>
      <c r="J271" s="16"/>
      <c r="K271" s="355">
        <f t="shared" si="89"/>
        <v>0</v>
      </c>
      <c r="L271" s="355">
        <f t="shared" si="90"/>
        <v>0</v>
      </c>
      <c r="M271" s="355">
        <f t="shared" si="91"/>
        <v>0</v>
      </c>
      <c r="N271" s="355">
        <f t="shared" si="92"/>
        <v>0</v>
      </c>
      <c r="O271" s="355">
        <f t="shared" ref="O271" si="129">IF(H271&gt;LARGE($H$3:$L$3,1),0,1)</f>
        <v>0</v>
      </c>
      <c r="P271" s="355">
        <f>IF(I271&gt;LARGE($H$3:$L$3,2),0,1)</f>
        <v>0</v>
      </c>
      <c r="R271" s="355">
        <f t="shared" si="94"/>
        <v>0</v>
      </c>
      <c r="S271" s="355"/>
      <c r="T271" s="355" t="s">
        <v>2237</v>
      </c>
      <c r="U271" s="355" t="s">
        <v>2239</v>
      </c>
      <c r="V271" s="355" t="s">
        <v>2239</v>
      </c>
      <c r="W271" s="355"/>
      <c r="X271" s="358" t="s">
        <v>1978</v>
      </c>
      <c r="Y271" s="358" t="s">
        <v>1978</v>
      </c>
      <c r="Z271" s="358" t="s">
        <v>1978</v>
      </c>
      <c r="AA271" s="390"/>
      <c r="AB271" s="417"/>
      <c r="AC271" s="390"/>
      <c r="AD271" s="390"/>
      <c r="AE271" s="390"/>
      <c r="AF271" s="390"/>
      <c r="AG271" s="390" t="s">
        <v>3352</v>
      </c>
      <c r="AH271" s="384"/>
      <c r="AI271" s="395">
        <f>IF(AND(AH269&gt;3,AJ269&gt;3),1,0)</f>
        <v>0</v>
      </c>
      <c r="AJ271" s="384"/>
      <c r="AK271" s="384"/>
      <c r="AL271" s="384"/>
      <c r="AR271" s="2" t="s">
        <v>1367</v>
      </c>
      <c r="AS271" s="2" t="s">
        <v>1370</v>
      </c>
    </row>
    <row r="272" spans="1:45" x14ac:dyDescent="0.3">
      <c r="A272" s="344" t="str">
        <f>'Reference Score Calculation'!A263</f>
        <v>JS6406</v>
      </c>
      <c r="B272" s="344" t="str">
        <f>'Reference Score Calculation'!D263</f>
        <v>法學士</v>
      </c>
      <c r="C272" s="355">
        <f>INDEX('Offer Statistics'!DB$134:DB$181,MATCH(入學要求!A272,'Offer Statistics'!$CL$134:$CL$181,0))</f>
        <v>93</v>
      </c>
      <c r="D272" s="380">
        <v>4</v>
      </c>
      <c r="E272" s="380">
        <v>5</v>
      </c>
      <c r="F272" s="380">
        <v>3</v>
      </c>
      <c r="G272" s="380">
        <v>3</v>
      </c>
      <c r="H272" s="380">
        <v>3</v>
      </c>
      <c r="I272" s="380">
        <v>3</v>
      </c>
      <c r="J272" s="16"/>
      <c r="K272" s="355">
        <f t="shared" si="89"/>
        <v>0</v>
      </c>
      <c r="L272" s="355">
        <f t="shared" si="90"/>
        <v>0</v>
      </c>
      <c r="M272" s="355">
        <f t="shared" si="91"/>
        <v>0</v>
      </c>
      <c r="N272" s="355">
        <f t="shared" si="92"/>
        <v>0</v>
      </c>
      <c r="O272" s="355">
        <f t="shared" ref="O272" si="130">IF(H272&gt;LARGE($H$3:$L$3,1),0,1)</f>
        <v>0</v>
      </c>
      <c r="P272" s="355">
        <f>IF(I272&gt;LARGE($H$3:$L$3,2),0,1)</f>
        <v>0</v>
      </c>
      <c r="R272" s="355">
        <f t="shared" si="94"/>
        <v>0</v>
      </c>
      <c r="S272" s="355"/>
      <c r="T272" s="355" t="s">
        <v>2237</v>
      </c>
      <c r="U272" s="355" t="s">
        <v>2239</v>
      </c>
      <c r="V272" s="355" t="s">
        <v>2239</v>
      </c>
      <c r="W272" s="355"/>
      <c r="X272" s="358" t="s">
        <v>1978</v>
      </c>
      <c r="Y272" s="358" t="s">
        <v>1978</v>
      </c>
      <c r="Z272" s="358" t="s">
        <v>1978</v>
      </c>
      <c r="AA272" s="390"/>
      <c r="AB272" s="417"/>
      <c r="AC272" s="390"/>
      <c r="AD272" s="390"/>
      <c r="AE272" s="390"/>
      <c r="AF272" s="390"/>
      <c r="AG272" s="390"/>
      <c r="AH272" s="384"/>
      <c r="AI272" s="384"/>
      <c r="AJ272" s="384"/>
      <c r="AK272" s="384"/>
      <c r="AL272" s="384"/>
      <c r="AR272" s="2" t="s">
        <v>1195</v>
      </c>
      <c r="AS272" s="2" t="s">
        <v>1198</v>
      </c>
    </row>
    <row r="273" spans="1:45" x14ac:dyDescent="0.3">
      <c r="A273" s="344" t="str">
        <f>'Reference Score Calculation'!A264</f>
        <v>JS6418</v>
      </c>
      <c r="B273" s="344" t="str">
        <f>'Reference Score Calculation'!D264</f>
        <v>護理學學士菁英領袖培育專修組別</v>
      </c>
      <c r="C273" s="355" t="str">
        <f>INDEX('Offer Statistics'!DB$134:DB$181,MATCH(入學要求!A273,'Offer Statistics'!$CL$134:$CL$181,0))</f>
        <v>210*</v>
      </c>
      <c r="D273" s="109">
        <v>3</v>
      </c>
      <c r="E273" s="109">
        <v>3</v>
      </c>
      <c r="F273" s="109">
        <v>2</v>
      </c>
      <c r="G273" s="109">
        <v>2</v>
      </c>
      <c r="H273" s="109">
        <v>3</v>
      </c>
      <c r="I273" s="109">
        <v>3</v>
      </c>
      <c r="J273" s="16"/>
      <c r="K273" s="355">
        <f t="shared" si="89"/>
        <v>0</v>
      </c>
      <c r="L273" s="355">
        <f t="shared" si="90"/>
        <v>0</v>
      </c>
      <c r="M273" s="355">
        <f t="shared" si="91"/>
        <v>0</v>
      </c>
      <c r="N273" s="355">
        <f t="shared" si="92"/>
        <v>0</v>
      </c>
      <c r="O273" s="355">
        <f>IF(H273&gt;$AI$252,0,1)</f>
        <v>0</v>
      </c>
      <c r="P273" s="355">
        <f>IF(H273&gt;LARGE($H$3:$L$3,1),0,IF($AI$261&lt;H273,2,1))</f>
        <v>0</v>
      </c>
      <c r="R273" s="355">
        <f t="shared" si="94"/>
        <v>0</v>
      </c>
      <c r="S273" s="355"/>
      <c r="T273" s="355" t="s">
        <v>2237</v>
      </c>
      <c r="U273" s="355" t="s">
        <v>2803</v>
      </c>
      <c r="V273" s="355" t="s">
        <v>2239</v>
      </c>
      <c r="W273" s="355"/>
      <c r="X273" s="358" t="s">
        <v>3335</v>
      </c>
      <c r="Y273" s="358" t="s">
        <v>1978</v>
      </c>
      <c r="Z273" s="358" t="s">
        <v>1978</v>
      </c>
      <c r="AA273" s="390"/>
      <c r="AB273" s="417"/>
      <c r="AC273" s="390"/>
      <c r="AD273" s="390"/>
      <c r="AE273" s="390"/>
      <c r="AF273" s="390"/>
      <c r="AG273" s="390"/>
      <c r="AH273" s="384"/>
      <c r="AI273" s="384"/>
      <c r="AJ273" s="384"/>
      <c r="AK273" s="384"/>
      <c r="AL273" s="384"/>
      <c r="AR273" s="2" t="s">
        <v>1253</v>
      </c>
      <c r="AS273" s="2" t="s">
        <v>1063</v>
      </c>
    </row>
    <row r="274" spans="1:45" x14ac:dyDescent="0.3">
      <c r="A274" s="344" t="str">
        <f>'Reference Score Calculation'!A265</f>
        <v>JS6456</v>
      </c>
      <c r="B274" s="344" t="str">
        <f>'Reference Score Calculation'!D265</f>
        <v>內外全科醫學士</v>
      </c>
      <c r="C274" s="355">
        <f>INDEX('Offer Statistics'!DB$134:DB$181,MATCH(入學要求!A274,'Offer Statistics'!$CL$134:$CL$181,0))</f>
        <v>295</v>
      </c>
      <c r="D274" s="109">
        <v>3</v>
      </c>
      <c r="E274" s="109">
        <v>4</v>
      </c>
      <c r="F274" s="109">
        <v>2</v>
      </c>
      <c r="G274" s="109">
        <v>2</v>
      </c>
      <c r="H274" s="109">
        <v>3</v>
      </c>
      <c r="I274" s="109">
        <v>3</v>
      </c>
      <c r="J274" s="16"/>
      <c r="K274" s="355">
        <f t="shared" si="89"/>
        <v>0</v>
      </c>
      <c r="L274" s="355">
        <f t="shared" si="90"/>
        <v>0</v>
      </c>
      <c r="M274" s="355">
        <f t="shared" si="91"/>
        <v>0</v>
      </c>
      <c r="N274" s="355">
        <f t="shared" si="92"/>
        <v>0</v>
      </c>
      <c r="O274" s="355">
        <f>IF(H274&gt;$AI$252,0,1)</f>
        <v>0</v>
      </c>
      <c r="P274" s="355">
        <f>IF(I274&gt;LARGE($H$3:$L$3,2),0,1)</f>
        <v>0</v>
      </c>
      <c r="R274" s="355">
        <f t="shared" si="94"/>
        <v>0</v>
      </c>
      <c r="S274" s="355"/>
      <c r="T274" s="355" t="s">
        <v>2237</v>
      </c>
      <c r="U274" s="355" t="s">
        <v>2239</v>
      </c>
      <c r="V274" s="355" t="s">
        <v>2239</v>
      </c>
      <c r="W274" s="355"/>
      <c r="X274" s="358" t="s">
        <v>2810</v>
      </c>
      <c r="Y274" s="358" t="s">
        <v>1978</v>
      </c>
      <c r="Z274" s="358" t="s">
        <v>1978</v>
      </c>
      <c r="AA274" s="390"/>
      <c r="AB274" s="417"/>
      <c r="AC274" s="390"/>
      <c r="AD274" s="390"/>
      <c r="AE274" s="390"/>
      <c r="AF274" s="390"/>
      <c r="AG274" s="390"/>
      <c r="AH274" s="384"/>
      <c r="AI274" s="384"/>
      <c r="AJ274" s="384"/>
      <c r="AK274" s="384"/>
      <c r="AL274" s="384"/>
      <c r="AR274" s="2" t="s">
        <v>1254</v>
      </c>
      <c r="AS274" s="2" t="s">
        <v>1257</v>
      </c>
    </row>
    <row r="275" spans="1:45" x14ac:dyDescent="0.3">
      <c r="A275" s="344" t="str">
        <f>'Reference Score Calculation'!A266</f>
        <v>JS6468</v>
      </c>
      <c r="B275" s="344" t="str">
        <f>'Reference Score Calculation'!D266</f>
        <v>護理學學士</v>
      </c>
      <c r="C275" s="355" t="str">
        <f>INDEX('Offer Statistics'!DB$134:DB$181,MATCH(入學要求!A275,'Offer Statistics'!$CL$134:$CL$181,0))</f>
        <v>210*</v>
      </c>
      <c r="D275" s="109">
        <v>3</v>
      </c>
      <c r="E275" s="109">
        <v>3</v>
      </c>
      <c r="F275" s="109">
        <v>2</v>
      </c>
      <c r="G275" s="109">
        <v>2</v>
      </c>
      <c r="H275" s="109">
        <v>3</v>
      </c>
      <c r="I275" s="109">
        <v>3</v>
      </c>
      <c r="J275" s="16"/>
      <c r="K275" s="355">
        <f t="shared" si="89"/>
        <v>0</v>
      </c>
      <c r="L275" s="355">
        <f t="shared" si="90"/>
        <v>0</v>
      </c>
      <c r="M275" s="355">
        <f t="shared" si="91"/>
        <v>0</v>
      </c>
      <c r="N275" s="355">
        <f t="shared" si="92"/>
        <v>0</v>
      </c>
      <c r="O275" s="355">
        <f>IF(H275&gt;LARGE($I$3:$L$3,1),0,1)</f>
        <v>0</v>
      </c>
      <c r="P275" s="355">
        <f t="shared" ref="P275" si="131">IF(OR($H$3&gt;I275,$M$3&gt;I275),1,IF(I275&gt;LARGE($I$3:$L$3,2),0,1))</f>
        <v>0</v>
      </c>
      <c r="R275" s="355">
        <f t="shared" si="94"/>
        <v>0</v>
      </c>
      <c r="S275" s="355"/>
      <c r="T275" s="355" t="s">
        <v>2237</v>
      </c>
      <c r="U275" s="355" t="s">
        <v>2803</v>
      </c>
      <c r="V275" s="355" t="s">
        <v>2239</v>
      </c>
      <c r="W275" s="355"/>
      <c r="X275" s="358" t="s">
        <v>1978</v>
      </c>
      <c r="Y275" s="358" t="s">
        <v>1978</v>
      </c>
      <c r="Z275" s="358" t="s">
        <v>1978</v>
      </c>
      <c r="AA275" s="390"/>
      <c r="AB275" s="417"/>
      <c r="AC275" s="390"/>
      <c r="AD275" s="390"/>
      <c r="AE275" s="390"/>
      <c r="AF275" s="390"/>
      <c r="AG275" s="390"/>
      <c r="AH275" s="384"/>
      <c r="AI275" s="384"/>
      <c r="AJ275" s="384"/>
      <c r="AK275" s="384"/>
      <c r="AL275" s="384"/>
      <c r="AR275" s="2" t="s">
        <v>1258</v>
      </c>
      <c r="AS275" s="2" t="s">
        <v>1261</v>
      </c>
    </row>
    <row r="276" spans="1:45" x14ac:dyDescent="0.3">
      <c r="A276" s="344" t="str">
        <f>'Reference Score Calculation'!A267</f>
        <v>JS6470</v>
      </c>
      <c r="B276" s="344" t="str">
        <f>'Reference Score Calculation'!D267</f>
        <v>理學士(生物訊息學)</v>
      </c>
      <c r="C276" s="355">
        <f>INDEX('Offer Statistics'!DB$134:DB$181,MATCH(入學要求!A276,'Offer Statistics'!$CL$134:$CL$181,0))</f>
        <v>15</v>
      </c>
      <c r="D276" s="109">
        <v>3</v>
      </c>
      <c r="E276" s="109">
        <v>4</v>
      </c>
      <c r="F276" s="109">
        <v>4</v>
      </c>
      <c r="G276" s="109">
        <v>2</v>
      </c>
      <c r="H276" s="109">
        <v>3</v>
      </c>
      <c r="I276" s="109">
        <v>3</v>
      </c>
      <c r="J276" s="16"/>
      <c r="K276" s="355">
        <f>IF(D276&gt;D$3,0,1)</f>
        <v>0</v>
      </c>
      <c r="L276" s="355">
        <f>IF(E276&gt;E$3,0,1)</f>
        <v>0</v>
      </c>
      <c r="M276" s="355">
        <f>IF(F276&gt;F$3,0,1)</f>
        <v>0</v>
      </c>
      <c r="N276" s="355">
        <f>IF(G276&gt;G$3,0,1)</f>
        <v>0</v>
      </c>
      <c r="O276" s="355">
        <f>IF(H276&gt;$AI$265,0,1)</f>
        <v>0</v>
      </c>
      <c r="P276" s="355">
        <f>IF(I276&gt;LARGE($H$3:$L$3,2),0,1)</f>
        <v>0</v>
      </c>
      <c r="R276" s="355">
        <f t="shared" si="94"/>
        <v>0</v>
      </c>
      <c r="S276" s="355"/>
      <c r="T276" s="355" t="s">
        <v>2237</v>
      </c>
      <c r="U276" s="355" t="s">
        <v>2239</v>
      </c>
      <c r="V276" s="355" t="s">
        <v>2239</v>
      </c>
      <c r="W276" s="355"/>
      <c r="X276" s="358" t="s">
        <v>2833</v>
      </c>
      <c r="Y276" s="358" t="s">
        <v>1978</v>
      </c>
      <c r="Z276" s="358" t="s">
        <v>1978</v>
      </c>
      <c r="AA276" s="390"/>
      <c r="AB276" s="417"/>
      <c r="AC276" s="390"/>
      <c r="AD276" s="390"/>
      <c r="AE276" s="390"/>
      <c r="AF276" s="390"/>
      <c r="AG276" s="390"/>
      <c r="AH276" s="384"/>
      <c r="AI276" s="384"/>
      <c r="AJ276" s="384"/>
      <c r="AK276" s="384"/>
      <c r="AL276" s="384"/>
      <c r="AR276" s="2" t="s">
        <v>1274</v>
      </c>
      <c r="AS276" s="2" t="s">
        <v>1276</v>
      </c>
    </row>
    <row r="277" spans="1:45" x14ac:dyDescent="0.3">
      <c r="A277" s="344" t="str">
        <f>'Reference Score Calculation'!A268</f>
        <v>JS6482</v>
      </c>
      <c r="B277" s="344" t="str">
        <f>'Reference Score Calculation'!D268</f>
        <v>中醫全科學士</v>
      </c>
      <c r="C277" s="355">
        <f>INDEX('Offer Statistics'!DB$134:DB$181,MATCH(入學要求!A277,'Offer Statistics'!$CL$134:$CL$181,0))</f>
        <v>24</v>
      </c>
      <c r="D277" s="109">
        <v>3</v>
      </c>
      <c r="E277" s="109">
        <v>3</v>
      </c>
      <c r="F277" s="109">
        <v>2</v>
      </c>
      <c r="G277" s="109">
        <v>2</v>
      </c>
      <c r="H277" s="109">
        <v>3</v>
      </c>
      <c r="I277" s="109">
        <v>3</v>
      </c>
      <c r="J277" s="16"/>
      <c r="K277" s="355">
        <f t="shared" si="89"/>
        <v>0</v>
      </c>
      <c r="L277" s="355">
        <f t="shared" si="90"/>
        <v>0</v>
      </c>
      <c r="M277" s="355">
        <f t="shared" si="91"/>
        <v>0</v>
      </c>
      <c r="N277" s="355">
        <f t="shared" si="92"/>
        <v>0</v>
      </c>
      <c r="O277" s="355">
        <f>IF(H277&gt;$AI$252,0,1)</f>
        <v>0</v>
      </c>
      <c r="P277" s="355">
        <f>IF(OR($H$3&gt;I277,$M$3&gt;I277),1,IF(I277&gt;LARGE($I$3:$L$3,2),0,1))</f>
        <v>0</v>
      </c>
      <c r="R277" s="355">
        <f t="shared" si="94"/>
        <v>0</v>
      </c>
      <c r="S277" s="355"/>
      <c r="T277" s="355" t="s">
        <v>2237</v>
      </c>
      <c r="U277" s="355" t="s">
        <v>2803</v>
      </c>
      <c r="V277" s="355" t="s">
        <v>2239</v>
      </c>
      <c r="W277" s="355"/>
      <c r="X277" s="358" t="s">
        <v>3329</v>
      </c>
      <c r="Y277" s="358" t="s">
        <v>1978</v>
      </c>
      <c r="Z277" s="358" t="s">
        <v>1978</v>
      </c>
      <c r="AA277" s="355"/>
      <c r="AB277" s="355"/>
      <c r="AC277" s="355"/>
      <c r="AD277" s="355"/>
      <c r="AE277" s="355"/>
      <c r="AR277" s="2" t="s">
        <v>1262</v>
      </c>
      <c r="AS277" s="2" t="s">
        <v>1265</v>
      </c>
    </row>
    <row r="278" spans="1:45" x14ac:dyDescent="0.3">
      <c r="A278" s="344" t="str">
        <f>'Reference Score Calculation'!A269</f>
        <v>JS6494</v>
      </c>
      <c r="B278" s="344" t="str">
        <f>'Reference Score Calculation'!D269</f>
        <v>藥劑學學士</v>
      </c>
      <c r="C278" s="355">
        <f>INDEX('Offer Statistics'!DB$134:DB$181,MATCH(入學要求!A278,'Offer Statistics'!$CL$134:$CL$181,0))</f>
        <v>35</v>
      </c>
      <c r="D278" s="109">
        <v>3</v>
      </c>
      <c r="E278" s="109">
        <v>4</v>
      </c>
      <c r="F278" s="109">
        <v>2</v>
      </c>
      <c r="G278" s="109">
        <v>2</v>
      </c>
      <c r="H278" s="109">
        <v>3</v>
      </c>
      <c r="I278" s="109">
        <v>3</v>
      </c>
      <c r="J278" s="16"/>
      <c r="K278" s="355">
        <f t="shared" si="89"/>
        <v>0</v>
      </c>
      <c r="L278" s="355">
        <f t="shared" si="90"/>
        <v>0</v>
      </c>
      <c r="M278" s="355">
        <f t="shared" si="91"/>
        <v>0</v>
      </c>
      <c r="N278" s="355">
        <f t="shared" si="92"/>
        <v>0</v>
      </c>
      <c r="O278" s="355">
        <f>IF(H278&gt;$AI$252,0,1)</f>
        <v>0</v>
      </c>
      <c r="P278" s="355">
        <f>IF(I278&gt;LARGE($H$3:$L$3,2),0,1)</f>
        <v>0</v>
      </c>
      <c r="R278" s="355">
        <f t="shared" si="94"/>
        <v>0</v>
      </c>
      <c r="S278" s="355"/>
      <c r="T278" s="355" t="s">
        <v>2237</v>
      </c>
      <c r="U278" s="355" t="s">
        <v>2239</v>
      </c>
      <c r="V278" s="355" t="s">
        <v>2239</v>
      </c>
      <c r="W278" s="355"/>
      <c r="X278" s="358" t="s">
        <v>2810</v>
      </c>
      <c r="Y278" s="358" t="s">
        <v>1978</v>
      </c>
      <c r="Z278" s="358" t="s">
        <v>1978</v>
      </c>
      <c r="AA278" s="355"/>
      <c r="AB278" s="355"/>
      <c r="AC278" s="355"/>
      <c r="AD278" s="355"/>
      <c r="AE278" s="355"/>
      <c r="AR278" s="2" t="s">
        <v>1270</v>
      </c>
      <c r="AS278" s="2" t="s">
        <v>1273</v>
      </c>
    </row>
    <row r="279" spans="1:45" x14ac:dyDescent="0.3">
      <c r="A279" s="344" t="str">
        <f>'Reference Score Calculation'!A270</f>
        <v>JS6949</v>
      </c>
      <c r="B279" s="344" t="str">
        <f>'Reference Score Calculation'!D270</f>
        <v>生物醫學學士</v>
      </c>
      <c r="C279" s="355">
        <f>INDEX('Offer Statistics'!DB$134:DB$181,MATCH(入學要求!A279,'Offer Statistics'!$CL$134:$CL$181,0))</f>
        <v>38</v>
      </c>
      <c r="D279" s="109">
        <v>3</v>
      </c>
      <c r="E279" s="109">
        <v>4</v>
      </c>
      <c r="F279" s="109">
        <v>2</v>
      </c>
      <c r="G279" s="109">
        <v>2</v>
      </c>
      <c r="H279" s="109">
        <v>3</v>
      </c>
      <c r="I279" s="109">
        <v>3</v>
      </c>
      <c r="J279" s="16"/>
      <c r="K279" s="355">
        <f>IF(D279&gt;D$3,0,1)</f>
        <v>0</v>
      </c>
      <c r="L279" s="355">
        <f>IF(E279&gt;E$3,0,1)</f>
        <v>0</v>
      </c>
      <c r="M279" s="355">
        <f>IF(F279&gt;F$3,0,1)</f>
        <v>0</v>
      </c>
      <c r="N279" s="355">
        <f>IF(G279&gt;G$3,0,1)</f>
        <v>0</v>
      </c>
      <c r="O279" s="355">
        <f>IF(H279&gt;$AI$265,0,1)</f>
        <v>0</v>
      </c>
      <c r="P279" s="355">
        <f>IF(I279&gt;LARGE($H$3:$L$3,2),0,1)</f>
        <v>0</v>
      </c>
      <c r="R279" s="355">
        <f t="shared" si="94"/>
        <v>0</v>
      </c>
      <c r="S279" s="355"/>
      <c r="T279" s="355" t="s">
        <v>2237</v>
      </c>
      <c r="U279" s="355" t="s">
        <v>2239</v>
      </c>
      <c r="V279" s="355" t="s">
        <v>2239</v>
      </c>
      <c r="W279" s="355"/>
      <c r="X279" s="358" t="s">
        <v>2833</v>
      </c>
      <c r="Y279" s="358" t="s">
        <v>1978</v>
      </c>
      <c r="Z279" s="358" t="s">
        <v>1978</v>
      </c>
      <c r="AA279" s="355"/>
      <c r="AB279" s="355"/>
      <c r="AC279" s="355"/>
      <c r="AD279" s="355"/>
      <c r="AE279" s="355"/>
      <c r="AR279" s="2" t="s">
        <v>2210</v>
      </c>
      <c r="AS279" s="2" t="s">
        <v>2211</v>
      </c>
    </row>
    <row r="280" spans="1:45" x14ac:dyDescent="0.3">
      <c r="A280" s="344" t="str">
        <f>'Reference Score Calculation'!A271</f>
        <v>JS6688</v>
      </c>
      <c r="B280" s="344" t="str">
        <f>'Reference Score Calculation'!D271</f>
        <v>科研專才啟導課程</v>
      </c>
      <c r="C280" s="355">
        <f>INDEX('Offer Statistics'!DB$134:DB$181,MATCH(入學要求!A280,'Offer Statistics'!$CL$134:$CL$181,0))</f>
        <v>24</v>
      </c>
      <c r="D280" s="109">
        <v>3</v>
      </c>
      <c r="E280" s="109">
        <v>5</v>
      </c>
      <c r="F280" s="109">
        <v>4</v>
      </c>
      <c r="G280" s="109">
        <v>2</v>
      </c>
      <c r="H280" s="109">
        <v>3</v>
      </c>
      <c r="I280" s="109">
        <v>4</v>
      </c>
      <c r="J280" s="16"/>
      <c r="K280" s="355">
        <f t="shared" si="89"/>
        <v>0</v>
      </c>
      <c r="L280" s="355">
        <f>IF($E$3&lt;3,0,IF($E$3&lt;5,2,1))</f>
        <v>0</v>
      </c>
      <c r="M280" s="355">
        <f t="shared" si="91"/>
        <v>0</v>
      </c>
      <c r="N280" s="355">
        <f t="shared" si="92"/>
        <v>0</v>
      </c>
      <c r="O280" s="16">
        <f>AI271</f>
        <v>0</v>
      </c>
      <c r="P280" s="355">
        <f>IF($H$3&lt;4,0,1)</f>
        <v>0</v>
      </c>
      <c r="R280" s="355">
        <f t="shared" si="94"/>
        <v>0</v>
      </c>
      <c r="S280" s="355"/>
      <c r="T280" s="355" t="s">
        <v>2237</v>
      </c>
      <c r="U280" s="355" t="s">
        <v>2239</v>
      </c>
      <c r="V280" s="355" t="s">
        <v>2239</v>
      </c>
      <c r="W280" s="355"/>
      <c r="X280" s="358" t="s">
        <v>3337</v>
      </c>
      <c r="Y280" s="358" t="s">
        <v>3338</v>
      </c>
      <c r="Z280" s="358" t="s">
        <v>1978</v>
      </c>
      <c r="AA280" s="355"/>
      <c r="AB280" s="355"/>
      <c r="AC280" s="355"/>
      <c r="AD280" s="355"/>
      <c r="AE280" s="355"/>
      <c r="AR280" s="2" t="s">
        <v>1358</v>
      </c>
      <c r="AS280" s="2" t="s">
        <v>1361</v>
      </c>
    </row>
    <row r="281" spans="1:45" x14ac:dyDescent="0.3">
      <c r="A281" s="344" t="str">
        <f>'Reference Score Calculation'!A272</f>
        <v>JS6729</v>
      </c>
      <c r="B281" s="344" t="str">
        <f>'Reference Score Calculation'!D272</f>
        <v>理學士(精算學)</v>
      </c>
      <c r="C281" s="355">
        <f>INDEX('Offer Statistics'!DB$134:DB$181,MATCH(入學要求!A281,'Offer Statistics'!$CL$134:$CL$181,0))</f>
        <v>50</v>
      </c>
      <c r="D281" s="109">
        <v>3</v>
      </c>
      <c r="E281" s="109">
        <v>3</v>
      </c>
      <c r="F281" s="109">
        <v>4</v>
      </c>
      <c r="G281" s="109">
        <v>2</v>
      </c>
      <c r="H281" s="109">
        <v>3</v>
      </c>
      <c r="I281" s="109">
        <v>4</v>
      </c>
      <c r="J281" s="16"/>
      <c r="K281" s="355">
        <f t="shared" si="89"/>
        <v>0</v>
      </c>
      <c r="L281" s="355">
        <f t="shared" si="90"/>
        <v>0</v>
      </c>
      <c r="M281" s="355">
        <f t="shared" si="91"/>
        <v>0</v>
      </c>
      <c r="N281" s="355">
        <f t="shared" si="92"/>
        <v>0</v>
      </c>
      <c r="O281" s="355">
        <f>IF(H281&gt;LARGE($I$3:$L$3,1),0,1)</f>
        <v>0</v>
      </c>
      <c r="P281" s="355">
        <f>IF($H$3&lt;4,0,1)</f>
        <v>0</v>
      </c>
      <c r="R281" s="355">
        <f t="shared" si="94"/>
        <v>0</v>
      </c>
      <c r="S281" s="355"/>
      <c r="T281" s="355" t="s">
        <v>2237</v>
      </c>
      <c r="U281" s="355" t="s">
        <v>2239</v>
      </c>
      <c r="V281" s="355" t="s">
        <v>2239</v>
      </c>
      <c r="W281" s="355"/>
      <c r="X281" s="358" t="s">
        <v>3336</v>
      </c>
      <c r="Y281" s="358" t="s">
        <v>1978</v>
      </c>
      <c r="Z281" s="358" t="s">
        <v>1978</v>
      </c>
      <c r="AA281" s="355"/>
      <c r="AB281" s="355"/>
      <c r="AC281" s="355"/>
      <c r="AD281" s="355"/>
      <c r="AE281" s="355"/>
      <c r="AR281" s="2" t="s">
        <v>1277</v>
      </c>
      <c r="AS281" s="2" t="s">
        <v>1280</v>
      </c>
    </row>
    <row r="282" spans="1:45" x14ac:dyDescent="0.3">
      <c r="A282" s="344" t="str">
        <f>'Reference Score Calculation'!A273</f>
        <v>JS6858</v>
      </c>
      <c r="B282" s="344" t="str">
        <f>'Reference Score Calculation'!D273</f>
        <v>理學士及法學士(雙學位課程)</v>
      </c>
      <c r="C282" s="355">
        <f>INDEX('Offer Statistics'!DB$134:DB$181,MATCH(入學要求!A282,'Offer Statistics'!$CL$134:$CL$181,0))</f>
        <v>20</v>
      </c>
      <c r="D282" s="109">
        <v>4</v>
      </c>
      <c r="E282" s="109">
        <v>5</v>
      </c>
      <c r="F282" s="109">
        <v>2</v>
      </c>
      <c r="G282" s="109">
        <v>2</v>
      </c>
      <c r="H282" s="109">
        <v>3</v>
      </c>
      <c r="I282" s="109">
        <v>3</v>
      </c>
      <c r="J282" s="16"/>
      <c r="K282" s="355">
        <f>IF(D282&gt;D$3,0,1)</f>
        <v>0</v>
      </c>
      <c r="L282" s="355">
        <f>IF(E282&gt;E$3,0,1)</f>
        <v>0</v>
      </c>
      <c r="M282" s="355">
        <f>IF(F282&gt;F$3,0,1)</f>
        <v>0</v>
      </c>
      <c r="N282" s="355">
        <f>IF(G282&gt;G$3,0,1)</f>
        <v>0</v>
      </c>
      <c r="O282" s="355">
        <f>IF(H282&gt;$AI$252,0,1)</f>
        <v>0</v>
      </c>
      <c r="P282" s="355">
        <f>IF(I282&gt;LARGE($H$3:$L$3,2),0,1)</f>
        <v>0</v>
      </c>
      <c r="R282" s="355">
        <f t="shared" si="94"/>
        <v>0</v>
      </c>
      <c r="S282" s="355"/>
      <c r="T282" s="355" t="s">
        <v>2237</v>
      </c>
      <c r="U282" s="355" t="s">
        <v>2239</v>
      </c>
      <c r="V282" s="355" t="s">
        <v>2239</v>
      </c>
      <c r="W282" s="355"/>
      <c r="X282" s="358" t="s">
        <v>3329</v>
      </c>
      <c r="Y282" s="358" t="s">
        <v>1978</v>
      </c>
      <c r="Z282" s="358" t="s">
        <v>1978</v>
      </c>
      <c r="AA282" s="355"/>
      <c r="AB282" s="355"/>
      <c r="AC282" s="355"/>
      <c r="AD282" s="355"/>
      <c r="AE282" s="355"/>
      <c r="AR282" s="2" t="s">
        <v>1291</v>
      </c>
      <c r="AS282" s="2" t="s">
        <v>1294</v>
      </c>
    </row>
    <row r="283" spans="1:45" x14ac:dyDescent="0.3">
      <c r="A283" s="344" t="str">
        <f>'Reference Score Calculation'!A274</f>
        <v>JS6901</v>
      </c>
      <c r="B283" s="344" t="str">
        <f>'Reference Score Calculation'!D274</f>
        <v>理學士</v>
      </c>
      <c r="C283" s="355">
        <f>INDEX('Offer Statistics'!DB$134:DB$181,MATCH(入學要求!A283,'Offer Statistics'!$CL$134:$CL$181,0))</f>
        <v>305</v>
      </c>
      <c r="D283" s="109">
        <v>3</v>
      </c>
      <c r="E283" s="109">
        <v>3</v>
      </c>
      <c r="F283" s="109">
        <v>2</v>
      </c>
      <c r="G283" s="109">
        <v>2</v>
      </c>
      <c r="H283" s="109">
        <v>3</v>
      </c>
      <c r="I283" s="109">
        <v>3</v>
      </c>
      <c r="J283" s="16"/>
      <c r="K283" s="355">
        <f t="shared" si="89"/>
        <v>0</v>
      </c>
      <c r="L283" s="355">
        <f t="shared" si="90"/>
        <v>0</v>
      </c>
      <c r="M283" s="355">
        <f t="shared" si="91"/>
        <v>0</v>
      </c>
      <c r="N283" s="355">
        <f t="shared" si="92"/>
        <v>0</v>
      </c>
      <c r="O283" s="355">
        <f>IF(H283&gt;$AI$252,0,1)</f>
        <v>0</v>
      </c>
      <c r="P283" s="355">
        <f>IF(I283&gt;LARGE($H$3:$L$3,2),0,1)</f>
        <v>0</v>
      </c>
      <c r="R283" s="355">
        <f t="shared" si="94"/>
        <v>0</v>
      </c>
      <c r="S283" s="355"/>
      <c r="T283" s="355" t="s">
        <v>2237</v>
      </c>
      <c r="U283" s="355" t="s">
        <v>2239</v>
      </c>
      <c r="V283" s="355" t="s">
        <v>2239</v>
      </c>
      <c r="W283" s="355"/>
      <c r="X283" s="358" t="s">
        <v>3329</v>
      </c>
      <c r="Y283" s="358" t="s">
        <v>1978</v>
      </c>
      <c r="Z283" s="358" t="s">
        <v>1978</v>
      </c>
      <c r="AA283" s="355"/>
      <c r="AB283" s="355"/>
      <c r="AC283" s="355"/>
      <c r="AD283" s="355"/>
      <c r="AE283" s="355"/>
      <c r="AR283" s="2" t="s">
        <v>1291</v>
      </c>
      <c r="AS283" s="2" t="s">
        <v>1294</v>
      </c>
    </row>
    <row r="284" spans="1:45" x14ac:dyDescent="0.3">
      <c r="A284" s="344" t="str">
        <f>'Reference Score Calculation'!A275</f>
        <v>JS6705</v>
      </c>
      <c r="B284" s="344" t="str">
        <f>'Reference Score Calculation'!D275</f>
        <v>心理學學士</v>
      </c>
      <c r="C284" s="355">
        <f>INDEX('Offer Statistics'!DB$134:DB$181,MATCH(入學要求!A284,'Offer Statistics'!$CL$134:$CL$181,0))</f>
        <v>70</v>
      </c>
      <c r="D284" s="109">
        <v>3</v>
      </c>
      <c r="E284" s="109">
        <v>3</v>
      </c>
      <c r="F284" s="109">
        <v>2</v>
      </c>
      <c r="G284" s="109">
        <v>2</v>
      </c>
      <c r="H284" s="109">
        <v>3</v>
      </c>
      <c r="I284" s="109">
        <v>3</v>
      </c>
      <c r="J284" s="16"/>
      <c r="K284" s="355">
        <f t="shared" si="89"/>
        <v>0</v>
      </c>
      <c r="L284" s="355">
        <f t="shared" si="90"/>
        <v>0</v>
      </c>
      <c r="M284" s="355">
        <f t="shared" si="91"/>
        <v>0</v>
      </c>
      <c r="N284" s="355">
        <f t="shared" si="92"/>
        <v>0</v>
      </c>
      <c r="O284" s="355">
        <f>IF(H284&gt;LARGE($I$3:$L$3,1),0,1)</f>
        <v>0</v>
      </c>
      <c r="P284" s="355">
        <f t="shared" ref="P284" si="132">IF(OR($H$3&gt;I284,$M$3&gt;I284),1,IF(I284&gt;LARGE($I$3:$L$3,2),0,1))</f>
        <v>0</v>
      </c>
      <c r="R284" s="355">
        <f t="shared" si="94"/>
        <v>0</v>
      </c>
      <c r="S284" s="355"/>
      <c r="T284" s="355" t="s">
        <v>2237</v>
      </c>
      <c r="U284" s="355" t="s">
        <v>2803</v>
      </c>
      <c r="V284" s="355" t="s">
        <v>2239</v>
      </c>
      <c r="W284" s="355"/>
      <c r="X284" s="358" t="s">
        <v>1978</v>
      </c>
      <c r="Y284" s="358" t="s">
        <v>1978</v>
      </c>
      <c r="Z284" s="358" t="s">
        <v>1978</v>
      </c>
      <c r="AA284" s="355"/>
      <c r="AB284" s="355"/>
      <c r="AC284" s="355"/>
      <c r="AD284" s="355"/>
      <c r="AE284" s="355"/>
      <c r="AR284" s="2" t="s">
        <v>1345</v>
      </c>
      <c r="AS284" s="2" t="s">
        <v>373</v>
      </c>
    </row>
    <row r="285" spans="1:45" x14ac:dyDescent="0.3">
      <c r="A285" s="344" t="str">
        <f>'Reference Score Calculation'!A276</f>
        <v>JS6717</v>
      </c>
      <c r="B285" s="344" t="str">
        <f>'Reference Score Calculation'!D276</f>
        <v>社會科學學士</v>
      </c>
      <c r="C285" s="355">
        <f>INDEX('Offer Statistics'!DB$134:DB$181,MATCH(入學要求!A285,'Offer Statistics'!$CL$134:$CL$181,0))</f>
        <v>114</v>
      </c>
      <c r="D285" s="109">
        <v>3</v>
      </c>
      <c r="E285" s="109">
        <v>3</v>
      </c>
      <c r="F285" s="109">
        <v>2</v>
      </c>
      <c r="G285" s="109">
        <v>2</v>
      </c>
      <c r="H285" s="109">
        <v>3</v>
      </c>
      <c r="I285" s="109">
        <v>3</v>
      </c>
      <c r="J285" s="16"/>
      <c r="K285" s="355">
        <f t="shared" si="89"/>
        <v>0</v>
      </c>
      <c r="L285" s="355">
        <f t="shared" si="90"/>
        <v>0</v>
      </c>
      <c r="M285" s="355">
        <f t="shared" si="91"/>
        <v>0</v>
      </c>
      <c r="N285" s="355">
        <f t="shared" si="92"/>
        <v>0</v>
      </c>
      <c r="O285" s="355">
        <f>IF(H285&gt;LARGE($I$3:$L$3,1),0,1)</f>
        <v>0</v>
      </c>
      <c r="P285" s="355">
        <f t="shared" ref="P285" si="133">IF(OR($H$3&gt;I285,$M$3&gt;I285),1,IF(I285&gt;LARGE($I$3:$L$3,2),0,1))</f>
        <v>0</v>
      </c>
      <c r="R285" s="355">
        <f t="shared" si="94"/>
        <v>0</v>
      </c>
      <c r="S285" s="355"/>
      <c r="T285" s="355" t="s">
        <v>2237</v>
      </c>
      <c r="U285" s="355" t="s">
        <v>2803</v>
      </c>
      <c r="V285" s="355" t="s">
        <v>2239</v>
      </c>
      <c r="W285" s="355"/>
      <c r="X285" s="358" t="s">
        <v>1978</v>
      </c>
      <c r="Y285" s="358" t="s">
        <v>1978</v>
      </c>
      <c r="Z285" s="358" t="s">
        <v>1978</v>
      </c>
      <c r="AA285" s="355"/>
      <c r="AB285" s="355"/>
      <c r="AC285" s="355"/>
      <c r="AD285" s="355"/>
      <c r="AE285" s="355"/>
      <c r="AR285" s="2" t="s">
        <v>1287</v>
      </c>
      <c r="AS285" s="2" t="s">
        <v>1290</v>
      </c>
    </row>
    <row r="286" spans="1:45" x14ac:dyDescent="0.3">
      <c r="A286" s="344" t="str">
        <f>'Reference Score Calculation'!A277</f>
        <v>JS6731</v>
      </c>
      <c r="B286" s="344" t="str">
        <f>'Reference Score Calculation'!D277</f>
        <v>社會工作學學士</v>
      </c>
      <c r="C286" s="355">
        <f>INDEX('Offer Statistics'!DB$134:DB$181,MATCH(入學要求!A286,'Offer Statistics'!$CL$134:$CL$181,0))</f>
        <v>30</v>
      </c>
      <c r="D286" s="109">
        <v>3</v>
      </c>
      <c r="E286" s="109">
        <v>3</v>
      </c>
      <c r="F286" s="109">
        <v>2</v>
      </c>
      <c r="G286" s="109">
        <v>2</v>
      </c>
      <c r="H286" s="109">
        <v>3</v>
      </c>
      <c r="I286" s="109">
        <v>3</v>
      </c>
      <c r="J286" s="16"/>
      <c r="K286" s="355">
        <f t="shared" si="89"/>
        <v>0</v>
      </c>
      <c r="L286" s="355">
        <f t="shared" si="90"/>
        <v>0</v>
      </c>
      <c r="M286" s="355">
        <f t="shared" si="91"/>
        <v>0</v>
      </c>
      <c r="N286" s="355">
        <f t="shared" si="92"/>
        <v>0</v>
      </c>
      <c r="O286" s="355">
        <f>IF(H286&gt;LARGE($I$3:$L$3,1),0,1)</f>
        <v>0</v>
      </c>
      <c r="P286" s="355">
        <f t="shared" ref="P286:P288" si="134">IF(OR($H$3&gt;I286,$M$3&gt;I286),1,IF(I286&gt;LARGE($I$3:$L$3,2),0,1))</f>
        <v>0</v>
      </c>
      <c r="R286" s="355">
        <f t="shared" si="94"/>
        <v>0</v>
      </c>
      <c r="S286" s="355"/>
      <c r="T286" s="355" t="s">
        <v>2237</v>
      </c>
      <c r="U286" s="355" t="s">
        <v>2803</v>
      </c>
      <c r="V286" s="355" t="s">
        <v>2239</v>
      </c>
      <c r="W286" s="355"/>
      <c r="X286" s="358" t="s">
        <v>1978</v>
      </c>
      <c r="Y286" s="358" t="s">
        <v>1978</v>
      </c>
      <c r="Z286" s="358" t="s">
        <v>1978</v>
      </c>
      <c r="AA286" s="355"/>
      <c r="AB286" s="355"/>
      <c r="AC286" s="355"/>
      <c r="AD286" s="355"/>
      <c r="AE286" s="355"/>
      <c r="AR286" s="2" t="s">
        <v>1295</v>
      </c>
      <c r="AS286" s="2" t="s">
        <v>1297</v>
      </c>
    </row>
    <row r="287" spans="1:45" x14ac:dyDescent="0.3">
      <c r="A287" s="344" t="str">
        <f>'Reference Score Calculation'!A278</f>
        <v>JS6810</v>
      </c>
      <c r="B287" s="344" t="str">
        <f>'Reference Score Calculation'!D278</f>
        <v>社會科學學士(政治學與法學)及法學士 (雙學位課程)</v>
      </c>
      <c r="C287" s="355">
        <f>INDEX('Offer Statistics'!DB$134:DB$181,MATCH(入學要求!A287,'Offer Statistics'!$CL$134:$CL$181,0))</f>
        <v>50</v>
      </c>
      <c r="D287" s="109">
        <v>4</v>
      </c>
      <c r="E287" s="109">
        <v>5</v>
      </c>
      <c r="F287" s="109">
        <v>3</v>
      </c>
      <c r="G287" s="109">
        <v>3</v>
      </c>
      <c r="H287" s="109">
        <v>3</v>
      </c>
      <c r="I287" s="109">
        <v>3</v>
      </c>
      <c r="J287" s="16"/>
      <c r="K287" s="355">
        <f t="shared" si="89"/>
        <v>0</v>
      </c>
      <c r="L287" s="355">
        <f t="shared" si="90"/>
        <v>0</v>
      </c>
      <c r="M287" s="355">
        <f t="shared" si="91"/>
        <v>0</v>
      </c>
      <c r="N287" s="355">
        <f t="shared" si="92"/>
        <v>0</v>
      </c>
      <c r="O287" s="355">
        <f>IF(H287&gt;LARGE($H$3:$L$3,1),0,1)</f>
        <v>0</v>
      </c>
      <c r="P287" s="355">
        <f>IF(I287&gt;LARGE($H$3:$L$3,2),0,1)</f>
        <v>0</v>
      </c>
      <c r="R287" s="355">
        <f t="shared" si="94"/>
        <v>0</v>
      </c>
      <c r="S287" s="355"/>
      <c r="T287" s="355" t="s">
        <v>2237</v>
      </c>
      <c r="U287" s="355" t="s">
        <v>2239</v>
      </c>
      <c r="V287" s="355" t="s">
        <v>2239</v>
      </c>
      <c r="W287" s="355"/>
      <c r="X287" s="358" t="s">
        <v>1978</v>
      </c>
      <c r="Y287" s="358" t="s">
        <v>1978</v>
      </c>
      <c r="Z287" s="358" t="s">
        <v>1978</v>
      </c>
      <c r="AA287" s="355"/>
      <c r="AB287" s="355"/>
      <c r="AC287" s="355"/>
      <c r="AD287" s="355"/>
      <c r="AE287" s="355"/>
      <c r="AR287" s="2" t="s">
        <v>1317</v>
      </c>
      <c r="AS287" s="2" t="s">
        <v>1320</v>
      </c>
    </row>
    <row r="288" spans="1:45" x14ac:dyDescent="0.3">
      <c r="A288" s="344" t="str">
        <f>'Reference Score Calculation'!A279</f>
        <v>JS6822</v>
      </c>
      <c r="B288" s="344" t="str">
        <f>'Reference Score Calculation'!D279</f>
        <v>新聞學學士</v>
      </c>
      <c r="C288" s="355">
        <f>INDEX('Offer Statistics'!DB$134:DB$181,MATCH(入學要求!A288,'Offer Statistics'!$CL$134:$CL$181,0))</f>
        <v>19</v>
      </c>
      <c r="D288" s="109">
        <v>3</v>
      </c>
      <c r="E288" s="109">
        <v>3</v>
      </c>
      <c r="F288" s="109">
        <v>2</v>
      </c>
      <c r="G288" s="109">
        <v>2</v>
      </c>
      <c r="H288" s="109">
        <v>3</v>
      </c>
      <c r="I288" s="109">
        <v>3</v>
      </c>
      <c r="J288" s="16"/>
      <c r="K288" s="355">
        <f t="shared" si="89"/>
        <v>0</v>
      </c>
      <c r="L288" s="355">
        <f t="shared" si="90"/>
        <v>0</v>
      </c>
      <c r="M288" s="355">
        <f t="shared" si="91"/>
        <v>0</v>
      </c>
      <c r="N288" s="355">
        <f t="shared" si="92"/>
        <v>0</v>
      </c>
      <c r="O288" s="355">
        <f t="shared" ref="O288:O293" si="135">IF(H288&gt;LARGE($I$3:$L$3,1),0,1)</f>
        <v>0</v>
      </c>
      <c r="P288" s="355">
        <f t="shared" si="134"/>
        <v>0</v>
      </c>
      <c r="R288" s="355">
        <f t="shared" si="94"/>
        <v>0</v>
      </c>
      <c r="S288" s="355"/>
      <c r="T288" s="355" t="s">
        <v>2237</v>
      </c>
      <c r="U288" s="355" t="s">
        <v>2803</v>
      </c>
      <c r="V288" s="355" t="s">
        <v>2239</v>
      </c>
      <c r="W288" s="355"/>
      <c r="X288" s="358" t="s">
        <v>1978</v>
      </c>
      <c r="Y288" s="358" t="s">
        <v>1978</v>
      </c>
      <c r="Z288" s="358" t="s">
        <v>1978</v>
      </c>
      <c r="AA288" s="355"/>
      <c r="AB288" s="355"/>
      <c r="AC288" s="355"/>
      <c r="AD288" s="355"/>
      <c r="AE288" s="355"/>
      <c r="AR288" s="2" t="s">
        <v>1321</v>
      </c>
      <c r="AS288" s="2" t="s">
        <v>1324</v>
      </c>
    </row>
    <row r="289" spans="1:45" x14ac:dyDescent="0.3">
      <c r="A289" s="344" t="str">
        <f>'Reference Score Calculation'!A280</f>
        <v>JS6212</v>
      </c>
      <c r="B289" s="344" t="str">
        <f>'Reference Score Calculation'!D280</f>
        <v>文理學士</v>
      </c>
      <c r="C289" s="355">
        <f>INDEX('Offer Statistics'!DB$134:DB$181,MATCH(入學要求!A289,'Offer Statistics'!$CL$134:$CL$181,0))</f>
        <v>24</v>
      </c>
      <c r="D289" s="109">
        <v>3</v>
      </c>
      <c r="E289" s="109">
        <v>5</v>
      </c>
      <c r="F289" s="109">
        <v>2</v>
      </c>
      <c r="G289" s="109">
        <v>2</v>
      </c>
      <c r="H289" s="109">
        <v>3</v>
      </c>
      <c r="I289" s="109">
        <v>3</v>
      </c>
      <c r="J289" s="16"/>
      <c r="K289" s="355">
        <f t="shared" si="89"/>
        <v>0</v>
      </c>
      <c r="L289" s="355">
        <f>IF($E$3&lt;3,0,IF($E$3&lt;5,2,1))</f>
        <v>0</v>
      </c>
      <c r="M289" s="355">
        <f t="shared" si="91"/>
        <v>0</v>
      </c>
      <c r="N289" s="355">
        <f t="shared" si="92"/>
        <v>0</v>
      </c>
      <c r="O289" s="355">
        <f t="shared" si="135"/>
        <v>0</v>
      </c>
      <c r="P289" s="355">
        <f>IF(OR($H$3&gt;I289,$M$3&gt;I289),1,IF(I289&gt;LARGE($I$3:$L$3,2),0,IF($H$3&lt;3,2,1)))</f>
        <v>0</v>
      </c>
      <c r="R289" s="355">
        <f t="shared" si="94"/>
        <v>0</v>
      </c>
      <c r="S289" s="355"/>
      <c r="T289" s="355" t="s">
        <v>2237</v>
      </c>
      <c r="U289" s="355" t="s">
        <v>2803</v>
      </c>
      <c r="V289" s="355" t="s">
        <v>2239</v>
      </c>
      <c r="W289" s="355"/>
      <c r="X289" s="358" t="s">
        <v>3339</v>
      </c>
      <c r="Y289" s="358" t="s">
        <v>3325</v>
      </c>
      <c r="Z289" s="358" t="s">
        <v>1978</v>
      </c>
      <c r="AA289" s="355"/>
      <c r="AB289" s="355"/>
      <c r="AC289" s="355"/>
      <c r="AD289" s="355"/>
      <c r="AE289" s="355"/>
      <c r="AR289" s="2" t="s">
        <v>1225</v>
      </c>
      <c r="AS289" s="2" t="s">
        <v>1228</v>
      </c>
    </row>
    <row r="290" spans="1:45" x14ac:dyDescent="0.3">
      <c r="A290" s="344" t="str">
        <f>'Reference Score Calculation'!A281</f>
        <v>JS6224</v>
      </c>
      <c r="B290" s="344" t="str">
        <f>'Reference Score Calculation'!D281</f>
        <v>文理學士(應用人工智能)</v>
      </c>
      <c r="C290" s="355">
        <f>INDEX('Offer Statistics'!DB$134:DB$181,MATCH(入學要求!A290,'Offer Statistics'!$CL$134:$CL$181,0))</f>
        <v>15</v>
      </c>
      <c r="D290" s="109">
        <v>3</v>
      </c>
      <c r="E290" s="109">
        <v>4</v>
      </c>
      <c r="F290" s="109">
        <v>4</v>
      </c>
      <c r="G290" s="109">
        <v>2</v>
      </c>
      <c r="H290" s="109">
        <v>3</v>
      </c>
      <c r="I290" s="109">
        <v>4</v>
      </c>
      <c r="J290" s="16"/>
      <c r="K290" s="355">
        <f t="shared" si="89"/>
        <v>0</v>
      </c>
      <c r="L290" s="355">
        <f t="shared" si="90"/>
        <v>0</v>
      </c>
      <c r="M290" s="355">
        <f t="shared" si="91"/>
        <v>0</v>
      </c>
      <c r="N290" s="355">
        <f t="shared" si="92"/>
        <v>0</v>
      </c>
      <c r="O290" s="355">
        <f t="shared" si="135"/>
        <v>0</v>
      </c>
      <c r="P290" s="355">
        <f>IF($H$3&lt;4,0,1)</f>
        <v>0</v>
      </c>
      <c r="R290" s="355">
        <f t="shared" si="94"/>
        <v>0</v>
      </c>
      <c r="S290" s="355"/>
      <c r="T290" s="355" t="s">
        <v>2237</v>
      </c>
      <c r="U290" s="355" t="s">
        <v>2239</v>
      </c>
      <c r="V290" s="355" t="s">
        <v>2239</v>
      </c>
      <c r="W290" s="355"/>
      <c r="X290" s="358" t="s">
        <v>3336</v>
      </c>
      <c r="Y290" s="358" t="s">
        <v>1978</v>
      </c>
      <c r="Z290" s="358" t="s">
        <v>1978</v>
      </c>
      <c r="AA290" s="355"/>
      <c r="AB290" s="355"/>
      <c r="AC290" s="355"/>
      <c r="AD290" s="355"/>
      <c r="AE290" s="355"/>
      <c r="AR290" s="2" t="s">
        <v>1229</v>
      </c>
      <c r="AS290" s="2" t="s">
        <v>1232</v>
      </c>
    </row>
    <row r="291" spans="1:45" x14ac:dyDescent="0.3">
      <c r="A291" s="344" t="str">
        <f>'Reference Score Calculation'!A282</f>
        <v>JS6236</v>
      </c>
      <c r="B291" s="344" t="str">
        <f>'Reference Score Calculation'!D282</f>
        <v>文理學士(設計＋)</v>
      </c>
      <c r="C291" s="355">
        <f>INDEX('Offer Statistics'!DB$134:DB$181,MATCH(入學要求!A291,'Offer Statistics'!$CL$134:$CL$181,0))</f>
        <v>13</v>
      </c>
      <c r="D291" s="109">
        <v>3</v>
      </c>
      <c r="E291" s="109">
        <v>4</v>
      </c>
      <c r="F291" s="109">
        <v>2</v>
      </c>
      <c r="G291" s="109">
        <v>2</v>
      </c>
      <c r="H291" s="109">
        <v>3</v>
      </c>
      <c r="I291" s="109">
        <v>3</v>
      </c>
      <c r="J291" s="16"/>
      <c r="K291" s="355">
        <f t="shared" si="89"/>
        <v>0</v>
      </c>
      <c r="L291" s="355">
        <f t="shared" si="90"/>
        <v>0</v>
      </c>
      <c r="M291" s="355">
        <f t="shared" si="91"/>
        <v>0</v>
      </c>
      <c r="N291" s="355">
        <f t="shared" si="92"/>
        <v>0</v>
      </c>
      <c r="O291" s="355">
        <f t="shared" si="135"/>
        <v>0</v>
      </c>
      <c r="P291" s="355">
        <f>IF(OR($H$3&gt;I291,$M$3&gt;I291),1,IF(I291&gt;LARGE($I$3:$L$3,2),0,1))</f>
        <v>0</v>
      </c>
      <c r="R291" s="355">
        <f t="shared" si="94"/>
        <v>0</v>
      </c>
      <c r="S291" s="355"/>
      <c r="T291" s="355" t="s">
        <v>2237</v>
      </c>
      <c r="U291" s="355" t="s">
        <v>2803</v>
      </c>
      <c r="V291" s="355" t="s">
        <v>2239</v>
      </c>
      <c r="W291" s="355"/>
      <c r="X291" s="358" t="s">
        <v>1978</v>
      </c>
      <c r="Y291" s="358" t="s">
        <v>1978</v>
      </c>
      <c r="Z291" s="358" t="s">
        <v>1978</v>
      </c>
      <c r="AA291" s="355"/>
      <c r="AB291" s="355"/>
      <c r="AC291" s="355"/>
      <c r="AD291" s="355"/>
      <c r="AE291" s="355"/>
      <c r="AR291" s="2" t="s">
        <v>1233</v>
      </c>
      <c r="AS291" s="2" t="s">
        <v>1236</v>
      </c>
    </row>
    <row r="292" spans="1:45" x14ac:dyDescent="0.3">
      <c r="A292" s="344" t="str">
        <f>'Reference Score Calculation'!A283</f>
        <v>JS6248</v>
      </c>
      <c r="B292" s="344" t="str">
        <f>'Reference Score Calculation'!D283</f>
        <v>文理學士(金融科技)</v>
      </c>
      <c r="C292" s="355">
        <f>INDEX('Offer Statistics'!DB$134:DB$181,MATCH(入學要求!A292,'Offer Statistics'!$CL$134:$CL$181,0))</f>
        <v>24</v>
      </c>
      <c r="D292" s="109">
        <v>3</v>
      </c>
      <c r="E292" s="109">
        <v>4</v>
      </c>
      <c r="F292" s="109">
        <v>3</v>
      </c>
      <c r="G292" s="109">
        <v>2</v>
      </c>
      <c r="H292" s="109">
        <v>3</v>
      </c>
      <c r="I292" s="109">
        <v>3</v>
      </c>
      <c r="J292" s="16"/>
      <c r="K292" s="355">
        <f t="shared" si="89"/>
        <v>0</v>
      </c>
      <c r="L292" s="355">
        <f t="shared" si="90"/>
        <v>0</v>
      </c>
      <c r="M292" s="355">
        <f t="shared" si="91"/>
        <v>0</v>
      </c>
      <c r="N292" s="355">
        <f t="shared" si="92"/>
        <v>0</v>
      </c>
      <c r="O292" s="355">
        <f t="shared" si="135"/>
        <v>0</v>
      </c>
      <c r="P292" s="355">
        <f>IF(OR($H$3&gt;I292,$M$3&gt;I292),1,IF(I292&gt;LARGE($I$3:$L$3,2),0,1))</f>
        <v>0</v>
      </c>
      <c r="R292" s="355">
        <f t="shared" si="94"/>
        <v>0</v>
      </c>
      <c r="S292" s="355"/>
      <c r="T292" s="355" t="s">
        <v>2237</v>
      </c>
      <c r="U292" s="355" t="s">
        <v>2803</v>
      </c>
      <c r="V292" s="355" t="s">
        <v>2239</v>
      </c>
      <c r="W292" s="355"/>
      <c r="X292" s="358" t="s">
        <v>1978</v>
      </c>
      <c r="Y292" s="358" t="s">
        <v>1978</v>
      </c>
      <c r="Z292" s="358" t="s">
        <v>1978</v>
      </c>
      <c r="AA292" s="355"/>
      <c r="AB292" s="355"/>
      <c r="AC292" s="355"/>
      <c r="AD292" s="355"/>
      <c r="AE292" s="355"/>
      <c r="AR292" s="2" t="s">
        <v>1237</v>
      </c>
      <c r="AS292" s="2" t="s">
        <v>1240</v>
      </c>
    </row>
    <row r="293" spans="1:45" x14ac:dyDescent="0.3">
      <c r="A293" s="344" t="str">
        <f>'Reference Score Calculation'!A284</f>
        <v>JS6250</v>
      </c>
      <c r="B293" s="344" t="str">
        <f>'Reference Score Calculation'!D284</f>
        <v>文理學士(環球衞生及發展)</v>
      </c>
      <c r="C293" s="355">
        <f>INDEX('Offer Statistics'!DB$134:DB$181,MATCH(入學要求!A293,'Offer Statistics'!$CL$134:$CL$181,0))</f>
        <v>18</v>
      </c>
      <c r="D293" s="109">
        <v>3</v>
      </c>
      <c r="E293" s="109">
        <v>4</v>
      </c>
      <c r="F293" s="109">
        <v>2</v>
      </c>
      <c r="G293" s="109">
        <v>2</v>
      </c>
      <c r="H293" s="109">
        <v>3</v>
      </c>
      <c r="I293" s="109">
        <v>3</v>
      </c>
      <c r="J293" s="16"/>
      <c r="K293" s="355">
        <f t="shared" si="89"/>
        <v>0</v>
      </c>
      <c r="L293" s="355">
        <f t="shared" si="90"/>
        <v>0</v>
      </c>
      <c r="M293" s="355">
        <f t="shared" si="91"/>
        <v>0</v>
      </c>
      <c r="N293" s="355">
        <f t="shared" si="92"/>
        <v>0</v>
      </c>
      <c r="O293" s="355">
        <f t="shared" si="135"/>
        <v>0</v>
      </c>
      <c r="P293" s="355">
        <f>IF(OR($H$3&gt;I293,$M$3&gt;I293),1,IF(I293&gt;LARGE($I$3:$L$3,2),0,1))</f>
        <v>0</v>
      </c>
      <c r="R293" s="355">
        <f t="shared" si="94"/>
        <v>0</v>
      </c>
      <c r="S293" s="355"/>
      <c r="T293" s="355" t="s">
        <v>2237</v>
      </c>
      <c r="U293" s="355" t="s">
        <v>2803</v>
      </c>
      <c r="V293" s="355" t="s">
        <v>2239</v>
      </c>
      <c r="W293" s="355"/>
      <c r="X293" s="358" t="s">
        <v>1978</v>
      </c>
      <c r="Y293" s="358" t="s">
        <v>1978</v>
      </c>
      <c r="Z293" s="358" t="s">
        <v>1978</v>
      </c>
      <c r="AA293" s="355"/>
      <c r="AB293" s="355"/>
      <c r="AC293" s="355"/>
      <c r="AD293" s="355"/>
      <c r="AE293" s="355"/>
      <c r="AR293" s="2" t="s">
        <v>1241</v>
      </c>
      <c r="AS293" s="2" t="s">
        <v>1244</v>
      </c>
    </row>
    <row r="294" spans="1:45" x14ac:dyDescent="0.3">
      <c r="A294" s="11" t="s">
        <v>2258</v>
      </c>
      <c r="D294" s="112"/>
      <c r="E294" s="112"/>
      <c r="F294" s="112"/>
      <c r="G294" s="112"/>
      <c r="H294" s="112"/>
      <c r="I294" s="112"/>
      <c r="R294" s="2"/>
      <c r="S294" s="355"/>
      <c r="T294" s="355"/>
      <c r="U294" s="355"/>
      <c r="V294" s="355"/>
      <c r="W294" s="355"/>
      <c r="X294" s="358"/>
      <c r="Y294" s="358"/>
      <c r="Z294" s="358"/>
      <c r="AA294" s="355"/>
      <c r="AB294" s="355"/>
      <c r="AC294" s="355"/>
      <c r="AD294" s="355"/>
      <c r="AE294" s="355"/>
    </row>
    <row r="295" spans="1:45" x14ac:dyDescent="0.3">
      <c r="A295" s="11" t="s">
        <v>1942</v>
      </c>
      <c r="B295" s="11" t="s">
        <v>1944</v>
      </c>
      <c r="C295" s="356" t="s">
        <v>1950</v>
      </c>
      <c r="D295" s="111" t="s">
        <v>1953</v>
      </c>
      <c r="E295" s="111" t="s">
        <v>1954</v>
      </c>
      <c r="F295" s="111" t="s">
        <v>1955</v>
      </c>
      <c r="G295" s="111" t="s">
        <v>1956</v>
      </c>
      <c r="H295" s="111" t="s">
        <v>1957</v>
      </c>
      <c r="I295" s="111" t="s">
        <v>1958</v>
      </c>
      <c r="J295" s="16"/>
      <c r="K295" s="19" t="s">
        <v>1953</v>
      </c>
      <c r="L295" s="19" t="s">
        <v>1954</v>
      </c>
      <c r="M295" s="19" t="s">
        <v>1955</v>
      </c>
      <c r="N295" s="19" t="s">
        <v>1956</v>
      </c>
      <c r="O295" s="19" t="s">
        <v>1957</v>
      </c>
      <c r="P295" s="19" t="s">
        <v>1958</v>
      </c>
      <c r="Q295" s="11"/>
      <c r="S295" s="355"/>
      <c r="T295" s="356" t="s">
        <v>2233</v>
      </c>
      <c r="U295" s="356" t="s">
        <v>2234</v>
      </c>
      <c r="V295" s="356" t="s">
        <v>2235</v>
      </c>
      <c r="W295" s="355"/>
      <c r="X295" s="358"/>
      <c r="Y295" s="358"/>
      <c r="Z295" s="358"/>
      <c r="AA295" s="355"/>
    </row>
    <row r="296" spans="1:45" x14ac:dyDescent="0.3">
      <c r="A296" s="2" t="str">
        <f>'Reference Score Calculation'!A287</f>
        <v>JS7101</v>
      </c>
      <c r="B296" s="2" t="str">
        <f>'Reference Score Calculation'!D287</f>
        <v>中文(榮譽)文學士</v>
      </c>
      <c r="C296" s="355">
        <f>INDEX('Offer Statistics'!$DT$41:$DT$58,MATCH(入學要求!A296,'Offer Statistics'!$DD$41:$DD$58,0))</f>
        <v>45</v>
      </c>
      <c r="D296" s="109">
        <v>3</v>
      </c>
      <c r="E296" s="109">
        <v>3</v>
      </c>
      <c r="F296" s="109">
        <v>2</v>
      </c>
      <c r="G296" s="109">
        <v>2</v>
      </c>
      <c r="H296" s="109">
        <v>2</v>
      </c>
      <c r="I296" s="109"/>
      <c r="K296" s="355">
        <f>IF(D296&gt;D$3,0,1)</f>
        <v>0</v>
      </c>
      <c r="L296" s="355">
        <f t="shared" ref="L296:N296" si="136">IF(E296&gt;E$3,0,1)</f>
        <v>0</v>
      </c>
      <c r="M296" s="355">
        <f t="shared" si="136"/>
        <v>0</v>
      </c>
      <c r="N296" s="355">
        <f t="shared" si="136"/>
        <v>0</v>
      </c>
      <c r="O296" s="355">
        <f>IF(H296&gt;LARGE($H$3:$L$3,1),0,1)</f>
        <v>0</v>
      </c>
      <c r="P296" s="16"/>
      <c r="Q296" s="16"/>
      <c r="R296" s="16">
        <f t="shared" ref="R296:R313" si="137">K296*L296*M296*N296*O296</f>
        <v>0</v>
      </c>
      <c r="S296" s="355"/>
      <c r="T296" s="355" t="s">
        <v>2239</v>
      </c>
      <c r="U296" s="355" t="s">
        <v>2803</v>
      </c>
      <c r="V296" s="355" t="s">
        <v>2239</v>
      </c>
      <c r="W296" s="355"/>
      <c r="X296" s="358" t="s">
        <v>1978</v>
      </c>
      <c r="Y296" s="358" t="s">
        <v>1978</v>
      </c>
      <c r="Z296" s="358" t="s">
        <v>1978</v>
      </c>
      <c r="AA296" s="355"/>
    </row>
    <row r="297" spans="1:45" x14ac:dyDescent="0.3">
      <c r="A297" s="344" t="str">
        <f>'Reference Score Calculation'!A288</f>
        <v>JS7123</v>
      </c>
      <c r="B297" s="344" t="str">
        <f>'Reference Score Calculation'!D288</f>
        <v>環球可持續發展(榮譽)博雅學士</v>
      </c>
      <c r="C297" s="355">
        <f>INDEX('Offer Statistics'!$DT$41:$DT$58,MATCH(入學要求!A297,'Offer Statistics'!$DD$41:$DD$58,0))</f>
        <v>20</v>
      </c>
      <c r="D297" s="380">
        <v>3</v>
      </c>
      <c r="E297" s="380">
        <v>3</v>
      </c>
      <c r="F297" s="380">
        <v>2</v>
      </c>
      <c r="G297" s="380">
        <v>2</v>
      </c>
      <c r="H297" s="380">
        <v>2</v>
      </c>
      <c r="I297" s="109"/>
      <c r="K297" s="355">
        <f t="shared" ref="K297:K313" si="138">IF(D297&gt;D$3,0,1)</f>
        <v>0</v>
      </c>
      <c r="L297" s="355">
        <f t="shared" ref="L297:L313" si="139">IF(E297&gt;E$3,0,1)</f>
        <v>0</v>
      </c>
      <c r="M297" s="355">
        <f t="shared" ref="M297:M313" si="140">IF(F297&gt;F$3,0,1)</f>
        <v>0</v>
      </c>
      <c r="N297" s="355">
        <f t="shared" ref="N297:N313" si="141">IF(G297&gt;G$3,0,1)</f>
        <v>0</v>
      </c>
      <c r="O297" s="355">
        <f t="shared" ref="O297:O313" si="142">IF(H297&gt;LARGE($H$3:$L$3,1),0,1)</f>
        <v>0</v>
      </c>
      <c r="P297" s="16"/>
      <c r="Q297" s="16"/>
      <c r="R297" s="355">
        <f t="shared" si="137"/>
        <v>0</v>
      </c>
      <c r="S297" s="355"/>
      <c r="T297" s="355" t="s">
        <v>2239</v>
      </c>
      <c r="U297" s="355" t="s">
        <v>2803</v>
      </c>
      <c r="V297" s="355" t="s">
        <v>2239</v>
      </c>
      <c r="W297" s="355"/>
      <c r="X297" s="358" t="s">
        <v>1978</v>
      </c>
      <c r="Y297" s="358" t="s">
        <v>1978</v>
      </c>
      <c r="Z297" s="358" t="s">
        <v>1978</v>
      </c>
      <c r="AA297" s="355"/>
    </row>
    <row r="298" spans="1:45" x14ac:dyDescent="0.3">
      <c r="A298" s="344" t="str">
        <f>'Reference Score Calculation'!A289</f>
        <v>JS7133</v>
      </c>
      <c r="B298" s="344" t="str">
        <f>'Reference Score Calculation'!D289</f>
        <v>動畫及數碼藝術(榮譽)文學士</v>
      </c>
      <c r="C298" s="355">
        <f>INDEX('Offer Statistics'!$DT$41:$DT$58,MATCH(入學要求!A298,'Offer Statistics'!$DD$41:$DD$58,0))</f>
        <v>15</v>
      </c>
      <c r="D298" s="380">
        <v>3</v>
      </c>
      <c r="E298" s="380">
        <v>3</v>
      </c>
      <c r="F298" s="380">
        <v>2</v>
      </c>
      <c r="G298" s="380">
        <v>2</v>
      </c>
      <c r="H298" s="380">
        <v>2</v>
      </c>
      <c r="I298" s="109"/>
      <c r="K298" s="355">
        <f t="shared" si="138"/>
        <v>0</v>
      </c>
      <c r="L298" s="355">
        <f t="shared" si="139"/>
        <v>0</v>
      </c>
      <c r="M298" s="355">
        <f t="shared" si="140"/>
        <v>0</v>
      </c>
      <c r="N298" s="355">
        <f t="shared" si="141"/>
        <v>0</v>
      </c>
      <c r="O298" s="355">
        <f t="shared" si="142"/>
        <v>0</v>
      </c>
      <c r="P298" s="16"/>
      <c r="Q298" s="16"/>
      <c r="R298" s="355">
        <f t="shared" si="137"/>
        <v>0</v>
      </c>
      <c r="S298" s="355"/>
      <c r="T298" s="355" t="s">
        <v>2239</v>
      </c>
      <c r="U298" s="355" t="s">
        <v>2803</v>
      </c>
      <c r="V298" s="355" t="s">
        <v>2239</v>
      </c>
      <c r="W298" s="355"/>
      <c r="X298" s="358" t="s">
        <v>1978</v>
      </c>
      <c r="Y298" s="358" t="s">
        <v>1978</v>
      </c>
      <c r="Z298" s="358" t="s">
        <v>1978</v>
      </c>
      <c r="AA298" s="355"/>
    </row>
    <row r="299" spans="1:45" x14ac:dyDescent="0.3">
      <c r="A299" s="344" t="str">
        <f>'Reference Score Calculation'!A290</f>
        <v>JS7200</v>
      </c>
      <c r="B299" s="344" t="str">
        <f>'Reference Score Calculation'!D290</f>
        <v>工商管理(榮譽)學士</v>
      </c>
      <c r="C299" s="355">
        <f>INDEX('Offer Statistics'!$DT$41:$DT$58,MATCH(入學要求!A299,'Offer Statistics'!$DD$41:$DD$58,0))</f>
        <v>144</v>
      </c>
      <c r="D299" s="380">
        <v>3</v>
      </c>
      <c r="E299" s="380">
        <v>3</v>
      </c>
      <c r="F299" s="380">
        <v>2</v>
      </c>
      <c r="G299" s="380">
        <v>2</v>
      </c>
      <c r="H299" s="380">
        <v>2</v>
      </c>
      <c r="I299" s="109"/>
      <c r="K299" s="355">
        <f t="shared" si="138"/>
        <v>0</v>
      </c>
      <c r="L299" s="355">
        <f t="shared" si="139"/>
        <v>0</v>
      </c>
      <c r="M299" s="355">
        <f t="shared" si="140"/>
        <v>0</v>
      </c>
      <c r="N299" s="355">
        <f t="shared" si="141"/>
        <v>0</v>
      </c>
      <c r="O299" s="355">
        <f t="shared" si="142"/>
        <v>0</v>
      </c>
      <c r="P299" s="16"/>
      <c r="Q299" s="16"/>
      <c r="R299" s="355">
        <f t="shared" si="137"/>
        <v>0</v>
      </c>
      <c r="S299" s="355"/>
      <c r="T299" s="355" t="s">
        <v>2239</v>
      </c>
      <c r="U299" s="355" t="s">
        <v>2803</v>
      </c>
      <c r="V299" s="355" t="s">
        <v>2239</v>
      </c>
      <c r="W299" s="355"/>
      <c r="X299" s="358" t="s">
        <v>1978</v>
      </c>
      <c r="Y299" s="358" t="s">
        <v>1978</v>
      </c>
      <c r="Z299" s="358" t="s">
        <v>1978</v>
      </c>
      <c r="AA299" s="355"/>
    </row>
    <row r="300" spans="1:45" x14ac:dyDescent="0.3">
      <c r="A300" s="344" t="str">
        <f>'Reference Score Calculation'!A291</f>
        <v>JS7204</v>
      </c>
      <c r="B300" s="344" t="str">
        <f>'Reference Score Calculation'!D291</f>
        <v>翻譯、跨文化研究及企業傳訊(榮譽)文學士</v>
      </c>
      <c r="C300" s="355">
        <f>INDEX('Offer Statistics'!$DT$41:$DT$58,MATCH(入學要求!A300,'Offer Statistics'!$DD$41:$DD$58,0))</f>
        <v>38</v>
      </c>
      <c r="D300" s="380">
        <v>3</v>
      </c>
      <c r="E300" s="380">
        <v>3</v>
      </c>
      <c r="F300" s="380">
        <v>2</v>
      </c>
      <c r="G300" s="380">
        <v>2</v>
      </c>
      <c r="H300" s="380">
        <v>2</v>
      </c>
      <c r="I300" s="109"/>
      <c r="K300" s="355">
        <f t="shared" si="138"/>
        <v>0</v>
      </c>
      <c r="L300" s="355">
        <f t="shared" si="139"/>
        <v>0</v>
      </c>
      <c r="M300" s="355">
        <f t="shared" si="140"/>
        <v>0</v>
      </c>
      <c r="N300" s="355">
        <f t="shared" si="141"/>
        <v>0</v>
      </c>
      <c r="O300" s="355">
        <f t="shared" si="142"/>
        <v>0</v>
      </c>
      <c r="P300" s="16"/>
      <c r="Q300" s="16"/>
      <c r="R300" s="355">
        <f t="shared" si="137"/>
        <v>0</v>
      </c>
      <c r="S300" s="355"/>
      <c r="T300" s="355" t="s">
        <v>2239</v>
      </c>
      <c r="U300" s="355" t="s">
        <v>2803</v>
      </c>
      <c r="V300" s="355" t="s">
        <v>2239</v>
      </c>
      <c r="W300" s="355"/>
      <c r="X300" s="358" t="s">
        <v>1978</v>
      </c>
      <c r="Y300" s="358" t="s">
        <v>1978</v>
      </c>
      <c r="Z300" s="358" t="s">
        <v>1978</v>
      </c>
      <c r="AA300" s="355"/>
      <c r="AB300" s="355"/>
      <c r="AC300" s="355"/>
      <c r="AD300" s="355"/>
      <c r="AE300" s="355"/>
    </row>
    <row r="301" spans="1:45" x14ac:dyDescent="0.3">
      <c r="A301" s="344" t="str">
        <f>'Reference Score Calculation'!A292</f>
        <v>JS7216</v>
      </c>
      <c r="B301" s="344" t="str">
        <f>'Reference Score Calculation'!D292</f>
        <v>工商管理(榮譽)學士 - 風險及保險管理</v>
      </c>
      <c r="C301" s="355">
        <f>INDEX('Offer Statistics'!$DT$41:$DT$58,MATCH(入學要求!A301,'Offer Statistics'!$DD$41:$DD$58,0))</f>
        <v>25</v>
      </c>
      <c r="D301" s="380">
        <v>3</v>
      </c>
      <c r="E301" s="380">
        <v>3</v>
      </c>
      <c r="F301" s="380">
        <v>2</v>
      </c>
      <c r="G301" s="380">
        <v>2</v>
      </c>
      <c r="H301" s="380">
        <v>2</v>
      </c>
      <c r="I301" s="109"/>
      <c r="K301" s="355">
        <f t="shared" si="138"/>
        <v>0</v>
      </c>
      <c r="L301" s="355">
        <f t="shared" si="139"/>
        <v>0</v>
      </c>
      <c r="M301" s="355">
        <f t="shared" si="140"/>
        <v>0</v>
      </c>
      <c r="N301" s="355">
        <f t="shared" si="141"/>
        <v>0</v>
      </c>
      <c r="O301" s="355">
        <f t="shared" si="142"/>
        <v>0</v>
      </c>
      <c r="P301" s="16"/>
      <c r="Q301" s="16"/>
      <c r="R301" s="355">
        <f t="shared" si="137"/>
        <v>0</v>
      </c>
      <c r="S301" s="355"/>
      <c r="T301" s="355" t="s">
        <v>2239</v>
      </c>
      <c r="U301" s="355" t="s">
        <v>2803</v>
      </c>
      <c r="V301" s="355" t="s">
        <v>2239</v>
      </c>
      <c r="W301" s="355"/>
      <c r="X301" s="358" t="s">
        <v>1978</v>
      </c>
      <c r="Y301" s="358" t="s">
        <v>1978</v>
      </c>
      <c r="Z301" s="358" t="s">
        <v>1978</v>
      </c>
      <c r="AA301" s="355"/>
      <c r="AB301" s="355"/>
      <c r="AC301" s="355"/>
      <c r="AD301" s="355"/>
      <c r="AE301" s="355"/>
    </row>
    <row r="302" spans="1:45" x14ac:dyDescent="0.3">
      <c r="A302" s="344" t="str">
        <f>'Reference Score Calculation'!A293</f>
        <v>JS7225</v>
      </c>
      <c r="B302" s="344" t="str">
        <f>'Reference Score Calculation'!D293</f>
        <v>數據科學(榮譽)理學士</v>
      </c>
      <c r="C302" s="355">
        <f>INDEX('Offer Statistics'!$DT$41:$DT$58,MATCH(入學要求!A302,'Offer Statistics'!$DD$41:$DD$58,0))</f>
        <v>25</v>
      </c>
      <c r="D302" s="380">
        <v>3</v>
      </c>
      <c r="E302" s="380">
        <v>3</v>
      </c>
      <c r="F302" s="380">
        <v>3</v>
      </c>
      <c r="G302" s="380">
        <v>2</v>
      </c>
      <c r="H302" s="380">
        <v>2</v>
      </c>
      <c r="I302" s="109"/>
      <c r="K302" s="355">
        <f t="shared" si="138"/>
        <v>0</v>
      </c>
      <c r="L302" s="355">
        <f t="shared" si="139"/>
        <v>0</v>
      </c>
      <c r="M302" s="355">
        <f t="shared" si="140"/>
        <v>0</v>
      </c>
      <c r="N302" s="355">
        <f t="shared" si="141"/>
        <v>0</v>
      </c>
      <c r="O302" s="355">
        <f t="shared" si="142"/>
        <v>0</v>
      </c>
      <c r="P302" s="16"/>
      <c r="Q302" s="16"/>
      <c r="R302" s="355">
        <f t="shared" si="137"/>
        <v>0</v>
      </c>
      <c r="S302" s="355"/>
      <c r="T302" s="355" t="s">
        <v>2239</v>
      </c>
      <c r="U302" s="355" t="s">
        <v>2803</v>
      </c>
      <c r="V302" s="355" t="s">
        <v>2239</v>
      </c>
      <c r="W302" s="355"/>
      <c r="X302" s="358" t="s">
        <v>1978</v>
      </c>
      <c r="Y302" s="358" t="s">
        <v>1978</v>
      </c>
      <c r="Z302" s="358" t="s">
        <v>1978</v>
      </c>
      <c r="AA302" s="355"/>
      <c r="AB302" s="355"/>
      <c r="AC302" s="355"/>
      <c r="AD302" s="355"/>
      <c r="AE302" s="355"/>
    </row>
    <row r="303" spans="1:45" x14ac:dyDescent="0.3">
      <c r="A303" s="344" t="str">
        <f>'Reference Score Calculation'!A294</f>
        <v>JS7301</v>
      </c>
      <c r="B303" s="344" t="str">
        <f>'Reference Score Calculation'!D294</f>
        <v>社會科學(榮譽)學士 - 經濟學</v>
      </c>
      <c r="C303" s="355">
        <f>INDEX('Offer Statistics'!$DT$41:$DT$58,MATCH(入學要求!A303,'Offer Statistics'!$DD$41:$DD$58,0))</f>
        <v>19</v>
      </c>
      <c r="D303" s="380">
        <v>3</v>
      </c>
      <c r="E303" s="380">
        <v>3</v>
      </c>
      <c r="F303" s="380">
        <v>2</v>
      </c>
      <c r="G303" s="380">
        <v>2</v>
      </c>
      <c r="H303" s="380">
        <v>2</v>
      </c>
      <c r="I303" s="109"/>
      <c r="K303" s="355">
        <f t="shared" si="138"/>
        <v>0</v>
      </c>
      <c r="L303" s="355">
        <f t="shared" si="139"/>
        <v>0</v>
      </c>
      <c r="M303" s="355">
        <f t="shared" si="140"/>
        <v>0</v>
      </c>
      <c r="N303" s="355">
        <f t="shared" si="141"/>
        <v>0</v>
      </c>
      <c r="O303" s="355">
        <f t="shared" si="142"/>
        <v>0</v>
      </c>
      <c r="P303" s="16"/>
      <c r="Q303" s="16"/>
      <c r="R303" s="355">
        <f t="shared" si="137"/>
        <v>0</v>
      </c>
      <c r="S303" s="355"/>
      <c r="T303" s="355" t="s">
        <v>2239</v>
      </c>
      <c r="U303" s="355" t="s">
        <v>2803</v>
      </c>
      <c r="V303" s="355" t="s">
        <v>2239</v>
      </c>
      <c r="W303" s="355"/>
      <c r="X303" s="358" t="s">
        <v>1978</v>
      </c>
      <c r="Y303" s="358" t="s">
        <v>1978</v>
      </c>
      <c r="Z303" s="358" t="s">
        <v>1978</v>
      </c>
      <c r="AA303" s="355"/>
      <c r="AB303" s="355"/>
      <c r="AC303" s="355"/>
      <c r="AD303" s="355"/>
      <c r="AE303" s="355"/>
    </row>
    <row r="304" spans="1:45" s="344" customFormat="1" x14ac:dyDescent="0.3">
      <c r="A304" s="344" t="str">
        <f>'Reference Score Calculation'!A295</f>
        <v>JS7302</v>
      </c>
      <c r="B304" s="344" t="str">
        <f>'Reference Score Calculation'!D295</f>
        <v>社會科學(榮譽)學士 - 政府與國際事務學</v>
      </c>
      <c r="C304" s="355">
        <f>INDEX('Offer Statistics'!$DT$41:$DT$58,MATCH(入學要求!A304,'Offer Statistics'!$DD$41:$DD$58,0))</f>
        <v>19</v>
      </c>
      <c r="D304" s="380">
        <v>3</v>
      </c>
      <c r="E304" s="380">
        <v>3</v>
      </c>
      <c r="F304" s="380">
        <v>2</v>
      </c>
      <c r="G304" s="380">
        <v>2</v>
      </c>
      <c r="H304" s="380">
        <v>2</v>
      </c>
      <c r="I304" s="380"/>
      <c r="K304" s="355">
        <f t="shared" si="138"/>
        <v>0</v>
      </c>
      <c r="L304" s="355">
        <f t="shared" si="139"/>
        <v>0</v>
      </c>
      <c r="M304" s="355">
        <f t="shared" si="140"/>
        <v>0</v>
      </c>
      <c r="N304" s="355">
        <f t="shared" si="141"/>
        <v>0</v>
      </c>
      <c r="O304" s="355">
        <f t="shared" si="142"/>
        <v>0</v>
      </c>
      <c r="P304" s="355"/>
      <c r="Q304" s="355"/>
      <c r="R304" s="355">
        <f t="shared" si="137"/>
        <v>0</v>
      </c>
      <c r="S304" s="355"/>
      <c r="T304" s="355" t="s">
        <v>2239</v>
      </c>
      <c r="U304" s="355" t="s">
        <v>2803</v>
      </c>
      <c r="V304" s="355" t="s">
        <v>2239</v>
      </c>
      <c r="W304" s="355"/>
      <c r="X304" s="358" t="s">
        <v>1978</v>
      </c>
      <c r="Y304" s="358" t="s">
        <v>1978</v>
      </c>
      <c r="Z304" s="358" t="s">
        <v>1978</v>
      </c>
      <c r="AA304" s="355"/>
      <c r="AB304" s="355"/>
      <c r="AC304" s="355"/>
      <c r="AD304" s="355"/>
      <c r="AE304" s="355"/>
      <c r="AF304" s="355"/>
      <c r="AG304" s="355"/>
      <c r="AH304" s="355"/>
      <c r="AI304" s="355"/>
      <c r="AJ304" s="355"/>
      <c r="AK304" s="355"/>
      <c r="AL304" s="355"/>
      <c r="AM304" s="355"/>
      <c r="AN304" s="355"/>
    </row>
    <row r="305" spans="1:40" s="344" customFormat="1" x14ac:dyDescent="0.3">
      <c r="A305" s="344" t="str">
        <f>'Reference Score Calculation'!A296</f>
        <v>JS7303</v>
      </c>
      <c r="B305" s="344" t="str">
        <f>'Reference Score Calculation'!D296</f>
        <v>社會科學(榮譽)學士 - 心理學</v>
      </c>
      <c r="C305" s="355">
        <f>INDEX('Offer Statistics'!$DT$41:$DT$58,MATCH(入學要求!A305,'Offer Statistics'!$DD$41:$DD$58,0))</f>
        <v>20</v>
      </c>
      <c r="D305" s="380">
        <v>3</v>
      </c>
      <c r="E305" s="380">
        <v>3</v>
      </c>
      <c r="F305" s="380">
        <v>2</v>
      </c>
      <c r="G305" s="380">
        <v>2</v>
      </c>
      <c r="H305" s="380">
        <v>2</v>
      </c>
      <c r="I305" s="380"/>
      <c r="K305" s="355">
        <f t="shared" si="138"/>
        <v>0</v>
      </c>
      <c r="L305" s="355">
        <f t="shared" si="139"/>
        <v>0</v>
      </c>
      <c r="M305" s="355">
        <f t="shared" si="140"/>
        <v>0</v>
      </c>
      <c r="N305" s="355">
        <f t="shared" si="141"/>
        <v>0</v>
      </c>
      <c r="O305" s="355">
        <f t="shared" si="142"/>
        <v>0</v>
      </c>
      <c r="P305" s="355"/>
      <c r="Q305" s="355"/>
      <c r="R305" s="355">
        <f t="shared" si="137"/>
        <v>0</v>
      </c>
      <c r="S305" s="355"/>
      <c r="T305" s="355" t="s">
        <v>2239</v>
      </c>
      <c r="U305" s="355" t="s">
        <v>2803</v>
      </c>
      <c r="V305" s="355" t="s">
        <v>2239</v>
      </c>
      <c r="W305" s="355"/>
      <c r="X305" s="358" t="s">
        <v>1978</v>
      </c>
      <c r="Y305" s="358" t="s">
        <v>1978</v>
      </c>
      <c r="Z305" s="358" t="s">
        <v>1978</v>
      </c>
      <c r="AA305" s="355"/>
      <c r="AB305" s="355"/>
      <c r="AC305" s="355"/>
      <c r="AD305" s="355"/>
      <c r="AE305" s="355"/>
      <c r="AF305" s="355"/>
      <c r="AG305" s="355"/>
      <c r="AH305" s="355"/>
      <c r="AI305" s="355"/>
      <c r="AJ305" s="355"/>
      <c r="AK305" s="355"/>
      <c r="AL305" s="355"/>
      <c r="AM305" s="355"/>
      <c r="AN305" s="355"/>
    </row>
    <row r="306" spans="1:40" s="344" customFormat="1" x14ac:dyDescent="0.3">
      <c r="A306" s="344" t="str">
        <f>'Reference Score Calculation'!A297</f>
        <v>JS7304</v>
      </c>
      <c r="B306" s="344" t="str">
        <f>'Reference Score Calculation'!D297</f>
        <v>社會科學(榮譽)學士 - 社會學</v>
      </c>
      <c r="C306" s="355">
        <f>INDEX('Offer Statistics'!$DT$41:$DT$58,MATCH(入學要求!A306,'Offer Statistics'!$DD$41:$DD$58,0))</f>
        <v>20</v>
      </c>
      <c r="D306" s="380">
        <v>3</v>
      </c>
      <c r="E306" s="380">
        <v>3</v>
      </c>
      <c r="F306" s="380">
        <v>2</v>
      </c>
      <c r="G306" s="380">
        <v>2</v>
      </c>
      <c r="H306" s="380">
        <v>2</v>
      </c>
      <c r="I306" s="380"/>
      <c r="K306" s="355">
        <f t="shared" si="138"/>
        <v>0</v>
      </c>
      <c r="L306" s="355">
        <f t="shared" si="139"/>
        <v>0</v>
      </c>
      <c r="M306" s="355">
        <f t="shared" si="140"/>
        <v>0</v>
      </c>
      <c r="N306" s="355">
        <f t="shared" si="141"/>
        <v>0</v>
      </c>
      <c r="O306" s="355">
        <f t="shared" si="142"/>
        <v>0</v>
      </c>
      <c r="P306" s="355"/>
      <c r="Q306" s="355"/>
      <c r="R306" s="355">
        <f t="shared" si="137"/>
        <v>0</v>
      </c>
      <c r="S306" s="355"/>
      <c r="T306" s="355" t="s">
        <v>2239</v>
      </c>
      <c r="U306" s="355" t="s">
        <v>2803</v>
      </c>
      <c r="V306" s="355" t="s">
        <v>2239</v>
      </c>
      <c r="W306" s="355"/>
      <c r="X306" s="358" t="s">
        <v>1978</v>
      </c>
      <c r="Y306" s="358" t="s">
        <v>1978</v>
      </c>
      <c r="Z306" s="358" t="s">
        <v>1978</v>
      </c>
      <c r="AA306" s="355"/>
      <c r="AB306" s="355"/>
      <c r="AC306" s="355"/>
      <c r="AD306" s="355"/>
      <c r="AE306" s="355"/>
      <c r="AF306" s="355"/>
      <c r="AG306" s="355"/>
      <c r="AH306" s="355"/>
      <c r="AI306" s="355"/>
      <c r="AJ306" s="355"/>
      <c r="AK306" s="355"/>
      <c r="AL306" s="355"/>
      <c r="AM306" s="355"/>
      <c r="AN306" s="355"/>
    </row>
    <row r="307" spans="1:40" s="344" customFormat="1" x14ac:dyDescent="0.3">
      <c r="A307" s="344" t="str">
        <f>'Reference Score Calculation'!A298</f>
        <v>JS7305</v>
      </c>
      <c r="B307" s="344" t="str">
        <f>'Reference Score Calculation'!D298</f>
        <v>社會科學(榮譽)學士 - 健康及社會服務管理</v>
      </c>
      <c r="C307" s="355">
        <f>INDEX('Offer Statistics'!$DT$41:$DT$58,MATCH(入學要求!A307,'Offer Statistics'!$DD$41:$DD$58,0))</f>
        <v>15</v>
      </c>
      <c r="D307" s="380">
        <v>3</v>
      </c>
      <c r="E307" s="380">
        <v>3</v>
      </c>
      <c r="F307" s="380">
        <v>2</v>
      </c>
      <c r="G307" s="380">
        <v>2</v>
      </c>
      <c r="H307" s="380">
        <v>2</v>
      </c>
      <c r="I307" s="380"/>
      <c r="K307" s="355">
        <f t="shared" si="138"/>
        <v>0</v>
      </c>
      <c r="L307" s="355">
        <f t="shared" si="139"/>
        <v>0</v>
      </c>
      <c r="M307" s="355">
        <f t="shared" si="140"/>
        <v>0</v>
      </c>
      <c r="N307" s="355">
        <f t="shared" si="141"/>
        <v>0</v>
      </c>
      <c r="O307" s="355">
        <f t="shared" si="142"/>
        <v>0</v>
      </c>
      <c r="P307" s="355"/>
      <c r="Q307" s="355"/>
      <c r="R307" s="355">
        <f t="shared" si="137"/>
        <v>0</v>
      </c>
      <c r="S307" s="355"/>
      <c r="T307" s="355" t="s">
        <v>2239</v>
      </c>
      <c r="U307" s="355" t="s">
        <v>2803</v>
      </c>
      <c r="V307" s="355" t="s">
        <v>2239</v>
      </c>
      <c r="W307" s="355"/>
      <c r="X307" s="358" t="s">
        <v>1978</v>
      </c>
      <c r="Y307" s="358" t="s">
        <v>1978</v>
      </c>
      <c r="Z307" s="358" t="s">
        <v>1978</v>
      </c>
      <c r="AA307" s="355"/>
      <c r="AB307" s="355"/>
      <c r="AC307" s="355"/>
      <c r="AD307" s="355"/>
      <c r="AE307" s="355"/>
      <c r="AF307" s="355"/>
      <c r="AG307" s="355"/>
      <c r="AH307" s="355"/>
      <c r="AI307" s="355"/>
      <c r="AJ307" s="355"/>
      <c r="AK307" s="355"/>
      <c r="AL307" s="355"/>
      <c r="AM307" s="355"/>
      <c r="AN307" s="355"/>
    </row>
    <row r="308" spans="1:40" s="344" customFormat="1" x14ac:dyDescent="0.3">
      <c r="A308" s="344" t="str">
        <f>'Reference Score Calculation'!A299</f>
        <v>JS7306</v>
      </c>
      <c r="B308" s="344" t="str">
        <f>'Reference Score Calculation'!D299</f>
        <v>社會科學(榮譽)學士 - 社會與公共政策研究</v>
      </c>
      <c r="C308" s="355">
        <f>INDEX('Offer Statistics'!$DT$41:$DT$58,MATCH(入學要求!A308,'Offer Statistics'!$DD$41:$DD$58,0))</f>
        <v>20</v>
      </c>
      <c r="D308" s="380">
        <v>3</v>
      </c>
      <c r="E308" s="380">
        <v>3</v>
      </c>
      <c r="F308" s="380">
        <v>2</v>
      </c>
      <c r="G308" s="380">
        <v>2</v>
      </c>
      <c r="H308" s="380">
        <v>2</v>
      </c>
      <c r="I308" s="380"/>
      <c r="K308" s="355">
        <f t="shared" si="138"/>
        <v>0</v>
      </c>
      <c r="L308" s="355">
        <f t="shared" si="139"/>
        <v>0</v>
      </c>
      <c r="M308" s="355">
        <f t="shared" si="140"/>
        <v>0</v>
      </c>
      <c r="N308" s="355">
        <f t="shared" si="141"/>
        <v>0</v>
      </c>
      <c r="O308" s="355">
        <f t="shared" si="142"/>
        <v>0</v>
      </c>
      <c r="P308" s="355"/>
      <c r="Q308" s="355"/>
      <c r="R308" s="355">
        <f t="shared" si="137"/>
        <v>0</v>
      </c>
      <c r="S308" s="355"/>
      <c r="T308" s="355" t="s">
        <v>2239</v>
      </c>
      <c r="U308" s="355" t="s">
        <v>2803</v>
      </c>
      <c r="V308" s="355" t="s">
        <v>2239</v>
      </c>
      <c r="W308" s="355"/>
      <c r="X308" s="358" t="s">
        <v>1978</v>
      </c>
      <c r="Y308" s="358" t="s">
        <v>1978</v>
      </c>
      <c r="Z308" s="358" t="s">
        <v>1978</v>
      </c>
      <c r="AA308" s="355"/>
      <c r="AB308" s="355"/>
      <c r="AC308" s="355"/>
      <c r="AD308" s="355"/>
      <c r="AE308" s="355"/>
      <c r="AF308" s="355"/>
      <c r="AG308" s="355"/>
      <c r="AH308" s="355"/>
      <c r="AI308" s="355"/>
      <c r="AJ308" s="355"/>
      <c r="AK308" s="355"/>
      <c r="AL308" s="355"/>
      <c r="AM308" s="355"/>
      <c r="AN308" s="355"/>
    </row>
    <row r="309" spans="1:40" s="344" customFormat="1" x14ac:dyDescent="0.3">
      <c r="A309" s="344" t="str">
        <f>'Reference Score Calculation'!A300</f>
        <v>JS7503</v>
      </c>
      <c r="B309" s="344" t="str">
        <f>'Reference Score Calculation'!D300</f>
        <v>當代英語語言文學課程(榮譽)文學士</v>
      </c>
      <c r="C309" s="355">
        <f>INDEX('Offer Statistics'!$DT$41:$DT$58,MATCH(入學要求!A309,'Offer Statistics'!$DD$41:$DD$58,0))</f>
        <v>19</v>
      </c>
      <c r="D309" s="380">
        <v>3</v>
      </c>
      <c r="E309" s="380">
        <v>3</v>
      </c>
      <c r="F309" s="380">
        <v>2</v>
      </c>
      <c r="G309" s="380">
        <v>2</v>
      </c>
      <c r="H309" s="380">
        <v>2</v>
      </c>
      <c r="I309" s="380"/>
      <c r="K309" s="355">
        <f t="shared" si="138"/>
        <v>0</v>
      </c>
      <c r="L309" s="355">
        <f t="shared" si="139"/>
        <v>0</v>
      </c>
      <c r="M309" s="355">
        <f t="shared" si="140"/>
        <v>0</v>
      </c>
      <c r="N309" s="355">
        <f t="shared" si="141"/>
        <v>0</v>
      </c>
      <c r="O309" s="355">
        <f t="shared" si="142"/>
        <v>0</v>
      </c>
      <c r="P309" s="355"/>
      <c r="Q309" s="355"/>
      <c r="R309" s="355">
        <f t="shared" si="137"/>
        <v>0</v>
      </c>
      <c r="S309" s="355"/>
      <c r="T309" s="355" t="s">
        <v>2239</v>
      </c>
      <c r="U309" s="355" t="s">
        <v>2803</v>
      </c>
      <c r="V309" s="355" t="s">
        <v>2239</v>
      </c>
      <c r="W309" s="355"/>
      <c r="X309" s="358" t="s">
        <v>1978</v>
      </c>
      <c r="Y309" s="358" t="s">
        <v>1978</v>
      </c>
      <c r="Z309" s="358" t="s">
        <v>1978</v>
      </c>
      <c r="AA309" s="355"/>
      <c r="AB309" s="355"/>
      <c r="AC309" s="355"/>
      <c r="AD309" s="355"/>
      <c r="AE309" s="355"/>
      <c r="AF309" s="355"/>
      <c r="AG309" s="355"/>
      <c r="AH309" s="355"/>
      <c r="AI309" s="355"/>
      <c r="AJ309" s="355"/>
      <c r="AK309" s="355"/>
      <c r="AL309" s="355"/>
      <c r="AM309" s="355"/>
      <c r="AN309" s="355"/>
    </row>
    <row r="310" spans="1:40" s="344" customFormat="1" x14ac:dyDescent="0.3">
      <c r="A310" s="344" t="str">
        <f>'Reference Score Calculation'!A301</f>
        <v>JS7606</v>
      </c>
      <c r="B310" s="344" t="str">
        <f>'Reference Score Calculation'!D301</f>
        <v>文化研究(榮譽)文學士</v>
      </c>
      <c r="C310" s="355">
        <f>INDEX('Offer Statistics'!$DT$41:$DT$58,MATCH(入學要求!A310,'Offer Statistics'!$DD$41:$DD$58,0))</f>
        <v>29</v>
      </c>
      <c r="D310" s="380">
        <v>3</v>
      </c>
      <c r="E310" s="380">
        <v>3</v>
      </c>
      <c r="F310" s="380">
        <v>2</v>
      </c>
      <c r="G310" s="380">
        <v>2</v>
      </c>
      <c r="H310" s="380">
        <v>2</v>
      </c>
      <c r="I310" s="380"/>
      <c r="K310" s="355">
        <f t="shared" si="138"/>
        <v>0</v>
      </c>
      <c r="L310" s="355">
        <f t="shared" si="139"/>
        <v>0</v>
      </c>
      <c r="M310" s="355">
        <f t="shared" si="140"/>
        <v>0</v>
      </c>
      <c r="N310" s="355">
        <f t="shared" si="141"/>
        <v>0</v>
      </c>
      <c r="O310" s="355">
        <f t="shared" si="142"/>
        <v>0</v>
      </c>
      <c r="P310" s="355"/>
      <c r="Q310" s="355"/>
      <c r="R310" s="355">
        <f t="shared" si="137"/>
        <v>0</v>
      </c>
      <c r="S310" s="355"/>
      <c r="T310" s="355" t="s">
        <v>2239</v>
      </c>
      <c r="U310" s="355" t="s">
        <v>2803</v>
      </c>
      <c r="V310" s="355" t="s">
        <v>2239</v>
      </c>
      <c r="W310" s="355"/>
      <c r="X310" s="358" t="s">
        <v>1978</v>
      </c>
      <c r="Y310" s="358" t="s">
        <v>1978</v>
      </c>
      <c r="Z310" s="358" t="s">
        <v>1978</v>
      </c>
      <c r="AA310" s="355"/>
      <c r="AB310" s="355"/>
      <c r="AC310" s="355"/>
      <c r="AD310" s="355"/>
      <c r="AE310" s="355"/>
      <c r="AF310" s="355"/>
      <c r="AG310" s="355"/>
      <c r="AH310" s="355"/>
      <c r="AI310" s="355"/>
      <c r="AJ310" s="355"/>
      <c r="AK310" s="355"/>
      <c r="AL310" s="355"/>
      <c r="AM310" s="355"/>
      <c r="AN310" s="355"/>
    </row>
    <row r="311" spans="1:40" s="344" customFormat="1" x14ac:dyDescent="0.3">
      <c r="A311" s="344" t="str">
        <f>'Reference Score Calculation'!A302</f>
        <v>JS7709</v>
      </c>
      <c r="B311" s="344" t="str">
        <f>'Reference Score Calculation'!D302</f>
        <v>歷史(榮譽)文學士</v>
      </c>
      <c r="C311" s="355">
        <f>INDEX('Offer Statistics'!$DT$41:$DT$58,MATCH(入學要求!A311,'Offer Statistics'!$DD$41:$DD$58,0))</f>
        <v>30</v>
      </c>
      <c r="D311" s="380">
        <v>3</v>
      </c>
      <c r="E311" s="380">
        <v>3</v>
      </c>
      <c r="F311" s="380">
        <v>2</v>
      </c>
      <c r="G311" s="380">
        <v>2</v>
      </c>
      <c r="H311" s="380">
        <v>2</v>
      </c>
      <c r="I311" s="380"/>
      <c r="K311" s="355">
        <f t="shared" si="138"/>
        <v>0</v>
      </c>
      <c r="L311" s="355">
        <f t="shared" si="139"/>
        <v>0</v>
      </c>
      <c r="M311" s="355">
        <f t="shared" si="140"/>
        <v>0</v>
      </c>
      <c r="N311" s="355">
        <f t="shared" si="141"/>
        <v>0</v>
      </c>
      <c r="O311" s="355">
        <f t="shared" si="142"/>
        <v>0</v>
      </c>
      <c r="P311" s="355"/>
      <c r="Q311" s="355"/>
      <c r="R311" s="355">
        <f t="shared" si="137"/>
        <v>0</v>
      </c>
      <c r="S311" s="355"/>
      <c r="T311" s="355" t="s">
        <v>2239</v>
      </c>
      <c r="U311" s="355" t="s">
        <v>2803</v>
      </c>
      <c r="V311" s="355" t="s">
        <v>2239</v>
      </c>
      <c r="W311" s="355"/>
      <c r="X311" s="358" t="s">
        <v>1978</v>
      </c>
      <c r="Y311" s="358" t="s">
        <v>1978</v>
      </c>
      <c r="Z311" s="358" t="s">
        <v>1978</v>
      </c>
      <c r="AA311" s="355"/>
      <c r="AB311" s="355"/>
      <c r="AC311" s="355"/>
      <c r="AD311" s="355"/>
      <c r="AE311" s="355"/>
      <c r="AF311" s="355"/>
      <c r="AG311" s="355"/>
      <c r="AH311" s="355"/>
      <c r="AI311" s="355"/>
      <c r="AJ311" s="355"/>
      <c r="AK311" s="355"/>
      <c r="AL311" s="355"/>
      <c r="AM311" s="355"/>
      <c r="AN311" s="355"/>
    </row>
    <row r="312" spans="1:40" s="344" customFormat="1" x14ac:dyDescent="0.3">
      <c r="A312" s="344" t="str">
        <f>'Reference Score Calculation'!A303</f>
        <v>JS7802</v>
      </c>
      <c r="B312" s="344" t="str">
        <f>'Reference Score Calculation'!D303</f>
        <v>哲學(榮譽)文學士</v>
      </c>
      <c r="C312" s="355">
        <f>INDEX('Offer Statistics'!$DT$41:$DT$58,MATCH(入學要求!A312,'Offer Statistics'!$DD$41:$DD$58,0))</f>
        <v>29</v>
      </c>
      <c r="D312" s="380">
        <v>3</v>
      </c>
      <c r="E312" s="380">
        <v>3</v>
      </c>
      <c r="F312" s="380">
        <v>2</v>
      </c>
      <c r="G312" s="380">
        <v>2</v>
      </c>
      <c r="H312" s="380">
        <v>2</v>
      </c>
      <c r="I312" s="380"/>
      <c r="K312" s="355">
        <f t="shared" si="138"/>
        <v>0</v>
      </c>
      <c r="L312" s="355">
        <f t="shared" si="139"/>
        <v>0</v>
      </c>
      <c r="M312" s="355">
        <f t="shared" si="140"/>
        <v>0</v>
      </c>
      <c r="N312" s="355">
        <f t="shared" si="141"/>
        <v>0</v>
      </c>
      <c r="O312" s="355">
        <f t="shared" si="142"/>
        <v>0</v>
      </c>
      <c r="P312" s="355"/>
      <c r="Q312" s="355"/>
      <c r="R312" s="355">
        <f t="shared" si="137"/>
        <v>0</v>
      </c>
      <c r="S312" s="355"/>
      <c r="T312" s="355" t="s">
        <v>2239</v>
      </c>
      <c r="U312" s="355" t="s">
        <v>2803</v>
      </c>
      <c r="V312" s="355" t="s">
        <v>2239</v>
      </c>
      <c r="W312" s="355"/>
      <c r="X312" s="358" t="s">
        <v>1978</v>
      </c>
      <c r="Y312" s="358" t="s">
        <v>1978</v>
      </c>
      <c r="Z312" s="358" t="s">
        <v>1978</v>
      </c>
      <c r="AA312" s="355"/>
      <c r="AB312" s="355"/>
      <c r="AC312" s="355"/>
      <c r="AD312" s="355"/>
      <c r="AE312" s="355"/>
      <c r="AF312" s="355"/>
      <c r="AG312" s="355"/>
      <c r="AH312" s="355"/>
      <c r="AI312" s="355"/>
      <c r="AJ312" s="355"/>
      <c r="AK312" s="355"/>
      <c r="AL312" s="355"/>
      <c r="AM312" s="355"/>
      <c r="AN312" s="355"/>
    </row>
    <row r="313" spans="1:40" x14ac:dyDescent="0.3">
      <c r="A313" s="344" t="str">
        <f>'Reference Score Calculation'!A304</f>
        <v>JS7905</v>
      </c>
      <c r="B313" s="344" t="str">
        <f>'Reference Score Calculation'!D304</f>
        <v>視覺研究(榮譽)文學士</v>
      </c>
      <c r="C313" s="355">
        <f>INDEX('Offer Statistics'!$DT$41:$DT$58,MATCH(入學要求!A313,'Offer Statistics'!$DD$41:$DD$58,0))</f>
        <v>21</v>
      </c>
      <c r="D313" s="380">
        <v>3</v>
      </c>
      <c r="E313" s="380">
        <v>3</v>
      </c>
      <c r="F313" s="380">
        <v>2</v>
      </c>
      <c r="G313" s="380">
        <v>2</v>
      </c>
      <c r="H313" s="380">
        <v>2</v>
      </c>
      <c r="I313" s="109"/>
      <c r="K313" s="355">
        <f t="shared" si="138"/>
        <v>0</v>
      </c>
      <c r="L313" s="355">
        <f t="shared" si="139"/>
        <v>0</v>
      </c>
      <c r="M313" s="355">
        <f t="shared" si="140"/>
        <v>0</v>
      </c>
      <c r="N313" s="355">
        <f t="shared" si="141"/>
        <v>0</v>
      </c>
      <c r="O313" s="355">
        <f t="shared" si="142"/>
        <v>0</v>
      </c>
      <c r="P313" s="16"/>
      <c r="Q313" s="16"/>
      <c r="R313" s="355">
        <f t="shared" si="137"/>
        <v>0</v>
      </c>
      <c r="S313" s="355"/>
      <c r="T313" s="355" t="s">
        <v>2239</v>
      </c>
      <c r="U313" s="355" t="s">
        <v>2803</v>
      </c>
      <c r="V313" s="355" t="s">
        <v>2239</v>
      </c>
      <c r="W313" s="355"/>
      <c r="X313" s="358" t="s">
        <v>1978</v>
      </c>
      <c r="Y313" s="358" t="s">
        <v>1978</v>
      </c>
      <c r="Z313" s="358" t="s">
        <v>1978</v>
      </c>
      <c r="AA313" s="355"/>
      <c r="AB313" s="355"/>
      <c r="AC313" s="355"/>
      <c r="AD313" s="355"/>
      <c r="AE313" s="355"/>
    </row>
    <row r="314" spans="1:40" x14ac:dyDescent="0.3">
      <c r="A314" s="11" t="s">
        <v>1457</v>
      </c>
      <c r="D314" s="109"/>
      <c r="E314" s="109"/>
      <c r="F314" s="109"/>
      <c r="G314" s="109"/>
      <c r="H314" s="109"/>
      <c r="I314" s="109"/>
      <c r="S314" s="355"/>
      <c r="T314" s="355"/>
      <c r="U314" s="355"/>
      <c r="V314" s="355"/>
      <c r="W314" s="355"/>
      <c r="X314" s="358"/>
      <c r="Y314" s="358"/>
      <c r="Z314" s="358" t="s">
        <v>1978</v>
      </c>
      <c r="AA314" s="355"/>
      <c r="AB314" s="355"/>
      <c r="AC314" s="355"/>
      <c r="AD314" s="355"/>
      <c r="AE314" s="355"/>
    </row>
    <row r="315" spans="1:40" x14ac:dyDescent="0.3">
      <c r="A315" s="11" t="s">
        <v>1942</v>
      </c>
      <c r="B315" s="11" t="s">
        <v>1944</v>
      </c>
      <c r="C315" s="356" t="s">
        <v>1950</v>
      </c>
      <c r="D315" s="111" t="s">
        <v>1953</v>
      </c>
      <c r="E315" s="111" t="s">
        <v>1954</v>
      </c>
      <c r="F315" s="111" t="s">
        <v>1955</v>
      </c>
      <c r="G315" s="111" t="s">
        <v>1956</v>
      </c>
      <c r="H315" s="111" t="s">
        <v>1957</v>
      </c>
      <c r="I315" s="111"/>
      <c r="J315" s="16"/>
      <c r="K315" s="19" t="s">
        <v>1953</v>
      </c>
      <c r="L315" s="19" t="s">
        <v>1954</v>
      </c>
      <c r="M315" s="19" t="s">
        <v>1955</v>
      </c>
      <c r="N315" s="19" t="s">
        <v>1956</v>
      </c>
      <c r="O315" s="19" t="s">
        <v>1957</v>
      </c>
      <c r="P315" s="19"/>
      <c r="S315" s="355"/>
      <c r="T315" s="356" t="s">
        <v>2233</v>
      </c>
      <c r="U315" s="356" t="s">
        <v>2234</v>
      </c>
      <c r="V315" s="356" t="s">
        <v>2235</v>
      </c>
      <c r="W315" s="355"/>
      <c r="X315" s="358"/>
      <c r="Y315" s="358"/>
      <c r="Z315" s="358" t="s">
        <v>1978</v>
      </c>
      <c r="AA315" s="394" t="s">
        <v>2460</v>
      </c>
      <c r="AB315" s="394" t="s">
        <v>2236</v>
      </c>
      <c r="AC315" s="384"/>
      <c r="AD315" s="389"/>
      <c r="AE315" s="389"/>
      <c r="AF315" s="389"/>
      <c r="AG315" s="389"/>
      <c r="AH315" s="389"/>
      <c r="AI315" s="389"/>
      <c r="AJ315" s="389"/>
    </row>
    <row r="316" spans="1:40" x14ac:dyDescent="0.3">
      <c r="A316" s="2" t="str">
        <f>'Reference Score Calculation'!A307</f>
        <v>JS8105</v>
      </c>
      <c r="B316" s="2" t="str">
        <f>'Reference Score Calculation'!D307</f>
        <v>中國語文教育榮譽學士</v>
      </c>
      <c r="C316" s="355">
        <f>INDEX('Offer Statistics'!$EL$74:$EL$97,MATCH(入學要求!A316,'Offer Statistics'!$DV$74:$DV$97,0))</f>
        <v>75</v>
      </c>
      <c r="D316" s="109">
        <v>3</v>
      </c>
      <c r="E316" s="109">
        <v>3</v>
      </c>
      <c r="F316" s="109">
        <v>2</v>
      </c>
      <c r="G316" s="109">
        <v>2</v>
      </c>
      <c r="H316" s="109">
        <v>2</v>
      </c>
      <c r="I316" s="109"/>
      <c r="K316" s="355">
        <f>IF(D316&gt;D$3,0,1)</f>
        <v>0</v>
      </c>
      <c r="L316" s="355">
        <f t="shared" ref="L316:N316" si="143">IF(E316&gt;E$3,0,1)</f>
        <v>0</v>
      </c>
      <c r="M316" s="355">
        <f t="shared" si="143"/>
        <v>0</v>
      </c>
      <c r="N316" s="355">
        <f t="shared" si="143"/>
        <v>0</v>
      </c>
      <c r="O316" s="355">
        <f>IF(H316&gt;LARGE($H$3:$M$3,1),0,1)</f>
        <v>0</v>
      </c>
      <c r="R316" s="16">
        <f t="shared" ref="R316:R339" si="144">K316*L316*M316*N316*O316</f>
        <v>0</v>
      </c>
      <c r="S316" s="355"/>
      <c r="T316" s="355" t="s">
        <v>2237</v>
      </c>
      <c r="U316" s="355" t="s">
        <v>2803</v>
      </c>
      <c r="V316" s="355" t="s">
        <v>2237</v>
      </c>
      <c r="W316" s="355"/>
      <c r="X316" s="358" t="s">
        <v>1970</v>
      </c>
      <c r="Y316" s="358" t="s">
        <v>1970</v>
      </c>
      <c r="Z316" s="358" t="s">
        <v>1978</v>
      </c>
      <c r="AA316" s="390"/>
      <c r="AB316" s="390"/>
      <c r="AC316" s="390"/>
      <c r="AD316" s="390"/>
      <c r="AE316" s="390"/>
      <c r="AF316" s="390"/>
      <c r="AG316" s="390"/>
      <c r="AH316" s="384"/>
      <c r="AI316" s="384"/>
      <c r="AJ316" s="384"/>
    </row>
    <row r="317" spans="1:40" x14ac:dyDescent="0.3">
      <c r="A317" s="344" t="str">
        <f>'Reference Score Calculation'!A308</f>
        <v>JS8222</v>
      </c>
      <c r="B317" s="344" t="str">
        <f>'Reference Score Calculation'!D308</f>
        <v>英國語文教育榮譽學士 — 小學</v>
      </c>
      <c r="C317" s="355">
        <f>INDEX('Offer Statistics'!$EL$74:$EL$97,MATCH(入學要求!A317,'Offer Statistics'!$DV$74:$DV$97,0))</f>
        <v>18</v>
      </c>
      <c r="D317" s="380">
        <v>3</v>
      </c>
      <c r="E317" s="380">
        <v>3</v>
      </c>
      <c r="F317" s="380">
        <v>2</v>
      </c>
      <c r="G317" s="380">
        <v>2</v>
      </c>
      <c r="H317" s="380">
        <v>2</v>
      </c>
      <c r="I317" s="109"/>
      <c r="K317" s="355">
        <f t="shared" ref="K317:K339" si="145">IF(D317&gt;D$3,0,1)</f>
        <v>0</v>
      </c>
      <c r="L317" s="355">
        <f t="shared" ref="L317:L339" si="146">IF(E317&gt;E$3,0,1)</f>
        <v>0</v>
      </c>
      <c r="M317" s="355">
        <f t="shared" ref="M317:M339" si="147">IF(F317&gt;F$3,0,1)</f>
        <v>0</v>
      </c>
      <c r="N317" s="355">
        <f t="shared" ref="N317:N339" si="148">IF(G317&gt;G$3,0,1)</f>
        <v>0</v>
      </c>
      <c r="O317" s="355">
        <f t="shared" ref="O317:O318" si="149">IF(H317&gt;LARGE($H$3:$M$3,1),0,1)</f>
        <v>0</v>
      </c>
      <c r="R317" s="355">
        <f t="shared" si="144"/>
        <v>0</v>
      </c>
      <c r="S317" s="355"/>
      <c r="T317" s="355" t="s">
        <v>2237</v>
      </c>
      <c r="U317" s="355" t="s">
        <v>2803</v>
      </c>
      <c r="V317" s="355" t="s">
        <v>2237</v>
      </c>
      <c r="W317" s="355"/>
      <c r="X317" s="358" t="s">
        <v>1970</v>
      </c>
      <c r="Y317" s="358" t="s">
        <v>1970</v>
      </c>
      <c r="Z317" s="358" t="s">
        <v>1978</v>
      </c>
      <c r="AA317" s="390"/>
      <c r="AB317" s="390" t="str">
        <f>I$2</f>
        <v>請選擇第一選修科</v>
      </c>
      <c r="AC317" s="390" t="str">
        <f>J$2</f>
        <v>請選擇第二選修科</v>
      </c>
      <c r="AD317" s="390" t="str">
        <f>K$2</f>
        <v>請選擇第三選修科</v>
      </c>
      <c r="AE317" s="390" t="str">
        <f>L$2</f>
        <v>請選擇第四選修科</v>
      </c>
      <c r="AF317" s="390"/>
      <c r="AG317" s="390"/>
      <c r="AH317" s="390" t="s">
        <v>3201</v>
      </c>
      <c r="AI317" s="390"/>
      <c r="AJ317" s="384"/>
    </row>
    <row r="318" spans="1:40" x14ac:dyDescent="0.3">
      <c r="A318" s="344" t="str">
        <f>'Reference Score Calculation'!A309</f>
        <v>JS8234</v>
      </c>
      <c r="B318" s="344" t="str">
        <f>'Reference Score Calculation'!D309</f>
        <v>小學教育榮譽學士 - 常識</v>
      </c>
      <c r="C318" s="355">
        <f>INDEX('Offer Statistics'!$EL$74:$EL$97,MATCH(入學要求!A318,'Offer Statistics'!$DV$74:$DV$97,0))</f>
        <v>39</v>
      </c>
      <c r="D318" s="380">
        <v>3</v>
      </c>
      <c r="E318" s="380">
        <v>3</v>
      </c>
      <c r="F318" s="380">
        <v>2</v>
      </c>
      <c r="G318" s="380">
        <v>2</v>
      </c>
      <c r="H318" s="380">
        <v>2</v>
      </c>
      <c r="I318" s="109"/>
      <c r="K318" s="355">
        <f t="shared" si="145"/>
        <v>0</v>
      </c>
      <c r="L318" s="355">
        <f t="shared" si="146"/>
        <v>0</v>
      </c>
      <c r="M318" s="355">
        <f t="shared" si="147"/>
        <v>0</v>
      </c>
      <c r="N318" s="355">
        <f t="shared" si="148"/>
        <v>0</v>
      </c>
      <c r="O318" s="355">
        <f t="shared" si="149"/>
        <v>0</v>
      </c>
      <c r="R318" s="355">
        <f t="shared" si="144"/>
        <v>0</v>
      </c>
      <c r="S318" s="355"/>
      <c r="T318" s="355" t="s">
        <v>2237</v>
      </c>
      <c r="U318" s="355" t="s">
        <v>2803</v>
      </c>
      <c r="V318" s="355" t="s">
        <v>2237</v>
      </c>
      <c r="W318" s="355"/>
      <c r="X318" s="358" t="s">
        <v>1970</v>
      </c>
      <c r="Y318" s="358" t="s">
        <v>1970</v>
      </c>
      <c r="Z318" s="358" t="s">
        <v>1978</v>
      </c>
      <c r="AA318" s="390" t="s">
        <v>3448</v>
      </c>
      <c r="AB318" s="391">
        <f>IF(OR(I$2="物理",I$2="化學",I$2="生物",I$2="組合科學(物理、化學)",I$2="組合科學(生物、化學)",I$2="組合科學(物理、生物)",I$2="資訊及通訊科技",I$2="綜合科學"),I$3,0)</f>
        <v>0</v>
      </c>
      <c r="AC318" s="391">
        <f>IF(OR(J$2="物理",J$2="化學",J$2="生物",J$2="組合科學(物理、化學)",J$2="組合科學(生物、化學)",J$2="組合科學(物理、生物)",J$2="資訊及通訊科技",J$2="綜合科學"),J$3,0)</f>
        <v>0</v>
      </c>
      <c r="AD318" s="391">
        <f>IF(OR(K$2="物理",K$2="化學",K$2="生物",K$2="組合科學(物理、化學)",K$2="組合科學(生物、化學)",K$2="組合科學(物理、生物)",K$2="資訊及通訊科技",K$2="綜合科學"),K$3,0)</f>
        <v>0</v>
      </c>
      <c r="AE318" s="391">
        <f>IF(OR(L$2="物理",L$2="化學",L$2="生物",L$2="組合科學(物理、化學)",L$2="組合科學(生物、化學)",L$2="組合科學(物理、生物)",L$2="資訊及通訊科技",L$2="綜合科學"),L$3,0)</f>
        <v>0</v>
      </c>
      <c r="AF318" s="390"/>
      <c r="AG318" s="390"/>
      <c r="AH318" s="391" t="str">
        <f>IF(AI318&gt;0.1,INDEX(AB317:AE317,MATCH(LARGE(AB318:AE318,1),AB318:AE318,0)),"無")</f>
        <v>無</v>
      </c>
      <c r="AI318" s="391">
        <f>LARGE((AB318:AE318),1)</f>
        <v>0</v>
      </c>
      <c r="AJ318" s="384"/>
    </row>
    <row r="319" spans="1:40" x14ac:dyDescent="0.3">
      <c r="A319" s="344" t="str">
        <f>'Reference Score Calculation'!A310</f>
        <v>JS8246</v>
      </c>
      <c r="B319" s="344" t="str">
        <f>'Reference Score Calculation'!D310</f>
        <v>小學教育榮譽學士 - 數學</v>
      </c>
      <c r="C319" s="355">
        <f>INDEX('Offer Statistics'!$EL$74:$EL$97,MATCH(入學要求!A319,'Offer Statistics'!$DV$74:$DV$97,0))</f>
        <v>63</v>
      </c>
      <c r="D319" s="380">
        <v>3</v>
      </c>
      <c r="E319" s="380">
        <v>3</v>
      </c>
      <c r="F319" s="380">
        <v>3</v>
      </c>
      <c r="G319" s="380">
        <v>2</v>
      </c>
      <c r="H319" s="380">
        <v>2</v>
      </c>
      <c r="I319" s="109"/>
      <c r="K319" s="355">
        <f t="shared" si="145"/>
        <v>0</v>
      </c>
      <c r="L319" s="355">
        <f t="shared" si="146"/>
        <v>0</v>
      </c>
      <c r="M319" s="355">
        <f>IF(F319&gt;F$3,0,1)</f>
        <v>0</v>
      </c>
      <c r="N319" s="355">
        <f t="shared" si="148"/>
        <v>0</v>
      </c>
      <c r="O319" s="355">
        <f>IF(AND(H319&gt;$H$3,F3&gt;5),2,IF(H3&lt;H319,0,1))</f>
        <v>0</v>
      </c>
      <c r="R319" s="16">
        <f t="shared" si="144"/>
        <v>0</v>
      </c>
      <c r="S319" s="355"/>
      <c r="T319" s="355" t="s">
        <v>2237</v>
      </c>
      <c r="U319" s="355" t="s">
        <v>2803</v>
      </c>
      <c r="V319" s="355" t="s">
        <v>2237</v>
      </c>
      <c r="W319" s="355"/>
      <c r="X319" s="358" t="s">
        <v>3441</v>
      </c>
      <c r="Y319" s="358" t="s">
        <v>3442</v>
      </c>
      <c r="Z319" s="358" t="s">
        <v>1978</v>
      </c>
      <c r="AA319" s="390"/>
      <c r="AB319" s="417" t="s">
        <v>3447</v>
      </c>
      <c r="AC319" s="390"/>
      <c r="AD319" s="390"/>
      <c r="AE319" s="390"/>
      <c r="AF319" s="390"/>
      <c r="AG319" s="390"/>
      <c r="AH319" s="390"/>
      <c r="AI319" s="384"/>
      <c r="AJ319" s="384"/>
    </row>
    <row r="320" spans="1:40" x14ac:dyDescent="0.3">
      <c r="A320" s="344" t="str">
        <f>'Reference Score Calculation'!A311</f>
        <v>JS8325</v>
      </c>
      <c r="B320" s="344" t="str">
        <f>'Reference Score Calculation'!D311</f>
        <v>體育教育榮譽學士</v>
      </c>
      <c r="C320" s="355">
        <f>INDEX('Offer Statistics'!$EL$74:$EL$97,MATCH(入學要求!A320,'Offer Statistics'!$DV$74:$DV$97,0))</f>
        <v>30</v>
      </c>
      <c r="D320" s="380">
        <v>3</v>
      </c>
      <c r="E320" s="380">
        <v>3</v>
      </c>
      <c r="F320" s="380">
        <v>2</v>
      </c>
      <c r="G320" s="380">
        <v>2</v>
      </c>
      <c r="H320" s="380">
        <v>2</v>
      </c>
      <c r="I320" s="109"/>
      <c r="K320" s="355">
        <f t="shared" si="145"/>
        <v>0</v>
      </c>
      <c r="L320" s="355">
        <f t="shared" si="146"/>
        <v>0</v>
      </c>
      <c r="M320" s="355">
        <f t="shared" si="147"/>
        <v>0</v>
      </c>
      <c r="N320" s="355">
        <f t="shared" si="148"/>
        <v>0</v>
      </c>
      <c r="O320" s="355">
        <f>IF(H320&gt;LARGE($H$3:$M$3,1),0,1)</f>
        <v>0</v>
      </c>
      <c r="R320" s="16">
        <f>IF(K320*L320*M320*N320*O320=0,0,2)</f>
        <v>0</v>
      </c>
      <c r="S320" s="355"/>
      <c r="T320" s="355" t="s">
        <v>2237</v>
      </c>
      <c r="U320" s="355" t="s">
        <v>2803</v>
      </c>
      <c r="V320" s="355" t="s">
        <v>2237</v>
      </c>
      <c r="W320" s="355"/>
      <c r="X320" s="358" t="s">
        <v>3445</v>
      </c>
      <c r="Y320" s="358" t="s">
        <v>1978</v>
      </c>
      <c r="Z320" s="358" t="s">
        <v>1978</v>
      </c>
      <c r="AA320" s="390"/>
      <c r="AB320" s="390"/>
      <c r="AC320" s="390"/>
      <c r="AD320" s="390"/>
      <c r="AE320" s="390"/>
      <c r="AF320" s="390"/>
      <c r="AG320" s="390"/>
      <c r="AH320" s="384"/>
      <c r="AI320" s="384"/>
      <c r="AJ320" s="384"/>
    </row>
    <row r="321" spans="1:36" x14ac:dyDescent="0.3">
      <c r="A321" s="344" t="str">
        <f>'Reference Score Calculation'!A312</f>
        <v>JS8361</v>
      </c>
      <c r="B321" s="344" t="str">
        <f>'Reference Score Calculation'!D312</f>
        <v>中學教育榮譽學士 - 資訊及通訊科技</v>
      </c>
      <c r="C321" s="355">
        <f>INDEX('Offer Statistics'!$EL$74:$EL$97,MATCH(入學要求!A321,'Offer Statistics'!$DV$74:$DV$97,0))</f>
        <v>18</v>
      </c>
      <c r="D321" s="380">
        <v>3</v>
      </c>
      <c r="E321" s="380">
        <v>3</v>
      </c>
      <c r="F321" s="380">
        <v>2</v>
      </c>
      <c r="G321" s="380">
        <v>2</v>
      </c>
      <c r="H321" s="380">
        <v>2</v>
      </c>
      <c r="I321" s="109"/>
      <c r="K321" s="355">
        <f t="shared" si="145"/>
        <v>0</v>
      </c>
      <c r="L321" s="355">
        <f t="shared" si="146"/>
        <v>0</v>
      </c>
      <c r="M321" s="355">
        <f t="shared" si="147"/>
        <v>0</v>
      </c>
      <c r="N321" s="355">
        <f t="shared" si="148"/>
        <v>0</v>
      </c>
      <c r="O321" s="355">
        <f>IF(H321&gt;AI318,0,1)</f>
        <v>0</v>
      </c>
      <c r="R321" s="16">
        <f t="shared" si="144"/>
        <v>0</v>
      </c>
      <c r="S321" s="355"/>
      <c r="T321" s="355" t="s">
        <v>2237</v>
      </c>
      <c r="U321" s="355" t="s">
        <v>2803</v>
      </c>
      <c r="V321" s="355" t="s">
        <v>2237</v>
      </c>
      <c r="W321" s="355"/>
      <c r="X321" s="358" t="s">
        <v>3450</v>
      </c>
      <c r="Y321" s="358" t="s">
        <v>1970</v>
      </c>
      <c r="Z321" s="358" t="s">
        <v>1978</v>
      </c>
      <c r="AA321" s="390"/>
      <c r="AB321" s="390" t="str">
        <f>I$2</f>
        <v>請選擇第一選修科</v>
      </c>
      <c r="AC321" s="390" t="str">
        <f>J$2</f>
        <v>請選擇第二選修科</v>
      </c>
      <c r="AD321" s="390" t="str">
        <f>K$2</f>
        <v>請選擇第三選修科</v>
      </c>
      <c r="AE321" s="390" t="str">
        <f>L$2</f>
        <v>請選擇第四選修科</v>
      </c>
      <c r="AF321" s="390"/>
      <c r="AG321" s="390"/>
      <c r="AH321" s="390" t="s">
        <v>3201</v>
      </c>
      <c r="AI321" s="390"/>
      <c r="AJ321" s="384"/>
    </row>
    <row r="322" spans="1:36" x14ac:dyDescent="0.3">
      <c r="A322" s="344" t="str">
        <f>'Reference Score Calculation'!A313</f>
        <v>JS8371</v>
      </c>
      <c r="B322" s="344" t="str">
        <f>'Reference Score Calculation'!D313</f>
        <v>企業、會計與財務概論教育榮譽學士</v>
      </c>
      <c r="C322" s="355">
        <f>INDEX('Offer Statistics'!$EL$74:$EL$97,MATCH(入學要求!A322,'Offer Statistics'!$DV$74:$DV$97,0))</f>
        <v>22</v>
      </c>
      <c r="D322" s="380">
        <v>3</v>
      </c>
      <c r="E322" s="380">
        <v>3</v>
      </c>
      <c r="F322" s="380">
        <v>2</v>
      </c>
      <c r="G322" s="380">
        <v>2</v>
      </c>
      <c r="H322" s="380">
        <v>2</v>
      </c>
      <c r="I322" s="109"/>
      <c r="K322" s="355">
        <f t="shared" si="145"/>
        <v>0</v>
      </c>
      <c r="L322" s="355">
        <f t="shared" si="146"/>
        <v>0</v>
      </c>
      <c r="M322" s="355">
        <f t="shared" si="147"/>
        <v>0</v>
      </c>
      <c r="N322" s="355">
        <f t="shared" si="148"/>
        <v>0</v>
      </c>
      <c r="O322" s="355">
        <f t="shared" ref="O322:O325" si="150">IF(H322&gt;LARGE($H$3:$M$3,1),0,1)</f>
        <v>0</v>
      </c>
      <c r="R322" s="16">
        <f t="shared" si="144"/>
        <v>0</v>
      </c>
      <c r="S322" s="355"/>
      <c r="T322" s="355" t="s">
        <v>2237</v>
      </c>
      <c r="U322" s="355" t="s">
        <v>2803</v>
      </c>
      <c r="V322" s="355" t="s">
        <v>2237</v>
      </c>
      <c r="W322" s="355"/>
      <c r="X322" s="358" t="s">
        <v>1970</v>
      </c>
      <c r="Y322" s="358" t="s">
        <v>1970</v>
      </c>
      <c r="Z322" s="358" t="s">
        <v>1978</v>
      </c>
      <c r="AA322" s="390" t="s">
        <v>3460</v>
      </c>
      <c r="AB322" s="391">
        <f>IF(OR(I$2="物理",I$2="化學",I$2="生物",I$2="組合科學(物理、化學)",I$2="組合科學(生物、化學)",I$2="組合科學(物理、生物)",I$2="綜合科學"),I$3,0)</f>
        <v>0</v>
      </c>
      <c r="AC322" s="391">
        <f>IF(OR(J$2="物理",J$2="化學",J$2="生物",J$2="組合科學(物理、化學)",J$2="組合科學(生物、化學)",J$2="組合科學(物理、生物)",J$2="綜合科學"),J$3,0)</f>
        <v>0</v>
      </c>
      <c r="AD322" s="391">
        <f>IF(OR(K$2="物理",K$2="化學",K$2="生物",K$2="組合科學(物理、化學)",K$2="組合科學(生物、化學)",K$2="組合科學(物理、生物)",K$2="綜合科學"),K$3,0)</f>
        <v>0</v>
      </c>
      <c r="AE322" s="391">
        <f>IF(OR(L$2="物理",L$2="化學",L$2="生物",L$2="組合科學(物理、化學)",L$2="組合科學(生物、化學)",L$2="組合科學(物理、生物)",L$2="綜合科學"),L$3,0)</f>
        <v>0</v>
      </c>
      <c r="AF322" s="390"/>
      <c r="AG322" s="390"/>
      <c r="AH322" s="391" t="str">
        <f>IF(AI322&gt;0.1,INDEX(AB321:AE321,MATCH(LARGE(AB322:AE322,1),AB322:AE322,0)),"無")</f>
        <v>無</v>
      </c>
      <c r="AI322" s="391">
        <f>LARGE((AB322:AE322),1)</f>
        <v>0</v>
      </c>
      <c r="AJ322" s="384"/>
    </row>
    <row r="323" spans="1:36" x14ac:dyDescent="0.3">
      <c r="A323" s="344" t="str">
        <f>'Reference Score Calculation'!A314</f>
        <v>JS8381</v>
      </c>
      <c r="B323" s="344" t="str">
        <f>'Reference Score Calculation'!D314</f>
        <v>歷史教育榮譽學士</v>
      </c>
      <c r="C323" s="355">
        <f>INDEX('Offer Statistics'!$EL$74:$EL$97,MATCH(入學要求!A323,'Offer Statistics'!$DV$74:$DV$97,0))</f>
        <v>10</v>
      </c>
      <c r="D323" s="380">
        <v>3</v>
      </c>
      <c r="E323" s="380">
        <v>3</v>
      </c>
      <c r="F323" s="380">
        <v>2</v>
      </c>
      <c r="G323" s="380">
        <v>2</v>
      </c>
      <c r="H323" s="380">
        <v>2</v>
      </c>
      <c r="I323" s="109"/>
      <c r="K323" s="355">
        <f t="shared" si="145"/>
        <v>0</v>
      </c>
      <c r="L323" s="355">
        <f t="shared" si="146"/>
        <v>0</v>
      </c>
      <c r="M323" s="355">
        <f t="shared" si="147"/>
        <v>0</v>
      </c>
      <c r="N323" s="355">
        <f t="shared" si="148"/>
        <v>0</v>
      </c>
      <c r="O323" s="355">
        <f t="shared" si="150"/>
        <v>0</v>
      </c>
      <c r="R323" s="16">
        <f t="shared" si="144"/>
        <v>0</v>
      </c>
      <c r="S323" s="355"/>
      <c r="T323" s="355" t="s">
        <v>2237</v>
      </c>
      <c r="U323" s="355" t="s">
        <v>2803</v>
      </c>
      <c r="V323" s="355" t="s">
        <v>2237</v>
      </c>
      <c r="W323" s="355"/>
      <c r="X323" s="358" t="s">
        <v>3454</v>
      </c>
      <c r="Y323" s="358" t="s">
        <v>1970</v>
      </c>
      <c r="Z323" s="358" t="s">
        <v>1978</v>
      </c>
      <c r="AA323" s="390"/>
      <c r="AB323" s="417" t="s">
        <v>3342</v>
      </c>
      <c r="AC323" s="390"/>
      <c r="AD323" s="390"/>
      <c r="AE323" s="390"/>
      <c r="AF323" s="390"/>
      <c r="AG323" s="390"/>
      <c r="AH323" s="390"/>
      <c r="AI323" s="384"/>
      <c r="AJ323" s="384"/>
    </row>
    <row r="324" spans="1:36" x14ac:dyDescent="0.3">
      <c r="A324" s="344" t="str">
        <f>'Reference Score Calculation'!A315</f>
        <v>JS8404</v>
      </c>
      <c r="B324" s="344" t="str">
        <f>'Reference Score Calculation'!D315</f>
        <v>幼兒教育榮譽學士</v>
      </c>
      <c r="C324" s="355">
        <f>INDEX('Offer Statistics'!$EL$74:$EL$97,MATCH(入學要求!A324,'Offer Statistics'!$DV$74:$DV$97,0))</f>
        <v>49</v>
      </c>
      <c r="D324" s="380">
        <v>3</v>
      </c>
      <c r="E324" s="380">
        <v>3</v>
      </c>
      <c r="F324" s="380">
        <v>2</v>
      </c>
      <c r="G324" s="380">
        <v>2</v>
      </c>
      <c r="H324" s="380">
        <v>2</v>
      </c>
      <c r="I324" s="109"/>
      <c r="K324" s="355">
        <f t="shared" si="145"/>
        <v>0</v>
      </c>
      <c r="L324" s="355">
        <f t="shared" si="146"/>
        <v>0</v>
      </c>
      <c r="M324" s="355">
        <f t="shared" si="147"/>
        <v>0</v>
      </c>
      <c r="N324" s="355">
        <f t="shared" si="148"/>
        <v>0</v>
      </c>
      <c r="O324" s="355">
        <f t="shared" si="150"/>
        <v>0</v>
      </c>
      <c r="R324" s="16">
        <f t="shared" si="144"/>
        <v>0</v>
      </c>
      <c r="S324" s="355"/>
      <c r="T324" s="355" t="s">
        <v>2237</v>
      </c>
      <c r="U324" s="355" t="s">
        <v>2803</v>
      </c>
      <c r="V324" s="355" t="s">
        <v>2237</v>
      </c>
      <c r="W324" s="355"/>
      <c r="X324" s="358" t="s">
        <v>1970</v>
      </c>
      <c r="Y324" s="358" t="s">
        <v>1970</v>
      </c>
      <c r="Z324" s="358" t="s">
        <v>1978</v>
      </c>
      <c r="AA324" s="390"/>
      <c r="AB324" s="390"/>
      <c r="AC324" s="390"/>
      <c r="AD324" s="390"/>
      <c r="AE324" s="390"/>
      <c r="AF324" s="390"/>
      <c r="AG324" s="390"/>
      <c r="AH324" s="384"/>
      <c r="AI324" s="384"/>
      <c r="AJ324" s="384"/>
    </row>
    <row r="325" spans="1:36" x14ac:dyDescent="0.3">
      <c r="A325" s="344" t="str">
        <f>'Reference Score Calculation'!A316</f>
        <v>JS8428</v>
      </c>
      <c r="B325" s="344" t="str">
        <f>'Reference Score Calculation'!D316</f>
        <v>地理教育榮譽學士</v>
      </c>
      <c r="C325" s="355">
        <f>INDEX('Offer Statistics'!$EL$74:$EL$97,MATCH(入學要求!A325,'Offer Statistics'!$DV$74:$DV$97,0))</f>
        <v>10</v>
      </c>
      <c r="D325" s="380">
        <v>3</v>
      </c>
      <c r="E325" s="380">
        <v>3</v>
      </c>
      <c r="F325" s="380">
        <v>2</v>
      </c>
      <c r="G325" s="380">
        <v>2</v>
      </c>
      <c r="H325" s="380">
        <v>2</v>
      </c>
      <c r="I325" s="109"/>
      <c r="K325" s="355">
        <f t="shared" si="145"/>
        <v>0</v>
      </c>
      <c r="L325" s="355">
        <f t="shared" si="146"/>
        <v>0</v>
      </c>
      <c r="M325" s="355">
        <f t="shared" si="147"/>
        <v>0</v>
      </c>
      <c r="N325" s="355">
        <f t="shared" si="148"/>
        <v>0</v>
      </c>
      <c r="O325" s="355">
        <f t="shared" si="150"/>
        <v>0</v>
      </c>
      <c r="R325" s="16">
        <f t="shared" si="144"/>
        <v>0</v>
      </c>
      <c r="S325" s="355"/>
      <c r="T325" s="355" t="s">
        <v>2237</v>
      </c>
      <c r="U325" s="355" t="s">
        <v>2803</v>
      </c>
      <c r="V325" s="355" t="s">
        <v>2237</v>
      </c>
      <c r="W325" s="355"/>
      <c r="X325" s="358" t="s">
        <v>1970</v>
      </c>
      <c r="Y325" s="358" t="s">
        <v>1970</v>
      </c>
      <c r="Z325" s="358" t="s">
        <v>1978</v>
      </c>
      <c r="AA325" s="390"/>
      <c r="AB325" s="390" t="str">
        <f>I$2</f>
        <v>請選擇第一選修科</v>
      </c>
      <c r="AC325" s="390" t="str">
        <f>J$2</f>
        <v>請選擇第二選修科</v>
      </c>
      <c r="AD325" s="390" t="str">
        <f>K$2</f>
        <v>請選擇第三選修科</v>
      </c>
      <c r="AE325" s="390" t="str">
        <f>L$2</f>
        <v>請選擇第四選修科</v>
      </c>
      <c r="AF325" s="390"/>
      <c r="AG325" s="390"/>
      <c r="AH325" s="390" t="s">
        <v>3201</v>
      </c>
      <c r="AI325" s="390"/>
      <c r="AJ325" s="384"/>
    </row>
    <row r="326" spans="1:36" x14ac:dyDescent="0.3">
      <c r="A326" s="344" t="str">
        <f>'Reference Score Calculation'!A317</f>
        <v>JS8430</v>
      </c>
      <c r="B326" s="344" t="str">
        <f>'Reference Score Calculation'!D317</f>
        <v>科學教育榮譽學士</v>
      </c>
      <c r="C326" s="355">
        <f>INDEX('Offer Statistics'!$EL$74:$EL$97,MATCH(入學要求!A326,'Offer Statistics'!$DV$74:$DV$97,0))</f>
        <v>14</v>
      </c>
      <c r="D326" s="380">
        <v>3</v>
      </c>
      <c r="E326" s="380">
        <v>3</v>
      </c>
      <c r="F326" s="380">
        <v>2</v>
      </c>
      <c r="G326" s="380">
        <v>2</v>
      </c>
      <c r="H326" s="380">
        <v>2</v>
      </c>
      <c r="I326" s="109"/>
      <c r="K326" s="355">
        <f t="shared" si="145"/>
        <v>0</v>
      </c>
      <c r="L326" s="355">
        <f t="shared" si="146"/>
        <v>0</v>
      </c>
      <c r="M326" s="355">
        <f t="shared" si="147"/>
        <v>0</v>
      </c>
      <c r="N326" s="355">
        <f t="shared" si="148"/>
        <v>0</v>
      </c>
      <c r="O326" s="355">
        <f>IF(H326&gt;AI322,0,1)</f>
        <v>0</v>
      </c>
      <c r="R326" s="16">
        <f t="shared" si="144"/>
        <v>0</v>
      </c>
      <c r="S326" s="355"/>
      <c r="T326" s="355" t="s">
        <v>2237</v>
      </c>
      <c r="U326" s="355" t="s">
        <v>2803</v>
      </c>
      <c r="V326" s="355" t="s">
        <v>2237</v>
      </c>
      <c r="W326" s="355"/>
      <c r="X326" s="358" t="s">
        <v>3329</v>
      </c>
      <c r="Y326" s="358" t="s">
        <v>1970</v>
      </c>
      <c r="Z326" s="358" t="s">
        <v>1978</v>
      </c>
      <c r="AA326" s="390" t="s">
        <v>3465</v>
      </c>
      <c r="AB326" s="391">
        <f>IF(OR(I$2="物理",I$2="化學",I$2="生物",I$2="組合科學(物理、化學)",I$2="組合科學(生物、化學)",I$2="組合科學(物理、生物)",I$2="地理",I$2="綜合科學"),I$3,0)</f>
        <v>0</v>
      </c>
      <c r="AC326" s="391">
        <f>IF(OR(J$2="物理",J$2="化學",J$2="生物",J$2="組合科學(物理、化學)",J$2="組合科學(生物、化學)",J$2="組合科學(物理、生物)",J$2="地理",J$2="綜合科學"),J$3,0)</f>
        <v>0</v>
      </c>
      <c r="AD326" s="391">
        <f>IF(OR(K$2="物理",K$2="化學",K$2="生物",K$2="組合科學(物理、化學)",K$2="組合科學(生物、化學)",K$2="組合科學(物理、生物)",K$2="地理",K$2="綜合科學"),K$3,0)</f>
        <v>0</v>
      </c>
      <c r="AE326" s="391">
        <f>IF(OR(L$2="物理",L$2="化學",L$2="生物",L$2="組合科學(物理、化學)",L$2="組合科學(生物、化學)",L$2="組合科學(物理、生物)",L$2="地理",L$2="綜合科學"),L$3,0)</f>
        <v>0</v>
      </c>
      <c r="AF326" s="390"/>
      <c r="AG326" s="390"/>
      <c r="AH326" s="391" t="str">
        <f>IF(AI326&gt;0.1,INDEX(AB325:AE325,MATCH(LARGE(AB326:AE326,1),AB326:AE326,0)),"無")</f>
        <v>無</v>
      </c>
      <c r="AI326" s="391">
        <f>LARGE((AB326:AE326),1)</f>
        <v>0</v>
      </c>
      <c r="AJ326" s="384"/>
    </row>
    <row r="327" spans="1:36" x14ac:dyDescent="0.3">
      <c r="A327" s="344" t="str">
        <f>'Reference Score Calculation'!A318</f>
        <v>JS8507</v>
      </c>
      <c r="B327" s="344" t="str">
        <f>'Reference Score Calculation'!D318</f>
        <v>幼兒教育高級文憑</v>
      </c>
      <c r="C327" s="355">
        <f>INDEX('Offer Statistics'!$EL$74:$EL$97,MATCH(入學要求!A327,'Offer Statistics'!$DV$74:$DV$97,0))</f>
        <v>330</v>
      </c>
      <c r="D327" s="380">
        <v>2</v>
      </c>
      <c r="E327" s="380">
        <v>2</v>
      </c>
      <c r="F327" s="380">
        <v>2</v>
      </c>
      <c r="G327" s="380">
        <v>2</v>
      </c>
      <c r="H327" s="380">
        <v>2</v>
      </c>
      <c r="I327" s="109"/>
      <c r="K327" s="355">
        <f t="shared" si="145"/>
        <v>0</v>
      </c>
      <c r="L327" s="355">
        <f t="shared" si="146"/>
        <v>0</v>
      </c>
      <c r="M327" s="355">
        <f>IF(F327&gt;LARGE($F$3:$M$3,1),0,1)</f>
        <v>0</v>
      </c>
      <c r="N327" s="355">
        <f>IF(G327&gt;LARGE($F$3:$M$3,2),0,1)</f>
        <v>0</v>
      </c>
      <c r="O327" s="355">
        <f>IF(H327&gt;LARGE($F$3:$M$3,3),0,1)</f>
        <v>0</v>
      </c>
      <c r="R327" s="16">
        <f>K327*L327*M327*N327*O327</f>
        <v>0</v>
      </c>
      <c r="S327" s="355"/>
      <c r="T327" s="355" t="s">
        <v>2237</v>
      </c>
      <c r="U327" s="355" t="s">
        <v>2803</v>
      </c>
      <c r="V327" s="355" t="s">
        <v>2237</v>
      </c>
      <c r="W327" s="355"/>
      <c r="X327" s="358" t="s">
        <v>1970</v>
      </c>
      <c r="Y327" s="358" t="s">
        <v>1970</v>
      </c>
      <c r="Z327" s="358" t="s">
        <v>1978</v>
      </c>
      <c r="AA327" s="390"/>
      <c r="AB327" s="417" t="s">
        <v>3466</v>
      </c>
      <c r="AC327" s="390"/>
      <c r="AD327" s="390"/>
      <c r="AE327" s="390"/>
      <c r="AF327" s="390"/>
      <c r="AG327" s="390"/>
      <c r="AH327" s="390"/>
      <c r="AI327" s="384"/>
      <c r="AJ327" s="384"/>
    </row>
    <row r="328" spans="1:36" x14ac:dyDescent="0.3">
      <c r="A328" s="344" t="str">
        <f>'Reference Score Calculation'!A319</f>
        <v>JS8600</v>
      </c>
      <c r="B328" s="344" t="str">
        <f>'Reference Score Calculation'!D319</f>
        <v>語文研究榮譽文學士 (中文主修)</v>
      </c>
      <c r="C328" s="355">
        <f>INDEX('Offer Statistics'!$EL$74:$EL$97,MATCH(入學要求!A328,'Offer Statistics'!$DV$74:$DV$97,0))</f>
        <v>16</v>
      </c>
      <c r="D328" s="380">
        <v>3</v>
      </c>
      <c r="E328" s="380">
        <v>3</v>
      </c>
      <c r="F328" s="380">
        <v>2</v>
      </c>
      <c r="G328" s="380">
        <v>2</v>
      </c>
      <c r="H328" s="380">
        <v>2</v>
      </c>
      <c r="I328" s="109"/>
      <c r="K328" s="355">
        <f t="shared" si="145"/>
        <v>0</v>
      </c>
      <c r="L328" s="355">
        <f t="shared" si="146"/>
        <v>0</v>
      </c>
      <c r="M328" s="355">
        <f t="shared" si="147"/>
        <v>0</v>
      </c>
      <c r="N328" s="355">
        <f t="shared" si="148"/>
        <v>0</v>
      </c>
      <c r="O328" s="355">
        <f t="shared" ref="O328:O339" si="151">IF(H328&gt;LARGE($H$3:$M$3,1),0,1)</f>
        <v>0</v>
      </c>
      <c r="R328" s="16">
        <f t="shared" si="144"/>
        <v>0</v>
      </c>
      <c r="S328" s="355"/>
      <c r="T328" s="355" t="s">
        <v>2237</v>
      </c>
      <c r="U328" s="355" t="s">
        <v>2803</v>
      </c>
      <c r="V328" s="355" t="s">
        <v>2237</v>
      </c>
      <c r="W328" s="355"/>
      <c r="X328" s="358" t="s">
        <v>3458</v>
      </c>
      <c r="Y328" s="358" t="s">
        <v>3456</v>
      </c>
      <c r="Z328" s="358" t="s">
        <v>1978</v>
      </c>
      <c r="AA328" s="390"/>
      <c r="AB328" s="390"/>
      <c r="AC328" s="390"/>
      <c r="AD328" s="390"/>
      <c r="AE328" s="390"/>
      <c r="AF328" s="390"/>
      <c r="AG328" s="390"/>
      <c r="AH328" s="384"/>
      <c r="AI328" s="384"/>
      <c r="AJ328" s="384"/>
    </row>
    <row r="329" spans="1:36" x14ac:dyDescent="0.3">
      <c r="A329" s="344" t="str">
        <f>'Reference Score Calculation'!A320</f>
        <v>JS8612</v>
      </c>
      <c r="B329" s="344" t="str">
        <f>'Reference Score Calculation'!D320</f>
        <v>語文研究榮譽文學士 (英文主修)</v>
      </c>
      <c r="C329" s="355">
        <f>INDEX('Offer Statistics'!$EL$74:$EL$97,MATCH(入學要求!A329,'Offer Statistics'!$DV$74:$DV$97,0))</f>
        <v>16</v>
      </c>
      <c r="D329" s="380">
        <v>3</v>
      </c>
      <c r="E329" s="380">
        <v>3</v>
      </c>
      <c r="F329" s="380">
        <v>2</v>
      </c>
      <c r="G329" s="380">
        <v>2</v>
      </c>
      <c r="H329" s="380">
        <v>2</v>
      </c>
      <c r="I329" s="109"/>
      <c r="K329" s="355">
        <f t="shared" si="145"/>
        <v>0</v>
      </c>
      <c r="L329" s="355">
        <f t="shared" si="146"/>
        <v>0</v>
      </c>
      <c r="M329" s="355">
        <f t="shared" si="147"/>
        <v>0</v>
      </c>
      <c r="N329" s="355">
        <f t="shared" si="148"/>
        <v>0</v>
      </c>
      <c r="O329" s="355">
        <f t="shared" si="151"/>
        <v>0</v>
      </c>
      <c r="R329" s="16">
        <f t="shared" si="144"/>
        <v>0</v>
      </c>
      <c r="S329" s="355"/>
      <c r="T329" s="355" t="s">
        <v>2237</v>
      </c>
      <c r="U329" s="355" t="s">
        <v>2803</v>
      </c>
      <c r="V329" s="355" t="s">
        <v>2237</v>
      </c>
      <c r="W329" s="355"/>
      <c r="X329" s="358" t="s">
        <v>3461</v>
      </c>
      <c r="Y329" s="358" t="s">
        <v>1970</v>
      </c>
      <c r="Z329" s="358" t="s">
        <v>1978</v>
      </c>
      <c r="AA329" s="390"/>
      <c r="AB329" s="390" t="str">
        <f>I$2</f>
        <v>請選擇第一選修科</v>
      </c>
      <c r="AC329" s="390" t="str">
        <f>J$2</f>
        <v>請選擇第二選修科</v>
      </c>
      <c r="AD329" s="390" t="str">
        <f>K$2</f>
        <v>請選擇第三選修科</v>
      </c>
      <c r="AE329" s="390" t="str">
        <f>L$2</f>
        <v>請選擇第四選修科</v>
      </c>
      <c r="AF329" s="390" t="str">
        <f>H$2</f>
        <v>數學延伸</v>
      </c>
      <c r="AG329" s="390"/>
      <c r="AH329" s="390" t="s">
        <v>3201</v>
      </c>
      <c r="AI329" s="390"/>
      <c r="AJ329" s="384"/>
    </row>
    <row r="330" spans="1:36" x14ac:dyDescent="0.3">
      <c r="A330" s="344" t="str">
        <f>'Reference Score Calculation'!A321</f>
        <v>JS8636</v>
      </c>
      <c r="B330" s="344" t="str">
        <f>'Reference Score Calculation'!D321</f>
        <v>創意藝術與文化榮譽文學士 (音樂)</v>
      </c>
      <c r="C330" s="355">
        <f>INDEX('Offer Statistics'!$EL$74:$EL$97,MATCH(入學要求!A330,'Offer Statistics'!$DV$74:$DV$97,0))</f>
        <v>12</v>
      </c>
      <c r="D330" s="380">
        <v>3</v>
      </c>
      <c r="E330" s="380">
        <v>3</v>
      </c>
      <c r="F330" s="380">
        <v>2</v>
      </c>
      <c r="G330" s="380">
        <v>2</v>
      </c>
      <c r="H330" s="380">
        <v>2</v>
      </c>
      <c r="I330" s="109"/>
      <c r="K330" s="355">
        <f t="shared" si="145"/>
        <v>0</v>
      </c>
      <c r="L330" s="355">
        <f t="shared" si="146"/>
        <v>0</v>
      </c>
      <c r="M330" s="355">
        <f t="shared" si="147"/>
        <v>0</v>
      </c>
      <c r="N330" s="355">
        <f t="shared" si="148"/>
        <v>0</v>
      </c>
      <c r="O330" s="355">
        <f t="shared" si="151"/>
        <v>0</v>
      </c>
      <c r="R330" s="16">
        <f t="shared" si="144"/>
        <v>0</v>
      </c>
      <c r="S330" s="355"/>
      <c r="T330" s="355" t="s">
        <v>2237</v>
      </c>
      <c r="U330" s="355" t="s">
        <v>2803</v>
      </c>
      <c r="V330" s="355" t="s">
        <v>2237</v>
      </c>
      <c r="W330" s="355"/>
      <c r="X330" s="358" t="s">
        <v>3462</v>
      </c>
      <c r="Y330" s="358" t="s">
        <v>3463</v>
      </c>
      <c r="Z330" s="358" t="s">
        <v>1978</v>
      </c>
      <c r="AA330" s="390" t="s">
        <v>3468</v>
      </c>
      <c r="AB330" s="391">
        <f>IF(OR(I$2="物理",I$2="化學",I$2="生物",I$2="組合科學(物理、化學)",I$2="組合科學(生物、化學)",I$2="組合科學(物理、生物)",I$2="資訊及通訊科技",I$2="綜合科學"),I$3,0)</f>
        <v>0</v>
      </c>
      <c r="AC330" s="391">
        <f>IF(OR(J$2="物理",J$2="化學",J$2="生物",J$2="組合科學(物理、化學)",J$2="組合科學(生物、化學)",J$2="組合科學(物理、生物)",J$2="資訊及通訊科技",J$2="綜合科學"),J$3,0)</f>
        <v>0</v>
      </c>
      <c r="AD330" s="391">
        <f>IF(OR(K$2="物理",K$2="化學",K$2="生物",K$2="組合科學(物理、化學)",K$2="組合科學(生物、化學)",K$2="組合科學(物理、生物)",K$2="資訊及通訊科技",K$2="綜合科學"),K$3,0)</f>
        <v>0</v>
      </c>
      <c r="AE330" s="391">
        <f>IF(OR(L$2="物理",L$2="化學",L$2="生物",L$2="組合科學(物理、化學)",L$2="組合科學(生物、化學)",L$2="組合科學(物理、生物)",L$2="資訊及通訊科技",L$2="綜合科學"),L$3,0)</f>
        <v>0</v>
      </c>
      <c r="AF330" s="391">
        <f>H$3</f>
        <v>5.0000000000000003E-10</v>
      </c>
      <c r="AG330" s="390"/>
      <c r="AH330" s="391" t="str">
        <f>IF(AI330&gt;0.1,INDEX(AB329:AF329,MATCH(LARGE(AB330:AF330,1),AB330:AF330,0)),"無")</f>
        <v>無</v>
      </c>
      <c r="AI330" s="391">
        <f>LARGE((AB330:AF330),1)</f>
        <v>5.0000000000000003E-10</v>
      </c>
      <c r="AJ330" s="384"/>
    </row>
    <row r="331" spans="1:36" x14ac:dyDescent="0.3">
      <c r="A331" s="344" t="str">
        <f>'Reference Score Calculation'!A322</f>
        <v>JS8648</v>
      </c>
      <c r="B331" s="344" t="str">
        <f>'Reference Score Calculation'!D322</f>
        <v>創意藝術與文化榮譽文學士 (視覺藝術)</v>
      </c>
      <c r="C331" s="355">
        <f>INDEX('Offer Statistics'!$EL$74:$EL$97,MATCH(入學要求!A331,'Offer Statistics'!$DV$74:$DV$97,0))</f>
        <v>12</v>
      </c>
      <c r="D331" s="380">
        <v>3</v>
      </c>
      <c r="E331" s="380">
        <v>3</v>
      </c>
      <c r="F331" s="380">
        <v>2</v>
      </c>
      <c r="G331" s="380">
        <v>2</v>
      </c>
      <c r="H331" s="380">
        <v>2</v>
      </c>
      <c r="I331" s="109"/>
      <c r="K331" s="355">
        <f t="shared" si="145"/>
        <v>0</v>
      </c>
      <c r="L331" s="355">
        <f t="shared" si="146"/>
        <v>0</v>
      </c>
      <c r="M331" s="355">
        <f t="shared" si="147"/>
        <v>0</v>
      </c>
      <c r="N331" s="355">
        <f t="shared" si="148"/>
        <v>0</v>
      </c>
      <c r="O331" s="355">
        <f t="shared" si="151"/>
        <v>0</v>
      </c>
      <c r="R331" s="16">
        <f t="shared" si="144"/>
        <v>0</v>
      </c>
      <c r="S331" s="355"/>
      <c r="T331" s="355" t="s">
        <v>2237</v>
      </c>
      <c r="U331" s="355" t="s">
        <v>2803</v>
      </c>
      <c r="V331" s="355" t="s">
        <v>2237</v>
      </c>
      <c r="W331" s="355"/>
      <c r="X331" s="358" t="s">
        <v>3464</v>
      </c>
      <c r="Y331" s="358" t="s">
        <v>3474</v>
      </c>
      <c r="Z331" s="358" t="s">
        <v>1978</v>
      </c>
      <c r="AA331" s="390"/>
      <c r="AB331" s="417" t="s">
        <v>3469</v>
      </c>
      <c r="AC331" s="390"/>
      <c r="AD331" s="390"/>
      <c r="AE331" s="390"/>
      <c r="AF331" s="390"/>
      <c r="AG331" s="390"/>
      <c r="AH331" s="390"/>
      <c r="AI331" s="384"/>
      <c r="AJ331" s="384"/>
    </row>
    <row r="332" spans="1:36" x14ac:dyDescent="0.3">
      <c r="A332" s="344" t="str">
        <f>'Reference Score Calculation'!A323</f>
        <v>JS8651</v>
      </c>
      <c r="B332" s="344" t="str">
        <f>'Reference Score Calculation'!D323</f>
        <v>心理學榮譽社會科學學士</v>
      </c>
      <c r="C332" s="355">
        <f>INDEX('Offer Statistics'!$EL$74:$EL$97,MATCH(入學要求!A332,'Offer Statistics'!$DV$74:$DV$97,0))</f>
        <v>20</v>
      </c>
      <c r="D332" s="380">
        <v>3</v>
      </c>
      <c r="E332" s="380">
        <v>3</v>
      </c>
      <c r="F332" s="380">
        <v>2</v>
      </c>
      <c r="G332" s="380">
        <v>2</v>
      </c>
      <c r="H332" s="380">
        <v>2</v>
      </c>
      <c r="I332" s="109"/>
      <c r="K332" s="355">
        <f t="shared" si="145"/>
        <v>0</v>
      </c>
      <c r="L332" s="355">
        <f t="shared" si="146"/>
        <v>0</v>
      </c>
      <c r="M332" s="355">
        <f t="shared" si="147"/>
        <v>0</v>
      </c>
      <c r="N332" s="355">
        <f t="shared" si="148"/>
        <v>0</v>
      </c>
      <c r="O332" s="355">
        <f t="shared" si="151"/>
        <v>0</v>
      </c>
      <c r="R332" s="16">
        <f t="shared" si="144"/>
        <v>0</v>
      </c>
      <c r="S332" s="355"/>
      <c r="T332" s="355" t="s">
        <v>2237</v>
      </c>
      <c r="U332" s="355" t="s">
        <v>2803</v>
      </c>
      <c r="V332" s="355" t="s">
        <v>2237</v>
      </c>
      <c r="W332" s="355"/>
      <c r="X332" s="358" t="s">
        <v>1970</v>
      </c>
      <c r="Y332" s="358" t="s">
        <v>1970</v>
      </c>
      <c r="Z332" s="358" t="s">
        <v>1978</v>
      </c>
      <c r="AA332" s="390"/>
      <c r="AB332" s="390"/>
      <c r="AC332" s="390"/>
      <c r="AD332" s="390"/>
      <c r="AE332" s="390"/>
      <c r="AF332" s="390"/>
      <c r="AG332" s="390"/>
      <c r="AH332" s="384"/>
      <c r="AI332" s="384"/>
      <c r="AJ332" s="384"/>
    </row>
    <row r="333" spans="1:36" x14ac:dyDescent="0.3">
      <c r="A333" s="344" t="str">
        <f>'Reference Score Calculation'!A324</f>
        <v>JS8663</v>
      </c>
      <c r="B333" s="344" t="str">
        <f>'Reference Score Calculation'!D324</f>
        <v>特殊教育榮譽文學士</v>
      </c>
      <c r="C333" s="355">
        <f>INDEX('Offer Statistics'!$EL$74:$EL$97,MATCH(入學要求!A333,'Offer Statistics'!$DV$74:$DV$97,0))</f>
        <v>20</v>
      </c>
      <c r="D333" s="380">
        <v>3</v>
      </c>
      <c r="E333" s="380">
        <v>3</v>
      </c>
      <c r="F333" s="380">
        <v>2</v>
      </c>
      <c r="G333" s="380">
        <v>2</v>
      </c>
      <c r="H333" s="380">
        <v>2</v>
      </c>
      <c r="I333" s="109"/>
      <c r="K333" s="355">
        <f t="shared" si="145"/>
        <v>0</v>
      </c>
      <c r="L333" s="355">
        <f t="shared" si="146"/>
        <v>0</v>
      </c>
      <c r="M333" s="355">
        <f t="shared" si="147"/>
        <v>0</v>
      </c>
      <c r="N333" s="355">
        <f t="shared" si="148"/>
        <v>0</v>
      </c>
      <c r="O333" s="355">
        <f t="shared" si="151"/>
        <v>0</v>
      </c>
      <c r="R333" s="16">
        <f t="shared" si="144"/>
        <v>0</v>
      </c>
      <c r="S333" s="355"/>
      <c r="T333" s="355" t="s">
        <v>2237</v>
      </c>
      <c r="U333" s="355" t="s">
        <v>2803</v>
      </c>
      <c r="V333" s="355" t="s">
        <v>2237</v>
      </c>
      <c r="W333" s="355"/>
      <c r="X333" s="358" t="s">
        <v>1970</v>
      </c>
      <c r="Y333" s="358" t="s">
        <v>1970</v>
      </c>
      <c r="Z333" s="358" t="s">
        <v>1978</v>
      </c>
      <c r="AA333" s="355"/>
      <c r="AB333" s="355"/>
      <c r="AC333" s="355"/>
      <c r="AD333" s="355"/>
      <c r="AE333" s="355"/>
    </row>
    <row r="334" spans="1:36" x14ac:dyDescent="0.3">
      <c r="A334" s="344" t="str">
        <f>'Reference Score Calculation'!A325</f>
        <v>JS8702</v>
      </c>
      <c r="B334" s="344" t="str">
        <f>'Reference Score Calculation'!D325</f>
        <v>綜合環境管理榮譽理學士</v>
      </c>
      <c r="C334" s="355">
        <f>INDEX('Offer Statistics'!$EL$74:$EL$97,MATCH(入學要求!A334,'Offer Statistics'!$DV$74:$DV$97,0))</f>
        <v>23</v>
      </c>
      <c r="D334" s="380">
        <v>3</v>
      </c>
      <c r="E334" s="380">
        <v>3</v>
      </c>
      <c r="F334" s="380">
        <v>2</v>
      </c>
      <c r="G334" s="380">
        <v>2</v>
      </c>
      <c r="H334" s="380">
        <v>2</v>
      </c>
      <c r="I334" s="109"/>
      <c r="K334" s="355">
        <f t="shared" si="145"/>
        <v>0</v>
      </c>
      <c r="L334" s="355">
        <f t="shared" si="146"/>
        <v>0</v>
      </c>
      <c r="M334" s="355">
        <f t="shared" si="147"/>
        <v>0</v>
      </c>
      <c r="N334" s="355">
        <f t="shared" si="148"/>
        <v>0</v>
      </c>
      <c r="O334" s="355">
        <f>IF(H334&gt;AI326,0,1)</f>
        <v>0</v>
      </c>
      <c r="R334" s="16">
        <f t="shared" si="144"/>
        <v>0</v>
      </c>
      <c r="S334" s="355"/>
      <c r="T334" s="355" t="s">
        <v>2237</v>
      </c>
      <c r="U334" s="355" t="s">
        <v>2803</v>
      </c>
      <c r="V334" s="355" t="s">
        <v>2237</v>
      </c>
      <c r="W334" s="355"/>
      <c r="X334" s="358" t="s">
        <v>3467</v>
      </c>
      <c r="Y334" s="358" t="s">
        <v>1970</v>
      </c>
      <c r="Z334" s="358" t="s">
        <v>1978</v>
      </c>
      <c r="AA334" s="355"/>
      <c r="AB334" s="355"/>
      <c r="AC334" s="355"/>
      <c r="AD334" s="355"/>
      <c r="AE334" s="355"/>
    </row>
    <row r="335" spans="1:36" x14ac:dyDescent="0.3">
      <c r="A335" s="344" t="str">
        <f>'Reference Score Calculation'!A326</f>
        <v>JS8714</v>
      </c>
      <c r="B335" s="344" t="str">
        <f>'Reference Score Calculation'!D326</f>
        <v>人工智能與教育科技榮譽理學士</v>
      </c>
      <c r="C335" s="355">
        <f>INDEX('Offer Statistics'!$EL$74:$EL$97,MATCH(入學要求!A335,'Offer Statistics'!$DV$74:$DV$97,0))</f>
        <v>20</v>
      </c>
      <c r="D335" s="380">
        <v>3</v>
      </c>
      <c r="E335" s="380">
        <v>3</v>
      </c>
      <c r="F335" s="380">
        <v>3</v>
      </c>
      <c r="G335" s="380">
        <v>2</v>
      </c>
      <c r="H335" s="380">
        <v>2</v>
      </c>
      <c r="I335" s="109"/>
      <c r="K335" s="355">
        <f t="shared" si="145"/>
        <v>0</v>
      </c>
      <c r="L335" s="355">
        <f t="shared" si="146"/>
        <v>0</v>
      </c>
      <c r="M335" s="355">
        <f t="shared" si="147"/>
        <v>0</v>
      </c>
      <c r="N335" s="355">
        <f t="shared" si="148"/>
        <v>0</v>
      </c>
      <c r="O335" s="355">
        <f>IF(H335&gt;AI330,0,1)</f>
        <v>0</v>
      </c>
      <c r="R335" s="16">
        <f t="shared" si="144"/>
        <v>0</v>
      </c>
      <c r="S335" s="355"/>
      <c r="T335" s="355" t="s">
        <v>2237</v>
      </c>
      <c r="U335" s="355" t="s">
        <v>2803</v>
      </c>
      <c r="V335" s="355" t="s">
        <v>2237</v>
      </c>
      <c r="W335" s="355"/>
      <c r="X335" s="358" t="s">
        <v>3470</v>
      </c>
      <c r="Y335" s="358" t="s">
        <v>1970</v>
      </c>
      <c r="Z335" s="358" t="s">
        <v>1978</v>
      </c>
      <c r="AA335" s="355"/>
      <c r="AB335" s="355"/>
      <c r="AC335" s="355"/>
      <c r="AD335" s="355"/>
      <c r="AE335" s="355"/>
    </row>
    <row r="336" spans="1:36" x14ac:dyDescent="0.3">
      <c r="A336" s="344" t="str">
        <f>'Reference Score Calculation'!A327</f>
        <v>JS8726</v>
      </c>
      <c r="B336" s="344" t="str">
        <f>'Reference Score Calculation'!D327</f>
        <v>運動科學及教練榮譽理學士</v>
      </c>
      <c r="C336" s="355">
        <f>INDEX('Offer Statistics'!$EL$74:$EL$97,MATCH(入學要求!A336,'Offer Statistics'!$DV$74:$DV$97,0))</f>
        <v>20</v>
      </c>
      <c r="D336" s="380">
        <v>3</v>
      </c>
      <c r="E336" s="380">
        <v>3</v>
      </c>
      <c r="F336" s="380">
        <v>2</v>
      </c>
      <c r="G336" s="380">
        <v>2</v>
      </c>
      <c r="H336" s="380">
        <v>2</v>
      </c>
      <c r="I336" s="109"/>
      <c r="K336" s="355">
        <f t="shared" si="145"/>
        <v>0</v>
      </c>
      <c r="L336" s="355">
        <f t="shared" si="146"/>
        <v>0</v>
      </c>
      <c r="M336" s="355">
        <f t="shared" si="147"/>
        <v>0</v>
      </c>
      <c r="N336" s="355">
        <f t="shared" si="148"/>
        <v>0</v>
      </c>
      <c r="O336" s="355">
        <f t="shared" si="151"/>
        <v>0</v>
      </c>
      <c r="R336" s="16">
        <f t="shared" si="144"/>
        <v>0</v>
      </c>
      <c r="S336" s="355"/>
      <c r="T336" s="355" t="s">
        <v>2237</v>
      </c>
      <c r="U336" s="355" t="s">
        <v>2803</v>
      </c>
      <c r="V336" s="355" t="s">
        <v>2237</v>
      </c>
      <c r="W336" s="355"/>
      <c r="X336" s="358" t="s">
        <v>3471</v>
      </c>
      <c r="Y336" s="358" t="s">
        <v>1970</v>
      </c>
      <c r="Z336" s="358" t="s">
        <v>1978</v>
      </c>
      <c r="AA336" s="355"/>
      <c r="AB336" s="355"/>
      <c r="AC336" s="355"/>
      <c r="AD336" s="355"/>
      <c r="AE336" s="355"/>
    </row>
    <row r="337" spans="1:40" x14ac:dyDescent="0.3">
      <c r="A337" s="344" t="str">
        <f>'Reference Score Calculation'!A328</f>
        <v>JS8801</v>
      </c>
      <c r="B337" s="344" t="str">
        <f>'Reference Score Calculation'!D328</f>
        <v>創意藝術與文化榮譽文學士及音樂教育榮譽學士 (同期結業雙學位課程)</v>
      </c>
      <c r="C337" s="355">
        <f>INDEX('Offer Statistics'!$EL$74:$EL$97,MATCH(入學要求!A337,'Offer Statistics'!$DV$74:$DV$97,0))</f>
        <v>38</v>
      </c>
      <c r="D337" s="380">
        <v>3</v>
      </c>
      <c r="E337" s="380">
        <v>3</v>
      </c>
      <c r="F337" s="380">
        <v>2</v>
      </c>
      <c r="G337" s="380">
        <v>2</v>
      </c>
      <c r="H337" s="380">
        <v>2</v>
      </c>
      <c r="I337" s="109"/>
      <c r="K337" s="355">
        <f t="shared" si="145"/>
        <v>0</v>
      </c>
      <c r="L337" s="355">
        <f t="shared" si="146"/>
        <v>0</v>
      </c>
      <c r="M337" s="355">
        <f t="shared" si="147"/>
        <v>0</v>
      </c>
      <c r="N337" s="355">
        <f t="shared" si="148"/>
        <v>0</v>
      </c>
      <c r="O337" s="355">
        <f t="shared" si="151"/>
        <v>0</v>
      </c>
      <c r="R337" s="16">
        <f t="shared" si="144"/>
        <v>0</v>
      </c>
      <c r="S337" s="355"/>
      <c r="T337" s="355" t="s">
        <v>2237</v>
      </c>
      <c r="U337" s="355" t="s">
        <v>2803</v>
      </c>
      <c r="V337" s="355" t="s">
        <v>2237</v>
      </c>
      <c r="W337" s="355"/>
      <c r="X337" s="358" t="s">
        <v>3462</v>
      </c>
      <c r="Y337" s="358" t="s">
        <v>3463</v>
      </c>
      <c r="Z337" s="358" t="s">
        <v>1978</v>
      </c>
      <c r="AA337" s="355"/>
      <c r="AB337" s="355"/>
      <c r="AC337" s="355"/>
      <c r="AD337" s="355"/>
      <c r="AE337" s="355"/>
    </row>
    <row r="338" spans="1:40" x14ac:dyDescent="0.3">
      <c r="A338" s="344" t="str">
        <f>'Reference Score Calculation'!A329</f>
        <v>JS8813</v>
      </c>
      <c r="B338" s="344" t="str">
        <f>'Reference Score Calculation'!D329</f>
        <v>創意藝術與文化榮譽文學士及視覺藝術教育榮譽學士 (同期結業雙學位課程)</v>
      </c>
      <c r="C338" s="355">
        <f>INDEX('Offer Statistics'!$EL$74:$EL$97,MATCH(入學要求!A338,'Offer Statistics'!$DV$74:$DV$97,0))</f>
        <v>38</v>
      </c>
      <c r="D338" s="380">
        <v>3</v>
      </c>
      <c r="E338" s="380">
        <v>3</v>
      </c>
      <c r="F338" s="380">
        <v>2</v>
      </c>
      <c r="G338" s="380">
        <v>2</v>
      </c>
      <c r="H338" s="380">
        <v>2</v>
      </c>
      <c r="I338" s="109"/>
      <c r="K338" s="355">
        <f t="shared" si="145"/>
        <v>0</v>
      </c>
      <c r="L338" s="355">
        <f t="shared" si="146"/>
        <v>0</v>
      </c>
      <c r="M338" s="355">
        <f t="shared" si="147"/>
        <v>0</v>
      </c>
      <c r="N338" s="355">
        <f t="shared" si="148"/>
        <v>0</v>
      </c>
      <c r="O338" s="355">
        <f t="shared" si="151"/>
        <v>0</v>
      </c>
      <c r="R338" s="355">
        <f t="shared" si="144"/>
        <v>0</v>
      </c>
      <c r="S338" s="355"/>
      <c r="T338" s="355" t="s">
        <v>2237</v>
      </c>
      <c r="U338" s="355" t="s">
        <v>2803</v>
      </c>
      <c r="V338" s="355" t="s">
        <v>2237</v>
      </c>
      <c r="W338" s="355"/>
      <c r="X338" s="358" t="s">
        <v>3464</v>
      </c>
      <c r="Y338" s="358" t="s">
        <v>3474</v>
      </c>
      <c r="Z338" s="358" t="s">
        <v>1978</v>
      </c>
      <c r="AA338" s="355"/>
      <c r="AB338" s="355"/>
      <c r="AC338" s="355"/>
      <c r="AD338" s="355"/>
      <c r="AE338" s="355"/>
    </row>
    <row r="339" spans="1:40" s="344" customFormat="1" x14ac:dyDescent="0.3">
      <c r="A339" s="344" t="str">
        <f>'Reference Score Calculation'!A330</f>
        <v>JS8825</v>
      </c>
      <c r="B339" s="344" t="str">
        <f>'Reference Score Calculation'!D330</f>
        <v>語文研究榮譽文學士及英文教育榮譽學士 (同期結業雙學位課程)</v>
      </c>
      <c r="C339" s="355">
        <f>INDEX('Offer Statistics'!$EL$74:$EL$97,MATCH(入學要求!A339,'Offer Statistics'!$DV$74:$DV$97,0))</f>
        <v>20</v>
      </c>
      <c r="D339" s="380">
        <v>3</v>
      </c>
      <c r="E339" s="380">
        <v>3</v>
      </c>
      <c r="F339" s="380">
        <v>2</v>
      </c>
      <c r="G339" s="380">
        <v>2</v>
      </c>
      <c r="H339" s="380">
        <v>2</v>
      </c>
      <c r="I339" s="380"/>
      <c r="K339" s="355">
        <f t="shared" si="145"/>
        <v>0</v>
      </c>
      <c r="L339" s="355">
        <f t="shared" si="146"/>
        <v>0</v>
      </c>
      <c r="M339" s="355">
        <f t="shared" si="147"/>
        <v>0</v>
      </c>
      <c r="N339" s="355">
        <f t="shared" si="148"/>
        <v>0</v>
      </c>
      <c r="O339" s="355">
        <f t="shared" si="151"/>
        <v>0</v>
      </c>
      <c r="R339" s="355">
        <f t="shared" si="144"/>
        <v>0</v>
      </c>
      <c r="S339" s="355"/>
      <c r="T339" s="355" t="s">
        <v>2237</v>
      </c>
      <c r="U339" s="355" t="s">
        <v>2803</v>
      </c>
      <c r="V339" s="355" t="s">
        <v>2237</v>
      </c>
      <c r="W339" s="355"/>
      <c r="X339" s="358" t="s">
        <v>1970</v>
      </c>
      <c r="Y339" s="358" t="s">
        <v>1970</v>
      </c>
      <c r="Z339" s="358" t="s">
        <v>1978</v>
      </c>
      <c r="AA339" s="355"/>
      <c r="AB339" s="355"/>
      <c r="AC339" s="355"/>
      <c r="AD339" s="355"/>
      <c r="AE339" s="355"/>
      <c r="AF339" s="355"/>
      <c r="AG339" s="355"/>
      <c r="AH339" s="355"/>
      <c r="AI339" s="355"/>
      <c r="AJ339" s="355"/>
      <c r="AK339" s="355"/>
      <c r="AL339" s="355"/>
      <c r="AM339" s="355"/>
      <c r="AN339" s="355"/>
    </row>
    <row r="340" spans="1:40" x14ac:dyDescent="0.3">
      <c r="A340" s="11" t="s">
        <v>3524</v>
      </c>
      <c r="D340" s="109"/>
      <c r="E340" s="109"/>
      <c r="F340" s="109"/>
      <c r="G340" s="109"/>
      <c r="H340" s="109"/>
      <c r="I340" s="109"/>
      <c r="S340" s="355"/>
      <c r="T340" s="355"/>
      <c r="U340" s="355"/>
      <c r="V340" s="355"/>
      <c r="W340" s="355"/>
      <c r="X340" s="358"/>
      <c r="Y340" s="358"/>
      <c r="Z340" s="358" t="s">
        <v>1978</v>
      </c>
      <c r="AA340" s="355"/>
      <c r="AB340" s="355"/>
      <c r="AC340" s="355"/>
      <c r="AD340" s="355"/>
      <c r="AE340" s="355"/>
    </row>
    <row r="341" spans="1:40" x14ac:dyDescent="0.3">
      <c r="A341" s="11" t="s">
        <v>1942</v>
      </c>
      <c r="B341" s="11" t="s">
        <v>1944</v>
      </c>
      <c r="C341" s="356" t="s">
        <v>1950</v>
      </c>
      <c r="D341" s="111" t="s">
        <v>1953</v>
      </c>
      <c r="E341" s="111" t="s">
        <v>1954</v>
      </c>
      <c r="F341" s="111" t="s">
        <v>1955</v>
      </c>
      <c r="G341" s="111" t="s">
        <v>1956</v>
      </c>
      <c r="H341" s="111" t="s">
        <v>1957</v>
      </c>
      <c r="I341" s="111"/>
      <c r="J341" s="16"/>
      <c r="K341" s="19" t="s">
        <v>1953</v>
      </c>
      <c r="L341" s="19" t="s">
        <v>1954</v>
      </c>
      <c r="M341" s="19" t="s">
        <v>1955</v>
      </c>
      <c r="N341" s="19" t="s">
        <v>1956</v>
      </c>
      <c r="O341" s="19" t="s">
        <v>1957</v>
      </c>
      <c r="S341" s="355"/>
      <c r="T341" s="355" t="s">
        <v>2233</v>
      </c>
      <c r="U341" s="355" t="s">
        <v>2234</v>
      </c>
      <c r="V341" s="355" t="s">
        <v>2235</v>
      </c>
      <c r="W341" s="355"/>
      <c r="X341" s="358"/>
      <c r="Y341" s="358"/>
      <c r="Z341" s="358" t="s">
        <v>1978</v>
      </c>
      <c r="AA341" s="355"/>
      <c r="AB341" s="355"/>
      <c r="AC341" s="355"/>
      <c r="AD341" s="355"/>
      <c r="AE341" s="355"/>
      <c r="AF341" s="19" t="s">
        <v>1978</v>
      </c>
    </row>
    <row r="342" spans="1:40" x14ac:dyDescent="0.3">
      <c r="A342" s="2" t="str">
        <f>'Reference Score Calculation'!A333</f>
        <v>JS9001</v>
      </c>
      <c r="B342" s="2" t="str">
        <f>'Reference Score Calculation'!D333</f>
        <v>心理學榮譽社會科學學士</v>
      </c>
      <c r="C342" s="355">
        <v>85</v>
      </c>
      <c r="D342" s="109">
        <v>3</v>
      </c>
      <c r="E342" s="109">
        <v>3</v>
      </c>
      <c r="F342" s="109">
        <v>2</v>
      </c>
      <c r="G342" s="109">
        <v>2</v>
      </c>
      <c r="H342" s="109">
        <v>2</v>
      </c>
      <c r="I342" s="109"/>
      <c r="K342" s="355">
        <f>IF(D342&gt;D$3,0,1)</f>
        <v>0</v>
      </c>
      <c r="L342" s="355">
        <f t="shared" ref="L342:N342" si="152">IF(E342&gt;E$3,0,1)</f>
        <v>0</v>
      </c>
      <c r="M342" s="355">
        <f t="shared" si="152"/>
        <v>0</v>
      </c>
      <c r="N342" s="355">
        <f t="shared" si="152"/>
        <v>0</v>
      </c>
      <c r="O342" s="355">
        <f>IF(H342&gt;LARGE($H$3:$M$3,1),0,1)</f>
        <v>0</v>
      </c>
      <c r="R342" s="16">
        <f>K342*L342*M342*N342*O342</f>
        <v>0</v>
      </c>
      <c r="S342" s="355"/>
      <c r="T342" s="355" t="s">
        <v>2237</v>
      </c>
      <c r="U342" s="355" t="s">
        <v>2238</v>
      </c>
      <c r="V342" s="355" t="s">
        <v>2237</v>
      </c>
      <c r="W342" s="355"/>
      <c r="X342" s="358"/>
      <c r="Y342" s="358"/>
      <c r="Z342" s="358" t="s">
        <v>1978</v>
      </c>
      <c r="AA342" s="355"/>
      <c r="AB342" s="355"/>
      <c r="AC342" s="355"/>
      <c r="AD342" s="355"/>
      <c r="AE342" s="355"/>
    </row>
    <row r="343" spans="1:40" x14ac:dyDescent="0.3">
      <c r="A343" s="344" t="str">
        <f>'Reference Score Calculation'!A334</f>
        <v>JS9003</v>
      </c>
      <c r="B343" s="344" t="str">
        <f>'Reference Score Calculation'!D334</f>
        <v>政治及公共行政榮譽社會科學學士</v>
      </c>
      <c r="C343" s="355">
        <v>25</v>
      </c>
      <c r="D343" s="109">
        <v>3</v>
      </c>
      <c r="E343" s="109">
        <v>3</v>
      </c>
      <c r="F343" s="109">
        <v>2</v>
      </c>
      <c r="G343" s="109">
        <v>2</v>
      </c>
      <c r="H343" s="109">
        <v>2</v>
      </c>
      <c r="I343" s="109"/>
      <c r="K343" s="355">
        <f t="shared" ref="K343:K377" si="153">IF(D343&gt;D$3,0,1)</f>
        <v>0</v>
      </c>
      <c r="L343" s="355">
        <f t="shared" ref="L343:L377" si="154">IF(E343&gt;E$3,0,1)</f>
        <v>0</v>
      </c>
      <c r="M343" s="355">
        <f t="shared" ref="M343:M377" si="155">IF(F343&gt;F$3,0,1)</f>
        <v>0</v>
      </c>
      <c r="N343" s="355">
        <f t="shared" ref="N343:N377" si="156">IF(G343&gt;G$3,0,1)</f>
        <v>0</v>
      </c>
      <c r="O343" s="355">
        <f t="shared" ref="O343:O377" si="157">IF(H343&gt;LARGE($H$3:$M$3,1),0,1)</f>
        <v>0</v>
      </c>
      <c r="R343" s="16">
        <f t="shared" ref="R343:R377" si="158">K343*L343*M343*N343*O343</f>
        <v>0</v>
      </c>
      <c r="S343" s="355"/>
      <c r="T343" s="355" t="s">
        <v>2237</v>
      </c>
      <c r="U343" s="355" t="s">
        <v>2238</v>
      </c>
      <c r="V343" s="355" t="s">
        <v>2237</v>
      </c>
      <c r="W343" s="355"/>
      <c r="X343" s="358"/>
      <c r="Y343" s="358"/>
      <c r="Z343" s="358" t="s">
        <v>1978</v>
      </c>
      <c r="AA343" s="355"/>
      <c r="AB343" s="355"/>
      <c r="AC343" s="355"/>
      <c r="AD343" s="355"/>
      <c r="AE343" s="355"/>
    </row>
    <row r="344" spans="1:40" x14ac:dyDescent="0.3">
      <c r="A344" s="344" t="str">
        <f>'Reference Score Calculation'!A335</f>
        <v>JS9004</v>
      </c>
      <c r="B344" s="344" t="str">
        <f>'Reference Score Calculation'!D335</f>
        <v>應用社會研究榮譽社會科學學士</v>
      </c>
      <c r="C344" s="355">
        <v>30</v>
      </c>
      <c r="D344" s="109">
        <v>3</v>
      </c>
      <c r="E344" s="109">
        <v>3</v>
      </c>
      <c r="F344" s="109">
        <v>2</v>
      </c>
      <c r="G344" s="109">
        <v>2</v>
      </c>
      <c r="H344" s="109">
        <v>2</v>
      </c>
      <c r="I344" s="109"/>
      <c r="K344" s="355">
        <f t="shared" si="153"/>
        <v>0</v>
      </c>
      <c r="L344" s="355">
        <f t="shared" si="154"/>
        <v>0</v>
      </c>
      <c r="M344" s="355">
        <f t="shared" si="155"/>
        <v>0</v>
      </c>
      <c r="N344" s="355">
        <f t="shared" si="156"/>
        <v>0</v>
      </c>
      <c r="O344" s="355">
        <f t="shared" si="157"/>
        <v>0</v>
      </c>
      <c r="R344" s="16">
        <f t="shared" si="158"/>
        <v>0</v>
      </c>
      <c r="S344" s="355"/>
      <c r="T344" s="355" t="s">
        <v>2237</v>
      </c>
      <c r="U344" s="355" t="s">
        <v>2238</v>
      </c>
      <c r="V344" s="355" t="s">
        <v>2237</v>
      </c>
      <c r="W344" s="355"/>
      <c r="X344" s="358"/>
      <c r="Y344" s="358"/>
      <c r="Z344" s="358" t="s">
        <v>1978</v>
      </c>
      <c r="AA344" s="355"/>
      <c r="AB344" s="355"/>
      <c r="AC344" s="355"/>
      <c r="AD344" s="355"/>
      <c r="AE344" s="355"/>
    </row>
    <row r="345" spans="1:40" x14ac:dyDescent="0.3">
      <c r="A345" s="344" t="str">
        <f>'Reference Score Calculation'!A336</f>
        <v>JS9005</v>
      </c>
      <c r="B345" s="344" t="str">
        <f>'Reference Score Calculation'!D336</f>
        <v>全球與中國研究榮譽社會科學學士</v>
      </c>
      <c r="C345" s="355">
        <v>20</v>
      </c>
      <c r="D345" s="109">
        <v>3</v>
      </c>
      <c r="E345" s="109">
        <v>3</v>
      </c>
      <c r="F345" s="109">
        <v>2</v>
      </c>
      <c r="G345" s="109">
        <v>2</v>
      </c>
      <c r="H345" s="109">
        <v>2</v>
      </c>
      <c r="I345" s="109"/>
      <c r="K345" s="355">
        <f t="shared" si="153"/>
        <v>0</v>
      </c>
      <c r="L345" s="355">
        <f t="shared" si="154"/>
        <v>0</v>
      </c>
      <c r="M345" s="355">
        <f t="shared" si="155"/>
        <v>0</v>
      </c>
      <c r="N345" s="355">
        <f t="shared" si="156"/>
        <v>0</v>
      </c>
      <c r="O345" s="355">
        <f t="shared" si="157"/>
        <v>0</v>
      </c>
      <c r="R345" s="16">
        <f t="shared" si="158"/>
        <v>0</v>
      </c>
      <c r="S345" s="355"/>
      <c r="T345" s="355" t="s">
        <v>2237</v>
      </c>
      <c r="U345" s="355" t="s">
        <v>2238</v>
      </c>
      <c r="V345" s="355" t="s">
        <v>2237</v>
      </c>
      <c r="W345" s="355"/>
      <c r="X345" s="358"/>
      <c r="Y345" s="358"/>
      <c r="Z345" s="358" t="s">
        <v>1978</v>
      </c>
      <c r="AA345" s="355"/>
      <c r="AB345" s="355"/>
      <c r="AC345" s="355"/>
      <c r="AD345" s="355"/>
      <c r="AE345" s="355"/>
    </row>
    <row r="346" spans="1:40" x14ac:dyDescent="0.3">
      <c r="A346" s="344" t="str">
        <f>'Reference Score Calculation'!A337</f>
        <v>JS9006</v>
      </c>
      <c r="B346" s="344" t="str">
        <f>'Reference Score Calculation'!D337</f>
        <v>高齡社會與服務研究榮譽社會科學學士</v>
      </c>
      <c r="C346" s="355">
        <v>15</v>
      </c>
      <c r="D346" s="109">
        <v>3</v>
      </c>
      <c r="E346" s="109">
        <v>3</v>
      </c>
      <c r="F346" s="109">
        <v>2</v>
      </c>
      <c r="G346" s="109">
        <v>2</v>
      </c>
      <c r="H346" s="109">
        <v>2</v>
      </c>
      <c r="I346" s="109"/>
      <c r="K346" s="355">
        <f t="shared" si="153"/>
        <v>0</v>
      </c>
      <c r="L346" s="355">
        <f t="shared" si="154"/>
        <v>0</v>
      </c>
      <c r="M346" s="355">
        <f t="shared" si="155"/>
        <v>0</v>
      </c>
      <c r="N346" s="355">
        <f t="shared" si="156"/>
        <v>0</v>
      </c>
      <c r="O346" s="355">
        <f t="shared" si="157"/>
        <v>0</v>
      </c>
      <c r="R346" s="16">
        <f t="shared" si="158"/>
        <v>0</v>
      </c>
      <c r="S346" s="355"/>
      <c r="T346" s="355" t="s">
        <v>2237</v>
      </c>
      <c r="U346" s="355" t="s">
        <v>2238</v>
      </c>
      <c r="V346" s="355" t="s">
        <v>2237</v>
      </c>
      <c r="W346" s="355"/>
      <c r="X346" s="358"/>
      <c r="Y346" s="358"/>
      <c r="Z346" s="358" t="s">
        <v>1978</v>
      </c>
      <c r="AA346" s="355"/>
      <c r="AB346" s="355"/>
      <c r="AC346" s="355"/>
      <c r="AD346" s="355"/>
      <c r="AE346" s="355"/>
    </row>
    <row r="347" spans="1:40" x14ac:dyDescent="0.3">
      <c r="A347" s="344" t="str">
        <f>'Reference Score Calculation'!A338</f>
        <v>JS9007</v>
      </c>
      <c r="B347" s="344" t="str">
        <f>'Reference Score Calculation'!D338</f>
        <v>經濟及公共政策分析榮譽社會科學學士</v>
      </c>
      <c r="C347" s="355">
        <v>20</v>
      </c>
      <c r="D347" s="109">
        <v>3</v>
      </c>
      <c r="E347" s="109">
        <v>3</v>
      </c>
      <c r="F347" s="109">
        <v>2</v>
      </c>
      <c r="G347" s="109">
        <v>2</v>
      </c>
      <c r="H347" s="109">
        <v>2</v>
      </c>
      <c r="I347" s="109"/>
      <c r="K347" s="355">
        <f t="shared" si="153"/>
        <v>0</v>
      </c>
      <c r="L347" s="355">
        <f t="shared" si="154"/>
        <v>0</v>
      </c>
      <c r="M347" s="355">
        <f t="shared" si="155"/>
        <v>0</v>
      </c>
      <c r="N347" s="355">
        <f t="shared" si="156"/>
        <v>0</v>
      </c>
      <c r="O347" s="355">
        <f t="shared" si="157"/>
        <v>0</v>
      </c>
      <c r="R347" s="16">
        <f t="shared" si="158"/>
        <v>0</v>
      </c>
      <c r="S347" s="355"/>
      <c r="T347" s="355" t="s">
        <v>2237</v>
      </c>
      <c r="U347" s="355" t="s">
        <v>2238</v>
      </c>
      <c r="V347" s="355" t="s">
        <v>2237</v>
      </c>
      <c r="W347" s="355"/>
      <c r="X347" s="358"/>
      <c r="Y347" s="358"/>
      <c r="Z347" s="358"/>
      <c r="AA347" s="355"/>
      <c r="AB347" s="355"/>
      <c r="AC347" s="355"/>
      <c r="AD347" s="355"/>
      <c r="AE347" s="355"/>
    </row>
    <row r="348" spans="1:40" x14ac:dyDescent="0.3">
      <c r="A348" s="344" t="str">
        <f>'Reference Score Calculation'!A339</f>
        <v>JS9008</v>
      </c>
      <c r="B348" s="344" t="str">
        <f>'Reference Score Calculation'!D339</f>
        <v>心理學與精神健康榮譽社會科學學士</v>
      </c>
      <c r="C348" s="355">
        <v>60</v>
      </c>
      <c r="D348" s="109">
        <v>3</v>
      </c>
      <c r="E348" s="109">
        <v>3</v>
      </c>
      <c r="F348" s="109">
        <v>2</v>
      </c>
      <c r="G348" s="109">
        <v>2</v>
      </c>
      <c r="H348" s="109">
        <v>2</v>
      </c>
      <c r="I348" s="109"/>
      <c r="K348" s="355">
        <f t="shared" si="153"/>
        <v>0</v>
      </c>
      <c r="L348" s="355">
        <f t="shared" si="154"/>
        <v>0</v>
      </c>
      <c r="M348" s="355">
        <f t="shared" si="155"/>
        <v>0</v>
      </c>
      <c r="N348" s="355">
        <f t="shared" si="156"/>
        <v>0</v>
      </c>
      <c r="O348" s="355">
        <f t="shared" si="157"/>
        <v>0</v>
      </c>
      <c r="R348" s="16">
        <f t="shared" si="158"/>
        <v>0</v>
      </c>
      <c r="S348" s="355"/>
      <c r="T348" s="355" t="s">
        <v>2237</v>
      </c>
      <c r="U348" s="355" t="s">
        <v>2238</v>
      </c>
      <c r="V348" s="355" t="s">
        <v>2237</v>
      </c>
      <c r="W348" s="355"/>
      <c r="X348" s="358"/>
      <c r="Y348" s="358"/>
      <c r="Z348" s="358"/>
      <c r="AA348" s="355"/>
      <c r="AB348" s="355"/>
      <c r="AC348" s="355"/>
      <c r="AD348" s="355"/>
      <c r="AE348" s="355"/>
    </row>
    <row r="349" spans="1:40" x14ac:dyDescent="0.3">
      <c r="A349" s="344" t="str">
        <f>'Reference Score Calculation'!A340</f>
        <v>JS9011</v>
      </c>
      <c r="B349" s="344" t="str">
        <f>'Reference Score Calculation'!D340</f>
        <v>中文榮譽文學士</v>
      </c>
      <c r="C349" s="355">
        <v>30</v>
      </c>
      <c r="D349" s="109">
        <v>3</v>
      </c>
      <c r="E349" s="109">
        <v>3</v>
      </c>
      <c r="F349" s="109">
        <v>2</v>
      </c>
      <c r="G349" s="109">
        <v>2</v>
      </c>
      <c r="H349" s="109">
        <v>2</v>
      </c>
      <c r="I349" s="109"/>
      <c r="K349" s="355">
        <f t="shared" si="153"/>
        <v>0</v>
      </c>
      <c r="L349" s="355">
        <f t="shared" si="154"/>
        <v>0</v>
      </c>
      <c r="M349" s="355">
        <f t="shared" si="155"/>
        <v>0</v>
      </c>
      <c r="N349" s="355">
        <f t="shared" si="156"/>
        <v>0</v>
      </c>
      <c r="O349" s="355">
        <f t="shared" si="157"/>
        <v>0</v>
      </c>
      <c r="R349" s="16">
        <f t="shared" si="158"/>
        <v>0</v>
      </c>
      <c r="S349" s="355"/>
      <c r="T349" s="355" t="s">
        <v>2237</v>
      </c>
      <c r="U349" s="355" t="s">
        <v>2238</v>
      </c>
      <c r="V349" s="355" t="s">
        <v>2237</v>
      </c>
      <c r="W349" s="355"/>
      <c r="X349" s="358"/>
      <c r="Y349" s="358"/>
      <c r="Z349" s="358"/>
      <c r="AA349" s="355"/>
      <c r="AB349" s="355"/>
      <c r="AC349" s="355"/>
      <c r="AD349" s="355"/>
      <c r="AE349" s="355"/>
    </row>
    <row r="350" spans="1:40" x14ac:dyDescent="0.3">
      <c r="A350" s="344" t="str">
        <f>'Reference Score Calculation'!A341</f>
        <v>JS9013</v>
      </c>
      <c r="B350" s="344" t="str">
        <f>'Reference Score Calculation'!D341</f>
        <v>語言研究與翻譯榮譽文學士</v>
      </c>
      <c r="C350" s="355">
        <v>45</v>
      </c>
      <c r="D350" s="109">
        <v>3</v>
      </c>
      <c r="E350" s="109">
        <v>3</v>
      </c>
      <c r="F350" s="109">
        <v>2</v>
      </c>
      <c r="G350" s="109">
        <v>2</v>
      </c>
      <c r="H350" s="109">
        <v>2</v>
      </c>
      <c r="I350" s="109"/>
      <c r="K350" s="355">
        <f t="shared" si="153"/>
        <v>0</v>
      </c>
      <c r="L350" s="355">
        <f t="shared" si="154"/>
        <v>0</v>
      </c>
      <c r="M350" s="355">
        <f t="shared" si="155"/>
        <v>0</v>
      </c>
      <c r="N350" s="355">
        <f t="shared" si="156"/>
        <v>0</v>
      </c>
      <c r="O350" s="355">
        <f t="shared" si="157"/>
        <v>0</v>
      </c>
      <c r="R350" s="16">
        <f t="shared" si="158"/>
        <v>0</v>
      </c>
      <c r="S350" s="355"/>
      <c r="T350" s="355" t="s">
        <v>2237</v>
      </c>
      <c r="U350" s="355" t="s">
        <v>2238</v>
      </c>
      <c r="V350" s="355" t="s">
        <v>2237</v>
      </c>
      <c r="W350" s="355"/>
      <c r="X350" s="358"/>
      <c r="Y350" s="358"/>
      <c r="Z350" s="358"/>
      <c r="AA350" s="355"/>
      <c r="AB350" s="355"/>
      <c r="AC350" s="355"/>
      <c r="AD350" s="355"/>
      <c r="AE350" s="355"/>
    </row>
    <row r="351" spans="1:40" x14ac:dyDescent="0.3">
      <c r="A351" s="344" t="str">
        <f>'Reference Score Calculation'!A342</f>
        <v>JS9016</v>
      </c>
      <c r="B351" s="344" t="str">
        <f>'Reference Score Calculation'!D342</f>
        <v>創意廣告及媒體設計榮譽文學士</v>
      </c>
      <c r="C351" s="355">
        <v>70</v>
      </c>
      <c r="D351" s="109">
        <v>3</v>
      </c>
      <c r="E351" s="109">
        <v>3</v>
      </c>
      <c r="F351" s="109">
        <v>2</v>
      </c>
      <c r="G351" s="109">
        <v>2</v>
      </c>
      <c r="H351" s="109">
        <v>2</v>
      </c>
      <c r="I351" s="109"/>
      <c r="K351" s="355">
        <f t="shared" si="153"/>
        <v>0</v>
      </c>
      <c r="L351" s="355">
        <f t="shared" si="154"/>
        <v>0</v>
      </c>
      <c r="M351" s="355">
        <f t="shared" si="155"/>
        <v>0</v>
      </c>
      <c r="N351" s="355">
        <f t="shared" si="156"/>
        <v>0</v>
      </c>
      <c r="O351" s="355">
        <f t="shared" si="157"/>
        <v>0</v>
      </c>
      <c r="R351" s="16">
        <f t="shared" si="158"/>
        <v>0</v>
      </c>
      <c r="S351" s="355"/>
      <c r="T351" s="355" t="s">
        <v>2237</v>
      </c>
      <c r="U351" s="355" t="s">
        <v>2238</v>
      </c>
      <c r="V351" s="355" t="s">
        <v>2237</v>
      </c>
      <c r="W351" s="355"/>
      <c r="X351" s="358"/>
      <c r="Y351" s="358"/>
      <c r="Z351" s="358"/>
      <c r="AA351" s="355"/>
      <c r="AB351" s="355"/>
      <c r="AC351" s="355"/>
      <c r="AD351" s="355"/>
      <c r="AE351" s="355"/>
    </row>
    <row r="352" spans="1:40" x14ac:dyDescent="0.3">
      <c r="A352" s="344" t="str">
        <f>'Reference Score Calculation'!A343</f>
        <v>JS9019</v>
      </c>
      <c r="B352" s="344" t="str">
        <f>'Reference Score Calculation'!D343</f>
        <v>英語及文化榮譽文學士</v>
      </c>
      <c r="C352" s="355">
        <v>20</v>
      </c>
      <c r="D352" s="109">
        <v>3</v>
      </c>
      <c r="E352" s="109">
        <v>3</v>
      </c>
      <c r="F352" s="109">
        <v>2</v>
      </c>
      <c r="G352" s="109">
        <v>2</v>
      </c>
      <c r="H352" s="109">
        <v>2</v>
      </c>
      <c r="I352" s="109"/>
      <c r="K352" s="355">
        <f t="shared" si="153"/>
        <v>0</v>
      </c>
      <c r="L352" s="355">
        <f t="shared" si="154"/>
        <v>0</v>
      </c>
      <c r="M352" s="355">
        <f t="shared" si="155"/>
        <v>0</v>
      </c>
      <c r="N352" s="355">
        <f t="shared" si="156"/>
        <v>0</v>
      </c>
      <c r="O352" s="355">
        <f t="shared" si="157"/>
        <v>0</v>
      </c>
      <c r="R352" s="16">
        <f t="shared" si="158"/>
        <v>0</v>
      </c>
      <c r="S352" s="355"/>
      <c r="T352" s="355" t="s">
        <v>2237</v>
      </c>
      <c r="U352" s="355" t="s">
        <v>2238</v>
      </c>
      <c r="V352" s="355" t="s">
        <v>2237</v>
      </c>
      <c r="W352" s="355"/>
      <c r="X352" s="358"/>
      <c r="Y352" s="358"/>
      <c r="Z352" s="358"/>
      <c r="AA352" s="355"/>
      <c r="AB352" s="355"/>
      <c r="AC352" s="355"/>
      <c r="AD352" s="355"/>
      <c r="AE352" s="355"/>
    </row>
    <row r="353" spans="1:31" x14ac:dyDescent="0.3">
      <c r="A353" s="344" t="str">
        <f>'Reference Score Calculation'!A344</f>
        <v>JS9220</v>
      </c>
      <c r="B353" s="344" t="str">
        <f>'Reference Score Calculation'!D344</f>
        <v>專業會計榮譽工商管理學士</v>
      </c>
      <c r="C353" s="355">
        <v>40</v>
      </c>
      <c r="D353" s="109">
        <v>3</v>
      </c>
      <c r="E353" s="109">
        <v>3</v>
      </c>
      <c r="F353" s="109">
        <v>2</v>
      </c>
      <c r="G353" s="109">
        <v>2</v>
      </c>
      <c r="H353" s="109">
        <v>2</v>
      </c>
      <c r="I353" s="109"/>
      <c r="K353" s="355">
        <f t="shared" si="153"/>
        <v>0</v>
      </c>
      <c r="L353" s="355">
        <f t="shared" si="154"/>
        <v>0</v>
      </c>
      <c r="M353" s="355">
        <f t="shared" si="155"/>
        <v>0</v>
      </c>
      <c r="N353" s="355">
        <f t="shared" si="156"/>
        <v>0</v>
      </c>
      <c r="O353" s="355">
        <f t="shared" si="157"/>
        <v>0</v>
      </c>
      <c r="R353" s="16">
        <f t="shared" si="158"/>
        <v>0</v>
      </c>
      <c r="S353" s="355"/>
      <c r="T353" s="355" t="s">
        <v>2237</v>
      </c>
      <c r="U353" s="355" t="s">
        <v>2238</v>
      </c>
      <c r="V353" s="355" t="s">
        <v>2237</v>
      </c>
      <c r="W353" s="355"/>
      <c r="X353" s="358"/>
      <c r="Y353" s="358"/>
      <c r="Z353" s="358"/>
      <c r="AA353" s="355"/>
      <c r="AB353" s="355"/>
      <c r="AC353" s="355"/>
      <c r="AD353" s="355"/>
      <c r="AE353" s="355"/>
    </row>
    <row r="354" spans="1:31" x14ac:dyDescent="0.3">
      <c r="A354" s="344" t="str">
        <f>'Reference Score Calculation'!A345</f>
        <v>JS9222</v>
      </c>
      <c r="B354" s="344" t="str">
        <f>'Reference Score Calculation'!D345</f>
        <v>會計及稅務學榮譽工商管理學士</v>
      </c>
      <c r="C354" s="355">
        <v>20</v>
      </c>
      <c r="D354" s="109">
        <v>3</v>
      </c>
      <c r="E354" s="109">
        <v>3</v>
      </c>
      <c r="F354" s="109">
        <v>2</v>
      </c>
      <c r="G354" s="109">
        <v>2</v>
      </c>
      <c r="H354" s="109">
        <v>2</v>
      </c>
      <c r="I354" s="109"/>
      <c r="K354" s="355">
        <f t="shared" si="153"/>
        <v>0</v>
      </c>
      <c r="L354" s="355">
        <f t="shared" si="154"/>
        <v>0</v>
      </c>
      <c r="M354" s="355">
        <f t="shared" si="155"/>
        <v>0</v>
      </c>
      <c r="N354" s="355">
        <f t="shared" si="156"/>
        <v>0</v>
      </c>
      <c r="O354" s="355">
        <f t="shared" si="157"/>
        <v>0</v>
      </c>
      <c r="R354" s="16">
        <f t="shared" si="158"/>
        <v>0</v>
      </c>
      <c r="S354" s="355"/>
      <c r="T354" s="355" t="s">
        <v>2237</v>
      </c>
      <c r="U354" s="355" t="s">
        <v>2238</v>
      </c>
      <c r="V354" s="355" t="s">
        <v>2237</v>
      </c>
      <c r="W354" s="355"/>
      <c r="X354" s="358"/>
      <c r="Y354" s="358"/>
      <c r="Z354" s="358"/>
      <c r="AA354" s="355"/>
      <c r="AB354" s="355"/>
      <c r="AC354" s="355"/>
      <c r="AD354" s="355"/>
      <c r="AE354" s="355"/>
    </row>
    <row r="355" spans="1:31" x14ac:dyDescent="0.3">
      <c r="A355" s="344" t="str">
        <f>'Reference Score Calculation'!A346</f>
        <v>JS9230</v>
      </c>
      <c r="B355" s="344" t="str">
        <f>'Reference Score Calculation'!D346</f>
        <v>商業管理學榮譽工商管理學士</v>
      </c>
      <c r="C355" s="355">
        <v>40</v>
      </c>
      <c r="D355" s="109">
        <v>3</v>
      </c>
      <c r="E355" s="109">
        <v>3</v>
      </c>
      <c r="F355" s="109">
        <v>2</v>
      </c>
      <c r="G355" s="109">
        <v>2</v>
      </c>
      <c r="H355" s="109">
        <v>2</v>
      </c>
      <c r="I355" s="109"/>
      <c r="K355" s="355">
        <f t="shared" si="153"/>
        <v>0</v>
      </c>
      <c r="L355" s="355">
        <f t="shared" si="154"/>
        <v>0</v>
      </c>
      <c r="M355" s="355">
        <f t="shared" si="155"/>
        <v>0</v>
      </c>
      <c r="N355" s="355">
        <f t="shared" si="156"/>
        <v>0</v>
      </c>
      <c r="O355" s="355">
        <f t="shared" si="157"/>
        <v>0</v>
      </c>
      <c r="R355" s="16">
        <f t="shared" si="158"/>
        <v>0</v>
      </c>
      <c r="S355" s="355"/>
      <c r="T355" s="355" t="s">
        <v>2237</v>
      </c>
      <c r="U355" s="355" t="s">
        <v>2238</v>
      </c>
      <c r="V355" s="355" t="s">
        <v>2237</v>
      </c>
      <c r="W355" s="355"/>
      <c r="X355" s="358"/>
      <c r="Y355" s="358"/>
      <c r="Z355" s="358"/>
      <c r="AA355" s="355"/>
      <c r="AB355" s="355"/>
      <c r="AC355" s="355"/>
      <c r="AD355" s="355"/>
      <c r="AE355" s="355"/>
    </row>
    <row r="356" spans="1:31" x14ac:dyDescent="0.3">
      <c r="A356" s="344" t="str">
        <f>'Reference Score Calculation'!A347</f>
        <v>JS9240</v>
      </c>
      <c r="B356" s="344" t="str">
        <f>'Reference Score Calculation'!D347</f>
        <v>環球商業及市場學榮譽工商管理學士</v>
      </c>
      <c r="C356" s="355">
        <v>40</v>
      </c>
      <c r="D356" s="109">
        <v>3</v>
      </c>
      <c r="E356" s="109">
        <v>3</v>
      </c>
      <c r="F356" s="109">
        <v>2</v>
      </c>
      <c r="G356" s="109">
        <v>2</v>
      </c>
      <c r="H356" s="109">
        <v>2</v>
      </c>
      <c r="I356" s="109"/>
      <c r="K356" s="355">
        <f t="shared" si="153"/>
        <v>0</v>
      </c>
      <c r="L356" s="355">
        <f t="shared" si="154"/>
        <v>0</v>
      </c>
      <c r="M356" s="355">
        <f t="shared" si="155"/>
        <v>0</v>
      </c>
      <c r="N356" s="355">
        <f t="shared" si="156"/>
        <v>0</v>
      </c>
      <c r="O356" s="355">
        <f t="shared" si="157"/>
        <v>0</v>
      </c>
      <c r="R356" s="16">
        <f t="shared" si="158"/>
        <v>0</v>
      </c>
      <c r="S356" s="355"/>
      <c r="T356" s="355" t="s">
        <v>2237</v>
      </c>
      <c r="U356" s="355" t="s">
        <v>2238</v>
      </c>
      <c r="V356" s="355" t="s">
        <v>2237</v>
      </c>
      <c r="W356" s="355"/>
      <c r="X356" s="358"/>
      <c r="Y356" s="358"/>
      <c r="Z356" s="358"/>
      <c r="AA356" s="355"/>
      <c r="AB356" s="355"/>
      <c r="AC356" s="355"/>
      <c r="AD356" s="355"/>
      <c r="AE356" s="355"/>
    </row>
    <row r="357" spans="1:31" x14ac:dyDescent="0.3">
      <c r="A357" s="344" t="str">
        <f>'Reference Score Calculation'!A348</f>
        <v>JS9250</v>
      </c>
      <c r="B357" s="344" t="str">
        <f>'Reference Score Calculation'!D348</f>
        <v>企業管治榮譽工商管理學士</v>
      </c>
      <c r="C357" s="355">
        <v>10</v>
      </c>
      <c r="D357" s="109">
        <v>3</v>
      </c>
      <c r="E357" s="109">
        <v>3</v>
      </c>
      <c r="F357" s="109">
        <v>2</v>
      </c>
      <c r="G357" s="109">
        <v>2</v>
      </c>
      <c r="H357" s="109">
        <v>2</v>
      </c>
      <c r="I357" s="109"/>
      <c r="K357" s="355">
        <f t="shared" si="153"/>
        <v>0</v>
      </c>
      <c r="L357" s="355">
        <f t="shared" si="154"/>
        <v>0</v>
      </c>
      <c r="M357" s="355">
        <f t="shared" si="155"/>
        <v>0</v>
      </c>
      <c r="N357" s="355">
        <f t="shared" si="156"/>
        <v>0</v>
      </c>
      <c r="O357" s="355">
        <f t="shared" si="157"/>
        <v>0</v>
      </c>
      <c r="R357" s="16">
        <f t="shared" si="158"/>
        <v>0</v>
      </c>
      <c r="S357" s="355"/>
      <c r="T357" s="355" t="s">
        <v>2237</v>
      </c>
      <c r="U357" s="355" t="s">
        <v>2238</v>
      </c>
      <c r="V357" s="355" t="s">
        <v>2237</v>
      </c>
      <c r="W357" s="355"/>
      <c r="X357" s="358"/>
      <c r="Y357" s="358"/>
      <c r="Z357" s="358"/>
      <c r="AA357" s="355"/>
      <c r="AB357" s="355"/>
      <c r="AC357" s="355"/>
      <c r="AD357" s="355"/>
      <c r="AE357" s="355"/>
    </row>
    <row r="358" spans="1:31" x14ac:dyDescent="0.3">
      <c r="A358" s="344" t="str">
        <f>'Reference Score Calculation'!A349</f>
        <v>JS9261</v>
      </c>
      <c r="B358" s="344" t="str">
        <f>'Reference Score Calculation'!D349</f>
        <v>數碼商業榮譽工商管理學士</v>
      </c>
      <c r="C358" s="355">
        <v>10</v>
      </c>
      <c r="D358" s="109">
        <v>3</v>
      </c>
      <c r="E358" s="109">
        <v>3</v>
      </c>
      <c r="F358" s="109">
        <v>2</v>
      </c>
      <c r="G358" s="109">
        <v>2</v>
      </c>
      <c r="H358" s="109">
        <v>2</v>
      </c>
      <c r="I358" s="109"/>
      <c r="K358" s="355">
        <f t="shared" si="153"/>
        <v>0</v>
      </c>
      <c r="L358" s="355">
        <f t="shared" si="154"/>
        <v>0</v>
      </c>
      <c r="M358" s="355">
        <f t="shared" si="155"/>
        <v>0</v>
      </c>
      <c r="N358" s="355">
        <f t="shared" si="156"/>
        <v>0</v>
      </c>
      <c r="O358" s="355">
        <f t="shared" si="157"/>
        <v>0</v>
      </c>
      <c r="R358" s="16">
        <f t="shared" si="158"/>
        <v>0</v>
      </c>
      <c r="S358" s="355"/>
      <c r="T358" s="355" t="s">
        <v>2237</v>
      </c>
      <c r="U358" s="355" t="s">
        <v>2238</v>
      </c>
      <c r="V358" s="355" t="s">
        <v>2237</v>
      </c>
      <c r="W358" s="355"/>
      <c r="X358" s="358"/>
      <c r="Y358" s="358"/>
      <c r="Z358" s="358"/>
      <c r="AA358" s="355"/>
      <c r="AB358" s="355"/>
      <c r="AC358" s="355"/>
      <c r="AD358" s="355"/>
      <c r="AE358" s="355"/>
    </row>
    <row r="359" spans="1:31" x14ac:dyDescent="0.3">
      <c r="A359" s="344" t="str">
        <f>'Reference Score Calculation'!A350</f>
        <v>JS9272</v>
      </c>
      <c r="B359" s="344" t="str">
        <f>'Reference Score Calculation'!D350</f>
        <v>財務及風險管理榮譽工商管理學士</v>
      </c>
      <c r="C359" s="355">
        <v>10</v>
      </c>
      <c r="D359" s="109">
        <v>3</v>
      </c>
      <c r="E359" s="109">
        <v>3</v>
      </c>
      <c r="F359" s="109">
        <v>2</v>
      </c>
      <c r="G359" s="109">
        <v>2</v>
      </c>
      <c r="H359" s="109">
        <v>2</v>
      </c>
      <c r="I359" s="109"/>
      <c r="K359" s="355">
        <f t="shared" si="153"/>
        <v>0</v>
      </c>
      <c r="L359" s="355">
        <f t="shared" si="154"/>
        <v>0</v>
      </c>
      <c r="M359" s="355">
        <f t="shared" si="155"/>
        <v>0</v>
      </c>
      <c r="N359" s="355">
        <f t="shared" si="156"/>
        <v>0</v>
      </c>
      <c r="O359" s="355">
        <f t="shared" si="157"/>
        <v>0</v>
      </c>
      <c r="R359" s="16">
        <f t="shared" si="158"/>
        <v>0</v>
      </c>
      <c r="S359" s="355"/>
      <c r="T359" s="355" t="s">
        <v>2237</v>
      </c>
      <c r="U359" s="355" t="s">
        <v>2238</v>
      </c>
      <c r="V359" s="355" t="s">
        <v>2237</v>
      </c>
      <c r="W359" s="355"/>
      <c r="X359" s="358"/>
      <c r="Y359" s="358"/>
      <c r="Z359" s="358"/>
      <c r="AA359" s="355"/>
      <c r="AB359" s="355"/>
      <c r="AC359" s="355"/>
      <c r="AD359" s="355"/>
      <c r="AE359" s="355"/>
    </row>
    <row r="360" spans="1:31" x14ac:dyDescent="0.3">
      <c r="A360" s="344" t="str">
        <f>'Reference Score Calculation'!A351</f>
        <v>JS9276</v>
      </c>
      <c r="B360" s="344" t="str">
        <f>'Reference Score Calculation'!D351</f>
        <v>房地產及設施管理榮譽工商管理學士</v>
      </c>
      <c r="C360" s="355">
        <v>10</v>
      </c>
      <c r="D360" s="109">
        <v>3</v>
      </c>
      <c r="E360" s="109">
        <v>3</v>
      </c>
      <c r="F360" s="109">
        <v>2</v>
      </c>
      <c r="G360" s="109">
        <v>2</v>
      </c>
      <c r="H360" s="109">
        <v>2</v>
      </c>
      <c r="I360" s="109"/>
      <c r="K360" s="355">
        <f t="shared" si="153"/>
        <v>0</v>
      </c>
      <c r="L360" s="355">
        <f t="shared" si="154"/>
        <v>0</v>
      </c>
      <c r="M360" s="355">
        <f t="shared" si="155"/>
        <v>0</v>
      </c>
      <c r="N360" s="355">
        <f t="shared" si="156"/>
        <v>0</v>
      </c>
      <c r="O360" s="355">
        <f t="shared" si="157"/>
        <v>0</v>
      </c>
      <c r="R360" s="16">
        <f t="shared" si="158"/>
        <v>0</v>
      </c>
      <c r="S360" s="355"/>
      <c r="T360" s="355" t="s">
        <v>2237</v>
      </c>
      <c r="U360" s="355" t="s">
        <v>2238</v>
      </c>
      <c r="V360" s="355" t="s">
        <v>2237</v>
      </c>
      <c r="W360" s="355"/>
      <c r="X360" s="358"/>
      <c r="Y360" s="358"/>
      <c r="Z360" s="358"/>
      <c r="AA360" s="355"/>
      <c r="AB360" s="355"/>
      <c r="AC360" s="355"/>
      <c r="AD360" s="355"/>
      <c r="AE360" s="355"/>
    </row>
    <row r="361" spans="1:31" x14ac:dyDescent="0.3">
      <c r="A361" s="344" t="str">
        <f>'Reference Score Calculation'!A352</f>
        <v>JS9280</v>
      </c>
      <c r="B361" s="344" t="str">
        <f>'Reference Score Calculation'!D352</f>
        <v>應用心理學榮譽學士，商業管理榮譽學士</v>
      </c>
      <c r="C361" s="355">
        <v>30</v>
      </c>
      <c r="D361" s="109">
        <v>3</v>
      </c>
      <c r="E361" s="109">
        <v>3</v>
      </c>
      <c r="F361" s="109">
        <v>2</v>
      </c>
      <c r="G361" s="109">
        <v>2</v>
      </c>
      <c r="H361" s="109">
        <v>2</v>
      </c>
      <c r="I361" s="109"/>
      <c r="K361" s="355">
        <f t="shared" si="153"/>
        <v>0</v>
      </c>
      <c r="L361" s="355">
        <f t="shared" si="154"/>
        <v>0</v>
      </c>
      <c r="M361" s="355">
        <f t="shared" si="155"/>
        <v>0</v>
      </c>
      <c r="N361" s="355">
        <f t="shared" si="156"/>
        <v>0</v>
      </c>
      <c r="O361" s="355">
        <f t="shared" si="157"/>
        <v>0</v>
      </c>
      <c r="R361" s="16">
        <f t="shared" si="158"/>
        <v>0</v>
      </c>
      <c r="S361" s="355"/>
      <c r="T361" s="355" t="s">
        <v>2237</v>
      </c>
      <c r="U361" s="355" t="s">
        <v>2238</v>
      </c>
      <c r="V361" s="355" t="s">
        <v>2237</v>
      </c>
      <c r="W361" s="355"/>
      <c r="X361" s="358"/>
      <c r="Y361" s="358"/>
      <c r="Z361" s="358"/>
      <c r="AA361" s="355"/>
      <c r="AB361" s="355"/>
      <c r="AC361" s="355"/>
      <c r="AD361" s="355"/>
      <c r="AE361" s="355"/>
    </row>
    <row r="362" spans="1:31" x14ac:dyDescent="0.3">
      <c r="A362" s="344" t="str">
        <f>'Reference Score Calculation'!A353</f>
        <v>JS9291</v>
      </c>
      <c r="B362" s="344" t="str">
        <f>'Reference Score Calculation'!D353</f>
        <v>酒店及可持續旅遊管理榮譽工商管理學士</v>
      </c>
      <c r="C362" s="355">
        <v>30</v>
      </c>
      <c r="D362" s="109">
        <v>3</v>
      </c>
      <c r="E362" s="109">
        <v>3</v>
      </c>
      <c r="F362" s="109">
        <v>2</v>
      </c>
      <c r="G362" s="109">
        <v>2</v>
      </c>
      <c r="H362" s="109">
        <v>2</v>
      </c>
      <c r="I362" s="109"/>
      <c r="K362" s="355">
        <f t="shared" si="153"/>
        <v>0</v>
      </c>
      <c r="L362" s="355">
        <f t="shared" si="154"/>
        <v>0</v>
      </c>
      <c r="M362" s="355">
        <f t="shared" si="155"/>
        <v>0</v>
      </c>
      <c r="N362" s="355">
        <f t="shared" si="156"/>
        <v>0</v>
      </c>
      <c r="O362" s="355">
        <f t="shared" si="157"/>
        <v>0</v>
      </c>
      <c r="R362" s="16">
        <f t="shared" si="158"/>
        <v>0</v>
      </c>
      <c r="S362" s="355"/>
      <c r="T362" s="355" t="s">
        <v>2237</v>
      </c>
      <c r="U362" s="355" t="s">
        <v>2238</v>
      </c>
      <c r="V362" s="355" t="s">
        <v>2237</v>
      </c>
      <c r="W362" s="355"/>
      <c r="X362" s="358"/>
      <c r="Y362" s="358"/>
      <c r="Z362" s="358"/>
      <c r="AA362" s="355"/>
      <c r="AB362" s="355"/>
      <c r="AC362" s="355"/>
      <c r="AD362" s="355"/>
      <c r="AE362" s="355"/>
    </row>
    <row r="363" spans="1:31" x14ac:dyDescent="0.3">
      <c r="A363" s="344" t="str">
        <f>'Reference Score Calculation'!A354</f>
        <v>JS9294</v>
      </c>
      <c r="B363" s="344" t="str">
        <f>'Reference Score Calculation'!D354</f>
        <v>運動及電競運動管理榮譽工商管理學士</v>
      </c>
      <c r="C363" s="355">
        <v>30</v>
      </c>
      <c r="D363" s="109">
        <v>3</v>
      </c>
      <c r="E363" s="109">
        <v>3</v>
      </c>
      <c r="F363" s="109">
        <v>2</v>
      </c>
      <c r="G363" s="109">
        <v>2</v>
      </c>
      <c r="H363" s="109">
        <v>2</v>
      </c>
      <c r="I363" s="109"/>
      <c r="K363" s="355">
        <f t="shared" si="153"/>
        <v>0</v>
      </c>
      <c r="L363" s="355">
        <f t="shared" si="154"/>
        <v>0</v>
      </c>
      <c r="M363" s="355">
        <f t="shared" si="155"/>
        <v>0</v>
      </c>
      <c r="N363" s="355">
        <f t="shared" si="156"/>
        <v>0</v>
      </c>
      <c r="O363" s="355">
        <f t="shared" si="157"/>
        <v>0</v>
      </c>
      <c r="R363" s="16">
        <f t="shared" si="158"/>
        <v>0</v>
      </c>
      <c r="S363" s="355"/>
      <c r="T363" s="355" t="s">
        <v>2237</v>
      </c>
      <c r="U363" s="355" t="s">
        <v>2238</v>
      </c>
      <c r="V363" s="355" t="s">
        <v>2237</v>
      </c>
      <c r="W363" s="355"/>
      <c r="X363" s="358"/>
      <c r="Y363" s="358"/>
      <c r="Z363" s="358"/>
      <c r="AA363" s="355"/>
      <c r="AB363" s="355"/>
      <c r="AC363" s="355"/>
      <c r="AD363" s="355"/>
      <c r="AE363" s="355"/>
    </row>
    <row r="364" spans="1:31" x14ac:dyDescent="0.3">
      <c r="A364" s="344" t="str">
        <f>'Reference Score Calculation'!A355</f>
        <v>JS9530</v>
      </c>
      <c r="B364" s="344" t="str">
        <f>'Reference Score Calculation'!D355</f>
        <v>英語教學榮譽教育學士及英語研究榮譽學士</v>
      </c>
      <c r="C364" s="355">
        <v>30</v>
      </c>
      <c r="D364" s="109">
        <v>3</v>
      </c>
      <c r="E364" s="109">
        <v>3</v>
      </c>
      <c r="F364" s="109">
        <v>2</v>
      </c>
      <c r="G364" s="109">
        <v>2</v>
      </c>
      <c r="H364" s="109">
        <v>2</v>
      </c>
      <c r="I364" s="109"/>
      <c r="K364" s="355">
        <f t="shared" si="153"/>
        <v>0</v>
      </c>
      <c r="L364" s="355">
        <f t="shared" si="154"/>
        <v>0</v>
      </c>
      <c r="M364" s="355">
        <f t="shared" si="155"/>
        <v>0</v>
      </c>
      <c r="N364" s="355">
        <f t="shared" si="156"/>
        <v>0</v>
      </c>
      <c r="O364" s="355">
        <f t="shared" si="157"/>
        <v>0</v>
      </c>
      <c r="R364" s="16">
        <f t="shared" si="158"/>
        <v>0</v>
      </c>
      <c r="S364" s="355"/>
      <c r="T364" s="355" t="s">
        <v>2237</v>
      </c>
      <c r="U364" s="355" t="s">
        <v>2238</v>
      </c>
      <c r="V364" s="355" t="s">
        <v>2237</v>
      </c>
      <c r="W364" s="355"/>
      <c r="X364" s="358"/>
      <c r="Y364" s="358"/>
      <c r="Z364" s="358"/>
      <c r="AA364" s="355"/>
      <c r="AB364" s="355"/>
      <c r="AC364" s="355"/>
      <c r="AD364" s="355"/>
      <c r="AE364" s="355"/>
    </row>
    <row r="365" spans="1:31" x14ac:dyDescent="0.3">
      <c r="A365" s="344" t="str">
        <f>'Reference Score Calculation'!A356</f>
        <v>JS9540</v>
      </c>
      <c r="B365" s="344" t="str">
        <f>'Reference Score Calculation'!D356</f>
        <v>英語研究榮譽學士</v>
      </c>
      <c r="C365" s="355">
        <v>20</v>
      </c>
      <c r="D365" s="109">
        <v>3</v>
      </c>
      <c r="E365" s="109">
        <v>3</v>
      </c>
      <c r="F365" s="109">
        <v>2</v>
      </c>
      <c r="G365" s="109">
        <v>2</v>
      </c>
      <c r="H365" s="109">
        <v>2</v>
      </c>
      <c r="I365" s="109"/>
      <c r="K365" s="355">
        <f t="shared" si="153"/>
        <v>0</v>
      </c>
      <c r="L365" s="355">
        <f t="shared" si="154"/>
        <v>0</v>
      </c>
      <c r="M365" s="355">
        <f t="shared" si="155"/>
        <v>0</v>
      </c>
      <c r="N365" s="355">
        <f t="shared" si="156"/>
        <v>0</v>
      </c>
      <c r="O365" s="355">
        <f t="shared" si="157"/>
        <v>0</v>
      </c>
      <c r="R365" s="16">
        <f t="shared" si="158"/>
        <v>0</v>
      </c>
      <c r="S365" s="355"/>
      <c r="T365" s="355" t="s">
        <v>2237</v>
      </c>
      <c r="U365" s="355" t="s">
        <v>2238</v>
      </c>
      <c r="V365" s="355" t="s">
        <v>2237</v>
      </c>
      <c r="W365" s="355"/>
      <c r="X365" s="358"/>
      <c r="Y365" s="358"/>
      <c r="Z365" s="358"/>
      <c r="AA365" s="355"/>
      <c r="AB365" s="355"/>
      <c r="AC365" s="355"/>
      <c r="AD365" s="355"/>
      <c r="AE365" s="355"/>
    </row>
    <row r="366" spans="1:31" x14ac:dyDescent="0.3">
      <c r="A366" s="344" t="str">
        <f>'Reference Score Calculation'!A357</f>
        <v>JS9550</v>
      </c>
      <c r="B366" s="344" t="str">
        <f>'Reference Score Calculation'!D357</f>
        <v>語言研究榮譽學士（應用中國語言）</v>
      </c>
      <c r="C366" s="355">
        <v>20</v>
      </c>
      <c r="D366" s="109">
        <v>3</v>
      </c>
      <c r="E366" s="109">
        <v>3</v>
      </c>
      <c r="F366" s="109">
        <v>2</v>
      </c>
      <c r="G366" s="109">
        <v>2</v>
      </c>
      <c r="H366" s="109">
        <v>2</v>
      </c>
      <c r="I366" s="109"/>
      <c r="K366" s="355">
        <f t="shared" si="153"/>
        <v>0</v>
      </c>
      <c r="L366" s="355">
        <f t="shared" si="154"/>
        <v>0</v>
      </c>
      <c r="M366" s="355">
        <f t="shared" si="155"/>
        <v>0</v>
      </c>
      <c r="N366" s="355">
        <f t="shared" si="156"/>
        <v>0</v>
      </c>
      <c r="O366" s="355">
        <f t="shared" si="157"/>
        <v>0</v>
      </c>
      <c r="R366" s="16">
        <f t="shared" si="158"/>
        <v>0</v>
      </c>
      <c r="S366" s="355"/>
      <c r="T366" s="355" t="s">
        <v>2237</v>
      </c>
      <c r="U366" s="355" t="s">
        <v>2238</v>
      </c>
      <c r="V366" s="355" t="s">
        <v>2237</v>
      </c>
      <c r="W366" s="355"/>
      <c r="X366" s="358"/>
      <c r="Y366" s="358"/>
      <c r="Z366" s="358"/>
      <c r="AA366" s="355"/>
      <c r="AB366" s="355"/>
      <c r="AC366" s="355"/>
      <c r="AD366" s="355"/>
      <c r="AE366" s="355"/>
    </row>
    <row r="367" spans="1:31" x14ac:dyDescent="0.3">
      <c r="A367" s="344" t="str">
        <f>'Reference Score Calculation'!A358</f>
        <v>JS9560</v>
      </c>
      <c r="B367" s="344" t="str">
        <f>'Reference Score Calculation'!D358</f>
        <v>教育榮譽學士（中國語文教學）及語言研究榮譽學士（應用中國語言）</v>
      </c>
      <c r="C367" s="355">
        <v>35</v>
      </c>
      <c r="D367" s="109">
        <v>3</v>
      </c>
      <c r="E367" s="109">
        <v>3</v>
      </c>
      <c r="F367" s="109">
        <v>2</v>
      </c>
      <c r="G367" s="109">
        <v>2</v>
      </c>
      <c r="H367" s="109">
        <v>2</v>
      </c>
      <c r="I367" s="109"/>
      <c r="K367" s="355">
        <f t="shared" si="153"/>
        <v>0</v>
      </c>
      <c r="L367" s="355">
        <f t="shared" si="154"/>
        <v>0</v>
      </c>
      <c r="M367" s="355">
        <f t="shared" si="155"/>
        <v>0</v>
      </c>
      <c r="N367" s="355">
        <f t="shared" si="156"/>
        <v>0</v>
      </c>
      <c r="O367" s="355">
        <f t="shared" si="157"/>
        <v>0</v>
      </c>
      <c r="R367" s="16">
        <f t="shared" si="158"/>
        <v>0</v>
      </c>
      <c r="S367" s="355"/>
      <c r="T367" s="355" t="s">
        <v>2237</v>
      </c>
      <c r="U367" s="355" t="s">
        <v>2238</v>
      </c>
      <c r="V367" s="355" t="s">
        <v>2237</v>
      </c>
      <c r="W367" s="355"/>
      <c r="X367" s="358"/>
      <c r="Y367" s="358"/>
      <c r="Z367" s="358"/>
      <c r="AA367" s="355"/>
      <c r="AB367" s="355"/>
      <c r="AC367" s="355"/>
      <c r="AD367" s="355"/>
      <c r="AE367" s="355"/>
    </row>
    <row r="368" spans="1:31" x14ac:dyDescent="0.3">
      <c r="A368" s="344" t="str">
        <f>'Reference Score Calculation'!A359</f>
        <v>JS9570</v>
      </c>
      <c r="B368" s="344" t="str">
        <f>'Reference Score Calculation'!D359</f>
        <v>語言硏究（雙語傳意）榮譽學士，國際商業榮譽學士</v>
      </c>
      <c r="C368" s="355">
        <v>15</v>
      </c>
      <c r="D368" s="109">
        <v>3</v>
      </c>
      <c r="E368" s="109">
        <v>3</v>
      </c>
      <c r="F368" s="109">
        <v>2</v>
      </c>
      <c r="G368" s="109">
        <v>2</v>
      </c>
      <c r="H368" s="109">
        <v>2</v>
      </c>
      <c r="I368" s="109"/>
      <c r="K368" s="355">
        <f t="shared" si="153"/>
        <v>0</v>
      </c>
      <c r="L368" s="355">
        <f t="shared" si="154"/>
        <v>0</v>
      </c>
      <c r="M368" s="355">
        <f t="shared" si="155"/>
        <v>0</v>
      </c>
      <c r="N368" s="355">
        <f t="shared" si="156"/>
        <v>0</v>
      </c>
      <c r="O368" s="355">
        <f t="shared" si="157"/>
        <v>0</v>
      </c>
      <c r="R368" s="16">
        <f t="shared" si="158"/>
        <v>0</v>
      </c>
      <c r="S368" s="355"/>
      <c r="T368" s="355" t="s">
        <v>2237</v>
      </c>
      <c r="U368" s="355" t="s">
        <v>2238</v>
      </c>
      <c r="V368" s="355" t="s">
        <v>2237</v>
      </c>
      <c r="W368" s="355"/>
      <c r="X368" s="358"/>
      <c r="Y368" s="358"/>
      <c r="Z368" s="358"/>
      <c r="AA368" s="355"/>
      <c r="AB368" s="355"/>
      <c r="AC368" s="355"/>
      <c r="AD368" s="355"/>
      <c r="AE368" s="355"/>
    </row>
    <row r="369" spans="1:47" x14ac:dyDescent="0.3">
      <c r="A369" s="344" t="str">
        <f>'Reference Score Calculation'!A360</f>
        <v>JS9580</v>
      </c>
      <c r="B369" s="344" t="str">
        <f>'Reference Score Calculation'!D360</f>
        <v>教育榮譽學士（幼兒教育：領導及特殊教育需要）</v>
      </c>
      <c r="C369" s="355">
        <v>40</v>
      </c>
      <c r="D369" s="109">
        <v>3</v>
      </c>
      <c r="E369" s="109">
        <v>3</v>
      </c>
      <c r="F369" s="109">
        <v>2</v>
      </c>
      <c r="G369" s="109">
        <v>2</v>
      </c>
      <c r="H369" s="109">
        <v>2</v>
      </c>
      <c r="I369" s="109"/>
      <c r="K369" s="355">
        <f t="shared" si="153"/>
        <v>0</v>
      </c>
      <c r="L369" s="355">
        <f t="shared" si="154"/>
        <v>0</v>
      </c>
      <c r="M369" s="355">
        <f t="shared" si="155"/>
        <v>0</v>
      </c>
      <c r="N369" s="355">
        <f t="shared" si="156"/>
        <v>0</v>
      </c>
      <c r="O369" s="355">
        <f t="shared" si="157"/>
        <v>0</v>
      </c>
      <c r="R369" s="16">
        <f t="shared" si="158"/>
        <v>0</v>
      </c>
      <c r="S369" s="355"/>
      <c r="T369" s="355" t="s">
        <v>2237</v>
      </c>
      <c r="U369" s="355" t="s">
        <v>2238</v>
      </c>
      <c r="V369" s="355" t="s">
        <v>2237</v>
      </c>
      <c r="W369" s="355"/>
      <c r="X369" s="358"/>
      <c r="Y369" s="358"/>
      <c r="Z369" s="358"/>
      <c r="AA369" s="355"/>
      <c r="AB369" s="355"/>
      <c r="AC369" s="355"/>
      <c r="AD369" s="355"/>
      <c r="AE369" s="355"/>
    </row>
    <row r="370" spans="1:47" x14ac:dyDescent="0.3">
      <c r="A370" s="344" t="str">
        <f>'Reference Score Calculation'!A361</f>
        <v>JS9718</v>
      </c>
      <c r="B370" s="344" t="str">
        <f>'Reference Score Calculation'!D361</f>
        <v>電腦科學榮譽理學士</v>
      </c>
      <c r="C370" s="355">
        <v>35</v>
      </c>
      <c r="D370" s="109">
        <v>3</v>
      </c>
      <c r="E370" s="109">
        <v>3</v>
      </c>
      <c r="F370" s="109">
        <v>2</v>
      </c>
      <c r="G370" s="109">
        <v>2</v>
      </c>
      <c r="H370" s="109">
        <v>2</v>
      </c>
      <c r="I370" s="109"/>
      <c r="K370" s="355">
        <f t="shared" si="153"/>
        <v>0</v>
      </c>
      <c r="L370" s="355">
        <f t="shared" si="154"/>
        <v>0</v>
      </c>
      <c r="M370" s="355">
        <f t="shared" si="155"/>
        <v>0</v>
      </c>
      <c r="N370" s="355">
        <f t="shared" si="156"/>
        <v>0</v>
      </c>
      <c r="O370" s="355">
        <f t="shared" si="157"/>
        <v>0</v>
      </c>
      <c r="R370" s="16">
        <f t="shared" si="158"/>
        <v>0</v>
      </c>
      <c r="S370" s="355"/>
      <c r="T370" s="355" t="s">
        <v>2237</v>
      </c>
      <c r="U370" s="355" t="s">
        <v>2238</v>
      </c>
      <c r="V370" s="355" t="s">
        <v>2237</v>
      </c>
      <c r="W370" s="355"/>
      <c r="X370" s="358"/>
      <c r="Y370" s="358"/>
      <c r="Z370" s="358"/>
      <c r="AA370" s="355"/>
      <c r="AB370" s="355"/>
      <c r="AC370" s="355"/>
      <c r="AD370" s="355"/>
      <c r="AE370" s="355"/>
    </row>
    <row r="371" spans="1:47" x14ac:dyDescent="0.3">
      <c r="A371" s="344" t="str">
        <f>'Reference Score Calculation'!A362</f>
        <v>JS9719</v>
      </c>
      <c r="B371" s="344" t="str">
        <f>'Reference Score Calculation'!D362</f>
        <v>網路及電腦安全榮譽理學士</v>
      </c>
      <c r="C371" s="355">
        <v>30</v>
      </c>
      <c r="D371" s="109">
        <v>3</v>
      </c>
      <c r="E371" s="109">
        <v>3</v>
      </c>
      <c r="F371" s="109">
        <v>2</v>
      </c>
      <c r="G371" s="109">
        <v>2</v>
      </c>
      <c r="H371" s="109">
        <v>2</v>
      </c>
      <c r="I371" s="109"/>
      <c r="K371" s="355">
        <f t="shared" si="153"/>
        <v>0</v>
      </c>
      <c r="L371" s="355">
        <f t="shared" si="154"/>
        <v>0</v>
      </c>
      <c r="M371" s="355">
        <f t="shared" si="155"/>
        <v>0</v>
      </c>
      <c r="N371" s="355">
        <f t="shared" si="156"/>
        <v>0</v>
      </c>
      <c r="O371" s="355">
        <f t="shared" si="157"/>
        <v>0</v>
      </c>
      <c r="R371" s="16">
        <f t="shared" si="158"/>
        <v>0</v>
      </c>
      <c r="S371" s="355"/>
      <c r="T371" s="355" t="s">
        <v>2237</v>
      </c>
      <c r="U371" s="355" t="s">
        <v>2238</v>
      </c>
      <c r="V371" s="355" t="s">
        <v>2237</v>
      </c>
      <c r="W371" s="355"/>
      <c r="X371" s="358"/>
      <c r="Y371" s="358"/>
      <c r="Z371" s="358"/>
      <c r="AA371" s="355"/>
      <c r="AB371" s="355"/>
      <c r="AC371" s="355"/>
      <c r="AD371" s="355"/>
      <c r="AE371" s="355"/>
    </row>
    <row r="372" spans="1:47" x14ac:dyDescent="0.3">
      <c r="A372" s="344" t="str">
        <f>'Reference Score Calculation'!A363</f>
        <v>JS9720</v>
      </c>
      <c r="B372" s="344" t="str">
        <f>'Reference Score Calculation'!D363</f>
        <v>電子及電腦工程學榮譽工學士</v>
      </c>
      <c r="C372" s="355">
        <v>30</v>
      </c>
      <c r="D372" s="109">
        <v>3</v>
      </c>
      <c r="E372" s="109">
        <v>3</v>
      </c>
      <c r="F372" s="109">
        <v>2</v>
      </c>
      <c r="G372" s="109">
        <v>2</v>
      </c>
      <c r="H372" s="109">
        <v>2</v>
      </c>
      <c r="I372" s="109"/>
      <c r="K372" s="355">
        <f t="shared" si="153"/>
        <v>0</v>
      </c>
      <c r="L372" s="355">
        <f t="shared" si="154"/>
        <v>0</v>
      </c>
      <c r="M372" s="355">
        <f t="shared" si="155"/>
        <v>0</v>
      </c>
      <c r="N372" s="355">
        <f t="shared" si="156"/>
        <v>0</v>
      </c>
      <c r="O372" s="355">
        <f t="shared" si="157"/>
        <v>0</v>
      </c>
      <c r="R372" s="16">
        <f t="shared" si="158"/>
        <v>0</v>
      </c>
      <c r="S372" s="355"/>
      <c r="T372" s="355" t="s">
        <v>2237</v>
      </c>
      <c r="U372" s="355" t="s">
        <v>2238</v>
      </c>
      <c r="V372" s="355" t="s">
        <v>2237</v>
      </c>
      <c r="W372" s="355"/>
      <c r="X372" s="358"/>
      <c r="Y372" s="358"/>
      <c r="Z372" s="358"/>
      <c r="AA372" s="355"/>
      <c r="AB372" s="355"/>
      <c r="AC372" s="355"/>
      <c r="AD372" s="355"/>
      <c r="AE372" s="355"/>
    </row>
    <row r="373" spans="1:47" x14ac:dyDescent="0.3">
      <c r="A373" s="344" t="str">
        <f>'Reference Score Calculation'!A364</f>
        <v>JS9721</v>
      </c>
      <c r="B373" s="344" t="str">
        <f>'Reference Score Calculation'!D364</f>
        <v>屋宇設備工程及可持續發展榮譽工學士</v>
      </c>
      <c r="C373" s="355">
        <v>30</v>
      </c>
      <c r="D373" s="109">
        <v>3</v>
      </c>
      <c r="E373" s="109">
        <v>3</v>
      </c>
      <c r="F373" s="109">
        <v>2</v>
      </c>
      <c r="G373" s="109">
        <v>2</v>
      </c>
      <c r="H373" s="109">
        <v>2</v>
      </c>
      <c r="I373" s="109"/>
      <c r="K373" s="355">
        <f t="shared" si="153"/>
        <v>0</v>
      </c>
      <c r="L373" s="355">
        <f t="shared" si="154"/>
        <v>0</v>
      </c>
      <c r="M373" s="355">
        <f t="shared" si="155"/>
        <v>0</v>
      </c>
      <c r="N373" s="355">
        <f t="shared" si="156"/>
        <v>0</v>
      </c>
      <c r="O373" s="355">
        <f t="shared" si="157"/>
        <v>0</v>
      </c>
      <c r="R373" s="16">
        <f t="shared" si="158"/>
        <v>0</v>
      </c>
      <c r="S373" s="355"/>
      <c r="T373" s="355" t="s">
        <v>2237</v>
      </c>
      <c r="U373" s="355" t="s">
        <v>2238</v>
      </c>
      <c r="V373" s="355" t="s">
        <v>2237</v>
      </c>
      <c r="W373" s="355"/>
      <c r="X373" s="358"/>
      <c r="Y373" s="358"/>
      <c r="Z373" s="358"/>
      <c r="AA373" s="355"/>
      <c r="AB373" s="355"/>
      <c r="AC373" s="355"/>
      <c r="AD373" s="355"/>
      <c r="AE373" s="355"/>
    </row>
    <row r="374" spans="1:47" x14ac:dyDescent="0.3">
      <c r="A374" s="344" t="str">
        <f>'Reference Score Calculation'!A365</f>
        <v>JS9722</v>
      </c>
      <c r="B374" s="344" t="str">
        <f>'Reference Score Calculation'!D365</f>
        <v>土木及環境工程榮譽工學士</v>
      </c>
      <c r="C374" s="355">
        <v>30</v>
      </c>
      <c r="D374" s="109">
        <v>3</v>
      </c>
      <c r="E374" s="109">
        <v>3</v>
      </c>
      <c r="F374" s="109">
        <v>2</v>
      </c>
      <c r="G374" s="109">
        <v>2</v>
      </c>
      <c r="H374" s="109">
        <v>2</v>
      </c>
      <c r="I374" s="109"/>
      <c r="K374" s="355">
        <f t="shared" si="153"/>
        <v>0</v>
      </c>
      <c r="L374" s="355">
        <f t="shared" si="154"/>
        <v>0</v>
      </c>
      <c r="M374" s="355">
        <f t="shared" si="155"/>
        <v>0</v>
      </c>
      <c r="N374" s="355">
        <f t="shared" si="156"/>
        <v>0</v>
      </c>
      <c r="O374" s="355">
        <f t="shared" si="157"/>
        <v>0</v>
      </c>
      <c r="R374" s="16">
        <f t="shared" si="158"/>
        <v>0</v>
      </c>
      <c r="S374" s="355"/>
      <c r="T374" s="355" t="s">
        <v>2237</v>
      </c>
      <c r="U374" s="355" t="s">
        <v>2238</v>
      </c>
      <c r="V374" s="355" t="s">
        <v>2237</v>
      </c>
      <c r="W374" s="355"/>
      <c r="X374" s="358"/>
      <c r="Y374" s="358"/>
      <c r="Z374" s="358"/>
      <c r="AA374" s="355"/>
      <c r="AB374" s="355"/>
      <c r="AC374" s="355"/>
      <c r="AD374" s="355"/>
      <c r="AE374" s="355"/>
    </row>
    <row r="375" spans="1:47" x14ac:dyDescent="0.3">
      <c r="A375" s="344" t="str">
        <f>'Reference Score Calculation'!A366</f>
        <v>JS9731</v>
      </c>
      <c r="B375" s="344" t="str">
        <f>'Reference Score Calculation'!D366</f>
        <v>環境科學與綠色管理榮譽理學士</v>
      </c>
      <c r="C375" s="355">
        <v>35</v>
      </c>
      <c r="D375" s="109">
        <v>3</v>
      </c>
      <c r="E375" s="109">
        <v>3</v>
      </c>
      <c r="F375" s="109">
        <v>2</v>
      </c>
      <c r="G375" s="109">
        <v>2</v>
      </c>
      <c r="H375" s="109">
        <v>2</v>
      </c>
      <c r="I375" s="109"/>
      <c r="K375" s="355">
        <f t="shared" si="153"/>
        <v>0</v>
      </c>
      <c r="L375" s="355">
        <f t="shared" si="154"/>
        <v>0</v>
      </c>
      <c r="M375" s="355">
        <f t="shared" si="155"/>
        <v>0</v>
      </c>
      <c r="N375" s="355">
        <f t="shared" si="156"/>
        <v>0</v>
      </c>
      <c r="O375" s="355">
        <f t="shared" si="157"/>
        <v>0</v>
      </c>
      <c r="R375" s="16">
        <f t="shared" si="158"/>
        <v>0</v>
      </c>
      <c r="S375" s="355"/>
      <c r="T375" s="355" t="s">
        <v>2237</v>
      </c>
      <c r="U375" s="355" t="s">
        <v>2238</v>
      </c>
      <c r="V375" s="355" t="s">
        <v>2237</v>
      </c>
      <c r="W375" s="355"/>
      <c r="X375" s="358"/>
      <c r="Y375" s="358"/>
      <c r="Z375" s="358"/>
      <c r="AA375" s="355"/>
      <c r="AB375" s="355"/>
      <c r="AC375" s="355"/>
      <c r="AD375" s="355"/>
      <c r="AE375" s="355"/>
    </row>
    <row r="376" spans="1:47" x14ac:dyDescent="0.3">
      <c r="A376" s="344" t="str">
        <f>'Reference Score Calculation'!A367</f>
        <v>JS9732</v>
      </c>
      <c r="B376" s="344" t="str">
        <f>'Reference Score Calculation'!D367</f>
        <v>生命科學榮譽理學士</v>
      </c>
      <c r="C376" s="355">
        <v>30</v>
      </c>
      <c r="D376" s="109">
        <v>3</v>
      </c>
      <c r="E376" s="109">
        <v>3</v>
      </c>
      <c r="F376" s="109">
        <v>2</v>
      </c>
      <c r="G376" s="109">
        <v>2</v>
      </c>
      <c r="H376" s="109">
        <v>2</v>
      </c>
      <c r="I376" s="109"/>
      <c r="K376" s="355">
        <f t="shared" si="153"/>
        <v>0</v>
      </c>
      <c r="L376" s="355">
        <f t="shared" si="154"/>
        <v>0</v>
      </c>
      <c r="M376" s="355">
        <f t="shared" si="155"/>
        <v>0</v>
      </c>
      <c r="N376" s="355">
        <f t="shared" si="156"/>
        <v>0</v>
      </c>
      <c r="O376" s="355">
        <f t="shared" si="157"/>
        <v>0</v>
      </c>
      <c r="R376" s="16">
        <f t="shared" si="158"/>
        <v>0</v>
      </c>
      <c r="S376" s="355"/>
      <c r="T376" s="355" t="s">
        <v>2237</v>
      </c>
      <c r="U376" s="355" t="s">
        <v>2238</v>
      </c>
      <c r="V376" s="355" t="s">
        <v>2237</v>
      </c>
      <c r="W376" s="355"/>
      <c r="X376" s="358"/>
      <c r="Y376" s="358"/>
      <c r="Z376" s="358"/>
      <c r="AA376" s="355"/>
      <c r="AB376" s="355"/>
      <c r="AC376" s="355"/>
      <c r="AD376" s="355"/>
      <c r="AE376" s="355"/>
    </row>
    <row r="377" spans="1:47" x14ac:dyDescent="0.3">
      <c r="A377" s="344" t="str">
        <f>'Reference Score Calculation'!A368</f>
        <v>JS9733</v>
      </c>
      <c r="B377" s="344" t="str">
        <f>'Reference Score Calculation'!D368</f>
        <v>科學（ＳＴＥＭ）榮譽理學士</v>
      </c>
      <c r="C377" s="355">
        <v>30</v>
      </c>
      <c r="D377" s="380">
        <v>3</v>
      </c>
      <c r="E377" s="380">
        <v>3</v>
      </c>
      <c r="F377" s="380">
        <v>2</v>
      </c>
      <c r="G377" s="380">
        <v>2</v>
      </c>
      <c r="H377" s="380">
        <v>2</v>
      </c>
      <c r="I377" s="109"/>
      <c r="K377" s="355">
        <f t="shared" si="153"/>
        <v>0</v>
      </c>
      <c r="L377" s="355">
        <f t="shared" si="154"/>
        <v>0</v>
      </c>
      <c r="M377" s="355">
        <f t="shared" si="155"/>
        <v>0</v>
      </c>
      <c r="N377" s="355">
        <f t="shared" si="156"/>
        <v>0</v>
      </c>
      <c r="O377" s="355">
        <f t="shared" si="157"/>
        <v>0</v>
      </c>
      <c r="R377" s="355">
        <f t="shared" si="158"/>
        <v>0</v>
      </c>
      <c r="S377" s="355"/>
      <c r="T377" s="355" t="s">
        <v>2237</v>
      </c>
      <c r="U377" s="355" t="s">
        <v>2238</v>
      </c>
      <c r="V377" s="355" t="s">
        <v>2237</v>
      </c>
      <c r="W377" s="355"/>
      <c r="X377" s="358"/>
      <c r="Y377" s="358"/>
      <c r="Z377" s="358"/>
      <c r="AA377" s="355"/>
      <c r="AB377" s="355"/>
      <c r="AC377" s="355"/>
      <c r="AD377" s="355"/>
      <c r="AE377" s="355"/>
    </row>
    <row r="378" spans="1:47" x14ac:dyDescent="0.3">
      <c r="A378" s="11" t="s">
        <v>1713</v>
      </c>
      <c r="D378" s="109"/>
      <c r="E378" s="109"/>
      <c r="F378" s="109"/>
      <c r="G378" s="109"/>
      <c r="H378" s="109"/>
      <c r="I378" s="109"/>
      <c r="S378" s="355"/>
      <c r="T378" s="355"/>
      <c r="U378" s="355"/>
      <c r="V378" s="355"/>
      <c r="W378" s="355"/>
      <c r="X378" s="358"/>
      <c r="Y378" s="358"/>
      <c r="Z378" s="358"/>
      <c r="AA378" s="355"/>
      <c r="AB378" s="355"/>
      <c r="AC378" s="355"/>
      <c r="AD378" s="355"/>
      <c r="AE378" s="355"/>
    </row>
    <row r="379" spans="1:47" x14ac:dyDescent="0.3">
      <c r="A379" s="11" t="s">
        <v>1942</v>
      </c>
      <c r="B379" s="11" t="s">
        <v>1944</v>
      </c>
      <c r="C379" s="356" t="s">
        <v>1950</v>
      </c>
      <c r="D379" s="111" t="s">
        <v>1953</v>
      </c>
      <c r="E379" s="111" t="s">
        <v>1954</v>
      </c>
      <c r="F379" s="111" t="s">
        <v>1955</v>
      </c>
      <c r="G379" s="111" t="s">
        <v>1956</v>
      </c>
      <c r="H379" s="111" t="s">
        <v>1957</v>
      </c>
      <c r="I379" s="111"/>
      <c r="J379" s="16"/>
      <c r="K379" s="19" t="s">
        <v>1953</v>
      </c>
      <c r="L379" s="19" t="s">
        <v>1954</v>
      </c>
      <c r="M379" s="19" t="s">
        <v>1955</v>
      </c>
      <c r="N379" s="19" t="s">
        <v>1956</v>
      </c>
      <c r="O379" s="19" t="s">
        <v>1957</v>
      </c>
      <c r="S379" s="355"/>
      <c r="T379" s="355" t="s">
        <v>2233</v>
      </c>
      <c r="U379" s="355" t="s">
        <v>2234</v>
      </c>
      <c r="V379" s="355" t="s">
        <v>2235</v>
      </c>
      <c r="W379" s="355"/>
      <c r="X379" s="358"/>
      <c r="Y379" s="358"/>
      <c r="Z379" s="358"/>
      <c r="AA379" s="394" t="s">
        <v>2460</v>
      </c>
      <c r="AB379" s="394" t="s">
        <v>2236</v>
      </c>
      <c r="AC379" s="384"/>
      <c r="AD379" s="389"/>
      <c r="AE379" s="389"/>
      <c r="AF379" s="389"/>
      <c r="AG379" s="389"/>
      <c r="AH379" s="389"/>
      <c r="AI379" s="389"/>
      <c r="AJ379" s="389"/>
      <c r="AM379" s="355" t="s">
        <v>2233</v>
      </c>
      <c r="AN379" s="355" t="s">
        <v>2234</v>
      </c>
      <c r="AO379" s="355" t="s">
        <v>2235</v>
      </c>
    </row>
    <row r="380" spans="1:47" x14ac:dyDescent="0.3">
      <c r="A380" s="2" t="str">
        <f>'Reference Score Calculation'!A371</f>
        <v>JSSA01</v>
      </c>
      <c r="B380" s="21" t="str">
        <f>'Reference Score Calculation'!D371</f>
        <v>護理學榮譽學士</v>
      </c>
      <c r="C380" s="380">
        <v>520</v>
      </c>
      <c r="D380" s="109">
        <v>3</v>
      </c>
      <c r="E380" s="109">
        <v>3</v>
      </c>
      <c r="F380" s="109">
        <v>2</v>
      </c>
      <c r="G380" s="109">
        <v>2</v>
      </c>
      <c r="H380" s="109">
        <v>2</v>
      </c>
      <c r="I380" s="109"/>
      <c r="K380" s="355">
        <f t="shared" ref="K380" si="159">IF(D380&gt;D$3,0,1)</f>
        <v>0</v>
      </c>
      <c r="L380" s="355">
        <f t="shared" ref="L380" si="160">IF(E380&gt;E$3,0,1)</f>
        <v>0</v>
      </c>
      <c r="M380" s="355">
        <f t="shared" ref="M380" si="161">IF(F380&gt;F$3,0,1)</f>
        <v>0</v>
      </c>
      <c r="N380" s="355">
        <f t="shared" ref="N380" si="162">IF(G380&gt;G$3,0,1)</f>
        <v>0</v>
      </c>
      <c r="O380" s="355">
        <f>IF(H380&gt;LARGE($I$3:$L$3,1),0,IF(AI382&lt;2,2,1))</f>
        <v>0</v>
      </c>
      <c r="R380" s="16">
        <f>K380*L380*M380*N380*O380</f>
        <v>0</v>
      </c>
      <c r="S380" s="355"/>
      <c r="T380" s="355" t="s">
        <v>2239</v>
      </c>
      <c r="U380" s="355" t="s">
        <v>2239</v>
      </c>
      <c r="V380" s="355" t="s">
        <v>2239</v>
      </c>
      <c r="W380" s="355"/>
      <c r="X380" s="358" t="s">
        <v>3571</v>
      </c>
      <c r="Y380" s="358" t="s">
        <v>1978</v>
      </c>
      <c r="Z380" s="358"/>
      <c r="AA380" s="390"/>
      <c r="AB380" s="390"/>
      <c r="AC380" s="390"/>
      <c r="AD380" s="390"/>
      <c r="AE380" s="390"/>
      <c r="AF380" s="390"/>
      <c r="AG380" s="390"/>
      <c r="AH380" s="384"/>
      <c r="AI380" s="384"/>
      <c r="AJ380" s="384"/>
      <c r="AL380" s="16" t="s">
        <v>1714</v>
      </c>
      <c r="AM380" s="355"/>
      <c r="AN380" s="355"/>
      <c r="AO380" s="355"/>
    </row>
    <row r="381" spans="1:47" x14ac:dyDescent="0.3">
      <c r="A381" s="344" t="str">
        <f>'Reference Score Calculation'!A372</f>
        <v>JSSA02</v>
      </c>
      <c r="B381" s="358" t="str">
        <f>'Reference Score Calculation'!D372</f>
        <v>數碼娛樂科技（榮譽）理學士</v>
      </c>
      <c r="C381" s="380">
        <v>30</v>
      </c>
      <c r="D381" s="109">
        <v>3</v>
      </c>
      <c r="E381" s="109">
        <v>3</v>
      </c>
      <c r="F381" s="109">
        <v>2</v>
      </c>
      <c r="G381" s="109">
        <v>2</v>
      </c>
      <c r="H381" s="109">
        <v>2</v>
      </c>
      <c r="I381" s="109"/>
      <c r="K381" s="355">
        <f t="shared" ref="K381:K423" si="163">IF(D381&gt;D$3,0,1)</f>
        <v>0</v>
      </c>
      <c r="L381" s="355">
        <f t="shared" ref="L381:L423" si="164">IF(E381&gt;E$3,0,1)</f>
        <v>0</v>
      </c>
      <c r="M381" s="355">
        <f t="shared" ref="M381:M423" si="165">IF(F381&gt;F$3,0,1)</f>
        <v>0</v>
      </c>
      <c r="N381" s="355">
        <f t="shared" ref="N381:N423" si="166">IF(G381&gt;G$3,0,1)</f>
        <v>0</v>
      </c>
      <c r="O381" s="355">
        <f>IF(H381&gt;LARGE($H$3:$L$3,1),0,1)</f>
        <v>0</v>
      </c>
      <c r="R381" s="16">
        <f t="shared" ref="R381:R423" si="167">K381*L381*M381*N381*O381</f>
        <v>0</v>
      </c>
      <c r="S381" s="355"/>
      <c r="T381" s="355" t="s">
        <v>2237</v>
      </c>
      <c r="U381" s="355" t="s">
        <v>2239</v>
      </c>
      <c r="V381" s="355" t="s">
        <v>2237</v>
      </c>
      <c r="W381" s="355"/>
      <c r="X381" s="358" t="s">
        <v>1970</v>
      </c>
      <c r="Y381" s="358" t="s">
        <v>1970</v>
      </c>
      <c r="Z381" s="358"/>
      <c r="AA381" s="390" t="s">
        <v>2351</v>
      </c>
      <c r="AB381" s="390" t="str">
        <f>I$2</f>
        <v>請選擇第一選修科</v>
      </c>
      <c r="AC381" s="390" t="str">
        <f>J$2</f>
        <v>請選擇第二選修科</v>
      </c>
      <c r="AD381" s="390" t="str">
        <f>K$2</f>
        <v>請選擇第三選修科</v>
      </c>
      <c r="AE381" s="390" t="str">
        <f>L$2</f>
        <v>請選擇第四選修科</v>
      </c>
      <c r="AF381" s="390"/>
      <c r="AG381" s="390"/>
      <c r="AH381" s="390" t="s">
        <v>3201</v>
      </c>
      <c r="AI381" s="390"/>
      <c r="AJ381" s="384"/>
      <c r="AL381" s="16" t="s">
        <v>1718</v>
      </c>
      <c r="AM381" s="355" t="s">
        <v>2237</v>
      </c>
      <c r="AN381" s="355"/>
      <c r="AO381" s="355" t="s">
        <v>2237</v>
      </c>
    </row>
    <row r="382" spans="1:47" x14ac:dyDescent="0.3">
      <c r="A382" s="344" t="str">
        <f>'Reference Score Calculation'!A373</f>
        <v>JSSA03</v>
      </c>
      <c r="B382" s="358" t="str">
        <f>'Reference Score Calculation'!D373</f>
        <v>物理治療學（榮譽）理學士</v>
      </c>
      <c r="C382" s="380">
        <v>50</v>
      </c>
      <c r="D382" s="109">
        <v>3</v>
      </c>
      <c r="E382" s="109">
        <v>3</v>
      </c>
      <c r="F382" s="109">
        <v>2</v>
      </c>
      <c r="G382" s="109">
        <v>2</v>
      </c>
      <c r="H382" s="109">
        <v>2</v>
      </c>
      <c r="I382" s="113"/>
      <c r="J382" s="60"/>
      <c r="K382" s="355">
        <f t="shared" si="163"/>
        <v>0</v>
      </c>
      <c r="L382" s="355">
        <f>IF(E382&gt;E$3,0,IF(E$3&lt;4,2,1))</f>
        <v>0</v>
      </c>
      <c r="M382" s="355">
        <f t="shared" si="165"/>
        <v>0</v>
      </c>
      <c r="N382" s="355">
        <f t="shared" si="166"/>
        <v>0</v>
      </c>
      <c r="O382" s="16">
        <f>IF(H382&gt;LARGE($H$3:$M$3,1),0,IF(AI386&lt;3,2,1))</f>
        <v>0</v>
      </c>
      <c r="P382" s="16"/>
      <c r="Q382" s="16"/>
      <c r="R382" s="16">
        <f>IF(K382*L382*M382*N382*O382&gt;2,2,K382*L382*M382*N382*O382)</f>
        <v>0</v>
      </c>
      <c r="S382" s="355"/>
      <c r="T382" s="355" t="s">
        <v>2237</v>
      </c>
      <c r="U382" s="355" t="s">
        <v>2239</v>
      </c>
      <c r="V382" s="355" t="s">
        <v>2239</v>
      </c>
      <c r="W382" s="355"/>
      <c r="X382" s="358" t="s">
        <v>3569</v>
      </c>
      <c r="Y382" s="358" t="s">
        <v>3572</v>
      </c>
      <c r="Z382" s="358"/>
      <c r="AA382" s="390" t="s">
        <v>2357</v>
      </c>
      <c r="AB382" s="391">
        <f>IF(OR(I$2="生物",I$2="組合科學(生物、化學)",I$2="組合科學(物理、生物)"),I$3,0)</f>
        <v>0</v>
      </c>
      <c r="AC382" s="391">
        <f t="shared" ref="AC382:AE382" si="168">IF(OR(J$2="生物",J$2="組合科學(生物、化學)",J$2="組合科學(物理、生物)"),J$3,0)</f>
        <v>0</v>
      </c>
      <c r="AD382" s="391">
        <f t="shared" si="168"/>
        <v>0</v>
      </c>
      <c r="AE382" s="391">
        <f t="shared" si="168"/>
        <v>0</v>
      </c>
      <c r="AF382" s="390"/>
      <c r="AG382" s="390"/>
      <c r="AH382" s="391" t="str">
        <f>IF(AI382&gt;0.1,INDEX(AB381:AE381,MATCH(LARGE(AB382:AE382,1),AB382:AE382,0)),"無")</f>
        <v>無</v>
      </c>
      <c r="AI382" s="391">
        <f>LARGE((AB382:AE382),1)</f>
        <v>0</v>
      </c>
      <c r="AJ382" s="384"/>
      <c r="AL382" s="16" t="s">
        <v>1722</v>
      </c>
      <c r="AM382" s="355" t="s">
        <v>2237</v>
      </c>
      <c r="AN382" s="355"/>
      <c r="AO382" s="355"/>
    </row>
    <row r="383" spans="1:47" customFormat="1" ht="13.5" customHeight="1" x14ac:dyDescent="0.3">
      <c r="A383" s="344" t="str">
        <f>'Reference Score Calculation'!A374</f>
        <v>JSSA04</v>
      </c>
      <c r="B383" s="358" t="str">
        <f>'Reference Score Calculation'!D374</f>
        <v>人工智能（榮譽）理學士</v>
      </c>
      <c r="C383" s="380">
        <v>30</v>
      </c>
      <c r="D383" s="109">
        <v>3</v>
      </c>
      <c r="E383" s="109">
        <v>3</v>
      </c>
      <c r="F383" s="109">
        <v>2</v>
      </c>
      <c r="G383" s="109">
        <v>2</v>
      </c>
      <c r="H383" s="109">
        <v>2</v>
      </c>
      <c r="I383" s="113"/>
      <c r="J383" s="60"/>
      <c r="K383" s="355">
        <f t="shared" si="163"/>
        <v>0</v>
      </c>
      <c r="L383" s="355">
        <f t="shared" si="164"/>
        <v>0</v>
      </c>
      <c r="M383" s="355">
        <f t="shared" si="165"/>
        <v>0</v>
      </c>
      <c r="N383" s="355">
        <f t="shared" si="166"/>
        <v>0</v>
      </c>
      <c r="O383" s="355">
        <f>IF(H383&gt;LARGE($H$3:$L$3,1),0,1)</f>
        <v>0</v>
      </c>
      <c r="P383" s="16"/>
      <c r="Q383" s="16"/>
      <c r="R383" s="16">
        <f t="shared" si="167"/>
        <v>0</v>
      </c>
      <c r="S383" s="355"/>
      <c r="T383" s="355" t="s">
        <v>2237</v>
      </c>
      <c r="U383" s="355" t="s">
        <v>2239</v>
      </c>
      <c r="V383" s="355" t="s">
        <v>2239</v>
      </c>
      <c r="W383" s="355"/>
      <c r="X383" s="358" t="s">
        <v>1978</v>
      </c>
      <c r="Y383" s="358" t="s">
        <v>1978</v>
      </c>
      <c r="Z383" s="358"/>
      <c r="AA383" s="390" t="s">
        <v>3585</v>
      </c>
      <c r="AB383" s="417" t="s">
        <v>3577</v>
      </c>
      <c r="AC383" s="390"/>
      <c r="AD383" s="390"/>
      <c r="AE383" s="390"/>
      <c r="AF383" s="390"/>
      <c r="AG383" s="390"/>
      <c r="AH383" s="390"/>
      <c r="AI383" s="384"/>
      <c r="AJ383" s="384"/>
      <c r="AK383" s="16"/>
      <c r="AL383" s="16" t="s">
        <v>1726</v>
      </c>
      <c r="AM383" s="355" t="s">
        <v>2237</v>
      </c>
      <c r="AN383" s="355"/>
      <c r="AO383" s="355"/>
      <c r="AP383" s="2"/>
      <c r="AQ383" s="2"/>
      <c r="AR383" s="2"/>
      <c r="AS383" s="114"/>
      <c r="AT383" s="114"/>
      <c r="AU383" s="114"/>
    </row>
    <row r="384" spans="1:47" customFormat="1" ht="13.5" customHeight="1" x14ac:dyDescent="0.3">
      <c r="A384" s="344" t="str">
        <f>'Reference Score Calculation'!A375</f>
        <v>JSSC02</v>
      </c>
      <c r="B384" s="358" t="str">
        <f>'Reference Score Calculation'!D375</f>
        <v>建築學（榮譽）理學士</v>
      </c>
      <c r="C384" s="380">
        <v>60</v>
      </c>
      <c r="D384" s="109">
        <v>3</v>
      </c>
      <c r="E384" s="109">
        <v>3</v>
      </c>
      <c r="F384" s="109">
        <v>2</v>
      </c>
      <c r="G384" s="109">
        <v>2</v>
      </c>
      <c r="H384" s="109">
        <v>2</v>
      </c>
      <c r="I384" s="109"/>
      <c r="J384" s="2"/>
      <c r="K384" s="355">
        <f t="shared" si="163"/>
        <v>0</v>
      </c>
      <c r="L384" s="355">
        <f t="shared" si="164"/>
        <v>0</v>
      </c>
      <c r="M384" s="355">
        <f t="shared" si="165"/>
        <v>0</v>
      </c>
      <c r="N384" s="355">
        <f t="shared" si="166"/>
        <v>0</v>
      </c>
      <c r="O384" s="355">
        <f>IF(H384&gt;LARGE($H$3:$M$3,1),0,1)</f>
        <v>0</v>
      </c>
      <c r="P384" s="2"/>
      <c r="Q384" s="2"/>
      <c r="R384" s="16">
        <f t="shared" si="167"/>
        <v>0</v>
      </c>
      <c r="S384" s="355"/>
      <c r="T384" s="355" t="s">
        <v>2237</v>
      </c>
      <c r="U384" s="355" t="s">
        <v>2238</v>
      </c>
      <c r="V384" s="355" t="s">
        <v>2239</v>
      </c>
      <c r="W384" s="355"/>
      <c r="X384" s="358" t="s">
        <v>1978</v>
      </c>
      <c r="Y384" s="358" t="s">
        <v>1978</v>
      </c>
      <c r="Z384" s="358"/>
      <c r="AA384" s="390"/>
      <c r="AB384" s="390"/>
      <c r="AC384" s="390"/>
      <c r="AD384" s="390"/>
      <c r="AE384" s="390"/>
      <c r="AF384" s="390"/>
      <c r="AG384" s="390"/>
      <c r="AH384" s="384"/>
      <c r="AI384" s="384"/>
      <c r="AJ384" s="384"/>
      <c r="AK384" s="16"/>
      <c r="AL384" s="16" t="s">
        <v>1730</v>
      </c>
      <c r="AM384" s="355" t="s">
        <v>2237</v>
      </c>
      <c r="AN384" s="355" t="s">
        <v>2238</v>
      </c>
      <c r="AO384" s="355"/>
      <c r="AP384" s="2"/>
      <c r="AQ384" s="2"/>
      <c r="AR384" s="2"/>
      <c r="AS384" s="114"/>
      <c r="AT384" s="114"/>
      <c r="AU384" s="114"/>
    </row>
    <row r="385" spans="1:41" x14ac:dyDescent="0.3">
      <c r="A385" s="344" t="str">
        <f>'Reference Score Calculation'!A376</f>
        <v>JSSC03</v>
      </c>
      <c r="B385" s="358" t="str">
        <f>'Reference Score Calculation'!D376</f>
        <v>資訊科學（榮譽）理學士</v>
      </c>
      <c r="C385" s="380">
        <v>20</v>
      </c>
      <c r="D385" s="109">
        <v>3</v>
      </c>
      <c r="E385" s="109">
        <v>3</v>
      </c>
      <c r="F385" s="109">
        <v>2</v>
      </c>
      <c r="G385" s="109">
        <v>2</v>
      </c>
      <c r="H385" s="109">
        <v>2</v>
      </c>
      <c r="I385" s="109"/>
      <c r="K385" s="355">
        <f t="shared" si="163"/>
        <v>0</v>
      </c>
      <c r="L385" s="355">
        <f t="shared" si="164"/>
        <v>0</v>
      </c>
      <c r="M385" s="355">
        <f t="shared" si="165"/>
        <v>0</v>
      </c>
      <c r="N385" s="355">
        <f t="shared" si="166"/>
        <v>0</v>
      </c>
      <c r="O385" s="355">
        <f t="shared" ref="O385:O386" si="169">IF(H385&gt;LARGE($H$3:$M$3,1),0,1)</f>
        <v>0</v>
      </c>
      <c r="R385" s="16">
        <f t="shared" si="167"/>
        <v>0</v>
      </c>
      <c r="S385" s="355"/>
      <c r="T385" s="355" t="s">
        <v>2237</v>
      </c>
      <c r="U385" s="355" t="s">
        <v>2238</v>
      </c>
      <c r="V385" s="355" t="s">
        <v>2239</v>
      </c>
      <c r="W385" s="355"/>
      <c r="X385" s="358" t="s">
        <v>1978</v>
      </c>
      <c r="Y385" s="358" t="s">
        <v>1978</v>
      </c>
      <c r="Z385" s="358"/>
      <c r="AA385" s="390"/>
      <c r="AB385" s="390" t="str">
        <f>I$2</f>
        <v>請選擇第一選修科</v>
      </c>
      <c r="AC385" s="390" t="str">
        <f>J$2</f>
        <v>請選擇第二選修科</v>
      </c>
      <c r="AD385" s="390" t="str">
        <f>K$2</f>
        <v>請選擇第三選修科</v>
      </c>
      <c r="AE385" s="390" t="str">
        <f>L$2</f>
        <v>請選擇第四選修科</v>
      </c>
      <c r="AF385" s="390"/>
      <c r="AG385" s="390"/>
      <c r="AH385" s="390" t="s">
        <v>3201</v>
      </c>
      <c r="AI385" s="390"/>
      <c r="AJ385" s="384"/>
      <c r="AL385" s="16" t="s">
        <v>1734</v>
      </c>
      <c r="AM385" s="355" t="s">
        <v>2237</v>
      </c>
      <c r="AN385" s="355" t="s">
        <v>2238</v>
      </c>
      <c r="AO385" s="355"/>
    </row>
    <row r="386" spans="1:41" x14ac:dyDescent="0.3">
      <c r="A386" s="344" t="str">
        <f>'Reference Score Calculation'!A377</f>
        <v>JSSC04</v>
      </c>
      <c r="B386" s="358" t="str">
        <f>'Reference Score Calculation'!D377</f>
        <v>傳播及跨媒體（榮譽）文學士</v>
      </c>
      <c r="C386" s="380">
        <v>20</v>
      </c>
      <c r="D386" s="109">
        <v>3</v>
      </c>
      <c r="E386" s="109">
        <v>3</v>
      </c>
      <c r="F386" s="109">
        <v>2</v>
      </c>
      <c r="G386" s="109">
        <v>2</v>
      </c>
      <c r="H386" s="109">
        <v>2</v>
      </c>
      <c r="I386" s="109"/>
      <c r="K386" s="355">
        <f t="shared" si="163"/>
        <v>0</v>
      </c>
      <c r="L386" s="355">
        <f t="shared" si="164"/>
        <v>0</v>
      </c>
      <c r="M386" s="355">
        <f t="shared" si="165"/>
        <v>0</v>
      </c>
      <c r="N386" s="355">
        <f t="shared" si="166"/>
        <v>0</v>
      </c>
      <c r="O386" s="355">
        <f t="shared" si="169"/>
        <v>0</v>
      </c>
      <c r="R386" s="16">
        <f t="shared" si="167"/>
        <v>0</v>
      </c>
      <c r="S386" s="355"/>
      <c r="T386" s="355" t="s">
        <v>2237</v>
      </c>
      <c r="U386" s="355" t="s">
        <v>2238</v>
      </c>
      <c r="V386" s="355" t="s">
        <v>2239</v>
      </c>
      <c r="W386" s="355"/>
      <c r="X386" s="358" t="s">
        <v>1978</v>
      </c>
      <c r="Y386" s="358" t="s">
        <v>1978</v>
      </c>
      <c r="Z386" s="358"/>
      <c r="AA386" s="390" t="s">
        <v>2352</v>
      </c>
      <c r="AB386" s="391">
        <f>IF(OR(I$2="生物",I$2="物理",I$2="組合科學(物理、生物)"),I$3,0)</f>
        <v>0</v>
      </c>
      <c r="AC386" s="391">
        <f t="shared" ref="AC386:AE386" si="170">IF(OR(J$2="生物",J$2="物理",J$2="組合科學(物理、生物)"),J$3,0)</f>
        <v>0</v>
      </c>
      <c r="AD386" s="391">
        <f t="shared" si="170"/>
        <v>0</v>
      </c>
      <c r="AE386" s="391">
        <f t="shared" si="170"/>
        <v>0</v>
      </c>
      <c r="AF386" s="390"/>
      <c r="AG386" s="390"/>
      <c r="AH386" s="391" t="str">
        <f>IF(AI386&gt;0.1,INDEX(AB385:AE385,MATCH(LARGE(AB386:AE386,1),AB386:AE386,0)),"無")</f>
        <v>無</v>
      </c>
      <c r="AI386" s="391">
        <f>LARGE((AB386:AE386),1)</f>
        <v>0</v>
      </c>
      <c r="AJ386" s="384"/>
      <c r="AL386" s="16" t="s">
        <v>1738</v>
      </c>
      <c r="AM386" s="355" t="s">
        <v>2237</v>
      </c>
      <c r="AN386" s="355" t="s">
        <v>2238</v>
      </c>
      <c r="AO386" s="355"/>
    </row>
    <row r="387" spans="1:41" x14ac:dyDescent="0.3">
      <c r="A387" s="344" t="str">
        <f>'Reference Score Calculation'!A378</f>
        <v>JSSH01</v>
      </c>
      <c r="B387" s="358" t="str">
        <f>'Reference Score Calculation'!D378</f>
        <v>供應鏈管理工商管理（榮譽）學士</v>
      </c>
      <c r="C387" s="380">
        <v>105</v>
      </c>
      <c r="D387" s="109">
        <v>3</v>
      </c>
      <c r="E387" s="109">
        <v>3</v>
      </c>
      <c r="F387" s="109">
        <v>2</v>
      </c>
      <c r="G387" s="109">
        <v>2</v>
      </c>
      <c r="H387" s="109">
        <v>2</v>
      </c>
      <c r="I387" s="109"/>
      <c r="K387" s="355">
        <f t="shared" si="163"/>
        <v>0</v>
      </c>
      <c r="L387" s="355">
        <f t="shared" si="164"/>
        <v>0</v>
      </c>
      <c r="M387" s="355">
        <f t="shared" si="165"/>
        <v>0</v>
      </c>
      <c r="N387" s="355">
        <f t="shared" si="166"/>
        <v>0</v>
      </c>
      <c r="O387" s="355">
        <f>IF(H387&gt;LARGE($I$3:$L$3,1),0,1)</f>
        <v>0</v>
      </c>
      <c r="R387" s="16">
        <f t="shared" si="167"/>
        <v>0</v>
      </c>
      <c r="S387" s="355"/>
      <c r="T387" s="355" t="s">
        <v>2239</v>
      </c>
      <c r="U387" s="355" t="s">
        <v>2239</v>
      </c>
      <c r="V387" s="355" t="s">
        <v>2239</v>
      </c>
      <c r="W387" s="355"/>
      <c r="X387" s="358" t="s">
        <v>1978</v>
      </c>
      <c r="Y387" s="358" t="s">
        <v>1978</v>
      </c>
      <c r="Z387" s="358"/>
      <c r="AA387" s="390"/>
      <c r="AB387" s="417" t="s">
        <v>3583</v>
      </c>
      <c r="AC387" s="390"/>
      <c r="AD387" s="390"/>
      <c r="AE387" s="390"/>
      <c r="AF387" s="390"/>
      <c r="AG387" s="390"/>
      <c r="AH387" s="390"/>
      <c r="AI387" s="384"/>
      <c r="AJ387" s="384"/>
      <c r="AL387" s="16" t="s">
        <v>1742</v>
      </c>
      <c r="AM387" s="355"/>
      <c r="AN387" s="355"/>
      <c r="AO387" s="355"/>
    </row>
    <row r="388" spans="1:41" x14ac:dyDescent="0.3">
      <c r="A388" s="344" t="str">
        <f>'Reference Score Calculation'!A379</f>
        <v>JSSH02</v>
      </c>
      <c r="B388" s="358" t="str">
        <f>'Reference Score Calculation'!D379</f>
        <v>精算及保險 （榮譽）理學士</v>
      </c>
      <c r="C388" s="380">
        <v>35</v>
      </c>
      <c r="D388" s="109">
        <v>3</v>
      </c>
      <c r="E388" s="109">
        <v>3</v>
      </c>
      <c r="F388" s="109">
        <v>2</v>
      </c>
      <c r="G388" s="109">
        <v>2</v>
      </c>
      <c r="H388" s="109">
        <v>2</v>
      </c>
      <c r="I388" s="109"/>
      <c r="K388" s="355">
        <f t="shared" si="163"/>
        <v>0</v>
      </c>
      <c r="L388" s="355">
        <f t="shared" si="164"/>
        <v>0</v>
      </c>
      <c r="M388" s="355">
        <f t="shared" si="165"/>
        <v>0</v>
      </c>
      <c r="N388" s="355">
        <f t="shared" si="166"/>
        <v>0</v>
      </c>
      <c r="O388" s="355">
        <f t="shared" ref="O388:O392" si="171">IF(H388&gt;LARGE($I$3:$L$3,1),0,1)</f>
        <v>0</v>
      </c>
      <c r="R388" s="16">
        <f t="shared" si="167"/>
        <v>0</v>
      </c>
      <c r="S388" s="355"/>
      <c r="T388" s="355" t="s">
        <v>2239</v>
      </c>
      <c r="U388" s="355" t="s">
        <v>2239</v>
      </c>
      <c r="V388" s="355" t="s">
        <v>2239</v>
      </c>
      <c r="W388" s="355"/>
      <c r="X388" s="358" t="s">
        <v>1978</v>
      </c>
      <c r="Y388" s="358" t="s">
        <v>1978</v>
      </c>
      <c r="Z388" s="358"/>
      <c r="AA388" s="390"/>
      <c r="AB388" s="390"/>
      <c r="AC388" s="390"/>
      <c r="AD388" s="390"/>
      <c r="AE388" s="390"/>
      <c r="AF388" s="390"/>
      <c r="AG388" s="390"/>
      <c r="AH388" s="384"/>
      <c r="AI388" s="384"/>
      <c r="AJ388" s="384"/>
      <c r="AL388" s="16" t="s">
        <v>1746</v>
      </c>
      <c r="AM388" s="355"/>
      <c r="AN388" s="355"/>
      <c r="AO388" s="355"/>
    </row>
    <row r="389" spans="1:41" x14ac:dyDescent="0.3">
      <c r="A389" s="344" t="str">
        <f>'Reference Score Calculation'!A380</f>
        <v>JSSH03</v>
      </c>
      <c r="B389" s="358" t="str">
        <f>'Reference Score Calculation'!D380</f>
        <v>計算機應用（榮譽）理學士</v>
      </c>
      <c r="C389" s="380">
        <v>60</v>
      </c>
      <c r="D389" s="109">
        <v>3</v>
      </c>
      <c r="E389" s="109">
        <v>3</v>
      </c>
      <c r="F389" s="109">
        <v>2</v>
      </c>
      <c r="G389" s="109">
        <v>2</v>
      </c>
      <c r="H389" s="109">
        <v>2</v>
      </c>
      <c r="I389" s="109"/>
      <c r="K389" s="355">
        <f t="shared" si="163"/>
        <v>0</v>
      </c>
      <c r="L389" s="355">
        <f t="shared" si="164"/>
        <v>0</v>
      </c>
      <c r="M389" s="355">
        <f t="shared" si="165"/>
        <v>0</v>
      </c>
      <c r="N389" s="355">
        <f t="shared" si="166"/>
        <v>0</v>
      </c>
      <c r="O389" s="355">
        <f t="shared" si="171"/>
        <v>0</v>
      </c>
      <c r="R389" s="16">
        <f t="shared" si="167"/>
        <v>0</v>
      </c>
      <c r="S389" s="355"/>
      <c r="T389" s="355" t="s">
        <v>2239</v>
      </c>
      <c r="U389" s="355" t="s">
        <v>2239</v>
      </c>
      <c r="V389" s="355" t="s">
        <v>2239</v>
      </c>
      <c r="W389" s="355"/>
      <c r="X389" s="358" t="s">
        <v>1978</v>
      </c>
      <c r="Y389" s="358" t="s">
        <v>1978</v>
      </c>
      <c r="Z389" s="358"/>
      <c r="AA389" s="390"/>
      <c r="AB389" s="390" t="str">
        <f>I$2</f>
        <v>請選擇第一選修科</v>
      </c>
      <c r="AC389" s="390" t="str">
        <f>J$2</f>
        <v>請選擇第二選修科</v>
      </c>
      <c r="AD389" s="390" t="str">
        <f>K$2</f>
        <v>請選擇第三選修科</v>
      </c>
      <c r="AE389" s="390" t="str">
        <f>L$2</f>
        <v>請選擇第四選修科</v>
      </c>
      <c r="AF389" s="390"/>
      <c r="AG389" s="390"/>
      <c r="AH389" s="390" t="s">
        <v>3201</v>
      </c>
      <c r="AI389" s="390"/>
      <c r="AJ389" s="384"/>
      <c r="AL389" s="16" t="s">
        <v>1750</v>
      </c>
      <c r="AM389" s="355"/>
      <c r="AN389" s="355"/>
      <c r="AO389" s="355"/>
    </row>
    <row r="390" spans="1:41" x14ac:dyDescent="0.3">
      <c r="A390" s="344" t="str">
        <f>'Reference Score Calculation'!A381</f>
        <v>JSSH04</v>
      </c>
      <c r="B390" s="358" t="str">
        <f>'Reference Score Calculation'!D381</f>
        <v>數據科學及商業智能學（榮譽）理學士</v>
      </c>
      <c r="C390" s="380">
        <v>70</v>
      </c>
      <c r="D390" s="109">
        <v>3</v>
      </c>
      <c r="E390" s="109">
        <v>3</v>
      </c>
      <c r="F390" s="109">
        <v>2</v>
      </c>
      <c r="G390" s="109">
        <v>2</v>
      </c>
      <c r="H390" s="109">
        <v>2</v>
      </c>
      <c r="I390" s="109"/>
      <c r="K390" s="355">
        <f t="shared" si="163"/>
        <v>0</v>
      </c>
      <c r="L390" s="355">
        <f t="shared" si="164"/>
        <v>0</v>
      </c>
      <c r="M390" s="355">
        <f t="shared" si="165"/>
        <v>0</v>
      </c>
      <c r="N390" s="355">
        <f t="shared" si="166"/>
        <v>0</v>
      </c>
      <c r="O390" s="355">
        <f t="shared" si="171"/>
        <v>0</v>
      </c>
      <c r="R390" s="16">
        <f t="shared" si="167"/>
        <v>0</v>
      </c>
      <c r="S390" s="355"/>
      <c r="T390" s="355" t="s">
        <v>2239</v>
      </c>
      <c r="U390" s="355" t="s">
        <v>2239</v>
      </c>
      <c r="V390" s="355" t="s">
        <v>2239</v>
      </c>
      <c r="W390" s="355"/>
      <c r="X390" s="358" t="s">
        <v>1978</v>
      </c>
      <c r="Y390" s="358" t="s">
        <v>1978</v>
      </c>
      <c r="Z390" s="358"/>
      <c r="AA390" s="390" t="s">
        <v>2355</v>
      </c>
      <c r="AB390" s="391">
        <f>IF(OR(I$2="化學",I$2="組合科學(生物、化學)",I$2="組合科學(物理、化學)"),I$3,0)</f>
        <v>0</v>
      </c>
      <c r="AC390" s="391">
        <f t="shared" ref="AC390:AE390" si="172">IF(OR(J$2="化學",J$2="組合科學(生物、化學)",J$2="組合科學(物理、化學)"),J$3,0)</f>
        <v>0</v>
      </c>
      <c r="AD390" s="391">
        <f t="shared" si="172"/>
        <v>0</v>
      </c>
      <c r="AE390" s="391">
        <f t="shared" si="172"/>
        <v>0</v>
      </c>
      <c r="AF390" s="390"/>
      <c r="AG390" s="390"/>
      <c r="AH390" s="391" t="str">
        <f>IF(AI390&gt;0.1,INDEX(AB389:AE389,MATCH(LARGE(AB390:AE390,1),AB390:AE390,0)),"無")</f>
        <v>無</v>
      </c>
      <c r="AI390" s="391">
        <f>LARGE((AB390:AE390),1)</f>
        <v>0</v>
      </c>
      <c r="AJ390" s="384"/>
      <c r="AL390" s="16" t="s">
        <v>1757</v>
      </c>
      <c r="AM390" s="355"/>
      <c r="AN390" s="355"/>
      <c r="AO390" s="355"/>
    </row>
    <row r="391" spans="1:41" x14ac:dyDescent="0.3">
      <c r="A391" s="344" t="str">
        <f>'Reference Score Calculation'!A382</f>
        <v>JSSH05</v>
      </c>
      <c r="B391" s="358" t="str">
        <f>'Reference Score Calculation'!D382</f>
        <v>管理科學與資訊管理（榮譽）學士</v>
      </c>
      <c r="C391" s="380">
        <v>65</v>
      </c>
      <c r="D391" s="109">
        <v>3</v>
      </c>
      <c r="E391" s="109">
        <v>3</v>
      </c>
      <c r="F391" s="109">
        <v>2</v>
      </c>
      <c r="G391" s="109">
        <v>2</v>
      </c>
      <c r="H391" s="109">
        <v>2</v>
      </c>
      <c r="I391" s="109"/>
      <c r="K391" s="355">
        <f t="shared" si="163"/>
        <v>0</v>
      </c>
      <c r="L391" s="355">
        <f t="shared" si="164"/>
        <v>0</v>
      </c>
      <c r="M391" s="355">
        <f t="shared" si="165"/>
        <v>0</v>
      </c>
      <c r="N391" s="355">
        <f t="shared" si="166"/>
        <v>0</v>
      </c>
      <c r="O391" s="355">
        <f t="shared" si="171"/>
        <v>0</v>
      </c>
      <c r="R391" s="16">
        <f t="shared" si="167"/>
        <v>0</v>
      </c>
      <c r="S391" s="355"/>
      <c r="T391" s="355" t="s">
        <v>2239</v>
      </c>
      <c r="U391" s="355" t="s">
        <v>2239</v>
      </c>
      <c r="V391" s="355" t="s">
        <v>2239</v>
      </c>
      <c r="W391" s="355"/>
      <c r="X391" s="358" t="s">
        <v>1978</v>
      </c>
      <c r="Y391" s="358" t="s">
        <v>1978</v>
      </c>
      <c r="Z391" s="358"/>
      <c r="AA391" s="390"/>
      <c r="AB391" s="417" t="s">
        <v>3347</v>
      </c>
      <c r="AC391" s="390"/>
      <c r="AD391" s="390"/>
      <c r="AE391" s="390"/>
      <c r="AF391" s="390"/>
      <c r="AG391" s="390"/>
      <c r="AH391" s="390"/>
      <c r="AI391" s="384"/>
      <c r="AJ391" s="384"/>
      <c r="AL391" s="16" t="s">
        <v>1761</v>
      </c>
      <c r="AM391" s="355"/>
      <c r="AN391" s="355"/>
      <c r="AO391" s="355"/>
    </row>
    <row r="392" spans="1:41" x14ac:dyDescent="0.3">
      <c r="A392" s="344" t="str">
        <f>'Reference Score Calculation'!A383</f>
        <v>JSSH06</v>
      </c>
      <c r="B392" s="358" t="str">
        <f>'Reference Score Calculation'!D383</f>
        <v>藝術設計（榮譽）文學士</v>
      </c>
      <c r="C392" s="380">
        <v>40</v>
      </c>
      <c r="D392" s="109">
        <v>3</v>
      </c>
      <c r="E392" s="109">
        <v>3</v>
      </c>
      <c r="F392" s="109">
        <v>2</v>
      </c>
      <c r="G392" s="109">
        <v>2</v>
      </c>
      <c r="H392" s="109">
        <v>2</v>
      </c>
      <c r="I392" s="109"/>
      <c r="K392" s="355">
        <f t="shared" si="163"/>
        <v>0</v>
      </c>
      <c r="L392" s="355">
        <f t="shared" si="164"/>
        <v>0</v>
      </c>
      <c r="M392" s="355">
        <f t="shared" si="165"/>
        <v>0</v>
      </c>
      <c r="N392" s="355">
        <f t="shared" si="166"/>
        <v>0</v>
      </c>
      <c r="O392" s="355">
        <f t="shared" si="171"/>
        <v>0</v>
      </c>
      <c r="R392" s="16">
        <f t="shared" si="167"/>
        <v>0</v>
      </c>
      <c r="S392" s="355"/>
      <c r="T392" s="355" t="s">
        <v>2239</v>
      </c>
      <c r="U392" s="355" t="s">
        <v>2239</v>
      </c>
      <c r="V392" s="355" t="s">
        <v>2239</v>
      </c>
      <c r="W392" s="355"/>
      <c r="X392" s="358" t="s">
        <v>1978</v>
      </c>
      <c r="Y392" s="358" t="s">
        <v>1978</v>
      </c>
      <c r="Z392" s="358" t="s">
        <v>2808</v>
      </c>
      <c r="AA392" s="390"/>
      <c r="AB392" s="390"/>
      <c r="AC392" s="390"/>
      <c r="AD392" s="390"/>
      <c r="AE392" s="390"/>
      <c r="AF392" s="390"/>
      <c r="AG392" s="390"/>
      <c r="AH392" s="384"/>
      <c r="AI392" s="384"/>
      <c r="AJ392" s="384"/>
      <c r="AL392" s="16" t="s">
        <v>1765</v>
      </c>
      <c r="AM392" s="355"/>
      <c r="AN392" s="355"/>
      <c r="AO392" s="355"/>
    </row>
    <row r="393" spans="1:41" x14ac:dyDescent="0.3">
      <c r="A393" s="344" t="str">
        <f>'Reference Score Calculation'!A384</f>
        <v>JSST01</v>
      </c>
      <c r="B393" s="358" t="str">
        <f>'Reference Score Calculation'!D384</f>
        <v>護理學（榮譽）健康科學學士</v>
      </c>
      <c r="C393" s="380">
        <v>350</v>
      </c>
      <c r="D393" s="109">
        <v>3</v>
      </c>
      <c r="E393" s="109">
        <v>3</v>
      </c>
      <c r="F393" s="109">
        <v>2</v>
      </c>
      <c r="G393" s="109">
        <v>2</v>
      </c>
      <c r="H393" s="109">
        <v>2</v>
      </c>
      <c r="I393" s="109"/>
      <c r="K393" s="355">
        <f t="shared" si="163"/>
        <v>0</v>
      </c>
      <c r="L393" s="355">
        <f>IF(E393&gt;E$3,0,IF(E$3&lt;4,2,1))</f>
        <v>0</v>
      </c>
      <c r="M393" s="355">
        <f t="shared" si="165"/>
        <v>0</v>
      </c>
      <c r="N393" s="355">
        <f t="shared" si="166"/>
        <v>0</v>
      </c>
      <c r="O393" s="355">
        <f>IF(H393&gt;LARGE($I$3:$L$3,1),0,1)</f>
        <v>0</v>
      </c>
      <c r="R393" s="16">
        <f t="shared" si="167"/>
        <v>0</v>
      </c>
      <c r="S393" s="355"/>
      <c r="T393" s="355" t="s">
        <v>2239</v>
      </c>
      <c r="U393" s="355" t="s">
        <v>2239</v>
      </c>
      <c r="V393" s="355" t="s">
        <v>2239</v>
      </c>
      <c r="W393" s="355"/>
      <c r="X393" s="358" t="s">
        <v>3573</v>
      </c>
      <c r="Y393" s="358" t="s">
        <v>1970</v>
      </c>
      <c r="Z393" s="358" t="s">
        <v>2808</v>
      </c>
      <c r="AA393" s="390"/>
      <c r="AB393" s="390" t="str">
        <f>I$2</f>
        <v>請選擇第一選修科</v>
      </c>
      <c r="AC393" s="390" t="str">
        <f>J$2</f>
        <v>請選擇第二選修科</v>
      </c>
      <c r="AD393" s="390" t="str">
        <f>K$2</f>
        <v>請選擇第三選修科</v>
      </c>
      <c r="AE393" s="390" t="str">
        <f>L$2</f>
        <v>請選擇第四選修科</v>
      </c>
      <c r="AF393" s="390"/>
      <c r="AG393" s="390"/>
      <c r="AH393" s="390" t="s">
        <v>3201</v>
      </c>
      <c r="AI393" s="390"/>
      <c r="AJ393" s="384"/>
      <c r="AL393" s="16" t="s">
        <v>1769</v>
      </c>
      <c r="AM393" s="355"/>
      <c r="AN393" s="355"/>
      <c r="AO393" s="355"/>
    </row>
    <row r="394" spans="1:41" x14ac:dyDescent="0.3">
      <c r="A394" s="344" t="str">
        <f>'Reference Score Calculation'!A385</f>
        <v>JSST02</v>
      </c>
      <c r="B394" s="358" t="str">
        <f>'Reference Score Calculation'!D385</f>
        <v>醫療化驗科學（榮譽）理學士</v>
      </c>
      <c r="C394" s="380">
        <v>45</v>
      </c>
      <c r="D394" s="109">
        <v>3</v>
      </c>
      <c r="E394" s="109">
        <v>3</v>
      </c>
      <c r="F394" s="109">
        <v>2</v>
      </c>
      <c r="G394" s="109">
        <v>2</v>
      </c>
      <c r="H394" s="109">
        <v>2</v>
      </c>
      <c r="I394" s="109"/>
      <c r="K394" s="355">
        <f t="shared" si="163"/>
        <v>0</v>
      </c>
      <c r="L394" s="355">
        <f t="shared" ref="L394:L396" si="173">IF(E394&gt;E$3,0,IF(E$3&lt;4,2,1))</f>
        <v>0</v>
      </c>
      <c r="M394" s="355">
        <f>IF(F394&gt;F$3,0,1)</f>
        <v>0</v>
      </c>
      <c r="N394" s="355">
        <f t="shared" si="166"/>
        <v>0</v>
      </c>
      <c r="O394" s="355">
        <f>IF(H394&gt;LARGE($H$3:$M$3,1),0,IF(AI390&lt;4,2,1))</f>
        <v>0</v>
      </c>
      <c r="R394" s="355">
        <f>IF(K394*L394*M394*N394*O394&gt;2,2,K394*L394*M394*N394*O394)</f>
        <v>0</v>
      </c>
      <c r="S394" s="355"/>
      <c r="T394" s="355" t="s">
        <v>2239</v>
      </c>
      <c r="U394" s="355" t="s">
        <v>2239</v>
      </c>
      <c r="V394" s="355" t="s">
        <v>2239</v>
      </c>
      <c r="W394" s="355"/>
      <c r="X394" s="358" t="s">
        <v>3573</v>
      </c>
      <c r="Y394" s="358" t="s">
        <v>3582</v>
      </c>
      <c r="Z394" s="358" t="s">
        <v>2808</v>
      </c>
      <c r="AA394" s="390" t="s">
        <v>2356</v>
      </c>
      <c r="AB394" s="391">
        <f>IF(OR(I$2="物理",I$2="組合科學(物理、化學)",I$2="組合科學(物理、生物)",I$2="綜合科學"),I$3,0)</f>
        <v>0</v>
      </c>
      <c r="AC394" s="391">
        <f t="shared" ref="AC394:AE394" si="174">IF(OR(J$2="物理",J$2="組合科學(物理、化學)",J$2="組合科學(物理、生物)",J$2="綜合科學"),J$3,0)</f>
        <v>0</v>
      </c>
      <c r="AD394" s="391">
        <f t="shared" si="174"/>
        <v>0</v>
      </c>
      <c r="AE394" s="391">
        <f t="shared" si="174"/>
        <v>0</v>
      </c>
      <c r="AF394" s="390"/>
      <c r="AG394" s="390"/>
      <c r="AH394" s="391" t="str">
        <f>IF(AI394&gt;0.1,INDEX(AB393:AE393,MATCH(LARGE(AB394:AE394,1),AB394:AE394,0)),"無")</f>
        <v>無</v>
      </c>
      <c r="AI394" s="391">
        <f>LARGE((AB394:AE394),1)</f>
        <v>0</v>
      </c>
      <c r="AJ394" s="384"/>
      <c r="AL394" s="16" t="s">
        <v>1773</v>
      </c>
      <c r="AM394" s="355"/>
      <c r="AN394" s="355"/>
      <c r="AO394" s="355"/>
    </row>
    <row r="395" spans="1:41" x14ac:dyDescent="0.3">
      <c r="A395" s="344" t="str">
        <f>'Reference Score Calculation'!A386</f>
        <v>JSST03</v>
      </c>
      <c r="B395" s="358" t="str">
        <f>'Reference Score Calculation'!D386</f>
        <v>放射治療學（榮譽）理學士</v>
      </c>
      <c r="C395" s="380">
        <v>20</v>
      </c>
      <c r="D395" s="109">
        <v>3</v>
      </c>
      <c r="E395" s="109">
        <v>3</v>
      </c>
      <c r="F395" s="109">
        <v>2</v>
      </c>
      <c r="G395" s="109">
        <v>2</v>
      </c>
      <c r="H395" s="109">
        <v>3</v>
      </c>
      <c r="I395" s="109"/>
      <c r="K395" s="355">
        <f t="shared" si="163"/>
        <v>0</v>
      </c>
      <c r="L395" s="355">
        <f t="shared" si="173"/>
        <v>0</v>
      </c>
      <c r="M395" s="355">
        <f>IF(F395&gt;F$3,0,IF(F$3&lt;3,2,1))</f>
        <v>0</v>
      </c>
      <c r="N395" s="355">
        <f>IF(G395&gt;G$3,0,IF(G$3&lt;3,2,1))</f>
        <v>0</v>
      </c>
      <c r="O395" s="355">
        <f>IF(H395&gt;AI396,0,IF(AI394&lt;4,2,1))</f>
        <v>0</v>
      </c>
      <c r="R395" s="355">
        <f>IF(K395*L395*M395*N395*O395&gt;2,2,K395*L395*M395*N395*O395)</f>
        <v>0</v>
      </c>
      <c r="S395" s="355"/>
      <c r="T395" s="355" t="s">
        <v>2239</v>
      </c>
      <c r="U395" s="355" t="s">
        <v>2239</v>
      </c>
      <c r="V395" s="355" t="s">
        <v>2239</v>
      </c>
      <c r="W395" s="355"/>
      <c r="X395" s="358" t="s">
        <v>3581</v>
      </c>
      <c r="Y395" s="358" t="s">
        <v>3580</v>
      </c>
      <c r="Z395" s="358" t="s">
        <v>2808</v>
      </c>
      <c r="AA395" s="390"/>
      <c r="AB395" s="417" t="s">
        <v>3584</v>
      </c>
      <c r="AC395" s="390"/>
      <c r="AD395" s="390"/>
      <c r="AE395" s="390"/>
      <c r="AF395" s="390"/>
      <c r="AG395" s="390"/>
      <c r="AH395" s="390"/>
      <c r="AI395" s="384"/>
      <c r="AJ395" s="384"/>
      <c r="AL395" s="16" t="s">
        <v>1777</v>
      </c>
      <c r="AM395" s="355"/>
      <c r="AN395" s="355"/>
      <c r="AO395" s="355"/>
    </row>
    <row r="396" spans="1:41" x14ac:dyDescent="0.3">
      <c r="A396" s="344" t="str">
        <f>'Reference Score Calculation'!A387</f>
        <v>JSST04</v>
      </c>
      <c r="B396" s="358" t="str">
        <f>'Reference Score Calculation'!D387</f>
        <v>職業治療學（榮譽）理學士</v>
      </c>
      <c r="C396" s="380">
        <v>60</v>
      </c>
      <c r="D396" s="109">
        <v>3</v>
      </c>
      <c r="E396" s="109">
        <v>3</v>
      </c>
      <c r="F396" s="109">
        <v>2</v>
      </c>
      <c r="G396" s="109">
        <v>2</v>
      </c>
      <c r="H396" s="109">
        <v>2</v>
      </c>
      <c r="I396" s="109"/>
      <c r="K396" s="355">
        <f t="shared" si="163"/>
        <v>0</v>
      </c>
      <c r="L396" s="355">
        <f t="shared" si="173"/>
        <v>0</v>
      </c>
      <c r="M396" s="355">
        <f t="shared" si="165"/>
        <v>0</v>
      </c>
      <c r="N396" s="355">
        <f t="shared" si="166"/>
        <v>0</v>
      </c>
      <c r="O396" s="355">
        <f>IF(H396&gt;LARGE($I$3:$L$3,1),0,IF(AI398&lt;3,2,1))</f>
        <v>0</v>
      </c>
      <c r="R396" s="355">
        <f>IF(K396*L396*M396*N396*O396&gt;2,2,K396*L396*M396*N396*O396)</f>
        <v>0</v>
      </c>
      <c r="S396" s="355"/>
      <c r="T396" s="355" t="s">
        <v>2239</v>
      </c>
      <c r="U396" s="355" t="s">
        <v>2239</v>
      </c>
      <c r="V396" s="355" t="s">
        <v>2239</v>
      </c>
      <c r="W396" s="355"/>
      <c r="X396" s="358" t="s">
        <v>3573</v>
      </c>
      <c r="Y396" s="358" t="s">
        <v>3586</v>
      </c>
      <c r="Z396" s="358" t="s">
        <v>2808</v>
      </c>
      <c r="AA396" s="390"/>
      <c r="AB396" s="391">
        <f>IF(OR(I$2="物理",I$2="化學",I$2="生物",I$2="組合科學(物理、化學)",I$2="組合科學(生物、化學)",I$2="組合科學(物理、生物)",I$2="綜合科學"),I$3,0)</f>
        <v>0</v>
      </c>
      <c r="AC396" s="391">
        <f t="shared" ref="AC396:AE396" si="175">IF(OR(J$2="物理",J$2="化學",J$2="生物",J$2="組合科學(物理、化學)",J$2="組合科學(生物、化學)",J$2="組合科學(物理、生物)",J$2="綜合科學"),J$3,0)</f>
        <v>0</v>
      </c>
      <c r="AD396" s="391">
        <f t="shared" si="175"/>
        <v>0</v>
      </c>
      <c r="AE396" s="391">
        <f t="shared" si="175"/>
        <v>0</v>
      </c>
      <c r="AF396" s="390"/>
      <c r="AG396" s="390"/>
      <c r="AH396" s="391" t="str">
        <f>IF(AI396&gt;0.1,INDEX(AB393:AF393,MATCH(LARGE(AB396:AF396,1),AB396:AF396,0)),"無")</f>
        <v>無</v>
      </c>
      <c r="AI396" s="391">
        <f>LARGE((AB396:AF396),1)</f>
        <v>0</v>
      </c>
      <c r="AJ396" s="384"/>
      <c r="AL396" s="16" t="s">
        <v>1781</v>
      </c>
      <c r="AM396" s="355"/>
      <c r="AN396" s="355"/>
      <c r="AO396" s="355"/>
    </row>
    <row r="397" spans="1:41" x14ac:dyDescent="0.3">
      <c r="A397" s="344" t="str">
        <f>'Reference Score Calculation'!A388</f>
        <v>JSST05</v>
      </c>
      <c r="B397" s="358" t="str">
        <f>'Reference Score Calculation'!D388</f>
        <v>物理治療學(榮譽)理學士</v>
      </c>
      <c r="C397" s="380">
        <v>50</v>
      </c>
      <c r="D397" s="109">
        <v>3</v>
      </c>
      <c r="E397" s="109">
        <v>3</v>
      </c>
      <c r="F397" s="109">
        <v>2</v>
      </c>
      <c r="G397" s="109">
        <v>2</v>
      </c>
      <c r="H397" s="109">
        <v>2</v>
      </c>
      <c r="I397" s="109"/>
      <c r="K397" s="355">
        <f t="shared" si="163"/>
        <v>0</v>
      </c>
      <c r="L397" s="355">
        <f>IF(E397&gt;E$3,0,IF(E$3&lt;4,2,1))</f>
        <v>0</v>
      </c>
      <c r="M397" s="355">
        <f t="shared" si="165"/>
        <v>0</v>
      </c>
      <c r="N397" s="355">
        <f t="shared" si="166"/>
        <v>0</v>
      </c>
      <c r="O397" s="355">
        <f>IF(H397&gt;LARGE($I$3:$L$3,1),0,IF(AI399&lt;3,2,1))</f>
        <v>0</v>
      </c>
      <c r="R397" s="355">
        <f>IF(K397*L397*M397*N397*O397&gt;2,2,K397*L397*M397*N397*O397)</f>
        <v>0</v>
      </c>
      <c r="S397" s="355"/>
      <c r="T397" s="355" t="s">
        <v>2239</v>
      </c>
      <c r="U397" s="355" t="s">
        <v>2239</v>
      </c>
      <c r="V397" s="355" t="s">
        <v>2239</v>
      </c>
      <c r="W397" s="355"/>
      <c r="X397" s="358" t="s">
        <v>3573</v>
      </c>
      <c r="Y397" s="358" t="s">
        <v>3586</v>
      </c>
      <c r="Z397" s="358" t="s">
        <v>2808</v>
      </c>
      <c r="AA397" s="390"/>
      <c r="AB397" s="417" t="s">
        <v>3093</v>
      </c>
      <c r="AC397" s="390"/>
      <c r="AD397" s="390"/>
      <c r="AE397" s="390"/>
      <c r="AF397" s="390"/>
      <c r="AG397" s="390"/>
      <c r="AH397" s="390"/>
      <c r="AI397" s="384"/>
      <c r="AJ397" s="384"/>
      <c r="AL397" s="16" t="s">
        <v>1785</v>
      </c>
      <c r="AM397" s="355"/>
      <c r="AN397" s="355"/>
      <c r="AO397" s="355"/>
    </row>
    <row r="398" spans="1:41" s="344" customFormat="1" x14ac:dyDescent="0.3">
      <c r="A398" s="344" t="str">
        <f>'Reference Score Calculation'!A389</f>
        <v>JSST06</v>
      </c>
      <c r="B398" s="358" t="str">
        <f>'Reference Score Calculation'!D389</f>
        <v>應用老年學(榮譽)理學士</v>
      </c>
      <c r="C398" s="380">
        <v>50</v>
      </c>
      <c r="D398" s="380">
        <v>3</v>
      </c>
      <c r="E398" s="380">
        <v>3</v>
      </c>
      <c r="F398" s="380">
        <v>2</v>
      </c>
      <c r="G398" s="380">
        <v>2</v>
      </c>
      <c r="H398" s="380">
        <v>2</v>
      </c>
      <c r="I398" s="380"/>
      <c r="K398" s="355">
        <f t="shared" si="163"/>
        <v>0</v>
      </c>
      <c r="L398" s="355">
        <f t="shared" si="164"/>
        <v>0</v>
      </c>
      <c r="M398" s="355">
        <f t="shared" si="165"/>
        <v>0</v>
      </c>
      <c r="N398" s="355">
        <f t="shared" si="166"/>
        <v>0</v>
      </c>
      <c r="O398" s="355">
        <f t="shared" ref="O398" si="176">IF(H398&gt;LARGE($I$3:$L$3,1),0,1)</f>
        <v>0</v>
      </c>
      <c r="R398" s="355">
        <f t="shared" si="167"/>
        <v>0</v>
      </c>
      <c r="S398" s="355"/>
      <c r="T398" s="355" t="s">
        <v>2239</v>
      </c>
      <c r="U398" s="355" t="s">
        <v>2239</v>
      </c>
      <c r="V398" s="355" t="s">
        <v>2239</v>
      </c>
      <c r="W398" s="355"/>
      <c r="X398" s="358" t="s">
        <v>1978</v>
      </c>
      <c r="Y398" s="358" t="s">
        <v>1978</v>
      </c>
      <c r="Z398" s="358" t="s">
        <v>2808</v>
      </c>
      <c r="AA398" s="390"/>
      <c r="AB398" s="390"/>
      <c r="AC398" s="390"/>
      <c r="AD398" s="390"/>
      <c r="AE398" s="390"/>
      <c r="AF398" s="390"/>
      <c r="AG398" s="390"/>
      <c r="AH398" s="384"/>
      <c r="AI398" s="384"/>
      <c r="AJ398" s="384"/>
      <c r="AK398" s="355"/>
    </row>
    <row r="399" spans="1:41" x14ac:dyDescent="0.3">
      <c r="A399" s="344" t="str">
        <f>'Reference Score Calculation'!A390</f>
        <v>JSSU12</v>
      </c>
      <c r="B399" s="358" t="str">
        <f>'Reference Score Calculation'!D390</f>
        <v>創意寫作與電影藝術榮譽文學士</v>
      </c>
      <c r="C399" s="380">
        <v>80</v>
      </c>
      <c r="D399" s="109">
        <v>3</v>
      </c>
      <c r="E399" s="109">
        <v>3</v>
      </c>
      <c r="F399" s="109">
        <v>2</v>
      </c>
      <c r="G399" s="109">
        <v>2</v>
      </c>
      <c r="H399" s="109">
        <v>2</v>
      </c>
      <c r="I399" s="109"/>
      <c r="K399" s="355">
        <f t="shared" si="163"/>
        <v>0</v>
      </c>
      <c r="L399" s="355">
        <f t="shared" si="164"/>
        <v>0</v>
      </c>
      <c r="M399" s="355">
        <f t="shared" si="165"/>
        <v>0</v>
      </c>
      <c r="N399" s="355">
        <f t="shared" si="166"/>
        <v>0</v>
      </c>
      <c r="O399" s="355">
        <f t="shared" ref="O399:O412" si="177">IF(H399&gt;LARGE($H$3:$M$3,1),0,1)</f>
        <v>0</v>
      </c>
      <c r="R399" s="16">
        <f t="shared" si="167"/>
        <v>0</v>
      </c>
      <c r="S399" s="355"/>
      <c r="T399" s="355" t="s">
        <v>2237</v>
      </c>
      <c r="U399" s="355" t="s">
        <v>2238</v>
      </c>
      <c r="V399" s="355" t="s">
        <v>2237</v>
      </c>
      <c r="W399" s="355"/>
      <c r="X399" s="358" t="s">
        <v>1978</v>
      </c>
      <c r="Y399" s="358" t="s">
        <v>1978</v>
      </c>
      <c r="Z399" s="358" t="s">
        <v>2808</v>
      </c>
      <c r="AA399" s="390"/>
      <c r="AB399" s="390" t="str">
        <f>I$2</f>
        <v>請選擇第一選修科</v>
      </c>
      <c r="AC399" s="390" t="str">
        <f>J$2</f>
        <v>請選擇第二選修科</v>
      </c>
      <c r="AD399" s="390" t="str">
        <f>K$2</f>
        <v>請選擇第三選修科</v>
      </c>
      <c r="AE399" s="390" t="str">
        <f>L$2</f>
        <v>請選擇第四選修科</v>
      </c>
      <c r="AF399" s="390" t="str">
        <f>H$2</f>
        <v>數學延伸</v>
      </c>
      <c r="AG399" s="390"/>
      <c r="AH399" s="390" t="s">
        <v>3201</v>
      </c>
      <c r="AI399" s="390"/>
      <c r="AJ399" s="384"/>
      <c r="AL399" s="16" t="s">
        <v>1793</v>
      </c>
      <c r="AM399" s="355" t="s">
        <v>2237</v>
      </c>
      <c r="AN399" s="355" t="s">
        <v>2238</v>
      </c>
      <c r="AO399" s="355" t="s">
        <v>2237</v>
      </c>
    </row>
    <row r="400" spans="1:41" x14ac:dyDescent="0.3">
      <c r="A400" s="344" t="str">
        <f>'Reference Score Calculation'!A391</f>
        <v>JSSU14</v>
      </c>
      <c r="B400" s="358" t="str">
        <f>'Reference Score Calculation'!D391</f>
        <v>動畫及視覺特效榮譽藝術學士</v>
      </c>
      <c r="C400" s="380">
        <v>80</v>
      </c>
      <c r="D400" s="109">
        <v>3</v>
      </c>
      <c r="E400" s="109">
        <v>3</v>
      </c>
      <c r="F400" s="109">
        <v>2</v>
      </c>
      <c r="G400" s="109">
        <v>2</v>
      </c>
      <c r="H400" s="109">
        <v>2</v>
      </c>
      <c r="I400" s="109"/>
      <c r="K400" s="355">
        <f t="shared" si="163"/>
        <v>0</v>
      </c>
      <c r="L400" s="355">
        <f t="shared" si="164"/>
        <v>0</v>
      </c>
      <c r="M400" s="355">
        <f t="shared" si="165"/>
        <v>0</v>
      </c>
      <c r="N400" s="355">
        <f t="shared" si="166"/>
        <v>0</v>
      </c>
      <c r="O400" s="355">
        <f t="shared" si="177"/>
        <v>0</v>
      </c>
      <c r="R400" s="16">
        <f t="shared" si="167"/>
        <v>0</v>
      </c>
      <c r="S400" s="355"/>
      <c r="T400" s="355" t="s">
        <v>2237</v>
      </c>
      <c r="U400" s="355" t="s">
        <v>2238</v>
      </c>
      <c r="V400" s="355" t="s">
        <v>2237</v>
      </c>
      <c r="W400" s="355"/>
      <c r="X400" s="358" t="s">
        <v>1978</v>
      </c>
      <c r="Y400" s="358" t="s">
        <v>1978</v>
      </c>
      <c r="Z400" s="358"/>
      <c r="AA400" s="390" t="s">
        <v>2361</v>
      </c>
      <c r="AB400" s="391">
        <f>IF(OR(I$2="物理",I$2="化學",I$2="生物",I$2="組合科學(物理、化學)",I$2="組合科學(生物、化學)",I$2="組合科學(物理、生物)",I$2="綜合科學"),I$3,0)</f>
        <v>0</v>
      </c>
      <c r="AC400" s="391">
        <f t="shared" ref="AC400:AE400" si="178">IF(OR(J$2="物理",J$2="化學",J$2="生物",J$2="組合科學(物理、化學)",J$2="組合科學(生物、化學)",J$2="組合科學(物理、生物)",J$2="綜合科學"),J$3,0)</f>
        <v>0</v>
      </c>
      <c r="AD400" s="391">
        <f t="shared" si="178"/>
        <v>0</v>
      </c>
      <c r="AE400" s="391">
        <f t="shared" si="178"/>
        <v>0</v>
      </c>
      <c r="AF400" s="391">
        <f>H$3</f>
        <v>5.0000000000000003E-10</v>
      </c>
      <c r="AG400" s="390"/>
      <c r="AH400" s="391" t="str">
        <f>IF(AI400&gt;0.1,INDEX(AB399:AF399,MATCH(LARGE(AB400:AF400,1),AB400:AF400,0)),"無")</f>
        <v>無</v>
      </c>
      <c r="AI400" s="391">
        <f>LARGE((AB400:AF400),1)</f>
        <v>5.0000000000000003E-10</v>
      </c>
      <c r="AJ400" s="384"/>
      <c r="AL400" s="355" t="s">
        <v>1799</v>
      </c>
      <c r="AM400" s="355" t="s">
        <v>2237</v>
      </c>
      <c r="AN400" s="355" t="s">
        <v>2238</v>
      </c>
      <c r="AO400" s="355" t="s">
        <v>2237</v>
      </c>
    </row>
    <row r="401" spans="1:41" x14ac:dyDescent="0.3">
      <c r="A401" s="344" t="str">
        <f>'Reference Score Calculation'!A392</f>
        <v>JSSU15</v>
      </c>
      <c r="B401" s="358" t="str">
        <f>'Reference Score Calculation'!D392</f>
        <v>影像設計及數碼藝術榮譽藝術學士</v>
      </c>
      <c r="C401" s="380">
        <v>80</v>
      </c>
      <c r="D401" s="109">
        <v>3</v>
      </c>
      <c r="E401" s="109">
        <v>3</v>
      </c>
      <c r="F401" s="109">
        <v>2</v>
      </c>
      <c r="G401" s="109">
        <v>2</v>
      </c>
      <c r="H401" s="109">
        <v>2</v>
      </c>
      <c r="I401" s="109"/>
      <c r="K401" s="355">
        <f t="shared" si="163"/>
        <v>0</v>
      </c>
      <c r="L401" s="355">
        <f t="shared" si="164"/>
        <v>0</v>
      </c>
      <c r="M401" s="355">
        <f t="shared" si="165"/>
        <v>0</v>
      </c>
      <c r="N401" s="355">
        <f t="shared" si="166"/>
        <v>0</v>
      </c>
      <c r="O401" s="355">
        <f t="shared" si="177"/>
        <v>0</v>
      </c>
      <c r="R401" s="16">
        <f t="shared" si="167"/>
        <v>0</v>
      </c>
      <c r="S401" s="355"/>
      <c r="T401" s="355" t="s">
        <v>2237</v>
      </c>
      <c r="U401" s="355" t="s">
        <v>2238</v>
      </c>
      <c r="V401" s="355" t="s">
        <v>2237</v>
      </c>
      <c r="W401" s="355"/>
      <c r="X401" s="358" t="s">
        <v>1978</v>
      </c>
      <c r="Y401" s="358" t="s">
        <v>1978</v>
      </c>
      <c r="Z401" s="358"/>
      <c r="AA401" s="390"/>
      <c r="AB401" s="417" t="s">
        <v>3587</v>
      </c>
      <c r="AC401" s="390"/>
      <c r="AD401" s="390"/>
      <c r="AE401" s="390"/>
      <c r="AF401" s="390"/>
      <c r="AG401" s="390"/>
      <c r="AH401" s="390"/>
      <c r="AI401" s="384"/>
      <c r="AJ401" s="384"/>
      <c r="AL401" s="16" t="s">
        <v>1805</v>
      </c>
      <c r="AM401" s="355" t="s">
        <v>2237</v>
      </c>
      <c r="AN401" s="355" t="s">
        <v>2238</v>
      </c>
      <c r="AO401" s="355" t="s">
        <v>2237</v>
      </c>
    </row>
    <row r="402" spans="1:41" x14ac:dyDescent="0.3">
      <c r="A402" s="344" t="str">
        <f>'Reference Score Calculation'!A393</f>
        <v>JSSU40</v>
      </c>
      <c r="B402" s="358" t="str">
        <f>'Reference Score Calculation'!D393</f>
        <v>護理學榮譽學士（普通科）</v>
      </c>
      <c r="C402" s="380">
        <v>385</v>
      </c>
      <c r="D402" s="109">
        <v>3</v>
      </c>
      <c r="E402" s="109">
        <v>3</v>
      </c>
      <c r="F402" s="109">
        <v>2</v>
      </c>
      <c r="G402" s="109">
        <v>2</v>
      </c>
      <c r="H402" s="109">
        <v>2</v>
      </c>
      <c r="I402" s="109"/>
      <c r="K402" s="355">
        <f t="shared" si="163"/>
        <v>0</v>
      </c>
      <c r="L402" s="355">
        <f t="shared" si="164"/>
        <v>0</v>
      </c>
      <c r="M402" s="355">
        <f t="shared" si="165"/>
        <v>0</v>
      </c>
      <c r="N402" s="355">
        <f t="shared" si="166"/>
        <v>0</v>
      </c>
      <c r="O402" s="355">
        <f t="shared" si="177"/>
        <v>0</v>
      </c>
      <c r="R402" s="16">
        <f t="shared" si="167"/>
        <v>0</v>
      </c>
      <c r="S402" s="355"/>
      <c r="T402" s="355" t="s">
        <v>2237</v>
      </c>
      <c r="U402" s="355" t="s">
        <v>2238</v>
      </c>
      <c r="V402" s="355" t="s">
        <v>2237</v>
      </c>
      <c r="W402" s="355"/>
      <c r="X402" s="358" t="s">
        <v>1978</v>
      </c>
      <c r="Y402" s="358" t="s">
        <v>1978</v>
      </c>
      <c r="Z402" s="358"/>
      <c r="AA402" s="390"/>
      <c r="AB402" s="390"/>
      <c r="AC402" s="390"/>
      <c r="AD402" s="390"/>
      <c r="AE402" s="390"/>
      <c r="AF402" s="390"/>
      <c r="AG402" s="390"/>
      <c r="AH402" s="384"/>
      <c r="AI402" s="384"/>
      <c r="AJ402" s="384"/>
      <c r="AL402" s="16" t="s">
        <v>1811</v>
      </c>
      <c r="AM402" s="355" t="s">
        <v>2237</v>
      </c>
      <c r="AN402" s="355" t="s">
        <v>2238</v>
      </c>
      <c r="AO402" s="355" t="s">
        <v>2237</v>
      </c>
    </row>
    <row r="403" spans="1:41" x14ac:dyDescent="0.3">
      <c r="A403" s="344" t="str">
        <f>'Reference Score Calculation'!A394</f>
        <v>JSSU50</v>
      </c>
      <c r="B403" s="358" t="str">
        <f>'Reference Score Calculation'!D394</f>
        <v>護理學榮譽學士（精神科）</v>
      </c>
      <c r="C403" s="380">
        <v>125</v>
      </c>
      <c r="D403" s="109">
        <v>3</v>
      </c>
      <c r="E403" s="109">
        <v>3</v>
      </c>
      <c r="F403" s="109">
        <v>2</v>
      </c>
      <c r="G403" s="109">
        <v>2</v>
      </c>
      <c r="H403" s="109">
        <v>2</v>
      </c>
      <c r="I403" s="109"/>
      <c r="K403" s="355">
        <f t="shared" si="163"/>
        <v>0</v>
      </c>
      <c r="L403" s="355">
        <f t="shared" si="164"/>
        <v>0</v>
      </c>
      <c r="M403" s="355">
        <f t="shared" si="165"/>
        <v>0</v>
      </c>
      <c r="N403" s="355">
        <f t="shared" si="166"/>
        <v>0</v>
      </c>
      <c r="O403" s="355">
        <f t="shared" si="177"/>
        <v>0</v>
      </c>
      <c r="R403" s="16">
        <f t="shared" si="167"/>
        <v>0</v>
      </c>
      <c r="S403" s="355"/>
      <c r="T403" s="355" t="s">
        <v>2237</v>
      </c>
      <c r="U403" s="355" t="s">
        <v>2238</v>
      </c>
      <c r="V403" s="355" t="s">
        <v>2237</v>
      </c>
      <c r="W403" s="355"/>
      <c r="X403" s="358" t="s">
        <v>1978</v>
      </c>
      <c r="Y403" s="358" t="s">
        <v>1978</v>
      </c>
      <c r="Z403" s="358"/>
      <c r="AA403" s="390"/>
      <c r="AB403" s="390" t="str">
        <f>I$2</f>
        <v>請選擇第一選修科</v>
      </c>
      <c r="AC403" s="390" t="str">
        <f>J$2</f>
        <v>請選擇第二選修科</v>
      </c>
      <c r="AD403" s="390" t="str">
        <f>K$2</f>
        <v>請選擇第三選修科</v>
      </c>
      <c r="AE403" s="390" t="str">
        <f>L$2</f>
        <v>請選擇第四選修科</v>
      </c>
      <c r="AF403" s="390"/>
      <c r="AG403" s="390"/>
      <c r="AH403" s="390" t="s">
        <v>3201</v>
      </c>
      <c r="AI403" s="390"/>
      <c r="AJ403" s="384"/>
      <c r="AL403" s="16" t="s">
        <v>1817</v>
      </c>
      <c r="AM403" s="355" t="s">
        <v>2237</v>
      </c>
      <c r="AN403" s="355" t="s">
        <v>2238</v>
      </c>
      <c r="AO403" s="355" t="s">
        <v>2237</v>
      </c>
    </row>
    <row r="404" spans="1:41" x14ac:dyDescent="0.3">
      <c r="A404" s="344" t="str">
        <f>'Reference Score Calculation'!A395</f>
        <v>JSSU55</v>
      </c>
      <c r="B404" s="358" t="str">
        <f>'Reference Score Calculation'!D395</f>
        <v>物理治療學榮譽理學士</v>
      </c>
      <c r="C404" s="380">
        <v>50</v>
      </c>
      <c r="D404" s="109">
        <v>3</v>
      </c>
      <c r="E404" s="109">
        <v>3</v>
      </c>
      <c r="F404" s="109">
        <v>2</v>
      </c>
      <c r="G404" s="109">
        <v>2</v>
      </c>
      <c r="H404" s="109">
        <v>2</v>
      </c>
      <c r="I404" s="109"/>
      <c r="K404" s="355">
        <f t="shared" si="163"/>
        <v>0</v>
      </c>
      <c r="L404" s="355">
        <f t="shared" si="164"/>
        <v>0</v>
      </c>
      <c r="M404" s="355">
        <f t="shared" si="165"/>
        <v>0</v>
      </c>
      <c r="N404" s="355">
        <f t="shared" si="166"/>
        <v>0</v>
      </c>
      <c r="O404" s="355">
        <f t="shared" si="177"/>
        <v>0</v>
      </c>
      <c r="R404" s="16">
        <f t="shared" si="167"/>
        <v>0</v>
      </c>
      <c r="S404" s="355"/>
      <c r="T404" s="355" t="s">
        <v>2237</v>
      </c>
      <c r="U404" s="355" t="s">
        <v>2238</v>
      </c>
      <c r="V404" s="355" t="s">
        <v>2237</v>
      </c>
      <c r="W404" s="355"/>
      <c r="X404" s="358" t="s">
        <v>1978</v>
      </c>
      <c r="Y404" s="358" t="s">
        <v>1978</v>
      </c>
      <c r="Z404" s="358"/>
      <c r="AA404" s="390" t="s">
        <v>2362</v>
      </c>
      <c r="AB404" s="391">
        <f>IF(I$2="資訊及通訊科技",I$3,0)</f>
        <v>0</v>
      </c>
      <c r="AC404" s="391">
        <f t="shared" ref="AC404:AE404" si="179">IF(J$2="資訊及通訊科技",J$3,0)</f>
        <v>0</v>
      </c>
      <c r="AD404" s="391">
        <f t="shared" si="179"/>
        <v>0</v>
      </c>
      <c r="AE404" s="391">
        <f t="shared" si="179"/>
        <v>0</v>
      </c>
      <c r="AF404" s="390"/>
      <c r="AG404" s="390"/>
      <c r="AH404" s="391" t="str">
        <f>IF(AI404&gt;0.1,INDEX(AB403:AE403,MATCH(LARGE(AB404:AE404,1),AB404:AE404,0)),"無")</f>
        <v>無</v>
      </c>
      <c r="AI404" s="391">
        <f>LARGE((AB404:AE404),1)</f>
        <v>0</v>
      </c>
      <c r="AJ404" s="384"/>
      <c r="AL404" s="16" t="s">
        <v>1823</v>
      </c>
      <c r="AM404" s="355" t="s">
        <v>2237</v>
      </c>
      <c r="AN404" s="355" t="s">
        <v>2238</v>
      </c>
      <c r="AO404" s="355" t="s">
        <v>2237</v>
      </c>
    </row>
    <row r="405" spans="1:41" x14ac:dyDescent="0.3">
      <c r="A405" s="344" t="str">
        <f>'Reference Score Calculation'!A396</f>
        <v>JSSU61</v>
      </c>
      <c r="B405" s="358" t="str">
        <f>'Reference Score Calculation'!D396</f>
        <v>綜合檢測和認證榮譽應用理學士</v>
      </c>
      <c r="C405" s="380">
        <v>50</v>
      </c>
      <c r="D405" s="109">
        <v>3</v>
      </c>
      <c r="E405" s="109">
        <v>3</v>
      </c>
      <c r="F405" s="109">
        <v>2</v>
      </c>
      <c r="G405" s="109">
        <v>2</v>
      </c>
      <c r="H405" s="109">
        <v>2</v>
      </c>
      <c r="I405" s="109"/>
      <c r="K405" s="355">
        <f t="shared" si="163"/>
        <v>0</v>
      </c>
      <c r="L405" s="355">
        <f t="shared" si="164"/>
        <v>0</v>
      </c>
      <c r="M405" s="355">
        <f t="shared" si="165"/>
        <v>0</v>
      </c>
      <c r="N405" s="355">
        <f t="shared" si="166"/>
        <v>0</v>
      </c>
      <c r="O405" s="355">
        <f t="shared" si="177"/>
        <v>0</v>
      </c>
      <c r="R405" s="16">
        <f t="shared" si="167"/>
        <v>0</v>
      </c>
      <c r="S405" s="355"/>
      <c r="T405" s="355" t="s">
        <v>2237</v>
      </c>
      <c r="U405" s="355" t="s">
        <v>2238</v>
      </c>
      <c r="V405" s="355" t="s">
        <v>2237</v>
      </c>
      <c r="W405" s="355"/>
      <c r="X405" s="358" t="s">
        <v>1978</v>
      </c>
      <c r="Y405" s="358" t="s">
        <v>1978</v>
      </c>
      <c r="Z405" s="358"/>
      <c r="AA405" s="390"/>
      <c r="AB405" s="417" t="s">
        <v>2790</v>
      </c>
      <c r="AC405" s="390"/>
      <c r="AD405" s="390"/>
      <c r="AE405" s="390"/>
      <c r="AF405" s="390"/>
      <c r="AG405" s="390"/>
      <c r="AH405" s="390"/>
      <c r="AI405" s="384"/>
      <c r="AJ405" s="384"/>
      <c r="AL405" s="16" t="s">
        <v>1829</v>
      </c>
      <c r="AM405" s="355" t="s">
        <v>2237</v>
      </c>
      <c r="AN405" s="355" t="s">
        <v>2238</v>
      </c>
      <c r="AO405" s="355" t="s">
        <v>2237</v>
      </c>
    </row>
    <row r="406" spans="1:41" x14ac:dyDescent="0.3">
      <c r="A406" s="344" t="str">
        <f>'Reference Score Calculation'!A397</f>
        <v>JSSU68</v>
      </c>
      <c r="B406" s="358" t="str">
        <f>'Reference Score Calculation'!D397</f>
        <v>檢測科學和認證榮譽理學士</v>
      </c>
      <c r="C406" s="380">
        <v>55</v>
      </c>
      <c r="D406" s="109">
        <v>3</v>
      </c>
      <c r="E406" s="109">
        <v>3</v>
      </c>
      <c r="F406" s="109">
        <v>2</v>
      </c>
      <c r="G406" s="109">
        <v>2</v>
      </c>
      <c r="H406" s="109">
        <v>2</v>
      </c>
      <c r="I406" s="109"/>
      <c r="K406" s="355">
        <f t="shared" si="163"/>
        <v>0</v>
      </c>
      <c r="L406" s="355">
        <f t="shared" si="164"/>
        <v>0</v>
      </c>
      <c r="M406" s="355">
        <f t="shared" si="165"/>
        <v>0</v>
      </c>
      <c r="N406" s="355">
        <f t="shared" si="166"/>
        <v>0</v>
      </c>
      <c r="O406" s="355">
        <f t="shared" si="177"/>
        <v>0</v>
      </c>
      <c r="R406" s="16">
        <f t="shared" si="167"/>
        <v>0</v>
      </c>
      <c r="S406" s="355"/>
      <c r="T406" s="355" t="s">
        <v>2237</v>
      </c>
      <c r="U406" s="355" t="s">
        <v>2238</v>
      </c>
      <c r="V406" s="355" t="s">
        <v>2237</v>
      </c>
      <c r="W406" s="355"/>
      <c r="X406" s="358" t="s">
        <v>1978</v>
      </c>
      <c r="Y406" s="358" t="s">
        <v>1978</v>
      </c>
      <c r="Z406" s="358"/>
      <c r="AA406" s="390"/>
      <c r="AB406" s="390"/>
      <c r="AC406" s="390"/>
      <c r="AD406" s="390"/>
      <c r="AE406" s="390"/>
      <c r="AF406" s="390"/>
      <c r="AG406" s="390"/>
      <c r="AH406" s="384"/>
      <c r="AI406" s="384"/>
      <c r="AJ406" s="384"/>
      <c r="AL406" s="16" t="s">
        <v>1837</v>
      </c>
      <c r="AM406" s="355" t="s">
        <v>2237</v>
      </c>
      <c r="AN406" s="355" t="s">
        <v>2238</v>
      </c>
      <c r="AO406" s="355" t="s">
        <v>2237</v>
      </c>
    </row>
    <row r="407" spans="1:41" x14ac:dyDescent="0.3">
      <c r="A407" s="344" t="str">
        <f>'Reference Score Calculation'!A398</f>
        <v>JSSU69</v>
      </c>
      <c r="B407" s="358" t="str">
        <f>'Reference Score Calculation'!D398</f>
        <v>食品測試科學榮譽理學士</v>
      </c>
      <c r="C407" s="380">
        <v>55</v>
      </c>
      <c r="D407" s="109">
        <v>3</v>
      </c>
      <c r="E407" s="109">
        <v>3</v>
      </c>
      <c r="F407" s="109">
        <v>2</v>
      </c>
      <c r="G407" s="109">
        <v>2</v>
      </c>
      <c r="H407" s="109">
        <v>2</v>
      </c>
      <c r="I407" s="109"/>
      <c r="K407" s="355">
        <f t="shared" si="163"/>
        <v>0</v>
      </c>
      <c r="L407" s="355">
        <f t="shared" si="164"/>
        <v>0</v>
      </c>
      <c r="M407" s="355">
        <f t="shared" si="165"/>
        <v>0</v>
      </c>
      <c r="N407" s="355">
        <f t="shared" si="166"/>
        <v>0</v>
      </c>
      <c r="O407" s="355">
        <f t="shared" si="177"/>
        <v>0</v>
      </c>
      <c r="R407" s="16">
        <f t="shared" si="167"/>
        <v>0</v>
      </c>
      <c r="S407" s="355"/>
      <c r="T407" s="355" t="s">
        <v>2237</v>
      </c>
      <c r="U407" s="355" t="s">
        <v>2238</v>
      </c>
      <c r="V407" s="355" t="s">
        <v>2237</v>
      </c>
      <c r="W407" s="355"/>
      <c r="X407" s="358" t="s">
        <v>1978</v>
      </c>
      <c r="Y407" s="358" t="s">
        <v>1978</v>
      </c>
      <c r="Z407" s="358"/>
      <c r="AA407" s="390"/>
      <c r="AB407" s="390"/>
      <c r="AC407" s="390"/>
      <c r="AD407" s="390"/>
      <c r="AE407" s="390"/>
      <c r="AF407" s="390"/>
      <c r="AG407" s="390"/>
      <c r="AH407" s="384"/>
      <c r="AI407" s="384"/>
      <c r="AJ407" s="384"/>
      <c r="AL407" s="16" t="s">
        <v>1843</v>
      </c>
      <c r="AM407" s="355" t="s">
        <v>2237</v>
      </c>
      <c r="AN407" s="355" t="s">
        <v>2238</v>
      </c>
      <c r="AO407" s="355" t="s">
        <v>2237</v>
      </c>
    </row>
    <row r="408" spans="1:41" x14ac:dyDescent="0.3">
      <c r="A408" s="344" t="str">
        <f>'Reference Score Calculation'!A399</f>
        <v>JSSU70</v>
      </c>
      <c r="B408" s="358" t="str">
        <f>'Reference Score Calculation'!D399</f>
        <v>數據科學及人工智能榮譽理學士</v>
      </c>
      <c r="C408" s="380">
        <v>25</v>
      </c>
      <c r="D408" s="109">
        <v>3</v>
      </c>
      <c r="E408" s="109">
        <v>3</v>
      </c>
      <c r="F408" s="109">
        <v>2</v>
      </c>
      <c r="G408" s="109">
        <v>2</v>
      </c>
      <c r="H408" s="109">
        <v>2</v>
      </c>
      <c r="I408" s="109"/>
      <c r="K408" s="355">
        <f t="shared" si="163"/>
        <v>0</v>
      </c>
      <c r="L408" s="355">
        <f t="shared" si="164"/>
        <v>0</v>
      </c>
      <c r="M408" s="355">
        <f t="shared" si="165"/>
        <v>0</v>
      </c>
      <c r="N408" s="355">
        <f t="shared" si="166"/>
        <v>0</v>
      </c>
      <c r="O408" s="355">
        <f t="shared" si="177"/>
        <v>0</v>
      </c>
      <c r="R408" s="16">
        <f t="shared" si="167"/>
        <v>0</v>
      </c>
      <c r="S408" s="355"/>
      <c r="T408" s="355" t="s">
        <v>2237</v>
      </c>
      <c r="U408" s="355" t="s">
        <v>2238</v>
      </c>
      <c r="V408" s="355" t="s">
        <v>2237</v>
      </c>
      <c r="W408" s="355"/>
      <c r="X408" s="358" t="s">
        <v>1978</v>
      </c>
      <c r="Y408" s="358" t="s">
        <v>1978</v>
      </c>
      <c r="Z408" s="358"/>
      <c r="AA408" s="390"/>
      <c r="AB408" s="390"/>
      <c r="AC408" s="390"/>
      <c r="AD408" s="390"/>
      <c r="AE408" s="390"/>
      <c r="AF408" s="390"/>
      <c r="AG408" s="390"/>
      <c r="AH408" s="384"/>
      <c r="AI408" s="384"/>
      <c r="AJ408" s="384"/>
      <c r="AL408" s="16" t="s">
        <v>1849</v>
      </c>
      <c r="AM408" s="355" t="s">
        <v>2237</v>
      </c>
      <c r="AN408" s="355" t="s">
        <v>2238</v>
      </c>
      <c r="AO408" s="355" t="s">
        <v>2237</v>
      </c>
    </row>
    <row r="409" spans="1:41" x14ac:dyDescent="0.3">
      <c r="A409" s="344" t="str">
        <f>'Reference Score Calculation'!A400</f>
        <v>JSSU71</v>
      </c>
      <c r="B409" s="358" t="str">
        <f>'Reference Score Calculation'!D400</f>
        <v>互聯網科技榮譽電腦學學士</v>
      </c>
      <c r="C409" s="380">
        <v>60</v>
      </c>
      <c r="D409" s="109">
        <v>3</v>
      </c>
      <c r="E409" s="109">
        <v>3</v>
      </c>
      <c r="F409" s="109">
        <v>2</v>
      </c>
      <c r="G409" s="109">
        <v>2</v>
      </c>
      <c r="H409" s="109">
        <v>2</v>
      </c>
      <c r="I409" s="109"/>
      <c r="K409" s="355">
        <f t="shared" si="163"/>
        <v>0</v>
      </c>
      <c r="L409" s="355">
        <f t="shared" si="164"/>
        <v>0</v>
      </c>
      <c r="M409" s="355">
        <f t="shared" si="165"/>
        <v>0</v>
      </c>
      <c r="N409" s="355">
        <f t="shared" si="166"/>
        <v>0</v>
      </c>
      <c r="O409" s="355">
        <f t="shared" si="177"/>
        <v>0</v>
      </c>
      <c r="R409" s="16">
        <f t="shared" si="167"/>
        <v>0</v>
      </c>
      <c r="S409" s="355"/>
      <c r="T409" s="355" t="s">
        <v>2237</v>
      </c>
      <c r="U409" s="355" t="s">
        <v>2238</v>
      </c>
      <c r="V409" s="355" t="s">
        <v>2237</v>
      </c>
      <c r="W409" s="355"/>
      <c r="X409" s="358" t="s">
        <v>1978</v>
      </c>
      <c r="Y409" s="358" t="s">
        <v>1978</v>
      </c>
      <c r="Z409" s="358"/>
      <c r="AA409" s="390"/>
      <c r="AB409" s="390"/>
      <c r="AC409" s="390"/>
      <c r="AD409" s="390"/>
      <c r="AE409" s="390"/>
      <c r="AF409" s="390"/>
      <c r="AG409" s="390"/>
      <c r="AH409" s="384"/>
      <c r="AI409" s="384"/>
      <c r="AJ409" s="384"/>
      <c r="AL409" s="16" t="s">
        <v>1855</v>
      </c>
      <c r="AM409" s="355" t="s">
        <v>2237</v>
      </c>
      <c r="AN409" s="355" t="s">
        <v>2238</v>
      </c>
      <c r="AO409" s="355" t="s">
        <v>2237</v>
      </c>
    </row>
    <row r="410" spans="1:41" x14ac:dyDescent="0.3">
      <c r="A410" s="344" t="str">
        <f>'Reference Score Calculation'!A401</f>
        <v>JSSU90</v>
      </c>
      <c r="B410" s="358" t="str">
        <f>'Reference Score Calculation'!D401</f>
        <v>國際款待及景區管理榮譽學士</v>
      </c>
      <c r="C410" s="380">
        <v>80</v>
      </c>
      <c r="D410" s="109">
        <v>3</v>
      </c>
      <c r="E410" s="109">
        <v>3</v>
      </c>
      <c r="F410" s="109">
        <v>2</v>
      </c>
      <c r="G410" s="109">
        <v>2</v>
      </c>
      <c r="H410" s="109">
        <v>2</v>
      </c>
      <c r="I410" s="109"/>
      <c r="K410" s="355">
        <f t="shared" si="163"/>
        <v>0</v>
      </c>
      <c r="L410" s="355">
        <f t="shared" si="164"/>
        <v>0</v>
      </c>
      <c r="M410" s="355">
        <f t="shared" si="165"/>
        <v>0</v>
      </c>
      <c r="N410" s="355">
        <f t="shared" si="166"/>
        <v>0</v>
      </c>
      <c r="O410" s="355">
        <f t="shared" si="177"/>
        <v>0</v>
      </c>
      <c r="R410" s="16">
        <f t="shared" si="167"/>
        <v>0</v>
      </c>
      <c r="S410" s="355"/>
      <c r="T410" s="355" t="s">
        <v>2237</v>
      </c>
      <c r="U410" s="355" t="s">
        <v>2238</v>
      </c>
      <c r="V410" s="355" t="s">
        <v>2237</v>
      </c>
      <c r="W410" s="355"/>
      <c r="X410" s="358" t="s">
        <v>1978</v>
      </c>
      <c r="Y410" s="358" t="s">
        <v>1978</v>
      </c>
      <c r="Z410" s="358"/>
      <c r="AA410" s="390"/>
      <c r="AB410" s="390"/>
      <c r="AC410" s="390"/>
      <c r="AD410" s="390"/>
      <c r="AE410" s="390"/>
      <c r="AF410" s="390"/>
      <c r="AG410" s="390"/>
      <c r="AH410" s="384"/>
      <c r="AI410" s="384"/>
      <c r="AJ410" s="384"/>
      <c r="AL410" s="16" t="s">
        <v>1861</v>
      </c>
      <c r="AM410" s="355" t="s">
        <v>2237</v>
      </c>
      <c r="AN410" s="355" t="s">
        <v>2238</v>
      </c>
      <c r="AO410" s="355" t="s">
        <v>2237</v>
      </c>
    </row>
    <row r="411" spans="1:41" x14ac:dyDescent="0.3">
      <c r="A411" s="344" t="str">
        <f>'Reference Score Calculation'!A402</f>
        <v>JSSU95</v>
      </c>
      <c r="B411" s="358" t="str">
        <f>'Reference Score Calculation'!D402</f>
        <v>由都會大學開辦：運動及康樂管理榮譽學士</v>
      </c>
      <c r="C411" s="380">
        <v>40</v>
      </c>
      <c r="D411" s="109">
        <v>3</v>
      </c>
      <c r="E411" s="109">
        <v>3</v>
      </c>
      <c r="F411" s="109">
        <v>2</v>
      </c>
      <c r="G411" s="109">
        <v>2</v>
      </c>
      <c r="H411" s="109">
        <v>2</v>
      </c>
      <c r="I411" s="109"/>
      <c r="K411" s="355">
        <f t="shared" si="163"/>
        <v>0</v>
      </c>
      <c r="L411" s="355">
        <f t="shared" si="164"/>
        <v>0</v>
      </c>
      <c r="M411" s="355">
        <f t="shared" si="165"/>
        <v>0</v>
      </c>
      <c r="N411" s="355">
        <f t="shared" si="166"/>
        <v>0</v>
      </c>
      <c r="O411" s="355">
        <f t="shared" si="177"/>
        <v>0</v>
      </c>
      <c r="R411" s="16">
        <f t="shared" si="167"/>
        <v>0</v>
      </c>
      <c r="S411" s="355"/>
      <c r="T411" s="355" t="s">
        <v>2237</v>
      </c>
      <c r="U411" s="355" t="s">
        <v>2238</v>
      </c>
      <c r="V411" s="355" t="s">
        <v>2237</v>
      </c>
      <c r="W411" s="355"/>
      <c r="X411" s="358" t="s">
        <v>1978</v>
      </c>
      <c r="Y411" s="358" t="s">
        <v>1978</v>
      </c>
      <c r="Z411" s="358"/>
      <c r="AA411" s="390"/>
      <c r="AB411" s="390"/>
      <c r="AC411" s="390"/>
      <c r="AD411" s="390"/>
      <c r="AE411" s="390"/>
      <c r="AF411" s="390"/>
      <c r="AG411" s="390"/>
      <c r="AH411" s="384"/>
      <c r="AI411" s="384"/>
      <c r="AJ411" s="384"/>
      <c r="AL411" s="16" t="s">
        <v>1867</v>
      </c>
      <c r="AM411" s="355" t="s">
        <v>2237</v>
      </c>
      <c r="AN411" s="355" t="s">
        <v>2238</v>
      </c>
      <c r="AO411" s="355" t="s">
        <v>2237</v>
      </c>
    </row>
    <row r="412" spans="1:41" x14ac:dyDescent="0.3">
      <c r="A412" s="344" t="str">
        <f>'Reference Score Calculation'!A403</f>
        <v>JSSU96</v>
      </c>
      <c r="B412" s="358" t="str">
        <f>'Reference Score Calculation'!D403</f>
        <v>金融科技及創新榮譽工商管理學士</v>
      </c>
      <c r="C412" s="380">
        <v>30</v>
      </c>
      <c r="D412" s="109">
        <v>3</v>
      </c>
      <c r="E412" s="109">
        <v>3</v>
      </c>
      <c r="F412" s="109">
        <v>2</v>
      </c>
      <c r="G412" s="109">
        <v>2</v>
      </c>
      <c r="H412" s="109">
        <v>2</v>
      </c>
      <c r="I412" s="109"/>
      <c r="K412" s="355">
        <f t="shared" si="163"/>
        <v>0</v>
      </c>
      <c r="L412" s="355">
        <f t="shared" si="164"/>
        <v>0</v>
      </c>
      <c r="M412" s="355">
        <f t="shared" si="165"/>
        <v>0</v>
      </c>
      <c r="N412" s="355">
        <f t="shared" si="166"/>
        <v>0</v>
      </c>
      <c r="O412" s="355">
        <f t="shared" si="177"/>
        <v>0</v>
      </c>
      <c r="R412" s="16">
        <f t="shared" si="167"/>
        <v>0</v>
      </c>
      <c r="S412" s="355"/>
      <c r="T412" s="355" t="s">
        <v>2237</v>
      </c>
      <c r="U412" s="355" t="s">
        <v>2238</v>
      </c>
      <c r="V412" s="355" t="s">
        <v>2237</v>
      </c>
      <c r="W412" s="355"/>
      <c r="X412" s="358" t="s">
        <v>1978</v>
      </c>
      <c r="Y412" s="358" t="s">
        <v>1978</v>
      </c>
      <c r="Z412" s="358"/>
      <c r="AA412" s="390"/>
      <c r="AB412" s="390"/>
      <c r="AC412" s="390"/>
      <c r="AD412" s="390"/>
      <c r="AE412" s="390"/>
      <c r="AF412" s="390"/>
      <c r="AG412" s="390"/>
      <c r="AH412" s="384"/>
      <c r="AI412" s="384"/>
      <c r="AJ412" s="384"/>
      <c r="AL412" s="16" t="s">
        <v>1873</v>
      </c>
      <c r="AM412" s="355" t="s">
        <v>2237</v>
      </c>
      <c r="AN412" s="355" t="s">
        <v>2238</v>
      </c>
      <c r="AO412" s="355" t="s">
        <v>2237</v>
      </c>
    </row>
    <row r="413" spans="1:41" x14ac:dyDescent="0.3">
      <c r="A413" s="344" t="str">
        <f>'Reference Score Calculation'!A404</f>
        <v>JSSU97</v>
      </c>
      <c r="B413" s="358" t="str">
        <f>'Reference Score Calculation'!D404</f>
        <v>環球市場及供應鏈榮譽工商管理學士</v>
      </c>
      <c r="C413" s="380">
        <v>40</v>
      </c>
      <c r="D413" s="109">
        <v>3</v>
      </c>
      <c r="E413" s="109">
        <v>3</v>
      </c>
      <c r="F413" s="109">
        <v>2</v>
      </c>
      <c r="G413" s="109">
        <v>2</v>
      </c>
      <c r="H413" s="109">
        <v>2</v>
      </c>
      <c r="I413" s="109"/>
      <c r="K413" s="355">
        <f t="shared" si="163"/>
        <v>0</v>
      </c>
      <c r="L413" s="355">
        <f t="shared" si="164"/>
        <v>0</v>
      </c>
      <c r="M413" s="355">
        <f t="shared" si="165"/>
        <v>0</v>
      </c>
      <c r="N413" s="355">
        <f t="shared" si="166"/>
        <v>0</v>
      </c>
      <c r="O413" s="355">
        <f>IF(H413&gt;LARGE($H$3:$M$3,1),0,1)</f>
        <v>0</v>
      </c>
      <c r="R413" s="16">
        <f t="shared" si="167"/>
        <v>0</v>
      </c>
      <c r="S413" s="355"/>
      <c r="T413" s="355" t="s">
        <v>2237</v>
      </c>
      <c r="U413" s="355" t="s">
        <v>2238</v>
      </c>
      <c r="V413" s="355" t="s">
        <v>2237</v>
      </c>
      <c r="W413" s="355"/>
      <c r="X413" s="358" t="s">
        <v>1978</v>
      </c>
      <c r="Y413" s="358" t="s">
        <v>1978</v>
      </c>
      <c r="Z413" s="358"/>
      <c r="AA413" s="355"/>
      <c r="AB413" s="355"/>
      <c r="AC413" s="355"/>
      <c r="AD413" s="355"/>
      <c r="AE413" s="355"/>
      <c r="AL413" s="16" t="s">
        <v>1879</v>
      </c>
      <c r="AM413" s="355" t="s">
        <v>2237</v>
      </c>
      <c r="AN413" s="355" t="s">
        <v>2238</v>
      </c>
      <c r="AO413" s="355" t="s">
        <v>2237</v>
      </c>
    </row>
    <row r="414" spans="1:41" x14ac:dyDescent="0.3">
      <c r="A414" s="344" t="str">
        <f>'Reference Score Calculation'!A405</f>
        <v>JSSV01</v>
      </c>
      <c r="B414" s="358" t="str">
        <f>'Reference Score Calculation'!D405</f>
        <v>時裝設計（榮譽）文學士</v>
      </c>
      <c r="C414" s="380">
        <v>40</v>
      </c>
      <c r="D414" s="109">
        <v>3</v>
      </c>
      <c r="E414" s="109">
        <v>3</v>
      </c>
      <c r="F414" s="109">
        <v>2</v>
      </c>
      <c r="G414" s="109">
        <v>2</v>
      </c>
      <c r="H414" s="109">
        <v>2</v>
      </c>
      <c r="I414" s="109"/>
      <c r="K414" s="355">
        <f t="shared" si="163"/>
        <v>0</v>
      </c>
      <c r="L414" s="355">
        <f t="shared" si="164"/>
        <v>0</v>
      </c>
      <c r="M414" s="355">
        <f t="shared" si="165"/>
        <v>0</v>
      </c>
      <c r="N414" s="355">
        <f t="shared" si="166"/>
        <v>0</v>
      </c>
      <c r="O414" s="355">
        <f>IF(H414&gt;LARGE($I$3:$L$3,1),0,1)</f>
        <v>0</v>
      </c>
      <c r="R414" s="16">
        <f t="shared" si="167"/>
        <v>0</v>
      </c>
      <c r="S414" s="355"/>
      <c r="T414" s="355" t="s">
        <v>2239</v>
      </c>
      <c r="U414" s="355" t="s">
        <v>2239</v>
      </c>
      <c r="V414" s="355" t="s">
        <v>2237</v>
      </c>
      <c r="W414" s="355"/>
      <c r="X414" s="358" t="s">
        <v>1978</v>
      </c>
      <c r="Y414" s="358" t="s">
        <v>1978</v>
      </c>
      <c r="Z414" s="358"/>
      <c r="AA414" s="355"/>
      <c r="AB414" s="355"/>
      <c r="AC414" s="355"/>
      <c r="AD414" s="355"/>
      <c r="AE414" s="355"/>
      <c r="AL414" s="16" t="s">
        <v>1885</v>
      </c>
      <c r="AM414" s="355"/>
      <c r="AN414" s="355"/>
      <c r="AO414" s="355" t="s">
        <v>2237</v>
      </c>
    </row>
    <row r="415" spans="1:41" x14ac:dyDescent="0.3">
      <c r="A415" s="344" t="str">
        <f>'Reference Score Calculation'!A406</f>
        <v>JSSV02</v>
      </c>
      <c r="B415" s="358" t="str">
        <f>'Reference Score Calculation'!D406</f>
        <v>產品設計（榮譽）文學士</v>
      </c>
      <c r="C415" s="380">
        <v>25</v>
      </c>
      <c r="D415" s="109">
        <v>3</v>
      </c>
      <c r="E415" s="109">
        <v>3</v>
      </c>
      <c r="F415" s="109">
        <v>2</v>
      </c>
      <c r="G415" s="109">
        <v>2</v>
      </c>
      <c r="H415" s="109">
        <v>2</v>
      </c>
      <c r="I415" s="109"/>
      <c r="K415" s="355">
        <f t="shared" si="163"/>
        <v>0</v>
      </c>
      <c r="L415" s="355">
        <f t="shared" si="164"/>
        <v>0</v>
      </c>
      <c r="M415" s="355">
        <f t="shared" si="165"/>
        <v>0</v>
      </c>
      <c r="N415" s="355">
        <f t="shared" si="166"/>
        <v>0</v>
      </c>
      <c r="O415" s="355">
        <f t="shared" ref="O415:O422" si="180">IF(H415&gt;LARGE($I$3:$L$3,1),0,1)</f>
        <v>0</v>
      </c>
      <c r="R415" s="16">
        <f t="shared" si="167"/>
        <v>0</v>
      </c>
      <c r="S415" s="355"/>
      <c r="T415" s="355" t="s">
        <v>2239</v>
      </c>
      <c r="U415" s="355" t="s">
        <v>2239</v>
      </c>
      <c r="V415" s="355" t="s">
        <v>2237</v>
      </c>
      <c r="W415" s="355"/>
      <c r="X415" s="358" t="s">
        <v>1978</v>
      </c>
      <c r="Y415" s="358" t="s">
        <v>1978</v>
      </c>
      <c r="Z415" s="358"/>
      <c r="AA415" s="355"/>
      <c r="AB415" s="355"/>
      <c r="AC415" s="355"/>
      <c r="AD415" s="355"/>
      <c r="AE415" s="355"/>
      <c r="AL415" s="16" t="s">
        <v>1890</v>
      </c>
      <c r="AM415" s="355"/>
      <c r="AN415" s="355"/>
      <c r="AO415" s="355" t="s">
        <v>2237</v>
      </c>
    </row>
    <row r="416" spans="1:41" x14ac:dyDescent="0.3">
      <c r="A416" s="344" t="str">
        <f>'Reference Score Calculation'!A407</f>
        <v>JSSV03</v>
      </c>
      <c r="B416" s="358" t="str">
        <f>'Reference Score Calculation'!D407</f>
        <v>園境建築（榮譽）文學士</v>
      </c>
      <c r="C416" s="380">
        <v>25</v>
      </c>
      <c r="D416" s="109">
        <v>3</v>
      </c>
      <c r="E416" s="109">
        <v>3</v>
      </c>
      <c r="F416" s="109">
        <v>2</v>
      </c>
      <c r="G416" s="109">
        <v>2</v>
      </c>
      <c r="H416" s="109">
        <v>2</v>
      </c>
      <c r="I416" s="109"/>
      <c r="K416" s="355">
        <f t="shared" si="163"/>
        <v>0</v>
      </c>
      <c r="L416" s="355">
        <f t="shared" si="164"/>
        <v>0</v>
      </c>
      <c r="M416" s="355">
        <f t="shared" si="165"/>
        <v>0</v>
      </c>
      <c r="N416" s="355">
        <f t="shared" si="166"/>
        <v>0</v>
      </c>
      <c r="O416" s="355">
        <f t="shared" si="180"/>
        <v>0</v>
      </c>
      <c r="R416" s="16">
        <f t="shared" si="167"/>
        <v>0</v>
      </c>
      <c r="S416" s="355"/>
      <c r="T416" s="355" t="s">
        <v>2239</v>
      </c>
      <c r="U416" s="355" t="s">
        <v>2239</v>
      </c>
      <c r="V416" s="355" t="s">
        <v>2237</v>
      </c>
      <c r="W416" s="355"/>
      <c r="X416" s="358" t="s">
        <v>1978</v>
      </c>
      <c r="Y416" s="358" t="s">
        <v>1978</v>
      </c>
      <c r="Z416" s="358"/>
      <c r="AA416" s="355"/>
      <c r="AB416" s="355"/>
      <c r="AC416" s="355"/>
      <c r="AD416" s="355"/>
      <c r="AE416" s="355"/>
      <c r="AL416" s="16" t="s">
        <v>1895</v>
      </c>
      <c r="AM416" s="355"/>
      <c r="AN416" s="355"/>
      <c r="AO416" s="355" t="s">
        <v>2237</v>
      </c>
    </row>
    <row r="417" spans="1:41" x14ac:dyDescent="0.3">
      <c r="A417" s="344" t="str">
        <f>'Reference Score Calculation'!A408</f>
        <v>JSSV04</v>
      </c>
      <c r="B417" s="358" t="str">
        <f>'Reference Score Calculation'!D408</f>
        <v>廚藝及管理（榮譽）文學士</v>
      </c>
      <c r="C417" s="380">
        <v>25</v>
      </c>
      <c r="D417" s="109">
        <v>3</v>
      </c>
      <c r="E417" s="109">
        <v>3</v>
      </c>
      <c r="F417" s="109">
        <v>2</v>
      </c>
      <c r="G417" s="109">
        <v>2</v>
      </c>
      <c r="H417" s="109">
        <v>2</v>
      </c>
      <c r="I417" s="109"/>
      <c r="K417" s="355">
        <f t="shared" si="163"/>
        <v>0</v>
      </c>
      <c r="L417" s="355">
        <f t="shared" si="164"/>
        <v>0</v>
      </c>
      <c r="M417" s="355">
        <f t="shared" si="165"/>
        <v>0</v>
      </c>
      <c r="N417" s="355">
        <f t="shared" si="166"/>
        <v>0</v>
      </c>
      <c r="O417" s="355">
        <f t="shared" si="180"/>
        <v>0</v>
      </c>
      <c r="R417" s="16">
        <f t="shared" si="167"/>
        <v>0</v>
      </c>
      <c r="S417" s="355"/>
      <c r="T417" s="355" t="s">
        <v>2239</v>
      </c>
      <c r="U417" s="355" t="s">
        <v>2239</v>
      </c>
      <c r="V417" s="355" t="s">
        <v>2237</v>
      </c>
      <c r="W417" s="355"/>
      <c r="X417" s="358" t="s">
        <v>1978</v>
      </c>
      <c r="Y417" s="358" t="s">
        <v>1978</v>
      </c>
      <c r="Z417" s="358"/>
      <c r="AA417" s="355"/>
      <c r="AB417" s="355"/>
      <c r="AC417" s="355"/>
      <c r="AD417" s="355"/>
      <c r="AE417" s="355"/>
      <c r="AL417" s="16" t="s">
        <v>1900</v>
      </c>
      <c r="AM417" s="355"/>
      <c r="AN417" s="355"/>
      <c r="AO417" s="355" t="s">
        <v>2237</v>
      </c>
    </row>
    <row r="418" spans="1:41" x14ac:dyDescent="0.3">
      <c r="A418" s="344" t="str">
        <f>'Reference Score Calculation'!A409</f>
        <v>JSSV05</v>
      </c>
      <c r="B418" s="358" t="str">
        <f>'Reference Score Calculation'!D409</f>
        <v>土木工程（榮譽）工學士</v>
      </c>
      <c r="C418" s="380">
        <v>30</v>
      </c>
      <c r="D418" s="109">
        <v>3</v>
      </c>
      <c r="E418" s="109">
        <v>3</v>
      </c>
      <c r="F418" s="109">
        <v>2</v>
      </c>
      <c r="G418" s="109">
        <v>2</v>
      </c>
      <c r="H418" s="109">
        <v>2</v>
      </c>
      <c r="I418" s="109"/>
      <c r="K418" s="355">
        <f t="shared" si="163"/>
        <v>0</v>
      </c>
      <c r="L418" s="355">
        <f t="shared" si="164"/>
        <v>0</v>
      </c>
      <c r="M418" s="355">
        <f t="shared" si="165"/>
        <v>0</v>
      </c>
      <c r="N418" s="355">
        <f t="shared" si="166"/>
        <v>0</v>
      </c>
      <c r="O418" s="355">
        <f>IF(H418&gt;$AI$400,0,1)</f>
        <v>0</v>
      </c>
      <c r="R418" s="16">
        <f t="shared" si="167"/>
        <v>0</v>
      </c>
      <c r="S418" s="355"/>
      <c r="T418" s="355" t="s">
        <v>2237</v>
      </c>
      <c r="U418" s="355" t="s">
        <v>2239</v>
      </c>
      <c r="V418" s="355" t="s">
        <v>2237</v>
      </c>
      <c r="W418" s="355"/>
      <c r="X418" s="358" t="s">
        <v>3579</v>
      </c>
      <c r="Y418" s="358" t="s">
        <v>1970</v>
      </c>
      <c r="Z418" s="358"/>
      <c r="AA418" s="355"/>
      <c r="AB418" s="355"/>
      <c r="AC418" s="355"/>
      <c r="AD418" s="355"/>
      <c r="AE418" s="355"/>
      <c r="AL418" s="16" t="s">
        <v>1905</v>
      </c>
      <c r="AM418" s="355" t="s">
        <v>2237</v>
      </c>
      <c r="AN418" s="355"/>
      <c r="AO418" s="355" t="s">
        <v>2237</v>
      </c>
    </row>
    <row r="419" spans="1:41" x14ac:dyDescent="0.3">
      <c r="A419" s="344" t="str">
        <f>'Reference Score Calculation'!A410</f>
        <v>JSSV07</v>
      </c>
      <c r="B419" s="358" t="str">
        <f>'Reference Score Calculation'!D410</f>
        <v>園藝樹藝及園境管理（榮譽）理學士</v>
      </c>
      <c r="C419" s="380">
        <v>25</v>
      </c>
      <c r="D419" s="109">
        <v>3</v>
      </c>
      <c r="E419" s="109">
        <v>3</v>
      </c>
      <c r="F419" s="109">
        <v>2</v>
      </c>
      <c r="G419" s="109">
        <v>2</v>
      </c>
      <c r="H419" s="109">
        <v>2</v>
      </c>
      <c r="I419" s="109"/>
      <c r="K419" s="355">
        <f t="shared" si="163"/>
        <v>0</v>
      </c>
      <c r="L419" s="355">
        <f t="shared" si="164"/>
        <v>0</v>
      </c>
      <c r="M419" s="355">
        <f t="shared" si="165"/>
        <v>0</v>
      </c>
      <c r="N419" s="355">
        <f t="shared" si="166"/>
        <v>0</v>
      </c>
      <c r="O419" s="355">
        <f t="shared" si="180"/>
        <v>0</v>
      </c>
      <c r="R419" s="16">
        <f t="shared" si="167"/>
        <v>0</v>
      </c>
      <c r="S419" s="355"/>
      <c r="T419" s="355" t="s">
        <v>2239</v>
      </c>
      <c r="U419" s="355" t="s">
        <v>2239</v>
      </c>
      <c r="V419" s="355" t="s">
        <v>2237</v>
      </c>
      <c r="W419" s="355"/>
      <c r="X419" s="358" t="s">
        <v>1978</v>
      </c>
      <c r="Y419" s="358" t="s">
        <v>1978</v>
      </c>
      <c r="Z419" s="358"/>
      <c r="AA419" s="355"/>
      <c r="AB419" s="355"/>
      <c r="AC419" s="355"/>
      <c r="AD419" s="355"/>
      <c r="AE419" s="355"/>
      <c r="AL419" s="16" t="s">
        <v>1910</v>
      </c>
      <c r="AM419" s="355"/>
      <c r="AN419" s="355"/>
      <c r="AO419" s="355" t="s">
        <v>2237</v>
      </c>
    </row>
    <row r="420" spans="1:41" x14ac:dyDescent="0.3">
      <c r="A420" s="344" t="str">
        <f>'Reference Score Calculation'!A411</f>
        <v>JSSV08</v>
      </c>
      <c r="B420" s="358" t="str">
        <f>'Reference Score Calculation'!D411</f>
        <v>測量學（榮譽）理學士</v>
      </c>
      <c r="C420" s="380">
        <v>25</v>
      </c>
      <c r="D420" s="109">
        <v>3</v>
      </c>
      <c r="E420" s="109">
        <v>3</v>
      </c>
      <c r="F420" s="109">
        <v>2</v>
      </c>
      <c r="G420" s="109">
        <v>2</v>
      </c>
      <c r="H420" s="109">
        <v>2</v>
      </c>
      <c r="I420" s="109"/>
      <c r="K420" s="355">
        <f t="shared" si="163"/>
        <v>0</v>
      </c>
      <c r="L420" s="355">
        <f t="shared" si="164"/>
        <v>0</v>
      </c>
      <c r="M420" s="355">
        <f t="shared" si="165"/>
        <v>0</v>
      </c>
      <c r="N420" s="355">
        <f t="shared" si="166"/>
        <v>0</v>
      </c>
      <c r="O420" s="355">
        <f t="shared" si="180"/>
        <v>0</v>
      </c>
      <c r="R420" s="16">
        <f t="shared" si="167"/>
        <v>0</v>
      </c>
      <c r="S420" s="355"/>
      <c r="T420" s="355" t="s">
        <v>2239</v>
      </c>
      <c r="U420" s="355" t="s">
        <v>2239</v>
      </c>
      <c r="V420" s="355" t="s">
        <v>2237</v>
      </c>
      <c r="W420" s="355"/>
      <c r="X420" s="358" t="s">
        <v>1978</v>
      </c>
      <c r="Y420" s="358" t="s">
        <v>1978</v>
      </c>
      <c r="Z420" s="358"/>
      <c r="AA420" s="355"/>
      <c r="AB420" s="355"/>
      <c r="AC420" s="355"/>
      <c r="AD420" s="355"/>
      <c r="AE420" s="355"/>
      <c r="AL420" s="16" t="s">
        <v>1915</v>
      </c>
      <c r="AM420" s="355"/>
      <c r="AN420" s="355"/>
      <c r="AO420" s="355" t="s">
        <v>2237</v>
      </c>
    </row>
    <row r="421" spans="1:41" x14ac:dyDescent="0.3">
      <c r="A421" s="344" t="str">
        <f>'Reference Score Calculation'!A412</f>
        <v>JSSV09</v>
      </c>
      <c r="B421" s="358" t="str">
        <f>'Reference Score Calculation'!D412</f>
        <v>運動及康樂管理（榮譽）社會科學學士</v>
      </c>
      <c r="C421" s="380">
        <v>30</v>
      </c>
      <c r="D421" s="109">
        <v>3</v>
      </c>
      <c r="E421" s="109">
        <v>3</v>
      </c>
      <c r="F421" s="109">
        <v>2</v>
      </c>
      <c r="G421" s="109">
        <v>2</v>
      </c>
      <c r="H421" s="109">
        <v>2</v>
      </c>
      <c r="I421" s="109"/>
      <c r="K421" s="355">
        <f t="shared" si="163"/>
        <v>0</v>
      </c>
      <c r="L421" s="355">
        <f t="shared" si="164"/>
        <v>0</v>
      </c>
      <c r="M421" s="355">
        <f t="shared" si="165"/>
        <v>0</v>
      </c>
      <c r="N421" s="355">
        <f t="shared" si="166"/>
        <v>0</v>
      </c>
      <c r="O421" s="355">
        <f t="shared" si="180"/>
        <v>0</v>
      </c>
      <c r="R421" s="16">
        <f t="shared" si="167"/>
        <v>0</v>
      </c>
      <c r="S421" s="355"/>
      <c r="T421" s="355" t="s">
        <v>2239</v>
      </c>
      <c r="U421" s="355" t="s">
        <v>2239</v>
      </c>
      <c r="V421" s="355" t="s">
        <v>2237</v>
      </c>
      <c r="W421" s="355"/>
      <c r="X421" s="358" t="s">
        <v>1978</v>
      </c>
      <c r="Y421" s="358" t="s">
        <v>1978</v>
      </c>
      <c r="Z421" s="358"/>
      <c r="AA421" s="355"/>
      <c r="AB421" s="355"/>
      <c r="AC421" s="355"/>
      <c r="AD421" s="355"/>
      <c r="AE421" s="355"/>
      <c r="AL421" s="16" t="s">
        <v>1920</v>
      </c>
      <c r="AM421" s="355"/>
      <c r="AN421" s="355"/>
      <c r="AO421" s="355" t="s">
        <v>2237</v>
      </c>
    </row>
    <row r="422" spans="1:41" x14ac:dyDescent="0.3">
      <c r="A422" s="344" t="str">
        <f>'Reference Score Calculation'!A413</f>
        <v>JSSW01</v>
      </c>
      <c r="B422" s="358" t="str">
        <f>'Reference Score Calculation'!D413</f>
        <v>由香港伍倫貢學院開辦：營運及管理（榮譽）航空學士</v>
      </c>
      <c r="C422" s="380">
        <v>25</v>
      </c>
      <c r="D422" s="109">
        <v>3</v>
      </c>
      <c r="E422" s="109">
        <v>3</v>
      </c>
      <c r="F422" s="109">
        <v>2</v>
      </c>
      <c r="G422" s="109">
        <v>2</v>
      </c>
      <c r="H422" s="109">
        <v>2</v>
      </c>
      <c r="I422" s="109"/>
      <c r="K422" s="355">
        <f t="shared" si="163"/>
        <v>0</v>
      </c>
      <c r="L422" s="355">
        <f t="shared" si="164"/>
        <v>0</v>
      </c>
      <c r="M422" s="355">
        <f t="shared" si="165"/>
        <v>0</v>
      </c>
      <c r="N422" s="355">
        <f t="shared" si="166"/>
        <v>0</v>
      </c>
      <c r="O422" s="355">
        <f t="shared" si="180"/>
        <v>0</v>
      </c>
      <c r="R422" s="16">
        <f t="shared" si="167"/>
        <v>0</v>
      </c>
      <c r="S422" s="355"/>
      <c r="T422" s="355" t="s">
        <v>2239</v>
      </c>
      <c r="U422" s="355" t="s">
        <v>2239</v>
      </c>
      <c r="V422" s="355" t="s">
        <v>2239</v>
      </c>
      <c r="W422" s="355"/>
      <c r="X422" s="358" t="s">
        <v>1978</v>
      </c>
      <c r="Y422" s="358" t="s">
        <v>1978</v>
      </c>
      <c r="Z422" s="358"/>
      <c r="AA422" s="355"/>
      <c r="AB422" s="355"/>
      <c r="AC422" s="355"/>
      <c r="AD422" s="355"/>
      <c r="AE422" s="355"/>
      <c r="AL422" s="16" t="s">
        <v>1933</v>
      </c>
      <c r="AM422" s="355"/>
      <c r="AN422" s="355"/>
      <c r="AO422" s="355"/>
    </row>
    <row r="423" spans="1:41" x14ac:dyDescent="0.3">
      <c r="A423" s="344" t="str">
        <f>'Reference Score Calculation'!A414</f>
        <v>JSSY01</v>
      </c>
      <c r="B423" s="358" t="str">
        <f>'Reference Score Calculation'!D414</f>
        <v>由仁大開辦： 金融科技（榮譽）商學士</v>
      </c>
      <c r="C423" s="380">
        <v>30</v>
      </c>
      <c r="D423" s="109">
        <v>3</v>
      </c>
      <c r="E423" s="109">
        <v>3</v>
      </c>
      <c r="F423" s="109">
        <v>2</v>
      </c>
      <c r="G423" s="109">
        <v>2</v>
      </c>
      <c r="H423" s="109">
        <v>2</v>
      </c>
      <c r="I423" s="109"/>
      <c r="K423" s="355">
        <f t="shared" si="163"/>
        <v>0</v>
      </c>
      <c r="L423" s="355">
        <f t="shared" si="164"/>
        <v>0</v>
      </c>
      <c r="M423" s="355">
        <f t="shared" si="165"/>
        <v>0</v>
      </c>
      <c r="N423" s="355">
        <f t="shared" si="166"/>
        <v>0</v>
      </c>
      <c r="O423" s="355">
        <f>IF(H423&gt;LARGE($I$3:$L$3,1),0,IF(AI404&lt;3,2,1))</f>
        <v>0</v>
      </c>
      <c r="R423" s="16">
        <f t="shared" si="167"/>
        <v>0</v>
      </c>
      <c r="S423" s="355"/>
      <c r="T423" s="355" t="s">
        <v>2239</v>
      </c>
      <c r="U423" s="355" t="s">
        <v>2239</v>
      </c>
      <c r="V423" s="355" t="s">
        <v>2239</v>
      </c>
      <c r="W423" s="355"/>
      <c r="X423" s="358" t="s">
        <v>3578</v>
      </c>
      <c r="Y423" s="358" t="s">
        <v>1970</v>
      </c>
      <c r="Z423" s="358"/>
      <c r="AA423" s="355"/>
      <c r="AB423" s="355"/>
      <c r="AC423" s="355"/>
      <c r="AD423" s="355"/>
      <c r="AE423" s="355"/>
      <c r="AL423" s="16" t="s">
        <v>1938</v>
      </c>
      <c r="AM423" s="355"/>
      <c r="AN423" s="355"/>
      <c r="AO423" s="355"/>
    </row>
    <row r="424" spans="1:41" x14ac:dyDescent="0.3">
      <c r="S424" s="355"/>
      <c r="T424" s="355"/>
      <c r="U424" s="355"/>
      <c r="V424" s="355"/>
      <c r="W424" s="355"/>
      <c r="X424" s="358"/>
      <c r="Y424" s="358"/>
      <c r="Z424" s="358"/>
      <c r="AA424" s="355"/>
      <c r="AB424" s="355"/>
      <c r="AC424" s="355"/>
      <c r="AD424" s="355"/>
      <c r="AE424" s="355"/>
      <c r="AM424" s="355"/>
      <c r="AN424" s="355"/>
      <c r="AO424" s="355"/>
    </row>
    <row r="425" spans="1:41" x14ac:dyDescent="0.3">
      <c r="S425" s="355"/>
      <c r="T425" s="355"/>
      <c r="U425" s="355"/>
      <c r="V425" s="355"/>
      <c r="W425" s="355"/>
      <c r="X425" s="358"/>
      <c r="Y425" s="358"/>
      <c r="Z425" s="358"/>
      <c r="AA425" s="355"/>
      <c r="AB425" s="355"/>
      <c r="AC425" s="355"/>
      <c r="AD425" s="355"/>
      <c r="AE425" s="355"/>
      <c r="AM425" s="355"/>
      <c r="AN425" s="355"/>
      <c r="AO425" s="355"/>
    </row>
  </sheetData>
  <phoneticPr fontId="2" type="noConversion"/>
  <conditionalFormatting sqref="K22:P423 R22:R423">
    <cfRule type="cellIs" dxfId="78" priority="4" operator="equal">
      <formula>0</formula>
    </cfRule>
    <cfRule type="cellIs" dxfId="77" priority="5" operator="equal">
      <formula>2</formula>
    </cfRule>
    <cfRule type="cellIs" dxfId="76" priority="6" operator="equal">
      <formula>1</formula>
    </cfRule>
  </conditionalFormatting>
  <conditionalFormatting sqref="D22:I423">
    <cfRule type="expression" dxfId="75" priority="214">
      <formula>K22=0</formula>
    </cfRule>
    <cfRule type="expression" dxfId="74" priority="215">
      <formula>K22=2</formula>
    </cfRule>
    <cfRule type="expression" dxfId="73" priority="216">
      <formula>K22=1</formula>
    </cfRule>
  </conditionalFormatting>
  <pageMargins left="0.7" right="0.7" top="0.75" bottom="0.75" header="0.3" footer="0.3"/>
  <pageSetup paperSize="9" orientation="portrait" horizontalDpi="1200" verticalDpi="120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E621-BDDB-4E5C-B000-C3733274C514}">
  <sheetPr codeName="Sheet2"/>
  <dimension ref="A1:IK590"/>
  <sheetViews>
    <sheetView topLeftCell="A367" zoomScale="85" zoomScaleNormal="85" workbookViewId="0">
      <pane xSplit="3" topLeftCell="D1" activePane="topRight" state="frozen"/>
      <selection pane="topRight" activeCell="AD395" sqref="AD395"/>
    </sheetView>
  </sheetViews>
  <sheetFormatPr defaultColWidth="8.88671875" defaultRowHeight="13.8" x14ac:dyDescent="0.3"/>
  <cols>
    <col min="1" max="1" width="11.33203125" style="2" customWidth="1"/>
    <col min="2" max="2" width="6.44140625" style="2" customWidth="1"/>
    <col min="3" max="3" width="5.44140625" style="2" customWidth="1"/>
    <col min="4" max="4" width="12.44140625" style="2" customWidth="1"/>
    <col min="5" max="5" width="9.6640625" style="2" customWidth="1"/>
    <col min="6" max="8" width="6.77734375" style="2" customWidth="1"/>
    <col min="9" max="9" width="10.21875" style="2" customWidth="1"/>
    <col min="10" max="10" width="8.33203125" style="2" customWidth="1"/>
    <col min="11" max="11" width="10.88671875" style="2" customWidth="1"/>
    <col min="12" max="12" width="11.21875" style="2" customWidth="1"/>
    <col min="13" max="13" width="11.44140625" style="2" customWidth="1"/>
    <col min="14" max="16" width="7.6640625" style="251" hidden="1" customWidth="1"/>
    <col min="17" max="19" width="6.77734375" style="251" hidden="1" customWidth="1"/>
    <col min="20" max="21" width="6.77734375" style="2" customWidth="1"/>
    <col min="22" max="23" width="6.77734375" style="251" customWidth="1"/>
    <col min="24" max="26" width="6.77734375" style="344" customWidth="1"/>
    <col min="27" max="29" width="6.77734375" style="2" customWidth="1"/>
    <col min="30" max="30" width="8.88671875" style="2" customWidth="1"/>
    <col min="31" max="32" width="6.77734375" style="2" customWidth="1"/>
    <col min="33" max="33" width="9.77734375" style="2" customWidth="1"/>
    <col min="34" max="41" width="6.77734375" style="2" customWidth="1"/>
    <col min="42" max="42" width="10.33203125" style="251" customWidth="1"/>
    <col min="43" max="43" width="10.33203125" style="344" customWidth="1"/>
    <col min="44" max="45" width="6.77734375" style="2" customWidth="1"/>
    <col min="46" max="46" width="21.109375" style="2" customWidth="1"/>
    <col min="47" max="47" width="7.77734375" style="2" customWidth="1"/>
    <col min="48" max="52" width="7.77734375" style="344" customWidth="1"/>
    <col min="53" max="53" width="6.6640625" style="344" customWidth="1"/>
    <col min="54" max="149" width="6.77734375" style="2" customWidth="1"/>
    <col min="150" max="150" width="6.77734375" style="251" customWidth="1"/>
    <col min="151" max="151" width="6.77734375" style="2" customWidth="1"/>
    <col min="152" max="16384" width="8.88671875" style="2"/>
  </cols>
  <sheetData>
    <row r="1" spans="1:245" x14ac:dyDescent="0.3">
      <c r="A1" s="2" t="s">
        <v>2028</v>
      </c>
      <c r="DN1" s="254"/>
      <c r="DO1" s="254"/>
      <c r="ET1" s="254"/>
      <c r="FZ1" s="254"/>
      <c r="HF1" s="254"/>
      <c r="HG1" s="251"/>
      <c r="HH1" s="251"/>
      <c r="HI1" s="251"/>
      <c r="HJ1" s="251"/>
      <c r="HK1" s="251"/>
      <c r="HL1" s="251"/>
      <c r="HM1" s="251"/>
      <c r="HN1" s="251"/>
      <c r="HO1" s="251"/>
      <c r="HP1" s="251"/>
      <c r="HQ1" s="251"/>
      <c r="HR1" s="251"/>
      <c r="HS1" s="251"/>
      <c r="HT1" s="251"/>
      <c r="HU1" s="251"/>
      <c r="HV1" s="251"/>
      <c r="HW1" s="251"/>
      <c r="HX1" s="251"/>
      <c r="HY1" s="251"/>
      <c r="HZ1" s="251"/>
      <c r="IA1" s="251"/>
      <c r="IB1" s="251"/>
      <c r="IC1" s="251"/>
      <c r="ID1" s="251"/>
      <c r="IE1" s="251"/>
      <c r="IF1" s="251"/>
      <c r="IG1" s="251"/>
      <c r="IH1" s="251"/>
      <c r="II1" s="251"/>
      <c r="IJ1" s="251"/>
      <c r="IK1" s="251"/>
    </row>
    <row r="2" spans="1:245" x14ac:dyDescent="0.3">
      <c r="A2" s="11" t="s">
        <v>1942</v>
      </c>
      <c r="B2" s="11" t="s">
        <v>2029</v>
      </c>
      <c r="C2" s="11" t="s">
        <v>1943</v>
      </c>
      <c r="D2" s="11" t="s">
        <v>1996</v>
      </c>
      <c r="E2" s="11" t="s">
        <v>1945</v>
      </c>
      <c r="F2" s="11" t="s">
        <v>2035</v>
      </c>
      <c r="G2" s="11" t="s">
        <v>1946</v>
      </c>
      <c r="H2" s="11" t="s">
        <v>1947</v>
      </c>
      <c r="I2" s="11" t="s">
        <v>2031</v>
      </c>
      <c r="J2" s="11" t="s">
        <v>2032</v>
      </c>
      <c r="K2" s="11" t="s">
        <v>2033</v>
      </c>
      <c r="L2" s="11" t="s">
        <v>2034</v>
      </c>
      <c r="M2" s="11" t="s">
        <v>2957</v>
      </c>
      <c r="N2" s="254" t="s">
        <v>3036</v>
      </c>
      <c r="O2" s="254" t="s">
        <v>3037</v>
      </c>
      <c r="P2" s="254" t="s">
        <v>3038</v>
      </c>
      <c r="Q2" s="254" t="s">
        <v>3040</v>
      </c>
      <c r="R2" s="254" t="s">
        <v>3041</v>
      </c>
      <c r="S2" s="254" t="s">
        <v>3042</v>
      </c>
      <c r="T2" s="11"/>
      <c r="U2" s="11" t="s">
        <v>2030</v>
      </c>
      <c r="V2" s="254" t="s">
        <v>2377</v>
      </c>
      <c r="W2" s="254" t="s">
        <v>3044</v>
      </c>
      <c r="X2" s="351" t="s">
        <v>1950</v>
      </c>
      <c r="Y2" s="351" t="s">
        <v>3533</v>
      </c>
      <c r="Z2" s="351" t="s">
        <v>2541</v>
      </c>
      <c r="AA2" s="11" t="s">
        <v>2030</v>
      </c>
      <c r="AB2" s="11" t="s">
        <v>2699</v>
      </c>
      <c r="AC2" s="11" t="s">
        <v>2700</v>
      </c>
      <c r="AD2" s="11" t="s">
        <v>2036</v>
      </c>
      <c r="AE2" s="11" t="s">
        <v>2037</v>
      </c>
      <c r="AF2" s="11" t="s">
        <v>2038</v>
      </c>
      <c r="AG2" s="11" t="s">
        <v>2039</v>
      </c>
      <c r="AH2" s="11" t="s">
        <v>2040</v>
      </c>
      <c r="AI2" s="11" t="s">
        <v>2785</v>
      </c>
      <c r="AJ2" s="11" t="s">
        <v>2041</v>
      </c>
      <c r="AK2" s="11" t="s">
        <v>2042</v>
      </c>
      <c r="AL2" s="11" t="s">
        <v>2043</v>
      </c>
      <c r="AM2" s="11" t="s">
        <v>2044</v>
      </c>
      <c r="AN2" s="11" t="s">
        <v>2045</v>
      </c>
      <c r="AO2" s="11" t="s">
        <v>2944</v>
      </c>
      <c r="AP2" s="254" t="s">
        <v>3033</v>
      </c>
      <c r="AQ2" s="351" t="s">
        <v>3547</v>
      </c>
      <c r="AR2" s="11" t="s">
        <v>2046</v>
      </c>
      <c r="AS2" s="11" t="s">
        <v>2047</v>
      </c>
      <c r="AT2" s="11" t="s">
        <v>2048</v>
      </c>
      <c r="AU2" s="11" t="s">
        <v>2973</v>
      </c>
      <c r="AV2" s="351" t="s">
        <v>3714</v>
      </c>
      <c r="AW2" s="351" t="s">
        <v>3715</v>
      </c>
      <c r="AX2" s="351" t="s">
        <v>3716</v>
      </c>
      <c r="AY2" s="351" t="s">
        <v>3717</v>
      </c>
      <c r="AZ2" s="351" t="s">
        <v>3718</v>
      </c>
      <c r="BA2" s="351" t="s">
        <v>3719</v>
      </c>
      <c r="BB2" s="11" t="s">
        <v>2049</v>
      </c>
      <c r="BC2" s="11" t="s">
        <v>2050</v>
      </c>
      <c r="BD2" s="11" t="s">
        <v>2051</v>
      </c>
      <c r="BE2" s="11" t="s">
        <v>2052</v>
      </c>
      <c r="BF2" s="11" t="s">
        <v>2053</v>
      </c>
      <c r="BG2" s="11" t="s">
        <v>2054</v>
      </c>
      <c r="BH2" s="11" t="s">
        <v>2055</v>
      </c>
      <c r="BI2" s="11" t="s">
        <v>2056</v>
      </c>
      <c r="BJ2" s="11" t="s">
        <v>2057</v>
      </c>
      <c r="BK2" s="11" t="s">
        <v>2058</v>
      </c>
      <c r="BL2" s="11" t="s">
        <v>2059</v>
      </c>
      <c r="BM2" s="11" t="s">
        <v>2060</v>
      </c>
      <c r="BN2" s="11" t="s">
        <v>2061</v>
      </c>
      <c r="BO2" s="11" t="s">
        <v>2062</v>
      </c>
      <c r="BP2" s="11" t="s">
        <v>2063</v>
      </c>
      <c r="BQ2" s="11" t="s">
        <v>2064</v>
      </c>
      <c r="BR2" s="11" t="s">
        <v>2065</v>
      </c>
      <c r="BS2" s="11" t="s">
        <v>2066</v>
      </c>
      <c r="BT2" s="11" t="s">
        <v>2067</v>
      </c>
      <c r="BU2" s="11" t="s">
        <v>2068</v>
      </c>
      <c r="BV2" s="11" t="s">
        <v>2069</v>
      </c>
      <c r="BW2" s="11" t="s">
        <v>2070</v>
      </c>
      <c r="BX2" s="11" t="s">
        <v>2071</v>
      </c>
      <c r="BY2" s="11" t="s">
        <v>2072</v>
      </c>
      <c r="BZ2" s="11" t="s">
        <v>2073</v>
      </c>
      <c r="CA2" s="11" t="s">
        <v>2074</v>
      </c>
      <c r="CB2" s="11" t="s">
        <v>2075</v>
      </c>
      <c r="CC2" s="11" t="s">
        <v>2076</v>
      </c>
      <c r="CD2" s="11" t="s">
        <v>2077</v>
      </c>
      <c r="CE2" s="11" t="s">
        <v>2078</v>
      </c>
      <c r="CF2" s="11" t="s">
        <v>2079</v>
      </c>
      <c r="CG2" s="11" t="s">
        <v>2080</v>
      </c>
      <c r="CH2" s="11" t="s">
        <v>2081</v>
      </c>
      <c r="CI2" s="11" t="s">
        <v>2082</v>
      </c>
      <c r="CJ2" s="11" t="s">
        <v>2083</v>
      </c>
      <c r="CK2" s="11" t="s">
        <v>2084</v>
      </c>
      <c r="CL2" s="11" t="s">
        <v>2085</v>
      </c>
      <c r="CM2" s="11" t="s">
        <v>2086</v>
      </c>
      <c r="CN2" s="11" t="s">
        <v>2087</v>
      </c>
      <c r="CO2" s="11" t="s">
        <v>2088</v>
      </c>
      <c r="CP2" s="11" t="s">
        <v>2089</v>
      </c>
      <c r="CQ2" s="11" t="s">
        <v>2090</v>
      </c>
      <c r="CR2" s="11" t="s">
        <v>2091</v>
      </c>
      <c r="CS2" s="11" t="s">
        <v>2092</v>
      </c>
      <c r="CT2" s="11" t="s">
        <v>2093</v>
      </c>
      <c r="CU2" s="11" t="s">
        <v>2094</v>
      </c>
      <c r="CV2" s="11" t="s">
        <v>2095</v>
      </c>
      <c r="CW2" s="11" t="s">
        <v>2096</v>
      </c>
      <c r="CX2" s="11" t="s">
        <v>2097</v>
      </c>
      <c r="CY2" s="11" t="s">
        <v>2098</v>
      </c>
      <c r="CZ2" s="11" t="s">
        <v>2099</v>
      </c>
      <c r="DA2" s="11" t="s">
        <v>2100</v>
      </c>
      <c r="DB2" s="11" t="s">
        <v>2101</v>
      </c>
      <c r="DC2" s="11" t="s">
        <v>2102</v>
      </c>
      <c r="DD2" s="11" t="s">
        <v>2103</v>
      </c>
      <c r="DE2" s="11" t="s">
        <v>2104</v>
      </c>
      <c r="DF2" s="11" t="s">
        <v>2105</v>
      </c>
      <c r="DG2" s="11" t="s">
        <v>2106</v>
      </c>
      <c r="DH2" s="11" t="s">
        <v>2107</v>
      </c>
      <c r="DI2" s="11" t="s">
        <v>2108</v>
      </c>
      <c r="DJ2" s="11" t="s">
        <v>2109</v>
      </c>
      <c r="DK2" s="11" t="s">
        <v>2110</v>
      </c>
      <c r="DL2" s="11" t="s">
        <v>2111</v>
      </c>
      <c r="DM2" s="11" t="s">
        <v>2112</v>
      </c>
      <c r="DN2" s="11" t="s">
        <v>2113</v>
      </c>
      <c r="DO2" s="11" t="s">
        <v>2114</v>
      </c>
      <c r="DP2" s="11" t="s">
        <v>2115</v>
      </c>
      <c r="DQ2" s="11" t="s">
        <v>2116</v>
      </c>
      <c r="DR2" s="11" t="s">
        <v>2117</v>
      </c>
      <c r="DS2" s="11" t="s">
        <v>2118</v>
      </c>
      <c r="DT2" s="11" t="s">
        <v>2119</v>
      </c>
      <c r="DU2" s="11" t="s">
        <v>2120</v>
      </c>
      <c r="DV2" s="11" t="s">
        <v>2121</v>
      </c>
      <c r="DW2" s="11" t="s">
        <v>2122</v>
      </c>
      <c r="DX2" s="11" t="s">
        <v>2123</v>
      </c>
      <c r="DY2" s="11" t="s">
        <v>2124</v>
      </c>
      <c r="DZ2" s="11" t="s">
        <v>2125</v>
      </c>
      <c r="EA2" s="11" t="s">
        <v>2126</v>
      </c>
      <c r="EB2" s="11" t="s">
        <v>2127</v>
      </c>
      <c r="EC2" s="11" t="s">
        <v>2128</v>
      </c>
      <c r="ED2" s="11" t="s">
        <v>2129</v>
      </c>
      <c r="EE2" s="11" t="s">
        <v>2130</v>
      </c>
      <c r="EF2" s="11" t="s">
        <v>2131</v>
      </c>
      <c r="EG2" s="11" t="s">
        <v>2132</v>
      </c>
      <c r="EH2" s="11" t="s">
        <v>2133</v>
      </c>
      <c r="EI2" s="11" t="s">
        <v>2134</v>
      </c>
      <c r="EJ2" s="11" t="s">
        <v>2135</v>
      </c>
      <c r="EK2" s="11" t="s">
        <v>2136</v>
      </c>
      <c r="EL2" s="11" t="s">
        <v>2137</v>
      </c>
      <c r="EM2" s="11" t="s">
        <v>2138</v>
      </c>
      <c r="EN2" s="11" t="s">
        <v>2139</v>
      </c>
      <c r="EO2" s="11" t="s">
        <v>2140</v>
      </c>
      <c r="EP2" s="11" t="s">
        <v>2141</v>
      </c>
      <c r="EQ2" s="11" t="s">
        <v>2142</v>
      </c>
      <c r="ER2" s="11" t="s">
        <v>2143</v>
      </c>
      <c r="ES2" s="11" t="s">
        <v>2144</v>
      </c>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row>
    <row r="3" spans="1:245" s="206" customFormat="1" x14ac:dyDescent="0.3">
      <c r="A3" s="206" t="str">
        <f>'All in One'!B5</f>
        <v>JS9001</v>
      </c>
      <c r="B3" s="206" t="str">
        <f t="shared" ref="B3:U3" si="0">IFERROR(INDEX(B$13:B$555,MATCH($A4,$A$13:$A$555,0)),"")</f>
        <v>HKMU</v>
      </c>
      <c r="C3" s="206" t="str">
        <f t="shared" si="0"/>
        <v>人文社會科學院</v>
      </c>
      <c r="D3" s="206" t="str">
        <f t="shared" si="0"/>
        <v>心理學榮譽社會科學學士</v>
      </c>
      <c r="E3" s="206" t="str">
        <f t="shared" si="0"/>
        <v>4C1X</v>
      </c>
      <c r="F3" s="282" t="str">
        <f t="shared" si="0"/>
        <v>/</v>
      </c>
      <c r="G3" s="282">
        <f t="shared" si="0"/>
        <v>15</v>
      </c>
      <c r="H3" s="282">
        <f t="shared" si="0"/>
        <v>14</v>
      </c>
      <c r="I3" s="206" t="str">
        <f t="shared" si="0"/>
        <v>/</v>
      </c>
      <c r="J3" s="206" t="str">
        <f t="shared" si="0"/>
        <v>/</v>
      </c>
      <c r="K3" s="206" t="str">
        <f t="shared" si="0"/>
        <v>/</v>
      </c>
      <c r="L3" s="206" t="str">
        <f t="shared" si="0"/>
        <v>/</v>
      </c>
      <c r="M3" s="206" t="str">
        <f t="shared" si="0"/>
        <v>/</v>
      </c>
      <c r="N3" s="282" t="str">
        <f t="shared" si="0"/>
        <v>/</v>
      </c>
      <c r="O3" s="282" t="str">
        <f t="shared" si="0"/>
        <v>/</v>
      </c>
      <c r="P3" s="282" t="str">
        <f t="shared" si="0"/>
        <v>/</v>
      </c>
      <c r="Q3" s="282" t="str">
        <f t="shared" si="0"/>
        <v>/</v>
      </c>
      <c r="R3" s="282" t="str">
        <f t="shared" si="0"/>
        <v>/</v>
      </c>
      <c r="S3" s="282" t="str">
        <f t="shared" si="0"/>
        <v>/</v>
      </c>
      <c r="T3" s="206" t="str">
        <f t="shared" si="0"/>
        <v>BSSc(Hons)Psychology</v>
      </c>
      <c r="U3" s="206" t="str">
        <f t="shared" si="0"/>
        <v>/</v>
      </c>
      <c r="V3" s="282"/>
      <c r="W3" s="282" t="str">
        <f t="shared" ref="W3:BH3" si="1">IFERROR(INDEX(W$13:W$555,MATCH($A4,$A$13:$A$555,0)),"")</f>
        <v>/</v>
      </c>
      <c r="X3" s="396">
        <f t="shared" si="1"/>
        <v>85</v>
      </c>
      <c r="Y3" s="396">
        <f t="shared" si="1"/>
        <v>200</v>
      </c>
      <c r="Z3" s="396">
        <f t="shared" si="1"/>
        <v>6.0275229357798166</v>
      </c>
      <c r="AA3" s="206" t="str">
        <f t="shared" si="1"/>
        <v>/</v>
      </c>
      <c r="AB3" s="206" t="str">
        <f t="shared" si="1"/>
        <v>/</v>
      </c>
      <c r="AC3" s="206" t="str">
        <f t="shared" si="1"/>
        <v>/</v>
      </c>
      <c r="AD3" s="206" t="str">
        <f t="shared" si="1"/>
        <v>4C1X</v>
      </c>
      <c r="AE3" s="206" t="str">
        <f t="shared" si="1"/>
        <v>/</v>
      </c>
      <c r="AF3" s="206" t="str">
        <f t="shared" si="1"/>
        <v>/</v>
      </c>
      <c r="AG3" s="206" t="str">
        <f t="shared" si="1"/>
        <v>/</v>
      </c>
      <c r="AH3" s="206" t="str">
        <f t="shared" si="1"/>
        <v>/</v>
      </c>
      <c r="AI3" s="206" t="str">
        <f t="shared" si="1"/>
        <v>/</v>
      </c>
      <c r="AJ3" s="206" t="str">
        <f t="shared" si="1"/>
        <v>/</v>
      </c>
      <c r="AK3" s="206" t="str">
        <f t="shared" si="1"/>
        <v>/</v>
      </c>
      <c r="AL3" s="206" t="str">
        <f t="shared" si="1"/>
        <v>/</v>
      </c>
      <c r="AM3" s="206" t="str">
        <f t="shared" si="1"/>
        <v>/</v>
      </c>
      <c r="AN3" s="206" t="str">
        <f t="shared" si="1"/>
        <v>/</v>
      </c>
      <c r="AO3" s="206" t="str">
        <f t="shared" si="1"/>
        <v>/</v>
      </c>
      <c r="AP3" s="282" t="str">
        <f t="shared" si="1"/>
        <v>/</v>
      </c>
      <c r="AQ3" s="396" t="str">
        <f t="shared" si="1"/>
        <v>/</v>
      </c>
      <c r="AR3" s="206" t="str">
        <f t="shared" si="1"/>
        <v>無</v>
      </c>
      <c r="AS3" s="206" t="str">
        <f t="shared" si="1"/>
        <v>無</v>
      </c>
      <c r="AT3" s="206">
        <f t="shared" si="1"/>
        <v>0</v>
      </c>
      <c r="AU3" s="206">
        <f t="shared" si="1"/>
        <v>0</v>
      </c>
      <c r="AV3" s="396" t="str">
        <f t="shared" si="1"/>
        <v>由於都大每年均會直接公佈加權後分數 (即已計算比重)，故此處直接引用都大數字，未有作任何估算。</v>
      </c>
      <c r="AW3" s="396">
        <f t="shared" si="1"/>
        <v>0</v>
      </c>
      <c r="AX3" s="396">
        <f t="shared" si="1"/>
        <v>0</v>
      </c>
      <c r="AY3" s="396">
        <f t="shared" si="1"/>
        <v>0</v>
      </c>
      <c r="AZ3" s="396">
        <f t="shared" si="1"/>
        <v>0</v>
      </c>
      <c r="BA3" s="396">
        <f t="shared" si="1"/>
        <v>0</v>
      </c>
      <c r="BB3" s="206">
        <f t="shared" si="1"/>
        <v>0</v>
      </c>
      <c r="BC3" s="206">
        <f t="shared" si="1"/>
        <v>0</v>
      </c>
      <c r="BD3" s="206">
        <f t="shared" si="1"/>
        <v>0</v>
      </c>
      <c r="BE3" s="206">
        <f t="shared" si="1"/>
        <v>0</v>
      </c>
      <c r="BF3" s="206">
        <f t="shared" si="1"/>
        <v>0</v>
      </c>
      <c r="BG3" s="206">
        <f t="shared" si="1"/>
        <v>0</v>
      </c>
      <c r="BH3" s="206">
        <f t="shared" si="1"/>
        <v>0</v>
      </c>
      <c r="BI3" s="206">
        <f t="shared" ref="BI3:CN3" si="2">IFERROR(INDEX(BI$13:BI$555,MATCH($A4,$A$13:$A$555,0)),"")</f>
        <v>0</v>
      </c>
      <c r="BJ3" s="206">
        <f t="shared" si="2"/>
        <v>0</v>
      </c>
      <c r="BK3" s="206">
        <f t="shared" si="2"/>
        <v>0</v>
      </c>
      <c r="BL3" s="206">
        <f t="shared" si="2"/>
        <v>0</v>
      </c>
      <c r="BM3" s="206">
        <f t="shared" si="2"/>
        <v>0</v>
      </c>
      <c r="BN3" s="206">
        <f t="shared" si="2"/>
        <v>0</v>
      </c>
      <c r="BO3" s="206">
        <f t="shared" si="2"/>
        <v>0</v>
      </c>
      <c r="BP3" s="206">
        <f t="shared" si="2"/>
        <v>0</v>
      </c>
      <c r="BQ3" s="206">
        <f t="shared" si="2"/>
        <v>0</v>
      </c>
      <c r="BR3" s="206">
        <f t="shared" si="2"/>
        <v>0</v>
      </c>
      <c r="BS3" s="206">
        <f t="shared" si="2"/>
        <v>0</v>
      </c>
      <c r="BT3" s="206">
        <f t="shared" si="2"/>
        <v>0</v>
      </c>
      <c r="BU3" s="206">
        <f t="shared" si="2"/>
        <v>0</v>
      </c>
      <c r="BV3" s="206">
        <f t="shared" si="2"/>
        <v>0</v>
      </c>
      <c r="BW3" s="206">
        <f t="shared" si="2"/>
        <v>0</v>
      </c>
      <c r="BX3" s="206">
        <f t="shared" si="2"/>
        <v>0</v>
      </c>
      <c r="BY3" s="206">
        <f t="shared" si="2"/>
        <v>0</v>
      </c>
      <c r="BZ3" s="206">
        <f t="shared" si="2"/>
        <v>0</v>
      </c>
      <c r="CA3" s="206">
        <f t="shared" si="2"/>
        <v>0</v>
      </c>
      <c r="CB3" s="206">
        <f t="shared" si="2"/>
        <v>0</v>
      </c>
      <c r="CC3" s="206">
        <f t="shared" si="2"/>
        <v>0</v>
      </c>
      <c r="CD3" s="206">
        <f t="shared" si="2"/>
        <v>0</v>
      </c>
      <c r="CE3" s="206">
        <f t="shared" si="2"/>
        <v>0</v>
      </c>
      <c r="CF3" s="206">
        <f t="shared" si="2"/>
        <v>0</v>
      </c>
      <c r="CG3" s="206">
        <f t="shared" si="2"/>
        <v>0</v>
      </c>
      <c r="CH3" s="206">
        <f t="shared" si="2"/>
        <v>0</v>
      </c>
      <c r="CI3" s="206">
        <f t="shared" si="2"/>
        <v>0</v>
      </c>
      <c r="CJ3" s="206">
        <f t="shared" si="2"/>
        <v>0</v>
      </c>
      <c r="CK3" s="206">
        <f t="shared" si="2"/>
        <v>0</v>
      </c>
      <c r="CL3" s="206">
        <f t="shared" si="2"/>
        <v>0</v>
      </c>
      <c r="CM3" s="206">
        <f t="shared" si="2"/>
        <v>0</v>
      </c>
      <c r="CN3" s="206">
        <f t="shared" si="2"/>
        <v>0</v>
      </c>
      <c r="CO3" s="206">
        <f t="shared" ref="CO3:DT3" si="3">IFERROR(INDEX(CO$13:CO$555,MATCH($A4,$A$13:$A$555,0)),"")</f>
        <v>0</v>
      </c>
      <c r="CP3" s="206">
        <f t="shared" si="3"/>
        <v>0</v>
      </c>
      <c r="CQ3" s="206">
        <f t="shared" si="3"/>
        <v>0</v>
      </c>
      <c r="CR3" s="206">
        <f t="shared" si="3"/>
        <v>0</v>
      </c>
      <c r="CS3" s="206">
        <f t="shared" si="3"/>
        <v>0</v>
      </c>
      <c r="CT3" s="206">
        <f t="shared" si="3"/>
        <v>0</v>
      </c>
      <c r="CU3" s="206">
        <f t="shared" si="3"/>
        <v>0</v>
      </c>
      <c r="CV3" s="206">
        <f t="shared" si="3"/>
        <v>0</v>
      </c>
      <c r="CW3" s="206">
        <f t="shared" si="3"/>
        <v>0</v>
      </c>
      <c r="CX3" s="206">
        <f t="shared" si="3"/>
        <v>0</v>
      </c>
      <c r="CY3" s="206">
        <f t="shared" si="3"/>
        <v>0</v>
      </c>
      <c r="CZ3" s="206">
        <f t="shared" si="3"/>
        <v>0</v>
      </c>
      <c r="DA3" s="206">
        <f t="shared" si="3"/>
        <v>0</v>
      </c>
      <c r="DB3" s="206">
        <f t="shared" si="3"/>
        <v>0</v>
      </c>
      <c r="DC3" s="206">
        <f t="shared" si="3"/>
        <v>0</v>
      </c>
      <c r="DD3" s="206">
        <f t="shared" si="3"/>
        <v>0</v>
      </c>
      <c r="DE3" s="206">
        <f t="shared" si="3"/>
        <v>0</v>
      </c>
      <c r="DF3" s="206">
        <f t="shared" si="3"/>
        <v>0</v>
      </c>
      <c r="DG3" s="206">
        <f t="shared" si="3"/>
        <v>0</v>
      </c>
      <c r="DH3" s="206">
        <f t="shared" si="3"/>
        <v>0</v>
      </c>
      <c r="DI3" s="206">
        <f t="shared" si="3"/>
        <v>0</v>
      </c>
      <c r="DJ3" s="206">
        <f t="shared" si="3"/>
        <v>0</v>
      </c>
      <c r="DK3" s="206">
        <f t="shared" si="3"/>
        <v>0</v>
      </c>
      <c r="DL3" s="206">
        <f t="shared" si="3"/>
        <v>0</v>
      </c>
      <c r="DM3" s="206">
        <f t="shared" si="3"/>
        <v>0</v>
      </c>
      <c r="DN3" s="206">
        <f t="shared" si="3"/>
        <v>0</v>
      </c>
      <c r="DO3" s="206">
        <f t="shared" si="3"/>
        <v>0</v>
      </c>
      <c r="DP3" s="206">
        <f t="shared" si="3"/>
        <v>0</v>
      </c>
      <c r="DQ3" s="206">
        <f t="shared" si="3"/>
        <v>0</v>
      </c>
      <c r="DR3" s="206">
        <f t="shared" si="3"/>
        <v>0</v>
      </c>
      <c r="DS3" s="206">
        <f t="shared" si="3"/>
        <v>0</v>
      </c>
      <c r="DT3" s="206">
        <f t="shared" si="3"/>
        <v>0</v>
      </c>
      <c r="DU3" s="206">
        <f t="shared" ref="DU3:ES3" si="4">IFERROR(INDEX(DU$13:DU$555,MATCH($A4,$A$13:$A$555,0)),"")</f>
        <v>0</v>
      </c>
      <c r="DV3" s="206">
        <f t="shared" si="4"/>
        <v>0</v>
      </c>
      <c r="DW3" s="206">
        <f t="shared" si="4"/>
        <v>0</v>
      </c>
      <c r="DX3" s="206">
        <f t="shared" si="4"/>
        <v>0</v>
      </c>
      <c r="DY3" s="206">
        <f t="shared" si="4"/>
        <v>0</v>
      </c>
      <c r="DZ3" s="206">
        <f t="shared" si="4"/>
        <v>0</v>
      </c>
      <c r="EA3" s="206">
        <f t="shared" si="4"/>
        <v>0</v>
      </c>
      <c r="EB3" s="206">
        <f t="shared" si="4"/>
        <v>0</v>
      </c>
      <c r="EC3" s="206">
        <f t="shared" si="4"/>
        <v>0</v>
      </c>
      <c r="ED3" s="206">
        <f t="shared" si="4"/>
        <v>0</v>
      </c>
      <c r="EE3" s="206">
        <f t="shared" si="4"/>
        <v>0</v>
      </c>
      <c r="EF3" s="206">
        <f t="shared" si="4"/>
        <v>0</v>
      </c>
      <c r="EG3" s="206">
        <f t="shared" si="4"/>
        <v>0</v>
      </c>
      <c r="EH3" s="206">
        <f t="shared" si="4"/>
        <v>0</v>
      </c>
      <c r="EI3" s="206">
        <f t="shared" si="4"/>
        <v>0</v>
      </c>
      <c r="EJ3" s="206">
        <f t="shared" si="4"/>
        <v>0</v>
      </c>
      <c r="EK3" s="206">
        <f t="shared" si="4"/>
        <v>0</v>
      </c>
      <c r="EL3" s="206">
        <f t="shared" si="4"/>
        <v>0</v>
      </c>
      <c r="EM3" s="206">
        <f t="shared" si="4"/>
        <v>0</v>
      </c>
      <c r="EN3" s="206">
        <f t="shared" si="4"/>
        <v>0</v>
      </c>
      <c r="EO3" s="206">
        <f t="shared" si="4"/>
        <v>0</v>
      </c>
      <c r="EP3" s="206">
        <f t="shared" si="4"/>
        <v>0</v>
      </c>
      <c r="EQ3" s="206">
        <f t="shared" si="4"/>
        <v>0</v>
      </c>
      <c r="ER3" s="206">
        <f t="shared" si="4"/>
        <v>0</v>
      </c>
      <c r="ES3" s="206">
        <f t="shared" si="4"/>
        <v>0</v>
      </c>
      <c r="ET3" s="282"/>
    </row>
    <row r="4" spans="1:245" x14ac:dyDescent="0.3">
      <c r="A4" s="2" t="str">
        <f>A3</f>
        <v>JS9001</v>
      </c>
      <c r="B4" s="2" t="str">
        <f>IF(OR(B3="/",B3=0),"",IF(ISNUMBER(B3),ROUND(B3,2),B3))</f>
        <v>HKMU</v>
      </c>
      <c r="C4" s="344" t="str">
        <f t="shared" ref="C4:BT4" si="5">IF(OR(C3="/",C3=0),"",IF(ISNUMBER(C3),ROUND(C3,2),C3))</f>
        <v>人文社會科學院</v>
      </c>
      <c r="D4" s="344" t="str">
        <f t="shared" si="5"/>
        <v>心理學榮譽社會科學學士</v>
      </c>
      <c r="E4" s="344" t="str">
        <f t="shared" si="5"/>
        <v>4C1X</v>
      </c>
      <c r="F4" s="344" t="str">
        <f t="shared" si="5"/>
        <v/>
      </c>
      <c r="G4" s="344">
        <f t="shared" si="5"/>
        <v>15</v>
      </c>
      <c r="H4" s="344">
        <f t="shared" si="5"/>
        <v>14</v>
      </c>
      <c r="I4" s="344" t="str">
        <f t="shared" si="5"/>
        <v/>
      </c>
      <c r="J4" s="344" t="str">
        <f t="shared" si="5"/>
        <v/>
      </c>
      <c r="K4" s="344" t="str">
        <f t="shared" si="5"/>
        <v/>
      </c>
      <c r="L4" s="344" t="str">
        <f t="shared" si="5"/>
        <v/>
      </c>
      <c r="M4" s="344" t="str">
        <f t="shared" si="5"/>
        <v/>
      </c>
      <c r="N4" s="344" t="str">
        <f t="shared" si="5"/>
        <v/>
      </c>
      <c r="O4" s="344" t="str">
        <f t="shared" si="5"/>
        <v/>
      </c>
      <c r="P4" s="344" t="str">
        <f t="shared" si="5"/>
        <v/>
      </c>
      <c r="Q4" s="344" t="str">
        <f t="shared" si="5"/>
        <v/>
      </c>
      <c r="R4" s="344" t="str">
        <f t="shared" si="5"/>
        <v/>
      </c>
      <c r="S4" s="344" t="str">
        <f t="shared" si="5"/>
        <v/>
      </c>
      <c r="T4" s="344" t="str">
        <f t="shared" si="5"/>
        <v>BSSc(Hons)Psychology</v>
      </c>
      <c r="U4" s="344" t="str">
        <f t="shared" si="5"/>
        <v/>
      </c>
      <c r="V4" s="344" t="str">
        <f t="shared" si="5"/>
        <v/>
      </c>
      <c r="W4" s="344" t="str">
        <f t="shared" si="5"/>
        <v/>
      </c>
      <c r="X4" s="344">
        <f t="shared" si="5"/>
        <v>85</v>
      </c>
      <c r="Y4" s="344">
        <f t="shared" si="5"/>
        <v>200</v>
      </c>
      <c r="Z4" s="344">
        <f t="shared" si="5"/>
        <v>6.03</v>
      </c>
      <c r="AA4" s="344" t="str">
        <f t="shared" si="5"/>
        <v/>
      </c>
      <c r="AB4" s="344" t="str">
        <f t="shared" si="5"/>
        <v/>
      </c>
      <c r="AC4" s="344" t="str">
        <f t="shared" si="5"/>
        <v/>
      </c>
      <c r="AD4" s="344" t="str">
        <f t="shared" si="5"/>
        <v>4C1X</v>
      </c>
      <c r="AE4" s="344" t="str">
        <f t="shared" si="5"/>
        <v/>
      </c>
      <c r="AF4" s="344" t="str">
        <f t="shared" si="5"/>
        <v/>
      </c>
      <c r="AG4" s="344" t="str">
        <f t="shared" si="5"/>
        <v/>
      </c>
      <c r="AH4" s="344" t="str">
        <f t="shared" si="5"/>
        <v/>
      </c>
      <c r="AI4" s="344" t="str">
        <f t="shared" si="5"/>
        <v/>
      </c>
      <c r="AJ4" s="344" t="str">
        <f t="shared" si="5"/>
        <v/>
      </c>
      <c r="AK4" s="344" t="str">
        <f t="shared" si="5"/>
        <v/>
      </c>
      <c r="AL4" s="344" t="str">
        <f t="shared" si="5"/>
        <v/>
      </c>
      <c r="AM4" s="344" t="str">
        <f t="shared" si="5"/>
        <v/>
      </c>
      <c r="AN4" s="344" t="str">
        <f t="shared" si="5"/>
        <v/>
      </c>
      <c r="AO4" s="344" t="str">
        <f t="shared" si="5"/>
        <v/>
      </c>
      <c r="AP4" s="344" t="str">
        <f t="shared" si="5"/>
        <v/>
      </c>
      <c r="AQ4" s="344" t="str">
        <f t="shared" si="5"/>
        <v/>
      </c>
      <c r="AR4" s="344" t="str">
        <f t="shared" si="5"/>
        <v>無</v>
      </c>
      <c r="AS4" s="344" t="str">
        <f t="shared" si="5"/>
        <v>無</v>
      </c>
      <c r="AT4" s="344" t="str">
        <f t="shared" si="5"/>
        <v/>
      </c>
      <c r="AU4" s="344" t="str">
        <f t="shared" si="5"/>
        <v/>
      </c>
      <c r="AV4" s="344" t="str">
        <f t="shared" ref="AV4:BA4" si="6">IF(OR(AV3="/",AV3=0),"",IF(ISNUMBER(AV3),ROUND(AV3,2),AV3))</f>
        <v>由於都大每年均會直接公佈加權後分數 (即已計算比重)，故此處直接引用都大數字，未有作任何估算。</v>
      </c>
      <c r="AW4" s="344" t="str">
        <f t="shared" si="6"/>
        <v/>
      </c>
      <c r="AX4" s="344" t="str">
        <f t="shared" si="6"/>
        <v/>
      </c>
      <c r="AY4" s="344" t="str">
        <f t="shared" si="6"/>
        <v/>
      </c>
      <c r="AZ4" s="344" t="str">
        <f t="shared" si="6"/>
        <v/>
      </c>
      <c r="BA4" s="344" t="str">
        <f t="shared" si="6"/>
        <v/>
      </c>
      <c r="BB4" s="344" t="str">
        <f t="shared" si="5"/>
        <v/>
      </c>
      <c r="BC4" s="344" t="str">
        <f t="shared" si="5"/>
        <v/>
      </c>
      <c r="BD4" s="344" t="str">
        <f t="shared" si="5"/>
        <v/>
      </c>
      <c r="BE4" s="344" t="str">
        <f t="shared" si="5"/>
        <v/>
      </c>
      <c r="BF4" s="344" t="str">
        <f t="shared" si="5"/>
        <v/>
      </c>
      <c r="BG4" s="344" t="str">
        <f t="shared" si="5"/>
        <v/>
      </c>
      <c r="BH4" s="344" t="str">
        <f t="shared" si="5"/>
        <v/>
      </c>
      <c r="BI4" s="344" t="str">
        <f t="shared" si="5"/>
        <v/>
      </c>
      <c r="BJ4" s="344" t="str">
        <f t="shared" si="5"/>
        <v/>
      </c>
      <c r="BK4" s="344" t="str">
        <f t="shared" si="5"/>
        <v/>
      </c>
      <c r="BL4" s="344" t="str">
        <f t="shared" si="5"/>
        <v/>
      </c>
      <c r="BM4" s="344" t="str">
        <f t="shared" si="5"/>
        <v/>
      </c>
      <c r="BN4" s="344" t="str">
        <f t="shared" si="5"/>
        <v/>
      </c>
      <c r="BO4" s="344" t="str">
        <f t="shared" si="5"/>
        <v/>
      </c>
      <c r="BP4" s="344" t="str">
        <f t="shared" si="5"/>
        <v/>
      </c>
      <c r="BQ4" s="344" t="str">
        <f t="shared" si="5"/>
        <v/>
      </c>
      <c r="BR4" s="344" t="str">
        <f t="shared" si="5"/>
        <v/>
      </c>
      <c r="BS4" s="344" t="str">
        <f t="shared" si="5"/>
        <v/>
      </c>
      <c r="BT4" s="344" t="str">
        <f t="shared" si="5"/>
        <v/>
      </c>
      <c r="BU4" s="344" t="str">
        <f t="shared" ref="BU4:EF4" si="7">IF(OR(BU3="/",BU3=0),"",IF(ISNUMBER(BU3),ROUND(BU3,2),BU3))</f>
        <v/>
      </c>
      <c r="BV4" s="344" t="str">
        <f t="shared" si="7"/>
        <v/>
      </c>
      <c r="BW4" s="344" t="str">
        <f t="shared" si="7"/>
        <v/>
      </c>
      <c r="BX4" s="344" t="str">
        <f t="shared" si="7"/>
        <v/>
      </c>
      <c r="BY4" s="344" t="str">
        <f t="shared" si="7"/>
        <v/>
      </c>
      <c r="BZ4" s="344" t="str">
        <f t="shared" si="7"/>
        <v/>
      </c>
      <c r="CA4" s="344" t="str">
        <f t="shared" si="7"/>
        <v/>
      </c>
      <c r="CB4" s="344" t="str">
        <f t="shared" si="7"/>
        <v/>
      </c>
      <c r="CC4" s="344" t="str">
        <f t="shared" si="7"/>
        <v/>
      </c>
      <c r="CD4" s="344" t="str">
        <f t="shared" si="7"/>
        <v/>
      </c>
      <c r="CE4" s="344" t="str">
        <f t="shared" si="7"/>
        <v/>
      </c>
      <c r="CF4" s="344" t="str">
        <f t="shared" si="7"/>
        <v/>
      </c>
      <c r="CG4" s="344" t="str">
        <f t="shared" si="7"/>
        <v/>
      </c>
      <c r="CH4" s="344" t="str">
        <f t="shared" si="7"/>
        <v/>
      </c>
      <c r="CI4" s="344" t="str">
        <f t="shared" si="7"/>
        <v/>
      </c>
      <c r="CJ4" s="344" t="str">
        <f t="shared" si="7"/>
        <v/>
      </c>
      <c r="CK4" s="344" t="str">
        <f t="shared" si="7"/>
        <v/>
      </c>
      <c r="CL4" s="344" t="str">
        <f t="shared" si="7"/>
        <v/>
      </c>
      <c r="CM4" s="344" t="str">
        <f t="shared" si="7"/>
        <v/>
      </c>
      <c r="CN4" s="344" t="str">
        <f t="shared" si="7"/>
        <v/>
      </c>
      <c r="CO4" s="344" t="str">
        <f t="shared" si="7"/>
        <v/>
      </c>
      <c r="CP4" s="344" t="str">
        <f t="shared" si="7"/>
        <v/>
      </c>
      <c r="CQ4" s="344" t="str">
        <f t="shared" si="7"/>
        <v/>
      </c>
      <c r="CR4" s="344" t="str">
        <f t="shared" si="7"/>
        <v/>
      </c>
      <c r="CS4" s="344" t="str">
        <f t="shared" si="7"/>
        <v/>
      </c>
      <c r="CT4" s="344" t="str">
        <f t="shared" si="7"/>
        <v/>
      </c>
      <c r="CU4" s="344" t="str">
        <f t="shared" si="7"/>
        <v/>
      </c>
      <c r="CV4" s="344" t="str">
        <f t="shared" si="7"/>
        <v/>
      </c>
      <c r="CW4" s="344" t="str">
        <f t="shared" si="7"/>
        <v/>
      </c>
      <c r="CX4" s="344" t="str">
        <f t="shared" si="7"/>
        <v/>
      </c>
      <c r="CY4" s="344" t="str">
        <f t="shared" si="7"/>
        <v/>
      </c>
      <c r="CZ4" s="344" t="str">
        <f t="shared" si="7"/>
        <v/>
      </c>
      <c r="DA4" s="344" t="str">
        <f t="shared" si="7"/>
        <v/>
      </c>
      <c r="DB4" s="344" t="str">
        <f t="shared" si="7"/>
        <v/>
      </c>
      <c r="DC4" s="344" t="str">
        <f t="shared" si="7"/>
        <v/>
      </c>
      <c r="DD4" s="344" t="str">
        <f t="shared" si="7"/>
        <v/>
      </c>
      <c r="DE4" s="344" t="str">
        <f t="shared" si="7"/>
        <v/>
      </c>
      <c r="DF4" s="344" t="str">
        <f t="shared" si="7"/>
        <v/>
      </c>
      <c r="DG4" s="344" t="str">
        <f t="shared" si="7"/>
        <v/>
      </c>
      <c r="DH4" s="344" t="str">
        <f t="shared" si="7"/>
        <v/>
      </c>
      <c r="DI4" s="344" t="str">
        <f t="shared" si="7"/>
        <v/>
      </c>
      <c r="DJ4" s="344" t="str">
        <f t="shared" si="7"/>
        <v/>
      </c>
      <c r="DK4" s="344" t="str">
        <f t="shared" si="7"/>
        <v/>
      </c>
      <c r="DL4" s="344" t="str">
        <f t="shared" si="7"/>
        <v/>
      </c>
      <c r="DM4" s="344" t="str">
        <f t="shared" si="7"/>
        <v/>
      </c>
      <c r="DN4" s="344" t="str">
        <f t="shared" si="7"/>
        <v/>
      </c>
      <c r="DO4" s="344" t="str">
        <f t="shared" si="7"/>
        <v/>
      </c>
      <c r="DP4" s="344" t="str">
        <f t="shared" si="7"/>
        <v/>
      </c>
      <c r="DQ4" s="344" t="str">
        <f t="shared" si="7"/>
        <v/>
      </c>
      <c r="DR4" s="344" t="str">
        <f t="shared" si="7"/>
        <v/>
      </c>
      <c r="DS4" s="344" t="str">
        <f t="shared" si="7"/>
        <v/>
      </c>
      <c r="DT4" s="344" t="str">
        <f t="shared" si="7"/>
        <v/>
      </c>
      <c r="DU4" s="344" t="str">
        <f t="shared" si="7"/>
        <v/>
      </c>
      <c r="DV4" s="344" t="str">
        <f t="shared" si="7"/>
        <v/>
      </c>
      <c r="DW4" s="344" t="str">
        <f t="shared" si="7"/>
        <v/>
      </c>
      <c r="DX4" s="344" t="str">
        <f t="shared" si="7"/>
        <v/>
      </c>
      <c r="DY4" s="344" t="str">
        <f t="shared" si="7"/>
        <v/>
      </c>
      <c r="DZ4" s="344" t="str">
        <f t="shared" si="7"/>
        <v/>
      </c>
      <c r="EA4" s="344" t="str">
        <f t="shared" si="7"/>
        <v/>
      </c>
      <c r="EB4" s="344" t="str">
        <f t="shared" si="7"/>
        <v/>
      </c>
      <c r="EC4" s="344" t="str">
        <f t="shared" si="7"/>
        <v/>
      </c>
      <c r="ED4" s="344" t="str">
        <f t="shared" si="7"/>
        <v/>
      </c>
      <c r="EE4" s="344" t="str">
        <f t="shared" si="7"/>
        <v/>
      </c>
      <c r="EF4" s="344" t="str">
        <f t="shared" si="7"/>
        <v/>
      </c>
      <c r="EG4" s="344" t="str">
        <f t="shared" ref="EG4:ES4" si="8">IF(OR(EG3="/",EG3=0),"",IF(ISNUMBER(EG3),ROUND(EG3,2),EG3))</f>
        <v/>
      </c>
      <c r="EH4" s="344" t="str">
        <f t="shared" si="8"/>
        <v/>
      </c>
      <c r="EI4" s="344" t="str">
        <f t="shared" si="8"/>
        <v/>
      </c>
      <c r="EJ4" s="344" t="str">
        <f t="shared" si="8"/>
        <v/>
      </c>
      <c r="EK4" s="344" t="str">
        <f t="shared" si="8"/>
        <v/>
      </c>
      <c r="EL4" s="344" t="str">
        <f t="shared" si="8"/>
        <v/>
      </c>
      <c r="EM4" s="344" t="str">
        <f t="shared" si="8"/>
        <v/>
      </c>
      <c r="EN4" s="344" t="str">
        <f t="shared" si="8"/>
        <v/>
      </c>
      <c r="EO4" s="344" t="str">
        <f t="shared" si="8"/>
        <v/>
      </c>
      <c r="EP4" s="344" t="str">
        <f t="shared" si="8"/>
        <v/>
      </c>
      <c r="EQ4" s="344" t="str">
        <f t="shared" si="8"/>
        <v/>
      </c>
      <c r="ER4" s="344" t="str">
        <f t="shared" si="8"/>
        <v/>
      </c>
      <c r="ES4" s="344" t="str">
        <f t="shared" si="8"/>
        <v/>
      </c>
      <c r="ET4" s="344"/>
      <c r="EU4" s="344"/>
      <c r="EV4" s="344"/>
      <c r="EW4" s="344"/>
      <c r="EX4" s="344"/>
      <c r="EY4" s="344"/>
      <c r="EZ4" s="344"/>
      <c r="FA4" s="344"/>
      <c r="FB4" s="344"/>
      <c r="FC4" s="344"/>
      <c r="FD4" s="344"/>
      <c r="FE4" s="344"/>
      <c r="FF4" s="344"/>
      <c r="FG4" s="344"/>
      <c r="FH4" s="344"/>
      <c r="FI4" s="344"/>
      <c r="FJ4" s="344"/>
      <c r="FK4" s="344"/>
      <c r="FL4" s="344"/>
      <c r="FM4" s="344"/>
      <c r="FN4" s="344"/>
      <c r="FO4" s="344"/>
      <c r="FP4" s="344"/>
      <c r="FQ4" s="344"/>
      <c r="FR4" s="344"/>
      <c r="FS4" s="344"/>
      <c r="FT4" s="344"/>
      <c r="FU4" s="344"/>
      <c r="FV4" s="344"/>
      <c r="FW4" s="344"/>
      <c r="FX4" s="344"/>
      <c r="FY4" s="344"/>
      <c r="FZ4" s="344"/>
      <c r="GA4" s="344"/>
      <c r="GB4" s="344"/>
      <c r="GC4" s="344"/>
      <c r="GD4" s="344"/>
      <c r="GE4" s="344"/>
      <c r="GF4" s="344"/>
      <c r="GG4" s="344"/>
      <c r="GH4" s="344"/>
      <c r="GI4" s="344"/>
      <c r="GJ4" s="344"/>
      <c r="GK4" s="344"/>
      <c r="GL4" s="344"/>
      <c r="GM4" s="344"/>
      <c r="GN4" s="344"/>
      <c r="GO4" s="344"/>
      <c r="GP4" s="344"/>
      <c r="GQ4" s="344"/>
      <c r="GR4" s="344"/>
      <c r="GS4" s="344"/>
      <c r="GT4" s="344"/>
      <c r="GU4" s="344"/>
      <c r="GV4" s="344"/>
      <c r="GW4" s="344"/>
      <c r="GX4" s="344"/>
      <c r="GY4" s="344"/>
      <c r="GZ4" s="344"/>
      <c r="HA4" s="344"/>
      <c r="HB4" s="344"/>
      <c r="HC4" s="344"/>
      <c r="HD4" s="344"/>
      <c r="HE4" s="344"/>
      <c r="HF4" s="344"/>
      <c r="HG4" s="344"/>
      <c r="HH4" s="344"/>
      <c r="HI4" s="344"/>
      <c r="HJ4" s="344"/>
      <c r="HK4" s="344"/>
      <c r="HL4" s="344"/>
      <c r="HM4" s="344"/>
      <c r="HN4" s="344"/>
      <c r="HO4" s="344"/>
      <c r="HP4" s="344"/>
      <c r="HQ4" s="344"/>
      <c r="HR4" s="344"/>
      <c r="HS4" s="344"/>
      <c r="HT4" s="344"/>
      <c r="HU4" s="344"/>
      <c r="HV4" s="344"/>
      <c r="HW4" s="344"/>
      <c r="HX4" s="344"/>
      <c r="HY4" s="344"/>
      <c r="HZ4" s="344"/>
      <c r="IA4" s="344"/>
      <c r="IB4" s="344"/>
      <c r="IC4" s="344"/>
      <c r="ID4" s="344"/>
      <c r="IE4" s="344"/>
      <c r="IF4" s="344"/>
      <c r="IG4" s="344"/>
      <c r="IH4" s="344"/>
      <c r="II4" s="344"/>
      <c r="IJ4" s="344"/>
      <c r="IK4" s="344"/>
    </row>
    <row r="5" spans="1:245" s="251" customFormat="1" x14ac:dyDescent="0.3">
      <c r="X5" s="344"/>
      <c r="Y5" s="344"/>
      <c r="Z5" s="344"/>
      <c r="AQ5" s="344"/>
      <c r="AV5" s="344"/>
      <c r="AW5" s="344"/>
      <c r="AX5" s="344"/>
      <c r="AY5" s="344"/>
      <c r="AZ5" s="344"/>
      <c r="BA5" s="344"/>
    </row>
    <row r="6" spans="1:245" s="282" customFormat="1" x14ac:dyDescent="0.3">
      <c r="A6" s="282" t="s">
        <v>3045</v>
      </c>
      <c r="B6" s="282" t="str">
        <f t="shared" ref="B6:BS6" si="9">IFERROR(INDEX(B$13:B$555,MATCH($A7,$A$13:$A$555,0)),"")</f>
        <v/>
      </c>
      <c r="C6" s="396" t="str">
        <f t="shared" si="9"/>
        <v/>
      </c>
      <c r="D6" s="396" t="str">
        <f t="shared" si="9"/>
        <v/>
      </c>
      <c r="E6" s="396" t="str">
        <f t="shared" si="9"/>
        <v/>
      </c>
      <c r="F6" s="396" t="str">
        <f t="shared" si="9"/>
        <v/>
      </c>
      <c r="G6" s="396" t="str">
        <f t="shared" si="9"/>
        <v/>
      </c>
      <c r="H6" s="396" t="str">
        <f t="shared" si="9"/>
        <v/>
      </c>
      <c r="I6" s="396" t="str">
        <f t="shared" si="9"/>
        <v/>
      </c>
      <c r="J6" s="396" t="str">
        <f t="shared" si="9"/>
        <v/>
      </c>
      <c r="K6" s="396" t="str">
        <f t="shared" si="9"/>
        <v/>
      </c>
      <c r="L6" s="396" t="str">
        <f t="shared" si="9"/>
        <v/>
      </c>
      <c r="M6" s="396" t="str">
        <f t="shared" si="9"/>
        <v/>
      </c>
      <c r="N6" s="396" t="str">
        <f t="shared" si="9"/>
        <v/>
      </c>
      <c r="O6" s="396" t="str">
        <f t="shared" si="9"/>
        <v/>
      </c>
      <c r="P6" s="396" t="str">
        <f t="shared" si="9"/>
        <v/>
      </c>
      <c r="Q6" s="396" t="str">
        <f t="shared" si="9"/>
        <v/>
      </c>
      <c r="R6" s="396" t="str">
        <f t="shared" si="9"/>
        <v/>
      </c>
      <c r="S6" s="396" t="str">
        <f t="shared" si="9"/>
        <v/>
      </c>
      <c r="T6" s="396" t="str">
        <f t="shared" si="9"/>
        <v/>
      </c>
      <c r="U6" s="396" t="str">
        <f t="shared" si="9"/>
        <v/>
      </c>
      <c r="V6" s="396" t="str">
        <f t="shared" si="9"/>
        <v/>
      </c>
      <c r="W6" s="396" t="str">
        <f t="shared" si="9"/>
        <v/>
      </c>
      <c r="X6" s="396" t="str">
        <f t="shared" si="9"/>
        <v/>
      </c>
      <c r="Y6" s="396" t="str">
        <f t="shared" si="9"/>
        <v/>
      </c>
      <c r="Z6" s="396" t="str">
        <f t="shared" si="9"/>
        <v/>
      </c>
      <c r="AA6" s="396" t="str">
        <f t="shared" si="9"/>
        <v/>
      </c>
      <c r="AB6" s="396" t="str">
        <f t="shared" si="9"/>
        <v/>
      </c>
      <c r="AC6" s="396" t="str">
        <f t="shared" si="9"/>
        <v/>
      </c>
      <c r="AD6" s="396" t="str">
        <f t="shared" si="9"/>
        <v/>
      </c>
      <c r="AE6" s="396" t="str">
        <f t="shared" si="9"/>
        <v/>
      </c>
      <c r="AF6" s="396" t="str">
        <f t="shared" si="9"/>
        <v/>
      </c>
      <c r="AG6" s="396" t="str">
        <f t="shared" si="9"/>
        <v/>
      </c>
      <c r="AH6" s="396" t="str">
        <f t="shared" si="9"/>
        <v/>
      </c>
      <c r="AI6" s="396" t="str">
        <f t="shared" si="9"/>
        <v/>
      </c>
      <c r="AJ6" s="396" t="str">
        <f t="shared" si="9"/>
        <v/>
      </c>
      <c r="AK6" s="396" t="str">
        <f t="shared" si="9"/>
        <v/>
      </c>
      <c r="AL6" s="396" t="str">
        <f t="shared" si="9"/>
        <v/>
      </c>
      <c r="AM6" s="396" t="str">
        <f t="shared" si="9"/>
        <v/>
      </c>
      <c r="AN6" s="396" t="str">
        <f t="shared" si="9"/>
        <v/>
      </c>
      <c r="AO6" s="396" t="str">
        <f t="shared" si="9"/>
        <v/>
      </c>
      <c r="AP6" s="396" t="str">
        <f t="shared" si="9"/>
        <v/>
      </c>
      <c r="AQ6" s="396" t="str">
        <f t="shared" si="9"/>
        <v/>
      </c>
      <c r="AR6" s="396" t="str">
        <f t="shared" si="9"/>
        <v/>
      </c>
      <c r="AS6" s="396" t="str">
        <f t="shared" si="9"/>
        <v/>
      </c>
      <c r="AT6" s="396" t="str">
        <f t="shared" si="9"/>
        <v/>
      </c>
      <c r="AU6" s="396" t="str">
        <f t="shared" si="9"/>
        <v/>
      </c>
      <c r="AV6" s="396" t="str">
        <f t="shared" si="9"/>
        <v/>
      </c>
      <c r="AW6" s="396" t="str">
        <f t="shared" si="9"/>
        <v/>
      </c>
      <c r="AX6" s="396" t="str">
        <f t="shared" si="9"/>
        <v/>
      </c>
      <c r="AY6" s="396" t="str">
        <f t="shared" si="9"/>
        <v/>
      </c>
      <c r="AZ6" s="396" t="str">
        <f t="shared" si="9"/>
        <v/>
      </c>
      <c r="BA6" s="396" t="str">
        <f t="shared" si="9"/>
        <v/>
      </c>
      <c r="BB6" s="396" t="str">
        <f t="shared" si="9"/>
        <v/>
      </c>
      <c r="BC6" s="396" t="str">
        <f t="shared" si="9"/>
        <v/>
      </c>
      <c r="BD6" s="396" t="str">
        <f t="shared" si="9"/>
        <v/>
      </c>
      <c r="BE6" s="396" t="str">
        <f t="shared" si="9"/>
        <v/>
      </c>
      <c r="BF6" s="396" t="str">
        <f t="shared" si="9"/>
        <v/>
      </c>
      <c r="BG6" s="396" t="str">
        <f t="shared" si="9"/>
        <v/>
      </c>
      <c r="BH6" s="396" t="str">
        <f t="shared" si="9"/>
        <v/>
      </c>
      <c r="BI6" s="396" t="str">
        <f t="shared" si="9"/>
        <v/>
      </c>
      <c r="BJ6" s="396" t="str">
        <f t="shared" si="9"/>
        <v/>
      </c>
      <c r="BK6" s="396" t="str">
        <f t="shared" si="9"/>
        <v/>
      </c>
      <c r="BL6" s="396" t="str">
        <f t="shared" si="9"/>
        <v/>
      </c>
      <c r="BM6" s="396" t="str">
        <f t="shared" si="9"/>
        <v/>
      </c>
      <c r="BN6" s="396" t="str">
        <f t="shared" si="9"/>
        <v/>
      </c>
      <c r="BO6" s="396" t="str">
        <f t="shared" si="9"/>
        <v/>
      </c>
      <c r="BP6" s="396" t="str">
        <f t="shared" si="9"/>
        <v/>
      </c>
      <c r="BQ6" s="396" t="str">
        <f t="shared" si="9"/>
        <v/>
      </c>
      <c r="BR6" s="396" t="str">
        <f t="shared" si="9"/>
        <v/>
      </c>
      <c r="BS6" s="396" t="str">
        <f t="shared" si="9"/>
        <v/>
      </c>
      <c r="BT6" s="396" t="str">
        <f t="shared" ref="BT6:EE6" si="10">IFERROR(INDEX(BT$13:BT$555,MATCH($A7,$A$13:$A$555,0)),"")</f>
        <v/>
      </c>
      <c r="BU6" s="396" t="str">
        <f t="shared" si="10"/>
        <v/>
      </c>
      <c r="BV6" s="396" t="str">
        <f t="shared" si="10"/>
        <v/>
      </c>
      <c r="BW6" s="396" t="str">
        <f t="shared" si="10"/>
        <v/>
      </c>
      <c r="BX6" s="396" t="str">
        <f t="shared" si="10"/>
        <v/>
      </c>
      <c r="BY6" s="396" t="str">
        <f t="shared" si="10"/>
        <v/>
      </c>
      <c r="BZ6" s="396" t="str">
        <f t="shared" si="10"/>
        <v/>
      </c>
      <c r="CA6" s="396" t="str">
        <f t="shared" si="10"/>
        <v/>
      </c>
      <c r="CB6" s="396" t="str">
        <f t="shared" si="10"/>
        <v/>
      </c>
      <c r="CC6" s="396" t="str">
        <f t="shared" si="10"/>
        <v/>
      </c>
      <c r="CD6" s="396" t="str">
        <f t="shared" si="10"/>
        <v/>
      </c>
      <c r="CE6" s="396" t="str">
        <f t="shared" si="10"/>
        <v/>
      </c>
      <c r="CF6" s="396" t="str">
        <f t="shared" si="10"/>
        <v/>
      </c>
      <c r="CG6" s="396" t="str">
        <f t="shared" si="10"/>
        <v/>
      </c>
      <c r="CH6" s="396" t="str">
        <f t="shared" si="10"/>
        <v/>
      </c>
      <c r="CI6" s="396" t="str">
        <f t="shared" si="10"/>
        <v/>
      </c>
      <c r="CJ6" s="396" t="str">
        <f t="shared" si="10"/>
        <v/>
      </c>
      <c r="CK6" s="396" t="str">
        <f t="shared" si="10"/>
        <v/>
      </c>
      <c r="CL6" s="396" t="str">
        <f t="shared" si="10"/>
        <v/>
      </c>
      <c r="CM6" s="396" t="str">
        <f t="shared" si="10"/>
        <v/>
      </c>
      <c r="CN6" s="396" t="str">
        <f t="shared" si="10"/>
        <v/>
      </c>
      <c r="CO6" s="396" t="str">
        <f t="shared" si="10"/>
        <v/>
      </c>
      <c r="CP6" s="396" t="str">
        <f t="shared" si="10"/>
        <v/>
      </c>
      <c r="CQ6" s="396" t="str">
        <f t="shared" si="10"/>
        <v/>
      </c>
      <c r="CR6" s="396" t="str">
        <f t="shared" si="10"/>
        <v/>
      </c>
      <c r="CS6" s="396" t="str">
        <f t="shared" si="10"/>
        <v/>
      </c>
      <c r="CT6" s="396" t="str">
        <f t="shared" si="10"/>
        <v/>
      </c>
      <c r="CU6" s="396" t="str">
        <f t="shared" si="10"/>
        <v/>
      </c>
      <c r="CV6" s="396" t="str">
        <f t="shared" si="10"/>
        <v/>
      </c>
      <c r="CW6" s="396" t="str">
        <f t="shared" si="10"/>
        <v/>
      </c>
      <c r="CX6" s="396" t="str">
        <f t="shared" si="10"/>
        <v/>
      </c>
      <c r="CY6" s="396" t="str">
        <f t="shared" si="10"/>
        <v/>
      </c>
      <c r="CZ6" s="396" t="str">
        <f t="shared" si="10"/>
        <v/>
      </c>
      <c r="DA6" s="396" t="str">
        <f t="shared" si="10"/>
        <v/>
      </c>
      <c r="DB6" s="396" t="str">
        <f t="shared" si="10"/>
        <v/>
      </c>
      <c r="DC6" s="396" t="str">
        <f t="shared" si="10"/>
        <v/>
      </c>
      <c r="DD6" s="396" t="str">
        <f t="shared" si="10"/>
        <v/>
      </c>
      <c r="DE6" s="396" t="str">
        <f t="shared" si="10"/>
        <v/>
      </c>
      <c r="DF6" s="396" t="str">
        <f t="shared" si="10"/>
        <v/>
      </c>
      <c r="DG6" s="396" t="str">
        <f t="shared" si="10"/>
        <v/>
      </c>
      <c r="DH6" s="396" t="str">
        <f t="shared" si="10"/>
        <v/>
      </c>
      <c r="DI6" s="396" t="str">
        <f t="shared" si="10"/>
        <v/>
      </c>
      <c r="DJ6" s="396" t="str">
        <f t="shared" si="10"/>
        <v/>
      </c>
      <c r="DK6" s="396" t="str">
        <f t="shared" si="10"/>
        <v/>
      </c>
      <c r="DL6" s="396" t="str">
        <f t="shared" si="10"/>
        <v/>
      </c>
      <c r="DM6" s="396" t="str">
        <f t="shared" si="10"/>
        <v/>
      </c>
      <c r="DN6" s="396" t="str">
        <f t="shared" si="10"/>
        <v/>
      </c>
      <c r="DO6" s="396" t="str">
        <f t="shared" si="10"/>
        <v/>
      </c>
      <c r="DP6" s="396" t="str">
        <f t="shared" si="10"/>
        <v/>
      </c>
      <c r="DQ6" s="396" t="str">
        <f t="shared" si="10"/>
        <v/>
      </c>
      <c r="DR6" s="396" t="str">
        <f t="shared" si="10"/>
        <v/>
      </c>
      <c r="DS6" s="396" t="str">
        <f t="shared" si="10"/>
        <v/>
      </c>
      <c r="DT6" s="396" t="str">
        <f t="shared" si="10"/>
        <v/>
      </c>
      <c r="DU6" s="396" t="str">
        <f t="shared" si="10"/>
        <v/>
      </c>
      <c r="DV6" s="396" t="str">
        <f t="shared" si="10"/>
        <v/>
      </c>
      <c r="DW6" s="396" t="str">
        <f t="shared" si="10"/>
        <v/>
      </c>
      <c r="DX6" s="396" t="str">
        <f t="shared" si="10"/>
        <v/>
      </c>
      <c r="DY6" s="396" t="str">
        <f t="shared" si="10"/>
        <v/>
      </c>
      <c r="DZ6" s="396" t="str">
        <f t="shared" si="10"/>
        <v/>
      </c>
      <c r="EA6" s="396" t="str">
        <f t="shared" si="10"/>
        <v/>
      </c>
      <c r="EB6" s="396" t="str">
        <f t="shared" si="10"/>
        <v/>
      </c>
      <c r="EC6" s="396" t="str">
        <f t="shared" si="10"/>
        <v/>
      </c>
      <c r="ED6" s="396" t="str">
        <f t="shared" si="10"/>
        <v/>
      </c>
      <c r="EE6" s="396" t="str">
        <f t="shared" si="10"/>
        <v/>
      </c>
      <c r="EF6" s="396" t="str">
        <f t="shared" ref="EF6:ER6" si="11">IFERROR(INDEX(EF$13:EF$555,MATCH($A7,$A$13:$A$555,0)),"")</f>
        <v/>
      </c>
      <c r="EG6" s="396" t="str">
        <f t="shared" si="11"/>
        <v/>
      </c>
      <c r="EH6" s="396" t="str">
        <f t="shared" si="11"/>
        <v/>
      </c>
      <c r="EI6" s="396" t="str">
        <f t="shared" si="11"/>
        <v/>
      </c>
      <c r="EJ6" s="396" t="str">
        <f t="shared" si="11"/>
        <v/>
      </c>
      <c r="EK6" s="396" t="str">
        <f t="shared" si="11"/>
        <v/>
      </c>
      <c r="EL6" s="396" t="str">
        <f t="shared" si="11"/>
        <v/>
      </c>
      <c r="EM6" s="396" t="str">
        <f t="shared" si="11"/>
        <v/>
      </c>
      <c r="EN6" s="396" t="str">
        <f t="shared" si="11"/>
        <v/>
      </c>
      <c r="EO6" s="396" t="str">
        <f t="shared" si="11"/>
        <v/>
      </c>
      <c r="EP6" s="396" t="str">
        <f t="shared" si="11"/>
        <v/>
      </c>
      <c r="EQ6" s="396" t="str">
        <f t="shared" si="11"/>
        <v/>
      </c>
      <c r="ER6" s="396" t="str">
        <f t="shared" si="11"/>
        <v/>
      </c>
      <c r="ES6" s="396" t="str">
        <f>IFERROR(INDEX(ES$13:ES$555,MATCH($A7,$A$13:$A$555,0)),"")</f>
        <v/>
      </c>
    </row>
    <row r="7" spans="1:245" s="251" customFormat="1" x14ac:dyDescent="0.3">
      <c r="A7" s="251" t="str">
        <f>_xlfn.CONCAT(A4,"-2")</f>
        <v>JS9001-2</v>
      </c>
      <c r="B7" s="344" t="str">
        <f t="shared" ref="B7:B9" si="12">IF(OR(B6="/",B6=0),"",IF(ISNUMBER(B6),ROUND(B6,2),B6))</f>
        <v/>
      </c>
      <c r="C7" s="344" t="str">
        <f t="shared" ref="C7" si="13">IF(OR(C6="/",C6=0),"",IF(ISNUMBER(C6),ROUND(C6,2),C6))</f>
        <v/>
      </c>
      <c r="D7" s="344" t="str">
        <f t="shared" ref="D7" si="14">IF(OR(D6="/",D6=0),"",IF(ISNUMBER(D6),ROUND(D6,2),D6))</f>
        <v/>
      </c>
      <c r="E7" s="344" t="str">
        <f t="shared" ref="E7" si="15">IF(OR(E6="/",E6=0),"",IF(ISNUMBER(E6),ROUND(E6,2),E6))</f>
        <v/>
      </c>
      <c r="F7" s="344" t="str">
        <f t="shared" ref="F7" si="16">IF(OR(F6="/",F6=0),"",IF(ISNUMBER(F6),ROUND(F6,2),F6))</f>
        <v/>
      </c>
      <c r="G7" s="344" t="str">
        <f t="shared" ref="G7" si="17">IF(OR(G6="/",G6=0),"",IF(ISNUMBER(G6),ROUND(G6,2),G6))</f>
        <v/>
      </c>
      <c r="H7" s="344" t="str">
        <f t="shared" ref="H7" si="18">IF(OR(H6="/",H6=0),"",IF(ISNUMBER(H6),ROUND(H6,2),H6))</f>
        <v/>
      </c>
      <c r="I7" s="344" t="str">
        <f t="shared" ref="I7" si="19">IF(OR(I6="/",I6=0),"",IF(ISNUMBER(I6),ROUND(I6,2),I6))</f>
        <v/>
      </c>
      <c r="J7" s="344" t="str">
        <f t="shared" ref="J7" si="20">IF(OR(J6="/",J6=0),"",IF(ISNUMBER(J6),ROUND(J6,2),J6))</f>
        <v/>
      </c>
      <c r="K7" s="344" t="str">
        <f t="shared" ref="K7" si="21">IF(OR(K6="/",K6=0),"",IF(ISNUMBER(K6),ROUND(K6,2),K6))</f>
        <v/>
      </c>
      <c r="L7" s="344" t="str">
        <f t="shared" ref="L7" si="22">IF(OR(L6="/",L6=0),"",IF(ISNUMBER(L6),ROUND(L6,2),L6))</f>
        <v/>
      </c>
      <c r="M7" s="344" t="str">
        <f t="shared" ref="M7" si="23">IF(OR(M6="/",M6=0),"",IF(ISNUMBER(M6),ROUND(M6,2),M6))</f>
        <v/>
      </c>
      <c r="N7" s="344" t="str">
        <f t="shared" ref="N7" si="24">IF(OR(N6="/",N6=0),"",IF(ISNUMBER(N6),ROUND(N6,2),N6))</f>
        <v/>
      </c>
      <c r="O7" s="344" t="str">
        <f t="shared" ref="O7" si="25">IF(OR(O6="/",O6=0),"",IF(ISNUMBER(O6),ROUND(O6,2),O6))</f>
        <v/>
      </c>
      <c r="P7" s="344" t="str">
        <f t="shared" ref="P7" si="26">IF(OR(P6="/",P6=0),"",IF(ISNUMBER(P6),ROUND(P6,2),P6))</f>
        <v/>
      </c>
      <c r="Q7" s="344" t="str">
        <f t="shared" ref="Q7" si="27">IF(OR(Q6="/",Q6=0),"",IF(ISNUMBER(Q6),ROUND(Q6,2),Q6))</f>
        <v/>
      </c>
      <c r="R7" s="344" t="str">
        <f t="shared" ref="R7" si="28">IF(OR(R6="/",R6=0),"",IF(ISNUMBER(R6),ROUND(R6,2),R6))</f>
        <v/>
      </c>
      <c r="S7" s="344" t="str">
        <f t="shared" ref="S7" si="29">IF(OR(S6="/",S6=0),"",IF(ISNUMBER(S6),ROUND(S6,2),S6))</f>
        <v/>
      </c>
      <c r="T7" s="344" t="str">
        <f t="shared" ref="T7" si="30">IF(OR(T6="/",T6=0),"",IF(ISNUMBER(T6),ROUND(T6,2),T6))</f>
        <v/>
      </c>
      <c r="U7" s="344" t="str">
        <f t="shared" ref="U7" si="31">IF(OR(U6="/",U6=0),"",IF(ISNUMBER(U6),ROUND(U6,2),U6))</f>
        <v/>
      </c>
      <c r="V7" s="344" t="str">
        <f t="shared" ref="V7" si="32">IF(OR(V6="/",V6=0),"",IF(ISNUMBER(V6),ROUND(V6,2),V6))</f>
        <v/>
      </c>
      <c r="W7" s="344" t="str">
        <f t="shared" ref="W7" si="33">IF(OR(W6="/",W6=0),"",IF(ISNUMBER(W6),ROUND(W6,2),W6))</f>
        <v/>
      </c>
      <c r="X7" s="344" t="str">
        <f t="shared" ref="X7" si="34">IF(OR(X6="/",X6=0),"",IF(ISNUMBER(X6),ROUND(X6,2),X6))</f>
        <v/>
      </c>
      <c r="Y7" s="344" t="str">
        <f t="shared" ref="Y7" si="35">IF(OR(Y6="/",Y6=0),"",IF(ISNUMBER(Y6),ROUND(Y6,2),Y6))</f>
        <v/>
      </c>
      <c r="Z7" s="344" t="str">
        <f t="shared" ref="Z7" si="36">IF(OR(Z6="/",Z6=0),"",IF(ISNUMBER(Z6),ROUND(Z6,2),Z6))</f>
        <v/>
      </c>
      <c r="AA7" s="344" t="str">
        <f t="shared" ref="AA7" si="37">IF(OR(AA6="/",AA6=0),"",IF(ISNUMBER(AA6),ROUND(AA6,2),AA6))</f>
        <v/>
      </c>
      <c r="AB7" s="344" t="str">
        <f t="shared" ref="AB7" si="38">IF(OR(AB6="/",AB6=0),"",IF(ISNUMBER(AB6),ROUND(AB6,2),AB6))</f>
        <v/>
      </c>
      <c r="AC7" s="344" t="str">
        <f t="shared" ref="AC7" si="39">IF(OR(AC6="/",AC6=0),"",IF(ISNUMBER(AC6),ROUND(AC6,2),AC6))</f>
        <v/>
      </c>
      <c r="AD7" s="344" t="str">
        <f t="shared" ref="AD7" si="40">IF(OR(AD6="/",AD6=0),"",IF(ISNUMBER(AD6),ROUND(AD6,2),AD6))</f>
        <v/>
      </c>
      <c r="AE7" s="344" t="str">
        <f t="shared" ref="AE7" si="41">IF(OR(AE6="/",AE6=0),"",IF(ISNUMBER(AE6),ROUND(AE6,2),AE6))</f>
        <v/>
      </c>
      <c r="AF7" s="344" t="str">
        <f t="shared" ref="AF7" si="42">IF(OR(AF6="/",AF6=0),"",IF(ISNUMBER(AF6),ROUND(AF6,2),AF6))</f>
        <v/>
      </c>
      <c r="AG7" s="344" t="str">
        <f t="shared" ref="AG7" si="43">IF(OR(AG6="/",AG6=0),"",IF(ISNUMBER(AG6),ROUND(AG6,2),AG6))</f>
        <v/>
      </c>
      <c r="AH7" s="344" t="str">
        <f t="shared" ref="AH7" si="44">IF(OR(AH6="/",AH6=0),"",IF(ISNUMBER(AH6),ROUND(AH6,2),AH6))</f>
        <v/>
      </c>
      <c r="AI7" s="344" t="str">
        <f t="shared" ref="AI7" si="45">IF(OR(AI6="/",AI6=0),"",IF(ISNUMBER(AI6),ROUND(AI6,2),AI6))</f>
        <v/>
      </c>
      <c r="AJ7" s="344" t="str">
        <f t="shared" ref="AJ7" si="46">IF(OR(AJ6="/",AJ6=0),"",IF(ISNUMBER(AJ6),ROUND(AJ6,2),AJ6))</f>
        <v/>
      </c>
      <c r="AK7" s="344" t="str">
        <f t="shared" ref="AK7" si="47">IF(OR(AK6="/",AK6=0),"",IF(ISNUMBER(AK6),ROUND(AK6,2),AK6))</f>
        <v/>
      </c>
      <c r="AL7" s="344" t="str">
        <f t="shared" ref="AL7" si="48">IF(OR(AL6="/",AL6=0),"",IF(ISNUMBER(AL6),ROUND(AL6,2),AL6))</f>
        <v/>
      </c>
      <c r="AM7" s="344" t="str">
        <f t="shared" ref="AM7" si="49">IF(OR(AM6="/",AM6=0),"",IF(ISNUMBER(AM6),ROUND(AM6,2),AM6))</f>
        <v/>
      </c>
      <c r="AN7" s="344" t="str">
        <f t="shared" ref="AN7" si="50">IF(OR(AN6="/",AN6=0),"",IF(ISNUMBER(AN6),ROUND(AN6,2),AN6))</f>
        <v/>
      </c>
      <c r="AO7" s="344" t="str">
        <f t="shared" ref="AO7" si="51">IF(OR(AO6="/",AO6=0),"",IF(ISNUMBER(AO6),ROUND(AO6,2),AO6))</f>
        <v/>
      </c>
      <c r="AP7" s="344" t="str">
        <f t="shared" ref="AP7" si="52">IF(OR(AP6="/",AP6=0),"",IF(ISNUMBER(AP6),ROUND(AP6,2),AP6))</f>
        <v/>
      </c>
      <c r="AQ7" s="344" t="str">
        <f t="shared" ref="AQ7" si="53">IF(OR(AQ6="/",AQ6=0),"",IF(ISNUMBER(AQ6),ROUND(AQ6,2),AQ6))</f>
        <v/>
      </c>
      <c r="AR7" s="344" t="str">
        <f t="shared" ref="AR7" si="54">IF(OR(AR6="/",AR6=0),"",IF(ISNUMBER(AR6),ROUND(AR6,2),AR6))</f>
        <v/>
      </c>
      <c r="AS7" s="344" t="str">
        <f t="shared" ref="AS7" si="55">IF(OR(AS6="/",AS6=0),"",IF(ISNUMBER(AS6),ROUND(AS6,2),AS6))</f>
        <v/>
      </c>
      <c r="AT7" s="344" t="str">
        <f t="shared" ref="AT7" si="56">IF(OR(AT6="/",AT6=0),"",IF(ISNUMBER(AT6),ROUND(AT6,2),AT6))</f>
        <v/>
      </c>
      <c r="AU7" s="344" t="str">
        <f t="shared" ref="AU7:BA7" si="57">IF(OR(AU6="/",AU6=0),"",IF(ISNUMBER(AU6),ROUND(AU6,2),AU6))</f>
        <v/>
      </c>
      <c r="AV7" s="344" t="str">
        <f t="shared" si="57"/>
        <v/>
      </c>
      <c r="AW7" s="344" t="str">
        <f t="shared" si="57"/>
        <v/>
      </c>
      <c r="AX7" s="344" t="str">
        <f t="shared" si="57"/>
        <v/>
      </c>
      <c r="AY7" s="344" t="str">
        <f t="shared" si="57"/>
        <v/>
      </c>
      <c r="AZ7" s="344" t="str">
        <f t="shared" si="57"/>
        <v/>
      </c>
      <c r="BA7" s="344" t="str">
        <f t="shared" si="57"/>
        <v/>
      </c>
      <c r="BB7" s="344" t="str">
        <f t="shared" ref="BB7" si="58">IF(OR(BB6="/",BB6=0),"",IF(ISNUMBER(BB6),ROUND(BB6,2),BB6))</f>
        <v/>
      </c>
      <c r="BC7" s="344" t="str">
        <f t="shared" ref="BC7" si="59">IF(OR(BC6="/",BC6=0),"",IF(ISNUMBER(BC6),ROUND(BC6,2),BC6))</f>
        <v/>
      </c>
      <c r="BD7" s="344" t="str">
        <f t="shared" ref="BD7" si="60">IF(OR(BD6="/",BD6=0),"",IF(ISNUMBER(BD6),ROUND(BD6,2),BD6))</f>
        <v/>
      </c>
      <c r="BE7" s="344" t="str">
        <f t="shared" ref="BE7" si="61">IF(OR(BE6="/",BE6=0),"",IF(ISNUMBER(BE6),ROUND(BE6,2),BE6))</f>
        <v/>
      </c>
      <c r="BF7" s="344" t="str">
        <f t="shared" ref="BF7" si="62">IF(OR(BF6="/",BF6=0),"",IF(ISNUMBER(BF6),ROUND(BF6,2),BF6))</f>
        <v/>
      </c>
      <c r="BG7" s="344" t="str">
        <f t="shared" ref="BG7" si="63">IF(OR(BG6="/",BG6=0),"",IF(ISNUMBER(BG6),ROUND(BG6,2),BG6))</f>
        <v/>
      </c>
      <c r="BH7" s="344" t="str">
        <f t="shared" ref="BH7" si="64">IF(OR(BH6="/",BH6=0),"",IF(ISNUMBER(BH6),ROUND(BH6,2),BH6))</f>
        <v/>
      </c>
      <c r="BI7" s="344" t="str">
        <f t="shared" ref="BI7" si="65">IF(OR(BI6="/",BI6=0),"",IF(ISNUMBER(BI6),ROUND(BI6,2),BI6))</f>
        <v/>
      </c>
      <c r="BJ7" s="344" t="str">
        <f t="shared" ref="BJ7" si="66">IF(OR(BJ6="/",BJ6=0),"",IF(ISNUMBER(BJ6),ROUND(BJ6,2),BJ6))</f>
        <v/>
      </c>
      <c r="BK7" s="344" t="str">
        <f t="shared" ref="BK7" si="67">IF(OR(BK6="/",BK6=0),"",IF(ISNUMBER(BK6),ROUND(BK6,2),BK6))</f>
        <v/>
      </c>
      <c r="BL7" s="344" t="str">
        <f t="shared" ref="BL7" si="68">IF(OR(BL6="/",BL6=0),"",IF(ISNUMBER(BL6),ROUND(BL6,2),BL6))</f>
        <v/>
      </c>
      <c r="BM7" s="344" t="str">
        <f t="shared" ref="BM7" si="69">IF(OR(BM6="/",BM6=0),"",IF(ISNUMBER(BM6),ROUND(BM6,2),BM6))</f>
        <v/>
      </c>
      <c r="BN7" s="344" t="str">
        <f t="shared" ref="BN7" si="70">IF(OR(BN6="/",BN6=0),"",IF(ISNUMBER(BN6),ROUND(BN6,2),BN6))</f>
        <v/>
      </c>
      <c r="BO7" s="344" t="str">
        <f t="shared" ref="BO7" si="71">IF(OR(BO6="/",BO6=0),"",IF(ISNUMBER(BO6),ROUND(BO6,2),BO6))</f>
        <v/>
      </c>
      <c r="BP7" s="344" t="str">
        <f t="shared" ref="BP7" si="72">IF(OR(BP6="/",BP6=0),"",IF(ISNUMBER(BP6),ROUND(BP6,2),BP6))</f>
        <v/>
      </c>
      <c r="BQ7" s="344" t="str">
        <f t="shared" ref="BQ7" si="73">IF(OR(BQ6="/",BQ6=0),"",IF(ISNUMBER(BQ6),ROUND(BQ6,2),BQ6))</f>
        <v/>
      </c>
      <c r="BR7" s="344" t="str">
        <f t="shared" ref="BR7" si="74">IF(OR(BR6="/",BR6=0),"",IF(ISNUMBER(BR6),ROUND(BR6,2),BR6))</f>
        <v/>
      </c>
      <c r="BS7" s="344" t="str">
        <f t="shared" ref="BS7" si="75">IF(OR(BS6="/",BS6=0),"",IF(ISNUMBER(BS6),ROUND(BS6,2),BS6))</f>
        <v/>
      </c>
      <c r="BT7" s="344" t="str">
        <f t="shared" ref="BT7" si="76">IF(OR(BT6="/",BT6=0),"",IF(ISNUMBER(BT6),ROUND(BT6,2),BT6))</f>
        <v/>
      </c>
      <c r="BU7" s="344" t="str">
        <f t="shared" ref="BU7" si="77">IF(OR(BU6="/",BU6=0),"",IF(ISNUMBER(BU6),ROUND(BU6,2),BU6))</f>
        <v/>
      </c>
      <c r="BV7" s="344" t="str">
        <f t="shared" ref="BV7" si="78">IF(OR(BV6="/",BV6=0),"",IF(ISNUMBER(BV6),ROUND(BV6,2),BV6))</f>
        <v/>
      </c>
      <c r="BW7" s="344" t="str">
        <f t="shared" ref="BW7" si="79">IF(OR(BW6="/",BW6=0),"",IF(ISNUMBER(BW6),ROUND(BW6,2),BW6))</f>
        <v/>
      </c>
      <c r="BX7" s="344" t="str">
        <f t="shared" ref="BX7" si="80">IF(OR(BX6="/",BX6=0),"",IF(ISNUMBER(BX6),ROUND(BX6,2),BX6))</f>
        <v/>
      </c>
      <c r="BY7" s="344" t="str">
        <f t="shared" ref="BY7" si="81">IF(OR(BY6="/",BY6=0),"",IF(ISNUMBER(BY6),ROUND(BY6,2),BY6))</f>
        <v/>
      </c>
      <c r="BZ7" s="344" t="str">
        <f t="shared" ref="BZ7" si="82">IF(OR(BZ6="/",BZ6=0),"",IF(ISNUMBER(BZ6),ROUND(BZ6,2),BZ6))</f>
        <v/>
      </c>
      <c r="CA7" s="344" t="str">
        <f t="shared" ref="CA7" si="83">IF(OR(CA6="/",CA6=0),"",IF(ISNUMBER(CA6),ROUND(CA6,2),CA6))</f>
        <v/>
      </c>
      <c r="CB7" s="344" t="str">
        <f t="shared" ref="CB7" si="84">IF(OR(CB6="/",CB6=0),"",IF(ISNUMBER(CB6),ROUND(CB6,2),CB6))</f>
        <v/>
      </c>
      <c r="CC7" s="344" t="str">
        <f t="shared" ref="CC7" si="85">IF(OR(CC6="/",CC6=0),"",IF(ISNUMBER(CC6),ROUND(CC6,2),CC6))</f>
        <v/>
      </c>
      <c r="CD7" s="344" t="str">
        <f t="shared" ref="CD7" si="86">IF(OR(CD6="/",CD6=0),"",IF(ISNUMBER(CD6),ROUND(CD6,2),CD6))</f>
        <v/>
      </c>
      <c r="CE7" s="344" t="str">
        <f t="shared" ref="CE7" si="87">IF(OR(CE6="/",CE6=0),"",IF(ISNUMBER(CE6),ROUND(CE6,2),CE6))</f>
        <v/>
      </c>
      <c r="CF7" s="344" t="str">
        <f t="shared" ref="CF7" si="88">IF(OR(CF6="/",CF6=0),"",IF(ISNUMBER(CF6),ROUND(CF6,2),CF6))</f>
        <v/>
      </c>
      <c r="CG7" s="344" t="str">
        <f t="shared" ref="CG7" si="89">IF(OR(CG6="/",CG6=0),"",IF(ISNUMBER(CG6),ROUND(CG6,2),CG6))</f>
        <v/>
      </c>
      <c r="CH7" s="344" t="str">
        <f t="shared" ref="CH7" si="90">IF(OR(CH6="/",CH6=0),"",IF(ISNUMBER(CH6),ROUND(CH6,2),CH6))</f>
        <v/>
      </c>
      <c r="CI7" s="344" t="str">
        <f t="shared" ref="CI7" si="91">IF(OR(CI6="/",CI6=0),"",IF(ISNUMBER(CI6),ROUND(CI6,2),CI6))</f>
        <v/>
      </c>
      <c r="CJ7" s="344" t="str">
        <f t="shared" ref="CJ7" si="92">IF(OR(CJ6="/",CJ6=0),"",IF(ISNUMBER(CJ6),ROUND(CJ6,2),CJ6))</f>
        <v/>
      </c>
      <c r="CK7" s="344" t="str">
        <f t="shared" ref="CK7" si="93">IF(OR(CK6="/",CK6=0),"",IF(ISNUMBER(CK6),ROUND(CK6,2),CK6))</f>
        <v/>
      </c>
      <c r="CL7" s="344" t="str">
        <f t="shared" ref="CL7" si="94">IF(OR(CL6="/",CL6=0),"",IF(ISNUMBER(CL6),ROUND(CL6,2),CL6))</f>
        <v/>
      </c>
      <c r="CM7" s="344" t="str">
        <f t="shared" ref="CM7" si="95">IF(OR(CM6="/",CM6=0),"",IF(ISNUMBER(CM6),ROUND(CM6,2),CM6))</f>
        <v/>
      </c>
      <c r="CN7" s="344" t="str">
        <f t="shared" ref="CN7" si="96">IF(OR(CN6="/",CN6=0),"",IF(ISNUMBER(CN6),ROUND(CN6,2),CN6))</f>
        <v/>
      </c>
      <c r="CO7" s="344" t="str">
        <f t="shared" ref="CO7" si="97">IF(OR(CO6="/",CO6=0),"",IF(ISNUMBER(CO6),ROUND(CO6,2),CO6))</f>
        <v/>
      </c>
      <c r="CP7" s="344" t="str">
        <f t="shared" ref="CP7" si="98">IF(OR(CP6="/",CP6=0),"",IF(ISNUMBER(CP6),ROUND(CP6,2),CP6))</f>
        <v/>
      </c>
      <c r="CQ7" s="344" t="str">
        <f t="shared" ref="CQ7" si="99">IF(OR(CQ6="/",CQ6=0),"",IF(ISNUMBER(CQ6),ROUND(CQ6,2),CQ6))</f>
        <v/>
      </c>
      <c r="CR7" s="344" t="str">
        <f t="shared" ref="CR7" si="100">IF(OR(CR6="/",CR6=0),"",IF(ISNUMBER(CR6),ROUND(CR6,2),CR6))</f>
        <v/>
      </c>
      <c r="CS7" s="344" t="str">
        <f t="shared" ref="CS7" si="101">IF(OR(CS6="/",CS6=0),"",IF(ISNUMBER(CS6),ROUND(CS6,2),CS6))</f>
        <v/>
      </c>
      <c r="CT7" s="344" t="str">
        <f t="shared" ref="CT7" si="102">IF(OR(CT6="/",CT6=0),"",IF(ISNUMBER(CT6),ROUND(CT6,2),CT6))</f>
        <v/>
      </c>
      <c r="CU7" s="344" t="str">
        <f t="shared" ref="CU7" si="103">IF(OR(CU6="/",CU6=0),"",IF(ISNUMBER(CU6),ROUND(CU6,2),CU6))</f>
        <v/>
      </c>
      <c r="CV7" s="344" t="str">
        <f t="shared" ref="CV7" si="104">IF(OR(CV6="/",CV6=0),"",IF(ISNUMBER(CV6),ROUND(CV6,2),CV6))</f>
        <v/>
      </c>
      <c r="CW7" s="344" t="str">
        <f t="shared" ref="CW7" si="105">IF(OR(CW6="/",CW6=0),"",IF(ISNUMBER(CW6),ROUND(CW6,2),CW6))</f>
        <v/>
      </c>
      <c r="CX7" s="344" t="str">
        <f t="shared" ref="CX7" si="106">IF(OR(CX6="/",CX6=0),"",IF(ISNUMBER(CX6),ROUND(CX6,2),CX6))</f>
        <v/>
      </c>
      <c r="CY7" s="344" t="str">
        <f t="shared" ref="CY7" si="107">IF(OR(CY6="/",CY6=0),"",IF(ISNUMBER(CY6),ROUND(CY6,2),CY6))</f>
        <v/>
      </c>
      <c r="CZ7" s="344" t="str">
        <f t="shared" ref="CZ7" si="108">IF(OR(CZ6="/",CZ6=0),"",IF(ISNUMBER(CZ6),ROUND(CZ6,2),CZ6))</f>
        <v/>
      </c>
      <c r="DA7" s="344" t="str">
        <f t="shared" ref="DA7" si="109">IF(OR(DA6="/",DA6=0),"",IF(ISNUMBER(DA6),ROUND(DA6,2),DA6))</f>
        <v/>
      </c>
      <c r="DB7" s="344" t="str">
        <f t="shared" ref="DB7" si="110">IF(OR(DB6="/",DB6=0),"",IF(ISNUMBER(DB6),ROUND(DB6,2),DB6))</f>
        <v/>
      </c>
      <c r="DC7" s="344" t="str">
        <f t="shared" ref="DC7" si="111">IF(OR(DC6="/",DC6=0),"",IF(ISNUMBER(DC6),ROUND(DC6,2),DC6))</f>
        <v/>
      </c>
      <c r="DD7" s="344" t="str">
        <f t="shared" ref="DD7" si="112">IF(OR(DD6="/",DD6=0),"",IF(ISNUMBER(DD6),ROUND(DD6,2),DD6))</f>
        <v/>
      </c>
      <c r="DE7" s="344" t="str">
        <f t="shared" ref="DE7" si="113">IF(OR(DE6="/",DE6=0),"",IF(ISNUMBER(DE6),ROUND(DE6,2),DE6))</f>
        <v/>
      </c>
      <c r="DF7" s="344" t="str">
        <f t="shared" ref="DF7" si="114">IF(OR(DF6="/",DF6=0),"",IF(ISNUMBER(DF6),ROUND(DF6,2),DF6))</f>
        <v/>
      </c>
      <c r="DG7" s="344" t="str">
        <f t="shared" ref="DG7" si="115">IF(OR(DG6="/",DG6=0),"",IF(ISNUMBER(DG6),ROUND(DG6,2),DG6))</f>
        <v/>
      </c>
      <c r="DH7" s="344" t="str">
        <f t="shared" ref="DH7" si="116">IF(OR(DH6="/",DH6=0),"",IF(ISNUMBER(DH6),ROUND(DH6,2),DH6))</f>
        <v/>
      </c>
      <c r="DI7" s="344" t="str">
        <f t="shared" ref="DI7" si="117">IF(OR(DI6="/",DI6=0),"",IF(ISNUMBER(DI6),ROUND(DI6,2),DI6))</f>
        <v/>
      </c>
      <c r="DJ7" s="344" t="str">
        <f t="shared" ref="DJ7" si="118">IF(OR(DJ6="/",DJ6=0),"",IF(ISNUMBER(DJ6),ROUND(DJ6,2),DJ6))</f>
        <v/>
      </c>
      <c r="DK7" s="344" t="str">
        <f t="shared" ref="DK7" si="119">IF(OR(DK6="/",DK6=0),"",IF(ISNUMBER(DK6),ROUND(DK6,2),DK6))</f>
        <v/>
      </c>
      <c r="DL7" s="344" t="str">
        <f t="shared" ref="DL7" si="120">IF(OR(DL6="/",DL6=0),"",IF(ISNUMBER(DL6),ROUND(DL6,2),DL6))</f>
        <v/>
      </c>
      <c r="DM7" s="344" t="str">
        <f t="shared" ref="DM7" si="121">IF(OR(DM6="/",DM6=0),"",IF(ISNUMBER(DM6),ROUND(DM6,2),DM6))</f>
        <v/>
      </c>
      <c r="DN7" s="344" t="str">
        <f t="shared" ref="DN7" si="122">IF(OR(DN6="/",DN6=0),"",IF(ISNUMBER(DN6),ROUND(DN6,2),DN6))</f>
        <v/>
      </c>
      <c r="DO7" s="344" t="str">
        <f t="shared" ref="DO7" si="123">IF(OR(DO6="/",DO6=0),"",IF(ISNUMBER(DO6),ROUND(DO6,2),DO6))</f>
        <v/>
      </c>
      <c r="DP7" s="344" t="str">
        <f t="shared" ref="DP7" si="124">IF(OR(DP6="/",DP6=0),"",IF(ISNUMBER(DP6),ROUND(DP6,2),DP6))</f>
        <v/>
      </c>
      <c r="DQ7" s="344" t="str">
        <f t="shared" ref="DQ7" si="125">IF(OR(DQ6="/",DQ6=0),"",IF(ISNUMBER(DQ6),ROUND(DQ6,2),DQ6))</f>
        <v/>
      </c>
      <c r="DR7" s="344" t="str">
        <f t="shared" ref="DR7" si="126">IF(OR(DR6="/",DR6=0),"",IF(ISNUMBER(DR6),ROUND(DR6,2),DR6))</f>
        <v/>
      </c>
      <c r="DS7" s="344" t="str">
        <f t="shared" ref="DS7" si="127">IF(OR(DS6="/",DS6=0),"",IF(ISNUMBER(DS6),ROUND(DS6,2),DS6))</f>
        <v/>
      </c>
      <c r="DT7" s="344" t="str">
        <f t="shared" ref="DT7" si="128">IF(OR(DT6="/",DT6=0),"",IF(ISNUMBER(DT6),ROUND(DT6,2),DT6))</f>
        <v/>
      </c>
      <c r="DU7" s="344" t="str">
        <f t="shared" ref="DU7" si="129">IF(OR(DU6="/",DU6=0),"",IF(ISNUMBER(DU6),ROUND(DU6,2),DU6))</f>
        <v/>
      </c>
      <c r="DV7" s="344" t="str">
        <f t="shared" ref="DV7" si="130">IF(OR(DV6="/",DV6=0),"",IF(ISNUMBER(DV6),ROUND(DV6,2),DV6))</f>
        <v/>
      </c>
      <c r="DW7" s="344" t="str">
        <f t="shared" ref="DW7" si="131">IF(OR(DW6="/",DW6=0),"",IF(ISNUMBER(DW6),ROUND(DW6,2),DW6))</f>
        <v/>
      </c>
      <c r="DX7" s="344" t="str">
        <f t="shared" ref="DX7" si="132">IF(OR(DX6="/",DX6=0),"",IF(ISNUMBER(DX6),ROUND(DX6,2),DX6))</f>
        <v/>
      </c>
      <c r="DY7" s="344" t="str">
        <f t="shared" ref="DY7" si="133">IF(OR(DY6="/",DY6=0),"",IF(ISNUMBER(DY6),ROUND(DY6,2),DY6))</f>
        <v/>
      </c>
      <c r="DZ7" s="344" t="str">
        <f t="shared" ref="DZ7" si="134">IF(OR(DZ6="/",DZ6=0),"",IF(ISNUMBER(DZ6),ROUND(DZ6,2),DZ6))</f>
        <v/>
      </c>
      <c r="EA7" s="344" t="str">
        <f t="shared" ref="EA7" si="135">IF(OR(EA6="/",EA6=0),"",IF(ISNUMBER(EA6),ROUND(EA6,2),EA6))</f>
        <v/>
      </c>
      <c r="EB7" s="344" t="str">
        <f t="shared" ref="EB7" si="136">IF(OR(EB6="/",EB6=0),"",IF(ISNUMBER(EB6),ROUND(EB6,2),EB6))</f>
        <v/>
      </c>
      <c r="EC7" s="344" t="str">
        <f t="shared" ref="EC7" si="137">IF(OR(EC6="/",EC6=0),"",IF(ISNUMBER(EC6),ROUND(EC6,2),EC6))</f>
        <v/>
      </c>
      <c r="ED7" s="344" t="str">
        <f t="shared" ref="ED7" si="138">IF(OR(ED6="/",ED6=0),"",IF(ISNUMBER(ED6),ROUND(ED6,2),ED6))</f>
        <v/>
      </c>
      <c r="EE7" s="344" t="str">
        <f t="shared" ref="EE7" si="139">IF(OR(EE6="/",EE6=0),"",IF(ISNUMBER(EE6),ROUND(EE6,2),EE6))</f>
        <v/>
      </c>
      <c r="EF7" s="344" t="str">
        <f t="shared" ref="EF7" si="140">IF(OR(EF6="/",EF6=0),"",IF(ISNUMBER(EF6),ROUND(EF6,2),EF6))</f>
        <v/>
      </c>
      <c r="EG7" s="344" t="str">
        <f t="shared" ref="EG7" si="141">IF(OR(EG6="/",EG6=0),"",IF(ISNUMBER(EG6),ROUND(EG6,2),EG6))</f>
        <v/>
      </c>
      <c r="EH7" s="344" t="str">
        <f t="shared" ref="EH7" si="142">IF(OR(EH6="/",EH6=0),"",IF(ISNUMBER(EH6),ROUND(EH6,2),EH6))</f>
        <v/>
      </c>
      <c r="EI7" s="344" t="str">
        <f t="shared" ref="EI7" si="143">IF(OR(EI6="/",EI6=0),"",IF(ISNUMBER(EI6),ROUND(EI6,2),EI6))</f>
        <v/>
      </c>
      <c r="EJ7" s="344" t="str">
        <f t="shared" ref="EJ7" si="144">IF(OR(EJ6="/",EJ6=0),"",IF(ISNUMBER(EJ6),ROUND(EJ6,2),EJ6))</f>
        <v/>
      </c>
      <c r="EK7" s="344" t="str">
        <f t="shared" ref="EK7" si="145">IF(OR(EK6="/",EK6=0),"",IF(ISNUMBER(EK6),ROUND(EK6,2),EK6))</f>
        <v/>
      </c>
      <c r="EL7" s="344" t="str">
        <f t="shared" ref="EL7" si="146">IF(OR(EL6="/",EL6=0),"",IF(ISNUMBER(EL6),ROUND(EL6,2),EL6))</f>
        <v/>
      </c>
      <c r="EM7" s="344" t="str">
        <f t="shared" ref="EM7" si="147">IF(OR(EM6="/",EM6=0),"",IF(ISNUMBER(EM6),ROUND(EM6,2),EM6))</f>
        <v/>
      </c>
      <c r="EN7" s="344" t="str">
        <f t="shared" ref="EN7" si="148">IF(OR(EN6="/",EN6=0),"",IF(ISNUMBER(EN6),ROUND(EN6,2),EN6))</f>
        <v/>
      </c>
      <c r="EO7" s="344" t="str">
        <f t="shared" ref="EO7" si="149">IF(OR(EO6="/",EO6=0),"",IF(ISNUMBER(EO6),ROUND(EO6,2),EO6))</f>
        <v/>
      </c>
      <c r="EP7" s="344" t="str">
        <f t="shared" ref="EP7" si="150">IF(OR(EP6="/",EP6=0),"",IF(ISNUMBER(EP6),ROUND(EP6,2),EP6))</f>
        <v/>
      </c>
      <c r="EQ7" s="344" t="str">
        <f t="shared" ref="EQ7" si="151">IF(OR(EQ6="/",EQ6=0),"",IF(ISNUMBER(EQ6),ROUND(EQ6,2),EQ6))</f>
        <v/>
      </c>
      <c r="ER7" s="344" t="str">
        <f t="shared" ref="ER7" si="152">IF(OR(ER6="/",ER6=0),"",IF(ISNUMBER(ER6),ROUND(ER6,2),ER6))</f>
        <v/>
      </c>
      <c r="ES7" s="344" t="str">
        <f t="shared" ref="ES7" si="153">IF(OR(ES6="/",ES6=0),"",IF(ISNUMBER(ES6),ROUND(ES6,2),ES6))</f>
        <v/>
      </c>
      <c r="ET7" s="344"/>
    </row>
    <row r="8" spans="1:245" s="282" customFormat="1" x14ac:dyDescent="0.3">
      <c r="A8" s="282" t="s">
        <v>3045</v>
      </c>
      <c r="B8" s="282" t="str">
        <f>IFERROR(INDEX(B$13:B$555,MATCH($A9,$A$13:$A$555,0)),"")</f>
        <v/>
      </c>
      <c r="C8" s="396" t="str">
        <f t="shared" ref="C8:BS8" si="154">IFERROR(INDEX(C$13:C$555,MATCH($A9,$A$13:$A$555,0)),"")</f>
        <v/>
      </c>
      <c r="D8" s="396" t="str">
        <f t="shared" si="154"/>
        <v/>
      </c>
      <c r="E8" s="396" t="str">
        <f t="shared" si="154"/>
        <v/>
      </c>
      <c r="F8" s="396" t="str">
        <f t="shared" si="154"/>
        <v/>
      </c>
      <c r="G8" s="396" t="str">
        <f t="shared" si="154"/>
        <v/>
      </c>
      <c r="H8" s="396" t="str">
        <f t="shared" si="154"/>
        <v/>
      </c>
      <c r="I8" s="396" t="str">
        <f t="shared" si="154"/>
        <v/>
      </c>
      <c r="J8" s="396" t="str">
        <f t="shared" si="154"/>
        <v/>
      </c>
      <c r="K8" s="396" t="str">
        <f t="shared" si="154"/>
        <v/>
      </c>
      <c r="L8" s="396" t="str">
        <f t="shared" si="154"/>
        <v/>
      </c>
      <c r="M8" s="396" t="str">
        <f t="shared" si="154"/>
        <v/>
      </c>
      <c r="N8" s="396" t="str">
        <f t="shared" si="154"/>
        <v/>
      </c>
      <c r="O8" s="396" t="str">
        <f t="shared" si="154"/>
        <v/>
      </c>
      <c r="P8" s="396" t="str">
        <f t="shared" si="154"/>
        <v/>
      </c>
      <c r="Q8" s="396" t="str">
        <f t="shared" si="154"/>
        <v/>
      </c>
      <c r="R8" s="396" t="str">
        <f t="shared" si="154"/>
        <v/>
      </c>
      <c r="S8" s="396" t="str">
        <f t="shared" si="154"/>
        <v/>
      </c>
      <c r="T8" s="396" t="str">
        <f t="shared" si="154"/>
        <v/>
      </c>
      <c r="U8" s="396" t="str">
        <f t="shared" si="154"/>
        <v/>
      </c>
      <c r="V8" s="396" t="str">
        <f t="shared" si="154"/>
        <v/>
      </c>
      <c r="W8" s="396" t="str">
        <f t="shared" si="154"/>
        <v/>
      </c>
      <c r="X8" s="396" t="str">
        <f t="shared" si="154"/>
        <v/>
      </c>
      <c r="Y8" s="396" t="str">
        <f t="shared" si="154"/>
        <v/>
      </c>
      <c r="Z8" s="396" t="str">
        <f t="shared" si="154"/>
        <v/>
      </c>
      <c r="AA8" s="396" t="str">
        <f t="shared" si="154"/>
        <v/>
      </c>
      <c r="AB8" s="396" t="str">
        <f t="shared" si="154"/>
        <v/>
      </c>
      <c r="AC8" s="396" t="str">
        <f t="shared" si="154"/>
        <v/>
      </c>
      <c r="AD8" s="396" t="str">
        <f t="shared" si="154"/>
        <v/>
      </c>
      <c r="AE8" s="396" t="str">
        <f t="shared" si="154"/>
        <v/>
      </c>
      <c r="AF8" s="396" t="str">
        <f t="shared" si="154"/>
        <v/>
      </c>
      <c r="AG8" s="396" t="str">
        <f t="shared" si="154"/>
        <v/>
      </c>
      <c r="AH8" s="396" t="str">
        <f t="shared" si="154"/>
        <v/>
      </c>
      <c r="AI8" s="396" t="str">
        <f t="shared" si="154"/>
        <v/>
      </c>
      <c r="AJ8" s="396" t="str">
        <f t="shared" si="154"/>
        <v/>
      </c>
      <c r="AK8" s="396" t="str">
        <f t="shared" si="154"/>
        <v/>
      </c>
      <c r="AL8" s="396" t="str">
        <f t="shared" si="154"/>
        <v/>
      </c>
      <c r="AM8" s="396" t="str">
        <f t="shared" si="154"/>
        <v/>
      </c>
      <c r="AN8" s="396" t="str">
        <f t="shared" si="154"/>
        <v/>
      </c>
      <c r="AO8" s="396" t="str">
        <f t="shared" si="154"/>
        <v/>
      </c>
      <c r="AP8" s="396" t="str">
        <f t="shared" si="154"/>
        <v/>
      </c>
      <c r="AQ8" s="396" t="str">
        <f t="shared" si="154"/>
        <v/>
      </c>
      <c r="AR8" s="396" t="str">
        <f t="shared" si="154"/>
        <v/>
      </c>
      <c r="AS8" s="396" t="str">
        <f t="shared" si="154"/>
        <v/>
      </c>
      <c r="AT8" s="396" t="str">
        <f t="shared" si="154"/>
        <v/>
      </c>
      <c r="AU8" s="396" t="str">
        <f t="shared" si="154"/>
        <v/>
      </c>
      <c r="AV8" s="396" t="str">
        <f t="shared" si="154"/>
        <v/>
      </c>
      <c r="AW8" s="396" t="str">
        <f t="shared" si="154"/>
        <v/>
      </c>
      <c r="AX8" s="396" t="str">
        <f t="shared" si="154"/>
        <v/>
      </c>
      <c r="AY8" s="396" t="str">
        <f t="shared" si="154"/>
        <v/>
      </c>
      <c r="AZ8" s="396" t="str">
        <f t="shared" si="154"/>
        <v/>
      </c>
      <c r="BA8" s="396" t="str">
        <f t="shared" si="154"/>
        <v/>
      </c>
      <c r="BB8" s="396" t="str">
        <f t="shared" si="154"/>
        <v/>
      </c>
      <c r="BC8" s="396" t="str">
        <f t="shared" si="154"/>
        <v/>
      </c>
      <c r="BD8" s="396" t="str">
        <f t="shared" si="154"/>
        <v/>
      </c>
      <c r="BE8" s="396" t="str">
        <f t="shared" si="154"/>
        <v/>
      </c>
      <c r="BF8" s="396" t="str">
        <f t="shared" si="154"/>
        <v/>
      </c>
      <c r="BG8" s="396" t="str">
        <f t="shared" si="154"/>
        <v/>
      </c>
      <c r="BH8" s="396" t="str">
        <f t="shared" si="154"/>
        <v/>
      </c>
      <c r="BI8" s="396" t="str">
        <f t="shared" si="154"/>
        <v/>
      </c>
      <c r="BJ8" s="396" t="str">
        <f t="shared" si="154"/>
        <v/>
      </c>
      <c r="BK8" s="396" t="str">
        <f t="shared" si="154"/>
        <v/>
      </c>
      <c r="BL8" s="396" t="str">
        <f t="shared" si="154"/>
        <v/>
      </c>
      <c r="BM8" s="396" t="str">
        <f t="shared" si="154"/>
        <v/>
      </c>
      <c r="BN8" s="396" t="str">
        <f t="shared" si="154"/>
        <v/>
      </c>
      <c r="BO8" s="396" t="str">
        <f t="shared" si="154"/>
        <v/>
      </c>
      <c r="BP8" s="396" t="str">
        <f t="shared" si="154"/>
        <v/>
      </c>
      <c r="BQ8" s="396" t="str">
        <f t="shared" si="154"/>
        <v/>
      </c>
      <c r="BR8" s="396" t="str">
        <f t="shared" si="154"/>
        <v/>
      </c>
      <c r="BS8" s="396" t="str">
        <f t="shared" si="154"/>
        <v/>
      </c>
      <c r="BT8" s="396" t="str">
        <f t="shared" ref="BT8:EE8" si="155">IFERROR(INDEX(BT$13:BT$555,MATCH($A9,$A$13:$A$555,0)),"")</f>
        <v/>
      </c>
      <c r="BU8" s="396" t="str">
        <f t="shared" si="155"/>
        <v/>
      </c>
      <c r="BV8" s="396" t="str">
        <f t="shared" si="155"/>
        <v/>
      </c>
      <c r="BW8" s="396" t="str">
        <f t="shared" si="155"/>
        <v/>
      </c>
      <c r="BX8" s="396" t="str">
        <f t="shared" si="155"/>
        <v/>
      </c>
      <c r="BY8" s="396" t="str">
        <f t="shared" si="155"/>
        <v/>
      </c>
      <c r="BZ8" s="396" t="str">
        <f t="shared" si="155"/>
        <v/>
      </c>
      <c r="CA8" s="396" t="str">
        <f t="shared" si="155"/>
        <v/>
      </c>
      <c r="CB8" s="396" t="str">
        <f t="shared" si="155"/>
        <v/>
      </c>
      <c r="CC8" s="396" t="str">
        <f t="shared" si="155"/>
        <v/>
      </c>
      <c r="CD8" s="396" t="str">
        <f t="shared" si="155"/>
        <v/>
      </c>
      <c r="CE8" s="396" t="str">
        <f t="shared" si="155"/>
        <v/>
      </c>
      <c r="CF8" s="396" t="str">
        <f t="shared" si="155"/>
        <v/>
      </c>
      <c r="CG8" s="396" t="str">
        <f t="shared" si="155"/>
        <v/>
      </c>
      <c r="CH8" s="396" t="str">
        <f t="shared" si="155"/>
        <v/>
      </c>
      <c r="CI8" s="396" t="str">
        <f t="shared" si="155"/>
        <v/>
      </c>
      <c r="CJ8" s="396" t="str">
        <f t="shared" si="155"/>
        <v/>
      </c>
      <c r="CK8" s="396" t="str">
        <f t="shared" si="155"/>
        <v/>
      </c>
      <c r="CL8" s="396" t="str">
        <f t="shared" si="155"/>
        <v/>
      </c>
      <c r="CM8" s="396" t="str">
        <f t="shared" si="155"/>
        <v/>
      </c>
      <c r="CN8" s="396" t="str">
        <f t="shared" si="155"/>
        <v/>
      </c>
      <c r="CO8" s="396" t="str">
        <f t="shared" si="155"/>
        <v/>
      </c>
      <c r="CP8" s="396" t="str">
        <f t="shared" si="155"/>
        <v/>
      </c>
      <c r="CQ8" s="396" t="str">
        <f t="shared" si="155"/>
        <v/>
      </c>
      <c r="CR8" s="396" t="str">
        <f t="shared" si="155"/>
        <v/>
      </c>
      <c r="CS8" s="396" t="str">
        <f t="shared" si="155"/>
        <v/>
      </c>
      <c r="CT8" s="396" t="str">
        <f t="shared" si="155"/>
        <v/>
      </c>
      <c r="CU8" s="396" t="str">
        <f t="shared" si="155"/>
        <v/>
      </c>
      <c r="CV8" s="396" t="str">
        <f t="shared" si="155"/>
        <v/>
      </c>
      <c r="CW8" s="396" t="str">
        <f t="shared" si="155"/>
        <v/>
      </c>
      <c r="CX8" s="396" t="str">
        <f t="shared" si="155"/>
        <v/>
      </c>
      <c r="CY8" s="396" t="str">
        <f t="shared" si="155"/>
        <v/>
      </c>
      <c r="CZ8" s="396" t="str">
        <f t="shared" si="155"/>
        <v/>
      </c>
      <c r="DA8" s="396" t="str">
        <f t="shared" si="155"/>
        <v/>
      </c>
      <c r="DB8" s="396" t="str">
        <f t="shared" si="155"/>
        <v/>
      </c>
      <c r="DC8" s="396" t="str">
        <f t="shared" si="155"/>
        <v/>
      </c>
      <c r="DD8" s="396" t="str">
        <f t="shared" si="155"/>
        <v/>
      </c>
      <c r="DE8" s="396" t="str">
        <f t="shared" si="155"/>
        <v/>
      </c>
      <c r="DF8" s="396" t="str">
        <f t="shared" si="155"/>
        <v/>
      </c>
      <c r="DG8" s="396" t="str">
        <f t="shared" si="155"/>
        <v/>
      </c>
      <c r="DH8" s="396" t="str">
        <f t="shared" si="155"/>
        <v/>
      </c>
      <c r="DI8" s="396" t="str">
        <f t="shared" si="155"/>
        <v/>
      </c>
      <c r="DJ8" s="396" t="str">
        <f t="shared" si="155"/>
        <v/>
      </c>
      <c r="DK8" s="396" t="str">
        <f t="shared" si="155"/>
        <v/>
      </c>
      <c r="DL8" s="396" t="str">
        <f t="shared" si="155"/>
        <v/>
      </c>
      <c r="DM8" s="396" t="str">
        <f t="shared" si="155"/>
        <v/>
      </c>
      <c r="DN8" s="396" t="str">
        <f t="shared" si="155"/>
        <v/>
      </c>
      <c r="DO8" s="396" t="str">
        <f t="shared" si="155"/>
        <v/>
      </c>
      <c r="DP8" s="396" t="str">
        <f t="shared" si="155"/>
        <v/>
      </c>
      <c r="DQ8" s="396" t="str">
        <f t="shared" si="155"/>
        <v/>
      </c>
      <c r="DR8" s="396" t="str">
        <f t="shared" si="155"/>
        <v/>
      </c>
      <c r="DS8" s="396" t="str">
        <f t="shared" si="155"/>
        <v/>
      </c>
      <c r="DT8" s="396" t="str">
        <f t="shared" si="155"/>
        <v/>
      </c>
      <c r="DU8" s="396" t="str">
        <f t="shared" si="155"/>
        <v/>
      </c>
      <c r="DV8" s="396" t="str">
        <f t="shared" si="155"/>
        <v/>
      </c>
      <c r="DW8" s="396" t="str">
        <f t="shared" si="155"/>
        <v/>
      </c>
      <c r="DX8" s="396" t="str">
        <f t="shared" si="155"/>
        <v/>
      </c>
      <c r="DY8" s="396" t="str">
        <f t="shared" si="155"/>
        <v/>
      </c>
      <c r="DZ8" s="396" t="str">
        <f t="shared" si="155"/>
        <v/>
      </c>
      <c r="EA8" s="396" t="str">
        <f t="shared" si="155"/>
        <v/>
      </c>
      <c r="EB8" s="396" t="str">
        <f t="shared" si="155"/>
        <v/>
      </c>
      <c r="EC8" s="396" t="str">
        <f t="shared" si="155"/>
        <v/>
      </c>
      <c r="ED8" s="396" t="str">
        <f t="shared" si="155"/>
        <v/>
      </c>
      <c r="EE8" s="396" t="str">
        <f t="shared" si="155"/>
        <v/>
      </c>
      <c r="EF8" s="396" t="str">
        <f t="shared" ref="EF8:ES8" si="156">IFERROR(INDEX(EF$13:EF$555,MATCH($A9,$A$13:$A$555,0)),"")</f>
        <v/>
      </c>
      <c r="EG8" s="396" t="str">
        <f t="shared" si="156"/>
        <v/>
      </c>
      <c r="EH8" s="396" t="str">
        <f t="shared" si="156"/>
        <v/>
      </c>
      <c r="EI8" s="396" t="str">
        <f t="shared" si="156"/>
        <v/>
      </c>
      <c r="EJ8" s="396" t="str">
        <f t="shared" si="156"/>
        <v/>
      </c>
      <c r="EK8" s="396" t="str">
        <f t="shared" si="156"/>
        <v/>
      </c>
      <c r="EL8" s="396" t="str">
        <f t="shared" si="156"/>
        <v/>
      </c>
      <c r="EM8" s="396" t="str">
        <f t="shared" si="156"/>
        <v/>
      </c>
      <c r="EN8" s="396" t="str">
        <f t="shared" si="156"/>
        <v/>
      </c>
      <c r="EO8" s="396" t="str">
        <f t="shared" si="156"/>
        <v/>
      </c>
      <c r="EP8" s="396" t="str">
        <f t="shared" si="156"/>
        <v/>
      </c>
      <c r="EQ8" s="396" t="str">
        <f t="shared" si="156"/>
        <v/>
      </c>
      <c r="ER8" s="396" t="str">
        <f t="shared" si="156"/>
        <v/>
      </c>
      <c r="ES8" s="396" t="str">
        <f t="shared" si="156"/>
        <v/>
      </c>
      <c r="ET8" s="396"/>
    </row>
    <row r="9" spans="1:245" s="251" customFormat="1" x14ac:dyDescent="0.3">
      <c r="A9" s="251" t="str">
        <f>_xlfn.CONCAT(A4,"-3")</f>
        <v>JS9001-3</v>
      </c>
      <c r="B9" s="344" t="str">
        <f t="shared" si="12"/>
        <v/>
      </c>
      <c r="C9" s="344" t="str">
        <f t="shared" ref="C9" si="157">IF(OR(C8="/",C8=0),"",IF(ISNUMBER(C8),ROUND(C8,2),C8))</f>
        <v/>
      </c>
      <c r="D9" s="344" t="str">
        <f t="shared" ref="D9" si="158">IF(OR(D8="/",D8=0),"",IF(ISNUMBER(D8),ROUND(D8,2),D8))</f>
        <v/>
      </c>
      <c r="E9" s="344" t="str">
        <f t="shared" ref="E9" si="159">IF(OR(E8="/",E8=0),"",IF(ISNUMBER(E8),ROUND(E8,2),E8))</f>
        <v/>
      </c>
      <c r="F9" s="344" t="str">
        <f t="shared" ref="F9" si="160">IF(OR(F8="/",F8=0),"",IF(ISNUMBER(F8),ROUND(F8,2),F8))</f>
        <v/>
      </c>
      <c r="G9" s="344" t="str">
        <f t="shared" ref="G9" si="161">IF(OR(G8="/",G8=0),"",IF(ISNUMBER(G8),ROUND(G8,2),G8))</f>
        <v/>
      </c>
      <c r="H9" s="344" t="str">
        <f t="shared" ref="H9" si="162">IF(OR(H8="/",H8=0),"",IF(ISNUMBER(H8),ROUND(H8,2),H8))</f>
        <v/>
      </c>
      <c r="I9" s="344" t="str">
        <f t="shared" ref="I9" si="163">IF(OR(I8="/",I8=0),"",IF(ISNUMBER(I8),ROUND(I8,2),I8))</f>
        <v/>
      </c>
      <c r="J9" s="344" t="str">
        <f t="shared" ref="J9" si="164">IF(OR(J8="/",J8=0),"",IF(ISNUMBER(J8),ROUND(J8,2),J8))</f>
        <v/>
      </c>
      <c r="K9" s="344" t="str">
        <f t="shared" ref="K9" si="165">IF(OR(K8="/",K8=0),"",IF(ISNUMBER(K8),ROUND(K8,2),K8))</f>
        <v/>
      </c>
      <c r="L9" s="344" t="str">
        <f t="shared" ref="L9" si="166">IF(OR(L8="/",L8=0),"",IF(ISNUMBER(L8),ROUND(L8,2),L8))</f>
        <v/>
      </c>
      <c r="M9" s="344" t="str">
        <f t="shared" ref="M9" si="167">IF(OR(M8="/",M8=0),"",IF(ISNUMBER(M8),ROUND(M8,2),M8))</f>
        <v/>
      </c>
      <c r="N9" s="344" t="str">
        <f t="shared" ref="N9" si="168">IF(OR(N8="/",N8=0),"",IF(ISNUMBER(N8),ROUND(N8,2),N8))</f>
        <v/>
      </c>
      <c r="O9" s="344" t="str">
        <f t="shared" ref="O9" si="169">IF(OR(O8="/",O8=0),"",IF(ISNUMBER(O8),ROUND(O8,2),O8))</f>
        <v/>
      </c>
      <c r="P9" s="344" t="str">
        <f t="shared" ref="P9" si="170">IF(OR(P8="/",P8=0),"",IF(ISNUMBER(P8),ROUND(P8,2),P8))</f>
        <v/>
      </c>
      <c r="Q9" s="344" t="str">
        <f t="shared" ref="Q9" si="171">IF(OR(Q8="/",Q8=0),"",IF(ISNUMBER(Q8),ROUND(Q8,2),Q8))</f>
        <v/>
      </c>
      <c r="R9" s="344" t="str">
        <f t="shared" ref="R9" si="172">IF(OR(R8="/",R8=0),"",IF(ISNUMBER(R8),ROUND(R8,2),R8))</f>
        <v/>
      </c>
      <c r="S9" s="344" t="str">
        <f t="shared" ref="S9" si="173">IF(OR(S8="/",S8=0),"",IF(ISNUMBER(S8),ROUND(S8,2),S8))</f>
        <v/>
      </c>
      <c r="T9" s="344" t="str">
        <f t="shared" ref="T9" si="174">IF(OR(T8="/",T8=0),"",IF(ISNUMBER(T8),ROUND(T8,2),T8))</f>
        <v/>
      </c>
      <c r="U9" s="344" t="str">
        <f t="shared" ref="U9" si="175">IF(OR(U8="/",U8=0),"",IF(ISNUMBER(U8),ROUND(U8,2),U8))</f>
        <v/>
      </c>
      <c r="V9" s="344" t="str">
        <f t="shared" ref="V9" si="176">IF(OR(V8="/",V8=0),"",IF(ISNUMBER(V8),ROUND(V8,2),V8))</f>
        <v/>
      </c>
      <c r="W9" s="344" t="str">
        <f t="shared" ref="W9" si="177">IF(OR(W8="/",W8=0),"",IF(ISNUMBER(W8),ROUND(W8,2),W8))</f>
        <v/>
      </c>
      <c r="X9" s="344" t="str">
        <f t="shared" ref="X9" si="178">IF(OR(X8="/",X8=0),"",IF(ISNUMBER(X8),ROUND(X8,2),X8))</f>
        <v/>
      </c>
      <c r="Y9" s="344" t="str">
        <f t="shared" ref="Y9" si="179">IF(OR(Y8="/",Y8=0),"",IF(ISNUMBER(Y8),ROUND(Y8,2),Y8))</f>
        <v/>
      </c>
      <c r="Z9" s="344" t="str">
        <f t="shared" ref="Z9" si="180">IF(OR(Z8="/",Z8=0),"",IF(ISNUMBER(Z8),ROUND(Z8,2),Z8))</f>
        <v/>
      </c>
      <c r="AA9" s="344" t="str">
        <f t="shared" ref="AA9" si="181">IF(OR(AA8="/",AA8=0),"",IF(ISNUMBER(AA8),ROUND(AA8,2),AA8))</f>
        <v/>
      </c>
      <c r="AB9" s="344" t="str">
        <f t="shared" ref="AB9" si="182">IF(OR(AB8="/",AB8=0),"",IF(ISNUMBER(AB8),ROUND(AB8,2),AB8))</f>
        <v/>
      </c>
      <c r="AC9" s="344" t="str">
        <f t="shared" ref="AC9" si="183">IF(OR(AC8="/",AC8=0),"",IF(ISNUMBER(AC8),ROUND(AC8,2),AC8))</f>
        <v/>
      </c>
      <c r="AD9" s="344" t="str">
        <f t="shared" ref="AD9" si="184">IF(OR(AD8="/",AD8=0),"",IF(ISNUMBER(AD8),ROUND(AD8,2),AD8))</f>
        <v/>
      </c>
      <c r="AE9" s="344" t="str">
        <f t="shared" ref="AE9" si="185">IF(OR(AE8="/",AE8=0),"",IF(ISNUMBER(AE8),ROUND(AE8,2),AE8))</f>
        <v/>
      </c>
      <c r="AF9" s="344" t="str">
        <f t="shared" ref="AF9" si="186">IF(OR(AF8="/",AF8=0),"",IF(ISNUMBER(AF8),ROUND(AF8,2),AF8))</f>
        <v/>
      </c>
      <c r="AG9" s="344" t="str">
        <f t="shared" ref="AG9" si="187">IF(OR(AG8="/",AG8=0),"",IF(ISNUMBER(AG8),ROUND(AG8,2),AG8))</f>
        <v/>
      </c>
      <c r="AH9" s="344" t="str">
        <f t="shared" ref="AH9" si="188">IF(OR(AH8="/",AH8=0),"",IF(ISNUMBER(AH8),ROUND(AH8,2),AH8))</f>
        <v/>
      </c>
      <c r="AI9" s="344" t="str">
        <f t="shared" ref="AI9" si="189">IF(OR(AI8="/",AI8=0),"",IF(ISNUMBER(AI8),ROUND(AI8,2),AI8))</f>
        <v/>
      </c>
      <c r="AJ9" s="344" t="str">
        <f t="shared" ref="AJ9" si="190">IF(OR(AJ8="/",AJ8=0),"",IF(ISNUMBER(AJ8),ROUND(AJ8,2),AJ8))</f>
        <v/>
      </c>
      <c r="AK9" s="344" t="str">
        <f t="shared" ref="AK9" si="191">IF(OR(AK8="/",AK8=0),"",IF(ISNUMBER(AK8),ROUND(AK8,2),AK8))</f>
        <v/>
      </c>
      <c r="AL9" s="344" t="str">
        <f t="shared" ref="AL9" si="192">IF(OR(AL8="/",AL8=0),"",IF(ISNUMBER(AL8),ROUND(AL8,2),AL8))</f>
        <v/>
      </c>
      <c r="AM9" s="344" t="str">
        <f t="shared" ref="AM9" si="193">IF(OR(AM8="/",AM8=0),"",IF(ISNUMBER(AM8),ROUND(AM8,2),AM8))</f>
        <v/>
      </c>
      <c r="AN9" s="344" t="str">
        <f t="shared" ref="AN9" si="194">IF(OR(AN8="/",AN8=0),"",IF(ISNUMBER(AN8),ROUND(AN8,2),AN8))</f>
        <v/>
      </c>
      <c r="AO9" s="344" t="str">
        <f t="shared" ref="AO9" si="195">IF(OR(AO8="/",AO8=0),"",IF(ISNUMBER(AO8),ROUND(AO8,2),AO8))</f>
        <v/>
      </c>
      <c r="AP9" s="344" t="str">
        <f t="shared" ref="AP9" si="196">IF(OR(AP8="/",AP8=0),"",IF(ISNUMBER(AP8),ROUND(AP8,2),AP8))</f>
        <v/>
      </c>
      <c r="AQ9" s="344" t="str">
        <f t="shared" ref="AQ9" si="197">IF(OR(AQ8="/",AQ8=0),"",IF(ISNUMBER(AQ8),ROUND(AQ8,2),AQ8))</f>
        <v/>
      </c>
      <c r="AR9" s="344" t="str">
        <f t="shared" ref="AR9" si="198">IF(OR(AR8="/",AR8=0),"",IF(ISNUMBER(AR8),ROUND(AR8,2),AR8))</f>
        <v/>
      </c>
      <c r="AS9" s="344" t="str">
        <f t="shared" ref="AS9" si="199">IF(OR(AS8="/",AS8=0),"",IF(ISNUMBER(AS8),ROUND(AS8,2),AS8))</f>
        <v/>
      </c>
      <c r="AT9" s="344" t="str">
        <f t="shared" ref="AT9" si="200">IF(OR(AT8="/",AT8=0),"",IF(ISNUMBER(AT8),ROUND(AT8,2),AT8))</f>
        <v/>
      </c>
      <c r="AU9" s="344" t="str">
        <f t="shared" ref="AU9" si="201">IF(OR(AU8="/",AU8=0),"",IF(ISNUMBER(AU8),ROUND(AU8,2),AU8))</f>
        <v/>
      </c>
      <c r="AV9" s="344"/>
      <c r="AW9" s="344"/>
      <c r="AX9" s="344"/>
      <c r="AY9" s="344"/>
      <c r="AZ9" s="344"/>
      <c r="BA9" s="344"/>
      <c r="BB9" s="344" t="str">
        <f t="shared" ref="BB9" si="202">IF(OR(BB8="/",BB8=0),"",IF(ISNUMBER(BB8),ROUND(BB8,2),BB8))</f>
        <v/>
      </c>
      <c r="BC9" s="344" t="str">
        <f t="shared" ref="BC9" si="203">IF(OR(BC8="/",BC8=0),"",IF(ISNUMBER(BC8),ROUND(BC8,2),BC8))</f>
        <v/>
      </c>
      <c r="BD9" s="344" t="str">
        <f t="shared" ref="BD9" si="204">IF(OR(BD8="/",BD8=0),"",IF(ISNUMBER(BD8),ROUND(BD8,2),BD8))</f>
        <v/>
      </c>
      <c r="BE9" s="344" t="str">
        <f t="shared" ref="BE9" si="205">IF(OR(BE8="/",BE8=0),"",IF(ISNUMBER(BE8),ROUND(BE8,2),BE8))</f>
        <v/>
      </c>
      <c r="BF9" s="344" t="str">
        <f t="shared" ref="BF9" si="206">IF(OR(BF8="/",BF8=0),"",IF(ISNUMBER(BF8),ROUND(BF8,2),BF8))</f>
        <v/>
      </c>
      <c r="BG9" s="344" t="str">
        <f t="shared" ref="BG9" si="207">IF(OR(BG8="/",BG8=0),"",IF(ISNUMBER(BG8),ROUND(BG8,2),BG8))</f>
        <v/>
      </c>
      <c r="BH9" s="344" t="str">
        <f t="shared" ref="BH9" si="208">IF(OR(BH8="/",BH8=0),"",IF(ISNUMBER(BH8),ROUND(BH8,2),BH8))</f>
        <v/>
      </c>
      <c r="BI9" s="344" t="str">
        <f t="shared" ref="BI9" si="209">IF(OR(BI8="/",BI8=0),"",IF(ISNUMBER(BI8),ROUND(BI8,2),BI8))</f>
        <v/>
      </c>
      <c r="BJ9" s="344" t="str">
        <f t="shared" ref="BJ9" si="210">IF(OR(BJ8="/",BJ8=0),"",IF(ISNUMBER(BJ8),ROUND(BJ8,2),BJ8))</f>
        <v/>
      </c>
      <c r="BK9" s="344" t="str">
        <f t="shared" ref="BK9" si="211">IF(OR(BK8="/",BK8=0),"",IF(ISNUMBER(BK8),ROUND(BK8,2),BK8))</f>
        <v/>
      </c>
      <c r="BL9" s="344" t="str">
        <f t="shared" ref="BL9" si="212">IF(OR(BL8="/",BL8=0),"",IF(ISNUMBER(BL8),ROUND(BL8,2),BL8))</f>
        <v/>
      </c>
      <c r="BM9" s="344" t="str">
        <f t="shared" ref="BM9" si="213">IF(OR(BM8="/",BM8=0),"",IF(ISNUMBER(BM8),ROUND(BM8,2),BM8))</f>
        <v/>
      </c>
      <c r="BN9" s="344" t="str">
        <f t="shared" ref="BN9" si="214">IF(OR(BN8="/",BN8=0),"",IF(ISNUMBER(BN8),ROUND(BN8,2),BN8))</f>
        <v/>
      </c>
      <c r="BO9" s="344" t="str">
        <f t="shared" ref="BO9" si="215">IF(OR(BO8="/",BO8=0),"",IF(ISNUMBER(BO8),ROUND(BO8,2),BO8))</f>
        <v/>
      </c>
      <c r="BP9" s="344" t="str">
        <f t="shared" ref="BP9" si="216">IF(OR(BP8="/",BP8=0),"",IF(ISNUMBER(BP8),ROUND(BP8,2),BP8))</f>
        <v/>
      </c>
      <c r="BQ9" s="344" t="str">
        <f t="shared" ref="BQ9" si="217">IF(OR(BQ8="/",BQ8=0),"",IF(ISNUMBER(BQ8),ROUND(BQ8,2),BQ8))</f>
        <v/>
      </c>
      <c r="BR9" s="344" t="str">
        <f t="shared" ref="BR9" si="218">IF(OR(BR8="/",BR8=0),"",IF(ISNUMBER(BR8),ROUND(BR8,2),BR8))</f>
        <v/>
      </c>
      <c r="BS9" s="344" t="str">
        <f t="shared" ref="BS9" si="219">IF(OR(BS8="/",BS8=0),"",IF(ISNUMBER(BS8),ROUND(BS8,2),BS8))</f>
        <v/>
      </c>
      <c r="BT9" s="344" t="str">
        <f t="shared" ref="BT9" si="220">IF(OR(BT8="/",BT8=0),"",IF(ISNUMBER(BT8),ROUND(BT8,2),BT8))</f>
        <v/>
      </c>
      <c r="BU9" s="344" t="str">
        <f t="shared" ref="BU9" si="221">IF(OR(BU8="/",BU8=0),"",IF(ISNUMBER(BU8),ROUND(BU8,2),BU8))</f>
        <v/>
      </c>
      <c r="BV9" s="344" t="str">
        <f t="shared" ref="BV9" si="222">IF(OR(BV8="/",BV8=0),"",IF(ISNUMBER(BV8),ROUND(BV8,2),BV8))</f>
        <v/>
      </c>
      <c r="BW9" s="344" t="str">
        <f t="shared" ref="BW9" si="223">IF(OR(BW8="/",BW8=0),"",IF(ISNUMBER(BW8),ROUND(BW8,2),BW8))</f>
        <v/>
      </c>
      <c r="BX9" s="344" t="str">
        <f t="shared" ref="BX9" si="224">IF(OR(BX8="/",BX8=0),"",IF(ISNUMBER(BX8),ROUND(BX8,2),BX8))</f>
        <v/>
      </c>
      <c r="BY9" s="344" t="str">
        <f t="shared" ref="BY9" si="225">IF(OR(BY8="/",BY8=0),"",IF(ISNUMBER(BY8),ROUND(BY8,2),BY8))</f>
        <v/>
      </c>
      <c r="BZ9" s="344" t="str">
        <f t="shared" ref="BZ9" si="226">IF(OR(BZ8="/",BZ8=0),"",IF(ISNUMBER(BZ8),ROUND(BZ8,2),BZ8))</f>
        <v/>
      </c>
      <c r="CA9" s="344" t="str">
        <f t="shared" ref="CA9" si="227">IF(OR(CA8="/",CA8=0),"",IF(ISNUMBER(CA8),ROUND(CA8,2),CA8))</f>
        <v/>
      </c>
      <c r="CB9" s="344" t="str">
        <f t="shared" ref="CB9" si="228">IF(OR(CB8="/",CB8=0),"",IF(ISNUMBER(CB8),ROUND(CB8,2),CB8))</f>
        <v/>
      </c>
      <c r="CC9" s="344" t="str">
        <f t="shared" ref="CC9" si="229">IF(OR(CC8="/",CC8=0),"",IF(ISNUMBER(CC8),ROUND(CC8,2),CC8))</f>
        <v/>
      </c>
      <c r="CD9" s="344" t="str">
        <f t="shared" ref="CD9" si="230">IF(OR(CD8="/",CD8=0),"",IF(ISNUMBER(CD8),ROUND(CD8,2),CD8))</f>
        <v/>
      </c>
      <c r="CE9" s="344" t="str">
        <f t="shared" ref="CE9" si="231">IF(OR(CE8="/",CE8=0),"",IF(ISNUMBER(CE8),ROUND(CE8,2),CE8))</f>
        <v/>
      </c>
      <c r="CF9" s="344" t="str">
        <f t="shared" ref="CF9" si="232">IF(OR(CF8="/",CF8=0),"",IF(ISNUMBER(CF8),ROUND(CF8,2),CF8))</f>
        <v/>
      </c>
      <c r="CG9" s="344" t="str">
        <f t="shared" ref="CG9" si="233">IF(OR(CG8="/",CG8=0),"",IF(ISNUMBER(CG8),ROUND(CG8,2),CG8))</f>
        <v/>
      </c>
      <c r="CH9" s="344" t="str">
        <f t="shared" ref="CH9" si="234">IF(OR(CH8="/",CH8=0),"",IF(ISNUMBER(CH8),ROUND(CH8,2),CH8))</f>
        <v/>
      </c>
      <c r="CI9" s="344" t="str">
        <f t="shared" ref="CI9" si="235">IF(OR(CI8="/",CI8=0),"",IF(ISNUMBER(CI8),ROUND(CI8,2),CI8))</f>
        <v/>
      </c>
      <c r="CJ9" s="344" t="str">
        <f t="shared" ref="CJ9" si="236">IF(OR(CJ8="/",CJ8=0),"",IF(ISNUMBER(CJ8),ROUND(CJ8,2),CJ8))</f>
        <v/>
      </c>
      <c r="CK9" s="344" t="str">
        <f t="shared" ref="CK9" si="237">IF(OR(CK8="/",CK8=0),"",IF(ISNUMBER(CK8),ROUND(CK8,2),CK8))</f>
        <v/>
      </c>
      <c r="CL9" s="344" t="str">
        <f t="shared" ref="CL9" si="238">IF(OR(CL8="/",CL8=0),"",IF(ISNUMBER(CL8),ROUND(CL8,2),CL8))</f>
        <v/>
      </c>
      <c r="CM9" s="344" t="str">
        <f t="shared" ref="CM9" si="239">IF(OR(CM8="/",CM8=0),"",IF(ISNUMBER(CM8),ROUND(CM8,2),CM8))</f>
        <v/>
      </c>
      <c r="CN9" s="344" t="str">
        <f t="shared" ref="CN9" si="240">IF(OR(CN8="/",CN8=0),"",IF(ISNUMBER(CN8),ROUND(CN8,2),CN8))</f>
        <v/>
      </c>
      <c r="CO9" s="344" t="str">
        <f t="shared" ref="CO9" si="241">IF(OR(CO8="/",CO8=0),"",IF(ISNUMBER(CO8),ROUND(CO8,2),CO8))</f>
        <v/>
      </c>
      <c r="CP9" s="344" t="str">
        <f t="shared" ref="CP9" si="242">IF(OR(CP8="/",CP8=0),"",IF(ISNUMBER(CP8),ROUND(CP8,2),CP8))</f>
        <v/>
      </c>
      <c r="CQ9" s="344" t="str">
        <f t="shared" ref="CQ9" si="243">IF(OR(CQ8="/",CQ8=0),"",IF(ISNUMBER(CQ8),ROUND(CQ8,2),CQ8))</f>
        <v/>
      </c>
      <c r="CR9" s="344" t="str">
        <f t="shared" ref="CR9" si="244">IF(OR(CR8="/",CR8=0),"",IF(ISNUMBER(CR8),ROUND(CR8,2),CR8))</f>
        <v/>
      </c>
      <c r="CS9" s="344" t="str">
        <f t="shared" ref="CS9" si="245">IF(OR(CS8="/",CS8=0),"",IF(ISNUMBER(CS8),ROUND(CS8,2),CS8))</f>
        <v/>
      </c>
      <c r="CT9" s="344" t="str">
        <f t="shared" ref="CT9" si="246">IF(OR(CT8="/",CT8=0),"",IF(ISNUMBER(CT8),ROUND(CT8,2),CT8))</f>
        <v/>
      </c>
      <c r="CU9" s="344" t="str">
        <f t="shared" ref="CU9" si="247">IF(OR(CU8="/",CU8=0),"",IF(ISNUMBER(CU8),ROUND(CU8,2),CU8))</f>
        <v/>
      </c>
      <c r="CV9" s="344" t="str">
        <f t="shared" ref="CV9" si="248">IF(OR(CV8="/",CV8=0),"",IF(ISNUMBER(CV8),ROUND(CV8,2),CV8))</f>
        <v/>
      </c>
      <c r="CW9" s="344" t="str">
        <f t="shared" ref="CW9" si="249">IF(OR(CW8="/",CW8=0),"",IF(ISNUMBER(CW8),ROUND(CW8,2),CW8))</f>
        <v/>
      </c>
      <c r="CX9" s="344" t="str">
        <f t="shared" ref="CX9" si="250">IF(OR(CX8="/",CX8=0),"",IF(ISNUMBER(CX8),ROUND(CX8,2),CX8))</f>
        <v/>
      </c>
      <c r="CY9" s="344" t="str">
        <f t="shared" ref="CY9" si="251">IF(OR(CY8="/",CY8=0),"",IF(ISNUMBER(CY8),ROUND(CY8,2),CY8))</f>
        <v/>
      </c>
      <c r="CZ9" s="344" t="str">
        <f t="shared" ref="CZ9" si="252">IF(OR(CZ8="/",CZ8=0),"",IF(ISNUMBER(CZ8),ROUND(CZ8,2),CZ8))</f>
        <v/>
      </c>
      <c r="DA9" s="344" t="str">
        <f t="shared" ref="DA9" si="253">IF(OR(DA8="/",DA8=0),"",IF(ISNUMBER(DA8),ROUND(DA8,2),DA8))</f>
        <v/>
      </c>
      <c r="DB9" s="344" t="str">
        <f t="shared" ref="DB9" si="254">IF(OR(DB8="/",DB8=0),"",IF(ISNUMBER(DB8),ROUND(DB8,2),DB8))</f>
        <v/>
      </c>
      <c r="DC9" s="344" t="str">
        <f t="shared" ref="DC9" si="255">IF(OR(DC8="/",DC8=0),"",IF(ISNUMBER(DC8),ROUND(DC8,2),DC8))</f>
        <v/>
      </c>
      <c r="DD9" s="344" t="str">
        <f t="shared" ref="DD9" si="256">IF(OR(DD8="/",DD8=0),"",IF(ISNUMBER(DD8),ROUND(DD8,2),DD8))</f>
        <v/>
      </c>
      <c r="DE9" s="344" t="str">
        <f t="shared" ref="DE9" si="257">IF(OR(DE8="/",DE8=0),"",IF(ISNUMBER(DE8),ROUND(DE8,2),DE8))</f>
        <v/>
      </c>
      <c r="DF9" s="344" t="str">
        <f t="shared" ref="DF9" si="258">IF(OR(DF8="/",DF8=0),"",IF(ISNUMBER(DF8),ROUND(DF8,2),DF8))</f>
        <v/>
      </c>
      <c r="DG9" s="344" t="str">
        <f t="shared" ref="DG9" si="259">IF(OR(DG8="/",DG8=0),"",IF(ISNUMBER(DG8),ROUND(DG8,2),DG8))</f>
        <v/>
      </c>
      <c r="DH9" s="344" t="str">
        <f t="shared" ref="DH9" si="260">IF(OR(DH8="/",DH8=0),"",IF(ISNUMBER(DH8),ROUND(DH8,2),DH8))</f>
        <v/>
      </c>
      <c r="DI9" s="344" t="str">
        <f t="shared" ref="DI9" si="261">IF(OR(DI8="/",DI8=0),"",IF(ISNUMBER(DI8),ROUND(DI8,2),DI8))</f>
        <v/>
      </c>
      <c r="DJ9" s="344" t="str">
        <f t="shared" ref="DJ9" si="262">IF(OR(DJ8="/",DJ8=0),"",IF(ISNUMBER(DJ8),ROUND(DJ8,2),DJ8))</f>
        <v/>
      </c>
      <c r="DK9" s="344" t="str">
        <f t="shared" ref="DK9" si="263">IF(OR(DK8="/",DK8=0),"",IF(ISNUMBER(DK8),ROUND(DK8,2),DK8))</f>
        <v/>
      </c>
      <c r="DL9" s="344" t="str">
        <f t="shared" ref="DL9" si="264">IF(OR(DL8="/",DL8=0),"",IF(ISNUMBER(DL8),ROUND(DL8,2),DL8))</f>
        <v/>
      </c>
      <c r="DM9" s="344" t="str">
        <f t="shared" ref="DM9" si="265">IF(OR(DM8="/",DM8=0),"",IF(ISNUMBER(DM8),ROUND(DM8,2),DM8))</f>
        <v/>
      </c>
      <c r="DN9" s="344" t="str">
        <f t="shared" ref="DN9" si="266">IF(OR(DN8="/",DN8=0),"",IF(ISNUMBER(DN8),ROUND(DN8,2),DN8))</f>
        <v/>
      </c>
      <c r="DO9" s="344" t="str">
        <f t="shared" ref="DO9" si="267">IF(OR(DO8="/",DO8=0),"",IF(ISNUMBER(DO8),ROUND(DO8,2),DO8))</f>
        <v/>
      </c>
      <c r="DP9" s="344" t="str">
        <f t="shared" ref="DP9" si="268">IF(OR(DP8="/",DP8=0),"",IF(ISNUMBER(DP8),ROUND(DP8,2),DP8))</f>
        <v/>
      </c>
      <c r="DQ9" s="344" t="str">
        <f t="shared" ref="DQ9" si="269">IF(OR(DQ8="/",DQ8=0),"",IF(ISNUMBER(DQ8),ROUND(DQ8,2),DQ8))</f>
        <v/>
      </c>
      <c r="DR9" s="344" t="str">
        <f t="shared" ref="DR9" si="270">IF(OR(DR8="/",DR8=0),"",IF(ISNUMBER(DR8),ROUND(DR8,2),DR8))</f>
        <v/>
      </c>
      <c r="DS9" s="344" t="str">
        <f t="shared" ref="DS9" si="271">IF(OR(DS8="/",DS8=0),"",IF(ISNUMBER(DS8),ROUND(DS8,2),DS8))</f>
        <v/>
      </c>
      <c r="DT9" s="344" t="str">
        <f t="shared" ref="DT9" si="272">IF(OR(DT8="/",DT8=0),"",IF(ISNUMBER(DT8),ROUND(DT8,2),DT8))</f>
        <v/>
      </c>
      <c r="DU9" s="344" t="str">
        <f t="shared" ref="DU9" si="273">IF(OR(DU8="/",DU8=0),"",IF(ISNUMBER(DU8),ROUND(DU8,2),DU8))</f>
        <v/>
      </c>
      <c r="DV9" s="344" t="str">
        <f t="shared" ref="DV9" si="274">IF(OR(DV8="/",DV8=0),"",IF(ISNUMBER(DV8),ROUND(DV8,2),DV8))</f>
        <v/>
      </c>
      <c r="DW9" s="344" t="str">
        <f t="shared" ref="DW9" si="275">IF(OR(DW8="/",DW8=0),"",IF(ISNUMBER(DW8),ROUND(DW8,2),DW8))</f>
        <v/>
      </c>
      <c r="DX9" s="344" t="str">
        <f t="shared" ref="DX9" si="276">IF(OR(DX8="/",DX8=0),"",IF(ISNUMBER(DX8),ROUND(DX8,2),DX8))</f>
        <v/>
      </c>
      <c r="DY9" s="344" t="str">
        <f t="shared" ref="DY9" si="277">IF(OR(DY8="/",DY8=0),"",IF(ISNUMBER(DY8),ROUND(DY8,2),DY8))</f>
        <v/>
      </c>
      <c r="DZ9" s="344" t="str">
        <f t="shared" ref="DZ9" si="278">IF(OR(DZ8="/",DZ8=0),"",IF(ISNUMBER(DZ8),ROUND(DZ8,2),DZ8))</f>
        <v/>
      </c>
      <c r="EA9" s="344" t="str">
        <f t="shared" ref="EA9" si="279">IF(OR(EA8="/",EA8=0),"",IF(ISNUMBER(EA8),ROUND(EA8,2),EA8))</f>
        <v/>
      </c>
      <c r="EB9" s="344" t="str">
        <f t="shared" ref="EB9" si="280">IF(OR(EB8="/",EB8=0),"",IF(ISNUMBER(EB8),ROUND(EB8,2),EB8))</f>
        <v/>
      </c>
      <c r="EC9" s="344" t="str">
        <f t="shared" ref="EC9" si="281">IF(OR(EC8="/",EC8=0),"",IF(ISNUMBER(EC8),ROUND(EC8,2),EC8))</f>
        <v/>
      </c>
      <c r="ED9" s="344" t="str">
        <f t="shared" ref="ED9" si="282">IF(OR(ED8="/",ED8=0),"",IF(ISNUMBER(ED8),ROUND(ED8,2),ED8))</f>
        <v/>
      </c>
      <c r="EE9" s="344" t="str">
        <f t="shared" ref="EE9" si="283">IF(OR(EE8="/",EE8=0),"",IF(ISNUMBER(EE8),ROUND(EE8,2),EE8))</f>
        <v/>
      </c>
      <c r="EF9" s="344" t="str">
        <f t="shared" ref="EF9" si="284">IF(OR(EF8="/",EF8=0),"",IF(ISNUMBER(EF8),ROUND(EF8,2),EF8))</f>
        <v/>
      </c>
      <c r="EG9" s="344" t="str">
        <f t="shared" ref="EG9" si="285">IF(OR(EG8="/",EG8=0),"",IF(ISNUMBER(EG8),ROUND(EG8,2),EG8))</f>
        <v/>
      </c>
      <c r="EH9" s="344" t="str">
        <f t="shared" ref="EH9" si="286">IF(OR(EH8="/",EH8=0),"",IF(ISNUMBER(EH8),ROUND(EH8,2),EH8))</f>
        <v/>
      </c>
      <c r="EI9" s="344" t="str">
        <f t="shared" ref="EI9" si="287">IF(OR(EI8="/",EI8=0),"",IF(ISNUMBER(EI8),ROUND(EI8,2),EI8))</f>
        <v/>
      </c>
      <c r="EJ9" s="344" t="str">
        <f t="shared" ref="EJ9" si="288">IF(OR(EJ8="/",EJ8=0),"",IF(ISNUMBER(EJ8),ROUND(EJ8,2),EJ8))</f>
        <v/>
      </c>
      <c r="EK9" s="344" t="str">
        <f t="shared" ref="EK9" si="289">IF(OR(EK8="/",EK8=0),"",IF(ISNUMBER(EK8),ROUND(EK8,2),EK8))</f>
        <v/>
      </c>
      <c r="EL9" s="344" t="str">
        <f t="shared" ref="EL9" si="290">IF(OR(EL8="/",EL8=0),"",IF(ISNUMBER(EL8),ROUND(EL8,2),EL8))</f>
        <v/>
      </c>
      <c r="EM9" s="344" t="str">
        <f t="shared" ref="EM9" si="291">IF(OR(EM8="/",EM8=0),"",IF(ISNUMBER(EM8),ROUND(EM8,2),EM8))</f>
        <v/>
      </c>
      <c r="EN9" s="344" t="str">
        <f t="shared" ref="EN9" si="292">IF(OR(EN8="/",EN8=0),"",IF(ISNUMBER(EN8),ROUND(EN8,2),EN8))</f>
        <v/>
      </c>
      <c r="EO9" s="344" t="str">
        <f t="shared" ref="EO9" si="293">IF(OR(EO8="/",EO8=0),"",IF(ISNUMBER(EO8),ROUND(EO8,2),EO8))</f>
        <v/>
      </c>
      <c r="EP9" s="344" t="str">
        <f t="shared" ref="EP9" si="294">IF(OR(EP8="/",EP8=0),"",IF(ISNUMBER(EP8),ROUND(EP8,2),EP8))</f>
        <v/>
      </c>
      <c r="EQ9" s="344" t="str">
        <f t="shared" ref="EQ9" si="295">IF(OR(EQ8="/",EQ8=0),"",IF(ISNUMBER(EQ8),ROUND(EQ8,2),EQ8))</f>
        <v/>
      </c>
      <c r="ER9" s="344" t="str">
        <f t="shared" ref="ER9" si="296">IF(OR(ER8="/",ER8=0),"",IF(ISNUMBER(ER8),ROUND(ER8,2),ER8))</f>
        <v/>
      </c>
      <c r="ES9" s="344" t="str">
        <f t="shared" ref="ES9" si="297">IF(OR(ES8="/",ES8=0),"",IF(ISNUMBER(ES8),ROUND(ES8,2),ES8))</f>
        <v/>
      </c>
      <c r="ET9" s="344"/>
    </row>
    <row r="12" spans="1:245" s="11" customFormat="1" ht="13.95" customHeight="1" x14ac:dyDescent="0.3">
      <c r="A12" s="11" t="s">
        <v>1942</v>
      </c>
      <c r="B12" s="11" t="s">
        <v>2029</v>
      </c>
      <c r="C12" s="11" t="s">
        <v>1943</v>
      </c>
      <c r="D12" s="11" t="s">
        <v>1996</v>
      </c>
      <c r="E12" s="11" t="s">
        <v>1945</v>
      </c>
      <c r="F12" s="11" t="s">
        <v>2035</v>
      </c>
      <c r="G12" s="11" t="s">
        <v>1946</v>
      </c>
      <c r="H12" s="11" t="s">
        <v>1947</v>
      </c>
      <c r="I12" s="11" t="s">
        <v>2031</v>
      </c>
      <c r="J12" s="11" t="s">
        <v>2032</v>
      </c>
      <c r="K12" s="11" t="s">
        <v>2033</v>
      </c>
      <c r="L12" s="11" t="s">
        <v>2034</v>
      </c>
      <c r="M12" s="11" t="s">
        <v>2957</v>
      </c>
      <c r="N12" s="254"/>
      <c r="O12" s="254"/>
      <c r="P12" s="254"/>
      <c r="Q12" s="254"/>
      <c r="R12" s="254"/>
      <c r="S12" s="254"/>
      <c r="T12" s="11" t="s">
        <v>1970</v>
      </c>
      <c r="U12" s="11" t="s">
        <v>2145</v>
      </c>
      <c r="V12" s="254"/>
      <c r="W12" s="254" t="s">
        <v>3044</v>
      </c>
      <c r="X12" s="351" t="s">
        <v>1950</v>
      </c>
      <c r="Y12" s="351" t="s">
        <v>3533</v>
      </c>
      <c r="Z12" s="351" t="s">
        <v>2541</v>
      </c>
      <c r="AA12" s="11" t="s">
        <v>2146</v>
      </c>
      <c r="AB12" s="11" t="s">
        <v>2699</v>
      </c>
      <c r="AC12" s="11" t="s">
        <v>2700</v>
      </c>
      <c r="AD12" s="11" t="s">
        <v>2036</v>
      </c>
      <c r="AE12" s="11" t="s">
        <v>2037</v>
      </c>
      <c r="AF12" s="11" t="s">
        <v>2038</v>
      </c>
      <c r="AG12" s="11" t="s">
        <v>2039</v>
      </c>
      <c r="AH12" s="11" t="s">
        <v>2040</v>
      </c>
      <c r="AI12" s="11" t="s">
        <v>2785</v>
      </c>
      <c r="AJ12" s="11" t="s">
        <v>2041</v>
      </c>
      <c r="AK12" s="11" t="s">
        <v>2042</v>
      </c>
      <c r="AL12" s="11" t="s">
        <v>2043</v>
      </c>
      <c r="AM12" s="11" t="s">
        <v>2044</v>
      </c>
      <c r="AN12" s="11" t="s">
        <v>2045</v>
      </c>
      <c r="AO12" s="11" t="s">
        <v>2944</v>
      </c>
      <c r="AP12" s="254" t="s">
        <v>3033</v>
      </c>
      <c r="AQ12" s="351" t="s">
        <v>3547</v>
      </c>
      <c r="AR12" s="11" t="s">
        <v>2046</v>
      </c>
      <c r="AS12" s="11" t="s">
        <v>2047</v>
      </c>
      <c r="AT12" s="11" t="s">
        <v>2048</v>
      </c>
      <c r="AU12" s="11" t="s">
        <v>2973</v>
      </c>
      <c r="AV12" s="351" t="s">
        <v>3714</v>
      </c>
      <c r="AW12" s="351" t="s">
        <v>3715</v>
      </c>
      <c r="AX12" s="351" t="s">
        <v>3716</v>
      </c>
      <c r="AY12" s="351" t="s">
        <v>3717</v>
      </c>
      <c r="AZ12" s="351" t="s">
        <v>3718</v>
      </c>
      <c r="BA12" s="351" t="s">
        <v>3719</v>
      </c>
      <c r="BB12" s="11" t="s">
        <v>2049</v>
      </c>
      <c r="BC12" s="11" t="s">
        <v>2050</v>
      </c>
      <c r="BD12" s="11" t="s">
        <v>2051</v>
      </c>
      <c r="BE12" s="11" t="s">
        <v>2052</v>
      </c>
      <c r="BF12" s="11" t="s">
        <v>2053</v>
      </c>
      <c r="BG12" s="11" t="s">
        <v>2054</v>
      </c>
      <c r="BH12" s="11" t="s">
        <v>2055</v>
      </c>
      <c r="BI12" s="11" t="s">
        <v>2056</v>
      </c>
      <c r="BJ12" s="11" t="s">
        <v>2057</v>
      </c>
      <c r="BK12" s="11" t="s">
        <v>2058</v>
      </c>
      <c r="BL12" s="11" t="s">
        <v>2059</v>
      </c>
      <c r="BM12" s="11" t="s">
        <v>2060</v>
      </c>
      <c r="BN12" s="11" t="s">
        <v>2061</v>
      </c>
      <c r="BO12" s="11" t="s">
        <v>2062</v>
      </c>
      <c r="BP12" s="11" t="s">
        <v>2063</v>
      </c>
      <c r="BQ12" s="11" t="s">
        <v>2064</v>
      </c>
      <c r="BR12" s="11" t="s">
        <v>2065</v>
      </c>
      <c r="BS12" s="11" t="s">
        <v>2066</v>
      </c>
      <c r="BT12" s="11" t="s">
        <v>2067</v>
      </c>
      <c r="BU12" s="11" t="s">
        <v>2068</v>
      </c>
      <c r="BV12" s="11" t="s">
        <v>2069</v>
      </c>
      <c r="BW12" s="11" t="s">
        <v>2070</v>
      </c>
      <c r="BX12" s="11" t="s">
        <v>2071</v>
      </c>
      <c r="BY12" s="11" t="s">
        <v>2072</v>
      </c>
      <c r="BZ12" s="11" t="s">
        <v>2147</v>
      </c>
      <c r="CA12" s="11" t="s">
        <v>2074</v>
      </c>
      <c r="CB12" s="11" t="s">
        <v>2075</v>
      </c>
      <c r="CC12" s="11" t="s">
        <v>2076</v>
      </c>
      <c r="CD12" s="11" t="s">
        <v>2077</v>
      </c>
      <c r="CE12" s="11" t="s">
        <v>2078</v>
      </c>
      <c r="CF12" s="11" t="s">
        <v>2079</v>
      </c>
      <c r="CG12" s="11" t="s">
        <v>2080</v>
      </c>
      <c r="CH12" s="11" t="s">
        <v>2081</v>
      </c>
      <c r="CI12" s="11" t="s">
        <v>2082</v>
      </c>
      <c r="CJ12" s="11" t="s">
        <v>2083</v>
      </c>
      <c r="CK12" s="11" t="s">
        <v>2084</v>
      </c>
      <c r="CL12" s="11" t="s">
        <v>2085</v>
      </c>
      <c r="CM12" s="11" t="s">
        <v>2086</v>
      </c>
      <c r="CN12" s="11" t="s">
        <v>2087</v>
      </c>
      <c r="CO12" s="11" t="s">
        <v>2088</v>
      </c>
      <c r="CP12" s="11" t="s">
        <v>2089</v>
      </c>
      <c r="CQ12" s="11" t="s">
        <v>2090</v>
      </c>
      <c r="CR12" s="11" t="s">
        <v>2091</v>
      </c>
      <c r="CS12" s="11" t="s">
        <v>2092</v>
      </c>
      <c r="CT12" s="11" t="s">
        <v>2093</v>
      </c>
      <c r="CU12" s="11" t="s">
        <v>2094</v>
      </c>
      <c r="CV12" s="11" t="s">
        <v>2095</v>
      </c>
      <c r="CW12" s="11" t="s">
        <v>2096</v>
      </c>
      <c r="CX12" s="11" t="s">
        <v>2097</v>
      </c>
      <c r="CY12" s="11" t="s">
        <v>2098</v>
      </c>
      <c r="CZ12" s="11" t="s">
        <v>2099</v>
      </c>
      <c r="DA12" s="11" t="s">
        <v>2100</v>
      </c>
      <c r="DB12" s="11" t="s">
        <v>2101</v>
      </c>
      <c r="DC12" s="11" t="s">
        <v>2102</v>
      </c>
      <c r="DD12" s="11" t="s">
        <v>2103</v>
      </c>
      <c r="DE12" s="11" t="s">
        <v>2104</v>
      </c>
      <c r="DF12" s="11" t="s">
        <v>2105</v>
      </c>
      <c r="DG12" s="11" t="s">
        <v>2106</v>
      </c>
      <c r="DH12" s="11" t="s">
        <v>2107</v>
      </c>
      <c r="DI12" s="11" t="s">
        <v>2108</v>
      </c>
      <c r="DJ12" s="11" t="s">
        <v>2109</v>
      </c>
      <c r="DK12" s="11" t="s">
        <v>2110</v>
      </c>
      <c r="DL12" s="11" t="s">
        <v>2111</v>
      </c>
      <c r="DM12" s="11" t="s">
        <v>2112</v>
      </c>
      <c r="DN12" s="11" t="s">
        <v>2113</v>
      </c>
      <c r="DO12" s="11" t="s">
        <v>2114</v>
      </c>
      <c r="DP12" s="11" t="s">
        <v>2115</v>
      </c>
      <c r="DQ12" s="11" t="s">
        <v>2116</v>
      </c>
      <c r="DR12" s="11" t="s">
        <v>2117</v>
      </c>
      <c r="DS12" s="11" t="s">
        <v>2118</v>
      </c>
      <c r="DT12" s="11" t="s">
        <v>2119</v>
      </c>
      <c r="DU12" s="11" t="s">
        <v>2120</v>
      </c>
      <c r="DV12" s="11" t="s">
        <v>2121</v>
      </c>
      <c r="DW12" s="11" t="s">
        <v>2122</v>
      </c>
      <c r="DX12" s="11" t="s">
        <v>2123</v>
      </c>
      <c r="DY12" s="11" t="s">
        <v>2124</v>
      </c>
      <c r="DZ12" s="11" t="s">
        <v>2125</v>
      </c>
      <c r="EA12" s="11" t="s">
        <v>2126</v>
      </c>
      <c r="EB12" s="11" t="s">
        <v>2127</v>
      </c>
      <c r="EC12" s="11" t="s">
        <v>2128</v>
      </c>
      <c r="ED12" s="11" t="s">
        <v>2129</v>
      </c>
      <c r="EE12" s="11" t="s">
        <v>2130</v>
      </c>
      <c r="EF12" s="11" t="s">
        <v>2131</v>
      </c>
      <c r="EG12" s="11" t="s">
        <v>2132</v>
      </c>
      <c r="EH12" s="11" t="s">
        <v>2133</v>
      </c>
      <c r="EI12" s="11" t="s">
        <v>2134</v>
      </c>
      <c r="EJ12" s="11" t="s">
        <v>2135</v>
      </c>
      <c r="EK12" s="11" t="s">
        <v>2136</v>
      </c>
      <c r="EL12" s="11" t="s">
        <v>2137</v>
      </c>
      <c r="EM12" s="11" t="s">
        <v>2138</v>
      </c>
      <c r="EN12" s="11" t="s">
        <v>2139</v>
      </c>
      <c r="EO12" s="11" t="s">
        <v>2140</v>
      </c>
      <c r="EP12" s="11" t="s">
        <v>2141</v>
      </c>
      <c r="EQ12" s="11" t="s">
        <v>2142</v>
      </c>
      <c r="ER12" s="11" t="s">
        <v>2143</v>
      </c>
      <c r="ES12" s="11" t="s">
        <v>2144</v>
      </c>
      <c r="ET12" s="254"/>
    </row>
    <row r="13" spans="1:245" ht="13.95" customHeight="1" x14ac:dyDescent="0.3">
      <c r="A13" s="2" t="s">
        <v>1</v>
      </c>
      <c r="B13" s="2" t="s">
        <v>2148</v>
      </c>
      <c r="C13" s="2" t="s">
        <v>2149</v>
      </c>
      <c r="D13" s="2" t="s">
        <v>5</v>
      </c>
      <c r="E13" s="2" t="s">
        <v>1969</v>
      </c>
      <c r="F13" s="2" t="s">
        <v>1978</v>
      </c>
      <c r="G13" s="2">
        <f t="shared" ref="G13:G32" si="298">SUMIF(DF13:DM13,TRUE,CX13:DE13)</f>
        <v>27</v>
      </c>
      <c r="H13" s="2">
        <f t="shared" ref="H13:H32" si="299">SUMIF(BZ13:CG13,TRUE,BR13:BY13)</f>
        <v>27</v>
      </c>
      <c r="I13" s="2" t="s">
        <v>1978</v>
      </c>
      <c r="J13" s="2" t="s">
        <v>1978</v>
      </c>
      <c r="K13" s="2" t="s">
        <v>1978</v>
      </c>
      <c r="L13" s="2" t="s">
        <v>1978</v>
      </c>
      <c r="M13" s="2" t="s">
        <v>1978</v>
      </c>
      <c r="N13" s="344" t="s">
        <v>1978</v>
      </c>
      <c r="O13" s="344" t="s">
        <v>1978</v>
      </c>
      <c r="P13" s="344" t="s">
        <v>1978</v>
      </c>
      <c r="Q13" s="344" t="s">
        <v>1978</v>
      </c>
      <c r="R13" s="344" t="s">
        <v>1978</v>
      </c>
      <c r="S13" s="344" t="s">
        <v>1978</v>
      </c>
      <c r="T13" s="2" t="s">
        <v>3</v>
      </c>
      <c r="U13" s="2" t="s">
        <v>2150</v>
      </c>
      <c r="X13" s="344">
        <f>'A123'!J21</f>
        <v>10</v>
      </c>
      <c r="Y13" s="344">
        <f>'A123'!K21</f>
        <v>12</v>
      </c>
      <c r="Z13" s="344">
        <f>'A123'!L21</f>
        <v>11.5</v>
      </c>
      <c r="AA13" s="2" t="s">
        <v>2150</v>
      </c>
      <c r="AB13" s="2" t="str">
        <f>入學要求!X22</f>
        <v>/</v>
      </c>
      <c r="AC13" s="2" t="str">
        <f>入學要求!Y22</f>
        <v>/</v>
      </c>
      <c r="AD13" s="2" t="s">
        <v>1969</v>
      </c>
      <c r="AE13" s="2" t="s">
        <v>1978</v>
      </c>
      <c r="AF13" s="2" t="s">
        <v>1978</v>
      </c>
      <c r="AG13" s="2" t="s">
        <v>1978</v>
      </c>
      <c r="AH13" s="2" t="s">
        <v>1978</v>
      </c>
      <c r="AI13" s="2" t="s">
        <v>1978</v>
      </c>
      <c r="AJ13" s="2" t="s">
        <v>2151</v>
      </c>
      <c r="AK13" s="2" t="s">
        <v>2684</v>
      </c>
      <c r="AL13" s="2" t="s">
        <v>1978</v>
      </c>
      <c r="AM13" s="2" t="s">
        <v>1978</v>
      </c>
      <c r="AN13" s="2" t="s">
        <v>1978</v>
      </c>
      <c r="AO13" s="2" t="s">
        <v>1978</v>
      </c>
      <c r="AP13" s="251" t="s">
        <v>1978</v>
      </c>
      <c r="AQ13" s="344" t="s">
        <v>1970</v>
      </c>
      <c r="AR13" s="2" t="s">
        <v>2150</v>
      </c>
      <c r="AS13" s="2" t="s">
        <v>3603</v>
      </c>
      <c r="AT13" s="2" t="s">
        <v>3604</v>
      </c>
      <c r="AV13" s="344" t="s">
        <v>1987</v>
      </c>
      <c r="BB13" s="2">
        <v>1</v>
      </c>
      <c r="BC13" s="2">
        <v>1</v>
      </c>
      <c r="BD13" s="2">
        <v>1</v>
      </c>
      <c r="BE13" s="2">
        <v>1</v>
      </c>
      <c r="BF13" s="2">
        <v>1</v>
      </c>
      <c r="BG13" s="2">
        <v>1</v>
      </c>
      <c r="BH13" s="2">
        <v>1</v>
      </c>
      <c r="BI13" s="2">
        <v>1</v>
      </c>
      <c r="BJ13" s="2">
        <v>4</v>
      </c>
      <c r="BK13" s="2">
        <v>3</v>
      </c>
      <c r="BL13" s="2">
        <v>5</v>
      </c>
      <c r="BM13" s="2">
        <v>4</v>
      </c>
      <c r="BN13" s="2">
        <v>4</v>
      </c>
      <c r="BO13" s="2">
        <v>6</v>
      </c>
      <c r="BP13" s="2">
        <v>5</v>
      </c>
      <c r="BQ13" s="2">
        <v>4</v>
      </c>
      <c r="BR13" s="2">
        <f t="shared" ref="BR13:BY13" si="300">BB13*BJ13</f>
        <v>4</v>
      </c>
      <c r="BS13" s="2">
        <f t="shared" si="300"/>
        <v>3</v>
      </c>
      <c r="BT13" s="2">
        <f t="shared" si="300"/>
        <v>5</v>
      </c>
      <c r="BU13" s="2">
        <f t="shared" si="300"/>
        <v>4</v>
      </c>
      <c r="BV13" s="2">
        <f t="shared" si="300"/>
        <v>4</v>
      </c>
      <c r="BW13" s="2">
        <f t="shared" si="300"/>
        <v>6</v>
      </c>
      <c r="BX13" s="2">
        <f t="shared" si="300"/>
        <v>5</v>
      </c>
      <c r="BY13" s="2">
        <f t="shared" si="300"/>
        <v>4</v>
      </c>
      <c r="BZ13" s="2" t="b">
        <v>1</v>
      </c>
      <c r="CA13" s="2" t="b">
        <v>1</v>
      </c>
      <c r="CB13" s="2" t="b">
        <v>1</v>
      </c>
      <c r="CC13" s="2" t="b">
        <v>1</v>
      </c>
      <c r="CD13" s="2" t="b">
        <v>0</v>
      </c>
      <c r="CE13" s="2" t="b">
        <v>1</v>
      </c>
      <c r="CF13" s="2" t="b">
        <v>1</v>
      </c>
      <c r="CG13" s="2" t="b">
        <v>0</v>
      </c>
      <c r="CH13" s="2">
        <v>1</v>
      </c>
      <c r="CI13" s="2">
        <v>1</v>
      </c>
      <c r="CJ13" s="2">
        <v>1</v>
      </c>
      <c r="CK13" s="2">
        <v>1</v>
      </c>
      <c r="CL13" s="2">
        <v>1</v>
      </c>
      <c r="CM13" s="2">
        <v>1</v>
      </c>
      <c r="CN13" s="2">
        <v>1</v>
      </c>
      <c r="CO13" s="2">
        <v>1</v>
      </c>
      <c r="CP13" s="2">
        <v>4</v>
      </c>
      <c r="CQ13" s="2">
        <v>3</v>
      </c>
      <c r="CR13" s="2">
        <v>5</v>
      </c>
      <c r="CS13" s="2">
        <v>4</v>
      </c>
      <c r="CT13" s="2" t="s">
        <v>1978</v>
      </c>
      <c r="CU13" s="2">
        <v>6</v>
      </c>
      <c r="CV13" s="2">
        <v>5</v>
      </c>
      <c r="CW13" s="2">
        <v>5</v>
      </c>
      <c r="CX13" s="2">
        <f t="shared" ref="CX13" si="301">CH13*CP13</f>
        <v>4</v>
      </c>
      <c r="CY13" s="2">
        <f t="shared" ref="CY13" si="302">CI13*CQ13</f>
        <v>3</v>
      </c>
      <c r="CZ13" s="2">
        <f t="shared" ref="CZ13" si="303">CJ13*CR13</f>
        <v>5</v>
      </c>
      <c r="DA13" s="2">
        <f t="shared" ref="DA13" si="304">CK13*CS13</f>
        <v>4</v>
      </c>
      <c r="DB13" s="2" t="e">
        <f t="shared" ref="DB13" si="305">CL13*CT13</f>
        <v>#VALUE!</v>
      </c>
      <c r="DC13" s="2">
        <f t="shared" ref="DC13" si="306">CM13*CU13</f>
        <v>6</v>
      </c>
      <c r="DD13" s="2">
        <f t="shared" ref="DD13" si="307">CN13*CV13</f>
        <v>5</v>
      </c>
      <c r="DE13" s="2">
        <f t="shared" ref="DE13" si="308">CO13*CW13</f>
        <v>5</v>
      </c>
      <c r="DF13" s="2" t="b">
        <v>1</v>
      </c>
      <c r="DG13" s="2" t="b">
        <v>1</v>
      </c>
      <c r="DH13" s="2" t="b">
        <v>1</v>
      </c>
      <c r="DI13" s="2" t="b">
        <v>1</v>
      </c>
      <c r="DJ13" s="2" t="b">
        <v>0</v>
      </c>
      <c r="DK13" s="2" t="b">
        <v>1</v>
      </c>
      <c r="DL13" s="2" t="b">
        <v>1</v>
      </c>
      <c r="DM13" s="2" t="b">
        <v>0</v>
      </c>
      <c r="DN13" s="2" t="s">
        <v>1978</v>
      </c>
      <c r="DO13" s="2" t="s">
        <v>1978</v>
      </c>
      <c r="DP13" s="2" t="s">
        <v>1978</v>
      </c>
      <c r="DQ13" s="2" t="s">
        <v>1978</v>
      </c>
      <c r="DR13" s="2" t="s">
        <v>1978</v>
      </c>
      <c r="DS13" s="2" t="s">
        <v>1978</v>
      </c>
      <c r="DT13" s="2" t="s">
        <v>1978</v>
      </c>
      <c r="DU13" s="2" t="s">
        <v>1978</v>
      </c>
      <c r="DV13" s="2" t="s">
        <v>1978</v>
      </c>
      <c r="DW13" s="2" t="s">
        <v>1978</v>
      </c>
      <c r="DX13" s="2" t="s">
        <v>1978</v>
      </c>
      <c r="DY13" s="2" t="s">
        <v>1978</v>
      </c>
      <c r="DZ13" s="2" t="s">
        <v>1978</v>
      </c>
      <c r="EA13" s="2" t="s">
        <v>1978</v>
      </c>
      <c r="EB13" s="2" t="s">
        <v>1978</v>
      </c>
      <c r="EC13" s="2" t="s">
        <v>1978</v>
      </c>
      <c r="ED13" s="2" t="s">
        <v>1978</v>
      </c>
      <c r="EE13" s="2" t="s">
        <v>1978</v>
      </c>
      <c r="EF13" s="2" t="s">
        <v>1978</v>
      </c>
      <c r="EG13" s="2" t="s">
        <v>1978</v>
      </c>
      <c r="EH13" s="2" t="s">
        <v>1978</v>
      </c>
      <c r="EI13" s="2" t="s">
        <v>1978</v>
      </c>
      <c r="EJ13" s="2" t="s">
        <v>1978</v>
      </c>
      <c r="EK13" s="2" t="s">
        <v>1978</v>
      </c>
      <c r="EL13" s="2" t="s">
        <v>1978</v>
      </c>
      <c r="EM13" s="2" t="s">
        <v>1978</v>
      </c>
      <c r="EN13" s="2" t="s">
        <v>1978</v>
      </c>
      <c r="EO13" s="2" t="s">
        <v>1978</v>
      </c>
      <c r="EP13" s="2" t="s">
        <v>1978</v>
      </c>
      <c r="EQ13" s="2" t="s">
        <v>1978</v>
      </c>
      <c r="ER13" s="2" t="s">
        <v>1978</v>
      </c>
      <c r="ES13" s="2" t="s">
        <v>1978</v>
      </c>
    </row>
    <row r="14" spans="1:245" x14ac:dyDescent="0.3">
      <c r="A14" s="2" t="s">
        <v>7</v>
      </c>
      <c r="B14" s="2" t="s">
        <v>2148</v>
      </c>
      <c r="C14" s="2" t="s">
        <v>2149</v>
      </c>
      <c r="D14" s="2" t="s">
        <v>10</v>
      </c>
      <c r="E14" s="2" t="s">
        <v>1967</v>
      </c>
      <c r="F14" s="2" t="s">
        <v>1978</v>
      </c>
      <c r="G14" s="2">
        <f t="shared" si="298"/>
        <v>27</v>
      </c>
      <c r="H14" s="2">
        <f t="shared" si="299"/>
        <v>25</v>
      </c>
      <c r="I14" s="2" t="s">
        <v>1978</v>
      </c>
      <c r="J14" s="2" t="s">
        <v>1978</v>
      </c>
      <c r="K14" s="2" t="s">
        <v>1978</v>
      </c>
      <c r="L14" s="2" t="s">
        <v>1978</v>
      </c>
      <c r="M14" s="2" t="s">
        <v>1978</v>
      </c>
      <c r="N14" s="344" t="s">
        <v>1978</v>
      </c>
      <c r="O14" s="344" t="s">
        <v>1978</v>
      </c>
      <c r="P14" s="344" t="s">
        <v>1978</v>
      </c>
      <c r="Q14" s="344" t="s">
        <v>1978</v>
      </c>
      <c r="R14" s="344" t="s">
        <v>1978</v>
      </c>
      <c r="S14" s="344" t="s">
        <v>1978</v>
      </c>
      <c r="T14" s="2" t="s">
        <v>8</v>
      </c>
      <c r="U14" s="2" t="s">
        <v>2150</v>
      </c>
      <c r="X14" s="344">
        <f>'A123'!J22</f>
        <v>15</v>
      </c>
      <c r="Y14" s="344">
        <f>'A123'!K22</f>
        <v>12</v>
      </c>
      <c r="Z14" s="344">
        <f>'A123'!L22</f>
        <v>22</v>
      </c>
      <c r="AA14" s="2" t="s">
        <v>2150</v>
      </c>
      <c r="AB14" s="2" t="str">
        <f>入學要求!X23</f>
        <v>/</v>
      </c>
      <c r="AC14" s="2" t="str">
        <f>入學要求!Y23</f>
        <v>/</v>
      </c>
      <c r="AD14" s="2" t="s">
        <v>1967</v>
      </c>
      <c r="AE14" s="2" t="s">
        <v>1978</v>
      </c>
      <c r="AF14" s="2" t="s">
        <v>1978</v>
      </c>
      <c r="AG14" s="2" t="s">
        <v>1978</v>
      </c>
      <c r="AH14" s="2" t="s">
        <v>1978</v>
      </c>
      <c r="AI14" s="2" t="s">
        <v>1978</v>
      </c>
      <c r="AJ14" s="2" t="s">
        <v>2151</v>
      </c>
      <c r="AK14" s="2" t="s">
        <v>2683</v>
      </c>
      <c r="AL14" s="2" t="s">
        <v>1978</v>
      </c>
      <c r="AM14" s="2" t="s">
        <v>1978</v>
      </c>
      <c r="AN14" s="2" t="s">
        <v>1978</v>
      </c>
      <c r="AO14" s="2" t="s">
        <v>1978</v>
      </c>
      <c r="AP14" s="251" t="s">
        <v>1978</v>
      </c>
      <c r="AQ14" s="344" t="s">
        <v>1970</v>
      </c>
      <c r="AR14" s="2" t="s">
        <v>2150</v>
      </c>
      <c r="AS14" s="2" t="s">
        <v>3603</v>
      </c>
      <c r="AT14" s="2" t="s">
        <v>3604</v>
      </c>
      <c r="AV14" s="344" t="s">
        <v>1987</v>
      </c>
      <c r="BB14" s="2">
        <v>1</v>
      </c>
      <c r="BC14" s="2">
        <v>1</v>
      </c>
      <c r="BD14" s="2">
        <v>1</v>
      </c>
      <c r="BE14" s="2">
        <v>1</v>
      </c>
      <c r="BF14" s="2">
        <v>1</v>
      </c>
      <c r="BG14" s="2">
        <v>1</v>
      </c>
      <c r="BH14" s="2">
        <v>1</v>
      </c>
      <c r="BI14" s="2">
        <v>1</v>
      </c>
      <c r="BJ14" s="2">
        <v>3</v>
      </c>
      <c r="BK14" s="2">
        <v>6</v>
      </c>
      <c r="BL14" s="2">
        <v>4</v>
      </c>
      <c r="BM14" s="2">
        <v>4</v>
      </c>
      <c r="BN14" s="2" t="s">
        <v>1978</v>
      </c>
      <c r="BO14" s="2">
        <v>4</v>
      </c>
      <c r="BP14" s="2">
        <v>4</v>
      </c>
      <c r="BQ14" s="2">
        <v>4</v>
      </c>
      <c r="BR14" s="2">
        <f t="shared" ref="BR14:BR54" si="309">BB14*BJ14</f>
        <v>3</v>
      </c>
      <c r="BS14" s="2">
        <f t="shared" ref="BS14:BS54" si="310">BC14*BK14</f>
        <v>6</v>
      </c>
      <c r="BT14" s="2">
        <f t="shared" ref="BT14:BT54" si="311">BD14*BL14</f>
        <v>4</v>
      </c>
      <c r="BU14" s="2">
        <f t="shared" ref="BU14:BU54" si="312">BE14*BM14</f>
        <v>4</v>
      </c>
      <c r="BV14" s="2" t="e">
        <f t="shared" ref="BV14:BV54" si="313">BF14*BN14</f>
        <v>#VALUE!</v>
      </c>
      <c r="BW14" s="2">
        <f t="shared" ref="BW14:BW54" si="314">BG14*BO14</f>
        <v>4</v>
      </c>
      <c r="BX14" s="2">
        <f t="shared" ref="BX14:BX54" si="315">BH14*BP14</f>
        <v>4</v>
      </c>
      <c r="BY14" s="2">
        <f t="shared" ref="BY14:BY54" si="316">BI14*BQ14</f>
        <v>4</v>
      </c>
      <c r="BZ14" s="2" t="b">
        <v>1</v>
      </c>
      <c r="CA14" s="2" t="b">
        <v>1</v>
      </c>
      <c r="CB14" s="2" t="b">
        <v>1</v>
      </c>
      <c r="CC14" s="2" t="b">
        <v>1</v>
      </c>
      <c r="CD14" s="2" t="b">
        <v>0</v>
      </c>
      <c r="CE14" s="2" t="b">
        <v>1</v>
      </c>
      <c r="CF14" s="2" t="b">
        <v>1</v>
      </c>
      <c r="CG14" s="2" t="b">
        <v>0</v>
      </c>
      <c r="CH14" s="2">
        <v>1</v>
      </c>
      <c r="CI14" s="2">
        <v>1</v>
      </c>
      <c r="CJ14" s="2">
        <v>1</v>
      </c>
      <c r="CK14" s="2">
        <v>1</v>
      </c>
      <c r="CL14" s="2">
        <v>1</v>
      </c>
      <c r="CM14" s="2">
        <v>1</v>
      </c>
      <c r="CN14" s="2">
        <v>1</v>
      </c>
      <c r="CO14" s="2">
        <v>1</v>
      </c>
      <c r="CP14" s="2">
        <v>4</v>
      </c>
      <c r="CQ14" s="2">
        <v>4</v>
      </c>
      <c r="CR14" s="2">
        <v>5</v>
      </c>
      <c r="CS14" s="2">
        <v>5</v>
      </c>
      <c r="CT14" s="2" t="s">
        <v>1978</v>
      </c>
      <c r="CU14" s="2">
        <v>5</v>
      </c>
      <c r="CV14" s="2">
        <v>4</v>
      </c>
      <c r="CW14" s="2">
        <v>4</v>
      </c>
      <c r="CX14" s="2">
        <f t="shared" ref="CX14:CX20" si="317">CH14*CP14</f>
        <v>4</v>
      </c>
      <c r="CY14" s="2">
        <f t="shared" ref="CY14:CY20" si="318">CI14*CQ14</f>
        <v>4</v>
      </c>
      <c r="CZ14" s="2">
        <f t="shared" ref="CZ14:CZ20" si="319">CJ14*CR14</f>
        <v>5</v>
      </c>
      <c r="DA14" s="2">
        <f t="shared" ref="DA14:DA20" si="320">CK14*CS14</f>
        <v>5</v>
      </c>
      <c r="DB14" s="2" t="e">
        <f t="shared" ref="DB14:DB20" si="321">CL14*CT14</f>
        <v>#VALUE!</v>
      </c>
      <c r="DC14" s="2">
        <f t="shared" ref="DC14:DC20" si="322">CM14*CU14</f>
        <v>5</v>
      </c>
      <c r="DD14" s="2">
        <f t="shared" ref="DD14:DD20" si="323">CN14*CV14</f>
        <v>4</v>
      </c>
      <c r="DE14" s="2">
        <f t="shared" ref="DE14:DE20" si="324">CO14*CW14</f>
        <v>4</v>
      </c>
      <c r="DF14" s="2" t="b">
        <v>1</v>
      </c>
      <c r="DG14" s="2" t="b">
        <v>1</v>
      </c>
      <c r="DH14" s="2" t="b">
        <v>1</v>
      </c>
      <c r="DI14" s="2" t="b">
        <v>1</v>
      </c>
      <c r="DJ14" s="2" t="b">
        <v>0</v>
      </c>
      <c r="DK14" s="2" t="b">
        <v>1</v>
      </c>
      <c r="DL14" s="2" t="b">
        <v>1</v>
      </c>
      <c r="DM14" s="2" t="b">
        <v>0</v>
      </c>
      <c r="DN14" s="2" t="s">
        <v>1978</v>
      </c>
      <c r="DO14" s="2" t="s">
        <v>1978</v>
      </c>
      <c r="DP14" s="2" t="s">
        <v>1978</v>
      </c>
      <c r="DQ14" s="2" t="s">
        <v>1978</v>
      </c>
      <c r="DR14" s="2" t="s">
        <v>1978</v>
      </c>
      <c r="DS14" s="2" t="s">
        <v>1978</v>
      </c>
      <c r="DT14" s="2" t="s">
        <v>1978</v>
      </c>
      <c r="DU14" s="2" t="s">
        <v>1978</v>
      </c>
      <c r="DV14" s="2" t="s">
        <v>1978</v>
      </c>
      <c r="DW14" s="2" t="s">
        <v>1978</v>
      </c>
      <c r="DX14" s="2" t="s">
        <v>1978</v>
      </c>
      <c r="DY14" s="2" t="s">
        <v>1978</v>
      </c>
      <c r="DZ14" s="2" t="s">
        <v>1978</v>
      </c>
      <c r="EA14" s="2" t="s">
        <v>1978</v>
      </c>
      <c r="EB14" s="2" t="s">
        <v>1978</v>
      </c>
      <c r="EC14" s="2" t="s">
        <v>1978</v>
      </c>
      <c r="ED14" s="2" t="s">
        <v>1978</v>
      </c>
      <c r="EE14" s="2" t="s">
        <v>1978</v>
      </c>
      <c r="EF14" s="2" t="s">
        <v>1978</v>
      </c>
      <c r="EG14" s="2" t="s">
        <v>1978</v>
      </c>
      <c r="EH14" s="2" t="s">
        <v>1978</v>
      </c>
      <c r="EI14" s="2" t="s">
        <v>1978</v>
      </c>
      <c r="EJ14" s="2" t="s">
        <v>1978</v>
      </c>
      <c r="EK14" s="2" t="s">
        <v>1978</v>
      </c>
      <c r="EL14" s="2" t="s">
        <v>1978</v>
      </c>
      <c r="EM14" s="2" t="s">
        <v>1978</v>
      </c>
      <c r="EN14" s="2" t="s">
        <v>1978</v>
      </c>
      <c r="EO14" s="2" t="s">
        <v>1978</v>
      </c>
      <c r="EP14" s="2" t="s">
        <v>1978</v>
      </c>
      <c r="EQ14" s="2" t="s">
        <v>1978</v>
      </c>
      <c r="ER14" s="2" t="s">
        <v>1978</v>
      </c>
      <c r="ES14" s="2" t="s">
        <v>1978</v>
      </c>
    </row>
    <row r="15" spans="1:245" x14ac:dyDescent="0.3">
      <c r="A15" s="2" t="s">
        <v>12</v>
      </c>
      <c r="B15" s="2" t="s">
        <v>2148</v>
      </c>
      <c r="C15" s="2" t="s">
        <v>2149</v>
      </c>
      <c r="D15" s="2" t="s">
        <v>15</v>
      </c>
      <c r="E15" s="2" t="s">
        <v>2153</v>
      </c>
      <c r="F15" s="2" t="s">
        <v>1978</v>
      </c>
      <c r="G15" s="2">
        <f t="shared" si="298"/>
        <v>24</v>
      </c>
      <c r="H15" s="2">
        <f t="shared" si="299"/>
        <v>23</v>
      </c>
      <c r="I15" s="2" t="s">
        <v>2154</v>
      </c>
      <c r="J15" s="2" t="s">
        <v>1978</v>
      </c>
      <c r="K15" s="2" t="s">
        <v>1978</v>
      </c>
      <c r="L15" s="2" t="s">
        <v>1978</v>
      </c>
      <c r="M15" s="2" t="s">
        <v>1978</v>
      </c>
      <c r="N15" s="344" t="s">
        <v>1978</v>
      </c>
      <c r="O15" s="344" t="s">
        <v>1978</v>
      </c>
      <c r="P15" s="344" t="s">
        <v>1978</v>
      </c>
      <c r="Q15" s="344" t="s">
        <v>1978</v>
      </c>
      <c r="R15" s="344" t="s">
        <v>1978</v>
      </c>
      <c r="S15" s="344" t="s">
        <v>1978</v>
      </c>
      <c r="T15" s="2" t="s">
        <v>13</v>
      </c>
      <c r="U15" s="2" t="s">
        <v>2150</v>
      </c>
      <c r="X15" s="344">
        <f>'A123'!J23</f>
        <v>150</v>
      </c>
      <c r="Y15" s="344">
        <f>'A123'!K23</f>
        <v>159</v>
      </c>
      <c r="Z15" s="344">
        <f>'A123'!L23</f>
        <v>6.0855263157894735</v>
      </c>
      <c r="AA15" s="2" t="s">
        <v>2150</v>
      </c>
      <c r="AB15" s="2" t="str">
        <f>入學要求!X24</f>
        <v>/</v>
      </c>
      <c r="AC15" s="2" t="str">
        <f>入學要求!Y24</f>
        <v>/</v>
      </c>
      <c r="AD15" s="2" t="s">
        <v>2153</v>
      </c>
      <c r="AE15" s="2" t="s">
        <v>2154</v>
      </c>
      <c r="AF15" s="2" t="s">
        <v>1978</v>
      </c>
      <c r="AG15" s="2" t="s">
        <v>1978</v>
      </c>
      <c r="AH15" s="2" t="s">
        <v>1978</v>
      </c>
      <c r="AI15" s="2" t="s">
        <v>1978</v>
      </c>
      <c r="AJ15" s="2" t="s">
        <v>2151</v>
      </c>
      <c r="AK15" s="2" t="s">
        <v>2683</v>
      </c>
      <c r="AL15" s="2" t="s">
        <v>1978</v>
      </c>
      <c r="AM15" s="2" t="s">
        <v>1978</v>
      </c>
      <c r="AN15" s="2" t="s">
        <v>1978</v>
      </c>
      <c r="AO15" s="2" t="s">
        <v>1978</v>
      </c>
      <c r="AP15" s="251" t="s">
        <v>1978</v>
      </c>
      <c r="AQ15" s="344" t="s">
        <v>1970</v>
      </c>
      <c r="AR15" s="2" t="s">
        <v>2150</v>
      </c>
      <c r="AS15" s="2" t="s">
        <v>3603</v>
      </c>
      <c r="AT15" s="2" t="s">
        <v>3605</v>
      </c>
      <c r="AV15" s="344" t="s">
        <v>1987</v>
      </c>
      <c r="BB15" s="2">
        <v>1</v>
      </c>
      <c r="BC15" s="2">
        <v>1</v>
      </c>
      <c r="BD15" s="2">
        <v>1</v>
      </c>
      <c r="BE15" s="2">
        <v>1</v>
      </c>
      <c r="BF15" s="2">
        <v>1</v>
      </c>
      <c r="BG15" s="2">
        <v>1</v>
      </c>
      <c r="BH15" s="2">
        <v>1</v>
      </c>
      <c r="BI15" s="2">
        <v>1</v>
      </c>
      <c r="BJ15" s="2">
        <v>3</v>
      </c>
      <c r="BK15" s="2">
        <v>4</v>
      </c>
      <c r="BL15" s="2">
        <v>5</v>
      </c>
      <c r="BM15" s="2">
        <v>3</v>
      </c>
      <c r="BN15" s="2" t="s">
        <v>1978</v>
      </c>
      <c r="BO15" s="2">
        <v>4</v>
      </c>
      <c r="BP15" s="2">
        <v>4</v>
      </c>
      <c r="BQ15" s="2" t="s">
        <v>1978</v>
      </c>
      <c r="BR15" s="2">
        <f t="shared" si="309"/>
        <v>3</v>
      </c>
      <c r="BS15" s="2">
        <f t="shared" si="310"/>
        <v>4</v>
      </c>
      <c r="BT15" s="2">
        <f t="shared" si="311"/>
        <v>5</v>
      </c>
      <c r="BU15" s="2">
        <f t="shared" si="312"/>
        <v>3</v>
      </c>
      <c r="BV15" s="2" t="e">
        <f t="shared" si="313"/>
        <v>#VALUE!</v>
      </c>
      <c r="BW15" s="2">
        <f t="shared" si="314"/>
        <v>4</v>
      </c>
      <c r="BX15" s="2">
        <f t="shared" si="315"/>
        <v>4</v>
      </c>
      <c r="BY15" s="2" t="e">
        <f t="shared" si="316"/>
        <v>#VALUE!</v>
      </c>
      <c r="BZ15" s="2" t="b">
        <v>1</v>
      </c>
      <c r="CA15" s="2" t="b">
        <v>1</v>
      </c>
      <c r="CB15" s="2" t="b">
        <v>1</v>
      </c>
      <c r="CC15" s="2" t="b">
        <v>1</v>
      </c>
      <c r="CD15" s="2" t="b">
        <v>0</v>
      </c>
      <c r="CE15" s="2" t="b">
        <v>1</v>
      </c>
      <c r="CF15" s="2" t="b">
        <v>1</v>
      </c>
      <c r="CG15" s="2" t="b">
        <v>0</v>
      </c>
      <c r="CH15" s="2">
        <v>1</v>
      </c>
      <c r="CI15" s="2">
        <v>1</v>
      </c>
      <c r="CJ15" s="2">
        <v>1</v>
      </c>
      <c r="CK15" s="2">
        <v>1</v>
      </c>
      <c r="CL15" s="2">
        <v>1</v>
      </c>
      <c r="CM15" s="2">
        <v>1</v>
      </c>
      <c r="CN15" s="2">
        <v>1</v>
      </c>
      <c r="CO15" s="2">
        <v>1</v>
      </c>
      <c r="CP15" s="2">
        <v>3</v>
      </c>
      <c r="CQ15" s="2">
        <v>3</v>
      </c>
      <c r="CR15" s="2">
        <v>5</v>
      </c>
      <c r="CS15" s="2">
        <v>4</v>
      </c>
      <c r="CT15" s="2" t="s">
        <v>1978</v>
      </c>
      <c r="CU15" s="2">
        <v>5</v>
      </c>
      <c r="CV15" s="2">
        <v>4</v>
      </c>
      <c r="CW15" s="2">
        <v>3</v>
      </c>
      <c r="CX15" s="2">
        <f t="shared" si="317"/>
        <v>3</v>
      </c>
      <c r="CY15" s="2">
        <f t="shared" si="318"/>
        <v>3</v>
      </c>
      <c r="CZ15" s="2">
        <f t="shared" si="319"/>
        <v>5</v>
      </c>
      <c r="DA15" s="2">
        <f t="shared" si="320"/>
        <v>4</v>
      </c>
      <c r="DB15" s="2" t="e">
        <f t="shared" si="321"/>
        <v>#VALUE!</v>
      </c>
      <c r="DC15" s="2">
        <f t="shared" si="322"/>
        <v>5</v>
      </c>
      <c r="DD15" s="2">
        <f t="shared" si="323"/>
        <v>4</v>
      </c>
      <c r="DE15" s="2">
        <f t="shared" si="324"/>
        <v>3</v>
      </c>
      <c r="DF15" s="2" t="b">
        <v>1</v>
      </c>
      <c r="DG15" s="2" t="b">
        <v>1</v>
      </c>
      <c r="DH15" s="2" t="b">
        <v>1</v>
      </c>
      <c r="DI15" s="2" t="b">
        <v>1</v>
      </c>
      <c r="DJ15" s="2" t="b">
        <v>0</v>
      </c>
      <c r="DK15" s="2" t="b">
        <v>1</v>
      </c>
      <c r="DL15" s="2" t="b">
        <v>1</v>
      </c>
      <c r="DM15" s="2" t="b">
        <v>0</v>
      </c>
      <c r="DN15" s="2" t="s">
        <v>1978</v>
      </c>
      <c r="DO15" s="2" t="s">
        <v>1978</v>
      </c>
      <c r="DP15" s="2" t="s">
        <v>1978</v>
      </c>
      <c r="DQ15" s="2" t="s">
        <v>1978</v>
      </c>
      <c r="DR15" s="2" t="s">
        <v>1978</v>
      </c>
      <c r="DS15" s="2" t="s">
        <v>1978</v>
      </c>
      <c r="DT15" s="2" t="s">
        <v>1978</v>
      </c>
      <c r="DU15" s="2" t="s">
        <v>1978</v>
      </c>
      <c r="DV15" s="2" t="s">
        <v>1978</v>
      </c>
      <c r="DW15" s="2" t="s">
        <v>1978</v>
      </c>
      <c r="DX15" s="2" t="s">
        <v>1978</v>
      </c>
      <c r="DY15" s="2" t="s">
        <v>1978</v>
      </c>
      <c r="DZ15" s="2" t="s">
        <v>1978</v>
      </c>
      <c r="EA15" s="2" t="s">
        <v>1978</v>
      </c>
      <c r="EB15" s="2" t="s">
        <v>1978</v>
      </c>
      <c r="EC15" s="2" t="s">
        <v>1978</v>
      </c>
      <c r="ED15" s="2" t="s">
        <v>1978</v>
      </c>
      <c r="EE15" s="2" t="s">
        <v>1978</v>
      </c>
      <c r="EF15" s="2" t="s">
        <v>1978</v>
      </c>
      <c r="EG15" s="2" t="s">
        <v>1978</v>
      </c>
      <c r="EH15" s="2" t="s">
        <v>1978</v>
      </c>
      <c r="EI15" s="2" t="s">
        <v>1978</v>
      </c>
      <c r="EJ15" s="2" t="s">
        <v>1978</v>
      </c>
      <c r="EK15" s="2" t="s">
        <v>1978</v>
      </c>
      <c r="EL15" s="2" t="s">
        <v>1978</v>
      </c>
      <c r="EM15" s="2" t="s">
        <v>1978</v>
      </c>
      <c r="EN15" s="2" t="s">
        <v>1978</v>
      </c>
      <c r="EO15" s="2" t="s">
        <v>1978</v>
      </c>
      <c r="EP15" s="2" t="s">
        <v>1978</v>
      </c>
      <c r="EQ15" s="2" t="s">
        <v>1978</v>
      </c>
      <c r="ER15" s="2" t="s">
        <v>1978</v>
      </c>
      <c r="ES15" s="2" t="s">
        <v>1978</v>
      </c>
    </row>
    <row r="16" spans="1:245" x14ac:dyDescent="0.3">
      <c r="A16" s="2" t="s">
        <v>17</v>
      </c>
      <c r="B16" s="2" t="s">
        <v>2148</v>
      </c>
      <c r="C16" s="2" t="s">
        <v>2149</v>
      </c>
      <c r="D16" s="2" t="s">
        <v>20</v>
      </c>
      <c r="E16" s="206" t="s">
        <v>2153</v>
      </c>
      <c r="F16" s="2" t="s">
        <v>1978</v>
      </c>
      <c r="G16" s="2">
        <f t="shared" si="298"/>
        <v>24</v>
      </c>
      <c r="H16" s="2">
        <f t="shared" si="299"/>
        <v>24</v>
      </c>
      <c r="I16" s="2" t="s">
        <v>2682</v>
      </c>
      <c r="J16" s="2" t="s">
        <v>1978</v>
      </c>
      <c r="K16" s="2" t="s">
        <v>1978</v>
      </c>
      <c r="L16" s="2" t="s">
        <v>1978</v>
      </c>
      <c r="M16" s="2" t="s">
        <v>1978</v>
      </c>
      <c r="N16" s="344" t="s">
        <v>1978</v>
      </c>
      <c r="O16" s="344" t="s">
        <v>1978</v>
      </c>
      <c r="P16" s="344" t="s">
        <v>1978</v>
      </c>
      <c r="Q16" s="344" t="s">
        <v>1978</v>
      </c>
      <c r="R16" s="344" t="s">
        <v>1978</v>
      </c>
      <c r="S16" s="344" t="s">
        <v>1978</v>
      </c>
      <c r="T16" s="2" t="s">
        <v>18</v>
      </c>
      <c r="U16" s="2" t="s">
        <v>2150</v>
      </c>
      <c r="X16" s="344">
        <f>'A123'!J24</f>
        <v>60</v>
      </c>
      <c r="Y16" s="344">
        <f>'A123'!K24</f>
        <v>61</v>
      </c>
      <c r="Z16" s="344">
        <f>'A123'!L24</f>
        <v>11.625</v>
      </c>
      <c r="AA16" s="2" t="s">
        <v>2150</v>
      </c>
      <c r="AB16" s="2" t="str">
        <f>入學要求!X25</f>
        <v>/</v>
      </c>
      <c r="AC16" s="2" t="str">
        <f>入學要求!Y25</f>
        <v>/</v>
      </c>
      <c r="AD16" s="2" t="s">
        <v>1967</v>
      </c>
      <c r="AE16" s="2" t="s">
        <v>1978</v>
      </c>
      <c r="AF16" s="2" t="s">
        <v>1978</v>
      </c>
      <c r="AG16" s="2" t="s">
        <v>1978</v>
      </c>
      <c r="AH16" s="2" t="s">
        <v>1978</v>
      </c>
      <c r="AI16" s="2" t="s">
        <v>1978</v>
      </c>
      <c r="AJ16" s="2" t="s">
        <v>2688</v>
      </c>
      <c r="AK16" s="2" t="s">
        <v>2151</v>
      </c>
      <c r="AL16" s="2" t="s">
        <v>2683</v>
      </c>
      <c r="AM16" s="2" t="s">
        <v>1978</v>
      </c>
      <c r="AN16" s="2" t="s">
        <v>1978</v>
      </c>
      <c r="AO16" s="2" t="s">
        <v>1978</v>
      </c>
      <c r="AP16" s="251" t="s">
        <v>1978</v>
      </c>
      <c r="AQ16" s="344" t="s">
        <v>1970</v>
      </c>
      <c r="AR16" s="2" t="s">
        <v>2150</v>
      </c>
      <c r="AS16" s="2" t="s">
        <v>3603</v>
      </c>
      <c r="AT16" s="2" t="s">
        <v>3606</v>
      </c>
      <c r="AV16" s="344" t="s">
        <v>1987</v>
      </c>
      <c r="BB16" s="2">
        <v>1</v>
      </c>
      <c r="BC16" s="2">
        <v>1</v>
      </c>
      <c r="BD16" s="2">
        <v>1</v>
      </c>
      <c r="BE16" s="2">
        <v>1</v>
      </c>
      <c r="BF16" s="2">
        <v>1</v>
      </c>
      <c r="BG16" s="2">
        <v>1</v>
      </c>
      <c r="BH16" s="2">
        <v>1</v>
      </c>
      <c r="BI16" s="2">
        <v>1</v>
      </c>
      <c r="BJ16" s="2">
        <v>4</v>
      </c>
      <c r="BK16" s="2">
        <v>3</v>
      </c>
      <c r="BL16" s="2">
        <v>4</v>
      </c>
      <c r="BM16" s="2">
        <v>4</v>
      </c>
      <c r="BN16" s="2" t="s">
        <v>1978</v>
      </c>
      <c r="BO16" s="2">
        <v>5</v>
      </c>
      <c r="BP16" s="2">
        <v>4</v>
      </c>
      <c r="BQ16" s="2">
        <v>3</v>
      </c>
      <c r="BR16" s="2">
        <f t="shared" si="309"/>
        <v>4</v>
      </c>
      <c r="BS16" s="2">
        <f t="shared" si="310"/>
        <v>3</v>
      </c>
      <c r="BT16" s="2">
        <f t="shared" si="311"/>
        <v>4</v>
      </c>
      <c r="BU16" s="2">
        <f t="shared" si="312"/>
        <v>4</v>
      </c>
      <c r="BV16" s="2" t="e">
        <f t="shared" si="313"/>
        <v>#VALUE!</v>
      </c>
      <c r="BW16" s="2">
        <f t="shared" si="314"/>
        <v>5</v>
      </c>
      <c r="BX16" s="2">
        <f t="shared" si="315"/>
        <v>4</v>
      </c>
      <c r="BY16" s="2">
        <f t="shared" si="316"/>
        <v>3</v>
      </c>
      <c r="BZ16" s="2" t="b">
        <v>1</v>
      </c>
      <c r="CA16" s="2" t="b">
        <v>1</v>
      </c>
      <c r="CB16" s="2" t="b">
        <v>1</v>
      </c>
      <c r="CC16" s="2" t="b">
        <v>1</v>
      </c>
      <c r="CD16" s="2" t="b">
        <v>0</v>
      </c>
      <c r="CE16" s="2" t="b">
        <v>1</v>
      </c>
      <c r="CF16" s="2" t="b">
        <v>1</v>
      </c>
      <c r="CG16" s="2" t="b">
        <v>0</v>
      </c>
      <c r="CH16" s="2">
        <v>1</v>
      </c>
      <c r="CI16" s="2">
        <v>1</v>
      </c>
      <c r="CJ16" s="2">
        <v>1</v>
      </c>
      <c r="CK16" s="2">
        <v>1</v>
      </c>
      <c r="CL16" s="2">
        <v>1</v>
      </c>
      <c r="CM16" s="2">
        <v>1</v>
      </c>
      <c r="CN16" s="2">
        <v>1</v>
      </c>
      <c r="CO16" s="2">
        <v>1</v>
      </c>
      <c r="CP16" s="2">
        <v>4</v>
      </c>
      <c r="CQ16" s="2">
        <v>4</v>
      </c>
      <c r="CR16" s="2">
        <v>4</v>
      </c>
      <c r="CS16" s="2">
        <v>4</v>
      </c>
      <c r="CT16" s="2" t="s">
        <v>1978</v>
      </c>
      <c r="CU16" s="2">
        <v>4</v>
      </c>
      <c r="CV16" s="2">
        <v>4</v>
      </c>
      <c r="CW16" s="2">
        <v>3</v>
      </c>
      <c r="CX16" s="2">
        <f t="shared" si="317"/>
        <v>4</v>
      </c>
      <c r="CY16" s="2">
        <f t="shared" si="318"/>
        <v>4</v>
      </c>
      <c r="CZ16" s="2">
        <f t="shared" si="319"/>
        <v>4</v>
      </c>
      <c r="DA16" s="2">
        <f t="shared" si="320"/>
        <v>4</v>
      </c>
      <c r="DB16" s="2" t="e">
        <f t="shared" si="321"/>
        <v>#VALUE!</v>
      </c>
      <c r="DC16" s="2">
        <f t="shared" si="322"/>
        <v>4</v>
      </c>
      <c r="DD16" s="2">
        <f t="shared" si="323"/>
        <v>4</v>
      </c>
      <c r="DE16" s="2">
        <f t="shared" si="324"/>
        <v>3</v>
      </c>
      <c r="DF16" s="2" t="b">
        <v>1</v>
      </c>
      <c r="DG16" s="2" t="b">
        <v>1</v>
      </c>
      <c r="DH16" s="2" t="b">
        <v>1</v>
      </c>
      <c r="DI16" s="2" t="b">
        <v>1</v>
      </c>
      <c r="DJ16" s="2" t="b">
        <v>0</v>
      </c>
      <c r="DK16" s="2" t="b">
        <v>1</v>
      </c>
      <c r="DL16" s="2" t="b">
        <v>1</v>
      </c>
      <c r="DM16" s="2" t="b">
        <v>0</v>
      </c>
      <c r="DN16" s="2" t="s">
        <v>1978</v>
      </c>
      <c r="DO16" s="2" t="s">
        <v>1978</v>
      </c>
      <c r="DP16" s="2" t="s">
        <v>1978</v>
      </c>
      <c r="DQ16" s="2" t="s">
        <v>1978</v>
      </c>
      <c r="DR16" s="2" t="s">
        <v>1978</v>
      </c>
      <c r="DS16" s="2" t="s">
        <v>1978</v>
      </c>
      <c r="DT16" s="2" t="s">
        <v>1978</v>
      </c>
      <c r="DU16" s="2" t="s">
        <v>1978</v>
      </c>
      <c r="DV16" s="2" t="s">
        <v>1978</v>
      </c>
      <c r="DW16" s="2" t="s">
        <v>1978</v>
      </c>
      <c r="DX16" s="2" t="s">
        <v>1978</v>
      </c>
      <c r="DY16" s="2" t="s">
        <v>1978</v>
      </c>
      <c r="DZ16" s="2" t="s">
        <v>1978</v>
      </c>
      <c r="EA16" s="2" t="s">
        <v>1978</v>
      </c>
      <c r="EB16" s="2" t="s">
        <v>1978</v>
      </c>
      <c r="EC16" s="2" t="s">
        <v>1978</v>
      </c>
      <c r="ED16" s="2" t="s">
        <v>1978</v>
      </c>
      <c r="EE16" s="2" t="s">
        <v>1978</v>
      </c>
      <c r="EF16" s="2" t="s">
        <v>1978</v>
      </c>
      <c r="EG16" s="2" t="s">
        <v>1978</v>
      </c>
      <c r="EH16" s="2" t="s">
        <v>1978</v>
      </c>
      <c r="EI16" s="2" t="s">
        <v>1978</v>
      </c>
      <c r="EJ16" s="2" t="s">
        <v>1978</v>
      </c>
      <c r="EK16" s="2" t="s">
        <v>1978</v>
      </c>
      <c r="EL16" s="2" t="s">
        <v>1978</v>
      </c>
      <c r="EM16" s="2" t="s">
        <v>1978</v>
      </c>
      <c r="EN16" s="2" t="s">
        <v>1978</v>
      </c>
      <c r="EO16" s="2" t="s">
        <v>1978</v>
      </c>
      <c r="EP16" s="2" t="s">
        <v>1978</v>
      </c>
      <c r="EQ16" s="2" t="s">
        <v>1978</v>
      </c>
      <c r="ER16" s="2" t="s">
        <v>1978</v>
      </c>
      <c r="ES16" s="2" t="s">
        <v>1978</v>
      </c>
    </row>
    <row r="17" spans="1:149" x14ac:dyDescent="0.3">
      <c r="A17" s="2" t="s">
        <v>22</v>
      </c>
      <c r="B17" s="2" t="s">
        <v>2148</v>
      </c>
      <c r="C17" s="2" t="s">
        <v>2149</v>
      </c>
      <c r="D17" s="2" t="s">
        <v>25</v>
      </c>
      <c r="E17" s="11" t="s">
        <v>1967</v>
      </c>
      <c r="F17" s="2" t="s">
        <v>1978</v>
      </c>
      <c r="G17" s="2">
        <f t="shared" si="298"/>
        <v>26</v>
      </c>
      <c r="H17" s="2">
        <f t="shared" si="299"/>
        <v>25.5</v>
      </c>
      <c r="I17" s="2" t="s">
        <v>1970</v>
      </c>
      <c r="J17" s="2" t="s">
        <v>1978</v>
      </c>
      <c r="K17" s="2" t="s">
        <v>2685</v>
      </c>
      <c r="L17" s="2" t="s">
        <v>1970</v>
      </c>
      <c r="M17" s="2" t="s">
        <v>1978</v>
      </c>
      <c r="N17" s="344" t="s">
        <v>1978</v>
      </c>
      <c r="O17" s="344" t="s">
        <v>1978</v>
      </c>
      <c r="P17" s="344" t="s">
        <v>1978</v>
      </c>
      <c r="Q17" s="344" t="s">
        <v>1978</v>
      </c>
      <c r="R17" s="344" t="s">
        <v>1978</v>
      </c>
      <c r="S17" s="344" t="s">
        <v>1978</v>
      </c>
      <c r="T17" s="2" t="s">
        <v>23</v>
      </c>
      <c r="U17" s="2" t="s">
        <v>2150</v>
      </c>
      <c r="X17" s="344">
        <f>'A123'!J25</f>
        <v>85</v>
      </c>
      <c r="Y17" s="344">
        <f>'A123'!K25</f>
        <v>79</v>
      </c>
      <c r="Z17" s="344">
        <f>'A123'!L25</f>
        <v>8.0133333333333336</v>
      </c>
      <c r="AA17" s="2" t="s">
        <v>2150</v>
      </c>
      <c r="AB17" s="2" t="str">
        <f>入學要求!X26</f>
        <v>/</v>
      </c>
      <c r="AC17" s="2" t="str">
        <f>入學要求!Y26</f>
        <v>/</v>
      </c>
      <c r="AD17" s="2" t="s">
        <v>1967</v>
      </c>
      <c r="AE17" s="2" t="s">
        <v>1978</v>
      </c>
      <c r="AF17" s="2" t="s">
        <v>1978</v>
      </c>
      <c r="AG17" s="2" t="s">
        <v>2685</v>
      </c>
      <c r="AH17" s="2" t="s">
        <v>1978</v>
      </c>
      <c r="AI17" s="2" t="s">
        <v>1978</v>
      </c>
      <c r="AJ17" s="2" t="s">
        <v>2151</v>
      </c>
      <c r="AK17" s="2" t="s">
        <v>2152</v>
      </c>
      <c r="AL17" s="2" t="s">
        <v>1978</v>
      </c>
      <c r="AM17" s="2" t="s">
        <v>1978</v>
      </c>
      <c r="AN17" s="2" t="s">
        <v>1978</v>
      </c>
      <c r="AO17" s="2" t="s">
        <v>1978</v>
      </c>
      <c r="AP17" s="251" t="s">
        <v>1978</v>
      </c>
      <c r="AQ17" s="344" t="s">
        <v>1970</v>
      </c>
      <c r="AR17" s="2" t="s">
        <v>2150</v>
      </c>
      <c r="AS17" s="2" t="s">
        <v>3603</v>
      </c>
      <c r="AT17" s="2" t="s">
        <v>3607</v>
      </c>
      <c r="AV17" s="344" t="s">
        <v>1987</v>
      </c>
      <c r="BB17" s="2">
        <v>1</v>
      </c>
      <c r="BC17" s="2">
        <v>1.5</v>
      </c>
      <c r="BD17" s="2">
        <v>1</v>
      </c>
      <c r="BE17" s="2">
        <v>1</v>
      </c>
      <c r="BF17" s="2">
        <v>1</v>
      </c>
      <c r="BG17" s="2">
        <v>1</v>
      </c>
      <c r="BH17" s="2">
        <v>1</v>
      </c>
      <c r="BI17" s="2">
        <v>1</v>
      </c>
      <c r="BJ17" s="2">
        <v>3</v>
      </c>
      <c r="BK17" s="2">
        <v>5</v>
      </c>
      <c r="BL17" s="2">
        <v>3</v>
      </c>
      <c r="BM17" s="2">
        <v>5</v>
      </c>
      <c r="BN17" s="2" t="s">
        <v>1978</v>
      </c>
      <c r="BO17" s="2">
        <v>4</v>
      </c>
      <c r="BP17" s="2">
        <v>3</v>
      </c>
      <c r="BQ17" s="2" t="s">
        <v>1978</v>
      </c>
      <c r="BR17" s="2">
        <f t="shared" si="309"/>
        <v>3</v>
      </c>
      <c r="BS17" s="2">
        <f t="shared" si="310"/>
        <v>7.5</v>
      </c>
      <c r="BT17" s="2">
        <f t="shared" si="311"/>
        <v>3</v>
      </c>
      <c r="BU17" s="2">
        <f t="shared" si="312"/>
        <v>5</v>
      </c>
      <c r="BV17" s="2" t="e">
        <f t="shared" si="313"/>
        <v>#VALUE!</v>
      </c>
      <c r="BW17" s="2">
        <f t="shared" si="314"/>
        <v>4</v>
      </c>
      <c r="BX17" s="2">
        <f t="shared" si="315"/>
        <v>3</v>
      </c>
      <c r="BY17" s="2" t="e">
        <f t="shared" si="316"/>
        <v>#VALUE!</v>
      </c>
      <c r="BZ17" s="2" t="b">
        <v>1</v>
      </c>
      <c r="CA17" s="2" t="b">
        <v>1</v>
      </c>
      <c r="CB17" s="2" t="b">
        <v>1</v>
      </c>
      <c r="CC17" s="2" t="b">
        <v>1</v>
      </c>
      <c r="CD17" s="2" t="b">
        <v>0</v>
      </c>
      <c r="CE17" s="2" t="b">
        <v>1</v>
      </c>
      <c r="CF17" s="2" t="b">
        <v>1</v>
      </c>
      <c r="CG17" s="2" t="b">
        <v>0</v>
      </c>
      <c r="CH17" s="2">
        <v>1</v>
      </c>
      <c r="CI17" s="2">
        <v>1.5</v>
      </c>
      <c r="CJ17" s="2">
        <v>1</v>
      </c>
      <c r="CK17" s="2">
        <v>1</v>
      </c>
      <c r="CL17" s="2">
        <v>1</v>
      </c>
      <c r="CM17" s="2">
        <v>1</v>
      </c>
      <c r="CN17" s="2">
        <v>1</v>
      </c>
      <c r="CO17" s="2">
        <v>1</v>
      </c>
      <c r="CP17" s="2">
        <v>4</v>
      </c>
      <c r="CQ17" s="2">
        <v>4</v>
      </c>
      <c r="CR17" s="2">
        <v>4</v>
      </c>
      <c r="CS17" s="2">
        <v>4</v>
      </c>
      <c r="CT17" s="2" t="s">
        <v>1978</v>
      </c>
      <c r="CU17" s="2">
        <v>4</v>
      </c>
      <c r="CV17" s="2">
        <v>4</v>
      </c>
      <c r="CW17" s="2">
        <v>4</v>
      </c>
      <c r="CX17" s="2">
        <f t="shared" si="317"/>
        <v>4</v>
      </c>
      <c r="CY17" s="2">
        <f t="shared" si="318"/>
        <v>6</v>
      </c>
      <c r="CZ17" s="2">
        <f t="shared" si="319"/>
        <v>4</v>
      </c>
      <c r="DA17" s="2">
        <f t="shared" si="320"/>
        <v>4</v>
      </c>
      <c r="DB17" s="2" t="e">
        <f t="shared" si="321"/>
        <v>#VALUE!</v>
      </c>
      <c r="DC17" s="2">
        <f t="shared" si="322"/>
        <v>4</v>
      </c>
      <c r="DD17" s="2">
        <f t="shared" si="323"/>
        <v>4</v>
      </c>
      <c r="DE17" s="2">
        <f t="shared" si="324"/>
        <v>4</v>
      </c>
      <c r="DF17" s="2" t="b">
        <v>1</v>
      </c>
      <c r="DG17" s="2" t="b">
        <v>1</v>
      </c>
      <c r="DH17" s="2" t="b">
        <v>1</v>
      </c>
      <c r="DI17" s="2" t="b">
        <v>1</v>
      </c>
      <c r="DJ17" s="2" t="b">
        <v>0</v>
      </c>
      <c r="DK17" s="2" t="b">
        <v>1</v>
      </c>
      <c r="DL17" s="2" t="b">
        <v>1</v>
      </c>
      <c r="DM17" s="2" t="b">
        <v>0</v>
      </c>
      <c r="DN17" s="2" t="s">
        <v>1978</v>
      </c>
      <c r="DO17" s="2" t="s">
        <v>1978</v>
      </c>
      <c r="DP17" s="2" t="s">
        <v>1978</v>
      </c>
      <c r="DQ17" s="2" t="s">
        <v>1978</v>
      </c>
      <c r="DR17" s="2" t="s">
        <v>1978</v>
      </c>
      <c r="DS17" s="2" t="s">
        <v>1978</v>
      </c>
      <c r="DT17" s="2" t="s">
        <v>1978</v>
      </c>
      <c r="DU17" s="2" t="s">
        <v>1978</v>
      </c>
      <c r="DV17" s="2" t="s">
        <v>1978</v>
      </c>
      <c r="DW17" s="2" t="s">
        <v>1978</v>
      </c>
      <c r="DX17" s="2" t="s">
        <v>1978</v>
      </c>
      <c r="DY17" s="2" t="s">
        <v>1978</v>
      </c>
      <c r="DZ17" s="2" t="s">
        <v>1978</v>
      </c>
      <c r="EA17" s="2" t="s">
        <v>1978</v>
      </c>
      <c r="EB17" s="2" t="s">
        <v>1978</v>
      </c>
      <c r="EC17" s="2" t="s">
        <v>1978</v>
      </c>
      <c r="ED17" s="2" t="s">
        <v>1978</v>
      </c>
      <c r="EE17" s="2" t="s">
        <v>1978</v>
      </c>
      <c r="EF17" s="2" t="s">
        <v>1978</v>
      </c>
      <c r="EG17" s="2" t="s">
        <v>1978</v>
      </c>
      <c r="EH17" s="2" t="s">
        <v>1978</v>
      </c>
      <c r="EI17" s="2" t="s">
        <v>1978</v>
      </c>
      <c r="EJ17" s="2" t="s">
        <v>1978</v>
      </c>
      <c r="EK17" s="2" t="s">
        <v>1978</v>
      </c>
      <c r="EL17" s="2" t="s">
        <v>1978</v>
      </c>
      <c r="EM17" s="2" t="s">
        <v>1978</v>
      </c>
      <c r="EN17" s="2" t="s">
        <v>1978</v>
      </c>
      <c r="EO17" s="2" t="s">
        <v>1978</v>
      </c>
      <c r="EP17" s="2" t="s">
        <v>1978</v>
      </c>
      <c r="EQ17" s="2" t="s">
        <v>1978</v>
      </c>
      <c r="ER17" s="2" t="s">
        <v>1978</v>
      </c>
      <c r="ES17" s="2" t="s">
        <v>1978</v>
      </c>
    </row>
    <row r="18" spans="1:149" x14ac:dyDescent="0.3">
      <c r="A18" s="2" t="s">
        <v>27</v>
      </c>
      <c r="B18" s="2" t="s">
        <v>2148</v>
      </c>
      <c r="C18" s="2" t="s">
        <v>2149</v>
      </c>
      <c r="D18" s="2" t="s">
        <v>30</v>
      </c>
      <c r="E18" s="2" t="s">
        <v>1967</v>
      </c>
      <c r="F18" s="2" t="s">
        <v>1978</v>
      </c>
      <c r="G18" s="2">
        <f t="shared" si="298"/>
        <v>25</v>
      </c>
      <c r="H18" s="2">
        <f t="shared" si="299"/>
        <v>24</v>
      </c>
      <c r="I18" s="2" t="s">
        <v>1970</v>
      </c>
      <c r="J18" s="2" t="s">
        <v>1978</v>
      </c>
      <c r="K18" s="2" t="s">
        <v>1970</v>
      </c>
      <c r="L18" s="2" t="s">
        <v>1970</v>
      </c>
      <c r="M18" s="2" t="s">
        <v>1978</v>
      </c>
      <c r="N18" s="344" t="s">
        <v>1978</v>
      </c>
      <c r="O18" s="344" t="s">
        <v>1978</v>
      </c>
      <c r="P18" s="344" t="s">
        <v>1978</v>
      </c>
      <c r="Q18" s="344" t="s">
        <v>1978</v>
      </c>
      <c r="R18" s="344" t="s">
        <v>1978</v>
      </c>
      <c r="S18" s="344" t="s">
        <v>1978</v>
      </c>
      <c r="T18" s="2" t="s">
        <v>28</v>
      </c>
      <c r="U18" s="2" t="s">
        <v>2150</v>
      </c>
      <c r="X18" s="344">
        <f>'A123'!J26</f>
        <v>20</v>
      </c>
      <c r="Y18" s="344">
        <f>'A123'!K26</f>
        <v>16</v>
      </c>
      <c r="Z18" s="344">
        <f>'A123'!L26</f>
        <v>21.2</v>
      </c>
      <c r="AA18" s="2" t="s">
        <v>2150</v>
      </c>
      <c r="AB18" s="2" t="str">
        <f>入學要求!X27</f>
        <v>/</v>
      </c>
      <c r="AC18" s="2" t="str">
        <f>入學要求!Y27</f>
        <v>/</v>
      </c>
      <c r="AD18" s="2" t="s">
        <v>1967</v>
      </c>
      <c r="AE18" s="2" t="s">
        <v>1978</v>
      </c>
      <c r="AF18" s="2" t="s">
        <v>1978</v>
      </c>
      <c r="AG18" s="2" t="s">
        <v>1978</v>
      </c>
      <c r="AH18" s="2" t="s">
        <v>1978</v>
      </c>
      <c r="AI18" s="2" t="s">
        <v>1978</v>
      </c>
      <c r="AJ18" s="2" t="s">
        <v>2689</v>
      </c>
      <c r="AK18" s="2" t="s">
        <v>2151</v>
      </c>
      <c r="AL18" s="2" t="s">
        <v>2686</v>
      </c>
      <c r="AM18" s="2" t="s">
        <v>1978</v>
      </c>
      <c r="AN18" s="2" t="s">
        <v>1978</v>
      </c>
      <c r="AO18" s="2" t="s">
        <v>1978</v>
      </c>
      <c r="AP18" s="251" t="s">
        <v>1978</v>
      </c>
      <c r="AQ18" s="344" t="s">
        <v>1970</v>
      </c>
      <c r="AR18" s="2" t="s">
        <v>2150</v>
      </c>
      <c r="AS18" s="2" t="s">
        <v>3608</v>
      </c>
      <c r="AV18" s="344" t="s">
        <v>1987</v>
      </c>
      <c r="BB18" s="2">
        <v>1</v>
      </c>
      <c r="BC18" s="2">
        <v>1</v>
      </c>
      <c r="BD18" s="2">
        <v>1</v>
      </c>
      <c r="BE18" s="2">
        <v>1</v>
      </c>
      <c r="BF18" s="2">
        <v>1</v>
      </c>
      <c r="BG18" s="2">
        <v>1</v>
      </c>
      <c r="BH18" s="2">
        <v>1</v>
      </c>
      <c r="BI18" s="2">
        <v>1</v>
      </c>
      <c r="BJ18" s="2">
        <v>3</v>
      </c>
      <c r="BK18" s="2">
        <v>4</v>
      </c>
      <c r="BL18" s="2">
        <v>5</v>
      </c>
      <c r="BM18" s="2">
        <v>4</v>
      </c>
      <c r="BN18" s="2">
        <v>4</v>
      </c>
      <c r="BO18" s="2">
        <v>4</v>
      </c>
      <c r="BP18" s="2">
        <v>4</v>
      </c>
      <c r="BQ18" s="2">
        <v>4</v>
      </c>
      <c r="BR18" s="2">
        <f t="shared" si="309"/>
        <v>3</v>
      </c>
      <c r="BS18" s="2">
        <f t="shared" si="310"/>
        <v>4</v>
      </c>
      <c r="BT18" s="2">
        <f t="shared" si="311"/>
        <v>5</v>
      </c>
      <c r="BU18" s="2">
        <f t="shared" si="312"/>
        <v>4</v>
      </c>
      <c r="BV18" s="2">
        <f t="shared" si="313"/>
        <v>4</v>
      </c>
      <c r="BW18" s="2">
        <f t="shared" si="314"/>
        <v>4</v>
      </c>
      <c r="BX18" s="2">
        <f t="shared" si="315"/>
        <v>4</v>
      </c>
      <c r="BY18" s="2">
        <f t="shared" si="316"/>
        <v>4</v>
      </c>
      <c r="BZ18" s="2" t="b">
        <v>1</v>
      </c>
      <c r="CA18" s="2" t="b">
        <v>1</v>
      </c>
      <c r="CB18" s="2" t="b">
        <v>1</v>
      </c>
      <c r="CC18" s="2" t="b">
        <v>1</v>
      </c>
      <c r="CD18" s="2" t="b">
        <v>0</v>
      </c>
      <c r="CE18" s="2" t="b">
        <v>1</v>
      </c>
      <c r="CF18" s="2" t="b">
        <v>1</v>
      </c>
      <c r="CG18" s="2" t="b">
        <v>0</v>
      </c>
      <c r="CH18" s="2">
        <v>1</v>
      </c>
      <c r="CI18" s="2">
        <v>1</v>
      </c>
      <c r="CJ18" s="2">
        <v>1</v>
      </c>
      <c r="CK18" s="2">
        <v>1</v>
      </c>
      <c r="CL18" s="2">
        <v>1</v>
      </c>
      <c r="CM18" s="2">
        <v>1</v>
      </c>
      <c r="CN18" s="2">
        <v>1</v>
      </c>
      <c r="CO18" s="2">
        <v>1</v>
      </c>
      <c r="CP18" s="2">
        <v>4</v>
      </c>
      <c r="CQ18" s="2">
        <v>4</v>
      </c>
      <c r="CR18" s="2">
        <v>5</v>
      </c>
      <c r="CS18" s="2">
        <v>4</v>
      </c>
      <c r="CT18" s="2" t="s">
        <v>1978</v>
      </c>
      <c r="CU18" s="2">
        <v>4</v>
      </c>
      <c r="CV18" s="2">
        <v>4</v>
      </c>
      <c r="CW18" s="2" t="s">
        <v>1978</v>
      </c>
      <c r="CX18" s="2">
        <f t="shared" si="317"/>
        <v>4</v>
      </c>
      <c r="CY18" s="2">
        <f t="shared" si="318"/>
        <v>4</v>
      </c>
      <c r="CZ18" s="2">
        <f t="shared" si="319"/>
        <v>5</v>
      </c>
      <c r="DA18" s="2">
        <f t="shared" si="320"/>
        <v>4</v>
      </c>
      <c r="DB18" s="2" t="e">
        <f t="shared" si="321"/>
        <v>#VALUE!</v>
      </c>
      <c r="DC18" s="2">
        <f t="shared" si="322"/>
        <v>4</v>
      </c>
      <c r="DD18" s="2">
        <f t="shared" si="323"/>
        <v>4</v>
      </c>
      <c r="DE18" s="2" t="e">
        <f t="shared" si="324"/>
        <v>#VALUE!</v>
      </c>
      <c r="DF18" s="2" t="b">
        <v>1</v>
      </c>
      <c r="DG18" s="2" t="b">
        <v>1</v>
      </c>
      <c r="DH18" s="2" t="b">
        <v>1</v>
      </c>
      <c r="DI18" s="2" t="b">
        <v>1</v>
      </c>
      <c r="DJ18" s="2" t="b">
        <v>0</v>
      </c>
      <c r="DK18" s="2" t="b">
        <v>1</v>
      </c>
      <c r="DL18" s="2" t="b">
        <v>1</v>
      </c>
      <c r="DM18" s="2" t="b">
        <v>0</v>
      </c>
      <c r="DN18" s="2" t="s">
        <v>1978</v>
      </c>
      <c r="DO18" s="2" t="s">
        <v>1978</v>
      </c>
      <c r="DP18" s="2" t="s">
        <v>1978</v>
      </c>
      <c r="DQ18" s="2" t="s">
        <v>1978</v>
      </c>
      <c r="DR18" s="2" t="s">
        <v>1978</v>
      </c>
      <c r="DS18" s="2" t="s">
        <v>1978</v>
      </c>
      <c r="DT18" s="2" t="s">
        <v>1978</v>
      </c>
      <c r="DU18" s="2" t="s">
        <v>1978</v>
      </c>
      <c r="DV18" s="2" t="s">
        <v>1978</v>
      </c>
      <c r="DW18" s="2" t="s">
        <v>1978</v>
      </c>
      <c r="DX18" s="2" t="s">
        <v>1978</v>
      </c>
      <c r="DY18" s="2" t="s">
        <v>1978</v>
      </c>
      <c r="DZ18" s="2" t="s">
        <v>1978</v>
      </c>
      <c r="EA18" s="2" t="s">
        <v>1978</v>
      </c>
      <c r="EB18" s="2" t="s">
        <v>1978</v>
      </c>
      <c r="EC18" s="2" t="s">
        <v>1978</v>
      </c>
      <c r="ED18" s="2" t="s">
        <v>1978</v>
      </c>
      <c r="EE18" s="2" t="s">
        <v>1978</v>
      </c>
      <c r="EF18" s="2" t="s">
        <v>1978</v>
      </c>
      <c r="EG18" s="2" t="s">
        <v>1978</v>
      </c>
      <c r="EH18" s="2" t="s">
        <v>1978</v>
      </c>
      <c r="EI18" s="2" t="s">
        <v>1978</v>
      </c>
      <c r="EJ18" s="2" t="s">
        <v>1978</v>
      </c>
      <c r="EK18" s="2" t="s">
        <v>1978</v>
      </c>
      <c r="EL18" s="2" t="s">
        <v>1978</v>
      </c>
      <c r="EM18" s="2" t="s">
        <v>1978</v>
      </c>
      <c r="EN18" s="2" t="s">
        <v>1978</v>
      </c>
      <c r="EO18" s="2" t="s">
        <v>1978</v>
      </c>
      <c r="EP18" s="2" t="s">
        <v>1978</v>
      </c>
      <c r="EQ18" s="2" t="s">
        <v>1978</v>
      </c>
      <c r="ER18" s="2" t="s">
        <v>1978</v>
      </c>
      <c r="ES18" s="2" t="s">
        <v>1978</v>
      </c>
    </row>
    <row r="19" spans="1:149" x14ac:dyDescent="0.3">
      <c r="A19" s="2" t="s">
        <v>31</v>
      </c>
      <c r="B19" s="2" t="s">
        <v>2148</v>
      </c>
      <c r="C19" s="2" t="s">
        <v>2149</v>
      </c>
      <c r="D19" s="2" t="s">
        <v>34</v>
      </c>
      <c r="E19" s="2" t="s">
        <v>1967</v>
      </c>
      <c r="F19" s="2" t="s">
        <v>1978</v>
      </c>
      <c r="G19" s="2">
        <f t="shared" si="298"/>
        <v>23</v>
      </c>
      <c r="H19" s="2">
        <f t="shared" si="299"/>
        <v>23</v>
      </c>
      <c r="I19" s="2" t="s">
        <v>1970</v>
      </c>
      <c r="J19" s="2" t="s">
        <v>1978</v>
      </c>
      <c r="K19" s="2" t="s">
        <v>1970</v>
      </c>
      <c r="L19" s="2" t="s">
        <v>1970</v>
      </c>
      <c r="M19" s="2" t="s">
        <v>1978</v>
      </c>
      <c r="N19" s="344" t="s">
        <v>1978</v>
      </c>
      <c r="O19" s="344" t="s">
        <v>1978</v>
      </c>
      <c r="P19" s="344" t="s">
        <v>1978</v>
      </c>
      <c r="Q19" s="344" t="s">
        <v>1978</v>
      </c>
      <c r="R19" s="344" t="s">
        <v>1978</v>
      </c>
      <c r="S19" s="344" t="s">
        <v>1978</v>
      </c>
      <c r="T19" s="2" t="s">
        <v>32</v>
      </c>
      <c r="U19" s="2" t="s">
        <v>2150</v>
      </c>
      <c r="X19" s="344">
        <f>'A123'!J27</f>
        <v>36</v>
      </c>
      <c r="Y19" s="344">
        <f>'A123'!K27</f>
        <v>45</v>
      </c>
      <c r="Z19" s="344">
        <f>'A123'!L27</f>
        <v>9.4318181818181817</v>
      </c>
      <c r="AA19" s="2" t="s">
        <v>2150</v>
      </c>
      <c r="AB19" s="2" t="str">
        <f>入學要求!X28</f>
        <v>/</v>
      </c>
      <c r="AC19" s="2" t="str">
        <f>入學要求!Y28</f>
        <v>/</v>
      </c>
      <c r="AD19" s="2" t="s">
        <v>1967</v>
      </c>
      <c r="AE19" s="2" t="s">
        <v>1978</v>
      </c>
      <c r="AF19" s="2" t="s">
        <v>1978</v>
      </c>
      <c r="AG19" s="2" t="s">
        <v>1978</v>
      </c>
      <c r="AH19" s="2" t="s">
        <v>1978</v>
      </c>
      <c r="AI19" s="2" t="s">
        <v>1978</v>
      </c>
      <c r="AJ19" s="2" t="s">
        <v>2689</v>
      </c>
      <c r="AK19" s="2" t="s">
        <v>2151</v>
      </c>
      <c r="AL19" s="2" t="s">
        <v>2686</v>
      </c>
      <c r="AM19" s="2" t="s">
        <v>1978</v>
      </c>
      <c r="AN19" s="2" t="s">
        <v>1978</v>
      </c>
      <c r="AO19" s="2" t="s">
        <v>1978</v>
      </c>
      <c r="AP19" s="251" t="s">
        <v>1978</v>
      </c>
      <c r="AQ19" s="344" t="s">
        <v>1970</v>
      </c>
      <c r="AR19" s="2" t="s">
        <v>2150</v>
      </c>
      <c r="AS19" s="2" t="s">
        <v>3608</v>
      </c>
      <c r="AV19" s="344" t="s">
        <v>1987</v>
      </c>
      <c r="BB19" s="2">
        <v>1</v>
      </c>
      <c r="BC19" s="2">
        <v>1</v>
      </c>
      <c r="BD19" s="2">
        <v>1</v>
      </c>
      <c r="BE19" s="2">
        <v>1</v>
      </c>
      <c r="BF19" s="2">
        <v>1</v>
      </c>
      <c r="BG19" s="2">
        <v>1</v>
      </c>
      <c r="BH19" s="2">
        <v>1</v>
      </c>
      <c r="BI19" s="2">
        <v>1</v>
      </c>
      <c r="BJ19" s="2">
        <v>3</v>
      </c>
      <c r="BK19" s="2">
        <v>4</v>
      </c>
      <c r="BL19" s="2">
        <v>5</v>
      </c>
      <c r="BM19" s="2">
        <v>3</v>
      </c>
      <c r="BN19" s="2" t="s">
        <v>1978</v>
      </c>
      <c r="BO19" s="2">
        <v>4</v>
      </c>
      <c r="BP19" s="2">
        <v>4</v>
      </c>
      <c r="BQ19" s="2" t="s">
        <v>1978</v>
      </c>
      <c r="BR19" s="2">
        <f t="shared" si="309"/>
        <v>3</v>
      </c>
      <c r="BS19" s="2">
        <f t="shared" si="310"/>
        <v>4</v>
      </c>
      <c r="BT19" s="2">
        <f t="shared" si="311"/>
        <v>5</v>
      </c>
      <c r="BU19" s="2">
        <f t="shared" si="312"/>
        <v>3</v>
      </c>
      <c r="BV19" s="2" t="e">
        <f t="shared" si="313"/>
        <v>#VALUE!</v>
      </c>
      <c r="BW19" s="2">
        <f t="shared" si="314"/>
        <v>4</v>
      </c>
      <c r="BX19" s="2">
        <f t="shared" si="315"/>
        <v>4</v>
      </c>
      <c r="BY19" s="2" t="e">
        <f t="shared" si="316"/>
        <v>#VALUE!</v>
      </c>
      <c r="BZ19" s="2" t="b">
        <v>1</v>
      </c>
      <c r="CA19" s="2" t="b">
        <v>1</v>
      </c>
      <c r="CB19" s="2" t="b">
        <v>1</v>
      </c>
      <c r="CC19" s="2" t="b">
        <v>1</v>
      </c>
      <c r="CD19" s="2" t="b">
        <v>0</v>
      </c>
      <c r="CE19" s="2" t="b">
        <v>1</v>
      </c>
      <c r="CF19" s="2" t="b">
        <v>1</v>
      </c>
      <c r="CG19" s="2" t="b">
        <v>0</v>
      </c>
      <c r="CH19" s="2">
        <v>1</v>
      </c>
      <c r="CI19" s="2">
        <v>1</v>
      </c>
      <c r="CJ19" s="2">
        <v>1</v>
      </c>
      <c r="CK19" s="2">
        <v>1</v>
      </c>
      <c r="CL19" s="2">
        <v>1</v>
      </c>
      <c r="CM19" s="2">
        <v>1</v>
      </c>
      <c r="CN19" s="2">
        <v>1</v>
      </c>
      <c r="CO19" s="2">
        <v>1</v>
      </c>
      <c r="CP19" s="2">
        <v>4</v>
      </c>
      <c r="CQ19" s="2">
        <v>4</v>
      </c>
      <c r="CR19" s="2">
        <v>4</v>
      </c>
      <c r="CS19" s="2">
        <v>4</v>
      </c>
      <c r="CT19" s="2" t="s">
        <v>1978</v>
      </c>
      <c r="CU19" s="2">
        <v>4</v>
      </c>
      <c r="CV19" s="2">
        <v>3</v>
      </c>
      <c r="CW19" s="2" t="s">
        <v>1978</v>
      </c>
      <c r="CX19" s="2">
        <f t="shared" si="317"/>
        <v>4</v>
      </c>
      <c r="CY19" s="2">
        <f t="shared" si="318"/>
        <v>4</v>
      </c>
      <c r="CZ19" s="2">
        <f t="shared" si="319"/>
        <v>4</v>
      </c>
      <c r="DA19" s="2">
        <f t="shared" si="320"/>
        <v>4</v>
      </c>
      <c r="DB19" s="2" t="e">
        <f t="shared" si="321"/>
        <v>#VALUE!</v>
      </c>
      <c r="DC19" s="2">
        <f t="shared" si="322"/>
        <v>4</v>
      </c>
      <c r="DD19" s="2">
        <f t="shared" si="323"/>
        <v>3</v>
      </c>
      <c r="DE19" s="2" t="e">
        <f t="shared" si="324"/>
        <v>#VALUE!</v>
      </c>
      <c r="DF19" s="2" t="b">
        <v>1</v>
      </c>
      <c r="DG19" s="2" t="b">
        <v>1</v>
      </c>
      <c r="DH19" s="2" t="b">
        <v>1</v>
      </c>
      <c r="DI19" s="2" t="b">
        <v>1</v>
      </c>
      <c r="DJ19" s="2" t="b">
        <v>0</v>
      </c>
      <c r="DK19" s="2" t="b">
        <v>1</v>
      </c>
      <c r="DL19" s="2" t="b">
        <v>1</v>
      </c>
      <c r="DM19" s="2" t="b">
        <v>0</v>
      </c>
      <c r="DN19" s="2" t="s">
        <v>1978</v>
      </c>
      <c r="DO19" s="2" t="s">
        <v>1978</v>
      </c>
      <c r="DP19" s="2" t="s">
        <v>1978</v>
      </c>
      <c r="DQ19" s="2" t="s">
        <v>1978</v>
      </c>
      <c r="DR19" s="2" t="s">
        <v>1978</v>
      </c>
      <c r="DS19" s="2" t="s">
        <v>1978</v>
      </c>
      <c r="DT19" s="2" t="s">
        <v>1978</v>
      </c>
      <c r="DU19" s="2" t="s">
        <v>1978</v>
      </c>
      <c r="DV19" s="2" t="s">
        <v>1978</v>
      </c>
      <c r="DW19" s="2" t="s">
        <v>1978</v>
      </c>
      <c r="DX19" s="2" t="s">
        <v>1978</v>
      </c>
      <c r="DY19" s="2" t="s">
        <v>1978</v>
      </c>
      <c r="DZ19" s="2" t="s">
        <v>1978</v>
      </c>
      <c r="EA19" s="2" t="s">
        <v>1978</v>
      </c>
      <c r="EB19" s="2" t="s">
        <v>1978</v>
      </c>
      <c r="EC19" s="2" t="s">
        <v>1978</v>
      </c>
      <c r="ED19" s="2" t="s">
        <v>1978</v>
      </c>
      <c r="EE19" s="2" t="s">
        <v>1978</v>
      </c>
      <c r="EF19" s="2" t="s">
        <v>1978</v>
      </c>
      <c r="EG19" s="2" t="s">
        <v>1978</v>
      </c>
      <c r="EH19" s="2" t="s">
        <v>1978</v>
      </c>
      <c r="EI19" s="2" t="s">
        <v>1978</v>
      </c>
      <c r="EJ19" s="2" t="s">
        <v>1978</v>
      </c>
      <c r="EK19" s="2" t="s">
        <v>1978</v>
      </c>
      <c r="EL19" s="2" t="s">
        <v>1978</v>
      </c>
      <c r="EM19" s="2" t="s">
        <v>1978</v>
      </c>
      <c r="EN19" s="2" t="s">
        <v>1978</v>
      </c>
      <c r="EO19" s="2" t="s">
        <v>1978</v>
      </c>
      <c r="EP19" s="2" t="s">
        <v>1978</v>
      </c>
      <c r="EQ19" s="2" t="s">
        <v>1978</v>
      </c>
      <c r="ER19" s="2" t="s">
        <v>1978</v>
      </c>
      <c r="ES19" s="2" t="s">
        <v>1978</v>
      </c>
    </row>
    <row r="20" spans="1:149" x14ac:dyDescent="0.3">
      <c r="A20" s="2" t="s">
        <v>35</v>
      </c>
      <c r="B20" s="2" t="s">
        <v>2148</v>
      </c>
      <c r="C20" s="2" t="s">
        <v>2149</v>
      </c>
      <c r="D20" s="2" t="s">
        <v>38</v>
      </c>
      <c r="E20" s="2" t="s">
        <v>1967</v>
      </c>
      <c r="F20" s="2" t="s">
        <v>1978</v>
      </c>
      <c r="G20" s="2">
        <f t="shared" si="298"/>
        <v>23</v>
      </c>
      <c r="H20" s="2">
        <f t="shared" si="299"/>
        <v>23</v>
      </c>
      <c r="I20" s="2" t="s">
        <v>1970</v>
      </c>
      <c r="J20" s="2" t="s">
        <v>1978</v>
      </c>
      <c r="K20" s="2" t="s">
        <v>1970</v>
      </c>
      <c r="L20" s="2" t="s">
        <v>1970</v>
      </c>
      <c r="M20" s="2" t="s">
        <v>1978</v>
      </c>
      <c r="N20" s="344" t="s">
        <v>1978</v>
      </c>
      <c r="O20" s="344" t="s">
        <v>1978</v>
      </c>
      <c r="P20" s="344" t="s">
        <v>1978</v>
      </c>
      <c r="Q20" s="344" t="s">
        <v>1978</v>
      </c>
      <c r="R20" s="344" t="s">
        <v>1978</v>
      </c>
      <c r="S20" s="344" t="s">
        <v>1978</v>
      </c>
      <c r="T20" s="2" t="s">
        <v>36</v>
      </c>
      <c r="U20" s="2" t="s">
        <v>2150</v>
      </c>
      <c r="X20" s="344">
        <f>'A123'!J28</f>
        <v>109</v>
      </c>
      <c r="Y20" s="344">
        <f>'A123'!K28</f>
        <v>112</v>
      </c>
      <c r="Z20" s="344">
        <f>'A123'!L28</f>
        <v>13.355140186915888</v>
      </c>
      <c r="AA20" s="2" t="s">
        <v>2150</v>
      </c>
      <c r="AB20" s="2" t="str">
        <f>入學要求!X29</f>
        <v>/</v>
      </c>
      <c r="AC20" s="2" t="str">
        <f>入學要求!Y29</f>
        <v>/</v>
      </c>
      <c r="AD20" s="2" t="s">
        <v>1967</v>
      </c>
      <c r="AE20" s="2" t="s">
        <v>1978</v>
      </c>
      <c r="AF20" s="2" t="s">
        <v>1978</v>
      </c>
      <c r="AG20" s="2" t="s">
        <v>1978</v>
      </c>
      <c r="AH20" s="2" t="s">
        <v>1978</v>
      </c>
      <c r="AI20" s="2" t="s">
        <v>1978</v>
      </c>
      <c r="AJ20" s="2" t="s">
        <v>2689</v>
      </c>
      <c r="AK20" s="2" t="s">
        <v>2151</v>
      </c>
      <c r="AL20" s="2" t="s">
        <v>2686</v>
      </c>
      <c r="AM20" s="2" t="s">
        <v>1978</v>
      </c>
      <c r="AN20" s="2" t="s">
        <v>1978</v>
      </c>
      <c r="AO20" s="2" t="s">
        <v>1978</v>
      </c>
      <c r="AP20" s="251" t="s">
        <v>1978</v>
      </c>
      <c r="AQ20" s="344" t="s">
        <v>1970</v>
      </c>
      <c r="AR20" s="2" t="s">
        <v>2150</v>
      </c>
      <c r="AS20" s="2" t="s">
        <v>3608</v>
      </c>
      <c r="AV20" s="344" t="s">
        <v>1987</v>
      </c>
      <c r="BB20" s="2">
        <v>1</v>
      </c>
      <c r="BC20" s="2">
        <v>1</v>
      </c>
      <c r="BD20" s="2">
        <v>1</v>
      </c>
      <c r="BE20" s="2">
        <v>1</v>
      </c>
      <c r="BF20" s="2">
        <v>1</v>
      </c>
      <c r="BG20" s="2">
        <v>1</v>
      </c>
      <c r="BH20" s="2">
        <v>1</v>
      </c>
      <c r="BI20" s="2">
        <v>1</v>
      </c>
      <c r="BJ20" s="2">
        <v>4</v>
      </c>
      <c r="BK20" s="2">
        <v>4</v>
      </c>
      <c r="BL20" s="2">
        <v>3</v>
      </c>
      <c r="BM20" s="2">
        <v>5</v>
      </c>
      <c r="BN20" s="2" t="s">
        <v>1978</v>
      </c>
      <c r="BO20" s="2">
        <v>4</v>
      </c>
      <c r="BP20" s="2">
        <v>3</v>
      </c>
      <c r="BQ20" s="2">
        <v>3</v>
      </c>
      <c r="BR20" s="2">
        <f t="shared" si="309"/>
        <v>4</v>
      </c>
      <c r="BS20" s="2">
        <f t="shared" si="310"/>
        <v>4</v>
      </c>
      <c r="BT20" s="2">
        <f t="shared" si="311"/>
        <v>3</v>
      </c>
      <c r="BU20" s="2">
        <f t="shared" si="312"/>
        <v>5</v>
      </c>
      <c r="BV20" s="2" t="e">
        <f t="shared" si="313"/>
        <v>#VALUE!</v>
      </c>
      <c r="BW20" s="2">
        <f t="shared" si="314"/>
        <v>4</v>
      </c>
      <c r="BX20" s="2">
        <f t="shared" si="315"/>
        <v>3</v>
      </c>
      <c r="BY20" s="2">
        <f t="shared" si="316"/>
        <v>3</v>
      </c>
      <c r="BZ20" s="2" t="b">
        <v>1</v>
      </c>
      <c r="CA20" s="2" t="b">
        <v>1</v>
      </c>
      <c r="CB20" s="2" t="b">
        <v>1</v>
      </c>
      <c r="CC20" s="2" t="b">
        <v>1</v>
      </c>
      <c r="CD20" s="2" t="b">
        <v>0</v>
      </c>
      <c r="CE20" s="2" t="b">
        <v>1</v>
      </c>
      <c r="CF20" s="2" t="b">
        <v>1</v>
      </c>
      <c r="CG20" s="2" t="b">
        <v>0</v>
      </c>
      <c r="CH20" s="2">
        <v>1</v>
      </c>
      <c r="CI20" s="2">
        <v>1</v>
      </c>
      <c r="CJ20" s="2">
        <v>1</v>
      </c>
      <c r="CK20" s="2">
        <v>1</v>
      </c>
      <c r="CL20" s="2">
        <v>1</v>
      </c>
      <c r="CM20" s="2">
        <v>1</v>
      </c>
      <c r="CN20" s="2">
        <v>1</v>
      </c>
      <c r="CO20" s="2">
        <v>1</v>
      </c>
      <c r="CP20" s="2">
        <v>3</v>
      </c>
      <c r="CQ20" s="2">
        <v>5</v>
      </c>
      <c r="CR20" s="2">
        <v>4</v>
      </c>
      <c r="CS20" s="2">
        <v>3</v>
      </c>
      <c r="CT20" s="2" t="s">
        <v>1978</v>
      </c>
      <c r="CU20" s="2">
        <v>4</v>
      </c>
      <c r="CV20" s="2">
        <v>4</v>
      </c>
      <c r="CW20" s="2">
        <v>4</v>
      </c>
      <c r="CX20" s="2">
        <f t="shared" si="317"/>
        <v>3</v>
      </c>
      <c r="CY20" s="2">
        <f t="shared" si="318"/>
        <v>5</v>
      </c>
      <c r="CZ20" s="2">
        <f t="shared" si="319"/>
        <v>4</v>
      </c>
      <c r="DA20" s="2">
        <f t="shared" si="320"/>
        <v>3</v>
      </c>
      <c r="DB20" s="2" t="e">
        <f t="shared" si="321"/>
        <v>#VALUE!</v>
      </c>
      <c r="DC20" s="2">
        <f t="shared" si="322"/>
        <v>4</v>
      </c>
      <c r="DD20" s="2">
        <f t="shared" si="323"/>
        <v>4</v>
      </c>
      <c r="DE20" s="2">
        <f t="shared" si="324"/>
        <v>4</v>
      </c>
      <c r="DF20" s="2" t="b">
        <v>1</v>
      </c>
      <c r="DG20" s="2" t="b">
        <v>1</v>
      </c>
      <c r="DH20" s="2" t="b">
        <v>1</v>
      </c>
      <c r="DI20" s="2" t="b">
        <v>1</v>
      </c>
      <c r="DJ20" s="2" t="b">
        <v>0</v>
      </c>
      <c r="DK20" s="2" t="b">
        <v>1</v>
      </c>
      <c r="DL20" s="2" t="b">
        <v>1</v>
      </c>
      <c r="DM20" s="2" t="b">
        <v>0</v>
      </c>
      <c r="DN20" s="2" t="s">
        <v>1978</v>
      </c>
      <c r="DO20" s="2" t="s">
        <v>1978</v>
      </c>
      <c r="DP20" s="2" t="s">
        <v>1978</v>
      </c>
      <c r="DQ20" s="2" t="s">
        <v>1978</v>
      </c>
      <c r="DR20" s="2" t="s">
        <v>1978</v>
      </c>
      <c r="DS20" s="2" t="s">
        <v>1978</v>
      </c>
      <c r="DT20" s="2" t="s">
        <v>1978</v>
      </c>
      <c r="DU20" s="2" t="s">
        <v>1978</v>
      </c>
      <c r="DV20" s="2" t="s">
        <v>1978</v>
      </c>
      <c r="DW20" s="2" t="s">
        <v>1978</v>
      </c>
      <c r="DX20" s="2" t="s">
        <v>1978</v>
      </c>
      <c r="DY20" s="2" t="s">
        <v>1978</v>
      </c>
      <c r="DZ20" s="2" t="s">
        <v>1978</v>
      </c>
      <c r="EA20" s="2" t="s">
        <v>1978</v>
      </c>
      <c r="EB20" s="2" t="s">
        <v>1978</v>
      </c>
      <c r="EC20" s="2" t="s">
        <v>1978</v>
      </c>
      <c r="ED20" s="2" t="s">
        <v>1978</v>
      </c>
      <c r="EE20" s="2" t="s">
        <v>1978</v>
      </c>
      <c r="EF20" s="2" t="s">
        <v>1978</v>
      </c>
      <c r="EG20" s="2" t="s">
        <v>1978</v>
      </c>
      <c r="EH20" s="2" t="s">
        <v>1978</v>
      </c>
      <c r="EI20" s="2" t="s">
        <v>1978</v>
      </c>
      <c r="EJ20" s="2" t="s">
        <v>1978</v>
      </c>
      <c r="EK20" s="2" t="s">
        <v>1978</v>
      </c>
      <c r="EL20" s="2" t="s">
        <v>1978</v>
      </c>
      <c r="EM20" s="2" t="s">
        <v>1978</v>
      </c>
      <c r="EN20" s="2" t="s">
        <v>1978</v>
      </c>
      <c r="EO20" s="2" t="s">
        <v>1978</v>
      </c>
      <c r="EP20" s="2" t="s">
        <v>1978</v>
      </c>
      <c r="EQ20" s="2" t="s">
        <v>1978</v>
      </c>
      <c r="ER20" s="2" t="s">
        <v>1978</v>
      </c>
      <c r="ES20" s="2" t="s">
        <v>1978</v>
      </c>
    </row>
    <row r="21" spans="1:149" x14ac:dyDescent="0.3">
      <c r="A21" s="2" t="s">
        <v>39</v>
      </c>
      <c r="B21" s="2" t="s">
        <v>2148</v>
      </c>
      <c r="C21" s="2" t="s">
        <v>2149</v>
      </c>
      <c r="D21" s="2" t="s">
        <v>42</v>
      </c>
      <c r="E21" s="2" t="s">
        <v>1967</v>
      </c>
      <c r="F21" s="2" t="s">
        <v>1978</v>
      </c>
      <c r="G21" s="2">
        <f t="shared" si="298"/>
        <v>24</v>
      </c>
      <c r="H21" s="2">
        <f t="shared" si="299"/>
        <v>23</v>
      </c>
      <c r="I21" s="2" t="s">
        <v>1970</v>
      </c>
      <c r="J21" s="2" t="s">
        <v>1978</v>
      </c>
      <c r="K21" s="2" t="s">
        <v>1970</v>
      </c>
      <c r="L21" s="2" t="s">
        <v>1970</v>
      </c>
      <c r="M21" s="2" t="s">
        <v>1978</v>
      </c>
      <c r="N21" s="344" t="s">
        <v>1978</v>
      </c>
      <c r="O21" s="344" t="s">
        <v>1978</v>
      </c>
      <c r="P21" s="344" t="s">
        <v>1978</v>
      </c>
      <c r="Q21" s="344" t="s">
        <v>1978</v>
      </c>
      <c r="R21" s="344" t="s">
        <v>1978</v>
      </c>
      <c r="S21" s="344" t="s">
        <v>1978</v>
      </c>
      <c r="T21" s="2" t="s">
        <v>40</v>
      </c>
      <c r="U21" s="2" t="s">
        <v>2150</v>
      </c>
      <c r="X21" s="344">
        <f>'A123'!J29</f>
        <v>65</v>
      </c>
      <c r="Y21" s="344">
        <f>'A123'!K29</f>
        <v>63</v>
      </c>
      <c r="Z21" s="344">
        <f>'A123'!L29</f>
        <v>5.2758620689655169</v>
      </c>
      <c r="AA21" s="2" t="s">
        <v>2150</v>
      </c>
      <c r="AB21" s="2" t="str">
        <f>入學要求!X30</f>
        <v>/</v>
      </c>
      <c r="AC21" s="2" t="str">
        <f>入學要求!Y30</f>
        <v>/</v>
      </c>
      <c r="AD21" s="2" t="s">
        <v>1967</v>
      </c>
      <c r="AE21" s="2" t="s">
        <v>1978</v>
      </c>
      <c r="AF21" s="2" t="s">
        <v>1978</v>
      </c>
      <c r="AG21" s="2" t="s">
        <v>1978</v>
      </c>
      <c r="AH21" s="2" t="s">
        <v>1978</v>
      </c>
      <c r="AI21" s="2" t="s">
        <v>1978</v>
      </c>
      <c r="AJ21" s="2" t="s">
        <v>2151</v>
      </c>
      <c r="AK21" s="2" t="s">
        <v>2152</v>
      </c>
      <c r="AL21" s="2" t="s">
        <v>1978</v>
      </c>
      <c r="AM21" s="2" t="s">
        <v>1978</v>
      </c>
      <c r="AN21" s="2" t="s">
        <v>1978</v>
      </c>
      <c r="AO21" s="2" t="s">
        <v>1978</v>
      </c>
      <c r="AP21" s="251" t="s">
        <v>1978</v>
      </c>
      <c r="AQ21" s="344" t="s">
        <v>1970</v>
      </c>
      <c r="AR21" s="2" t="s">
        <v>2150</v>
      </c>
      <c r="AS21" s="2" t="s">
        <v>3603</v>
      </c>
      <c r="AT21" s="2" t="s">
        <v>3609</v>
      </c>
      <c r="AV21" s="344" t="s">
        <v>1987</v>
      </c>
      <c r="BB21" s="2">
        <v>1</v>
      </c>
      <c r="BC21" s="2">
        <v>1</v>
      </c>
      <c r="BD21" s="2">
        <v>1</v>
      </c>
      <c r="BE21" s="2">
        <v>1</v>
      </c>
      <c r="BF21" s="2">
        <v>1</v>
      </c>
      <c r="BG21" s="2">
        <v>1</v>
      </c>
      <c r="BH21" s="2">
        <v>1</v>
      </c>
      <c r="BI21" s="2">
        <v>1</v>
      </c>
      <c r="BJ21" s="2">
        <v>3</v>
      </c>
      <c r="BK21" s="2">
        <v>4</v>
      </c>
      <c r="BL21" s="2">
        <v>4</v>
      </c>
      <c r="BM21" s="2">
        <v>3</v>
      </c>
      <c r="BN21" s="2" t="s">
        <v>1978</v>
      </c>
      <c r="BO21" s="2">
        <v>5</v>
      </c>
      <c r="BP21" s="2">
        <v>4</v>
      </c>
      <c r="BQ21" s="2" t="s">
        <v>1978</v>
      </c>
      <c r="BR21" s="2">
        <f t="shared" si="309"/>
        <v>3</v>
      </c>
      <c r="BS21" s="2">
        <f t="shared" si="310"/>
        <v>4</v>
      </c>
      <c r="BT21" s="2">
        <f t="shared" si="311"/>
        <v>4</v>
      </c>
      <c r="BU21" s="2">
        <f t="shared" si="312"/>
        <v>3</v>
      </c>
      <c r="BV21" s="2" t="e">
        <f t="shared" si="313"/>
        <v>#VALUE!</v>
      </c>
      <c r="BW21" s="2">
        <f t="shared" si="314"/>
        <v>5</v>
      </c>
      <c r="BX21" s="2">
        <f t="shared" si="315"/>
        <v>4</v>
      </c>
      <c r="BY21" s="2" t="e">
        <f t="shared" si="316"/>
        <v>#VALUE!</v>
      </c>
      <c r="BZ21" s="2" t="b">
        <v>1</v>
      </c>
      <c r="CA21" s="2" t="b">
        <v>1</v>
      </c>
      <c r="CB21" s="2" t="b">
        <v>1</v>
      </c>
      <c r="CC21" s="2" t="b">
        <v>1</v>
      </c>
      <c r="CD21" s="2" t="b">
        <v>0</v>
      </c>
      <c r="CE21" s="2" t="b">
        <v>1</v>
      </c>
      <c r="CF21" s="2" t="b">
        <v>1</v>
      </c>
      <c r="CG21" s="2" t="b">
        <v>0</v>
      </c>
      <c r="CH21" s="2">
        <v>1</v>
      </c>
      <c r="CI21" s="2">
        <v>1</v>
      </c>
      <c r="CJ21" s="2">
        <v>1</v>
      </c>
      <c r="CK21" s="2">
        <v>1</v>
      </c>
      <c r="CL21" s="2">
        <v>1</v>
      </c>
      <c r="CM21" s="2">
        <v>1</v>
      </c>
      <c r="CN21" s="2">
        <v>1</v>
      </c>
      <c r="CO21" s="2">
        <v>1</v>
      </c>
      <c r="CP21" s="2">
        <v>3</v>
      </c>
      <c r="CQ21" s="2">
        <v>3</v>
      </c>
      <c r="CR21" s="2">
        <v>4</v>
      </c>
      <c r="CS21" s="2">
        <v>4</v>
      </c>
      <c r="CT21" s="2" t="s">
        <v>1978</v>
      </c>
      <c r="CU21" s="2">
        <v>6</v>
      </c>
      <c r="CV21" s="2">
        <v>4</v>
      </c>
      <c r="CW21" s="2" t="s">
        <v>1978</v>
      </c>
      <c r="CX21" s="2">
        <f t="shared" ref="CX21:CX30" si="325">CH21*CP21</f>
        <v>3</v>
      </c>
      <c r="CY21" s="2">
        <f t="shared" ref="CY21:CY30" si="326">CI21*CQ21</f>
        <v>3</v>
      </c>
      <c r="CZ21" s="2">
        <f t="shared" ref="CZ21:CZ30" si="327">CJ21*CR21</f>
        <v>4</v>
      </c>
      <c r="DA21" s="2">
        <f t="shared" ref="DA21:DA30" si="328">CK21*CS21</f>
        <v>4</v>
      </c>
      <c r="DB21" s="2" t="e">
        <f t="shared" ref="DB21:DB30" si="329">CL21*CT21</f>
        <v>#VALUE!</v>
      </c>
      <c r="DC21" s="2">
        <f t="shared" ref="DC21:DC30" si="330">CM21*CU21</f>
        <v>6</v>
      </c>
      <c r="DD21" s="2">
        <f t="shared" ref="DD21:DD30" si="331">CN21*CV21</f>
        <v>4</v>
      </c>
      <c r="DE21" s="2" t="e">
        <f t="shared" ref="DE21:DE30" si="332">CO21*CW21</f>
        <v>#VALUE!</v>
      </c>
      <c r="DF21" s="2" t="b">
        <v>1</v>
      </c>
      <c r="DG21" s="2" t="b">
        <v>1</v>
      </c>
      <c r="DH21" s="2" t="b">
        <v>1</v>
      </c>
      <c r="DI21" s="2" t="b">
        <v>1</v>
      </c>
      <c r="DJ21" s="2" t="b">
        <v>0</v>
      </c>
      <c r="DK21" s="2" t="b">
        <v>1</v>
      </c>
      <c r="DL21" s="2" t="b">
        <v>1</v>
      </c>
      <c r="DM21" s="2" t="b">
        <v>0</v>
      </c>
      <c r="DN21" s="2" t="s">
        <v>1978</v>
      </c>
      <c r="DO21" s="2" t="s">
        <v>1978</v>
      </c>
      <c r="DP21" s="2" t="s">
        <v>1978</v>
      </c>
      <c r="DQ21" s="2" t="s">
        <v>1978</v>
      </c>
      <c r="DR21" s="2" t="s">
        <v>1978</v>
      </c>
      <c r="DS21" s="2" t="s">
        <v>1978</v>
      </c>
      <c r="DT21" s="2" t="s">
        <v>1978</v>
      </c>
      <c r="DU21" s="2" t="s">
        <v>1978</v>
      </c>
      <c r="DV21" s="2" t="s">
        <v>1978</v>
      </c>
      <c r="DW21" s="2" t="s">
        <v>1978</v>
      </c>
      <c r="DX21" s="2" t="s">
        <v>1978</v>
      </c>
      <c r="DY21" s="2" t="s">
        <v>1978</v>
      </c>
      <c r="DZ21" s="2" t="s">
        <v>1978</v>
      </c>
      <c r="EA21" s="2" t="s">
        <v>1978</v>
      </c>
      <c r="EB21" s="2" t="s">
        <v>1978</v>
      </c>
      <c r="EC21" s="2" t="s">
        <v>1978</v>
      </c>
      <c r="ED21" s="2" t="s">
        <v>1978</v>
      </c>
      <c r="EE21" s="2" t="s">
        <v>1978</v>
      </c>
      <c r="EF21" s="2" t="s">
        <v>1978</v>
      </c>
      <c r="EG21" s="2" t="s">
        <v>1978</v>
      </c>
      <c r="EH21" s="2" t="s">
        <v>1978</v>
      </c>
      <c r="EI21" s="2" t="s">
        <v>1978</v>
      </c>
      <c r="EJ21" s="2" t="s">
        <v>1978</v>
      </c>
      <c r="EK21" s="2" t="s">
        <v>1978</v>
      </c>
      <c r="EL21" s="2" t="s">
        <v>1978</v>
      </c>
      <c r="EM21" s="2" t="s">
        <v>1978</v>
      </c>
      <c r="EN21" s="2" t="s">
        <v>1978</v>
      </c>
      <c r="EO21" s="2" t="s">
        <v>1978</v>
      </c>
      <c r="EP21" s="2" t="s">
        <v>1978</v>
      </c>
      <c r="EQ21" s="2" t="s">
        <v>1978</v>
      </c>
      <c r="ER21" s="2" t="s">
        <v>1978</v>
      </c>
      <c r="ES21" s="2" t="s">
        <v>1978</v>
      </c>
    </row>
    <row r="22" spans="1:149" x14ac:dyDescent="0.3">
      <c r="A22" s="2" t="s">
        <v>43</v>
      </c>
      <c r="B22" s="2" t="s">
        <v>2148</v>
      </c>
      <c r="C22" s="2" t="s">
        <v>2149</v>
      </c>
      <c r="D22" s="2" t="s">
        <v>46</v>
      </c>
      <c r="E22" s="2" t="s">
        <v>1967</v>
      </c>
      <c r="F22" s="2" t="s">
        <v>1978</v>
      </c>
      <c r="G22" s="2">
        <f t="shared" si="298"/>
        <v>25</v>
      </c>
      <c r="H22" s="2">
        <f t="shared" si="299"/>
        <v>24</v>
      </c>
      <c r="I22" s="2" t="s">
        <v>1970</v>
      </c>
      <c r="J22" s="2" t="s">
        <v>1978</v>
      </c>
      <c r="K22" s="2" t="s">
        <v>1970</v>
      </c>
      <c r="L22" s="2" t="s">
        <v>1970</v>
      </c>
      <c r="M22" s="2" t="s">
        <v>1978</v>
      </c>
      <c r="N22" s="344" t="s">
        <v>1978</v>
      </c>
      <c r="O22" s="344" t="s">
        <v>1978</v>
      </c>
      <c r="P22" s="344" t="s">
        <v>1978</v>
      </c>
      <c r="Q22" s="344" t="s">
        <v>1978</v>
      </c>
      <c r="R22" s="344" t="s">
        <v>1978</v>
      </c>
      <c r="S22" s="344" t="s">
        <v>1978</v>
      </c>
      <c r="T22" s="2" t="s">
        <v>44</v>
      </c>
      <c r="U22" s="2" t="s">
        <v>2150</v>
      </c>
      <c r="X22" s="344">
        <f>'A123'!J30</f>
        <v>10</v>
      </c>
      <c r="Y22" s="344">
        <f>'A123'!K30</f>
        <v>6</v>
      </c>
      <c r="Z22" s="344">
        <f>'A123'!L30</f>
        <v>10.666666666666666</v>
      </c>
      <c r="AA22" s="2" t="s">
        <v>2150</v>
      </c>
      <c r="AB22" s="2" t="str">
        <f>入學要求!X31</f>
        <v>/</v>
      </c>
      <c r="AC22" s="2" t="str">
        <f>入學要求!Y31</f>
        <v>/</v>
      </c>
      <c r="AD22" s="2" t="s">
        <v>1967</v>
      </c>
      <c r="AE22" s="2" t="s">
        <v>1978</v>
      </c>
      <c r="AF22" s="2" t="s">
        <v>1978</v>
      </c>
      <c r="AG22" s="2" t="s">
        <v>1978</v>
      </c>
      <c r="AH22" s="2" t="s">
        <v>1978</v>
      </c>
      <c r="AI22" s="2" t="s">
        <v>1978</v>
      </c>
      <c r="AJ22" s="2" t="s">
        <v>2151</v>
      </c>
      <c r="AK22" s="2" t="s">
        <v>2152</v>
      </c>
      <c r="AL22" s="2" t="s">
        <v>1978</v>
      </c>
      <c r="AM22" s="2" t="s">
        <v>1978</v>
      </c>
      <c r="AN22" s="2" t="s">
        <v>1978</v>
      </c>
      <c r="AO22" s="2" t="s">
        <v>1978</v>
      </c>
      <c r="AP22" s="251" t="s">
        <v>1978</v>
      </c>
      <c r="AQ22" s="344" t="s">
        <v>1970</v>
      </c>
      <c r="AR22" s="2" t="s">
        <v>2150</v>
      </c>
      <c r="AS22" s="2" t="s">
        <v>3711</v>
      </c>
      <c r="AT22" s="2" t="s">
        <v>3609</v>
      </c>
      <c r="AV22" s="344" t="s">
        <v>1987</v>
      </c>
      <c r="BB22" s="2">
        <v>1</v>
      </c>
      <c r="BC22" s="2">
        <v>1</v>
      </c>
      <c r="BD22" s="2">
        <v>1</v>
      </c>
      <c r="BE22" s="2">
        <v>1</v>
      </c>
      <c r="BF22" s="2">
        <v>1</v>
      </c>
      <c r="BG22" s="2">
        <v>1</v>
      </c>
      <c r="BH22" s="2">
        <v>1</v>
      </c>
      <c r="BI22" s="2">
        <v>1</v>
      </c>
      <c r="BJ22" s="2">
        <v>4</v>
      </c>
      <c r="BK22" s="2">
        <v>4</v>
      </c>
      <c r="BL22" s="2">
        <v>4</v>
      </c>
      <c r="BM22" s="2">
        <v>4</v>
      </c>
      <c r="BN22" s="2" t="s">
        <v>1978</v>
      </c>
      <c r="BO22" s="2">
        <v>4</v>
      </c>
      <c r="BP22" s="2">
        <v>4</v>
      </c>
      <c r="BQ22" s="2" t="s">
        <v>1978</v>
      </c>
      <c r="BR22" s="2">
        <f t="shared" si="309"/>
        <v>4</v>
      </c>
      <c r="BS22" s="2">
        <f t="shared" si="310"/>
        <v>4</v>
      </c>
      <c r="BT22" s="2">
        <f t="shared" si="311"/>
        <v>4</v>
      </c>
      <c r="BU22" s="2">
        <f t="shared" si="312"/>
        <v>4</v>
      </c>
      <c r="BV22" s="2" t="e">
        <f t="shared" si="313"/>
        <v>#VALUE!</v>
      </c>
      <c r="BW22" s="2">
        <f t="shared" si="314"/>
        <v>4</v>
      </c>
      <c r="BX22" s="2">
        <f t="shared" si="315"/>
        <v>4</v>
      </c>
      <c r="BY22" s="2" t="e">
        <f t="shared" si="316"/>
        <v>#VALUE!</v>
      </c>
      <c r="BZ22" s="2" t="b">
        <v>1</v>
      </c>
      <c r="CA22" s="2" t="b">
        <v>1</v>
      </c>
      <c r="CB22" s="2" t="b">
        <v>1</v>
      </c>
      <c r="CC22" s="2" t="b">
        <v>1</v>
      </c>
      <c r="CD22" s="2" t="b">
        <v>0</v>
      </c>
      <c r="CE22" s="2" t="b">
        <v>1</v>
      </c>
      <c r="CF22" s="2" t="b">
        <v>1</v>
      </c>
      <c r="CG22" s="2" t="b">
        <v>0</v>
      </c>
      <c r="CH22" s="2">
        <v>1</v>
      </c>
      <c r="CI22" s="2">
        <v>1</v>
      </c>
      <c r="CJ22" s="2">
        <v>1</v>
      </c>
      <c r="CK22" s="2">
        <v>1</v>
      </c>
      <c r="CL22" s="2">
        <v>1</v>
      </c>
      <c r="CM22" s="2">
        <v>1</v>
      </c>
      <c r="CN22" s="2">
        <v>1</v>
      </c>
      <c r="CO22" s="2">
        <v>1</v>
      </c>
      <c r="CP22" s="2">
        <v>4</v>
      </c>
      <c r="CQ22" s="2">
        <v>4</v>
      </c>
      <c r="CR22" s="2">
        <v>4</v>
      </c>
      <c r="CS22" s="2">
        <v>5</v>
      </c>
      <c r="CT22" s="2" t="s">
        <v>1978</v>
      </c>
      <c r="CU22" s="2">
        <v>4</v>
      </c>
      <c r="CV22" s="2">
        <v>4</v>
      </c>
      <c r="CW22" s="2" t="s">
        <v>1978</v>
      </c>
      <c r="CX22" s="2">
        <f t="shared" si="325"/>
        <v>4</v>
      </c>
      <c r="CY22" s="2">
        <f t="shared" si="326"/>
        <v>4</v>
      </c>
      <c r="CZ22" s="2">
        <f t="shared" si="327"/>
        <v>4</v>
      </c>
      <c r="DA22" s="2">
        <f t="shared" si="328"/>
        <v>5</v>
      </c>
      <c r="DB22" s="2" t="e">
        <f t="shared" si="329"/>
        <v>#VALUE!</v>
      </c>
      <c r="DC22" s="2">
        <f t="shared" si="330"/>
        <v>4</v>
      </c>
      <c r="DD22" s="2">
        <f t="shared" si="331"/>
        <v>4</v>
      </c>
      <c r="DE22" s="2" t="e">
        <f t="shared" si="332"/>
        <v>#VALUE!</v>
      </c>
      <c r="DF22" s="2" t="b">
        <v>1</v>
      </c>
      <c r="DG22" s="2" t="b">
        <v>1</v>
      </c>
      <c r="DH22" s="2" t="b">
        <v>1</v>
      </c>
      <c r="DI22" s="2" t="b">
        <v>1</v>
      </c>
      <c r="DJ22" s="2" t="b">
        <v>0</v>
      </c>
      <c r="DK22" s="2" t="b">
        <v>1</v>
      </c>
      <c r="DL22" s="2" t="b">
        <v>1</v>
      </c>
      <c r="DM22" s="2" t="b">
        <v>0</v>
      </c>
      <c r="DN22" s="2" t="s">
        <v>1978</v>
      </c>
      <c r="DO22" s="2" t="s">
        <v>1978</v>
      </c>
      <c r="DP22" s="2" t="s">
        <v>1978</v>
      </c>
      <c r="DQ22" s="2" t="s">
        <v>1978</v>
      </c>
      <c r="DR22" s="2" t="s">
        <v>1978</v>
      </c>
      <c r="DS22" s="2" t="s">
        <v>1978</v>
      </c>
      <c r="DT22" s="2" t="s">
        <v>1978</v>
      </c>
      <c r="DU22" s="2" t="s">
        <v>1978</v>
      </c>
      <c r="DV22" s="2" t="s">
        <v>1978</v>
      </c>
      <c r="DW22" s="2" t="s">
        <v>1978</v>
      </c>
      <c r="DX22" s="2" t="s">
        <v>1978</v>
      </c>
      <c r="DY22" s="2" t="s">
        <v>1978</v>
      </c>
      <c r="DZ22" s="2" t="s">
        <v>1978</v>
      </c>
      <c r="EA22" s="2" t="s">
        <v>1978</v>
      </c>
      <c r="EB22" s="2" t="s">
        <v>1978</v>
      </c>
      <c r="EC22" s="2" t="s">
        <v>1978</v>
      </c>
      <c r="ED22" s="2" t="s">
        <v>1978</v>
      </c>
      <c r="EE22" s="2" t="s">
        <v>1978</v>
      </c>
      <c r="EF22" s="2" t="s">
        <v>1978</v>
      </c>
      <c r="EG22" s="2" t="s">
        <v>1978</v>
      </c>
      <c r="EH22" s="2" t="s">
        <v>1978</v>
      </c>
      <c r="EI22" s="2" t="s">
        <v>1978</v>
      </c>
      <c r="EJ22" s="2" t="s">
        <v>1978</v>
      </c>
      <c r="EK22" s="2" t="s">
        <v>1978</v>
      </c>
      <c r="EL22" s="2" t="s">
        <v>1978</v>
      </c>
      <c r="EM22" s="2" t="s">
        <v>1978</v>
      </c>
      <c r="EN22" s="2" t="s">
        <v>1978</v>
      </c>
      <c r="EO22" s="2" t="s">
        <v>1978</v>
      </c>
      <c r="EP22" s="2" t="s">
        <v>1978</v>
      </c>
      <c r="EQ22" s="2" t="s">
        <v>1978</v>
      </c>
      <c r="ER22" s="2" t="s">
        <v>1978</v>
      </c>
      <c r="ES22" s="2" t="s">
        <v>1978</v>
      </c>
    </row>
    <row r="23" spans="1:149" x14ac:dyDescent="0.3">
      <c r="A23" s="2" t="s">
        <v>47</v>
      </c>
      <c r="B23" s="2" t="s">
        <v>2148</v>
      </c>
      <c r="C23" s="2" t="s">
        <v>2149</v>
      </c>
      <c r="D23" s="2" t="s">
        <v>50</v>
      </c>
      <c r="E23" s="2" t="s">
        <v>1967</v>
      </c>
      <c r="F23" s="2" t="s">
        <v>1978</v>
      </c>
      <c r="G23" s="2">
        <f t="shared" si="298"/>
        <v>24</v>
      </c>
      <c r="H23" s="2">
        <f t="shared" si="299"/>
        <v>23</v>
      </c>
      <c r="I23" s="2" t="s">
        <v>1970</v>
      </c>
      <c r="J23" s="2" t="s">
        <v>1978</v>
      </c>
      <c r="K23" s="2" t="s">
        <v>1970</v>
      </c>
      <c r="L23" s="2" t="s">
        <v>1970</v>
      </c>
      <c r="M23" s="2" t="s">
        <v>1978</v>
      </c>
      <c r="N23" s="344" t="s">
        <v>1978</v>
      </c>
      <c r="O23" s="344" t="s">
        <v>1978</v>
      </c>
      <c r="P23" s="344" t="s">
        <v>1978</v>
      </c>
      <c r="Q23" s="344" t="s">
        <v>1978</v>
      </c>
      <c r="R23" s="344" t="s">
        <v>1978</v>
      </c>
      <c r="S23" s="344" t="s">
        <v>1978</v>
      </c>
      <c r="T23" s="2" t="s">
        <v>48</v>
      </c>
      <c r="U23" s="2" t="s">
        <v>2150</v>
      </c>
      <c r="X23" s="344">
        <f>'A123'!J31</f>
        <v>10</v>
      </c>
      <c r="Y23" s="344">
        <f>'A123'!K31</f>
        <v>6</v>
      </c>
      <c r="Z23" s="344">
        <f>'A123'!L31</f>
        <v>53.8</v>
      </c>
      <c r="AA23" s="2" t="s">
        <v>2150</v>
      </c>
      <c r="AB23" s="2" t="str">
        <f>入學要求!X32</f>
        <v>/</v>
      </c>
      <c r="AC23" s="2" t="str">
        <f>入學要求!Y32</f>
        <v>/</v>
      </c>
      <c r="AD23" s="2" t="s">
        <v>1967</v>
      </c>
      <c r="AE23" s="2" t="s">
        <v>1978</v>
      </c>
      <c r="AF23" s="2" t="s">
        <v>1978</v>
      </c>
      <c r="AG23" s="2" t="s">
        <v>1978</v>
      </c>
      <c r="AH23" s="2" t="s">
        <v>1978</v>
      </c>
      <c r="AI23" s="2" t="s">
        <v>1978</v>
      </c>
      <c r="AJ23" s="2" t="s">
        <v>2151</v>
      </c>
      <c r="AK23" s="2" t="s">
        <v>2152</v>
      </c>
      <c r="AL23" s="2" t="s">
        <v>1978</v>
      </c>
      <c r="AM23" s="2" t="s">
        <v>1978</v>
      </c>
      <c r="AN23" s="2" t="s">
        <v>1978</v>
      </c>
      <c r="AO23" s="2" t="s">
        <v>1978</v>
      </c>
      <c r="AP23" s="251" t="s">
        <v>1978</v>
      </c>
      <c r="AQ23" s="344" t="s">
        <v>1970</v>
      </c>
      <c r="AR23" s="2" t="s">
        <v>2150</v>
      </c>
      <c r="AS23" s="2" t="s">
        <v>3603</v>
      </c>
      <c r="AT23" s="2" t="s">
        <v>3609</v>
      </c>
      <c r="AV23" s="344" t="s">
        <v>1987</v>
      </c>
      <c r="BB23" s="2">
        <v>1</v>
      </c>
      <c r="BC23" s="2">
        <v>1</v>
      </c>
      <c r="BD23" s="2">
        <v>1</v>
      </c>
      <c r="BE23" s="2">
        <v>1</v>
      </c>
      <c r="BF23" s="2">
        <v>1</v>
      </c>
      <c r="BG23" s="2">
        <v>1</v>
      </c>
      <c r="BH23" s="2">
        <v>1</v>
      </c>
      <c r="BI23" s="2">
        <v>1</v>
      </c>
      <c r="BJ23" s="2">
        <v>3</v>
      </c>
      <c r="BK23" s="2">
        <v>4</v>
      </c>
      <c r="BL23" s="2">
        <v>5</v>
      </c>
      <c r="BM23" s="2">
        <v>3</v>
      </c>
      <c r="BN23" s="2" t="s">
        <v>1978</v>
      </c>
      <c r="BO23" s="2">
        <v>4</v>
      </c>
      <c r="BP23" s="2">
        <v>4</v>
      </c>
      <c r="BQ23" s="2" t="s">
        <v>1978</v>
      </c>
      <c r="BR23" s="2">
        <f t="shared" si="309"/>
        <v>3</v>
      </c>
      <c r="BS23" s="2">
        <f t="shared" si="310"/>
        <v>4</v>
      </c>
      <c r="BT23" s="2">
        <f t="shared" si="311"/>
        <v>5</v>
      </c>
      <c r="BU23" s="2">
        <f t="shared" si="312"/>
        <v>3</v>
      </c>
      <c r="BV23" s="2" t="e">
        <f t="shared" si="313"/>
        <v>#VALUE!</v>
      </c>
      <c r="BW23" s="2">
        <f t="shared" si="314"/>
        <v>4</v>
      </c>
      <c r="BX23" s="2">
        <f t="shared" si="315"/>
        <v>4</v>
      </c>
      <c r="BY23" s="2" t="e">
        <f t="shared" si="316"/>
        <v>#VALUE!</v>
      </c>
      <c r="BZ23" s="2" t="b">
        <v>1</v>
      </c>
      <c r="CA23" s="2" t="b">
        <v>1</v>
      </c>
      <c r="CB23" s="2" t="b">
        <v>1</v>
      </c>
      <c r="CC23" s="2" t="b">
        <v>1</v>
      </c>
      <c r="CD23" s="2" t="b">
        <v>0</v>
      </c>
      <c r="CE23" s="2" t="b">
        <v>1</v>
      </c>
      <c r="CF23" s="2" t="b">
        <v>1</v>
      </c>
      <c r="CG23" s="2" t="b">
        <v>0</v>
      </c>
      <c r="CH23" s="2">
        <v>1</v>
      </c>
      <c r="CI23" s="2">
        <v>1</v>
      </c>
      <c r="CJ23" s="2">
        <v>1</v>
      </c>
      <c r="CK23" s="2">
        <v>1</v>
      </c>
      <c r="CL23" s="2">
        <v>1</v>
      </c>
      <c r="CM23" s="2">
        <v>1</v>
      </c>
      <c r="CN23" s="2">
        <v>1</v>
      </c>
      <c r="CO23" s="2">
        <v>1</v>
      </c>
      <c r="CP23" s="2">
        <v>4</v>
      </c>
      <c r="CQ23" s="2">
        <v>3</v>
      </c>
      <c r="CR23" s="2">
        <v>3</v>
      </c>
      <c r="CS23" s="2">
        <v>6</v>
      </c>
      <c r="CT23" s="2" t="s">
        <v>1978</v>
      </c>
      <c r="CU23" s="2">
        <v>4</v>
      </c>
      <c r="CV23" s="2">
        <v>4</v>
      </c>
      <c r="CW23" s="2" t="s">
        <v>1978</v>
      </c>
      <c r="CX23" s="2">
        <f t="shared" si="325"/>
        <v>4</v>
      </c>
      <c r="CY23" s="2">
        <f t="shared" si="326"/>
        <v>3</v>
      </c>
      <c r="CZ23" s="2">
        <f t="shared" si="327"/>
        <v>3</v>
      </c>
      <c r="DA23" s="2">
        <f t="shared" si="328"/>
        <v>6</v>
      </c>
      <c r="DB23" s="2" t="e">
        <f t="shared" si="329"/>
        <v>#VALUE!</v>
      </c>
      <c r="DC23" s="2">
        <f t="shared" si="330"/>
        <v>4</v>
      </c>
      <c r="DD23" s="2">
        <f t="shared" si="331"/>
        <v>4</v>
      </c>
      <c r="DE23" s="2" t="e">
        <f t="shared" si="332"/>
        <v>#VALUE!</v>
      </c>
      <c r="DF23" s="2" t="b">
        <v>1</v>
      </c>
      <c r="DG23" s="2" t="b">
        <v>1</v>
      </c>
      <c r="DH23" s="2" t="b">
        <v>1</v>
      </c>
      <c r="DI23" s="2" t="b">
        <v>1</v>
      </c>
      <c r="DJ23" s="2" t="b">
        <v>0</v>
      </c>
      <c r="DK23" s="2" t="b">
        <v>1</v>
      </c>
      <c r="DL23" s="2" t="b">
        <v>1</v>
      </c>
      <c r="DM23" s="2" t="b">
        <v>0</v>
      </c>
      <c r="DN23" s="2" t="s">
        <v>1978</v>
      </c>
      <c r="DO23" s="2" t="s">
        <v>1978</v>
      </c>
      <c r="DP23" s="2" t="s">
        <v>1978</v>
      </c>
      <c r="DQ23" s="2" t="s">
        <v>1978</v>
      </c>
      <c r="DR23" s="2" t="s">
        <v>1978</v>
      </c>
      <c r="DS23" s="2" t="s">
        <v>1978</v>
      </c>
      <c r="DT23" s="2" t="s">
        <v>1978</v>
      </c>
      <c r="DU23" s="2" t="s">
        <v>1978</v>
      </c>
      <c r="DV23" s="2" t="s">
        <v>1978</v>
      </c>
      <c r="DW23" s="2" t="s">
        <v>1978</v>
      </c>
      <c r="DX23" s="2" t="s">
        <v>1978</v>
      </c>
      <c r="DY23" s="2" t="s">
        <v>1978</v>
      </c>
      <c r="DZ23" s="2" t="s">
        <v>1978</v>
      </c>
      <c r="EA23" s="2" t="s">
        <v>1978</v>
      </c>
      <c r="EB23" s="2" t="s">
        <v>1978</v>
      </c>
      <c r="EC23" s="2" t="s">
        <v>1978</v>
      </c>
      <c r="ED23" s="2" t="s">
        <v>1978</v>
      </c>
      <c r="EE23" s="2" t="s">
        <v>1978</v>
      </c>
      <c r="EF23" s="2" t="s">
        <v>1978</v>
      </c>
      <c r="EG23" s="2" t="s">
        <v>1978</v>
      </c>
      <c r="EH23" s="2" t="s">
        <v>1978</v>
      </c>
      <c r="EI23" s="2" t="s">
        <v>1978</v>
      </c>
      <c r="EJ23" s="2" t="s">
        <v>1978</v>
      </c>
      <c r="EK23" s="2" t="s">
        <v>1978</v>
      </c>
      <c r="EL23" s="2" t="s">
        <v>1978</v>
      </c>
      <c r="EM23" s="2" t="s">
        <v>1978</v>
      </c>
      <c r="EN23" s="2" t="s">
        <v>1978</v>
      </c>
      <c r="EO23" s="2" t="s">
        <v>1978</v>
      </c>
      <c r="EP23" s="2" t="s">
        <v>1978</v>
      </c>
      <c r="EQ23" s="2" t="s">
        <v>1978</v>
      </c>
      <c r="ER23" s="2" t="s">
        <v>1978</v>
      </c>
      <c r="ES23" s="2" t="s">
        <v>1978</v>
      </c>
    </row>
    <row r="24" spans="1:149" x14ac:dyDescent="0.3">
      <c r="A24" s="2" t="s">
        <v>51</v>
      </c>
      <c r="B24" s="2" t="s">
        <v>2148</v>
      </c>
      <c r="C24" s="2" t="s">
        <v>2149</v>
      </c>
      <c r="D24" s="2" t="s">
        <v>54</v>
      </c>
      <c r="E24" s="2" t="s">
        <v>1967</v>
      </c>
      <c r="F24" s="2" t="s">
        <v>1978</v>
      </c>
      <c r="G24" s="2">
        <f t="shared" si="298"/>
        <v>24</v>
      </c>
      <c r="H24" s="2">
        <f t="shared" si="299"/>
        <v>23</v>
      </c>
      <c r="I24" s="2" t="s">
        <v>1970</v>
      </c>
      <c r="J24" s="2" t="s">
        <v>1978</v>
      </c>
      <c r="K24" s="2" t="s">
        <v>1970</v>
      </c>
      <c r="L24" s="2" t="s">
        <v>1970</v>
      </c>
      <c r="M24" s="2" t="s">
        <v>1978</v>
      </c>
      <c r="N24" s="344" t="s">
        <v>1978</v>
      </c>
      <c r="O24" s="344" t="s">
        <v>1978</v>
      </c>
      <c r="P24" s="344" t="s">
        <v>1978</v>
      </c>
      <c r="Q24" s="344" t="s">
        <v>1978</v>
      </c>
      <c r="R24" s="344" t="s">
        <v>1978</v>
      </c>
      <c r="S24" s="344" t="s">
        <v>1978</v>
      </c>
      <c r="T24" s="2" t="s">
        <v>52</v>
      </c>
      <c r="U24" s="2" t="s">
        <v>2150</v>
      </c>
      <c r="X24" s="344">
        <f>'A123'!J32</f>
        <v>24</v>
      </c>
      <c r="Y24" s="344">
        <f>'A123'!K32</f>
        <v>21</v>
      </c>
      <c r="Z24" s="344">
        <f>'A123'!L32</f>
        <v>5</v>
      </c>
      <c r="AA24" s="2" t="s">
        <v>2150</v>
      </c>
      <c r="AB24" s="2" t="str">
        <f>入學要求!X33</f>
        <v>/</v>
      </c>
      <c r="AC24" s="2" t="str">
        <f>入學要求!Y33</f>
        <v>/</v>
      </c>
      <c r="AD24" s="2" t="s">
        <v>1967</v>
      </c>
      <c r="AE24" s="2" t="s">
        <v>1978</v>
      </c>
      <c r="AF24" s="2" t="s">
        <v>1978</v>
      </c>
      <c r="AG24" s="2" t="s">
        <v>1978</v>
      </c>
      <c r="AH24" s="2" t="s">
        <v>1978</v>
      </c>
      <c r="AI24" s="2" t="s">
        <v>1978</v>
      </c>
      <c r="AJ24" s="2" t="s">
        <v>2151</v>
      </c>
      <c r="AK24" s="2" t="s">
        <v>2687</v>
      </c>
      <c r="AL24" s="2" t="s">
        <v>2686</v>
      </c>
      <c r="AM24" s="2" t="s">
        <v>1978</v>
      </c>
      <c r="AN24" s="2" t="s">
        <v>1978</v>
      </c>
      <c r="AO24" s="2" t="s">
        <v>1978</v>
      </c>
      <c r="AP24" s="251" t="s">
        <v>1978</v>
      </c>
      <c r="AQ24" s="344" t="s">
        <v>1970</v>
      </c>
      <c r="AR24" s="2" t="s">
        <v>2150</v>
      </c>
      <c r="AS24" s="2" t="s">
        <v>3610</v>
      </c>
      <c r="AT24" s="2" t="s">
        <v>3611</v>
      </c>
      <c r="AV24" s="344" t="s">
        <v>1987</v>
      </c>
      <c r="BB24" s="2">
        <v>1</v>
      </c>
      <c r="BC24" s="2">
        <v>1</v>
      </c>
      <c r="BD24" s="2">
        <v>1</v>
      </c>
      <c r="BE24" s="2">
        <v>1</v>
      </c>
      <c r="BF24" s="2">
        <v>1</v>
      </c>
      <c r="BG24" s="2">
        <v>1</v>
      </c>
      <c r="BH24" s="2">
        <v>1</v>
      </c>
      <c r="BI24" s="2">
        <v>1</v>
      </c>
      <c r="BJ24" s="2">
        <v>4</v>
      </c>
      <c r="BK24" s="2">
        <v>3</v>
      </c>
      <c r="BL24" s="2">
        <v>4</v>
      </c>
      <c r="BM24" s="2">
        <v>4</v>
      </c>
      <c r="BN24" s="2" t="s">
        <v>1978</v>
      </c>
      <c r="BO24" s="2">
        <v>4</v>
      </c>
      <c r="BP24" s="2">
        <v>4</v>
      </c>
      <c r="BQ24" s="2" t="s">
        <v>1978</v>
      </c>
      <c r="BR24" s="2">
        <f t="shared" si="309"/>
        <v>4</v>
      </c>
      <c r="BS24" s="2">
        <f t="shared" si="310"/>
        <v>3</v>
      </c>
      <c r="BT24" s="2">
        <f t="shared" si="311"/>
        <v>4</v>
      </c>
      <c r="BU24" s="2">
        <f t="shared" si="312"/>
        <v>4</v>
      </c>
      <c r="BV24" s="2" t="e">
        <f t="shared" si="313"/>
        <v>#VALUE!</v>
      </c>
      <c r="BW24" s="2">
        <f t="shared" si="314"/>
        <v>4</v>
      </c>
      <c r="BX24" s="2">
        <f t="shared" si="315"/>
        <v>4</v>
      </c>
      <c r="BY24" s="2" t="e">
        <f t="shared" si="316"/>
        <v>#VALUE!</v>
      </c>
      <c r="BZ24" s="2" t="b">
        <v>1</v>
      </c>
      <c r="CA24" s="2" t="b">
        <v>1</v>
      </c>
      <c r="CB24" s="2" t="b">
        <v>1</v>
      </c>
      <c r="CC24" s="2" t="b">
        <v>1</v>
      </c>
      <c r="CD24" s="2" t="b">
        <v>0</v>
      </c>
      <c r="CE24" s="2" t="b">
        <v>1</v>
      </c>
      <c r="CF24" s="2" t="b">
        <v>1</v>
      </c>
      <c r="CG24" s="2" t="b">
        <v>0</v>
      </c>
      <c r="CH24" s="2">
        <v>1</v>
      </c>
      <c r="CI24" s="2">
        <v>1</v>
      </c>
      <c r="CJ24" s="2">
        <v>1</v>
      </c>
      <c r="CK24" s="2">
        <v>1</v>
      </c>
      <c r="CL24" s="2">
        <v>1</v>
      </c>
      <c r="CM24" s="2">
        <v>1</v>
      </c>
      <c r="CN24" s="2">
        <v>1</v>
      </c>
      <c r="CO24" s="2">
        <v>1</v>
      </c>
      <c r="CP24" s="2">
        <v>4</v>
      </c>
      <c r="CQ24" s="2">
        <v>3</v>
      </c>
      <c r="CR24" s="2">
        <v>4</v>
      </c>
      <c r="CS24" s="2">
        <v>4</v>
      </c>
      <c r="CT24" s="2" t="s">
        <v>1978</v>
      </c>
      <c r="CU24" s="2">
        <v>5</v>
      </c>
      <c r="CV24" s="2">
        <v>4</v>
      </c>
      <c r="CW24" s="2" t="s">
        <v>1978</v>
      </c>
      <c r="CX24" s="2">
        <f t="shared" si="325"/>
        <v>4</v>
      </c>
      <c r="CY24" s="2">
        <f t="shared" si="326"/>
        <v>3</v>
      </c>
      <c r="CZ24" s="2">
        <f t="shared" si="327"/>
        <v>4</v>
      </c>
      <c r="DA24" s="2">
        <f t="shared" si="328"/>
        <v>4</v>
      </c>
      <c r="DB24" s="2" t="e">
        <f t="shared" si="329"/>
        <v>#VALUE!</v>
      </c>
      <c r="DC24" s="2">
        <f t="shared" si="330"/>
        <v>5</v>
      </c>
      <c r="DD24" s="2">
        <f t="shared" si="331"/>
        <v>4</v>
      </c>
      <c r="DE24" s="2" t="e">
        <f t="shared" si="332"/>
        <v>#VALUE!</v>
      </c>
      <c r="DF24" s="2" t="b">
        <v>1</v>
      </c>
      <c r="DG24" s="2" t="b">
        <v>1</v>
      </c>
      <c r="DH24" s="2" t="b">
        <v>1</v>
      </c>
      <c r="DI24" s="2" t="b">
        <v>1</v>
      </c>
      <c r="DJ24" s="2" t="b">
        <v>0</v>
      </c>
      <c r="DK24" s="2" t="b">
        <v>1</v>
      </c>
      <c r="DL24" s="2" t="b">
        <v>1</v>
      </c>
      <c r="DM24" s="2" t="b">
        <v>0</v>
      </c>
      <c r="DN24" s="2" t="s">
        <v>1978</v>
      </c>
      <c r="DO24" s="2" t="s">
        <v>1978</v>
      </c>
      <c r="DP24" s="2" t="s">
        <v>1978</v>
      </c>
      <c r="DQ24" s="2" t="s">
        <v>1978</v>
      </c>
      <c r="DR24" s="2" t="s">
        <v>1978</v>
      </c>
      <c r="DS24" s="2" t="s">
        <v>1978</v>
      </c>
      <c r="DT24" s="2" t="s">
        <v>1978</v>
      </c>
      <c r="DU24" s="2" t="s">
        <v>1978</v>
      </c>
      <c r="DV24" s="2" t="s">
        <v>1978</v>
      </c>
      <c r="DW24" s="2" t="s">
        <v>1978</v>
      </c>
      <c r="DX24" s="2" t="s">
        <v>1978</v>
      </c>
      <c r="DY24" s="2" t="s">
        <v>1978</v>
      </c>
      <c r="DZ24" s="2" t="s">
        <v>1978</v>
      </c>
      <c r="EA24" s="2" t="s">
        <v>1978</v>
      </c>
      <c r="EB24" s="2" t="s">
        <v>1978</v>
      </c>
      <c r="EC24" s="2" t="s">
        <v>1978</v>
      </c>
      <c r="ED24" s="2" t="s">
        <v>1978</v>
      </c>
      <c r="EE24" s="2" t="s">
        <v>1978</v>
      </c>
      <c r="EF24" s="2" t="s">
        <v>1978</v>
      </c>
      <c r="EG24" s="2" t="s">
        <v>1978</v>
      </c>
      <c r="EH24" s="2" t="s">
        <v>1978</v>
      </c>
      <c r="EI24" s="2" t="s">
        <v>1978</v>
      </c>
      <c r="EJ24" s="2" t="s">
        <v>1978</v>
      </c>
      <c r="EK24" s="2" t="s">
        <v>1978</v>
      </c>
      <c r="EL24" s="2" t="s">
        <v>1978</v>
      </c>
      <c r="EM24" s="2" t="s">
        <v>1978</v>
      </c>
      <c r="EN24" s="2" t="s">
        <v>1978</v>
      </c>
      <c r="EO24" s="2" t="s">
        <v>1978</v>
      </c>
      <c r="EP24" s="2" t="s">
        <v>1978</v>
      </c>
      <c r="EQ24" s="2" t="s">
        <v>1978</v>
      </c>
      <c r="ER24" s="2" t="s">
        <v>1978</v>
      </c>
      <c r="ES24" s="2" t="s">
        <v>1978</v>
      </c>
    </row>
    <row r="25" spans="1:149" x14ac:dyDescent="0.3">
      <c r="A25" s="2" t="s">
        <v>55</v>
      </c>
      <c r="B25" s="2" t="s">
        <v>2148</v>
      </c>
      <c r="C25" s="2" t="s">
        <v>2149</v>
      </c>
      <c r="D25" s="2" t="s">
        <v>58</v>
      </c>
      <c r="E25" s="2" t="s">
        <v>1967</v>
      </c>
      <c r="F25" s="2" t="s">
        <v>1978</v>
      </c>
      <c r="G25" s="2">
        <f t="shared" si="298"/>
        <v>23</v>
      </c>
      <c r="H25" s="2">
        <f t="shared" si="299"/>
        <v>23</v>
      </c>
      <c r="I25" s="2" t="s">
        <v>1970</v>
      </c>
      <c r="J25" s="2" t="s">
        <v>1978</v>
      </c>
      <c r="K25" s="2" t="s">
        <v>1970</v>
      </c>
      <c r="L25" s="2" t="s">
        <v>1970</v>
      </c>
      <c r="M25" s="2" t="s">
        <v>1978</v>
      </c>
      <c r="N25" s="344" t="s">
        <v>1978</v>
      </c>
      <c r="O25" s="344" t="s">
        <v>1978</v>
      </c>
      <c r="P25" s="344" t="s">
        <v>1978</v>
      </c>
      <c r="Q25" s="344" t="s">
        <v>1978</v>
      </c>
      <c r="R25" s="344" t="s">
        <v>1978</v>
      </c>
      <c r="S25" s="344" t="s">
        <v>1978</v>
      </c>
      <c r="T25" s="2" t="s">
        <v>56</v>
      </c>
      <c r="U25" s="2" t="s">
        <v>2150</v>
      </c>
      <c r="X25" s="344">
        <f>'A123'!J33</f>
        <v>24</v>
      </c>
      <c r="Y25" s="344">
        <f>'A123'!K33</f>
        <v>25</v>
      </c>
      <c r="Z25" s="344">
        <f>'A123'!L33</f>
        <v>6.7272727272727275</v>
      </c>
      <c r="AA25" s="2" t="s">
        <v>2150</v>
      </c>
      <c r="AB25" s="2" t="str">
        <f>入學要求!X34</f>
        <v>/</v>
      </c>
      <c r="AC25" s="2" t="str">
        <f>入學要求!Y34</f>
        <v>/</v>
      </c>
      <c r="AD25" s="2" t="s">
        <v>1967</v>
      </c>
      <c r="AE25" s="2" t="s">
        <v>1978</v>
      </c>
      <c r="AF25" s="2" t="s">
        <v>1978</v>
      </c>
      <c r="AG25" s="2" t="s">
        <v>1978</v>
      </c>
      <c r="AH25" s="2" t="s">
        <v>1978</v>
      </c>
      <c r="AI25" s="2" t="s">
        <v>1978</v>
      </c>
      <c r="AJ25" s="2" t="s">
        <v>2151</v>
      </c>
      <c r="AK25" s="2" t="s">
        <v>2687</v>
      </c>
      <c r="AL25" s="2" t="s">
        <v>2686</v>
      </c>
      <c r="AM25" s="2" t="s">
        <v>1978</v>
      </c>
      <c r="AN25" s="2" t="s">
        <v>1978</v>
      </c>
      <c r="AO25" s="2" t="s">
        <v>1978</v>
      </c>
      <c r="AP25" s="251" t="s">
        <v>1978</v>
      </c>
      <c r="AQ25" s="344" t="s">
        <v>1970</v>
      </c>
      <c r="AR25" s="2" t="s">
        <v>2150</v>
      </c>
      <c r="AS25" s="2" t="s">
        <v>2366</v>
      </c>
      <c r="AT25" s="2" t="s">
        <v>3611</v>
      </c>
      <c r="AV25" s="344" t="s">
        <v>1987</v>
      </c>
      <c r="BB25" s="2">
        <v>1</v>
      </c>
      <c r="BC25" s="2">
        <v>1</v>
      </c>
      <c r="BD25" s="2">
        <v>1</v>
      </c>
      <c r="BE25" s="2">
        <v>1</v>
      </c>
      <c r="BF25" s="2">
        <v>1</v>
      </c>
      <c r="BG25" s="2">
        <v>1</v>
      </c>
      <c r="BH25" s="2">
        <v>1</v>
      </c>
      <c r="BI25" s="2">
        <v>1</v>
      </c>
      <c r="BJ25" s="2">
        <v>4</v>
      </c>
      <c r="BK25" s="2">
        <v>3</v>
      </c>
      <c r="BL25" s="2">
        <v>4</v>
      </c>
      <c r="BM25" s="2">
        <v>4</v>
      </c>
      <c r="BN25" s="2" t="s">
        <v>1978</v>
      </c>
      <c r="BO25" s="2">
        <v>4</v>
      </c>
      <c r="BP25" s="2">
        <v>4</v>
      </c>
      <c r="BQ25" s="2" t="s">
        <v>1978</v>
      </c>
      <c r="BR25" s="2">
        <f t="shared" si="309"/>
        <v>4</v>
      </c>
      <c r="BS25" s="2">
        <f t="shared" si="310"/>
        <v>3</v>
      </c>
      <c r="BT25" s="2">
        <f t="shared" si="311"/>
        <v>4</v>
      </c>
      <c r="BU25" s="2">
        <f t="shared" si="312"/>
        <v>4</v>
      </c>
      <c r="BV25" s="2" t="e">
        <f t="shared" si="313"/>
        <v>#VALUE!</v>
      </c>
      <c r="BW25" s="2">
        <f t="shared" si="314"/>
        <v>4</v>
      </c>
      <c r="BX25" s="2">
        <f t="shared" si="315"/>
        <v>4</v>
      </c>
      <c r="BY25" s="2" t="e">
        <f t="shared" si="316"/>
        <v>#VALUE!</v>
      </c>
      <c r="BZ25" s="2" t="b">
        <v>1</v>
      </c>
      <c r="CA25" s="2" t="b">
        <v>1</v>
      </c>
      <c r="CB25" s="2" t="b">
        <v>1</v>
      </c>
      <c r="CC25" s="2" t="b">
        <v>1</v>
      </c>
      <c r="CD25" s="2" t="b">
        <v>0</v>
      </c>
      <c r="CE25" s="2" t="b">
        <v>1</v>
      </c>
      <c r="CF25" s="2" t="b">
        <v>1</v>
      </c>
      <c r="CG25" s="2" t="b">
        <v>0</v>
      </c>
      <c r="CH25" s="2">
        <v>1</v>
      </c>
      <c r="CI25" s="2">
        <v>1</v>
      </c>
      <c r="CJ25" s="2">
        <v>1</v>
      </c>
      <c r="CK25" s="2">
        <v>1</v>
      </c>
      <c r="CL25" s="2">
        <v>1</v>
      </c>
      <c r="CM25" s="2">
        <v>1</v>
      </c>
      <c r="CN25" s="2">
        <v>1</v>
      </c>
      <c r="CO25" s="2">
        <v>1</v>
      </c>
      <c r="CP25" s="2">
        <v>4</v>
      </c>
      <c r="CQ25" s="2">
        <v>3</v>
      </c>
      <c r="CR25" s="2">
        <v>5</v>
      </c>
      <c r="CS25" s="2">
        <v>4</v>
      </c>
      <c r="CT25" s="2" t="s">
        <v>1978</v>
      </c>
      <c r="CU25" s="2">
        <v>4</v>
      </c>
      <c r="CV25" s="2">
        <v>3</v>
      </c>
      <c r="CW25" s="2" t="s">
        <v>1978</v>
      </c>
      <c r="CX25" s="2">
        <f t="shared" si="325"/>
        <v>4</v>
      </c>
      <c r="CY25" s="2">
        <f t="shared" si="326"/>
        <v>3</v>
      </c>
      <c r="CZ25" s="2">
        <f t="shared" si="327"/>
        <v>5</v>
      </c>
      <c r="DA25" s="2">
        <f t="shared" si="328"/>
        <v>4</v>
      </c>
      <c r="DB25" s="2" t="e">
        <f t="shared" si="329"/>
        <v>#VALUE!</v>
      </c>
      <c r="DC25" s="2">
        <f t="shared" si="330"/>
        <v>4</v>
      </c>
      <c r="DD25" s="2">
        <f t="shared" si="331"/>
        <v>3</v>
      </c>
      <c r="DE25" s="2" t="e">
        <f t="shared" si="332"/>
        <v>#VALUE!</v>
      </c>
      <c r="DF25" s="2" t="b">
        <v>1</v>
      </c>
      <c r="DG25" s="2" t="b">
        <v>1</v>
      </c>
      <c r="DH25" s="2" t="b">
        <v>1</v>
      </c>
      <c r="DI25" s="2" t="b">
        <v>1</v>
      </c>
      <c r="DJ25" s="2" t="b">
        <v>0</v>
      </c>
      <c r="DK25" s="2" t="b">
        <v>1</v>
      </c>
      <c r="DL25" s="2" t="b">
        <v>1</v>
      </c>
      <c r="DM25" s="2" t="b">
        <v>0</v>
      </c>
      <c r="DN25" s="2" t="s">
        <v>1978</v>
      </c>
      <c r="DO25" s="2" t="s">
        <v>1978</v>
      </c>
      <c r="DP25" s="2" t="s">
        <v>1978</v>
      </c>
      <c r="DQ25" s="2" t="s">
        <v>1978</v>
      </c>
      <c r="DR25" s="2" t="s">
        <v>1978</v>
      </c>
      <c r="DS25" s="2" t="s">
        <v>1978</v>
      </c>
      <c r="DT25" s="2" t="s">
        <v>1978</v>
      </c>
      <c r="DU25" s="2" t="s">
        <v>1978</v>
      </c>
      <c r="DV25" s="2" t="s">
        <v>1978</v>
      </c>
      <c r="DW25" s="2" t="s">
        <v>1978</v>
      </c>
      <c r="DX25" s="2" t="s">
        <v>1978</v>
      </c>
      <c r="DY25" s="2" t="s">
        <v>1978</v>
      </c>
      <c r="DZ25" s="2" t="s">
        <v>1978</v>
      </c>
      <c r="EA25" s="2" t="s">
        <v>1978</v>
      </c>
      <c r="EB25" s="2" t="s">
        <v>1978</v>
      </c>
      <c r="EC25" s="2" t="s">
        <v>1978</v>
      </c>
      <c r="ED25" s="2" t="s">
        <v>1978</v>
      </c>
      <c r="EE25" s="2" t="s">
        <v>1978</v>
      </c>
      <c r="EF25" s="2" t="s">
        <v>1978</v>
      </c>
      <c r="EG25" s="2" t="s">
        <v>1978</v>
      </c>
      <c r="EH25" s="2" t="s">
        <v>1978</v>
      </c>
      <c r="EI25" s="2" t="s">
        <v>1978</v>
      </c>
      <c r="EJ25" s="2" t="s">
        <v>1978</v>
      </c>
      <c r="EK25" s="2" t="s">
        <v>1978</v>
      </c>
      <c r="EL25" s="2" t="s">
        <v>1978</v>
      </c>
      <c r="EM25" s="2" t="s">
        <v>1978</v>
      </c>
      <c r="EN25" s="2" t="s">
        <v>1978</v>
      </c>
      <c r="EO25" s="2" t="s">
        <v>1978</v>
      </c>
      <c r="EP25" s="2" t="s">
        <v>1978</v>
      </c>
      <c r="EQ25" s="2" t="s">
        <v>1978</v>
      </c>
      <c r="ER25" s="2" t="s">
        <v>1978</v>
      </c>
      <c r="ES25" s="2" t="s">
        <v>1978</v>
      </c>
    </row>
    <row r="26" spans="1:149" x14ac:dyDescent="0.3">
      <c r="A26" s="2" t="s">
        <v>59</v>
      </c>
      <c r="B26" s="2" t="s">
        <v>2148</v>
      </c>
      <c r="C26" s="2" t="s">
        <v>2149</v>
      </c>
      <c r="D26" s="2" t="s">
        <v>62</v>
      </c>
      <c r="E26" s="2" t="s">
        <v>1967</v>
      </c>
      <c r="F26" s="2" t="s">
        <v>1978</v>
      </c>
      <c r="G26" s="2">
        <f t="shared" si="298"/>
        <v>23</v>
      </c>
      <c r="H26" s="2">
        <f t="shared" si="299"/>
        <v>23</v>
      </c>
      <c r="I26" s="2" t="s">
        <v>1970</v>
      </c>
      <c r="J26" s="2" t="s">
        <v>1978</v>
      </c>
      <c r="K26" s="2" t="s">
        <v>1970</v>
      </c>
      <c r="L26" s="2" t="s">
        <v>1970</v>
      </c>
      <c r="M26" s="2" t="s">
        <v>1978</v>
      </c>
      <c r="N26" s="344" t="s">
        <v>1978</v>
      </c>
      <c r="O26" s="344" t="s">
        <v>1978</v>
      </c>
      <c r="P26" s="344" t="s">
        <v>1978</v>
      </c>
      <c r="Q26" s="344" t="s">
        <v>1978</v>
      </c>
      <c r="R26" s="344" t="s">
        <v>1978</v>
      </c>
      <c r="S26" s="344" t="s">
        <v>1978</v>
      </c>
      <c r="T26" s="2" t="s">
        <v>60</v>
      </c>
      <c r="U26" s="2" t="s">
        <v>2150</v>
      </c>
      <c r="X26" s="344">
        <f>'A123'!J34</f>
        <v>24</v>
      </c>
      <c r="Y26" s="344">
        <f>'A123'!K34</f>
        <v>33</v>
      </c>
      <c r="Z26" s="344">
        <f>'A123'!L34</f>
        <v>18.681818181818183</v>
      </c>
      <c r="AA26" s="2" t="s">
        <v>2150</v>
      </c>
      <c r="AB26" s="2" t="str">
        <f>入學要求!X35</f>
        <v>/</v>
      </c>
      <c r="AC26" s="2" t="str">
        <f>入學要求!Y35</f>
        <v>/</v>
      </c>
      <c r="AD26" s="2" t="s">
        <v>1967</v>
      </c>
      <c r="AE26" s="2" t="s">
        <v>1978</v>
      </c>
      <c r="AF26" s="2" t="s">
        <v>1978</v>
      </c>
      <c r="AG26" s="2" t="s">
        <v>1978</v>
      </c>
      <c r="AH26" s="2" t="s">
        <v>1978</v>
      </c>
      <c r="AI26" s="2" t="s">
        <v>1978</v>
      </c>
      <c r="AJ26" s="2" t="s">
        <v>2151</v>
      </c>
      <c r="AK26" s="2" t="s">
        <v>2687</v>
      </c>
      <c r="AL26" s="2" t="s">
        <v>2686</v>
      </c>
      <c r="AM26" s="2" t="s">
        <v>1978</v>
      </c>
      <c r="AN26" s="2" t="s">
        <v>1978</v>
      </c>
      <c r="AO26" s="2" t="s">
        <v>1978</v>
      </c>
      <c r="AP26" s="251" t="s">
        <v>1978</v>
      </c>
      <c r="AQ26" s="344" t="s">
        <v>1970</v>
      </c>
      <c r="AR26" s="2" t="s">
        <v>2150</v>
      </c>
      <c r="AS26" s="2" t="s">
        <v>3610</v>
      </c>
      <c r="AT26" s="2" t="s">
        <v>3611</v>
      </c>
      <c r="AV26" s="344" t="s">
        <v>1987</v>
      </c>
      <c r="BB26" s="2">
        <v>1</v>
      </c>
      <c r="BC26" s="2">
        <v>1</v>
      </c>
      <c r="BD26" s="2">
        <v>1</v>
      </c>
      <c r="BE26" s="2">
        <v>1</v>
      </c>
      <c r="BF26" s="2">
        <v>1</v>
      </c>
      <c r="BG26" s="2">
        <v>1</v>
      </c>
      <c r="BH26" s="2">
        <v>1</v>
      </c>
      <c r="BI26" s="2">
        <v>1</v>
      </c>
      <c r="BJ26" s="2">
        <v>4</v>
      </c>
      <c r="BK26" s="2">
        <v>4</v>
      </c>
      <c r="BL26" s="2">
        <v>3</v>
      </c>
      <c r="BM26" s="2">
        <v>4</v>
      </c>
      <c r="BN26" s="2" t="s">
        <v>1978</v>
      </c>
      <c r="BO26" s="2">
        <v>4</v>
      </c>
      <c r="BP26" s="2">
        <v>4</v>
      </c>
      <c r="BQ26" s="2" t="s">
        <v>1978</v>
      </c>
      <c r="BR26" s="2">
        <f t="shared" si="309"/>
        <v>4</v>
      </c>
      <c r="BS26" s="2">
        <f t="shared" si="310"/>
        <v>4</v>
      </c>
      <c r="BT26" s="2">
        <f t="shared" si="311"/>
        <v>3</v>
      </c>
      <c r="BU26" s="2">
        <f t="shared" si="312"/>
        <v>4</v>
      </c>
      <c r="BV26" s="2" t="e">
        <f t="shared" si="313"/>
        <v>#VALUE!</v>
      </c>
      <c r="BW26" s="2">
        <f t="shared" si="314"/>
        <v>4</v>
      </c>
      <c r="BX26" s="2">
        <f t="shared" si="315"/>
        <v>4</v>
      </c>
      <c r="BY26" s="2" t="e">
        <f t="shared" si="316"/>
        <v>#VALUE!</v>
      </c>
      <c r="BZ26" s="2" t="b">
        <v>1</v>
      </c>
      <c r="CA26" s="2" t="b">
        <v>1</v>
      </c>
      <c r="CB26" s="2" t="b">
        <v>1</v>
      </c>
      <c r="CC26" s="2" t="b">
        <v>1</v>
      </c>
      <c r="CD26" s="2" t="b">
        <v>0</v>
      </c>
      <c r="CE26" s="2" t="b">
        <v>1</v>
      </c>
      <c r="CF26" s="2" t="b">
        <v>1</v>
      </c>
      <c r="CG26" s="2" t="b">
        <v>0</v>
      </c>
      <c r="CH26" s="2">
        <v>1</v>
      </c>
      <c r="CI26" s="2">
        <v>1</v>
      </c>
      <c r="CJ26" s="2">
        <v>1</v>
      </c>
      <c r="CK26" s="2">
        <v>1</v>
      </c>
      <c r="CL26" s="2">
        <v>1</v>
      </c>
      <c r="CM26" s="2">
        <v>1</v>
      </c>
      <c r="CN26" s="2">
        <v>1</v>
      </c>
      <c r="CO26" s="2">
        <v>1</v>
      </c>
      <c r="CP26" s="2">
        <v>4</v>
      </c>
      <c r="CQ26" s="2">
        <v>3</v>
      </c>
      <c r="CR26" s="2">
        <v>5</v>
      </c>
      <c r="CS26" s="2">
        <v>3</v>
      </c>
      <c r="CT26" s="2" t="s">
        <v>1978</v>
      </c>
      <c r="CU26" s="2">
        <v>4</v>
      </c>
      <c r="CV26" s="2">
        <v>4</v>
      </c>
      <c r="CW26" s="2" t="s">
        <v>1978</v>
      </c>
      <c r="CX26" s="2">
        <f t="shared" si="325"/>
        <v>4</v>
      </c>
      <c r="CY26" s="2">
        <f t="shared" si="326"/>
        <v>3</v>
      </c>
      <c r="CZ26" s="2">
        <f t="shared" si="327"/>
        <v>5</v>
      </c>
      <c r="DA26" s="2">
        <f t="shared" si="328"/>
        <v>3</v>
      </c>
      <c r="DB26" s="2" t="e">
        <f t="shared" si="329"/>
        <v>#VALUE!</v>
      </c>
      <c r="DC26" s="2">
        <f t="shared" si="330"/>
        <v>4</v>
      </c>
      <c r="DD26" s="2">
        <f t="shared" si="331"/>
        <v>4</v>
      </c>
      <c r="DE26" s="2" t="e">
        <f t="shared" si="332"/>
        <v>#VALUE!</v>
      </c>
      <c r="DF26" s="2" t="b">
        <v>1</v>
      </c>
      <c r="DG26" s="2" t="b">
        <v>1</v>
      </c>
      <c r="DH26" s="2" t="b">
        <v>1</v>
      </c>
      <c r="DI26" s="2" t="b">
        <v>1</v>
      </c>
      <c r="DJ26" s="2" t="b">
        <v>0</v>
      </c>
      <c r="DK26" s="2" t="b">
        <v>1</v>
      </c>
      <c r="DL26" s="2" t="b">
        <v>1</v>
      </c>
      <c r="DM26" s="2" t="b">
        <v>0</v>
      </c>
      <c r="DN26" s="2" t="s">
        <v>1978</v>
      </c>
      <c r="DO26" s="2" t="s">
        <v>1978</v>
      </c>
      <c r="DP26" s="2" t="s">
        <v>1978</v>
      </c>
      <c r="DQ26" s="2" t="s">
        <v>1978</v>
      </c>
      <c r="DR26" s="2" t="s">
        <v>1978</v>
      </c>
      <c r="DS26" s="2" t="s">
        <v>1978</v>
      </c>
      <c r="DT26" s="2" t="s">
        <v>1978</v>
      </c>
      <c r="DU26" s="2" t="s">
        <v>1978</v>
      </c>
      <c r="DV26" s="2" t="s">
        <v>1978</v>
      </c>
      <c r="DW26" s="2" t="s">
        <v>1978</v>
      </c>
      <c r="DX26" s="2" t="s">
        <v>1978</v>
      </c>
      <c r="DY26" s="2" t="s">
        <v>1978</v>
      </c>
      <c r="DZ26" s="2" t="s">
        <v>1978</v>
      </c>
      <c r="EA26" s="2" t="s">
        <v>1978</v>
      </c>
      <c r="EB26" s="2" t="s">
        <v>1978</v>
      </c>
      <c r="EC26" s="2" t="s">
        <v>1978</v>
      </c>
      <c r="ED26" s="2" t="s">
        <v>1978</v>
      </c>
      <c r="EE26" s="2" t="s">
        <v>1978</v>
      </c>
      <c r="EF26" s="2" t="s">
        <v>1978</v>
      </c>
      <c r="EG26" s="2" t="s">
        <v>1978</v>
      </c>
      <c r="EH26" s="2" t="s">
        <v>1978</v>
      </c>
      <c r="EI26" s="2" t="s">
        <v>1978</v>
      </c>
      <c r="EJ26" s="2" t="s">
        <v>1978</v>
      </c>
      <c r="EK26" s="2" t="s">
        <v>1978</v>
      </c>
      <c r="EL26" s="2" t="s">
        <v>1978</v>
      </c>
      <c r="EM26" s="2" t="s">
        <v>1978</v>
      </c>
      <c r="EN26" s="2" t="s">
        <v>1978</v>
      </c>
      <c r="EO26" s="2" t="s">
        <v>1978</v>
      </c>
      <c r="EP26" s="2" t="s">
        <v>1978</v>
      </c>
      <c r="EQ26" s="2" t="s">
        <v>1978</v>
      </c>
      <c r="ER26" s="2" t="s">
        <v>1978</v>
      </c>
      <c r="ES26" s="2" t="s">
        <v>1978</v>
      </c>
    </row>
    <row r="27" spans="1:149" x14ac:dyDescent="0.3">
      <c r="A27" s="2" t="s">
        <v>63</v>
      </c>
      <c r="B27" s="2" t="s">
        <v>2148</v>
      </c>
      <c r="C27" s="2" t="s">
        <v>1971</v>
      </c>
      <c r="D27" s="2" t="s">
        <v>66</v>
      </c>
      <c r="E27" s="11" t="s">
        <v>1967</v>
      </c>
      <c r="F27" s="2" t="s">
        <v>1978</v>
      </c>
      <c r="G27" s="2">
        <f t="shared" si="298"/>
        <v>28</v>
      </c>
      <c r="H27" s="2">
        <f t="shared" si="299"/>
        <v>27</v>
      </c>
      <c r="I27" s="2" t="s">
        <v>1970</v>
      </c>
      <c r="J27" s="2" t="s">
        <v>1978</v>
      </c>
      <c r="K27" s="2" t="s">
        <v>2740</v>
      </c>
      <c r="L27" s="2" t="s">
        <v>1970</v>
      </c>
      <c r="M27" s="2" t="s">
        <v>1978</v>
      </c>
      <c r="N27" s="344" t="s">
        <v>1978</v>
      </c>
      <c r="O27" s="344" t="s">
        <v>1978</v>
      </c>
      <c r="P27" s="344" t="s">
        <v>1978</v>
      </c>
      <c r="Q27" s="344" t="s">
        <v>1978</v>
      </c>
      <c r="R27" s="344" t="s">
        <v>1978</v>
      </c>
      <c r="S27" s="344" t="s">
        <v>1978</v>
      </c>
      <c r="T27" s="2" t="s">
        <v>64</v>
      </c>
      <c r="U27" s="2" t="s">
        <v>2150</v>
      </c>
      <c r="X27" s="344">
        <f>'A123'!J35</f>
        <v>24</v>
      </c>
      <c r="Y27" s="344">
        <f>'A123'!K35</f>
        <v>35</v>
      </c>
      <c r="Z27" s="344">
        <f>'A123'!L35</f>
        <v>10.914285714285715</v>
      </c>
      <c r="AA27" s="2" t="s">
        <v>2150</v>
      </c>
      <c r="AB27" s="2" t="str">
        <f>入學要求!X36</f>
        <v>/</v>
      </c>
      <c r="AC27" s="2" t="str">
        <f>入學要求!Y36</f>
        <v>/</v>
      </c>
      <c r="AD27" s="2" t="s">
        <v>1967</v>
      </c>
      <c r="AE27" s="2" t="s">
        <v>1978</v>
      </c>
      <c r="AF27" s="2" t="s">
        <v>1978</v>
      </c>
      <c r="AG27" s="2" t="s">
        <v>2740</v>
      </c>
      <c r="AH27" s="2" t="s">
        <v>1978</v>
      </c>
      <c r="AI27" s="2" t="s">
        <v>1978</v>
      </c>
      <c r="AJ27" s="2" t="s">
        <v>2151</v>
      </c>
      <c r="AK27" s="2" t="s">
        <v>2774</v>
      </c>
      <c r="AL27" s="2" t="s">
        <v>2775</v>
      </c>
      <c r="AM27" s="2" t="s">
        <v>1978</v>
      </c>
      <c r="AN27" s="2" t="s">
        <v>1978</v>
      </c>
      <c r="AO27" s="2" t="s">
        <v>1978</v>
      </c>
      <c r="AP27" s="251" t="s">
        <v>1978</v>
      </c>
      <c r="AQ27" s="344" t="s">
        <v>1970</v>
      </c>
      <c r="AR27" s="2" t="s">
        <v>2150</v>
      </c>
      <c r="AS27" s="2" t="s">
        <v>3608</v>
      </c>
      <c r="AV27" s="344" t="s">
        <v>1987</v>
      </c>
      <c r="BB27" s="2">
        <v>1</v>
      </c>
      <c r="BC27" s="2">
        <v>2</v>
      </c>
      <c r="BD27" s="2">
        <v>1</v>
      </c>
      <c r="BE27" s="2">
        <v>1</v>
      </c>
      <c r="BF27" s="2">
        <v>1</v>
      </c>
      <c r="BG27" s="2">
        <v>1</v>
      </c>
      <c r="BH27" s="2">
        <v>1</v>
      </c>
      <c r="BI27" s="2">
        <v>1</v>
      </c>
      <c r="BJ27" s="2">
        <v>5</v>
      </c>
      <c r="BK27" s="2">
        <v>5</v>
      </c>
      <c r="BL27" s="2">
        <v>3</v>
      </c>
      <c r="BM27" s="2">
        <v>3</v>
      </c>
      <c r="BN27" s="2" t="s">
        <v>1978</v>
      </c>
      <c r="BO27" s="2">
        <v>3</v>
      </c>
      <c r="BP27" s="2">
        <v>3</v>
      </c>
      <c r="BQ27" s="2">
        <v>2</v>
      </c>
      <c r="BR27" s="2">
        <f t="shared" si="309"/>
        <v>5</v>
      </c>
      <c r="BS27" s="2">
        <f t="shared" si="310"/>
        <v>10</v>
      </c>
      <c r="BT27" s="2">
        <f t="shared" si="311"/>
        <v>3</v>
      </c>
      <c r="BU27" s="2">
        <f t="shared" si="312"/>
        <v>3</v>
      </c>
      <c r="BV27" s="2" t="e">
        <f t="shared" si="313"/>
        <v>#VALUE!</v>
      </c>
      <c r="BW27" s="2">
        <f t="shared" si="314"/>
        <v>3</v>
      </c>
      <c r="BX27" s="2">
        <f t="shared" si="315"/>
        <v>3</v>
      </c>
      <c r="BY27" s="2">
        <f t="shared" si="316"/>
        <v>2</v>
      </c>
      <c r="BZ27" s="2" t="b">
        <v>1</v>
      </c>
      <c r="CA27" s="2" t="b">
        <v>1</v>
      </c>
      <c r="CB27" s="2" t="b">
        <v>1</v>
      </c>
      <c r="CC27" s="2" t="b">
        <v>1</v>
      </c>
      <c r="CD27" s="2" t="b">
        <v>0</v>
      </c>
      <c r="CE27" s="2" t="b">
        <v>1</v>
      </c>
      <c r="CF27" s="2" t="b">
        <v>1</v>
      </c>
      <c r="CG27" s="2" t="b">
        <v>0</v>
      </c>
      <c r="CH27" s="2">
        <v>1</v>
      </c>
      <c r="CI27" s="2">
        <v>2</v>
      </c>
      <c r="CJ27" s="2">
        <v>1</v>
      </c>
      <c r="CK27" s="2">
        <v>1</v>
      </c>
      <c r="CL27" s="2">
        <v>1</v>
      </c>
      <c r="CM27" s="2">
        <v>1</v>
      </c>
      <c r="CN27" s="2">
        <v>1</v>
      </c>
      <c r="CO27" s="2">
        <v>1</v>
      </c>
      <c r="CP27" s="2">
        <v>4</v>
      </c>
      <c r="CQ27" s="2">
        <v>4</v>
      </c>
      <c r="CR27" s="2">
        <v>4</v>
      </c>
      <c r="CS27" s="2">
        <v>4</v>
      </c>
      <c r="CT27" s="2" t="s">
        <v>1978</v>
      </c>
      <c r="CU27" s="2">
        <v>4</v>
      </c>
      <c r="CV27" s="2">
        <v>4</v>
      </c>
      <c r="CW27" s="2">
        <v>4</v>
      </c>
      <c r="CX27" s="2">
        <f t="shared" si="325"/>
        <v>4</v>
      </c>
      <c r="CY27" s="2">
        <f t="shared" si="326"/>
        <v>8</v>
      </c>
      <c r="CZ27" s="2">
        <f t="shared" si="327"/>
        <v>4</v>
      </c>
      <c r="DA27" s="2">
        <f t="shared" si="328"/>
        <v>4</v>
      </c>
      <c r="DB27" s="2" t="e">
        <f t="shared" si="329"/>
        <v>#VALUE!</v>
      </c>
      <c r="DC27" s="2">
        <f t="shared" si="330"/>
        <v>4</v>
      </c>
      <c r="DD27" s="2">
        <f t="shared" si="331"/>
        <v>4</v>
      </c>
      <c r="DE27" s="2">
        <f t="shared" si="332"/>
        <v>4</v>
      </c>
      <c r="DF27" s="2" t="b">
        <v>1</v>
      </c>
      <c r="DG27" s="2" t="b">
        <v>1</v>
      </c>
      <c r="DH27" s="2" t="b">
        <v>1</v>
      </c>
      <c r="DI27" s="2" t="b">
        <v>1</v>
      </c>
      <c r="DJ27" s="2" t="b">
        <v>0</v>
      </c>
      <c r="DK27" s="2" t="b">
        <v>1</v>
      </c>
      <c r="DL27" s="2" t="b">
        <v>1</v>
      </c>
      <c r="DM27" s="2" t="b">
        <v>0</v>
      </c>
      <c r="DN27" s="2" t="s">
        <v>1978</v>
      </c>
      <c r="DO27" s="2" t="s">
        <v>1978</v>
      </c>
      <c r="DP27" s="2" t="s">
        <v>1978</v>
      </c>
      <c r="DQ27" s="2" t="s">
        <v>1978</v>
      </c>
      <c r="DR27" s="2" t="s">
        <v>1978</v>
      </c>
      <c r="DS27" s="2" t="s">
        <v>1978</v>
      </c>
      <c r="DT27" s="2" t="s">
        <v>1978</v>
      </c>
      <c r="DU27" s="2" t="s">
        <v>1978</v>
      </c>
      <c r="DV27" s="2" t="s">
        <v>1978</v>
      </c>
      <c r="DW27" s="2" t="s">
        <v>1978</v>
      </c>
      <c r="DX27" s="2" t="s">
        <v>1978</v>
      </c>
      <c r="DY27" s="2" t="s">
        <v>1978</v>
      </c>
      <c r="DZ27" s="2" t="s">
        <v>1978</v>
      </c>
      <c r="EA27" s="2" t="s">
        <v>1978</v>
      </c>
      <c r="EB27" s="2" t="s">
        <v>1978</v>
      </c>
      <c r="EC27" s="2" t="s">
        <v>1978</v>
      </c>
      <c r="ED27" s="2" t="s">
        <v>1978</v>
      </c>
      <c r="EE27" s="2" t="s">
        <v>1978</v>
      </c>
      <c r="EF27" s="2" t="s">
        <v>1978</v>
      </c>
      <c r="EG27" s="2" t="s">
        <v>1978</v>
      </c>
      <c r="EH27" s="2" t="s">
        <v>1978</v>
      </c>
      <c r="EI27" s="2" t="s">
        <v>1978</v>
      </c>
      <c r="EJ27" s="2" t="s">
        <v>1978</v>
      </c>
      <c r="EK27" s="2" t="s">
        <v>1978</v>
      </c>
      <c r="EL27" s="2" t="s">
        <v>1978</v>
      </c>
      <c r="EM27" s="2" t="s">
        <v>1978</v>
      </c>
      <c r="EN27" s="2" t="s">
        <v>1978</v>
      </c>
      <c r="EO27" s="2" t="s">
        <v>1978</v>
      </c>
      <c r="EP27" s="2" t="s">
        <v>1978</v>
      </c>
      <c r="EQ27" s="2" t="s">
        <v>1978</v>
      </c>
      <c r="ER27" s="2" t="s">
        <v>1978</v>
      </c>
      <c r="ES27" s="2" t="s">
        <v>1978</v>
      </c>
    </row>
    <row r="28" spans="1:149" x14ac:dyDescent="0.3">
      <c r="A28" s="2" t="s">
        <v>68</v>
      </c>
      <c r="B28" s="2" t="s">
        <v>2148</v>
      </c>
      <c r="C28" s="2" t="s">
        <v>1971</v>
      </c>
      <c r="D28" s="2" t="s">
        <v>71</v>
      </c>
      <c r="E28" s="11" t="s">
        <v>1967</v>
      </c>
      <c r="F28" s="2" t="s">
        <v>1978</v>
      </c>
      <c r="G28" s="2">
        <f t="shared" si="298"/>
        <v>29</v>
      </c>
      <c r="H28" s="2">
        <f t="shared" si="299"/>
        <v>28</v>
      </c>
      <c r="I28" s="2" t="s">
        <v>1970</v>
      </c>
      <c r="J28" s="2" t="s">
        <v>1978</v>
      </c>
      <c r="K28" s="2" t="s">
        <v>2740</v>
      </c>
      <c r="L28" s="2" t="s">
        <v>1970</v>
      </c>
      <c r="M28" s="2" t="s">
        <v>1978</v>
      </c>
      <c r="N28" s="344" t="s">
        <v>1978</v>
      </c>
      <c r="O28" s="344" t="s">
        <v>1978</v>
      </c>
      <c r="P28" s="344" t="s">
        <v>1978</v>
      </c>
      <c r="Q28" s="344" t="s">
        <v>1978</v>
      </c>
      <c r="R28" s="344" t="s">
        <v>1978</v>
      </c>
      <c r="S28" s="344" t="s">
        <v>1978</v>
      </c>
      <c r="T28" s="2" t="s">
        <v>69</v>
      </c>
      <c r="U28" s="2" t="s">
        <v>2150</v>
      </c>
      <c r="X28" s="344">
        <f>'A123'!J36</f>
        <v>20</v>
      </c>
      <c r="Y28" s="344">
        <f>'A123'!K36</f>
        <v>26</v>
      </c>
      <c r="Z28" s="344">
        <f>'A123'!L36</f>
        <v>10.653846153846153</v>
      </c>
      <c r="AA28" s="2" t="s">
        <v>2150</v>
      </c>
      <c r="AB28" s="2" t="str">
        <f>入學要求!X37</f>
        <v>/</v>
      </c>
      <c r="AC28" s="2" t="str">
        <f>入學要求!Y37</f>
        <v>/</v>
      </c>
      <c r="AD28" s="2" t="s">
        <v>1967</v>
      </c>
      <c r="AE28" s="2" t="s">
        <v>1978</v>
      </c>
      <c r="AF28" s="2" t="s">
        <v>1978</v>
      </c>
      <c r="AG28" s="2" t="s">
        <v>2740</v>
      </c>
      <c r="AH28" s="2" t="s">
        <v>1978</v>
      </c>
      <c r="AI28" s="2" t="s">
        <v>1978</v>
      </c>
      <c r="AJ28" s="2" t="s">
        <v>2151</v>
      </c>
      <c r="AK28" s="2" t="s">
        <v>2774</v>
      </c>
      <c r="AL28" s="2" t="s">
        <v>2775</v>
      </c>
      <c r="AM28" s="2" t="s">
        <v>1978</v>
      </c>
      <c r="AN28" s="2" t="s">
        <v>1978</v>
      </c>
      <c r="AO28" s="2" t="s">
        <v>1978</v>
      </c>
      <c r="AP28" s="251" t="s">
        <v>1978</v>
      </c>
      <c r="AQ28" s="344" t="s">
        <v>1970</v>
      </c>
      <c r="AR28" s="2" t="s">
        <v>2150</v>
      </c>
      <c r="AS28" s="2" t="s">
        <v>3608</v>
      </c>
      <c r="AV28" s="344" t="s">
        <v>1987</v>
      </c>
      <c r="BB28" s="2">
        <v>1</v>
      </c>
      <c r="BC28" s="2">
        <v>2</v>
      </c>
      <c r="BD28" s="2">
        <v>1</v>
      </c>
      <c r="BE28" s="2">
        <v>1</v>
      </c>
      <c r="BF28" s="2">
        <v>1</v>
      </c>
      <c r="BG28" s="2">
        <v>1</v>
      </c>
      <c r="BH28" s="2">
        <v>1</v>
      </c>
      <c r="BI28" s="2">
        <v>1</v>
      </c>
      <c r="BJ28" s="2">
        <v>3</v>
      </c>
      <c r="BK28" s="2">
        <v>4</v>
      </c>
      <c r="BL28" s="2">
        <v>5</v>
      </c>
      <c r="BM28" s="2">
        <v>4</v>
      </c>
      <c r="BN28" s="2" t="s">
        <v>1978</v>
      </c>
      <c r="BO28" s="2">
        <v>4</v>
      </c>
      <c r="BP28" s="2">
        <v>4</v>
      </c>
      <c r="BQ28" s="2">
        <v>4</v>
      </c>
      <c r="BR28" s="2">
        <f t="shared" si="309"/>
        <v>3</v>
      </c>
      <c r="BS28" s="2">
        <f t="shared" si="310"/>
        <v>8</v>
      </c>
      <c r="BT28" s="2">
        <f t="shared" si="311"/>
        <v>5</v>
      </c>
      <c r="BU28" s="2">
        <f t="shared" si="312"/>
        <v>4</v>
      </c>
      <c r="BV28" s="2" t="e">
        <f t="shared" si="313"/>
        <v>#VALUE!</v>
      </c>
      <c r="BW28" s="2">
        <f t="shared" si="314"/>
        <v>4</v>
      </c>
      <c r="BX28" s="2">
        <f t="shared" si="315"/>
        <v>4</v>
      </c>
      <c r="BY28" s="2">
        <f t="shared" si="316"/>
        <v>4</v>
      </c>
      <c r="BZ28" s="2" t="b">
        <v>1</v>
      </c>
      <c r="CA28" s="2" t="b">
        <v>1</v>
      </c>
      <c r="CB28" s="2" t="b">
        <v>1</v>
      </c>
      <c r="CC28" s="2" t="b">
        <v>1</v>
      </c>
      <c r="CD28" s="2" t="b">
        <v>0</v>
      </c>
      <c r="CE28" s="2" t="b">
        <v>1</v>
      </c>
      <c r="CF28" s="2" t="b">
        <v>1</v>
      </c>
      <c r="CG28" s="2" t="b">
        <v>0</v>
      </c>
      <c r="CH28" s="2">
        <v>1</v>
      </c>
      <c r="CI28" s="2">
        <v>2</v>
      </c>
      <c r="CJ28" s="2">
        <v>1</v>
      </c>
      <c r="CK28" s="2">
        <v>1</v>
      </c>
      <c r="CL28" s="2">
        <v>1</v>
      </c>
      <c r="CM28" s="2">
        <v>1</v>
      </c>
      <c r="CN28" s="2">
        <v>1</v>
      </c>
      <c r="CO28" s="2">
        <v>1</v>
      </c>
      <c r="CP28" s="2">
        <v>4</v>
      </c>
      <c r="CQ28" s="2">
        <v>4</v>
      </c>
      <c r="CR28" s="2">
        <v>4</v>
      </c>
      <c r="CS28" s="2">
        <v>4</v>
      </c>
      <c r="CT28" s="2" t="s">
        <v>1978</v>
      </c>
      <c r="CU28" s="2">
        <v>5</v>
      </c>
      <c r="CV28" s="2">
        <v>4</v>
      </c>
      <c r="CW28" s="2">
        <v>4</v>
      </c>
      <c r="CX28" s="2">
        <f t="shared" si="325"/>
        <v>4</v>
      </c>
      <c r="CY28" s="2">
        <f t="shared" si="326"/>
        <v>8</v>
      </c>
      <c r="CZ28" s="2">
        <f t="shared" si="327"/>
        <v>4</v>
      </c>
      <c r="DA28" s="2">
        <f t="shared" si="328"/>
        <v>4</v>
      </c>
      <c r="DB28" s="2" t="e">
        <f t="shared" si="329"/>
        <v>#VALUE!</v>
      </c>
      <c r="DC28" s="2">
        <f t="shared" si="330"/>
        <v>5</v>
      </c>
      <c r="DD28" s="2">
        <f t="shared" si="331"/>
        <v>4</v>
      </c>
      <c r="DE28" s="2">
        <f t="shared" si="332"/>
        <v>4</v>
      </c>
      <c r="DF28" s="2" t="b">
        <v>1</v>
      </c>
      <c r="DG28" s="2" t="b">
        <v>1</v>
      </c>
      <c r="DH28" s="2" t="b">
        <v>1</v>
      </c>
      <c r="DI28" s="2" t="b">
        <v>1</v>
      </c>
      <c r="DJ28" s="2" t="b">
        <v>0</v>
      </c>
      <c r="DK28" s="2" t="b">
        <v>1</v>
      </c>
      <c r="DL28" s="2" t="b">
        <v>1</v>
      </c>
      <c r="DM28" s="2" t="b">
        <v>0</v>
      </c>
      <c r="DN28" s="2" t="s">
        <v>1978</v>
      </c>
      <c r="DO28" s="2" t="s">
        <v>1978</v>
      </c>
      <c r="DP28" s="2" t="s">
        <v>1978</v>
      </c>
      <c r="DQ28" s="2" t="s">
        <v>1978</v>
      </c>
      <c r="DR28" s="2" t="s">
        <v>1978</v>
      </c>
      <c r="DS28" s="2" t="s">
        <v>1978</v>
      </c>
      <c r="DT28" s="2" t="s">
        <v>1978</v>
      </c>
      <c r="DU28" s="2" t="s">
        <v>1978</v>
      </c>
      <c r="DV28" s="2" t="s">
        <v>1978</v>
      </c>
      <c r="DW28" s="2" t="s">
        <v>1978</v>
      </c>
      <c r="DX28" s="2" t="s">
        <v>1978</v>
      </c>
      <c r="DY28" s="2" t="s">
        <v>1978</v>
      </c>
      <c r="DZ28" s="2" t="s">
        <v>1978</v>
      </c>
      <c r="EA28" s="2" t="s">
        <v>1978</v>
      </c>
      <c r="EB28" s="2" t="s">
        <v>1978</v>
      </c>
      <c r="EC28" s="2" t="s">
        <v>1978</v>
      </c>
      <c r="ED28" s="2" t="s">
        <v>1978</v>
      </c>
      <c r="EE28" s="2" t="s">
        <v>1978</v>
      </c>
      <c r="EF28" s="2" t="s">
        <v>1978</v>
      </c>
      <c r="EG28" s="2" t="s">
        <v>1978</v>
      </c>
      <c r="EH28" s="2" t="s">
        <v>1978</v>
      </c>
      <c r="EI28" s="2" t="s">
        <v>1978</v>
      </c>
      <c r="EJ28" s="2" t="s">
        <v>1978</v>
      </c>
      <c r="EK28" s="2" t="s">
        <v>1978</v>
      </c>
      <c r="EL28" s="2" t="s">
        <v>1978</v>
      </c>
      <c r="EM28" s="2" t="s">
        <v>1978</v>
      </c>
      <c r="EN28" s="2" t="s">
        <v>1978</v>
      </c>
      <c r="EO28" s="2" t="s">
        <v>1978</v>
      </c>
      <c r="EP28" s="2" t="s">
        <v>1978</v>
      </c>
      <c r="EQ28" s="2" t="s">
        <v>1978</v>
      </c>
      <c r="ER28" s="2" t="s">
        <v>1978</v>
      </c>
      <c r="ES28" s="2" t="s">
        <v>1978</v>
      </c>
    </row>
    <row r="29" spans="1:149" x14ac:dyDescent="0.3">
      <c r="A29" s="2" t="s">
        <v>73</v>
      </c>
      <c r="B29" s="2" t="s">
        <v>2148</v>
      </c>
      <c r="C29" s="2" t="s">
        <v>1971</v>
      </c>
      <c r="D29" s="2" t="s">
        <v>76</v>
      </c>
      <c r="E29" s="11" t="s">
        <v>1967</v>
      </c>
      <c r="F29" s="2" t="s">
        <v>1978</v>
      </c>
      <c r="G29" s="2">
        <f t="shared" si="298"/>
        <v>28.5</v>
      </c>
      <c r="H29" s="2">
        <f t="shared" si="299"/>
        <v>28</v>
      </c>
      <c r="I29" s="2" t="s">
        <v>1970</v>
      </c>
      <c r="J29" s="2" t="s">
        <v>1978</v>
      </c>
      <c r="K29" s="2" t="s">
        <v>2740</v>
      </c>
      <c r="L29" s="2" t="s">
        <v>2777</v>
      </c>
      <c r="M29" s="2" t="s">
        <v>1978</v>
      </c>
      <c r="N29" s="344" t="s">
        <v>1978</v>
      </c>
      <c r="O29" s="344" t="s">
        <v>1978</v>
      </c>
      <c r="P29" s="344" t="s">
        <v>1978</v>
      </c>
      <c r="Q29" s="344" t="s">
        <v>1978</v>
      </c>
      <c r="R29" s="344" t="s">
        <v>1978</v>
      </c>
      <c r="S29" s="344" t="s">
        <v>1978</v>
      </c>
      <c r="T29" s="2" t="s">
        <v>74</v>
      </c>
      <c r="U29" s="2" t="s">
        <v>2150</v>
      </c>
      <c r="X29" s="344">
        <f>'A123'!J37</f>
        <v>27</v>
      </c>
      <c r="Y29" s="344">
        <f>'A123'!K37</f>
        <v>28</v>
      </c>
      <c r="Z29" s="344">
        <f>'A123'!L37</f>
        <v>10.392857142857142</v>
      </c>
      <c r="AA29" s="2" t="s">
        <v>2150</v>
      </c>
      <c r="AB29" s="2" t="str">
        <f>入學要求!X38</f>
        <v>/</v>
      </c>
      <c r="AC29" s="2" t="str">
        <f>入學要求!Y38</f>
        <v>/</v>
      </c>
      <c r="AD29" s="2" t="s">
        <v>1967</v>
      </c>
      <c r="AE29" s="2" t="s">
        <v>1978</v>
      </c>
      <c r="AF29" s="2" t="s">
        <v>1978</v>
      </c>
      <c r="AG29" s="2" t="s">
        <v>2740</v>
      </c>
      <c r="AH29" s="2" t="s">
        <v>2777</v>
      </c>
      <c r="AI29" s="2" t="s">
        <v>1978</v>
      </c>
      <c r="AJ29" s="2" t="s">
        <v>2151</v>
      </c>
      <c r="AK29" s="2" t="s">
        <v>2774</v>
      </c>
      <c r="AL29" s="2" t="s">
        <v>2775</v>
      </c>
      <c r="AM29" s="2" t="s">
        <v>1978</v>
      </c>
      <c r="AN29" s="2" t="s">
        <v>1978</v>
      </c>
      <c r="AO29" s="2" t="s">
        <v>1978</v>
      </c>
      <c r="AP29" s="251" t="s">
        <v>1978</v>
      </c>
      <c r="AQ29" s="344" t="s">
        <v>1970</v>
      </c>
      <c r="AR29" s="2" t="s">
        <v>2150</v>
      </c>
      <c r="AS29" s="2" t="s">
        <v>3608</v>
      </c>
      <c r="AV29" s="344" t="s">
        <v>1987</v>
      </c>
      <c r="BB29" s="2">
        <v>1</v>
      </c>
      <c r="BC29" s="2">
        <v>2</v>
      </c>
      <c r="BD29" s="2">
        <v>1.5</v>
      </c>
      <c r="BE29" s="2">
        <v>1</v>
      </c>
      <c r="BF29" s="2">
        <v>1</v>
      </c>
      <c r="BG29" s="2">
        <v>1</v>
      </c>
      <c r="BH29" s="2">
        <v>1</v>
      </c>
      <c r="BI29" s="2">
        <v>1</v>
      </c>
      <c r="BJ29" s="2">
        <v>4</v>
      </c>
      <c r="BK29" s="2">
        <v>3</v>
      </c>
      <c r="BL29" s="2">
        <v>4</v>
      </c>
      <c r="BM29" s="2">
        <v>4</v>
      </c>
      <c r="BN29" s="2" t="s">
        <v>1978</v>
      </c>
      <c r="BO29" s="2">
        <v>4</v>
      </c>
      <c r="BP29" s="2">
        <v>4</v>
      </c>
      <c r="BQ29" s="2" t="s">
        <v>1978</v>
      </c>
      <c r="BR29" s="2">
        <f t="shared" si="309"/>
        <v>4</v>
      </c>
      <c r="BS29" s="2">
        <f t="shared" si="310"/>
        <v>6</v>
      </c>
      <c r="BT29" s="2">
        <f t="shared" si="311"/>
        <v>6</v>
      </c>
      <c r="BU29" s="2">
        <f t="shared" si="312"/>
        <v>4</v>
      </c>
      <c r="BV29" s="2" t="e">
        <f t="shared" si="313"/>
        <v>#VALUE!</v>
      </c>
      <c r="BW29" s="2">
        <f t="shared" si="314"/>
        <v>4</v>
      </c>
      <c r="BX29" s="2">
        <f t="shared" si="315"/>
        <v>4</v>
      </c>
      <c r="BY29" s="2" t="e">
        <f t="shared" si="316"/>
        <v>#VALUE!</v>
      </c>
      <c r="BZ29" s="2" t="b">
        <v>1</v>
      </c>
      <c r="CA29" s="2" t="b">
        <v>1</v>
      </c>
      <c r="CB29" s="2" t="b">
        <v>1</v>
      </c>
      <c r="CC29" s="2" t="b">
        <v>1</v>
      </c>
      <c r="CD29" s="2" t="b">
        <v>0</v>
      </c>
      <c r="CE29" s="2" t="b">
        <v>1</v>
      </c>
      <c r="CF29" s="2" t="b">
        <v>1</v>
      </c>
      <c r="CG29" s="2" t="b">
        <v>0</v>
      </c>
      <c r="CH29" s="2">
        <v>1</v>
      </c>
      <c r="CI29" s="2">
        <v>2</v>
      </c>
      <c r="CJ29" s="2">
        <v>1.5</v>
      </c>
      <c r="CK29" s="2">
        <v>1</v>
      </c>
      <c r="CL29" s="2">
        <v>1</v>
      </c>
      <c r="CM29" s="2">
        <v>1</v>
      </c>
      <c r="CN29" s="2">
        <v>1</v>
      </c>
      <c r="CO29" s="2">
        <v>1</v>
      </c>
      <c r="CP29" s="2">
        <v>3</v>
      </c>
      <c r="CQ29" s="2">
        <v>4</v>
      </c>
      <c r="CR29" s="2">
        <v>5</v>
      </c>
      <c r="CS29" s="2">
        <v>3</v>
      </c>
      <c r="CT29" s="2" t="s">
        <v>1978</v>
      </c>
      <c r="CU29" s="2">
        <v>4</v>
      </c>
      <c r="CV29" s="2">
        <v>3</v>
      </c>
      <c r="CW29" s="2" t="s">
        <v>1978</v>
      </c>
      <c r="CX29" s="2">
        <f t="shared" si="325"/>
        <v>3</v>
      </c>
      <c r="CY29" s="2">
        <f t="shared" si="326"/>
        <v>8</v>
      </c>
      <c r="CZ29" s="2">
        <f t="shared" si="327"/>
        <v>7.5</v>
      </c>
      <c r="DA29" s="2">
        <f t="shared" si="328"/>
        <v>3</v>
      </c>
      <c r="DB29" s="2" t="e">
        <f t="shared" si="329"/>
        <v>#VALUE!</v>
      </c>
      <c r="DC29" s="2">
        <f t="shared" si="330"/>
        <v>4</v>
      </c>
      <c r="DD29" s="2">
        <f t="shared" si="331"/>
        <v>3</v>
      </c>
      <c r="DE29" s="2" t="e">
        <f t="shared" si="332"/>
        <v>#VALUE!</v>
      </c>
      <c r="DF29" s="2" t="b">
        <v>1</v>
      </c>
      <c r="DG29" s="2" t="b">
        <v>1</v>
      </c>
      <c r="DH29" s="2" t="b">
        <v>1</v>
      </c>
      <c r="DI29" s="2" t="b">
        <v>1</v>
      </c>
      <c r="DJ29" s="2" t="b">
        <v>0</v>
      </c>
      <c r="DK29" s="2" t="b">
        <v>1</v>
      </c>
      <c r="DL29" s="2" t="b">
        <v>1</v>
      </c>
      <c r="DM29" s="2" t="b">
        <v>0</v>
      </c>
      <c r="DN29" s="2" t="s">
        <v>1978</v>
      </c>
      <c r="DO29" s="2" t="s">
        <v>1978</v>
      </c>
      <c r="DP29" s="2" t="s">
        <v>1978</v>
      </c>
      <c r="DQ29" s="2" t="s">
        <v>1978</v>
      </c>
      <c r="DR29" s="2" t="s">
        <v>1978</v>
      </c>
      <c r="DS29" s="2" t="s">
        <v>1978</v>
      </c>
      <c r="DT29" s="2" t="s">
        <v>1978</v>
      </c>
      <c r="DU29" s="2" t="s">
        <v>1978</v>
      </c>
      <c r="DV29" s="2" t="s">
        <v>1978</v>
      </c>
      <c r="DW29" s="2" t="s">
        <v>1978</v>
      </c>
      <c r="DX29" s="2" t="s">
        <v>1978</v>
      </c>
      <c r="DY29" s="2" t="s">
        <v>1978</v>
      </c>
      <c r="DZ29" s="2" t="s">
        <v>1978</v>
      </c>
      <c r="EA29" s="2" t="s">
        <v>1978</v>
      </c>
      <c r="EB29" s="2" t="s">
        <v>1978</v>
      </c>
      <c r="EC29" s="2" t="s">
        <v>1978</v>
      </c>
      <c r="ED29" s="2" t="s">
        <v>1978</v>
      </c>
      <c r="EE29" s="2" t="s">
        <v>1978</v>
      </c>
      <c r="EF29" s="2" t="s">
        <v>1978</v>
      </c>
      <c r="EG29" s="2" t="s">
        <v>1978</v>
      </c>
      <c r="EH29" s="2" t="s">
        <v>1978</v>
      </c>
      <c r="EI29" s="2" t="s">
        <v>1978</v>
      </c>
      <c r="EJ29" s="2" t="s">
        <v>1978</v>
      </c>
      <c r="EK29" s="2" t="s">
        <v>1978</v>
      </c>
      <c r="EL29" s="2" t="s">
        <v>1978</v>
      </c>
      <c r="EM29" s="2" t="s">
        <v>1978</v>
      </c>
      <c r="EN29" s="2" t="s">
        <v>1978</v>
      </c>
      <c r="EO29" s="2" t="s">
        <v>1978</v>
      </c>
      <c r="EP29" s="2" t="s">
        <v>1978</v>
      </c>
      <c r="EQ29" s="2" t="s">
        <v>1978</v>
      </c>
      <c r="ER29" s="2" t="s">
        <v>1978</v>
      </c>
      <c r="ES29" s="2" t="s">
        <v>1978</v>
      </c>
    </row>
    <row r="30" spans="1:149" x14ac:dyDescent="0.3">
      <c r="A30" s="2" t="s">
        <v>78</v>
      </c>
      <c r="B30" s="2" t="s">
        <v>2148</v>
      </c>
      <c r="C30" s="2" t="s">
        <v>1971</v>
      </c>
      <c r="D30" s="2" t="s">
        <v>81</v>
      </c>
      <c r="E30" s="206" t="s">
        <v>2171</v>
      </c>
      <c r="F30" s="2" t="s">
        <v>1978</v>
      </c>
      <c r="G30" s="2">
        <f t="shared" si="298"/>
        <v>19</v>
      </c>
      <c r="H30" s="2">
        <f t="shared" si="299"/>
        <v>19</v>
      </c>
      <c r="I30" s="2" t="s">
        <v>2182</v>
      </c>
      <c r="J30" s="2" t="s">
        <v>1978</v>
      </c>
      <c r="K30" s="2" t="s">
        <v>1970</v>
      </c>
      <c r="L30" s="2" t="s">
        <v>1970</v>
      </c>
      <c r="M30" s="2" t="s">
        <v>1978</v>
      </c>
      <c r="N30" s="344" t="s">
        <v>1978</v>
      </c>
      <c r="O30" s="344" t="s">
        <v>1978</v>
      </c>
      <c r="P30" s="344" t="s">
        <v>1978</v>
      </c>
      <c r="Q30" s="344" t="s">
        <v>1978</v>
      </c>
      <c r="R30" s="344" t="s">
        <v>1978</v>
      </c>
      <c r="S30" s="344" t="s">
        <v>1978</v>
      </c>
      <c r="T30" s="2" t="s">
        <v>79</v>
      </c>
      <c r="U30" s="2" t="s">
        <v>2150</v>
      </c>
      <c r="X30" s="344">
        <f>'A123'!J38</f>
        <v>19</v>
      </c>
      <c r="Y30" s="344">
        <f>'A123'!K38</f>
        <v>9</v>
      </c>
      <c r="Z30" s="344">
        <f>'A123'!L38</f>
        <v>15.666666666666666</v>
      </c>
      <c r="AA30" s="2" t="s">
        <v>2150</v>
      </c>
      <c r="AB30" s="2" t="str">
        <f>入學要求!X39</f>
        <v>/</v>
      </c>
      <c r="AC30" s="2" t="str">
        <f>入學要求!Y39</f>
        <v>/</v>
      </c>
      <c r="AD30" s="2" t="s">
        <v>2171</v>
      </c>
      <c r="AE30" s="2" t="s">
        <v>2182</v>
      </c>
      <c r="AF30" s="2" t="s">
        <v>1978</v>
      </c>
      <c r="AG30" s="2" t="s">
        <v>2740</v>
      </c>
      <c r="AH30" s="2" t="s">
        <v>1978</v>
      </c>
      <c r="AI30" s="2" t="s">
        <v>1978</v>
      </c>
      <c r="AJ30" s="2" t="s">
        <v>2151</v>
      </c>
      <c r="AK30" s="2" t="s">
        <v>2774</v>
      </c>
      <c r="AL30" s="2" t="s">
        <v>2775</v>
      </c>
      <c r="AM30" s="2" t="s">
        <v>1978</v>
      </c>
      <c r="AN30" s="2" t="s">
        <v>1978</v>
      </c>
      <c r="AO30" s="2" t="s">
        <v>1978</v>
      </c>
      <c r="AP30" s="251" t="s">
        <v>1978</v>
      </c>
      <c r="AQ30" s="344" t="s">
        <v>1970</v>
      </c>
      <c r="AR30" s="2" t="s">
        <v>2150</v>
      </c>
      <c r="AS30" s="2" t="s">
        <v>3608</v>
      </c>
      <c r="AV30" s="344" t="s">
        <v>1987</v>
      </c>
      <c r="BB30" s="2">
        <v>1</v>
      </c>
      <c r="BC30" s="2">
        <v>1</v>
      </c>
      <c r="BD30" s="2">
        <v>1</v>
      </c>
      <c r="BE30" s="2">
        <v>1</v>
      </c>
      <c r="BF30" s="2">
        <v>1</v>
      </c>
      <c r="BG30" s="2">
        <v>1</v>
      </c>
      <c r="BH30" s="2">
        <v>1</v>
      </c>
      <c r="BI30" s="2">
        <v>1</v>
      </c>
      <c r="BJ30" s="2">
        <v>3</v>
      </c>
      <c r="BK30" s="2">
        <v>4</v>
      </c>
      <c r="BL30" s="2">
        <v>4</v>
      </c>
      <c r="BM30" s="2">
        <v>3</v>
      </c>
      <c r="BN30" s="2" t="s">
        <v>1978</v>
      </c>
      <c r="BO30" s="2">
        <v>4</v>
      </c>
      <c r="BP30" s="2">
        <v>4</v>
      </c>
      <c r="BQ30" s="2" t="s">
        <v>1978</v>
      </c>
      <c r="BR30" s="2">
        <f t="shared" si="309"/>
        <v>3</v>
      </c>
      <c r="BS30" s="2">
        <f t="shared" si="310"/>
        <v>4</v>
      </c>
      <c r="BT30" s="2">
        <f t="shared" si="311"/>
        <v>4</v>
      </c>
      <c r="BU30" s="2">
        <f t="shared" si="312"/>
        <v>3</v>
      </c>
      <c r="BV30" s="2" t="e">
        <f t="shared" si="313"/>
        <v>#VALUE!</v>
      </c>
      <c r="BW30" s="2">
        <f t="shared" si="314"/>
        <v>4</v>
      </c>
      <c r="BX30" s="2">
        <f t="shared" si="315"/>
        <v>4</v>
      </c>
      <c r="BY30" s="2" t="e">
        <f t="shared" si="316"/>
        <v>#VALUE!</v>
      </c>
      <c r="BZ30" s="2" t="b">
        <v>1</v>
      </c>
      <c r="CA30" s="2" t="b">
        <v>1</v>
      </c>
      <c r="CB30" s="2" t="b">
        <v>1</v>
      </c>
      <c r="CC30" s="2" t="b">
        <v>0</v>
      </c>
      <c r="CD30" s="2" t="b">
        <v>0</v>
      </c>
      <c r="CE30" s="2" t="b">
        <v>1</v>
      </c>
      <c r="CF30" s="2" t="b">
        <v>1</v>
      </c>
      <c r="CG30" s="2" t="b">
        <v>0</v>
      </c>
      <c r="CH30" s="2">
        <v>1</v>
      </c>
      <c r="CI30" s="2">
        <v>1</v>
      </c>
      <c r="CJ30" s="2">
        <v>1</v>
      </c>
      <c r="CK30" s="2">
        <v>1</v>
      </c>
      <c r="CL30" s="2">
        <v>1</v>
      </c>
      <c r="CM30" s="2">
        <v>1</v>
      </c>
      <c r="CN30" s="2">
        <v>1</v>
      </c>
      <c r="CO30" s="2">
        <v>1</v>
      </c>
      <c r="CP30" s="2">
        <v>3</v>
      </c>
      <c r="CQ30" s="2">
        <v>3</v>
      </c>
      <c r="CR30" s="2">
        <v>4</v>
      </c>
      <c r="CS30" s="2">
        <v>4</v>
      </c>
      <c r="CT30" s="2" t="s">
        <v>1978</v>
      </c>
      <c r="CU30" s="2">
        <v>4</v>
      </c>
      <c r="CV30" s="2">
        <v>4</v>
      </c>
      <c r="CW30" s="2" t="s">
        <v>1978</v>
      </c>
      <c r="CX30" s="2">
        <f t="shared" si="325"/>
        <v>3</v>
      </c>
      <c r="CY30" s="2">
        <f t="shared" si="326"/>
        <v>3</v>
      </c>
      <c r="CZ30" s="2">
        <f t="shared" si="327"/>
        <v>4</v>
      </c>
      <c r="DA30" s="2">
        <f t="shared" si="328"/>
        <v>4</v>
      </c>
      <c r="DB30" s="2" t="e">
        <f t="shared" si="329"/>
        <v>#VALUE!</v>
      </c>
      <c r="DC30" s="2">
        <f t="shared" si="330"/>
        <v>4</v>
      </c>
      <c r="DD30" s="2">
        <f t="shared" si="331"/>
        <v>4</v>
      </c>
      <c r="DE30" s="2" t="e">
        <f t="shared" si="332"/>
        <v>#VALUE!</v>
      </c>
      <c r="DF30" s="2" t="b">
        <v>0</v>
      </c>
      <c r="DG30" s="2" t="b">
        <v>1</v>
      </c>
      <c r="DH30" s="2" t="b">
        <v>1</v>
      </c>
      <c r="DI30" s="2" t="b">
        <v>1</v>
      </c>
      <c r="DJ30" s="2" t="b">
        <v>0</v>
      </c>
      <c r="DK30" s="2" t="b">
        <v>1</v>
      </c>
      <c r="DL30" s="2" t="b">
        <v>1</v>
      </c>
      <c r="DM30" s="2" t="b">
        <v>0</v>
      </c>
      <c r="DN30" s="2" t="s">
        <v>1978</v>
      </c>
      <c r="DO30" s="2" t="s">
        <v>1978</v>
      </c>
      <c r="DP30" s="2" t="s">
        <v>1978</v>
      </c>
      <c r="DQ30" s="2" t="s">
        <v>1978</v>
      </c>
      <c r="DR30" s="2" t="s">
        <v>1978</v>
      </c>
      <c r="DS30" s="2" t="s">
        <v>1978</v>
      </c>
      <c r="DT30" s="2" t="s">
        <v>1978</v>
      </c>
      <c r="DU30" s="2" t="s">
        <v>1978</v>
      </c>
      <c r="DV30" s="2" t="s">
        <v>1978</v>
      </c>
      <c r="DW30" s="2" t="s">
        <v>1978</v>
      </c>
      <c r="DX30" s="2" t="s">
        <v>1978</v>
      </c>
      <c r="DY30" s="2" t="s">
        <v>1978</v>
      </c>
      <c r="DZ30" s="2" t="s">
        <v>1978</v>
      </c>
      <c r="EA30" s="2" t="s">
        <v>1978</v>
      </c>
      <c r="EB30" s="2" t="s">
        <v>1978</v>
      </c>
      <c r="EC30" s="2" t="s">
        <v>1978</v>
      </c>
      <c r="ED30" s="2" t="s">
        <v>1978</v>
      </c>
      <c r="EE30" s="2" t="s">
        <v>1978</v>
      </c>
      <c r="EF30" s="2" t="s">
        <v>1978</v>
      </c>
      <c r="EG30" s="2" t="s">
        <v>1978</v>
      </c>
      <c r="EH30" s="2" t="s">
        <v>1978</v>
      </c>
      <c r="EI30" s="2" t="s">
        <v>1978</v>
      </c>
      <c r="EJ30" s="2" t="s">
        <v>1978</v>
      </c>
      <c r="EK30" s="2" t="s">
        <v>1978</v>
      </c>
      <c r="EL30" s="2" t="s">
        <v>1978</v>
      </c>
      <c r="EM30" s="2" t="s">
        <v>1978</v>
      </c>
      <c r="EN30" s="2" t="s">
        <v>1978</v>
      </c>
      <c r="EO30" s="2" t="s">
        <v>1978</v>
      </c>
      <c r="EP30" s="2" t="s">
        <v>1978</v>
      </c>
      <c r="EQ30" s="2" t="s">
        <v>1978</v>
      </c>
      <c r="ER30" s="2" t="s">
        <v>1978</v>
      </c>
      <c r="ES30" s="2" t="s">
        <v>1978</v>
      </c>
    </row>
    <row r="31" spans="1:149" x14ac:dyDescent="0.3">
      <c r="A31" s="2" t="s">
        <v>83</v>
      </c>
      <c r="B31" s="2" t="s">
        <v>2148</v>
      </c>
      <c r="C31" s="2" t="s">
        <v>1972</v>
      </c>
      <c r="D31" s="2" t="s">
        <v>86</v>
      </c>
      <c r="E31" s="59" t="s">
        <v>2171</v>
      </c>
      <c r="F31" s="251" t="s">
        <v>1978</v>
      </c>
      <c r="G31" s="2">
        <f t="shared" si="298"/>
        <v>34</v>
      </c>
      <c r="H31" s="2">
        <f t="shared" si="299"/>
        <v>32</v>
      </c>
      <c r="I31" s="2" t="s">
        <v>2693</v>
      </c>
      <c r="J31" s="2" t="s">
        <v>2781</v>
      </c>
      <c r="K31" s="2" t="s">
        <v>2783</v>
      </c>
      <c r="L31" s="2" t="s">
        <v>2865</v>
      </c>
      <c r="M31" s="2" t="s">
        <v>2786</v>
      </c>
      <c r="N31" s="344" t="s">
        <v>1978</v>
      </c>
      <c r="O31" s="344" t="s">
        <v>1978</v>
      </c>
      <c r="P31" s="344" t="s">
        <v>1978</v>
      </c>
      <c r="Q31" s="344" t="s">
        <v>1978</v>
      </c>
      <c r="R31" s="344" t="s">
        <v>1978</v>
      </c>
      <c r="S31" s="344" t="s">
        <v>1978</v>
      </c>
      <c r="T31" s="2" t="s">
        <v>84</v>
      </c>
      <c r="U31" s="2" t="s">
        <v>2150</v>
      </c>
      <c r="X31" s="344">
        <f>'A123'!J39</f>
        <v>60</v>
      </c>
      <c r="Y31" s="344">
        <f>'A123'!K39</f>
        <v>56</v>
      </c>
      <c r="Z31" s="344">
        <f>'A123'!L39</f>
        <v>4.2826086956521738</v>
      </c>
      <c r="AA31" s="2" t="s">
        <v>2150</v>
      </c>
      <c r="AB31" s="2" t="str">
        <f>入學要求!X40</f>
        <v>以下一科選修取得Lv.3︰生物、化學、組合科學、綜合科學、物理</v>
      </c>
      <c r="AC31" s="2" t="str">
        <f>入學要求!Y40</f>
        <v>/</v>
      </c>
      <c r="AD31" s="2" t="s">
        <v>2171</v>
      </c>
      <c r="AE31" s="2" t="s">
        <v>2693</v>
      </c>
      <c r="AF31" s="2" t="s">
        <v>2781</v>
      </c>
      <c r="AG31" s="2" t="s">
        <v>2783</v>
      </c>
      <c r="AH31" s="2" t="s">
        <v>2784</v>
      </c>
      <c r="AI31" s="2" t="s">
        <v>2786</v>
      </c>
      <c r="AJ31" s="2" t="s">
        <v>2723</v>
      </c>
      <c r="AK31" s="2" t="s">
        <v>2724</v>
      </c>
      <c r="AL31" s="2" t="s">
        <v>1970</v>
      </c>
      <c r="AM31" s="2" t="s">
        <v>1978</v>
      </c>
      <c r="AN31" s="2" t="s">
        <v>1978</v>
      </c>
      <c r="AO31" s="2" t="s">
        <v>1978</v>
      </c>
      <c r="AP31" s="251" t="s">
        <v>1978</v>
      </c>
      <c r="AQ31" s="344" t="s">
        <v>1970</v>
      </c>
      <c r="AR31" s="2" t="s">
        <v>2150</v>
      </c>
      <c r="AS31" s="2" t="s">
        <v>2369</v>
      </c>
      <c r="AT31" s="2" t="s">
        <v>3612</v>
      </c>
      <c r="AV31" s="344" t="s">
        <v>1987</v>
      </c>
      <c r="BB31" s="2">
        <v>1</v>
      </c>
      <c r="BC31" s="2">
        <v>2</v>
      </c>
      <c r="BD31" s="2">
        <v>2.5</v>
      </c>
      <c r="BE31" s="2">
        <v>1</v>
      </c>
      <c r="BF31" s="2">
        <v>1.5</v>
      </c>
      <c r="BG31" s="2">
        <v>2.5</v>
      </c>
      <c r="BH31" s="2">
        <v>1</v>
      </c>
      <c r="BI31" s="2">
        <v>1</v>
      </c>
      <c r="BJ31" s="2">
        <v>3</v>
      </c>
      <c r="BK31" s="2">
        <v>3</v>
      </c>
      <c r="BL31" s="2">
        <v>4</v>
      </c>
      <c r="BM31" s="2">
        <v>3</v>
      </c>
      <c r="BN31" s="2" t="s">
        <v>1978</v>
      </c>
      <c r="BO31" s="2">
        <v>4</v>
      </c>
      <c r="BP31" s="2">
        <v>3</v>
      </c>
      <c r="BQ31" s="2" t="s">
        <v>1978</v>
      </c>
      <c r="BR31" s="2">
        <f t="shared" si="309"/>
        <v>3</v>
      </c>
      <c r="BS31" s="2">
        <f t="shared" si="310"/>
        <v>6</v>
      </c>
      <c r="BT31" s="2">
        <f t="shared" si="311"/>
        <v>10</v>
      </c>
      <c r="BU31" s="2">
        <f t="shared" si="312"/>
        <v>3</v>
      </c>
      <c r="BV31" s="2" t="e">
        <f t="shared" si="313"/>
        <v>#VALUE!</v>
      </c>
      <c r="BW31" s="2">
        <f t="shared" si="314"/>
        <v>10</v>
      </c>
      <c r="BX31" s="2">
        <f t="shared" si="315"/>
        <v>3</v>
      </c>
      <c r="BY31" s="2" t="e">
        <f t="shared" si="316"/>
        <v>#VALUE!</v>
      </c>
      <c r="BZ31" s="2" t="b">
        <v>1</v>
      </c>
      <c r="CA31" s="2" t="b">
        <v>1</v>
      </c>
      <c r="CB31" s="2" t="b">
        <v>1</v>
      </c>
      <c r="CC31" s="2" t="b">
        <v>0</v>
      </c>
      <c r="CD31" s="2" t="b">
        <v>0</v>
      </c>
      <c r="CE31" s="2" t="b">
        <v>1</v>
      </c>
      <c r="CF31" s="2" t="b">
        <v>1</v>
      </c>
      <c r="CG31" s="2" t="b">
        <v>0</v>
      </c>
      <c r="CH31" s="2">
        <v>1</v>
      </c>
      <c r="CI31" s="2">
        <v>2</v>
      </c>
      <c r="CJ31" s="2">
        <v>2.5</v>
      </c>
      <c r="CK31" s="2">
        <v>1</v>
      </c>
      <c r="CL31" s="2">
        <v>1.5</v>
      </c>
      <c r="CM31" s="2">
        <v>2.5</v>
      </c>
      <c r="CN31" s="2">
        <v>1</v>
      </c>
      <c r="CO31" s="2">
        <v>1</v>
      </c>
      <c r="CP31" s="2">
        <v>3</v>
      </c>
      <c r="CQ31" s="2">
        <v>4</v>
      </c>
      <c r="CR31" s="2">
        <v>5</v>
      </c>
      <c r="CS31" s="2">
        <v>3</v>
      </c>
      <c r="CT31" s="2" t="s">
        <v>1978</v>
      </c>
      <c r="CU31" s="2">
        <v>3</v>
      </c>
      <c r="CV31" s="2">
        <v>3</v>
      </c>
      <c r="CW31" s="2">
        <v>2</v>
      </c>
      <c r="CX31" s="2">
        <f t="shared" ref="CX31:CX50" si="333">CH31*CP31</f>
        <v>3</v>
      </c>
      <c r="CY31" s="2">
        <f t="shared" ref="CY31:CY50" si="334">CI31*CQ31</f>
        <v>8</v>
      </c>
      <c r="CZ31" s="2">
        <f t="shared" ref="CZ31:CZ50" si="335">CJ31*CR31</f>
        <v>12.5</v>
      </c>
      <c r="DA31" s="2">
        <f t="shared" ref="DA31:DA50" si="336">CK31*CS31</f>
        <v>3</v>
      </c>
      <c r="DB31" s="2" t="e">
        <f t="shared" ref="DB31:DB50" si="337">CL31*CT31</f>
        <v>#VALUE!</v>
      </c>
      <c r="DC31" s="2">
        <f t="shared" ref="DC31:DC50" si="338">CM31*CU31</f>
        <v>7.5</v>
      </c>
      <c r="DD31" s="2">
        <f t="shared" ref="DD31:DD50" si="339">CN31*CV31</f>
        <v>3</v>
      </c>
      <c r="DE31" s="2">
        <f t="shared" ref="DE31:DE50" si="340">CO31*CW31</f>
        <v>2</v>
      </c>
      <c r="DF31" s="2" t="b">
        <v>0</v>
      </c>
      <c r="DG31" s="2" t="b">
        <v>1</v>
      </c>
      <c r="DH31" s="2" t="b">
        <v>1</v>
      </c>
      <c r="DI31" s="2" t="b">
        <v>1</v>
      </c>
      <c r="DJ31" s="2" t="b">
        <v>0</v>
      </c>
      <c r="DK31" s="2" t="b">
        <v>1</v>
      </c>
      <c r="DL31" s="2" t="b">
        <v>1</v>
      </c>
      <c r="DM31" s="2" t="b">
        <v>0</v>
      </c>
      <c r="DN31" s="2" t="s">
        <v>1978</v>
      </c>
      <c r="DO31" s="2" t="s">
        <v>1978</v>
      </c>
      <c r="DP31" s="2" t="s">
        <v>1978</v>
      </c>
      <c r="DQ31" s="2" t="s">
        <v>1978</v>
      </c>
      <c r="DR31" s="2" t="s">
        <v>1978</v>
      </c>
      <c r="DS31" s="2" t="s">
        <v>1978</v>
      </c>
      <c r="DT31" s="2" t="s">
        <v>1978</v>
      </c>
      <c r="DU31" s="2" t="s">
        <v>1978</v>
      </c>
      <c r="DV31" s="2" t="s">
        <v>1978</v>
      </c>
      <c r="DW31" s="2" t="s">
        <v>1978</v>
      </c>
      <c r="DX31" s="2" t="s">
        <v>1978</v>
      </c>
      <c r="DY31" s="2" t="s">
        <v>1978</v>
      </c>
      <c r="DZ31" s="2" t="s">
        <v>1978</v>
      </c>
      <c r="EA31" s="2" t="s">
        <v>1978</v>
      </c>
      <c r="EB31" s="2" t="s">
        <v>1978</v>
      </c>
      <c r="EC31" s="2" t="s">
        <v>1978</v>
      </c>
      <c r="ED31" s="2" t="s">
        <v>1978</v>
      </c>
      <c r="EE31" s="2" t="s">
        <v>1978</v>
      </c>
      <c r="EF31" s="2" t="s">
        <v>1978</v>
      </c>
      <c r="EG31" s="2" t="s">
        <v>1978</v>
      </c>
      <c r="EH31" s="2" t="s">
        <v>1978</v>
      </c>
      <c r="EI31" s="2" t="s">
        <v>1978</v>
      </c>
      <c r="EJ31" s="2" t="s">
        <v>1978</v>
      </c>
      <c r="EK31" s="2" t="s">
        <v>1978</v>
      </c>
      <c r="EL31" s="2" t="s">
        <v>1978</v>
      </c>
      <c r="EM31" s="2" t="s">
        <v>1978</v>
      </c>
      <c r="EN31" s="2" t="s">
        <v>1978</v>
      </c>
      <c r="EO31" s="2" t="s">
        <v>1978</v>
      </c>
      <c r="EP31" s="2" t="s">
        <v>1978</v>
      </c>
      <c r="EQ31" s="2" t="s">
        <v>1978</v>
      </c>
      <c r="ER31" s="2" t="s">
        <v>1978</v>
      </c>
      <c r="ES31" s="2" t="s">
        <v>1978</v>
      </c>
    </row>
    <row r="32" spans="1:149" x14ac:dyDescent="0.3">
      <c r="A32" s="2" t="s">
        <v>88</v>
      </c>
      <c r="B32" s="2" t="s">
        <v>2148</v>
      </c>
      <c r="C32" s="2" t="s">
        <v>2155</v>
      </c>
      <c r="D32" s="2" t="s">
        <v>91</v>
      </c>
      <c r="E32" s="2" t="s">
        <v>2153</v>
      </c>
      <c r="F32" s="2" t="s">
        <v>1978</v>
      </c>
      <c r="G32" s="2">
        <f t="shared" si="298"/>
        <v>26</v>
      </c>
      <c r="H32" s="2">
        <f t="shared" si="299"/>
        <v>25</v>
      </c>
      <c r="I32" s="2" t="s">
        <v>2682</v>
      </c>
      <c r="J32" s="2" t="s">
        <v>1970</v>
      </c>
      <c r="K32" s="2" t="s">
        <v>1970</v>
      </c>
      <c r="L32" s="2" t="s">
        <v>1970</v>
      </c>
      <c r="M32" s="2" t="s">
        <v>1978</v>
      </c>
      <c r="N32" s="344" t="s">
        <v>1978</v>
      </c>
      <c r="O32" s="344" t="s">
        <v>1978</v>
      </c>
      <c r="P32" s="344" t="s">
        <v>1978</v>
      </c>
      <c r="Q32" s="344" t="s">
        <v>1978</v>
      </c>
      <c r="R32" s="344" t="s">
        <v>1978</v>
      </c>
      <c r="S32" s="344" t="s">
        <v>1978</v>
      </c>
      <c r="T32" s="2" t="s">
        <v>89</v>
      </c>
      <c r="U32" s="2" t="s">
        <v>2150</v>
      </c>
      <c r="X32" s="344">
        <f>'A123'!J40</f>
        <v>39</v>
      </c>
      <c r="Y32" s="344">
        <f>'A123'!K40</f>
        <v>35</v>
      </c>
      <c r="Z32" s="344">
        <f>'A123'!L40</f>
        <v>3.6451612903225805</v>
      </c>
      <c r="AA32" s="2" t="s">
        <v>2150</v>
      </c>
      <c r="AB32" s="2" t="str">
        <f>入學要求!X41</f>
        <v>/</v>
      </c>
      <c r="AC32" s="2" t="str">
        <f>入學要求!Y41</f>
        <v>/</v>
      </c>
      <c r="AD32" s="2" t="s">
        <v>2153</v>
      </c>
      <c r="AE32" s="2" t="s">
        <v>2682</v>
      </c>
      <c r="AF32" s="2" t="s">
        <v>1970</v>
      </c>
      <c r="AG32" s="2" t="s">
        <v>1978</v>
      </c>
      <c r="AH32" s="2" t="s">
        <v>1978</v>
      </c>
      <c r="AI32" s="2" t="s">
        <v>1978</v>
      </c>
      <c r="AJ32" s="2" t="s">
        <v>2151</v>
      </c>
      <c r="AK32" s="2" t="s">
        <v>2729</v>
      </c>
      <c r="AL32" s="2" t="s">
        <v>1970</v>
      </c>
      <c r="AM32" s="2" t="s">
        <v>1978</v>
      </c>
      <c r="AN32" s="2" t="s">
        <v>1978</v>
      </c>
      <c r="AO32" s="2" t="s">
        <v>1978</v>
      </c>
      <c r="AP32" s="251" t="s">
        <v>1978</v>
      </c>
      <c r="AQ32" s="344" t="s">
        <v>1970</v>
      </c>
      <c r="AR32" s="2" t="s">
        <v>2150</v>
      </c>
      <c r="AS32" s="2" t="s">
        <v>2653</v>
      </c>
      <c r="AT32" s="2" t="s">
        <v>1970</v>
      </c>
      <c r="AU32" s="2" t="s">
        <v>1970</v>
      </c>
      <c r="AV32" s="344" t="s">
        <v>1987</v>
      </c>
      <c r="BB32" s="2">
        <v>1</v>
      </c>
      <c r="BC32" s="2">
        <v>1</v>
      </c>
      <c r="BD32" s="2">
        <v>1</v>
      </c>
      <c r="BE32" s="2">
        <v>1</v>
      </c>
      <c r="BF32" s="2">
        <v>1</v>
      </c>
      <c r="BG32" s="2">
        <v>1</v>
      </c>
      <c r="BH32" s="2">
        <v>1</v>
      </c>
      <c r="BI32" s="2">
        <v>1</v>
      </c>
      <c r="BJ32" s="2">
        <v>4</v>
      </c>
      <c r="BK32" s="2">
        <v>5</v>
      </c>
      <c r="BL32" s="2">
        <v>4</v>
      </c>
      <c r="BM32" s="2">
        <v>4</v>
      </c>
      <c r="BN32" s="2" t="s">
        <v>1978</v>
      </c>
      <c r="BO32" s="2">
        <v>4</v>
      </c>
      <c r="BP32" s="2">
        <v>4</v>
      </c>
      <c r="BQ32" s="2">
        <v>4</v>
      </c>
      <c r="BR32" s="2">
        <f t="shared" si="309"/>
        <v>4</v>
      </c>
      <c r="BS32" s="2">
        <f t="shared" si="310"/>
        <v>5</v>
      </c>
      <c r="BT32" s="2">
        <f t="shared" si="311"/>
        <v>4</v>
      </c>
      <c r="BU32" s="2">
        <f t="shared" si="312"/>
        <v>4</v>
      </c>
      <c r="BV32" s="2" t="e">
        <f t="shared" si="313"/>
        <v>#VALUE!</v>
      </c>
      <c r="BW32" s="2">
        <f t="shared" si="314"/>
        <v>4</v>
      </c>
      <c r="BX32" s="2">
        <f t="shared" si="315"/>
        <v>4</v>
      </c>
      <c r="BY32" s="2">
        <f t="shared" si="316"/>
        <v>4</v>
      </c>
      <c r="BZ32" s="2" t="b">
        <v>1</v>
      </c>
      <c r="CA32" s="2" t="b">
        <v>1</v>
      </c>
      <c r="CB32" s="2" t="b">
        <v>1</v>
      </c>
      <c r="CC32" s="2" t="b">
        <v>1</v>
      </c>
      <c r="CD32" s="2" t="b">
        <v>0</v>
      </c>
      <c r="CE32" s="2" t="b">
        <v>1</v>
      </c>
      <c r="CF32" s="2" t="b">
        <v>1</v>
      </c>
      <c r="CG32" s="2" t="b">
        <v>0</v>
      </c>
      <c r="CH32" s="2">
        <v>1</v>
      </c>
      <c r="CI32" s="2">
        <v>1</v>
      </c>
      <c r="CJ32" s="2">
        <v>1</v>
      </c>
      <c r="CK32" s="2">
        <v>1</v>
      </c>
      <c r="CL32" s="2">
        <v>1</v>
      </c>
      <c r="CM32" s="2">
        <v>1</v>
      </c>
      <c r="CN32" s="2">
        <v>1</v>
      </c>
      <c r="CO32" s="2">
        <v>1</v>
      </c>
      <c r="CP32" s="2">
        <v>5</v>
      </c>
      <c r="CQ32" s="2">
        <v>6</v>
      </c>
      <c r="CR32" s="2">
        <v>3</v>
      </c>
      <c r="CS32" s="2">
        <v>4</v>
      </c>
      <c r="CT32" s="2" t="s">
        <v>1978</v>
      </c>
      <c r="CU32" s="2">
        <v>4</v>
      </c>
      <c r="CV32" s="2">
        <v>4</v>
      </c>
      <c r="CW32" s="2" t="s">
        <v>1978</v>
      </c>
      <c r="CX32" s="2">
        <f t="shared" si="333"/>
        <v>5</v>
      </c>
      <c r="CY32" s="2">
        <f t="shared" si="334"/>
        <v>6</v>
      </c>
      <c r="CZ32" s="2">
        <f t="shared" si="335"/>
        <v>3</v>
      </c>
      <c r="DA32" s="2">
        <f t="shared" si="336"/>
        <v>4</v>
      </c>
      <c r="DB32" s="2" t="e">
        <f t="shared" si="337"/>
        <v>#VALUE!</v>
      </c>
      <c r="DC32" s="2">
        <f t="shared" si="338"/>
        <v>4</v>
      </c>
      <c r="DD32" s="2">
        <f t="shared" si="339"/>
        <v>4</v>
      </c>
      <c r="DE32" s="2" t="e">
        <f t="shared" si="340"/>
        <v>#VALUE!</v>
      </c>
      <c r="DF32" s="2" t="b">
        <v>1</v>
      </c>
      <c r="DG32" s="2" t="b">
        <v>1</v>
      </c>
      <c r="DH32" s="2" t="b">
        <v>1</v>
      </c>
      <c r="DI32" s="2" t="b">
        <v>1</v>
      </c>
      <c r="DJ32" s="2" t="b">
        <v>0</v>
      </c>
      <c r="DK32" s="2" t="b">
        <v>1</v>
      </c>
      <c r="DL32" s="2" t="b">
        <v>1</v>
      </c>
      <c r="DM32" s="2" t="b">
        <v>0</v>
      </c>
      <c r="DN32" s="2" t="s">
        <v>1978</v>
      </c>
      <c r="DO32" s="2" t="s">
        <v>1978</v>
      </c>
      <c r="DP32" s="2" t="s">
        <v>1978</v>
      </c>
      <c r="DQ32" s="2" t="s">
        <v>1978</v>
      </c>
      <c r="DR32" s="2" t="s">
        <v>1978</v>
      </c>
      <c r="DS32" s="2" t="s">
        <v>1978</v>
      </c>
      <c r="DT32" s="2" t="s">
        <v>1978</v>
      </c>
      <c r="DU32" s="2" t="s">
        <v>1978</v>
      </c>
      <c r="DV32" s="2" t="s">
        <v>1978</v>
      </c>
      <c r="DW32" s="2" t="s">
        <v>1978</v>
      </c>
      <c r="DX32" s="2" t="s">
        <v>1978</v>
      </c>
      <c r="DY32" s="2" t="s">
        <v>1978</v>
      </c>
      <c r="DZ32" s="2" t="s">
        <v>1978</v>
      </c>
      <c r="EA32" s="2" t="s">
        <v>1978</v>
      </c>
      <c r="EB32" s="2" t="s">
        <v>1978</v>
      </c>
      <c r="EC32" s="2" t="s">
        <v>1978</v>
      </c>
      <c r="ED32" s="2" t="s">
        <v>1978</v>
      </c>
      <c r="EE32" s="2" t="s">
        <v>1978</v>
      </c>
      <c r="EF32" s="2" t="s">
        <v>1978</v>
      </c>
      <c r="EG32" s="2" t="s">
        <v>1978</v>
      </c>
      <c r="EH32" s="2" t="s">
        <v>1978</v>
      </c>
      <c r="EI32" s="2" t="s">
        <v>1978</v>
      </c>
      <c r="EJ32" s="2" t="s">
        <v>1978</v>
      </c>
      <c r="EK32" s="2" t="s">
        <v>1978</v>
      </c>
      <c r="EL32" s="2" t="s">
        <v>1978</v>
      </c>
      <c r="EM32" s="2" t="s">
        <v>1978</v>
      </c>
      <c r="EN32" s="2" t="s">
        <v>1978</v>
      </c>
      <c r="EO32" s="2" t="s">
        <v>1978</v>
      </c>
      <c r="EP32" s="2" t="s">
        <v>1978</v>
      </c>
      <c r="EQ32" s="2" t="s">
        <v>1978</v>
      </c>
      <c r="ER32" s="2" t="s">
        <v>1978</v>
      </c>
      <c r="ES32" s="2" t="s">
        <v>1978</v>
      </c>
    </row>
    <row r="33" spans="1:149" x14ac:dyDescent="0.3">
      <c r="A33" s="2" t="s">
        <v>93</v>
      </c>
      <c r="B33" s="2" t="s">
        <v>2148</v>
      </c>
      <c r="C33" s="2" t="s">
        <v>2156</v>
      </c>
      <c r="D33" s="2" t="s">
        <v>2157</v>
      </c>
      <c r="E33" s="206" t="s">
        <v>2187</v>
      </c>
      <c r="F33" s="2" t="s">
        <v>1978</v>
      </c>
      <c r="G33" s="2" t="s">
        <v>1978</v>
      </c>
      <c r="H33" s="2" t="s">
        <v>1978</v>
      </c>
      <c r="I33" s="2" t="s">
        <v>1970</v>
      </c>
      <c r="J33" s="2" t="s">
        <v>1970</v>
      </c>
      <c r="K33" s="2" t="s">
        <v>1970</v>
      </c>
      <c r="L33" s="2" t="s">
        <v>1970</v>
      </c>
      <c r="M33" s="2" t="s">
        <v>1978</v>
      </c>
      <c r="N33" s="344" t="s">
        <v>1978</v>
      </c>
      <c r="O33" s="344" t="s">
        <v>1978</v>
      </c>
      <c r="P33" s="344" t="s">
        <v>1978</v>
      </c>
      <c r="Q33" s="344" t="s">
        <v>1978</v>
      </c>
      <c r="R33" s="344" t="s">
        <v>1978</v>
      </c>
      <c r="S33" s="344" t="s">
        <v>1978</v>
      </c>
      <c r="T33" s="2" t="s">
        <v>2158</v>
      </c>
      <c r="U33" s="2" t="s">
        <v>2150</v>
      </c>
      <c r="X33" s="344">
        <f>'A123'!J41</f>
        <v>8</v>
      </c>
      <c r="Y33" s="344" t="str">
        <f>'A123'!K41</f>
        <v>/</v>
      </c>
      <c r="Z33" s="344" t="str">
        <f>'A123'!L41</f>
        <v>新科目</v>
      </c>
      <c r="AA33" s="2" t="s">
        <v>2150</v>
      </c>
      <c r="AB33" s="2" t="str">
        <f>入學要求!X42</f>
        <v>/</v>
      </c>
      <c r="AC33" s="2" t="str">
        <f>入學要求!Y42</f>
        <v>/</v>
      </c>
      <c r="AD33" s="2" t="s">
        <v>2153</v>
      </c>
      <c r="AE33" s="2" t="s">
        <v>2682</v>
      </c>
      <c r="AF33" s="2" t="s">
        <v>1970</v>
      </c>
      <c r="AG33" s="2" t="s">
        <v>2685</v>
      </c>
      <c r="AH33" s="2" t="s">
        <v>1978</v>
      </c>
      <c r="AI33" s="2" t="s">
        <v>1978</v>
      </c>
      <c r="AJ33" s="2" t="s">
        <v>2151</v>
      </c>
      <c r="AK33" s="2" t="s">
        <v>2729</v>
      </c>
      <c r="AL33" s="2" t="s">
        <v>1970</v>
      </c>
      <c r="AM33" s="2" t="s">
        <v>1978</v>
      </c>
      <c r="AN33" s="2" t="s">
        <v>1978</v>
      </c>
      <c r="AO33" s="2" t="s">
        <v>1978</v>
      </c>
      <c r="AP33" s="251" t="s">
        <v>1978</v>
      </c>
      <c r="AQ33" s="344" t="s">
        <v>1970</v>
      </c>
      <c r="AR33" s="2" t="s">
        <v>2150</v>
      </c>
      <c r="AS33" s="344" t="s">
        <v>2653</v>
      </c>
      <c r="AT33" s="2" t="s">
        <v>1970</v>
      </c>
      <c r="AU33" s="2" t="s">
        <v>1970</v>
      </c>
      <c r="AV33" s="344" t="s">
        <v>1987</v>
      </c>
      <c r="BB33" s="2">
        <v>1</v>
      </c>
      <c r="BC33" s="2">
        <v>1.5</v>
      </c>
      <c r="BD33" s="2">
        <v>1</v>
      </c>
      <c r="BE33" s="2">
        <v>1</v>
      </c>
      <c r="BF33" s="2">
        <v>1</v>
      </c>
      <c r="BG33" s="2">
        <v>1</v>
      </c>
      <c r="BH33" s="2">
        <v>1</v>
      </c>
      <c r="BI33" s="2">
        <v>1</v>
      </c>
      <c r="BJ33" s="2" t="s">
        <v>1978</v>
      </c>
      <c r="BK33" s="2" t="s">
        <v>1978</v>
      </c>
      <c r="BL33" s="2" t="s">
        <v>1978</v>
      </c>
      <c r="BM33" s="2" t="s">
        <v>1978</v>
      </c>
      <c r="BN33" s="2" t="s">
        <v>1978</v>
      </c>
      <c r="BO33" s="2" t="s">
        <v>1978</v>
      </c>
      <c r="BP33" s="2" t="s">
        <v>1978</v>
      </c>
      <c r="BQ33" s="2" t="s">
        <v>1978</v>
      </c>
      <c r="BR33" s="2" t="e">
        <f t="shared" ref="BR33:BR37" si="341">BB33*BJ33</f>
        <v>#VALUE!</v>
      </c>
      <c r="BS33" s="2" t="e">
        <f t="shared" ref="BS33:BS37" si="342">BC33*BK33</f>
        <v>#VALUE!</v>
      </c>
      <c r="BT33" s="2" t="e">
        <f t="shared" ref="BT33:BT37" si="343">BD33*BL33</f>
        <v>#VALUE!</v>
      </c>
      <c r="BU33" s="2" t="e">
        <f t="shared" ref="BU33:BU37" si="344">BE33*BM33</f>
        <v>#VALUE!</v>
      </c>
      <c r="BV33" s="2" t="e">
        <f t="shared" ref="BV33:BV37" si="345">BF33*BN33</f>
        <v>#VALUE!</v>
      </c>
      <c r="BW33" s="2" t="e">
        <f t="shared" ref="BW33:BW37" si="346">BG33*BO33</f>
        <v>#VALUE!</v>
      </c>
      <c r="BX33" s="2" t="e">
        <f t="shared" ref="BX33:BX37" si="347">BH33*BP33</f>
        <v>#VALUE!</v>
      </c>
      <c r="BY33" s="2" t="e">
        <f t="shared" ref="BY33:BY37" si="348">BI33*BQ33</f>
        <v>#VALUE!</v>
      </c>
      <c r="BZ33" s="2" t="s">
        <v>1978</v>
      </c>
      <c r="CA33" s="2" t="s">
        <v>1978</v>
      </c>
      <c r="CB33" s="2" t="s">
        <v>1978</v>
      </c>
      <c r="CC33" s="2" t="s">
        <v>1978</v>
      </c>
      <c r="CD33" s="2" t="s">
        <v>1978</v>
      </c>
      <c r="CE33" s="2" t="s">
        <v>1978</v>
      </c>
      <c r="CF33" s="2" t="s">
        <v>1978</v>
      </c>
      <c r="CG33" s="2" t="s">
        <v>1978</v>
      </c>
      <c r="CH33" s="2">
        <v>1</v>
      </c>
      <c r="CI33" s="2">
        <v>1.5</v>
      </c>
      <c r="CJ33" s="2">
        <v>1</v>
      </c>
      <c r="CK33" s="2">
        <v>1</v>
      </c>
      <c r="CL33" s="2">
        <v>1</v>
      </c>
      <c r="CM33" s="2">
        <v>1</v>
      </c>
      <c r="CN33" s="2">
        <v>1</v>
      </c>
      <c r="CO33" s="2">
        <v>1</v>
      </c>
      <c r="CP33" s="2" t="s">
        <v>1978</v>
      </c>
      <c r="CQ33" s="2" t="s">
        <v>1978</v>
      </c>
      <c r="CR33" s="2" t="s">
        <v>1978</v>
      </c>
      <c r="CS33" s="2" t="s">
        <v>1978</v>
      </c>
      <c r="CT33" s="2" t="s">
        <v>1978</v>
      </c>
      <c r="CU33" s="2" t="s">
        <v>1978</v>
      </c>
      <c r="CV33" s="2" t="s">
        <v>1978</v>
      </c>
      <c r="CW33" s="2" t="s">
        <v>1978</v>
      </c>
      <c r="CX33" s="2" t="e">
        <f t="shared" si="333"/>
        <v>#VALUE!</v>
      </c>
      <c r="CY33" s="2" t="e">
        <f t="shared" si="334"/>
        <v>#VALUE!</v>
      </c>
      <c r="CZ33" s="2" t="e">
        <f t="shared" si="335"/>
        <v>#VALUE!</v>
      </c>
      <c r="DA33" s="2" t="e">
        <f t="shared" si="336"/>
        <v>#VALUE!</v>
      </c>
      <c r="DB33" s="2" t="e">
        <f t="shared" si="337"/>
        <v>#VALUE!</v>
      </c>
      <c r="DC33" s="2" t="e">
        <f t="shared" si="338"/>
        <v>#VALUE!</v>
      </c>
      <c r="DD33" s="2" t="e">
        <f t="shared" si="339"/>
        <v>#VALUE!</v>
      </c>
      <c r="DE33" s="2" t="e">
        <f t="shared" si="340"/>
        <v>#VALUE!</v>
      </c>
      <c r="DF33" s="2" t="s">
        <v>1978</v>
      </c>
      <c r="DG33" s="2" t="s">
        <v>1978</v>
      </c>
      <c r="DH33" s="2" t="s">
        <v>1978</v>
      </c>
      <c r="DI33" s="2" t="s">
        <v>1978</v>
      </c>
      <c r="DJ33" s="2" t="s">
        <v>1978</v>
      </c>
      <c r="DK33" s="2" t="s">
        <v>1978</v>
      </c>
      <c r="DL33" s="2" t="s">
        <v>1978</v>
      </c>
      <c r="DM33" s="2" t="s">
        <v>1978</v>
      </c>
      <c r="DN33" s="2" t="s">
        <v>1978</v>
      </c>
      <c r="DO33" s="2" t="s">
        <v>1978</v>
      </c>
      <c r="DP33" s="2" t="s">
        <v>1978</v>
      </c>
      <c r="DQ33" s="2" t="s">
        <v>1978</v>
      </c>
      <c r="DR33" s="2" t="s">
        <v>1978</v>
      </c>
      <c r="DS33" s="2" t="s">
        <v>1978</v>
      </c>
      <c r="DT33" s="2" t="s">
        <v>1978</v>
      </c>
      <c r="DU33" s="2" t="s">
        <v>1978</v>
      </c>
      <c r="DV33" s="2" t="s">
        <v>1978</v>
      </c>
      <c r="DW33" s="2" t="s">
        <v>1978</v>
      </c>
      <c r="DX33" s="2" t="s">
        <v>1978</v>
      </c>
      <c r="DY33" s="2" t="s">
        <v>1978</v>
      </c>
      <c r="DZ33" s="2" t="s">
        <v>1978</v>
      </c>
      <c r="EA33" s="2" t="s">
        <v>1978</v>
      </c>
      <c r="EB33" s="2" t="s">
        <v>1978</v>
      </c>
      <c r="EC33" s="2" t="s">
        <v>1978</v>
      </c>
      <c r="ED33" s="2" t="s">
        <v>1978</v>
      </c>
      <c r="EE33" s="2" t="s">
        <v>1978</v>
      </c>
      <c r="EF33" s="2" t="s">
        <v>1978</v>
      </c>
      <c r="EG33" s="2" t="s">
        <v>1978</v>
      </c>
      <c r="EH33" s="2" t="s">
        <v>1978</v>
      </c>
      <c r="EI33" s="2" t="s">
        <v>1978</v>
      </c>
      <c r="EJ33" s="2" t="s">
        <v>1978</v>
      </c>
      <c r="EK33" s="2" t="s">
        <v>1978</v>
      </c>
      <c r="EL33" s="2" t="s">
        <v>1978</v>
      </c>
      <c r="EM33" s="2" t="s">
        <v>1978</v>
      </c>
      <c r="EN33" s="2" t="s">
        <v>1978</v>
      </c>
      <c r="EO33" s="2" t="s">
        <v>1978</v>
      </c>
      <c r="EP33" s="2" t="s">
        <v>1978</v>
      </c>
      <c r="EQ33" s="2" t="s">
        <v>1978</v>
      </c>
      <c r="ER33" s="2" t="s">
        <v>1978</v>
      </c>
      <c r="ES33" s="2" t="s">
        <v>1978</v>
      </c>
    </row>
    <row r="34" spans="1:149" x14ac:dyDescent="0.3">
      <c r="A34" s="2" t="s">
        <v>97</v>
      </c>
      <c r="B34" s="2" t="s">
        <v>2148</v>
      </c>
      <c r="C34" s="2" t="s">
        <v>1973</v>
      </c>
      <c r="D34" s="2" t="s">
        <v>100</v>
      </c>
      <c r="E34" s="11" t="s">
        <v>1967</v>
      </c>
      <c r="F34" s="2" t="s">
        <v>1978</v>
      </c>
      <c r="G34" s="2">
        <f t="shared" ref="G34:G46" si="349">SUMIF(DF34:DM34,TRUE,CX34:DE34)</f>
        <v>34</v>
      </c>
      <c r="H34" s="2">
        <f t="shared" ref="H34:H46" si="350">SUMIF(BZ34:CG34,TRUE,BR34:BY34)</f>
        <v>31</v>
      </c>
      <c r="I34" s="2" t="s">
        <v>1970</v>
      </c>
      <c r="J34" s="2" t="s">
        <v>1978</v>
      </c>
      <c r="K34" s="2" t="s">
        <v>2779</v>
      </c>
      <c r="L34" s="2" t="s">
        <v>1970</v>
      </c>
      <c r="M34" s="2" t="s">
        <v>1978</v>
      </c>
      <c r="N34" s="344" t="s">
        <v>1978</v>
      </c>
      <c r="O34" s="344" t="s">
        <v>1978</v>
      </c>
      <c r="P34" s="344" t="s">
        <v>1978</v>
      </c>
      <c r="Q34" s="344" t="s">
        <v>1978</v>
      </c>
      <c r="R34" s="344" t="s">
        <v>1978</v>
      </c>
      <c r="S34" s="344" t="s">
        <v>1978</v>
      </c>
      <c r="T34" s="2" t="s">
        <v>98</v>
      </c>
      <c r="U34" s="2" t="s">
        <v>2150</v>
      </c>
      <c r="X34" s="344">
        <f>'A123'!J42</f>
        <v>20</v>
      </c>
      <c r="Y34" s="344">
        <f>'A123'!K42</f>
        <v>16</v>
      </c>
      <c r="Z34" s="344">
        <f>'A123'!L42</f>
        <v>5.1538461538461542</v>
      </c>
      <c r="AA34" s="2" t="s">
        <v>2150</v>
      </c>
      <c r="AB34" s="2" t="str">
        <f>入學要求!X43</f>
        <v>/</v>
      </c>
      <c r="AC34" s="2" t="str">
        <f>入學要求!Y43</f>
        <v>/</v>
      </c>
      <c r="AD34" s="2" t="s">
        <v>1967</v>
      </c>
      <c r="AE34" s="2" t="s">
        <v>1978</v>
      </c>
      <c r="AF34" s="2" t="s">
        <v>1978</v>
      </c>
      <c r="AG34" s="2" t="s">
        <v>2779</v>
      </c>
      <c r="AH34" s="2" t="s">
        <v>1970</v>
      </c>
      <c r="AI34" s="2" t="s">
        <v>1978</v>
      </c>
      <c r="AJ34" s="2" t="s">
        <v>2756</v>
      </c>
      <c r="AK34" s="2" t="s">
        <v>2151</v>
      </c>
      <c r="AL34" s="2" t="s">
        <v>2729</v>
      </c>
      <c r="AM34" s="2" t="s">
        <v>1970</v>
      </c>
      <c r="AN34" s="2" t="s">
        <v>1978</v>
      </c>
      <c r="AO34" s="2" t="s">
        <v>1978</v>
      </c>
      <c r="AP34" s="251" t="s">
        <v>1978</v>
      </c>
      <c r="AQ34" s="344" t="s">
        <v>1970</v>
      </c>
      <c r="AR34" s="2" t="s">
        <v>2150</v>
      </c>
      <c r="AS34" s="2" t="s">
        <v>3603</v>
      </c>
      <c r="AT34" s="2" t="s">
        <v>3613</v>
      </c>
      <c r="AV34" s="344" t="s">
        <v>1987</v>
      </c>
      <c r="BB34" s="2">
        <v>1</v>
      </c>
      <c r="BC34" s="2">
        <v>2</v>
      </c>
      <c r="BD34" s="2">
        <v>2</v>
      </c>
      <c r="BE34" s="2">
        <v>1</v>
      </c>
      <c r="BF34" s="2">
        <v>1</v>
      </c>
      <c r="BG34" s="2">
        <v>1</v>
      </c>
      <c r="BH34" s="2">
        <v>1</v>
      </c>
      <c r="BI34" s="2">
        <v>1</v>
      </c>
      <c r="BJ34" s="2">
        <v>3</v>
      </c>
      <c r="BK34" s="2">
        <v>3</v>
      </c>
      <c r="BL34" s="2">
        <v>5</v>
      </c>
      <c r="BM34" s="2">
        <v>3</v>
      </c>
      <c r="BN34" s="2" t="s">
        <v>1978</v>
      </c>
      <c r="BO34" s="2">
        <v>5</v>
      </c>
      <c r="BP34" s="2">
        <v>4</v>
      </c>
      <c r="BQ34" s="2">
        <v>4</v>
      </c>
      <c r="BR34" s="2">
        <f t="shared" si="341"/>
        <v>3</v>
      </c>
      <c r="BS34" s="2">
        <f t="shared" si="342"/>
        <v>6</v>
      </c>
      <c r="BT34" s="2">
        <f t="shared" si="343"/>
        <v>10</v>
      </c>
      <c r="BU34" s="2">
        <f t="shared" si="344"/>
        <v>3</v>
      </c>
      <c r="BV34" s="2" t="e">
        <f t="shared" si="345"/>
        <v>#VALUE!</v>
      </c>
      <c r="BW34" s="2">
        <f t="shared" si="346"/>
        <v>5</v>
      </c>
      <c r="BX34" s="2">
        <f t="shared" si="347"/>
        <v>4</v>
      </c>
      <c r="BY34" s="2">
        <f t="shared" si="348"/>
        <v>4</v>
      </c>
      <c r="BZ34" s="2" t="b">
        <v>1</v>
      </c>
      <c r="CA34" s="2" t="b">
        <v>1</v>
      </c>
      <c r="CB34" s="2" t="b">
        <v>1</v>
      </c>
      <c r="CC34" s="2" t="b">
        <v>1</v>
      </c>
      <c r="CD34" s="2" t="b">
        <v>0</v>
      </c>
      <c r="CE34" s="2" t="b">
        <v>1</v>
      </c>
      <c r="CF34" s="2" t="b">
        <v>1</v>
      </c>
      <c r="CG34" s="2" t="b">
        <v>0</v>
      </c>
      <c r="CH34" s="2">
        <v>1</v>
      </c>
      <c r="CI34" s="2">
        <v>2</v>
      </c>
      <c r="CJ34" s="2">
        <v>2</v>
      </c>
      <c r="CK34" s="2">
        <v>1</v>
      </c>
      <c r="CL34" s="2">
        <v>1</v>
      </c>
      <c r="CM34" s="2">
        <v>1</v>
      </c>
      <c r="CN34" s="2">
        <v>1</v>
      </c>
      <c r="CO34" s="2">
        <v>1</v>
      </c>
      <c r="CP34" s="2">
        <v>4</v>
      </c>
      <c r="CQ34" s="2">
        <v>4</v>
      </c>
      <c r="CR34" s="2">
        <v>5</v>
      </c>
      <c r="CS34" s="2">
        <v>4</v>
      </c>
      <c r="CT34" s="2" t="s">
        <v>1978</v>
      </c>
      <c r="CU34" s="2">
        <v>4</v>
      </c>
      <c r="CV34" s="2">
        <v>4</v>
      </c>
      <c r="CW34" s="2" t="s">
        <v>1978</v>
      </c>
      <c r="CX34" s="2">
        <f t="shared" si="333"/>
        <v>4</v>
      </c>
      <c r="CY34" s="2">
        <f t="shared" si="334"/>
        <v>8</v>
      </c>
      <c r="CZ34" s="2">
        <f t="shared" si="335"/>
        <v>10</v>
      </c>
      <c r="DA34" s="2">
        <f t="shared" si="336"/>
        <v>4</v>
      </c>
      <c r="DB34" s="2" t="e">
        <f t="shared" si="337"/>
        <v>#VALUE!</v>
      </c>
      <c r="DC34" s="2">
        <f t="shared" si="338"/>
        <v>4</v>
      </c>
      <c r="DD34" s="2">
        <f t="shared" si="339"/>
        <v>4</v>
      </c>
      <c r="DE34" s="2" t="e">
        <f t="shared" si="340"/>
        <v>#VALUE!</v>
      </c>
      <c r="DF34" s="2" t="b">
        <v>1</v>
      </c>
      <c r="DG34" s="2" t="b">
        <v>1</v>
      </c>
      <c r="DH34" s="2" t="b">
        <v>1</v>
      </c>
      <c r="DI34" s="2" t="b">
        <v>1</v>
      </c>
      <c r="DJ34" s="2" t="b">
        <v>0</v>
      </c>
      <c r="DK34" s="2" t="b">
        <v>1</v>
      </c>
      <c r="DL34" s="2" t="b">
        <v>1</v>
      </c>
      <c r="DM34" s="2" t="b">
        <v>0</v>
      </c>
      <c r="DN34" s="2" t="s">
        <v>1978</v>
      </c>
      <c r="DO34" s="2" t="s">
        <v>1978</v>
      </c>
      <c r="DP34" s="2" t="s">
        <v>1978</v>
      </c>
      <c r="DQ34" s="2" t="s">
        <v>1978</v>
      </c>
      <c r="DR34" s="2" t="s">
        <v>1978</v>
      </c>
      <c r="DS34" s="2" t="s">
        <v>1978</v>
      </c>
      <c r="DT34" s="2" t="s">
        <v>1978</v>
      </c>
      <c r="DU34" s="2" t="s">
        <v>1978</v>
      </c>
      <c r="DV34" s="2" t="s">
        <v>1978</v>
      </c>
      <c r="DW34" s="2" t="s">
        <v>1978</v>
      </c>
      <c r="DX34" s="2" t="s">
        <v>1978</v>
      </c>
      <c r="DY34" s="2" t="s">
        <v>1978</v>
      </c>
      <c r="DZ34" s="2" t="s">
        <v>1978</v>
      </c>
      <c r="EA34" s="2" t="s">
        <v>1978</v>
      </c>
      <c r="EB34" s="2" t="s">
        <v>1978</v>
      </c>
      <c r="EC34" s="2" t="s">
        <v>1978</v>
      </c>
      <c r="ED34" s="2" t="s">
        <v>1978</v>
      </c>
      <c r="EE34" s="2" t="s">
        <v>1978</v>
      </c>
      <c r="EF34" s="2" t="s">
        <v>1978</v>
      </c>
      <c r="EG34" s="2" t="s">
        <v>1978</v>
      </c>
      <c r="EH34" s="2" t="s">
        <v>1978</v>
      </c>
      <c r="EI34" s="2" t="s">
        <v>1978</v>
      </c>
      <c r="EJ34" s="2" t="s">
        <v>1978</v>
      </c>
      <c r="EK34" s="2" t="s">
        <v>1978</v>
      </c>
      <c r="EL34" s="2" t="s">
        <v>1978</v>
      </c>
      <c r="EM34" s="2" t="s">
        <v>1978</v>
      </c>
      <c r="EN34" s="2" t="s">
        <v>1978</v>
      </c>
      <c r="EO34" s="2" t="s">
        <v>1978</v>
      </c>
      <c r="EP34" s="2" t="s">
        <v>1978</v>
      </c>
      <c r="EQ34" s="2" t="s">
        <v>1978</v>
      </c>
      <c r="ER34" s="2" t="s">
        <v>1978</v>
      </c>
      <c r="ES34" s="2" t="s">
        <v>1978</v>
      </c>
    </row>
    <row r="35" spans="1:149" x14ac:dyDescent="0.3">
      <c r="A35" s="2" t="s">
        <v>103</v>
      </c>
      <c r="B35" s="2" t="s">
        <v>2148</v>
      </c>
      <c r="C35" s="2" t="s">
        <v>1973</v>
      </c>
      <c r="D35" s="2" t="s">
        <v>106</v>
      </c>
      <c r="E35" s="11" t="s">
        <v>1967</v>
      </c>
      <c r="F35" s="2" t="s">
        <v>1978</v>
      </c>
      <c r="G35" s="2">
        <f t="shared" si="349"/>
        <v>32</v>
      </c>
      <c r="H35" s="2">
        <f t="shared" si="350"/>
        <v>29</v>
      </c>
      <c r="I35" s="2" t="s">
        <v>1970</v>
      </c>
      <c r="J35" s="2" t="s">
        <v>1978</v>
      </c>
      <c r="K35" s="2" t="s">
        <v>2779</v>
      </c>
      <c r="L35" s="2" t="s">
        <v>1970</v>
      </c>
      <c r="M35" s="2" t="s">
        <v>1978</v>
      </c>
      <c r="N35" s="344" t="s">
        <v>1978</v>
      </c>
      <c r="O35" s="344" t="s">
        <v>1978</v>
      </c>
      <c r="P35" s="344" t="s">
        <v>1978</v>
      </c>
      <c r="Q35" s="344" t="s">
        <v>1978</v>
      </c>
      <c r="R35" s="344" t="s">
        <v>1978</v>
      </c>
      <c r="S35" s="344" t="s">
        <v>1978</v>
      </c>
      <c r="T35" s="2" t="s">
        <v>104</v>
      </c>
      <c r="U35" s="2" t="s">
        <v>2150</v>
      </c>
      <c r="X35" s="344">
        <f>'A123'!J43</f>
        <v>30</v>
      </c>
      <c r="Y35" s="344">
        <f>'A123'!K43</f>
        <v>23</v>
      </c>
      <c r="Z35" s="344">
        <f>'A123'!L43</f>
        <v>6</v>
      </c>
      <c r="AA35" s="2" t="s">
        <v>2150</v>
      </c>
      <c r="AB35" s="2" t="str">
        <f>入學要求!X44</f>
        <v>/</v>
      </c>
      <c r="AC35" s="2" t="str">
        <f>入學要求!Y44</f>
        <v>/</v>
      </c>
      <c r="AD35" s="2" t="s">
        <v>1967</v>
      </c>
      <c r="AE35" s="2" t="s">
        <v>1978</v>
      </c>
      <c r="AF35" s="2" t="s">
        <v>1978</v>
      </c>
      <c r="AG35" s="2" t="s">
        <v>2779</v>
      </c>
      <c r="AH35" s="2" t="s">
        <v>1970</v>
      </c>
      <c r="AI35" s="2" t="s">
        <v>1978</v>
      </c>
      <c r="AJ35" s="2" t="s">
        <v>2756</v>
      </c>
      <c r="AK35" s="2" t="s">
        <v>2151</v>
      </c>
      <c r="AL35" s="2" t="s">
        <v>2729</v>
      </c>
      <c r="AM35" s="2" t="s">
        <v>1970</v>
      </c>
      <c r="AN35" s="2" t="s">
        <v>1978</v>
      </c>
      <c r="AO35" s="2" t="s">
        <v>1978</v>
      </c>
      <c r="AP35" s="251" t="s">
        <v>1978</v>
      </c>
      <c r="AQ35" s="344" t="s">
        <v>1970</v>
      </c>
      <c r="AR35" s="2" t="s">
        <v>2150</v>
      </c>
      <c r="AS35" s="2" t="s">
        <v>3603</v>
      </c>
      <c r="AT35" s="2" t="s">
        <v>3613</v>
      </c>
      <c r="AV35" s="344" t="s">
        <v>1987</v>
      </c>
      <c r="BB35" s="2">
        <v>1</v>
      </c>
      <c r="BC35" s="2">
        <v>2</v>
      </c>
      <c r="BD35" s="2">
        <v>2</v>
      </c>
      <c r="BE35" s="2">
        <v>1</v>
      </c>
      <c r="BF35" s="2">
        <v>1</v>
      </c>
      <c r="BG35" s="2">
        <v>1</v>
      </c>
      <c r="BH35" s="2">
        <v>1</v>
      </c>
      <c r="BI35" s="2">
        <v>1</v>
      </c>
      <c r="BJ35" s="2">
        <v>4</v>
      </c>
      <c r="BK35" s="2">
        <v>3</v>
      </c>
      <c r="BL35" s="2">
        <v>4</v>
      </c>
      <c r="BM35" s="2">
        <v>4</v>
      </c>
      <c r="BN35" s="2" t="s">
        <v>1978</v>
      </c>
      <c r="BO35" s="2">
        <v>4</v>
      </c>
      <c r="BP35" s="2">
        <v>3</v>
      </c>
      <c r="BQ35" s="2" t="s">
        <v>1978</v>
      </c>
      <c r="BR35" s="2">
        <f t="shared" si="341"/>
        <v>4</v>
      </c>
      <c r="BS35" s="2">
        <f t="shared" si="342"/>
        <v>6</v>
      </c>
      <c r="BT35" s="2">
        <f t="shared" si="343"/>
        <v>8</v>
      </c>
      <c r="BU35" s="2">
        <f t="shared" si="344"/>
        <v>4</v>
      </c>
      <c r="BV35" s="2" t="e">
        <f t="shared" si="345"/>
        <v>#VALUE!</v>
      </c>
      <c r="BW35" s="2">
        <f t="shared" si="346"/>
        <v>4</v>
      </c>
      <c r="BX35" s="2">
        <f t="shared" si="347"/>
        <v>3</v>
      </c>
      <c r="BY35" s="2" t="e">
        <f t="shared" si="348"/>
        <v>#VALUE!</v>
      </c>
      <c r="BZ35" s="2" t="b">
        <v>1</v>
      </c>
      <c r="CA35" s="2" t="b">
        <v>1</v>
      </c>
      <c r="CB35" s="2" t="b">
        <v>1</v>
      </c>
      <c r="CC35" s="2" t="b">
        <v>1</v>
      </c>
      <c r="CD35" s="2" t="b">
        <v>0</v>
      </c>
      <c r="CE35" s="2" t="b">
        <v>1</v>
      </c>
      <c r="CF35" s="2" t="b">
        <v>1</v>
      </c>
      <c r="CG35" s="2" t="b">
        <v>0</v>
      </c>
      <c r="CH35" s="2">
        <v>1</v>
      </c>
      <c r="CI35" s="2">
        <v>2</v>
      </c>
      <c r="CJ35" s="2">
        <v>2</v>
      </c>
      <c r="CK35" s="2">
        <v>1</v>
      </c>
      <c r="CL35" s="2">
        <v>1</v>
      </c>
      <c r="CM35" s="2">
        <v>1</v>
      </c>
      <c r="CN35" s="2">
        <v>1</v>
      </c>
      <c r="CO35" s="2">
        <v>1</v>
      </c>
      <c r="CP35" s="2">
        <v>3</v>
      </c>
      <c r="CQ35" s="2">
        <v>4</v>
      </c>
      <c r="CR35" s="2">
        <v>4</v>
      </c>
      <c r="CS35" s="2">
        <v>3</v>
      </c>
      <c r="CT35" s="2" t="s">
        <v>1978</v>
      </c>
      <c r="CU35" s="2">
        <v>5</v>
      </c>
      <c r="CV35" s="2">
        <v>5</v>
      </c>
      <c r="CW35" s="2" t="s">
        <v>1978</v>
      </c>
      <c r="CX35" s="2">
        <f t="shared" si="333"/>
        <v>3</v>
      </c>
      <c r="CY35" s="2">
        <f t="shared" si="334"/>
        <v>8</v>
      </c>
      <c r="CZ35" s="2">
        <f t="shared" si="335"/>
        <v>8</v>
      </c>
      <c r="DA35" s="2">
        <f t="shared" si="336"/>
        <v>3</v>
      </c>
      <c r="DB35" s="2" t="e">
        <f t="shared" si="337"/>
        <v>#VALUE!</v>
      </c>
      <c r="DC35" s="2">
        <f t="shared" si="338"/>
        <v>5</v>
      </c>
      <c r="DD35" s="2">
        <f t="shared" si="339"/>
        <v>5</v>
      </c>
      <c r="DE35" s="2" t="e">
        <f t="shared" si="340"/>
        <v>#VALUE!</v>
      </c>
      <c r="DF35" s="2" t="b">
        <v>1</v>
      </c>
      <c r="DG35" s="2" t="b">
        <v>1</v>
      </c>
      <c r="DH35" s="2" t="b">
        <v>1</v>
      </c>
      <c r="DI35" s="2" t="b">
        <v>1</v>
      </c>
      <c r="DJ35" s="2" t="b">
        <v>0</v>
      </c>
      <c r="DK35" s="2" t="b">
        <v>1</v>
      </c>
      <c r="DL35" s="2" t="b">
        <v>1</v>
      </c>
      <c r="DM35" s="2" t="b">
        <v>0</v>
      </c>
      <c r="DN35" s="2" t="s">
        <v>1978</v>
      </c>
      <c r="DO35" s="2" t="s">
        <v>1978</v>
      </c>
      <c r="DP35" s="2" t="s">
        <v>1978</v>
      </c>
      <c r="DQ35" s="2" t="s">
        <v>1978</v>
      </c>
      <c r="DR35" s="2" t="s">
        <v>1978</v>
      </c>
      <c r="DS35" s="2" t="s">
        <v>1978</v>
      </c>
      <c r="DT35" s="2" t="s">
        <v>1978</v>
      </c>
      <c r="DU35" s="2" t="s">
        <v>1978</v>
      </c>
      <c r="DV35" s="2" t="s">
        <v>1978</v>
      </c>
      <c r="DW35" s="2" t="s">
        <v>1978</v>
      </c>
      <c r="DX35" s="2" t="s">
        <v>1978</v>
      </c>
      <c r="DY35" s="2" t="s">
        <v>1978</v>
      </c>
      <c r="DZ35" s="2" t="s">
        <v>1978</v>
      </c>
      <c r="EA35" s="2" t="s">
        <v>1978</v>
      </c>
      <c r="EB35" s="2" t="s">
        <v>1978</v>
      </c>
      <c r="EC35" s="2" t="s">
        <v>1978</v>
      </c>
      <c r="ED35" s="2" t="s">
        <v>1978</v>
      </c>
      <c r="EE35" s="2" t="s">
        <v>1978</v>
      </c>
      <c r="EF35" s="2" t="s">
        <v>1978</v>
      </c>
      <c r="EG35" s="2" t="s">
        <v>1978</v>
      </c>
      <c r="EH35" s="2" t="s">
        <v>1978</v>
      </c>
      <c r="EI35" s="2" t="s">
        <v>1978</v>
      </c>
      <c r="EJ35" s="2" t="s">
        <v>1978</v>
      </c>
      <c r="EK35" s="2" t="s">
        <v>1978</v>
      </c>
      <c r="EL35" s="2" t="s">
        <v>1978</v>
      </c>
      <c r="EM35" s="2" t="s">
        <v>1978</v>
      </c>
      <c r="EN35" s="2" t="s">
        <v>1978</v>
      </c>
      <c r="EO35" s="2" t="s">
        <v>1978</v>
      </c>
      <c r="EP35" s="2" t="s">
        <v>1978</v>
      </c>
      <c r="EQ35" s="2" t="s">
        <v>1978</v>
      </c>
      <c r="ER35" s="2" t="s">
        <v>1978</v>
      </c>
      <c r="ES35" s="2" t="s">
        <v>1978</v>
      </c>
    </row>
    <row r="36" spans="1:149" x14ac:dyDescent="0.3">
      <c r="A36" s="2" t="s">
        <v>3640</v>
      </c>
      <c r="B36" s="2" t="s">
        <v>2148</v>
      </c>
      <c r="C36" s="2" t="s">
        <v>1973</v>
      </c>
      <c r="D36" s="2" t="s">
        <v>111</v>
      </c>
      <c r="E36" s="11" t="s">
        <v>1967</v>
      </c>
      <c r="F36" s="2" t="s">
        <v>1978</v>
      </c>
      <c r="G36" s="2">
        <f t="shared" si="349"/>
        <v>30</v>
      </c>
      <c r="H36" s="2">
        <f t="shared" si="350"/>
        <v>27</v>
      </c>
      <c r="I36" s="2" t="s">
        <v>1970</v>
      </c>
      <c r="J36" s="2" t="s">
        <v>1978</v>
      </c>
      <c r="K36" s="2" t="s">
        <v>2779</v>
      </c>
      <c r="L36" s="2" t="s">
        <v>1970</v>
      </c>
      <c r="M36" s="2" t="s">
        <v>1978</v>
      </c>
      <c r="N36" s="344" t="s">
        <v>1978</v>
      </c>
      <c r="O36" s="344" t="s">
        <v>1978</v>
      </c>
      <c r="P36" s="344" t="s">
        <v>1978</v>
      </c>
      <c r="Q36" s="344" t="s">
        <v>1978</v>
      </c>
      <c r="R36" s="344" t="s">
        <v>1978</v>
      </c>
      <c r="S36" s="344" t="s">
        <v>1978</v>
      </c>
      <c r="T36" s="2" t="s">
        <v>109</v>
      </c>
      <c r="U36" s="2" t="s">
        <v>2150</v>
      </c>
      <c r="X36" s="344">
        <f>'A123'!J44</f>
        <v>20</v>
      </c>
      <c r="Y36" s="344">
        <f>'A123'!K44</f>
        <v>11</v>
      </c>
      <c r="Z36" s="344">
        <f>'A123'!L44</f>
        <v>10.714285714285714</v>
      </c>
      <c r="AA36" s="2" t="s">
        <v>2150</v>
      </c>
      <c r="AB36" s="2" t="str">
        <f>入學要求!X45</f>
        <v>/</v>
      </c>
      <c r="AC36" s="2" t="str">
        <f>入學要求!Y45</f>
        <v>/</v>
      </c>
      <c r="AD36" s="2" t="s">
        <v>1967</v>
      </c>
      <c r="AE36" s="2" t="s">
        <v>1978</v>
      </c>
      <c r="AF36" s="2" t="s">
        <v>1978</v>
      </c>
      <c r="AG36" s="2" t="s">
        <v>2779</v>
      </c>
      <c r="AH36" s="2" t="s">
        <v>1970</v>
      </c>
      <c r="AI36" s="2" t="s">
        <v>1978</v>
      </c>
      <c r="AJ36" s="2" t="s">
        <v>2756</v>
      </c>
      <c r="AK36" s="2" t="s">
        <v>2151</v>
      </c>
      <c r="AL36" s="2" t="s">
        <v>2729</v>
      </c>
      <c r="AM36" s="2" t="s">
        <v>1970</v>
      </c>
      <c r="AN36" s="2" t="s">
        <v>1978</v>
      </c>
      <c r="AO36" s="2" t="s">
        <v>1978</v>
      </c>
      <c r="AP36" s="251" t="s">
        <v>1978</v>
      </c>
      <c r="AQ36" s="344" t="s">
        <v>1970</v>
      </c>
      <c r="AR36" s="2" t="s">
        <v>2150</v>
      </c>
      <c r="AS36" s="2" t="s">
        <v>3603</v>
      </c>
      <c r="AT36" s="2" t="s">
        <v>3613</v>
      </c>
      <c r="AU36" s="2" t="s">
        <v>1970</v>
      </c>
      <c r="AV36" s="344" t="s">
        <v>1987</v>
      </c>
      <c r="BB36" s="2">
        <v>1</v>
      </c>
      <c r="BC36" s="2">
        <v>2</v>
      </c>
      <c r="BD36" s="2">
        <v>2</v>
      </c>
      <c r="BE36" s="2">
        <v>1</v>
      </c>
      <c r="BF36" s="2">
        <v>1</v>
      </c>
      <c r="BG36" s="2">
        <v>1</v>
      </c>
      <c r="BH36" s="2">
        <v>1</v>
      </c>
      <c r="BI36" s="2">
        <v>1</v>
      </c>
      <c r="BJ36" s="2">
        <v>3</v>
      </c>
      <c r="BK36" s="2">
        <v>3</v>
      </c>
      <c r="BL36" s="2">
        <v>4</v>
      </c>
      <c r="BM36" s="2">
        <v>3</v>
      </c>
      <c r="BN36" s="2" t="s">
        <v>1978</v>
      </c>
      <c r="BO36" s="2">
        <v>4</v>
      </c>
      <c r="BP36" s="2">
        <v>3</v>
      </c>
      <c r="BQ36" s="2" t="s">
        <v>1978</v>
      </c>
      <c r="BR36" s="2">
        <f t="shared" si="341"/>
        <v>3</v>
      </c>
      <c r="BS36" s="2">
        <f t="shared" si="342"/>
        <v>6</v>
      </c>
      <c r="BT36" s="2">
        <f t="shared" si="343"/>
        <v>8</v>
      </c>
      <c r="BU36" s="2">
        <f t="shared" si="344"/>
        <v>3</v>
      </c>
      <c r="BV36" s="2" t="e">
        <f t="shared" si="345"/>
        <v>#VALUE!</v>
      </c>
      <c r="BW36" s="2">
        <f t="shared" si="346"/>
        <v>4</v>
      </c>
      <c r="BX36" s="2">
        <f t="shared" si="347"/>
        <v>3</v>
      </c>
      <c r="BY36" s="2" t="e">
        <f t="shared" si="348"/>
        <v>#VALUE!</v>
      </c>
      <c r="BZ36" s="2" t="b">
        <v>1</v>
      </c>
      <c r="CA36" s="2" t="b">
        <v>1</v>
      </c>
      <c r="CB36" s="2" t="b">
        <v>1</v>
      </c>
      <c r="CC36" s="2" t="b">
        <v>1</v>
      </c>
      <c r="CD36" s="2" t="b">
        <v>0</v>
      </c>
      <c r="CE36" s="2" t="b">
        <v>1</v>
      </c>
      <c r="CF36" s="2" t="b">
        <v>1</v>
      </c>
      <c r="CG36" s="2" t="b">
        <v>0</v>
      </c>
      <c r="CH36" s="2">
        <v>1</v>
      </c>
      <c r="CI36" s="2">
        <v>2</v>
      </c>
      <c r="CJ36" s="2">
        <v>2</v>
      </c>
      <c r="CK36" s="2">
        <v>1</v>
      </c>
      <c r="CL36" s="2">
        <v>1</v>
      </c>
      <c r="CM36" s="2">
        <v>1</v>
      </c>
      <c r="CN36" s="2">
        <v>1</v>
      </c>
      <c r="CO36" s="2">
        <v>1</v>
      </c>
      <c r="CP36" s="2">
        <v>3</v>
      </c>
      <c r="CQ36" s="2">
        <v>4</v>
      </c>
      <c r="CR36" s="2">
        <v>5</v>
      </c>
      <c r="CS36" s="2">
        <v>3</v>
      </c>
      <c r="CT36" s="2" t="s">
        <v>1978</v>
      </c>
      <c r="CU36" s="2">
        <v>3</v>
      </c>
      <c r="CV36" s="2">
        <v>3</v>
      </c>
      <c r="CW36" s="2" t="s">
        <v>1978</v>
      </c>
      <c r="CX36" s="2">
        <f t="shared" si="333"/>
        <v>3</v>
      </c>
      <c r="CY36" s="2">
        <f t="shared" si="334"/>
        <v>8</v>
      </c>
      <c r="CZ36" s="2">
        <f t="shared" si="335"/>
        <v>10</v>
      </c>
      <c r="DA36" s="2">
        <f t="shared" si="336"/>
        <v>3</v>
      </c>
      <c r="DB36" s="2" t="e">
        <f t="shared" si="337"/>
        <v>#VALUE!</v>
      </c>
      <c r="DC36" s="2">
        <f t="shared" si="338"/>
        <v>3</v>
      </c>
      <c r="DD36" s="2">
        <f t="shared" si="339"/>
        <v>3</v>
      </c>
      <c r="DE36" s="2" t="e">
        <f t="shared" si="340"/>
        <v>#VALUE!</v>
      </c>
      <c r="DF36" s="2" t="b">
        <v>1</v>
      </c>
      <c r="DG36" s="2" t="b">
        <v>1</v>
      </c>
      <c r="DH36" s="2" t="b">
        <v>1</v>
      </c>
      <c r="DI36" s="2" t="b">
        <v>1</v>
      </c>
      <c r="DJ36" s="2" t="b">
        <v>0</v>
      </c>
      <c r="DK36" s="2" t="b">
        <v>1</v>
      </c>
      <c r="DL36" s="2" t="b">
        <v>1</v>
      </c>
      <c r="DM36" s="2" t="b">
        <v>0</v>
      </c>
      <c r="DN36" s="2" t="s">
        <v>1978</v>
      </c>
      <c r="DO36" s="2" t="s">
        <v>1978</v>
      </c>
      <c r="DP36" s="2" t="s">
        <v>1978</v>
      </c>
      <c r="DQ36" s="2" t="s">
        <v>1978</v>
      </c>
      <c r="DR36" s="2" t="s">
        <v>1978</v>
      </c>
      <c r="DS36" s="2" t="s">
        <v>1978</v>
      </c>
      <c r="DT36" s="2" t="s">
        <v>1978</v>
      </c>
      <c r="DU36" s="2" t="s">
        <v>1978</v>
      </c>
      <c r="DV36" s="2" t="s">
        <v>1978</v>
      </c>
      <c r="DW36" s="2" t="s">
        <v>1978</v>
      </c>
      <c r="DX36" s="2" t="s">
        <v>1978</v>
      </c>
      <c r="DY36" s="2" t="s">
        <v>1978</v>
      </c>
      <c r="DZ36" s="2" t="s">
        <v>1978</v>
      </c>
      <c r="EA36" s="2" t="s">
        <v>1978</v>
      </c>
      <c r="EB36" s="2" t="s">
        <v>1978</v>
      </c>
      <c r="EC36" s="2" t="s">
        <v>1978</v>
      </c>
      <c r="ED36" s="2" t="s">
        <v>1978</v>
      </c>
      <c r="EE36" s="2" t="s">
        <v>1978</v>
      </c>
      <c r="EF36" s="2" t="s">
        <v>1978</v>
      </c>
      <c r="EG36" s="2" t="s">
        <v>1978</v>
      </c>
      <c r="EH36" s="2" t="s">
        <v>1978</v>
      </c>
      <c r="EI36" s="2" t="s">
        <v>1978</v>
      </c>
      <c r="EJ36" s="2" t="s">
        <v>1978</v>
      </c>
      <c r="EK36" s="2" t="s">
        <v>1978</v>
      </c>
      <c r="EL36" s="2" t="s">
        <v>1978</v>
      </c>
      <c r="EM36" s="2" t="s">
        <v>1978</v>
      </c>
      <c r="EN36" s="2" t="s">
        <v>1978</v>
      </c>
      <c r="EO36" s="2" t="s">
        <v>1978</v>
      </c>
      <c r="EP36" s="2" t="s">
        <v>1978</v>
      </c>
      <c r="EQ36" s="2" t="s">
        <v>1978</v>
      </c>
      <c r="ER36" s="2" t="s">
        <v>1978</v>
      </c>
      <c r="ES36" s="2" t="s">
        <v>1978</v>
      </c>
    </row>
    <row r="37" spans="1:149" x14ac:dyDescent="0.3">
      <c r="A37" s="2" t="s">
        <v>116</v>
      </c>
      <c r="B37" s="2" t="s">
        <v>2148</v>
      </c>
      <c r="C37" s="2" t="s">
        <v>1975</v>
      </c>
      <c r="D37" s="2" t="s">
        <v>119</v>
      </c>
      <c r="E37" s="2" t="s">
        <v>2171</v>
      </c>
      <c r="F37" s="2" t="s">
        <v>1978</v>
      </c>
      <c r="G37" s="2">
        <f t="shared" si="349"/>
        <v>20</v>
      </c>
      <c r="H37" s="2">
        <f t="shared" si="350"/>
        <v>19</v>
      </c>
      <c r="I37" s="2" t="s">
        <v>2722</v>
      </c>
      <c r="J37" s="2" t="s">
        <v>1970</v>
      </c>
      <c r="K37" s="2" t="s">
        <v>1970</v>
      </c>
      <c r="L37" s="2" t="s">
        <v>1970</v>
      </c>
      <c r="M37" s="2" t="s">
        <v>1978</v>
      </c>
      <c r="N37" s="344" t="s">
        <v>1978</v>
      </c>
      <c r="O37" s="344" t="s">
        <v>1978</v>
      </c>
      <c r="P37" s="344" t="s">
        <v>1978</v>
      </c>
      <c r="Q37" s="344" t="s">
        <v>1978</v>
      </c>
      <c r="R37" s="344" t="s">
        <v>1978</v>
      </c>
      <c r="S37" s="344" t="s">
        <v>1978</v>
      </c>
      <c r="T37" s="2" t="s">
        <v>117</v>
      </c>
      <c r="U37" s="2" t="s">
        <v>2150</v>
      </c>
      <c r="X37" s="344">
        <f>'A123'!J45</f>
        <v>20</v>
      </c>
      <c r="Y37" s="344">
        <f>'A123'!K45</f>
        <v>16</v>
      </c>
      <c r="Z37" s="344">
        <f>'A123'!L45</f>
        <v>9.1666666666666661</v>
      </c>
      <c r="AA37" s="2" t="s">
        <v>2150</v>
      </c>
      <c r="AB37" s="2" t="str">
        <f>入學要求!X46</f>
        <v>/</v>
      </c>
      <c r="AC37" s="2" t="str">
        <f>入學要求!Y46</f>
        <v>/</v>
      </c>
      <c r="AD37" s="2" t="s">
        <v>2171</v>
      </c>
      <c r="AE37" s="2" t="s">
        <v>2722</v>
      </c>
      <c r="AF37" s="2" t="s">
        <v>1970</v>
      </c>
      <c r="AG37" s="2" t="s">
        <v>1970</v>
      </c>
      <c r="AH37" s="2" t="s">
        <v>1970</v>
      </c>
      <c r="AI37" s="2" t="s">
        <v>1978</v>
      </c>
      <c r="AJ37" s="2" t="s">
        <v>2723</v>
      </c>
      <c r="AK37" s="2" t="s">
        <v>2724</v>
      </c>
      <c r="AL37" s="2" t="s">
        <v>1970</v>
      </c>
      <c r="AM37" s="2" t="s">
        <v>1978</v>
      </c>
      <c r="AN37" s="2" t="s">
        <v>1978</v>
      </c>
      <c r="AO37" s="2" t="s">
        <v>1978</v>
      </c>
      <c r="AP37" s="251" t="s">
        <v>1978</v>
      </c>
      <c r="AQ37" s="344" t="s">
        <v>1970</v>
      </c>
      <c r="AR37" s="2" t="s">
        <v>2150</v>
      </c>
      <c r="AS37" s="2" t="s">
        <v>3608</v>
      </c>
      <c r="AT37" s="2" t="s">
        <v>1970</v>
      </c>
      <c r="AU37" s="2" t="s">
        <v>1970</v>
      </c>
      <c r="AV37" s="344" t="s">
        <v>1987</v>
      </c>
      <c r="BB37" s="2">
        <v>1</v>
      </c>
      <c r="BC37" s="2">
        <v>1</v>
      </c>
      <c r="BD37" s="2">
        <v>1</v>
      </c>
      <c r="BE37" s="2">
        <v>1</v>
      </c>
      <c r="BF37" s="2">
        <v>1</v>
      </c>
      <c r="BG37" s="2">
        <v>1</v>
      </c>
      <c r="BH37" s="2">
        <v>1</v>
      </c>
      <c r="BI37" s="2">
        <v>1</v>
      </c>
      <c r="BJ37" s="2">
        <v>4</v>
      </c>
      <c r="BK37" s="2">
        <v>3</v>
      </c>
      <c r="BL37" s="2">
        <v>3</v>
      </c>
      <c r="BM37" s="2">
        <v>4</v>
      </c>
      <c r="BN37" s="2" t="s">
        <v>1978</v>
      </c>
      <c r="BO37" s="2">
        <v>4</v>
      </c>
      <c r="BP37" s="2">
        <v>4</v>
      </c>
      <c r="BQ37" s="2" t="s">
        <v>1978</v>
      </c>
      <c r="BR37" s="2">
        <f t="shared" si="341"/>
        <v>4</v>
      </c>
      <c r="BS37" s="2">
        <f t="shared" si="342"/>
        <v>3</v>
      </c>
      <c r="BT37" s="2">
        <f t="shared" si="343"/>
        <v>3</v>
      </c>
      <c r="BU37" s="2">
        <f t="shared" si="344"/>
        <v>4</v>
      </c>
      <c r="BV37" s="2" t="e">
        <f t="shared" si="345"/>
        <v>#VALUE!</v>
      </c>
      <c r="BW37" s="2">
        <f t="shared" si="346"/>
        <v>4</v>
      </c>
      <c r="BX37" s="2">
        <f t="shared" si="347"/>
        <v>4</v>
      </c>
      <c r="BY37" s="2" t="e">
        <f t="shared" si="348"/>
        <v>#VALUE!</v>
      </c>
      <c r="BZ37" s="2" t="b">
        <v>1</v>
      </c>
      <c r="CA37" s="2" t="b">
        <v>1</v>
      </c>
      <c r="CB37" s="2" t="b">
        <v>0</v>
      </c>
      <c r="CC37" s="2" t="b">
        <v>1</v>
      </c>
      <c r="CD37" s="2" t="b">
        <v>0</v>
      </c>
      <c r="CE37" s="2" t="b">
        <v>1</v>
      </c>
      <c r="CF37" s="2" t="b">
        <v>1</v>
      </c>
      <c r="CG37" s="2" t="b">
        <v>0</v>
      </c>
      <c r="CH37" s="2">
        <v>1</v>
      </c>
      <c r="CI37" s="2">
        <v>1</v>
      </c>
      <c r="CJ37" s="2">
        <v>1</v>
      </c>
      <c r="CK37" s="2">
        <v>1</v>
      </c>
      <c r="CL37" s="2">
        <v>1</v>
      </c>
      <c r="CM37" s="2">
        <v>1</v>
      </c>
      <c r="CN37" s="2">
        <v>1</v>
      </c>
      <c r="CO37" s="2">
        <v>1</v>
      </c>
      <c r="CP37" s="2">
        <v>3</v>
      </c>
      <c r="CQ37" s="2">
        <v>3</v>
      </c>
      <c r="CR37" s="2">
        <v>4</v>
      </c>
      <c r="CS37" s="2">
        <v>5</v>
      </c>
      <c r="CT37" s="2" t="s">
        <v>1978</v>
      </c>
      <c r="CU37" s="2">
        <v>4</v>
      </c>
      <c r="CV37" s="2">
        <v>4</v>
      </c>
      <c r="CW37" s="2" t="s">
        <v>1978</v>
      </c>
      <c r="CX37" s="2">
        <f t="shared" si="333"/>
        <v>3</v>
      </c>
      <c r="CY37" s="2">
        <f t="shared" si="334"/>
        <v>3</v>
      </c>
      <c r="CZ37" s="2">
        <f t="shared" si="335"/>
        <v>4</v>
      </c>
      <c r="DA37" s="2">
        <f t="shared" si="336"/>
        <v>5</v>
      </c>
      <c r="DB37" s="2" t="e">
        <f t="shared" si="337"/>
        <v>#VALUE!</v>
      </c>
      <c r="DC37" s="2">
        <f t="shared" si="338"/>
        <v>4</v>
      </c>
      <c r="DD37" s="2">
        <f t="shared" si="339"/>
        <v>4</v>
      </c>
      <c r="DE37" s="2" t="e">
        <f t="shared" si="340"/>
        <v>#VALUE!</v>
      </c>
      <c r="DF37" s="2" t="b">
        <v>0</v>
      </c>
      <c r="DG37" s="2" t="b">
        <v>1</v>
      </c>
      <c r="DH37" s="2" t="b">
        <v>1</v>
      </c>
      <c r="DI37" s="2" t="b">
        <v>1</v>
      </c>
      <c r="DJ37" s="2" t="b">
        <v>0</v>
      </c>
      <c r="DK37" s="2" t="b">
        <v>1</v>
      </c>
      <c r="DL37" s="2" t="b">
        <v>1</v>
      </c>
      <c r="DM37" s="2" t="b">
        <v>0</v>
      </c>
      <c r="DN37" s="2" t="s">
        <v>1978</v>
      </c>
      <c r="DO37" s="2" t="s">
        <v>1978</v>
      </c>
      <c r="DP37" s="2" t="s">
        <v>1978</v>
      </c>
      <c r="DQ37" s="2" t="s">
        <v>1978</v>
      </c>
      <c r="DR37" s="2" t="s">
        <v>1978</v>
      </c>
      <c r="DS37" s="2" t="s">
        <v>1978</v>
      </c>
      <c r="DT37" s="2" t="s">
        <v>1978</v>
      </c>
      <c r="DU37" s="2" t="s">
        <v>1978</v>
      </c>
      <c r="DV37" s="2" t="s">
        <v>1978</v>
      </c>
      <c r="DW37" s="2" t="s">
        <v>1978</v>
      </c>
      <c r="DX37" s="2" t="s">
        <v>1978</v>
      </c>
      <c r="DY37" s="2" t="s">
        <v>1978</v>
      </c>
      <c r="DZ37" s="2" t="s">
        <v>1978</v>
      </c>
      <c r="EA37" s="2" t="s">
        <v>1978</v>
      </c>
      <c r="EB37" s="2" t="s">
        <v>1978</v>
      </c>
      <c r="EC37" s="2" t="s">
        <v>1978</v>
      </c>
      <c r="ED37" s="2" t="s">
        <v>1978</v>
      </c>
      <c r="EE37" s="2" t="s">
        <v>1978</v>
      </c>
      <c r="EF37" s="2" t="s">
        <v>1978</v>
      </c>
      <c r="EG37" s="2" t="s">
        <v>1978</v>
      </c>
      <c r="EH37" s="2" t="s">
        <v>1978</v>
      </c>
      <c r="EI37" s="2" t="s">
        <v>1978</v>
      </c>
      <c r="EJ37" s="2" t="s">
        <v>1978</v>
      </c>
      <c r="EK37" s="2" t="s">
        <v>1978</v>
      </c>
      <c r="EL37" s="2" t="s">
        <v>1978</v>
      </c>
      <c r="EM37" s="2" t="s">
        <v>1978</v>
      </c>
      <c r="EN37" s="2" t="s">
        <v>1978</v>
      </c>
      <c r="EO37" s="2" t="s">
        <v>1978</v>
      </c>
      <c r="EP37" s="2" t="s">
        <v>1978</v>
      </c>
      <c r="EQ37" s="2" t="s">
        <v>1978</v>
      </c>
      <c r="ER37" s="2" t="s">
        <v>1978</v>
      </c>
      <c r="ES37" s="2" t="s">
        <v>1978</v>
      </c>
    </row>
    <row r="38" spans="1:149" x14ac:dyDescent="0.3">
      <c r="A38" s="2" t="s">
        <v>121</v>
      </c>
      <c r="B38" s="2" t="s">
        <v>2148</v>
      </c>
      <c r="C38" s="2" t="s">
        <v>1975</v>
      </c>
      <c r="D38" s="2" t="s">
        <v>124</v>
      </c>
      <c r="E38" s="11" t="s">
        <v>1967</v>
      </c>
      <c r="F38" s="2" t="s">
        <v>1978</v>
      </c>
      <c r="G38" s="2">
        <f t="shared" si="349"/>
        <v>37</v>
      </c>
      <c r="H38" s="2">
        <f t="shared" si="350"/>
        <v>36</v>
      </c>
      <c r="I38" s="2" t="s">
        <v>1970</v>
      </c>
      <c r="J38" s="2" t="s">
        <v>1978</v>
      </c>
      <c r="K38" s="2" t="s">
        <v>2726</v>
      </c>
      <c r="L38" s="2" t="s">
        <v>2728</v>
      </c>
      <c r="M38" s="2" t="s">
        <v>1978</v>
      </c>
      <c r="N38" s="344" t="s">
        <v>1978</v>
      </c>
      <c r="O38" s="344" t="s">
        <v>1978</v>
      </c>
      <c r="P38" s="344" t="s">
        <v>1978</v>
      </c>
      <c r="Q38" s="344" t="s">
        <v>1978</v>
      </c>
      <c r="R38" s="344" t="s">
        <v>1978</v>
      </c>
      <c r="S38" s="344" t="s">
        <v>1978</v>
      </c>
      <c r="T38" s="2" t="s">
        <v>122</v>
      </c>
      <c r="U38" s="2" t="s">
        <v>2150</v>
      </c>
      <c r="X38" s="344">
        <f>'A123'!J46</f>
        <v>45</v>
      </c>
      <c r="Y38" s="344">
        <f>'A123'!K46</f>
        <v>56</v>
      </c>
      <c r="Z38" s="344">
        <f>'A123'!L46</f>
        <v>11.84</v>
      </c>
      <c r="AA38" s="2" t="s">
        <v>2150</v>
      </c>
      <c r="AB38" s="2" t="str">
        <f>入學要求!X47</f>
        <v>/</v>
      </c>
      <c r="AC38" s="2" t="str">
        <f>入學要求!Y47</f>
        <v>/</v>
      </c>
      <c r="AD38" s="2" t="s">
        <v>1967</v>
      </c>
      <c r="AE38" s="2" t="s">
        <v>1978</v>
      </c>
      <c r="AF38" s="2" t="s">
        <v>1978</v>
      </c>
      <c r="AG38" s="2" t="s">
        <v>2726</v>
      </c>
      <c r="AH38" s="2" t="s">
        <v>2728</v>
      </c>
      <c r="AI38" s="2" t="s">
        <v>1970</v>
      </c>
      <c r="AJ38" s="2" t="s">
        <v>2151</v>
      </c>
      <c r="AK38" s="2" t="s">
        <v>2729</v>
      </c>
      <c r="AL38" s="2" t="s">
        <v>1970</v>
      </c>
      <c r="AM38" s="2" t="s">
        <v>1978</v>
      </c>
      <c r="AN38" s="2" t="s">
        <v>1978</v>
      </c>
      <c r="AO38" s="2" t="s">
        <v>1978</v>
      </c>
      <c r="AP38" s="251" t="s">
        <v>1978</v>
      </c>
      <c r="AQ38" s="344" t="s">
        <v>1970</v>
      </c>
      <c r="AR38" s="2" t="s">
        <v>2150</v>
      </c>
      <c r="AS38" s="344" t="s">
        <v>2653</v>
      </c>
      <c r="AT38" s="2" t="s">
        <v>1970</v>
      </c>
      <c r="AU38" s="2" t="s">
        <v>1970</v>
      </c>
      <c r="AV38" s="344" t="s">
        <v>1987</v>
      </c>
      <c r="BB38" s="2">
        <v>2</v>
      </c>
      <c r="BC38" s="2">
        <v>2</v>
      </c>
      <c r="BD38" s="2">
        <v>1</v>
      </c>
      <c r="BE38" s="2">
        <v>1.5</v>
      </c>
      <c r="BF38" s="2">
        <v>1</v>
      </c>
      <c r="BG38" s="2">
        <v>1.5</v>
      </c>
      <c r="BH38" s="2">
        <v>1.5</v>
      </c>
      <c r="BI38" s="2">
        <v>1</v>
      </c>
      <c r="BJ38" s="2">
        <v>4</v>
      </c>
      <c r="BK38" s="2">
        <v>3</v>
      </c>
      <c r="BL38" s="2">
        <v>4</v>
      </c>
      <c r="BM38" s="2">
        <v>3</v>
      </c>
      <c r="BN38" s="2" t="s">
        <v>1978</v>
      </c>
      <c r="BO38" s="2">
        <v>5</v>
      </c>
      <c r="BP38" s="2">
        <v>4</v>
      </c>
      <c r="BQ38" s="2" t="s">
        <v>1978</v>
      </c>
      <c r="BR38" s="2">
        <f t="shared" si="309"/>
        <v>8</v>
      </c>
      <c r="BS38" s="2">
        <f t="shared" si="310"/>
        <v>6</v>
      </c>
      <c r="BT38" s="2">
        <f t="shared" si="311"/>
        <v>4</v>
      </c>
      <c r="BU38" s="2">
        <f t="shared" si="312"/>
        <v>4.5</v>
      </c>
      <c r="BV38" s="2" t="e">
        <f t="shared" si="313"/>
        <v>#VALUE!</v>
      </c>
      <c r="BW38" s="2">
        <f t="shared" si="314"/>
        <v>7.5</v>
      </c>
      <c r="BX38" s="2">
        <f t="shared" si="315"/>
        <v>6</v>
      </c>
      <c r="BY38" s="2" t="e">
        <f t="shared" si="316"/>
        <v>#VALUE!</v>
      </c>
      <c r="BZ38" s="2" t="b">
        <v>1</v>
      </c>
      <c r="CA38" s="2" t="b">
        <v>1</v>
      </c>
      <c r="CB38" s="2" t="b">
        <v>1</v>
      </c>
      <c r="CC38" s="2" t="b">
        <v>1</v>
      </c>
      <c r="CD38" s="2" t="b">
        <v>0</v>
      </c>
      <c r="CE38" s="2" t="b">
        <v>1</v>
      </c>
      <c r="CF38" s="2" t="b">
        <v>1</v>
      </c>
      <c r="CG38" s="2" t="b">
        <v>0</v>
      </c>
      <c r="CH38" s="2">
        <v>2</v>
      </c>
      <c r="CI38" s="2">
        <v>2</v>
      </c>
      <c r="CJ38" s="2">
        <v>1</v>
      </c>
      <c r="CK38" s="2">
        <v>1.5</v>
      </c>
      <c r="CL38" s="2">
        <v>1</v>
      </c>
      <c r="CM38" s="2">
        <v>1.5</v>
      </c>
      <c r="CN38" s="2">
        <v>1.5</v>
      </c>
      <c r="CO38" s="2">
        <v>1</v>
      </c>
      <c r="CP38" s="2">
        <v>4</v>
      </c>
      <c r="CQ38" s="2">
        <v>3</v>
      </c>
      <c r="CR38" s="2">
        <v>5</v>
      </c>
      <c r="CS38" s="2">
        <v>4</v>
      </c>
      <c r="CT38" s="2" t="s">
        <v>1978</v>
      </c>
      <c r="CU38" s="2">
        <v>4</v>
      </c>
      <c r="CV38" s="2">
        <v>4</v>
      </c>
      <c r="CW38" s="2" t="s">
        <v>1978</v>
      </c>
      <c r="CX38" s="2">
        <f t="shared" si="333"/>
        <v>8</v>
      </c>
      <c r="CY38" s="2">
        <f t="shared" si="334"/>
        <v>6</v>
      </c>
      <c r="CZ38" s="2">
        <f t="shared" si="335"/>
        <v>5</v>
      </c>
      <c r="DA38" s="2">
        <f t="shared" si="336"/>
        <v>6</v>
      </c>
      <c r="DB38" s="2" t="e">
        <f t="shared" si="337"/>
        <v>#VALUE!</v>
      </c>
      <c r="DC38" s="2">
        <f t="shared" si="338"/>
        <v>6</v>
      </c>
      <c r="DD38" s="2">
        <f t="shared" si="339"/>
        <v>6</v>
      </c>
      <c r="DE38" s="2" t="e">
        <f t="shared" si="340"/>
        <v>#VALUE!</v>
      </c>
      <c r="DF38" s="2" t="b">
        <v>1</v>
      </c>
      <c r="DG38" s="2" t="b">
        <v>1</v>
      </c>
      <c r="DH38" s="2" t="b">
        <v>1</v>
      </c>
      <c r="DI38" s="2" t="b">
        <v>1</v>
      </c>
      <c r="DJ38" s="2" t="b">
        <v>0</v>
      </c>
      <c r="DK38" s="2" t="b">
        <v>1</v>
      </c>
      <c r="DL38" s="2" t="b">
        <v>1</v>
      </c>
      <c r="DM38" s="2" t="b">
        <v>0</v>
      </c>
      <c r="DN38" s="2" t="s">
        <v>1978</v>
      </c>
      <c r="DO38" s="2" t="s">
        <v>1978</v>
      </c>
      <c r="DP38" s="2" t="s">
        <v>1978</v>
      </c>
      <c r="DQ38" s="2" t="s">
        <v>1978</v>
      </c>
      <c r="DR38" s="2" t="s">
        <v>1978</v>
      </c>
      <c r="DS38" s="2" t="s">
        <v>1978</v>
      </c>
      <c r="DT38" s="2" t="s">
        <v>1978</v>
      </c>
      <c r="DU38" s="2" t="s">
        <v>1978</v>
      </c>
      <c r="DV38" s="2" t="s">
        <v>1978</v>
      </c>
      <c r="DW38" s="2" t="s">
        <v>1978</v>
      </c>
      <c r="DX38" s="2" t="s">
        <v>1978</v>
      </c>
      <c r="DY38" s="2" t="s">
        <v>1978</v>
      </c>
      <c r="DZ38" s="2" t="s">
        <v>1978</v>
      </c>
      <c r="EA38" s="2" t="s">
        <v>1978</v>
      </c>
      <c r="EB38" s="2" t="s">
        <v>1978</v>
      </c>
      <c r="EC38" s="2" t="s">
        <v>1978</v>
      </c>
      <c r="ED38" s="2" t="s">
        <v>1978</v>
      </c>
      <c r="EE38" s="2" t="s">
        <v>1978</v>
      </c>
      <c r="EF38" s="2" t="s">
        <v>1978</v>
      </c>
      <c r="EG38" s="2" t="s">
        <v>1978</v>
      </c>
      <c r="EH38" s="2" t="s">
        <v>1978</v>
      </c>
      <c r="EI38" s="2" t="s">
        <v>1978</v>
      </c>
      <c r="EJ38" s="2" t="s">
        <v>1978</v>
      </c>
      <c r="EK38" s="2" t="s">
        <v>1978</v>
      </c>
      <c r="EL38" s="2" t="s">
        <v>1978</v>
      </c>
      <c r="EM38" s="2" t="s">
        <v>1978</v>
      </c>
      <c r="EN38" s="2" t="s">
        <v>1978</v>
      </c>
      <c r="EO38" s="2" t="s">
        <v>1978</v>
      </c>
      <c r="EP38" s="2" t="s">
        <v>1978</v>
      </c>
      <c r="EQ38" s="2" t="s">
        <v>1978</v>
      </c>
      <c r="ER38" s="2" t="s">
        <v>1978</v>
      </c>
      <c r="ES38" s="2" t="s">
        <v>1978</v>
      </c>
    </row>
    <row r="39" spans="1:149" x14ac:dyDescent="0.3">
      <c r="A39" s="2" t="s">
        <v>126</v>
      </c>
      <c r="B39" s="2" t="s">
        <v>2148</v>
      </c>
      <c r="C39" s="2" t="s">
        <v>1975</v>
      </c>
      <c r="D39" s="2" t="s">
        <v>129</v>
      </c>
      <c r="E39" s="11" t="s">
        <v>2153</v>
      </c>
      <c r="F39" s="2" t="s">
        <v>1978</v>
      </c>
      <c r="G39" s="2">
        <f t="shared" si="349"/>
        <v>32.5</v>
      </c>
      <c r="H39" s="2">
        <f t="shared" si="350"/>
        <v>31</v>
      </c>
      <c r="I39" s="2" t="s">
        <v>2682</v>
      </c>
      <c r="J39" s="2" t="s">
        <v>1970</v>
      </c>
      <c r="K39" s="2" t="s">
        <v>2731</v>
      </c>
      <c r="L39" s="2" t="s">
        <v>2733</v>
      </c>
      <c r="M39" s="2" t="s">
        <v>1978</v>
      </c>
      <c r="N39" s="344" t="s">
        <v>1978</v>
      </c>
      <c r="O39" s="344" t="s">
        <v>1978</v>
      </c>
      <c r="P39" s="344" t="s">
        <v>1978</v>
      </c>
      <c r="Q39" s="344" t="s">
        <v>1978</v>
      </c>
      <c r="R39" s="344" t="s">
        <v>1978</v>
      </c>
      <c r="S39" s="344" t="s">
        <v>1978</v>
      </c>
      <c r="T39" s="2" t="s">
        <v>127</v>
      </c>
      <c r="U39" s="2" t="s">
        <v>2150</v>
      </c>
      <c r="X39" s="344">
        <f>'A123'!J47</f>
        <v>25</v>
      </c>
      <c r="Y39" s="344">
        <f>'A123'!K47</f>
        <v>26</v>
      </c>
      <c r="Z39" s="344">
        <f>'A123'!L47</f>
        <v>8.15</v>
      </c>
      <c r="AA39" s="2" t="s">
        <v>2150</v>
      </c>
      <c r="AB39" s="2" t="str">
        <f>入學要求!X48</f>
        <v>/</v>
      </c>
      <c r="AC39" s="2" t="str">
        <f>入學要求!Y48</f>
        <v>/</v>
      </c>
      <c r="AD39" s="2" t="s">
        <v>2153</v>
      </c>
      <c r="AE39" s="2" t="s">
        <v>2682</v>
      </c>
      <c r="AF39" s="2" t="s">
        <v>1970</v>
      </c>
      <c r="AG39" s="2" t="s">
        <v>2731</v>
      </c>
      <c r="AH39" s="2" t="s">
        <v>2733</v>
      </c>
      <c r="AI39" s="2" t="s">
        <v>1970</v>
      </c>
      <c r="AJ39" s="2" t="s">
        <v>2151</v>
      </c>
      <c r="AK39" s="2" t="s">
        <v>2686</v>
      </c>
      <c r="AL39" s="2" t="s">
        <v>1970</v>
      </c>
      <c r="AM39" s="2" t="s">
        <v>1970</v>
      </c>
      <c r="AN39" s="2" t="s">
        <v>1978</v>
      </c>
      <c r="AO39" s="2" t="s">
        <v>1978</v>
      </c>
      <c r="AP39" s="251" t="s">
        <v>1978</v>
      </c>
      <c r="AQ39" s="344" t="s">
        <v>1970</v>
      </c>
      <c r="AR39" s="2" t="s">
        <v>2150</v>
      </c>
      <c r="AS39" s="2" t="s">
        <v>3603</v>
      </c>
      <c r="AT39" s="2" t="s">
        <v>3614</v>
      </c>
      <c r="AU39" s="2" t="s">
        <v>1970</v>
      </c>
      <c r="AV39" s="344" t="s">
        <v>1987</v>
      </c>
      <c r="BB39" s="2">
        <v>1</v>
      </c>
      <c r="BC39" s="2">
        <v>2.5</v>
      </c>
      <c r="BD39" s="2">
        <v>1</v>
      </c>
      <c r="BE39" s="2">
        <v>1.5</v>
      </c>
      <c r="BF39" s="2">
        <v>1</v>
      </c>
      <c r="BG39" s="2">
        <v>1</v>
      </c>
      <c r="BH39" s="2">
        <v>1</v>
      </c>
      <c r="BI39" s="2">
        <v>1</v>
      </c>
      <c r="BJ39" s="2">
        <v>4</v>
      </c>
      <c r="BK39" s="2">
        <v>4</v>
      </c>
      <c r="BL39" s="2">
        <v>5</v>
      </c>
      <c r="BM39" s="2">
        <v>4</v>
      </c>
      <c r="BN39" s="2" t="s">
        <v>1978</v>
      </c>
      <c r="BO39" s="2">
        <v>3</v>
      </c>
      <c r="BP39" s="2">
        <v>3</v>
      </c>
      <c r="BQ39" s="2" t="s">
        <v>1978</v>
      </c>
      <c r="BR39" s="2">
        <f t="shared" si="309"/>
        <v>4</v>
      </c>
      <c r="BS39" s="2">
        <f t="shared" si="310"/>
        <v>10</v>
      </c>
      <c r="BT39" s="2">
        <f t="shared" si="311"/>
        <v>5</v>
      </c>
      <c r="BU39" s="2">
        <f t="shared" si="312"/>
        <v>6</v>
      </c>
      <c r="BV39" s="2" t="e">
        <f t="shared" si="313"/>
        <v>#VALUE!</v>
      </c>
      <c r="BW39" s="2">
        <f t="shared" si="314"/>
        <v>3</v>
      </c>
      <c r="BX39" s="2">
        <f t="shared" si="315"/>
        <v>3</v>
      </c>
      <c r="BY39" s="2" t="e">
        <f t="shared" si="316"/>
        <v>#VALUE!</v>
      </c>
      <c r="BZ39" s="2" t="b">
        <v>1</v>
      </c>
      <c r="CA39" s="2" t="b">
        <v>1</v>
      </c>
      <c r="CB39" s="2" t="b">
        <v>1</v>
      </c>
      <c r="CC39" s="2" t="b">
        <v>1</v>
      </c>
      <c r="CD39" s="2" t="b">
        <v>0</v>
      </c>
      <c r="CE39" s="2" t="b">
        <v>1</v>
      </c>
      <c r="CF39" s="2" t="b">
        <v>1</v>
      </c>
      <c r="CG39" s="2" t="b">
        <v>0</v>
      </c>
      <c r="CH39" s="2">
        <v>1</v>
      </c>
      <c r="CI39" s="2">
        <v>2.5</v>
      </c>
      <c r="CJ39" s="2">
        <v>1</v>
      </c>
      <c r="CK39" s="2">
        <v>1.5</v>
      </c>
      <c r="CL39" s="2">
        <v>1</v>
      </c>
      <c r="CM39" s="2">
        <v>1</v>
      </c>
      <c r="CN39" s="2">
        <v>1</v>
      </c>
      <c r="CO39" s="2">
        <v>1</v>
      </c>
      <c r="CP39" s="2">
        <v>4</v>
      </c>
      <c r="CQ39" s="2">
        <v>5</v>
      </c>
      <c r="CR39" s="2">
        <v>2</v>
      </c>
      <c r="CS39" s="2">
        <v>4</v>
      </c>
      <c r="CT39" s="2" t="s">
        <v>1978</v>
      </c>
      <c r="CU39" s="2">
        <v>4</v>
      </c>
      <c r="CV39" s="2">
        <v>4</v>
      </c>
      <c r="CW39" s="2" t="s">
        <v>1978</v>
      </c>
      <c r="CX39" s="2">
        <f t="shared" si="333"/>
        <v>4</v>
      </c>
      <c r="CY39" s="2">
        <f t="shared" si="334"/>
        <v>12.5</v>
      </c>
      <c r="CZ39" s="2">
        <f t="shared" si="335"/>
        <v>2</v>
      </c>
      <c r="DA39" s="2">
        <f t="shared" si="336"/>
        <v>6</v>
      </c>
      <c r="DB39" s="2" t="e">
        <f t="shared" si="337"/>
        <v>#VALUE!</v>
      </c>
      <c r="DC39" s="2">
        <f t="shared" si="338"/>
        <v>4</v>
      </c>
      <c r="DD39" s="2">
        <f t="shared" si="339"/>
        <v>4</v>
      </c>
      <c r="DE39" s="2" t="e">
        <f t="shared" si="340"/>
        <v>#VALUE!</v>
      </c>
      <c r="DF39" s="2" t="b">
        <v>1</v>
      </c>
      <c r="DG39" s="2" t="b">
        <v>1</v>
      </c>
      <c r="DH39" s="2" t="b">
        <v>1</v>
      </c>
      <c r="DI39" s="2" t="b">
        <v>1</v>
      </c>
      <c r="DJ39" s="2" t="b">
        <v>0</v>
      </c>
      <c r="DK39" s="2" t="b">
        <v>1</v>
      </c>
      <c r="DL39" s="2" t="b">
        <v>1</v>
      </c>
      <c r="DM39" s="2" t="b">
        <v>0</v>
      </c>
      <c r="DN39" s="2" t="s">
        <v>1978</v>
      </c>
      <c r="DO39" s="2" t="s">
        <v>1978</v>
      </c>
      <c r="DP39" s="2" t="s">
        <v>1978</v>
      </c>
      <c r="DQ39" s="2" t="s">
        <v>1978</v>
      </c>
      <c r="DR39" s="2" t="s">
        <v>1978</v>
      </c>
      <c r="DS39" s="2" t="s">
        <v>1978</v>
      </c>
      <c r="DT39" s="2" t="s">
        <v>1978</v>
      </c>
      <c r="DU39" s="2" t="s">
        <v>1978</v>
      </c>
      <c r="DV39" s="2" t="s">
        <v>1978</v>
      </c>
      <c r="DW39" s="2" t="s">
        <v>1978</v>
      </c>
      <c r="DX39" s="2" t="s">
        <v>1978</v>
      </c>
      <c r="DY39" s="2" t="s">
        <v>1978</v>
      </c>
      <c r="DZ39" s="2" t="s">
        <v>1978</v>
      </c>
      <c r="EA39" s="2" t="s">
        <v>1978</v>
      </c>
      <c r="EB39" s="2" t="s">
        <v>1978</v>
      </c>
      <c r="EC39" s="2" t="s">
        <v>1978</v>
      </c>
      <c r="ED39" s="2" t="s">
        <v>1978</v>
      </c>
      <c r="EE39" s="2" t="s">
        <v>1978</v>
      </c>
      <c r="EF39" s="2" t="s">
        <v>1978</v>
      </c>
      <c r="EG39" s="2" t="s">
        <v>1978</v>
      </c>
      <c r="EH39" s="2" t="s">
        <v>1978</v>
      </c>
      <c r="EI39" s="2" t="s">
        <v>1978</v>
      </c>
      <c r="EJ39" s="2" t="s">
        <v>1978</v>
      </c>
      <c r="EK39" s="2" t="s">
        <v>1978</v>
      </c>
      <c r="EL39" s="2" t="s">
        <v>1978</v>
      </c>
      <c r="EM39" s="2" t="s">
        <v>1978</v>
      </c>
      <c r="EN39" s="2" t="s">
        <v>1978</v>
      </c>
      <c r="EO39" s="2" t="s">
        <v>1978</v>
      </c>
      <c r="EP39" s="2" t="s">
        <v>1978</v>
      </c>
      <c r="EQ39" s="2" t="s">
        <v>1978</v>
      </c>
      <c r="ER39" s="2" t="s">
        <v>1978</v>
      </c>
      <c r="ES39" s="2" t="s">
        <v>1978</v>
      </c>
    </row>
    <row r="40" spans="1:149" x14ac:dyDescent="0.3">
      <c r="A40" s="2" t="s">
        <v>135</v>
      </c>
      <c r="B40" s="2" t="s">
        <v>2148</v>
      </c>
      <c r="C40" s="2" t="s">
        <v>1975</v>
      </c>
      <c r="D40" s="2" t="s">
        <v>138</v>
      </c>
      <c r="E40" s="11" t="s">
        <v>2171</v>
      </c>
      <c r="F40" s="2" t="s">
        <v>1978</v>
      </c>
      <c r="G40" s="2">
        <f t="shared" si="349"/>
        <v>22</v>
      </c>
      <c r="H40" s="2">
        <f t="shared" si="350"/>
        <v>21.75</v>
      </c>
      <c r="I40" s="2" t="s">
        <v>2182</v>
      </c>
      <c r="J40" s="2" t="s">
        <v>1970</v>
      </c>
      <c r="K40" s="2" t="s">
        <v>2736</v>
      </c>
      <c r="L40" s="2" t="s">
        <v>1970</v>
      </c>
      <c r="M40" s="2" t="s">
        <v>1978</v>
      </c>
      <c r="N40" s="344" t="s">
        <v>1978</v>
      </c>
      <c r="O40" s="344" t="s">
        <v>1978</v>
      </c>
      <c r="P40" s="344" t="s">
        <v>1978</v>
      </c>
      <c r="Q40" s="344" t="s">
        <v>1978</v>
      </c>
      <c r="R40" s="344" t="s">
        <v>1978</v>
      </c>
      <c r="S40" s="344" t="s">
        <v>1978</v>
      </c>
      <c r="T40" s="2" t="s">
        <v>136</v>
      </c>
      <c r="U40" s="2" t="s">
        <v>2150</v>
      </c>
      <c r="X40" s="344">
        <f>'A123'!J48</f>
        <v>45</v>
      </c>
      <c r="Y40" s="344">
        <f>'A123'!K48</f>
        <v>54</v>
      </c>
      <c r="Z40" s="344">
        <f>'A123'!L48</f>
        <v>12.145833333333334</v>
      </c>
      <c r="AA40" s="2" t="s">
        <v>2150</v>
      </c>
      <c r="AB40" s="2" t="str">
        <f>入學要求!X49</f>
        <v>/</v>
      </c>
      <c r="AC40" s="2" t="str">
        <f>入學要求!Y49</f>
        <v>/</v>
      </c>
      <c r="AD40" s="2" t="s">
        <v>2171</v>
      </c>
      <c r="AE40" s="2" t="s">
        <v>2182</v>
      </c>
      <c r="AF40" s="2" t="s">
        <v>1970</v>
      </c>
      <c r="AG40" s="2" t="s">
        <v>2736</v>
      </c>
      <c r="AH40" s="2" t="s">
        <v>1970</v>
      </c>
      <c r="AI40" s="2" t="s">
        <v>1970</v>
      </c>
      <c r="AJ40" s="2" t="s">
        <v>2151</v>
      </c>
      <c r="AK40" s="2" t="s">
        <v>2737</v>
      </c>
      <c r="AL40" s="2" t="s">
        <v>1970</v>
      </c>
      <c r="AM40" s="2" t="s">
        <v>1970</v>
      </c>
      <c r="AN40" s="2" t="s">
        <v>1978</v>
      </c>
      <c r="AO40" s="2" t="s">
        <v>1978</v>
      </c>
      <c r="AP40" s="251" t="s">
        <v>1978</v>
      </c>
      <c r="AQ40" s="344" t="s">
        <v>1970</v>
      </c>
      <c r="AR40" s="2" t="s">
        <v>2150</v>
      </c>
      <c r="AS40" s="2" t="s">
        <v>3608</v>
      </c>
      <c r="AV40" s="344" t="s">
        <v>1987</v>
      </c>
      <c r="BB40" s="2">
        <v>1.25</v>
      </c>
      <c r="BC40" s="2">
        <v>1.25</v>
      </c>
      <c r="BD40" s="2">
        <v>1</v>
      </c>
      <c r="BE40" s="2">
        <v>1</v>
      </c>
      <c r="BF40" s="2">
        <v>1</v>
      </c>
      <c r="BG40" s="2">
        <v>1</v>
      </c>
      <c r="BH40" s="2">
        <v>1</v>
      </c>
      <c r="BI40" s="2">
        <v>1</v>
      </c>
      <c r="BJ40" s="2">
        <v>4</v>
      </c>
      <c r="BK40" s="2">
        <v>3</v>
      </c>
      <c r="BL40" s="2">
        <v>3</v>
      </c>
      <c r="BM40" s="2">
        <v>6</v>
      </c>
      <c r="BN40" s="2" t="s">
        <v>1978</v>
      </c>
      <c r="BO40" s="2">
        <v>4</v>
      </c>
      <c r="BP40" s="2">
        <v>3</v>
      </c>
      <c r="BQ40" s="2" t="s">
        <v>1978</v>
      </c>
      <c r="BR40" s="2">
        <f t="shared" si="309"/>
        <v>5</v>
      </c>
      <c r="BS40" s="2">
        <f t="shared" si="310"/>
        <v>3.75</v>
      </c>
      <c r="BT40" s="2">
        <f t="shared" si="311"/>
        <v>3</v>
      </c>
      <c r="BU40" s="2">
        <f t="shared" si="312"/>
        <v>6</v>
      </c>
      <c r="BV40" s="2" t="e">
        <f t="shared" si="313"/>
        <v>#VALUE!</v>
      </c>
      <c r="BW40" s="2">
        <f t="shared" si="314"/>
        <v>4</v>
      </c>
      <c r="BX40" s="2">
        <f t="shared" si="315"/>
        <v>3</v>
      </c>
      <c r="BY40" s="2" t="e">
        <f t="shared" si="316"/>
        <v>#VALUE!</v>
      </c>
      <c r="BZ40" s="2" t="b">
        <v>1</v>
      </c>
      <c r="CA40" s="2" t="b">
        <v>1</v>
      </c>
      <c r="CB40" s="2" t="b">
        <v>1</v>
      </c>
      <c r="CC40" s="2" t="b">
        <v>1</v>
      </c>
      <c r="CD40" s="2" t="b">
        <v>0</v>
      </c>
      <c r="CE40" s="2" t="b">
        <v>1</v>
      </c>
      <c r="CF40" s="2" t="b">
        <v>0</v>
      </c>
      <c r="CG40" s="2" t="b">
        <v>0</v>
      </c>
      <c r="CH40" s="2">
        <v>1.25</v>
      </c>
      <c r="CI40" s="2">
        <v>1.25</v>
      </c>
      <c r="CJ40" s="2">
        <v>1</v>
      </c>
      <c r="CK40" s="2">
        <v>1</v>
      </c>
      <c r="CL40" s="2">
        <v>1</v>
      </c>
      <c r="CM40" s="2">
        <v>1</v>
      </c>
      <c r="CN40" s="2">
        <v>1</v>
      </c>
      <c r="CO40" s="2">
        <v>1</v>
      </c>
      <c r="CP40" s="2">
        <v>4</v>
      </c>
      <c r="CQ40" s="2">
        <v>4</v>
      </c>
      <c r="CR40" s="2">
        <v>4</v>
      </c>
      <c r="CS40" s="2">
        <v>4</v>
      </c>
      <c r="CT40" s="2" t="s">
        <v>1978</v>
      </c>
      <c r="CU40" s="2">
        <v>4</v>
      </c>
      <c r="CV40" s="2">
        <v>3</v>
      </c>
      <c r="CW40" s="2" t="s">
        <v>1978</v>
      </c>
      <c r="CX40" s="2">
        <f t="shared" si="333"/>
        <v>5</v>
      </c>
      <c r="CY40" s="2">
        <f t="shared" si="334"/>
        <v>5</v>
      </c>
      <c r="CZ40" s="2">
        <f t="shared" si="335"/>
        <v>4</v>
      </c>
      <c r="DA40" s="2">
        <f t="shared" si="336"/>
        <v>4</v>
      </c>
      <c r="DB40" s="2" t="e">
        <f t="shared" si="337"/>
        <v>#VALUE!</v>
      </c>
      <c r="DC40" s="2">
        <f t="shared" si="338"/>
        <v>4</v>
      </c>
      <c r="DD40" s="2">
        <f t="shared" si="339"/>
        <v>3</v>
      </c>
      <c r="DE40" s="2" t="e">
        <f t="shared" si="340"/>
        <v>#VALUE!</v>
      </c>
      <c r="DF40" s="2" t="b">
        <v>1</v>
      </c>
      <c r="DG40" s="2" t="b">
        <v>1</v>
      </c>
      <c r="DH40" s="2" t="b">
        <v>1</v>
      </c>
      <c r="DI40" s="2" t="b">
        <v>1</v>
      </c>
      <c r="DJ40" s="2" t="b">
        <v>0</v>
      </c>
      <c r="DK40" s="2" t="b">
        <v>1</v>
      </c>
      <c r="DL40" s="2" t="b">
        <v>0</v>
      </c>
      <c r="DM40" s="2" t="b">
        <v>0</v>
      </c>
      <c r="DN40" s="2" t="s">
        <v>1978</v>
      </c>
      <c r="DO40" s="2" t="s">
        <v>1978</v>
      </c>
      <c r="DP40" s="2" t="s">
        <v>1978</v>
      </c>
      <c r="DQ40" s="2" t="s">
        <v>1978</v>
      </c>
      <c r="DR40" s="2" t="s">
        <v>1978</v>
      </c>
      <c r="DS40" s="2" t="s">
        <v>1978</v>
      </c>
      <c r="DT40" s="2" t="s">
        <v>1978</v>
      </c>
      <c r="DU40" s="2" t="s">
        <v>1978</v>
      </c>
      <c r="DV40" s="2" t="s">
        <v>1978</v>
      </c>
      <c r="DW40" s="2" t="s">
        <v>1978</v>
      </c>
      <c r="DX40" s="2" t="s">
        <v>1978</v>
      </c>
      <c r="DY40" s="2" t="s">
        <v>1978</v>
      </c>
      <c r="DZ40" s="2" t="s">
        <v>1978</v>
      </c>
      <c r="EA40" s="2" t="s">
        <v>1978</v>
      </c>
      <c r="EB40" s="2" t="s">
        <v>1978</v>
      </c>
      <c r="EC40" s="2" t="s">
        <v>1978</v>
      </c>
      <c r="ED40" s="2" t="s">
        <v>1978</v>
      </c>
      <c r="EE40" s="2" t="s">
        <v>1978</v>
      </c>
      <c r="EF40" s="2" t="s">
        <v>1978</v>
      </c>
      <c r="EG40" s="2" t="s">
        <v>1978</v>
      </c>
      <c r="EH40" s="2" t="s">
        <v>1978</v>
      </c>
      <c r="EI40" s="2" t="s">
        <v>1978</v>
      </c>
      <c r="EJ40" s="2" t="s">
        <v>1978</v>
      </c>
      <c r="EK40" s="2" t="s">
        <v>1978</v>
      </c>
      <c r="EL40" s="2" t="s">
        <v>1978</v>
      </c>
      <c r="EM40" s="2" t="s">
        <v>1978</v>
      </c>
      <c r="EN40" s="2" t="s">
        <v>1978</v>
      </c>
      <c r="EO40" s="2" t="s">
        <v>1978</v>
      </c>
      <c r="EP40" s="2" t="s">
        <v>1978</v>
      </c>
      <c r="EQ40" s="2" t="s">
        <v>1978</v>
      </c>
      <c r="ER40" s="2" t="s">
        <v>1978</v>
      </c>
      <c r="ES40" s="2" t="s">
        <v>1978</v>
      </c>
    </row>
    <row r="41" spans="1:149" x14ac:dyDescent="0.3">
      <c r="A41" s="2" t="s">
        <v>140</v>
      </c>
      <c r="B41" s="2" t="s">
        <v>2148</v>
      </c>
      <c r="C41" s="2" t="s">
        <v>1975</v>
      </c>
      <c r="D41" s="2" t="s">
        <v>143</v>
      </c>
      <c r="E41" s="59" t="s">
        <v>2354</v>
      </c>
      <c r="F41" s="2" t="s">
        <v>1978</v>
      </c>
      <c r="G41" s="2">
        <f t="shared" si="349"/>
        <v>24.5</v>
      </c>
      <c r="H41" s="2">
        <f t="shared" si="350"/>
        <v>23.5</v>
      </c>
      <c r="I41" s="2" t="s">
        <v>1970</v>
      </c>
      <c r="J41" s="2" t="s">
        <v>1978</v>
      </c>
      <c r="K41" s="2" t="s">
        <v>2740</v>
      </c>
      <c r="L41" s="2" t="s">
        <v>2867</v>
      </c>
      <c r="M41" s="2" t="s">
        <v>1978</v>
      </c>
      <c r="N41" s="344" t="s">
        <v>1978</v>
      </c>
      <c r="O41" s="344" t="s">
        <v>1978</v>
      </c>
      <c r="P41" s="344" t="s">
        <v>1978</v>
      </c>
      <c r="Q41" s="344" t="s">
        <v>1978</v>
      </c>
      <c r="R41" s="344" t="s">
        <v>1978</v>
      </c>
      <c r="S41" s="344" t="s">
        <v>1978</v>
      </c>
      <c r="T41" s="2" t="s">
        <v>141</v>
      </c>
      <c r="U41" s="2" t="s">
        <v>2150</v>
      </c>
      <c r="X41" s="344">
        <f>'A123'!J49</f>
        <v>64</v>
      </c>
      <c r="Y41" s="344">
        <f>'A123'!K49</f>
        <v>54</v>
      </c>
      <c r="Z41" s="344">
        <f>'A123'!L49</f>
        <v>3.4878048780487805</v>
      </c>
      <c r="AA41" s="2" t="s">
        <v>2150</v>
      </c>
      <c r="AB41" s="2" t="str">
        <f>入學要求!X50</f>
        <v>/</v>
      </c>
      <c r="AC41" s="2" t="str">
        <f>入學要求!Y50</f>
        <v>/</v>
      </c>
      <c r="AD41" s="2" t="s">
        <v>1967</v>
      </c>
      <c r="AE41" s="2" t="s">
        <v>1978</v>
      </c>
      <c r="AF41" s="2" t="s">
        <v>1978</v>
      </c>
      <c r="AG41" s="2" t="s">
        <v>2685</v>
      </c>
      <c r="AH41" s="2" t="s">
        <v>1970</v>
      </c>
      <c r="AI41" s="2" t="s">
        <v>1970</v>
      </c>
      <c r="AJ41" s="2" t="s">
        <v>2151</v>
      </c>
      <c r="AK41" s="2" t="s">
        <v>1970</v>
      </c>
      <c r="AL41" s="2" t="s">
        <v>1970</v>
      </c>
      <c r="AM41" s="2" t="s">
        <v>1970</v>
      </c>
      <c r="AN41" s="2" t="s">
        <v>1978</v>
      </c>
      <c r="AO41" s="2" t="s">
        <v>1978</v>
      </c>
      <c r="AP41" s="251" t="s">
        <v>1978</v>
      </c>
      <c r="AQ41" s="344" t="s">
        <v>1970</v>
      </c>
      <c r="AR41" s="2" t="s">
        <v>2150</v>
      </c>
      <c r="AS41" s="2" t="s">
        <v>3603</v>
      </c>
      <c r="AT41" s="2" t="s">
        <v>3615</v>
      </c>
      <c r="AV41" s="344" t="s">
        <v>1987</v>
      </c>
      <c r="BB41" s="2">
        <v>1</v>
      </c>
      <c r="BC41" s="2">
        <v>2</v>
      </c>
      <c r="BD41" s="2">
        <v>1</v>
      </c>
      <c r="BE41" s="2">
        <v>1.5</v>
      </c>
      <c r="BF41" s="2">
        <v>1</v>
      </c>
      <c r="BG41" s="2">
        <v>1</v>
      </c>
      <c r="BH41" s="2">
        <v>1</v>
      </c>
      <c r="BI41" s="2">
        <v>1</v>
      </c>
      <c r="BJ41" s="2">
        <v>3</v>
      </c>
      <c r="BK41" s="2">
        <v>3</v>
      </c>
      <c r="BL41" s="2">
        <v>3</v>
      </c>
      <c r="BM41" s="2">
        <v>5</v>
      </c>
      <c r="BN41" s="2" t="s">
        <v>1978</v>
      </c>
      <c r="BO41" s="2">
        <v>4</v>
      </c>
      <c r="BP41" s="2">
        <v>4</v>
      </c>
      <c r="BQ41" s="2" t="s">
        <v>1978</v>
      </c>
      <c r="BR41" s="2">
        <f t="shared" si="309"/>
        <v>3</v>
      </c>
      <c r="BS41" s="2">
        <f t="shared" si="310"/>
        <v>6</v>
      </c>
      <c r="BT41" s="2">
        <f t="shared" si="311"/>
        <v>3</v>
      </c>
      <c r="BU41" s="2">
        <f t="shared" si="312"/>
        <v>7.5</v>
      </c>
      <c r="BV41" s="2" t="e">
        <f t="shared" si="313"/>
        <v>#VALUE!</v>
      </c>
      <c r="BW41" s="2">
        <f t="shared" si="314"/>
        <v>4</v>
      </c>
      <c r="BX41" s="2">
        <f t="shared" si="315"/>
        <v>4</v>
      </c>
      <c r="BY41" s="2" t="e">
        <f t="shared" si="316"/>
        <v>#VALUE!</v>
      </c>
      <c r="BZ41" s="2" t="b">
        <v>1</v>
      </c>
      <c r="CA41" s="2" t="b">
        <v>1</v>
      </c>
      <c r="CB41" s="2" t="b">
        <v>1</v>
      </c>
      <c r="CC41" s="2" t="b">
        <v>1</v>
      </c>
      <c r="CD41" s="2" t="b">
        <v>0</v>
      </c>
      <c r="CE41" s="2" t="b">
        <v>1</v>
      </c>
      <c r="CF41" s="2" t="b">
        <v>0</v>
      </c>
      <c r="CG41" s="2" t="b">
        <v>0</v>
      </c>
      <c r="CH41" s="2">
        <v>1</v>
      </c>
      <c r="CI41" s="2">
        <v>2</v>
      </c>
      <c r="CJ41" s="2">
        <v>1</v>
      </c>
      <c r="CK41" s="2">
        <v>1.5</v>
      </c>
      <c r="CL41" s="2">
        <v>1</v>
      </c>
      <c r="CM41" s="2">
        <v>1</v>
      </c>
      <c r="CN41" s="2">
        <v>1</v>
      </c>
      <c r="CO41" s="2">
        <v>1</v>
      </c>
      <c r="CP41" s="2">
        <v>4</v>
      </c>
      <c r="CQ41" s="2">
        <v>4</v>
      </c>
      <c r="CR41" s="2">
        <v>4</v>
      </c>
      <c r="CS41" s="2">
        <v>3</v>
      </c>
      <c r="CT41" s="2" t="s">
        <v>1978</v>
      </c>
      <c r="CU41" s="2">
        <v>4</v>
      </c>
      <c r="CV41" s="2">
        <v>4</v>
      </c>
      <c r="CW41" s="2">
        <v>3</v>
      </c>
      <c r="CX41" s="2">
        <f t="shared" si="333"/>
        <v>4</v>
      </c>
      <c r="CY41" s="2">
        <f t="shared" si="334"/>
        <v>8</v>
      </c>
      <c r="CZ41" s="2">
        <f t="shared" si="335"/>
        <v>4</v>
      </c>
      <c r="DA41" s="2">
        <f t="shared" si="336"/>
        <v>4.5</v>
      </c>
      <c r="DB41" s="2" t="e">
        <f t="shared" si="337"/>
        <v>#VALUE!</v>
      </c>
      <c r="DC41" s="2">
        <f t="shared" si="338"/>
        <v>4</v>
      </c>
      <c r="DD41" s="2">
        <f t="shared" si="339"/>
        <v>4</v>
      </c>
      <c r="DE41" s="2">
        <f t="shared" si="340"/>
        <v>3</v>
      </c>
      <c r="DF41" s="2" t="b">
        <v>1</v>
      </c>
      <c r="DG41" s="2" t="b">
        <v>1</v>
      </c>
      <c r="DH41" s="2" t="b">
        <v>1</v>
      </c>
      <c r="DI41" s="2" t="b">
        <v>1</v>
      </c>
      <c r="DJ41" s="2" t="b">
        <v>0</v>
      </c>
      <c r="DK41" s="2" t="b">
        <v>1</v>
      </c>
      <c r="DL41" s="2" t="b">
        <v>0</v>
      </c>
      <c r="DM41" s="2" t="b">
        <v>0</v>
      </c>
      <c r="DN41" s="2" t="s">
        <v>1978</v>
      </c>
      <c r="DO41" s="2" t="s">
        <v>1978</v>
      </c>
      <c r="DP41" s="2" t="s">
        <v>1978</v>
      </c>
      <c r="DQ41" s="2" t="s">
        <v>1978</v>
      </c>
      <c r="DR41" s="2" t="s">
        <v>1978</v>
      </c>
      <c r="DS41" s="2" t="s">
        <v>1978</v>
      </c>
      <c r="DT41" s="2" t="s">
        <v>1978</v>
      </c>
      <c r="DU41" s="2" t="s">
        <v>1978</v>
      </c>
      <c r="DV41" s="2" t="s">
        <v>1978</v>
      </c>
      <c r="DW41" s="2" t="s">
        <v>1978</v>
      </c>
      <c r="DX41" s="2" t="s">
        <v>1978</v>
      </c>
      <c r="DY41" s="2" t="s">
        <v>1978</v>
      </c>
      <c r="DZ41" s="2" t="s">
        <v>1978</v>
      </c>
      <c r="EA41" s="2" t="s">
        <v>1978</v>
      </c>
      <c r="EB41" s="2" t="s">
        <v>1978</v>
      </c>
      <c r="EC41" s="2" t="s">
        <v>1978</v>
      </c>
      <c r="ED41" s="2" t="s">
        <v>1978</v>
      </c>
      <c r="EE41" s="2" t="s">
        <v>1978</v>
      </c>
      <c r="EF41" s="2" t="s">
        <v>1978</v>
      </c>
      <c r="EG41" s="2" t="s">
        <v>1978</v>
      </c>
      <c r="EH41" s="2" t="s">
        <v>1978</v>
      </c>
      <c r="EI41" s="2" t="s">
        <v>1978</v>
      </c>
      <c r="EJ41" s="2" t="s">
        <v>1978</v>
      </c>
      <c r="EK41" s="2" t="s">
        <v>1978</v>
      </c>
      <c r="EL41" s="2" t="s">
        <v>1978</v>
      </c>
      <c r="EM41" s="2" t="s">
        <v>1978</v>
      </c>
      <c r="EN41" s="2" t="s">
        <v>1978</v>
      </c>
      <c r="EO41" s="2" t="s">
        <v>1978</v>
      </c>
      <c r="EP41" s="2" t="s">
        <v>1978</v>
      </c>
      <c r="EQ41" s="2" t="s">
        <v>1978</v>
      </c>
      <c r="ER41" s="2" t="s">
        <v>1978</v>
      </c>
      <c r="ES41" s="2" t="s">
        <v>1978</v>
      </c>
    </row>
    <row r="42" spans="1:149" x14ac:dyDescent="0.3">
      <c r="A42" s="2" t="s">
        <v>1974</v>
      </c>
      <c r="B42" s="2" t="s">
        <v>2148</v>
      </c>
      <c r="C42" s="2" t="s">
        <v>1975</v>
      </c>
      <c r="D42" s="2" t="s">
        <v>148</v>
      </c>
      <c r="E42" s="2" t="s">
        <v>1967</v>
      </c>
      <c r="F42" s="2" t="s">
        <v>1978</v>
      </c>
      <c r="G42" s="2">
        <f t="shared" si="349"/>
        <v>30</v>
      </c>
      <c r="H42" s="2">
        <f t="shared" si="350"/>
        <v>29.5</v>
      </c>
      <c r="I42" s="2" t="s">
        <v>1970</v>
      </c>
      <c r="J42" s="2" t="s">
        <v>1978</v>
      </c>
      <c r="K42" s="2" t="s">
        <v>2740</v>
      </c>
      <c r="L42" s="2" t="s">
        <v>2742</v>
      </c>
      <c r="M42" s="2" t="s">
        <v>1978</v>
      </c>
      <c r="N42" s="344" t="s">
        <v>1978</v>
      </c>
      <c r="O42" s="344" t="s">
        <v>1978</v>
      </c>
      <c r="P42" s="344" t="s">
        <v>1978</v>
      </c>
      <c r="Q42" s="344" t="s">
        <v>1978</v>
      </c>
      <c r="R42" s="344" t="s">
        <v>1978</v>
      </c>
      <c r="S42" s="344" t="s">
        <v>1978</v>
      </c>
      <c r="T42" s="2" t="s">
        <v>146</v>
      </c>
      <c r="U42" s="2" t="s">
        <v>2150</v>
      </c>
      <c r="X42" s="344">
        <f>'A123'!J50</f>
        <v>25</v>
      </c>
      <c r="Y42" s="344" t="str">
        <f>'A123'!K50</f>
        <v>/</v>
      </c>
      <c r="Z42" s="344" t="str">
        <f>'A123'!L50</f>
        <v>新科目</v>
      </c>
      <c r="AA42" s="2" t="s">
        <v>2150</v>
      </c>
      <c r="AB42" s="2" t="str">
        <f>入學要求!X51</f>
        <v>/</v>
      </c>
      <c r="AC42" s="2" t="str">
        <f>入學要求!Y51</f>
        <v>/</v>
      </c>
      <c r="AD42" s="2" t="s">
        <v>1967</v>
      </c>
      <c r="AE42" s="2" t="s">
        <v>1978</v>
      </c>
      <c r="AF42" s="2" t="s">
        <v>1978</v>
      </c>
      <c r="AG42" s="2" t="s">
        <v>2740</v>
      </c>
      <c r="AH42" s="2" t="s">
        <v>2742</v>
      </c>
      <c r="AI42" s="2" t="s">
        <v>1970</v>
      </c>
      <c r="AJ42" s="2" t="s">
        <v>2151</v>
      </c>
      <c r="AK42" s="2" t="s">
        <v>2743</v>
      </c>
      <c r="AL42" s="2" t="s">
        <v>2152</v>
      </c>
      <c r="AM42" s="2" t="s">
        <v>2859</v>
      </c>
      <c r="AN42" s="2" t="s">
        <v>1978</v>
      </c>
      <c r="AO42" s="2" t="s">
        <v>1978</v>
      </c>
      <c r="AP42" s="251" t="s">
        <v>1978</v>
      </c>
      <c r="AQ42" s="344" t="s">
        <v>1970</v>
      </c>
      <c r="AR42" s="2" t="s">
        <v>2150</v>
      </c>
      <c r="AS42" s="344" t="s">
        <v>2653</v>
      </c>
      <c r="AT42" s="2" t="s">
        <v>1970</v>
      </c>
      <c r="AU42" s="2" t="s">
        <v>1970</v>
      </c>
      <c r="AV42" s="344" t="s">
        <v>1987</v>
      </c>
      <c r="BB42" s="2">
        <v>1.5</v>
      </c>
      <c r="BC42" s="2">
        <v>2</v>
      </c>
      <c r="BD42" s="2">
        <v>1</v>
      </c>
      <c r="BE42" s="2">
        <v>1</v>
      </c>
      <c r="BF42" s="2">
        <v>1</v>
      </c>
      <c r="BG42" s="2">
        <v>1</v>
      </c>
      <c r="BH42" s="2">
        <v>1</v>
      </c>
      <c r="BI42" s="2">
        <v>1</v>
      </c>
      <c r="BJ42" s="2">
        <v>5</v>
      </c>
      <c r="BK42" s="2">
        <v>3</v>
      </c>
      <c r="BL42" s="2">
        <v>5</v>
      </c>
      <c r="BM42" s="2">
        <v>3</v>
      </c>
      <c r="BN42" s="2" t="s">
        <v>1978</v>
      </c>
      <c r="BO42" s="2">
        <v>4</v>
      </c>
      <c r="BP42" s="2">
        <v>4</v>
      </c>
      <c r="BQ42" s="2" t="s">
        <v>1978</v>
      </c>
      <c r="BR42" s="2">
        <f t="shared" ref="BR42:BR44" si="351">BB42*BJ42</f>
        <v>7.5</v>
      </c>
      <c r="BS42" s="2">
        <f t="shared" ref="BS42:BS44" si="352">BC42*BK42</f>
        <v>6</v>
      </c>
      <c r="BT42" s="2">
        <f t="shared" ref="BT42:BT44" si="353">BD42*BL42</f>
        <v>5</v>
      </c>
      <c r="BU42" s="2">
        <f t="shared" ref="BU42:BU44" si="354">BE42*BM42</f>
        <v>3</v>
      </c>
      <c r="BV42" s="2" t="e">
        <f t="shared" ref="BV42:BV44" si="355">BF42*BN42</f>
        <v>#VALUE!</v>
      </c>
      <c r="BW42" s="2">
        <f t="shared" ref="BW42:BW44" si="356">BG42*BO42</f>
        <v>4</v>
      </c>
      <c r="BX42" s="2">
        <f t="shared" ref="BX42:BX44" si="357">BH42*BP42</f>
        <v>4</v>
      </c>
      <c r="BY42" s="2" t="e">
        <f t="shared" ref="BY42:BY44" si="358">BI42*BQ42</f>
        <v>#VALUE!</v>
      </c>
      <c r="BZ42" s="2" t="b">
        <v>1</v>
      </c>
      <c r="CA42" s="2" t="b">
        <v>1</v>
      </c>
      <c r="CB42" s="2" t="b">
        <v>1</v>
      </c>
      <c r="CC42" s="2" t="b">
        <v>1</v>
      </c>
      <c r="CD42" s="2" t="b">
        <v>0</v>
      </c>
      <c r="CE42" s="2" t="b">
        <v>1</v>
      </c>
      <c r="CF42" s="2" t="b">
        <v>1</v>
      </c>
      <c r="CG42" s="2" t="b">
        <v>0</v>
      </c>
      <c r="CH42" s="2">
        <v>1.5</v>
      </c>
      <c r="CI42" s="2">
        <v>2</v>
      </c>
      <c r="CJ42" s="2">
        <v>1</v>
      </c>
      <c r="CK42" s="2">
        <v>1</v>
      </c>
      <c r="CL42" s="2">
        <v>1</v>
      </c>
      <c r="CM42" s="2">
        <v>1</v>
      </c>
      <c r="CN42" s="2">
        <v>1</v>
      </c>
      <c r="CO42" s="2">
        <v>1</v>
      </c>
      <c r="CP42" s="2">
        <v>4</v>
      </c>
      <c r="CQ42" s="2">
        <v>4</v>
      </c>
      <c r="CR42" s="2">
        <v>4</v>
      </c>
      <c r="CS42" s="2">
        <v>4</v>
      </c>
      <c r="CT42" s="2">
        <v>4</v>
      </c>
      <c r="CU42" s="2">
        <v>4</v>
      </c>
      <c r="CV42" s="2">
        <v>4</v>
      </c>
      <c r="CW42" s="2">
        <v>4</v>
      </c>
      <c r="CX42" s="2">
        <f t="shared" si="333"/>
        <v>6</v>
      </c>
      <c r="CY42" s="2">
        <f t="shared" si="334"/>
        <v>8</v>
      </c>
      <c r="CZ42" s="2">
        <f t="shared" si="335"/>
        <v>4</v>
      </c>
      <c r="DA42" s="2">
        <f t="shared" si="336"/>
        <v>4</v>
      </c>
      <c r="DB42" s="2">
        <f t="shared" si="337"/>
        <v>4</v>
      </c>
      <c r="DC42" s="2">
        <f t="shared" si="338"/>
        <v>4</v>
      </c>
      <c r="DD42" s="2">
        <f t="shared" si="339"/>
        <v>4</v>
      </c>
      <c r="DE42" s="2">
        <f t="shared" si="340"/>
        <v>4</v>
      </c>
      <c r="DF42" s="2" t="b">
        <v>1</v>
      </c>
      <c r="DG42" s="2" t="b">
        <v>1</v>
      </c>
      <c r="DH42" s="2" t="b">
        <v>1</v>
      </c>
      <c r="DI42" s="2" t="b">
        <v>1</v>
      </c>
      <c r="DJ42" s="2" t="b">
        <v>0</v>
      </c>
      <c r="DK42" s="2" t="b">
        <v>1</v>
      </c>
      <c r="DL42" s="2" t="b">
        <v>1</v>
      </c>
      <c r="DM42" s="2" t="b">
        <v>0</v>
      </c>
      <c r="DN42" s="2" t="s">
        <v>1978</v>
      </c>
      <c r="DO42" s="2" t="s">
        <v>1978</v>
      </c>
      <c r="DP42" s="2" t="s">
        <v>1978</v>
      </c>
      <c r="DQ42" s="2" t="s">
        <v>1978</v>
      </c>
      <c r="DR42" s="2" t="s">
        <v>1978</v>
      </c>
      <c r="DS42" s="2" t="s">
        <v>1978</v>
      </c>
      <c r="DT42" s="2" t="s">
        <v>1978</v>
      </c>
      <c r="DU42" s="2" t="s">
        <v>1978</v>
      </c>
      <c r="DV42" s="2" t="s">
        <v>1978</v>
      </c>
      <c r="DW42" s="2" t="s">
        <v>1978</v>
      </c>
      <c r="DX42" s="2" t="s">
        <v>1978</v>
      </c>
      <c r="DY42" s="2" t="s">
        <v>1978</v>
      </c>
      <c r="DZ42" s="2" t="s">
        <v>1978</v>
      </c>
      <c r="EA42" s="2" t="s">
        <v>1978</v>
      </c>
      <c r="EB42" s="2" t="s">
        <v>1978</v>
      </c>
      <c r="EC42" s="2" t="s">
        <v>1978</v>
      </c>
      <c r="ED42" s="2" t="s">
        <v>1978</v>
      </c>
      <c r="EE42" s="2" t="s">
        <v>1978</v>
      </c>
      <c r="EF42" s="2" t="s">
        <v>1978</v>
      </c>
      <c r="EG42" s="2" t="s">
        <v>1978</v>
      </c>
      <c r="EH42" s="2" t="s">
        <v>1978</v>
      </c>
      <c r="EI42" s="2" t="s">
        <v>1978</v>
      </c>
      <c r="EJ42" s="2" t="s">
        <v>1978</v>
      </c>
      <c r="EK42" s="2" t="s">
        <v>1978</v>
      </c>
      <c r="EL42" s="2" t="s">
        <v>1978</v>
      </c>
      <c r="EM42" s="2" t="s">
        <v>1978</v>
      </c>
      <c r="EN42" s="2" t="s">
        <v>1978</v>
      </c>
      <c r="EO42" s="2" t="s">
        <v>1978</v>
      </c>
      <c r="EP42" s="2" t="s">
        <v>1978</v>
      </c>
      <c r="EQ42" s="2" t="s">
        <v>1978</v>
      </c>
      <c r="ER42" s="2" t="s">
        <v>1978</v>
      </c>
      <c r="ES42" s="2" t="s">
        <v>1978</v>
      </c>
    </row>
    <row r="43" spans="1:149" x14ac:dyDescent="0.3">
      <c r="A43" s="2" t="s">
        <v>149</v>
      </c>
      <c r="B43" s="2" t="s">
        <v>2148</v>
      </c>
      <c r="C43" s="2" t="s">
        <v>1975</v>
      </c>
      <c r="D43" s="2" t="s">
        <v>152</v>
      </c>
      <c r="E43" s="59" t="s">
        <v>1967</v>
      </c>
      <c r="F43" s="2" t="s">
        <v>1978</v>
      </c>
      <c r="G43" s="2">
        <f t="shared" si="349"/>
        <v>29</v>
      </c>
      <c r="H43" s="2">
        <f t="shared" si="350"/>
        <v>28</v>
      </c>
      <c r="I43" s="2" t="s">
        <v>1970</v>
      </c>
      <c r="J43" s="2" t="s">
        <v>1970</v>
      </c>
      <c r="K43" s="2" t="s">
        <v>2740</v>
      </c>
      <c r="L43" s="2" t="s">
        <v>1970</v>
      </c>
      <c r="M43" s="2" t="s">
        <v>1978</v>
      </c>
      <c r="N43" s="344" t="s">
        <v>1978</v>
      </c>
      <c r="O43" s="344" t="s">
        <v>1978</v>
      </c>
      <c r="P43" s="344" t="s">
        <v>1978</v>
      </c>
      <c r="Q43" s="344" t="s">
        <v>1978</v>
      </c>
      <c r="R43" s="344" t="s">
        <v>1978</v>
      </c>
      <c r="S43" s="344" t="s">
        <v>1978</v>
      </c>
      <c r="T43" s="2" t="s">
        <v>150</v>
      </c>
      <c r="U43" s="2" t="s">
        <v>2150</v>
      </c>
      <c r="X43" s="344">
        <f>'A123'!J51</f>
        <v>10</v>
      </c>
      <c r="Y43" s="344">
        <f>'A123'!K51</f>
        <v>22</v>
      </c>
      <c r="Z43" s="344">
        <f>'A123'!L51</f>
        <v>15.111111111111111</v>
      </c>
      <c r="AA43" s="2" t="s">
        <v>2150</v>
      </c>
      <c r="AB43" s="2" t="str">
        <f>入學要求!X52</f>
        <v>/</v>
      </c>
      <c r="AC43" s="2" t="str">
        <f>入學要求!Y52</f>
        <v>/</v>
      </c>
      <c r="AD43" s="2" t="s">
        <v>2171</v>
      </c>
      <c r="AE43" s="2" t="s">
        <v>2182</v>
      </c>
      <c r="AF43" s="2" t="s">
        <v>1970</v>
      </c>
      <c r="AG43" s="2" t="s">
        <v>2740</v>
      </c>
      <c r="AH43" s="2" t="s">
        <v>1970</v>
      </c>
      <c r="AI43" s="2" t="s">
        <v>1970</v>
      </c>
      <c r="AJ43" s="2" t="s">
        <v>2692</v>
      </c>
      <c r="AK43" s="2" t="s">
        <v>2151</v>
      </c>
      <c r="AL43" s="2" t="s">
        <v>2686</v>
      </c>
      <c r="AM43" s="2" t="s">
        <v>1970</v>
      </c>
      <c r="AN43" s="2" t="s">
        <v>1978</v>
      </c>
      <c r="AO43" s="2" t="s">
        <v>1978</v>
      </c>
      <c r="AP43" s="251" t="s">
        <v>1978</v>
      </c>
      <c r="AQ43" s="344" t="s">
        <v>1970</v>
      </c>
      <c r="AR43" s="2" t="s">
        <v>2150</v>
      </c>
      <c r="AS43" s="2" t="s">
        <v>3608</v>
      </c>
      <c r="AV43" s="344" t="s">
        <v>1987</v>
      </c>
      <c r="BB43" s="2">
        <v>1</v>
      </c>
      <c r="BC43" s="2">
        <v>2</v>
      </c>
      <c r="BD43" s="2">
        <v>1</v>
      </c>
      <c r="BE43" s="2">
        <v>1</v>
      </c>
      <c r="BF43" s="2">
        <v>1</v>
      </c>
      <c r="BG43" s="2">
        <v>1</v>
      </c>
      <c r="BH43" s="2">
        <v>1</v>
      </c>
      <c r="BI43" s="2">
        <v>1</v>
      </c>
      <c r="BJ43" s="2">
        <v>4</v>
      </c>
      <c r="BK43" s="2">
        <v>4</v>
      </c>
      <c r="BL43" s="2">
        <v>4</v>
      </c>
      <c r="BM43" s="2">
        <v>5</v>
      </c>
      <c r="BN43" s="2" t="s">
        <v>1978</v>
      </c>
      <c r="BO43" s="2">
        <v>4</v>
      </c>
      <c r="BP43" s="2">
        <v>3</v>
      </c>
      <c r="BQ43" s="2" t="s">
        <v>1978</v>
      </c>
      <c r="BR43" s="2">
        <f t="shared" si="351"/>
        <v>4</v>
      </c>
      <c r="BS43" s="2">
        <f t="shared" si="352"/>
        <v>8</v>
      </c>
      <c r="BT43" s="2">
        <f t="shared" si="353"/>
        <v>4</v>
      </c>
      <c r="BU43" s="2">
        <f t="shared" si="354"/>
        <v>5</v>
      </c>
      <c r="BV43" s="2" t="e">
        <f t="shared" si="355"/>
        <v>#VALUE!</v>
      </c>
      <c r="BW43" s="2">
        <f t="shared" si="356"/>
        <v>4</v>
      </c>
      <c r="BX43" s="2">
        <f t="shared" si="357"/>
        <v>3</v>
      </c>
      <c r="BY43" s="2" t="e">
        <f t="shared" si="358"/>
        <v>#VALUE!</v>
      </c>
      <c r="BZ43" s="2" t="b">
        <v>1</v>
      </c>
      <c r="CA43" s="2" t="b">
        <v>1</v>
      </c>
      <c r="CB43" s="2" t="b">
        <v>1</v>
      </c>
      <c r="CC43" s="2" t="b">
        <v>1</v>
      </c>
      <c r="CD43" s="2" t="b">
        <v>0</v>
      </c>
      <c r="CE43" s="2" t="b">
        <v>1</v>
      </c>
      <c r="CF43" s="2" t="b">
        <v>1</v>
      </c>
      <c r="CG43" s="2" t="b">
        <v>0</v>
      </c>
      <c r="CH43" s="2">
        <v>1</v>
      </c>
      <c r="CI43" s="2">
        <v>2</v>
      </c>
      <c r="CJ43" s="2">
        <v>1</v>
      </c>
      <c r="CK43" s="2">
        <v>1</v>
      </c>
      <c r="CL43" s="2">
        <v>1</v>
      </c>
      <c r="CM43" s="2">
        <v>1</v>
      </c>
      <c r="CN43" s="2">
        <v>1</v>
      </c>
      <c r="CO43" s="2">
        <v>1</v>
      </c>
      <c r="CP43" s="2">
        <v>4</v>
      </c>
      <c r="CQ43" s="2">
        <v>4</v>
      </c>
      <c r="CR43" s="2">
        <v>5</v>
      </c>
      <c r="CS43" s="2">
        <v>4</v>
      </c>
      <c r="CT43" s="2" t="s">
        <v>1978</v>
      </c>
      <c r="CU43" s="2">
        <v>4</v>
      </c>
      <c r="CV43" s="2">
        <v>4</v>
      </c>
      <c r="CW43" s="2" t="s">
        <v>1978</v>
      </c>
      <c r="CX43" s="2">
        <f t="shared" si="333"/>
        <v>4</v>
      </c>
      <c r="CY43" s="2">
        <f t="shared" si="334"/>
        <v>8</v>
      </c>
      <c r="CZ43" s="2">
        <f t="shared" si="335"/>
        <v>5</v>
      </c>
      <c r="DA43" s="2">
        <f t="shared" si="336"/>
        <v>4</v>
      </c>
      <c r="DB43" s="2" t="e">
        <f t="shared" si="337"/>
        <v>#VALUE!</v>
      </c>
      <c r="DC43" s="2">
        <f t="shared" si="338"/>
        <v>4</v>
      </c>
      <c r="DD43" s="2">
        <f t="shared" si="339"/>
        <v>4</v>
      </c>
      <c r="DE43" s="2" t="e">
        <f t="shared" si="340"/>
        <v>#VALUE!</v>
      </c>
      <c r="DF43" s="2" t="b">
        <v>1</v>
      </c>
      <c r="DG43" s="2" t="b">
        <v>1</v>
      </c>
      <c r="DH43" s="2" t="b">
        <v>1</v>
      </c>
      <c r="DI43" s="2" t="b">
        <v>1</v>
      </c>
      <c r="DJ43" s="2" t="b">
        <v>0</v>
      </c>
      <c r="DK43" s="2" t="b">
        <v>1</v>
      </c>
      <c r="DL43" s="2" t="b">
        <v>1</v>
      </c>
      <c r="DM43" s="2" t="b">
        <v>0</v>
      </c>
      <c r="DN43" s="2" t="s">
        <v>1978</v>
      </c>
      <c r="DO43" s="2" t="s">
        <v>1978</v>
      </c>
      <c r="DP43" s="2" t="s">
        <v>1978</v>
      </c>
      <c r="DQ43" s="2" t="s">
        <v>1978</v>
      </c>
      <c r="DR43" s="2" t="s">
        <v>1978</v>
      </c>
      <c r="DS43" s="2" t="s">
        <v>1978</v>
      </c>
      <c r="DT43" s="2" t="s">
        <v>1978</v>
      </c>
      <c r="DU43" s="2" t="s">
        <v>1978</v>
      </c>
      <c r="DV43" s="2" t="s">
        <v>1978</v>
      </c>
      <c r="DW43" s="2" t="s">
        <v>1978</v>
      </c>
      <c r="DX43" s="2" t="s">
        <v>1978</v>
      </c>
      <c r="DY43" s="2" t="s">
        <v>1978</v>
      </c>
      <c r="DZ43" s="2" t="s">
        <v>1978</v>
      </c>
      <c r="EA43" s="2" t="s">
        <v>1978</v>
      </c>
      <c r="EB43" s="2" t="s">
        <v>1978</v>
      </c>
      <c r="EC43" s="2" t="s">
        <v>1978</v>
      </c>
      <c r="ED43" s="2" t="s">
        <v>1978</v>
      </c>
      <c r="EE43" s="2" t="s">
        <v>1978</v>
      </c>
      <c r="EF43" s="2" t="s">
        <v>1978</v>
      </c>
      <c r="EG43" s="2" t="s">
        <v>1978</v>
      </c>
      <c r="EH43" s="2" t="s">
        <v>1978</v>
      </c>
      <c r="EI43" s="2" t="s">
        <v>1978</v>
      </c>
      <c r="EJ43" s="2" t="s">
        <v>1978</v>
      </c>
      <c r="EK43" s="2" t="s">
        <v>1978</v>
      </c>
      <c r="EL43" s="2" t="s">
        <v>1978</v>
      </c>
      <c r="EM43" s="2" t="s">
        <v>1978</v>
      </c>
      <c r="EN43" s="2" t="s">
        <v>1978</v>
      </c>
      <c r="EO43" s="2" t="s">
        <v>1978</v>
      </c>
      <c r="EP43" s="2" t="s">
        <v>1978</v>
      </c>
      <c r="EQ43" s="2" t="s">
        <v>1978</v>
      </c>
      <c r="ER43" s="2" t="s">
        <v>1978</v>
      </c>
      <c r="ES43" s="2" t="s">
        <v>1978</v>
      </c>
    </row>
    <row r="44" spans="1:149" x14ac:dyDescent="0.3">
      <c r="A44" s="2" t="s">
        <v>154</v>
      </c>
      <c r="B44" s="2" t="s">
        <v>2148</v>
      </c>
      <c r="C44" s="2" t="s">
        <v>1975</v>
      </c>
      <c r="D44" s="2" t="s">
        <v>157</v>
      </c>
      <c r="E44" s="59" t="s">
        <v>1967</v>
      </c>
      <c r="F44" s="2" t="s">
        <v>1978</v>
      </c>
      <c r="G44" s="2">
        <f t="shared" si="349"/>
        <v>28</v>
      </c>
      <c r="H44" s="2">
        <f t="shared" si="350"/>
        <v>28</v>
      </c>
      <c r="I44" s="2" t="s">
        <v>1970</v>
      </c>
      <c r="J44" s="2" t="s">
        <v>1970</v>
      </c>
      <c r="K44" s="2" t="s">
        <v>2740</v>
      </c>
      <c r="L44" s="2" t="s">
        <v>1970</v>
      </c>
      <c r="M44" s="2" t="s">
        <v>1978</v>
      </c>
      <c r="N44" s="344" t="s">
        <v>1978</v>
      </c>
      <c r="O44" s="344" t="s">
        <v>1978</v>
      </c>
      <c r="P44" s="344" t="s">
        <v>1978</v>
      </c>
      <c r="Q44" s="344" t="s">
        <v>1978</v>
      </c>
      <c r="R44" s="344" t="s">
        <v>1978</v>
      </c>
      <c r="S44" s="344" t="s">
        <v>1978</v>
      </c>
      <c r="T44" s="2" t="s">
        <v>155</v>
      </c>
      <c r="U44" s="2" t="s">
        <v>2150</v>
      </c>
      <c r="X44" s="344">
        <f>'A123'!J52</f>
        <v>20</v>
      </c>
      <c r="Y44" s="344">
        <f>'A123'!K52</f>
        <v>31</v>
      </c>
      <c r="Z44" s="344">
        <f>'A123'!L52</f>
        <v>12.407407407407407</v>
      </c>
      <c r="AA44" s="2" t="s">
        <v>2150</v>
      </c>
      <c r="AB44" s="2" t="str">
        <f>入學要求!X53</f>
        <v>/</v>
      </c>
      <c r="AC44" s="2" t="str">
        <f>入學要求!Y53</f>
        <v>/</v>
      </c>
      <c r="AD44" s="2" t="s">
        <v>2171</v>
      </c>
      <c r="AE44" s="2" t="s">
        <v>2182</v>
      </c>
      <c r="AF44" s="2" t="s">
        <v>1970</v>
      </c>
      <c r="AG44" s="2" t="s">
        <v>2740</v>
      </c>
      <c r="AH44" s="2" t="s">
        <v>1970</v>
      </c>
      <c r="AI44" s="2" t="s">
        <v>1970</v>
      </c>
      <c r="AJ44" s="2" t="s">
        <v>2692</v>
      </c>
      <c r="AK44" s="2" t="s">
        <v>2151</v>
      </c>
      <c r="AL44" s="2" t="s">
        <v>2686</v>
      </c>
      <c r="AM44" s="2" t="s">
        <v>1970</v>
      </c>
      <c r="AN44" s="2" t="s">
        <v>1978</v>
      </c>
      <c r="AO44" s="2" t="s">
        <v>1978</v>
      </c>
      <c r="AP44" s="251" t="s">
        <v>1978</v>
      </c>
      <c r="AQ44" s="344" t="s">
        <v>1970</v>
      </c>
      <c r="AR44" s="2" t="s">
        <v>2150</v>
      </c>
      <c r="AS44" s="2" t="s">
        <v>3608</v>
      </c>
      <c r="AV44" s="344" t="s">
        <v>1987</v>
      </c>
      <c r="BB44" s="2">
        <v>1</v>
      </c>
      <c r="BC44" s="2">
        <v>2</v>
      </c>
      <c r="BD44" s="2">
        <v>1</v>
      </c>
      <c r="BE44" s="2">
        <v>1</v>
      </c>
      <c r="BF44" s="2">
        <v>1</v>
      </c>
      <c r="BG44" s="2">
        <v>1</v>
      </c>
      <c r="BH44" s="2">
        <v>1</v>
      </c>
      <c r="BI44" s="2">
        <v>1</v>
      </c>
      <c r="BJ44" s="2">
        <v>3</v>
      </c>
      <c r="BK44" s="2">
        <v>4</v>
      </c>
      <c r="BL44" s="2">
        <v>4</v>
      </c>
      <c r="BM44" s="2">
        <v>4</v>
      </c>
      <c r="BN44" s="2" t="s">
        <v>1978</v>
      </c>
      <c r="BO44" s="2">
        <v>5</v>
      </c>
      <c r="BP44" s="2">
        <v>4</v>
      </c>
      <c r="BQ44" s="2" t="s">
        <v>1978</v>
      </c>
      <c r="BR44" s="2">
        <f t="shared" si="351"/>
        <v>3</v>
      </c>
      <c r="BS44" s="2">
        <f t="shared" si="352"/>
        <v>8</v>
      </c>
      <c r="BT44" s="2">
        <f t="shared" si="353"/>
        <v>4</v>
      </c>
      <c r="BU44" s="2">
        <f t="shared" si="354"/>
        <v>4</v>
      </c>
      <c r="BV44" s="2" t="e">
        <f t="shared" si="355"/>
        <v>#VALUE!</v>
      </c>
      <c r="BW44" s="2">
        <f t="shared" si="356"/>
        <v>5</v>
      </c>
      <c r="BX44" s="2">
        <f t="shared" si="357"/>
        <v>4</v>
      </c>
      <c r="BY44" s="2" t="e">
        <f t="shared" si="358"/>
        <v>#VALUE!</v>
      </c>
      <c r="BZ44" s="2" t="b">
        <v>1</v>
      </c>
      <c r="CA44" s="2" t="b">
        <v>1</v>
      </c>
      <c r="CB44" s="2" t="b">
        <v>1</v>
      </c>
      <c r="CC44" s="2" t="b">
        <v>1</v>
      </c>
      <c r="CD44" s="2" t="b">
        <v>0</v>
      </c>
      <c r="CE44" s="2" t="b">
        <v>1</v>
      </c>
      <c r="CF44" s="2" t="b">
        <v>1</v>
      </c>
      <c r="CG44" s="2" t="b">
        <v>0</v>
      </c>
      <c r="CH44" s="2">
        <v>1</v>
      </c>
      <c r="CI44" s="2">
        <v>2</v>
      </c>
      <c r="CJ44" s="2">
        <v>1</v>
      </c>
      <c r="CK44" s="2">
        <v>1</v>
      </c>
      <c r="CL44" s="2">
        <v>1</v>
      </c>
      <c r="CM44" s="2">
        <v>1</v>
      </c>
      <c r="CN44" s="2">
        <v>1</v>
      </c>
      <c r="CO44" s="2">
        <v>1</v>
      </c>
      <c r="CP44" s="2">
        <v>4</v>
      </c>
      <c r="CQ44" s="2">
        <v>4</v>
      </c>
      <c r="CR44" s="2">
        <v>4</v>
      </c>
      <c r="CS44" s="2">
        <v>6</v>
      </c>
      <c r="CT44" s="2" t="s">
        <v>1978</v>
      </c>
      <c r="CU44" s="2">
        <v>3</v>
      </c>
      <c r="CV44" s="2">
        <v>3</v>
      </c>
      <c r="CW44" s="2" t="s">
        <v>1978</v>
      </c>
      <c r="CX44" s="2">
        <f t="shared" si="333"/>
        <v>4</v>
      </c>
      <c r="CY44" s="2">
        <f t="shared" si="334"/>
        <v>8</v>
      </c>
      <c r="CZ44" s="2">
        <f t="shared" si="335"/>
        <v>4</v>
      </c>
      <c r="DA44" s="2">
        <f t="shared" si="336"/>
        <v>6</v>
      </c>
      <c r="DB44" s="2" t="e">
        <f t="shared" si="337"/>
        <v>#VALUE!</v>
      </c>
      <c r="DC44" s="2">
        <f t="shared" si="338"/>
        <v>3</v>
      </c>
      <c r="DD44" s="2">
        <f t="shared" si="339"/>
        <v>3</v>
      </c>
      <c r="DE44" s="2" t="e">
        <f t="shared" si="340"/>
        <v>#VALUE!</v>
      </c>
      <c r="DF44" s="2" t="b">
        <v>1</v>
      </c>
      <c r="DG44" s="2" t="b">
        <v>1</v>
      </c>
      <c r="DH44" s="2" t="b">
        <v>1</v>
      </c>
      <c r="DI44" s="2" t="b">
        <v>1</v>
      </c>
      <c r="DJ44" s="2" t="b">
        <v>0</v>
      </c>
      <c r="DK44" s="2" t="b">
        <v>1</v>
      </c>
      <c r="DL44" s="2" t="b">
        <v>1</v>
      </c>
      <c r="DM44" s="2" t="b">
        <v>0</v>
      </c>
      <c r="DN44" s="2" t="s">
        <v>1978</v>
      </c>
      <c r="DO44" s="2" t="s">
        <v>1978</v>
      </c>
      <c r="DP44" s="2" t="s">
        <v>1978</v>
      </c>
      <c r="DQ44" s="2" t="s">
        <v>1978</v>
      </c>
      <c r="DR44" s="2" t="s">
        <v>1978</v>
      </c>
      <c r="DS44" s="2" t="s">
        <v>1978</v>
      </c>
      <c r="DT44" s="2" t="s">
        <v>1978</v>
      </c>
      <c r="DU44" s="2" t="s">
        <v>1978</v>
      </c>
      <c r="DV44" s="2" t="s">
        <v>1978</v>
      </c>
      <c r="DW44" s="2" t="s">
        <v>1978</v>
      </c>
      <c r="DX44" s="2" t="s">
        <v>1978</v>
      </c>
      <c r="DY44" s="2" t="s">
        <v>1978</v>
      </c>
      <c r="DZ44" s="2" t="s">
        <v>1978</v>
      </c>
      <c r="EA44" s="2" t="s">
        <v>1978</v>
      </c>
      <c r="EB44" s="2" t="s">
        <v>1978</v>
      </c>
      <c r="EC44" s="2" t="s">
        <v>1978</v>
      </c>
      <c r="ED44" s="2" t="s">
        <v>1978</v>
      </c>
      <c r="EE44" s="2" t="s">
        <v>1978</v>
      </c>
      <c r="EF44" s="2" t="s">
        <v>1978</v>
      </c>
      <c r="EG44" s="2" t="s">
        <v>1978</v>
      </c>
      <c r="EH44" s="2" t="s">
        <v>1978</v>
      </c>
      <c r="EI44" s="2" t="s">
        <v>1978</v>
      </c>
      <c r="EJ44" s="2" t="s">
        <v>1978</v>
      </c>
      <c r="EK44" s="2" t="s">
        <v>1978</v>
      </c>
      <c r="EL44" s="2" t="s">
        <v>1978</v>
      </c>
      <c r="EM44" s="2" t="s">
        <v>1978</v>
      </c>
      <c r="EN44" s="2" t="s">
        <v>1978</v>
      </c>
      <c r="EO44" s="2" t="s">
        <v>1978</v>
      </c>
      <c r="EP44" s="2" t="s">
        <v>1978</v>
      </c>
      <c r="EQ44" s="2" t="s">
        <v>1978</v>
      </c>
      <c r="ER44" s="2" t="s">
        <v>1978</v>
      </c>
      <c r="ES44" s="2" t="s">
        <v>1978</v>
      </c>
    </row>
    <row r="45" spans="1:149" x14ac:dyDescent="0.3">
      <c r="A45" s="2" t="s">
        <v>159</v>
      </c>
      <c r="B45" s="2" t="s">
        <v>2148</v>
      </c>
      <c r="C45" s="2" t="s">
        <v>1975</v>
      </c>
      <c r="D45" s="2" t="s">
        <v>162</v>
      </c>
      <c r="E45" s="59" t="s">
        <v>1967</v>
      </c>
      <c r="F45" s="2" t="s">
        <v>1978</v>
      </c>
      <c r="G45" s="2">
        <f t="shared" si="349"/>
        <v>30</v>
      </c>
      <c r="H45" s="2">
        <f t="shared" si="350"/>
        <v>29</v>
      </c>
      <c r="I45" s="2" t="s">
        <v>1970</v>
      </c>
      <c r="J45" s="2" t="s">
        <v>1970</v>
      </c>
      <c r="K45" s="2" t="s">
        <v>2740</v>
      </c>
      <c r="L45" s="2" t="s">
        <v>1970</v>
      </c>
      <c r="M45" s="2" t="s">
        <v>1978</v>
      </c>
      <c r="N45" s="344" t="s">
        <v>1978</v>
      </c>
      <c r="O45" s="344" t="s">
        <v>1978</v>
      </c>
      <c r="P45" s="344" t="s">
        <v>1978</v>
      </c>
      <c r="Q45" s="344" t="s">
        <v>1978</v>
      </c>
      <c r="R45" s="344" t="s">
        <v>1978</v>
      </c>
      <c r="S45" s="344" t="s">
        <v>1978</v>
      </c>
      <c r="T45" s="2" t="s">
        <v>160</v>
      </c>
      <c r="U45" s="2" t="s">
        <v>2150</v>
      </c>
      <c r="X45" s="344">
        <f>'A123'!J53</f>
        <v>26</v>
      </c>
      <c r="Y45" s="344">
        <f>'A123'!K53</f>
        <v>23</v>
      </c>
      <c r="Z45" s="344">
        <f>'A123'!L53</f>
        <v>19.714285714285715</v>
      </c>
      <c r="AA45" s="2" t="s">
        <v>2150</v>
      </c>
      <c r="AB45" s="2" t="str">
        <f>入學要求!X54</f>
        <v>/</v>
      </c>
      <c r="AC45" s="2" t="str">
        <f>入學要求!Y54</f>
        <v>/</v>
      </c>
      <c r="AD45" s="2" t="s">
        <v>2171</v>
      </c>
      <c r="AE45" s="2" t="s">
        <v>2182</v>
      </c>
      <c r="AF45" s="2" t="s">
        <v>1970</v>
      </c>
      <c r="AG45" s="2" t="s">
        <v>2740</v>
      </c>
      <c r="AH45" s="2" t="s">
        <v>1970</v>
      </c>
      <c r="AI45" s="2" t="s">
        <v>1970</v>
      </c>
      <c r="AJ45" s="2" t="s">
        <v>2692</v>
      </c>
      <c r="AK45" s="2" t="s">
        <v>2151</v>
      </c>
      <c r="AL45" s="2" t="s">
        <v>2686</v>
      </c>
      <c r="AM45" s="2" t="s">
        <v>1970</v>
      </c>
      <c r="AN45" s="2" t="s">
        <v>1978</v>
      </c>
      <c r="AO45" s="2" t="s">
        <v>1978</v>
      </c>
      <c r="AP45" s="251" t="s">
        <v>1978</v>
      </c>
      <c r="AQ45" s="344" t="s">
        <v>1970</v>
      </c>
      <c r="AR45" s="2" t="s">
        <v>2150</v>
      </c>
      <c r="AS45" s="2" t="s">
        <v>3608</v>
      </c>
      <c r="AV45" s="344" t="s">
        <v>1987</v>
      </c>
      <c r="BB45" s="2">
        <v>1</v>
      </c>
      <c r="BC45" s="2">
        <v>2</v>
      </c>
      <c r="BD45" s="2">
        <v>1</v>
      </c>
      <c r="BE45" s="2">
        <v>1</v>
      </c>
      <c r="BF45" s="2">
        <v>1</v>
      </c>
      <c r="BG45" s="2">
        <v>1</v>
      </c>
      <c r="BH45" s="2">
        <v>1</v>
      </c>
      <c r="BI45" s="2">
        <v>1</v>
      </c>
      <c r="BJ45" s="2">
        <v>5</v>
      </c>
      <c r="BK45" s="2">
        <v>4</v>
      </c>
      <c r="BL45" s="2">
        <v>4</v>
      </c>
      <c r="BM45" s="2">
        <v>3</v>
      </c>
      <c r="BN45" s="2" t="s">
        <v>1978</v>
      </c>
      <c r="BO45" s="2">
        <v>5</v>
      </c>
      <c r="BP45" s="2">
        <v>4</v>
      </c>
      <c r="BQ45" s="2">
        <v>3</v>
      </c>
      <c r="BR45" s="2">
        <f t="shared" si="309"/>
        <v>5</v>
      </c>
      <c r="BS45" s="2">
        <f t="shared" si="310"/>
        <v>8</v>
      </c>
      <c r="BT45" s="2">
        <f t="shared" si="311"/>
        <v>4</v>
      </c>
      <c r="BU45" s="2">
        <f t="shared" si="312"/>
        <v>3</v>
      </c>
      <c r="BV45" s="2" t="e">
        <f t="shared" si="313"/>
        <v>#VALUE!</v>
      </c>
      <c r="BW45" s="2">
        <f t="shared" si="314"/>
        <v>5</v>
      </c>
      <c r="BX45" s="2">
        <f t="shared" si="315"/>
        <v>4</v>
      </c>
      <c r="BY45" s="2">
        <f t="shared" si="316"/>
        <v>3</v>
      </c>
      <c r="BZ45" s="2" t="b">
        <v>1</v>
      </c>
      <c r="CA45" s="2" t="b">
        <v>1</v>
      </c>
      <c r="CB45" s="2" t="b">
        <v>1</v>
      </c>
      <c r="CC45" s="2" t="b">
        <v>1</v>
      </c>
      <c r="CD45" s="2" t="b">
        <v>0</v>
      </c>
      <c r="CE45" s="2" t="b">
        <v>1</v>
      </c>
      <c r="CF45" s="2" t="b">
        <v>1</v>
      </c>
      <c r="CG45" s="2" t="b">
        <v>0</v>
      </c>
      <c r="CH45" s="2">
        <v>1</v>
      </c>
      <c r="CI45" s="2">
        <v>2</v>
      </c>
      <c r="CJ45" s="2">
        <v>1</v>
      </c>
      <c r="CK45" s="2">
        <v>1</v>
      </c>
      <c r="CL45" s="2">
        <v>1</v>
      </c>
      <c r="CM45" s="2">
        <v>1</v>
      </c>
      <c r="CN45" s="2">
        <v>1</v>
      </c>
      <c r="CO45" s="2">
        <v>1</v>
      </c>
      <c r="CP45" s="2">
        <v>4</v>
      </c>
      <c r="CQ45" s="2">
        <v>5</v>
      </c>
      <c r="CR45" s="2">
        <v>4</v>
      </c>
      <c r="CS45" s="2">
        <v>4</v>
      </c>
      <c r="CT45" s="2" t="s">
        <v>1978</v>
      </c>
      <c r="CU45" s="2">
        <v>4</v>
      </c>
      <c r="CV45" s="2">
        <v>4</v>
      </c>
      <c r="CW45" s="2" t="s">
        <v>1978</v>
      </c>
      <c r="CX45" s="2">
        <f t="shared" si="333"/>
        <v>4</v>
      </c>
      <c r="CY45" s="2">
        <f t="shared" si="334"/>
        <v>10</v>
      </c>
      <c r="CZ45" s="2">
        <f t="shared" si="335"/>
        <v>4</v>
      </c>
      <c r="DA45" s="2">
        <f t="shared" si="336"/>
        <v>4</v>
      </c>
      <c r="DB45" s="2" t="e">
        <f t="shared" si="337"/>
        <v>#VALUE!</v>
      </c>
      <c r="DC45" s="2">
        <f t="shared" si="338"/>
        <v>4</v>
      </c>
      <c r="DD45" s="2">
        <f t="shared" si="339"/>
        <v>4</v>
      </c>
      <c r="DE45" s="2" t="e">
        <f t="shared" si="340"/>
        <v>#VALUE!</v>
      </c>
      <c r="DF45" s="2" t="b">
        <v>1</v>
      </c>
      <c r="DG45" s="2" t="b">
        <v>1</v>
      </c>
      <c r="DH45" s="2" t="b">
        <v>1</v>
      </c>
      <c r="DI45" s="2" t="b">
        <v>1</v>
      </c>
      <c r="DJ45" s="2" t="b">
        <v>0</v>
      </c>
      <c r="DK45" s="2" t="b">
        <v>1</v>
      </c>
      <c r="DL45" s="2" t="b">
        <v>1</v>
      </c>
      <c r="DM45" s="2" t="b">
        <v>0</v>
      </c>
      <c r="DN45" s="2" t="s">
        <v>1978</v>
      </c>
      <c r="DO45" s="2" t="s">
        <v>1978</v>
      </c>
      <c r="DP45" s="2" t="s">
        <v>1978</v>
      </c>
      <c r="DQ45" s="2" t="s">
        <v>1978</v>
      </c>
      <c r="DR45" s="2" t="s">
        <v>1978</v>
      </c>
      <c r="DS45" s="2" t="s">
        <v>1978</v>
      </c>
      <c r="DT45" s="2" t="s">
        <v>1978</v>
      </c>
      <c r="DU45" s="2" t="s">
        <v>1978</v>
      </c>
      <c r="DV45" s="2" t="s">
        <v>1978</v>
      </c>
      <c r="DW45" s="2" t="s">
        <v>1978</v>
      </c>
      <c r="DX45" s="2" t="s">
        <v>1978</v>
      </c>
      <c r="DY45" s="2" t="s">
        <v>1978</v>
      </c>
      <c r="DZ45" s="2" t="s">
        <v>1978</v>
      </c>
      <c r="EA45" s="2" t="s">
        <v>1978</v>
      </c>
      <c r="EB45" s="2" t="s">
        <v>1978</v>
      </c>
      <c r="EC45" s="2" t="s">
        <v>1978</v>
      </c>
      <c r="ED45" s="2" t="s">
        <v>1978</v>
      </c>
      <c r="EE45" s="2" t="s">
        <v>1978</v>
      </c>
      <c r="EF45" s="2" t="s">
        <v>1978</v>
      </c>
      <c r="EG45" s="2" t="s">
        <v>1978</v>
      </c>
      <c r="EH45" s="2" t="s">
        <v>1978</v>
      </c>
      <c r="EI45" s="2" t="s">
        <v>1978</v>
      </c>
      <c r="EJ45" s="2" t="s">
        <v>1978</v>
      </c>
      <c r="EK45" s="2" t="s">
        <v>1978</v>
      </c>
      <c r="EL45" s="2" t="s">
        <v>1978</v>
      </c>
      <c r="EM45" s="2" t="s">
        <v>1978</v>
      </c>
      <c r="EN45" s="2" t="s">
        <v>1978</v>
      </c>
      <c r="EO45" s="2" t="s">
        <v>1978</v>
      </c>
      <c r="EP45" s="2" t="s">
        <v>1978</v>
      </c>
      <c r="EQ45" s="2" t="s">
        <v>1978</v>
      </c>
      <c r="ER45" s="2" t="s">
        <v>1978</v>
      </c>
      <c r="ES45" s="2" t="s">
        <v>1978</v>
      </c>
    </row>
    <row r="46" spans="1:149" x14ac:dyDescent="0.3">
      <c r="A46" s="2" t="s">
        <v>164</v>
      </c>
      <c r="B46" s="2" t="s">
        <v>2148</v>
      </c>
      <c r="C46" s="2" t="s">
        <v>1975</v>
      </c>
      <c r="D46" s="2" t="s">
        <v>167</v>
      </c>
      <c r="E46" s="59" t="s">
        <v>1967</v>
      </c>
      <c r="F46" s="2" t="s">
        <v>1978</v>
      </c>
      <c r="G46" s="2">
        <f t="shared" si="349"/>
        <v>29</v>
      </c>
      <c r="H46" s="2">
        <f t="shared" si="350"/>
        <v>28</v>
      </c>
      <c r="I46" s="2" t="s">
        <v>1970</v>
      </c>
      <c r="J46" s="2" t="s">
        <v>1970</v>
      </c>
      <c r="K46" s="2" t="s">
        <v>2740</v>
      </c>
      <c r="L46" s="2" t="s">
        <v>1970</v>
      </c>
      <c r="M46" s="2" t="s">
        <v>1978</v>
      </c>
      <c r="N46" s="344" t="s">
        <v>1978</v>
      </c>
      <c r="O46" s="344" t="s">
        <v>1978</v>
      </c>
      <c r="P46" s="344" t="s">
        <v>1978</v>
      </c>
      <c r="Q46" s="344" t="s">
        <v>1978</v>
      </c>
      <c r="R46" s="344" t="s">
        <v>1978</v>
      </c>
      <c r="S46" s="344" t="s">
        <v>1978</v>
      </c>
      <c r="T46" s="2" t="s">
        <v>165</v>
      </c>
      <c r="U46" s="2" t="s">
        <v>2150</v>
      </c>
      <c r="X46" s="344">
        <f>'A123'!J54</f>
        <v>27</v>
      </c>
      <c r="Y46" s="344">
        <f>'A123'!K54</f>
        <v>42</v>
      </c>
      <c r="Z46" s="344">
        <f>'A123'!L54</f>
        <v>18.238095238095237</v>
      </c>
      <c r="AA46" s="2" t="s">
        <v>2150</v>
      </c>
      <c r="AB46" s="2" t="str">
        <f>入學要求!X55</f>
        <v>/</v>
      </c>
      <c r="AC46" s="2" t="str">
        <f>入學要求!Y55</f>
        <v>/</v>
      </c>
      <c r="AD46" s="2" t="s">
        <v>2171</v>
      </c>
      <c r="AE46" s="2" t="s">
        <v>2182</v>
      </c>
      <c r="AF46" s="2" t="s">
        <v>1970</v>
      </c>
      <c r="AG46" s="2" t="s">
        <v>2740</v>
      </c>
      <c r="AH46" s="2" t="s">
        <v>1970</v>
      </c>
      <c r="AI46" s="2" t="s">
        <v>1970</v>
      </c>
      <c r="AJ46" s="2" t="s">
        <v>2692</v>
      </c>
      <c r="AK46" s="2" t="s">
        <v>2151</v>
      </c>
      <c r="AL46" s="2" t="s">
        <v>2729</v>
      </c>
      <c r="AM46" s="2" t="s">
        <v>1970</v>
      </c>
      <c r="AN46" s="2" t="s">
        <v>1978</v>
      </c>
      <c r="AO46" s="2" t="s">
        <v>1978</v>
      </c>
      <c r="AP46" s="251" t="s">
        <v>1978</v>
      </c>
      <c r="AQ46" s="344" t="s">
        <v>1970</v>
      </c>
      <c r="AR46" s="2" t="s">
        <v>2150</v>
      </c>
      <c r="AS46" s="2" t="s">
        <v>2366</v>
      </c>
      <c r="AT46" s="2" t="s">
        <v>3616</v>
      </c>
      <c r="AV46" s="344" t="s">
        <v>1987</v>
      </c>
      <c r="BB46" s="2">
        <v>1</v>
      </c>
      <c r="BC46" s="2">
        <v>2</v>
      </c>
      <c r="BD46" s="2">
        <v>1</v>
      </c>
      <c r="BE46" s="2">
        <v>1</v>
      </c>
      <c r="BF46" s="2">
        <v>1</v>
      </c>
      <c r="BG46" s="2">
        <v>1</v>
      </c>
      <c r="BH46" s="2">
        <v>1</v>
      </c>
      <c r="BI46" s="2">
        <v>1</v>
      </c>
      <c r="BJ46" s="2">
        <v>4</v>
      </c>
      <c r="BK46" s="2">
        <v>4</v>
      </c>
      <c r="BL46" s="2">
        <v>4</v>
      </c>
      <c r="BM46" s="2">
        <v>4</v>
      </c>
      <c r="BN46" s="2" t="s">
        <v>1978</v>
      </c>
      <c r="BO46" s="2">
        <v>5</v>
      </c>
      <c r="BP46" s="2">
        <v>3</v>
      </c>
      <c r="BQ46" s="2" t="s">
        <v>1978</v>
      </c>
      <c r="BR46" s="2">
        <f t="shared" si="309"/>
        <v>4</v>
      </c>
      <c r="BS46" s="2">
        <f t="shared" si="310"/>
        <v>8</v>
      </c>
      <c r="BT46" s="2">
        <f t="shared" si="311"/>
        <v>4</v>
      </c>
      <c r="BU46" s="2">
        <f t="shared" si="312"/>
        <v>4</v>
      </c>
      <c r="BV46" s="2" t="e">
        <f t="shared" si="313"/>
        <v>#VALUE!</v>
      </c>
      <c r="BW46" s="2">
        <f t="shared" si="314"/>
        <v>5</v>
      </c>
      <c r="BX46" s="2">
        <f t="shared" si="315"/>
        <v>3</v>
      </c>
      <c r="BY46" s="2" t="e">
        <f t="shared" si="316"/>
        <v>#VALUE!</v>
      </c>
      <c r="BZ46" s="2" t="b">
        <v>1</v>
      </c>
      <c r="CA46" s="2" t="b">
        <v>1</v>
      </c>
      <c r="CB46" s="2" t="b">
        <v>1</v>
      </c>
      <c r="CC46" s="2" t="b">
        <v>1</v>
      </c>
      <c r="CD46" s="2" t="b">
        <v>0</v>
      </c>
      <c r="CE46" s="2" t="b">
        <v>1</v>
      </c>
      <c r="CF46" s="2" t="b">
        <v>1</v>
      </c>
      <c r="CG46" s="2" t="b">
        <v>0</v>
      </c>
      <c r="CH46" s="2">
        <v>1</v>
      </c>
      <c r="CI46" s="2">
        <v>2</v>
      </c>
      <c r="CJ46" s="2">
        <v>1</v>
      </c>
      <c r="CK46" s="2">
        <v>1</v>
      </c>
      <c r="CL46" s="2">
        <v>1</v>
      </c>
      <c r="CM46" s="2">
        <v>1</v>
      </c>
      <c r="CN46" s="2">
        <v>1</v>
      </c>
      <c r="CO46" s="2">
        <v>1</v>
      </c>
      <c r="CP46" s="2">
        <v>4</v>
      </c>
      <c r="CQ46" s="2">
        <v>4</v>
      </c>
      <c r="CR46" s="2">
        <v>4</v>
      </c>
      <c r="CS46" s="2">
        <v>4</v>
      </c>
      <c r="CT46" s="2" t="s">
        <v>1978</v>
      </c>
      <c r="CU46" s="2">
        <v>5</v>
      </c>
      <c r="CV46" s="2">
        <v>4</v>
      </c>
      <c r="CW46" s="2" t="s">
        <v>1978</v>
      </c>
      <c r="CX46" s="2">
        <f t="shared" si="333"/>
        <v>4</v>
      </c>
      <c r="CY46" s="2">
        <f t="shared" si="334"/>
        <v>8</v>
      </c>
      <c r="CZ46" s="2">
        <f t="shared" si="335"/>
        <v>4</v>
      </c>
      <c r="DA46" s="2">
        <f t="shared" si="336"/>
        <v>4</v>
      </c>
      <c r="DB46" s="2" t="e">
        <f t="shared" si="337"/>
        <v>#VALUE!</v>
      </c>
      <c r="DC46" s="2">
        <f t="shared" si="338"/>
        <v>5</v>
      </c>
      <c r="DD46" s="2">
        <f t="shared" si="339"/>
        <v>4</v>
      </c>
      <c r="DE46" s="2" t="e">
        <f t="shared" si="340"/>
        <v>#VALUE!</v>
      </c>
      <c r="DF46" s="2" t="b">
        <v>1</v>
      </c>
      <c r="DG46" s="2" t="b">
        <v>1</v>
      </c>
      <c r="DH46" s="2" t="b">
        <v>1</v>
      </c>
      <c r="DI46" s="2" t="b">
        <v>1</v>
      </c>
      <c r="DJ46" s="2" t="b">
        <v>0</v>
      </c>
      <c r="DK46" s="2" t="b">
        <v>1</v>
      </c>
      <c r="DL46" s="2" t="b">
        <v>1</v>
      </c>
      <c r="DM46" s="2" t="b">
        <v>0</v>
      </c>
      <c r="DN46" s="2" t="s">
        <v>1978</v>
      </c>
      <c r="DO46" s="2" t="s">
        <v>1978</v>
      </c>
      <c r="DP46" s="2" t="s">
        <v>1978</v>
      </c>
      <c r="DQ46" s="2" t="s">
        <v>1978</v>
      </c>
      <c r="DR46" s="2" t="s">
        <v>1978</v>
      </c>
      <c r="DS46" s="2" t="s">
        <v>1978</v>
      </c>
      <c r="DT46" s="2" t="s">
        <v>1978</v>
      </c>
      <c r="DU46" s="2" t="s">
        <v>1978</v>
      </c>
      <c r="DV46" s="2" t="s">
        <v>1978</v>
      </c>
      <c r="DW46" s="2" t="s">
        <v>1978</v>
      </c>
      <c r="DX46" s="2" t="s">
        <v>1978</v>
      </c>
      <c r="DY46" s="2" t="s">
        <v>1978</v>
      </c>
      <c r="DZ46" s="2" t="s">
        <v>1978</v>
      </c>
      <c r="EA46" s="2" t="s">
        <v>1978</v>
      </c>
      <c r="EB46" s="2" t="s">
        <v>1978</v>
      </c>
      <c r="EC46" s="2" t="s">
        <v>1978</v>
      </c>
      <c r="ED46" s="2" t="s">
        <v>1978</v>
      </c>
      <c r="EE46" s="2" t="s">
        <v>1978</v>
      </c>
      <c r="EF46" s="2" t="s">
        <v>1978</v>
      </c>
      <c r="EG46" s="2" t="s">
        <v>1978</v>
      </c>
      <c r="EH46" s="2" t="s">
        <v>1978</v>
      </c>
      <c r="EI46" s="2" t="s">
        <v>1978</v>
      </c>
      <c r="EJ46" s="2" t="s">
        <v>1978</v>
      </c>
      <c r="EK46" s="2" t="s">
        <v>1978</v>
      </c>
      <c r="EL46" s="2" t="s">
        <v>1978</v>
      </c>
      <c r="EM46" s="2" t="s">
        <v>1978</v>
      </c>
      <c r="EN46" s="2" t="s">
        <v>1978</v>
      </c>
      <c r="EO46" s="2" t="s">
        <v>1978</v>
      </c>
      <c r="EP46" s="2" t="s">
        <v>1978</v>
      </c>
      <c r="EQ46" s="2" t="s">
        <v>1978</v>
      </c>
      <c r="ER46" s="2" t="s">
        <v>1978</v>
      </c>
      <c r="ES46" s="2" t="s">
        <v>1978</v>
      </c>
    </row>
    <row r="47" spans="1:149" x14ac:dyDescent="0.3">
      <c r="A47" s="2" t="s">
        <v>169</v>
      </c>
      <c r="B47" s="2" t="s">
        <v>2148</v>
      </c>
      <c r="C47" s="2" t="s">
        <v>1975</v>
      </c>
      <c r="D47" s="2" t="s">
        <v>172</v>
      </c>
      <c r="E47" s="206" t="s">
        <v>2187</v>
      </c>
      <c r="F47" s="2" t="s">
        <v>1978</v>
      </c>
      <c r="G47" s="2" t="s">
        <v>1978</v>
      </c>
      <c r="H47" s="2" t="s">
        <v>1978</v>
      </c>
      <c r="I47" s="2" t="s">
        <v>1970</v>
      </c>
      <c r="J47" s="2" t="s">
        <v>1970</v>
      </c>
      <c r="K47" s="2" t="s">
        <v>1970</v>
      </c>
      <c r="L47" s="2" t="s">
        <v>1970</v>
      </c>
      <c r="M47" s="2" t="s">
        <v>1978</v>
      </c>
      <c r="N47" s="344" t="s">
        <v>1978</v>
      </c>
      <c r="O47" s="344" t="s">
        <v>1978</v>
      </c>
      <c r="P47" s="344" t="s">
        <v>1978</v>
      </c>
      <c r="Q47" s="344" t="s">
        <v>1978</v>
      </c>
      <c r="R47" s="344" t="s">
        <v>1978</v>
      </c>
      <c r="S47" s="344" t="s">
        <v>1978</v>
      </c>
      <c r="T47" s="2" t="s">
        <v>170</v>
      </c>
      <c r="U47" s="2" t="s">
        <v>2150</v>
      </c>
      <c r="X47" s="344">
        <f>'A123'!J55</f>
        <v>10</v>
      </c>
      <c r="Y47" s="344" t="str">
        <f>'A123'!K55</f>
        <v>/</v>
      </c>
      <c r="Z47" s="344" t="str">
        <f>'A123'!L55</f>
        <v>新科目</v>
      </c>
      <c r="AA47" s="2" t="s">
        <v>2150</v>
      </c>
      <c r="AB47" s="2" t="str">
        <f>入學要求!X56</f>
        <v>/</v>
      </c>
      <c r="AC47" s="2" t="str">
        <f>入學要求!Y56</f>
        <v>/</v>
      </c>
      <c r="AD47" s="2" t="s">
        <v>1967</v>
      </c>
      <c r="AE47" s="2" t="s">
        <v>1970</v>
      </c>
      <c r="AF47" s="2" t="s">
        <v>1970</v>
      </c>
      <c r="AG47" s="2" t="s">
        <v>1970</v>
      </c>
      <c r="AH47" s="2" t="s">
        <v>1970</v>
      </c>
      <c r="AI47" s="2" t="s">
        <v>1970</v>
      </c>
      <c r="AJ47" s="2" t="s">
        <v>2151</v>
      </c>
      <c r="AK47" s="2" t="s">
        <v>2743</v>
      </c>
      <c r="AL47" s="2" t="s">
        <v>2152</v>
      </c>
      <c r="AM47" s="2" t="s">
        <v>1970</v>
      </c>
      <c r="AN47" s="2" t="s">
        <v>1978</v>
      </c>
      <c r="AO47" s="2" t="s">
        <v>1978</v>
      </c>
      <c r="AP47" s="251" t="s">
        <v>1978</v>
      </c>
      <c r="AQ47" s="344" t="s">
        <v>1970</v>
      </c>
      <c r="AR47" s="2" t="s">
        <v>2150</v>
      </c>
      <c r="AS47" s="344" t="s">
        <v>2653</v>
      </c>
      <c r="AT47" s="2" t="s">
        <v>1970</v>
      </c>
      <c r="AU47" s="2" t="s">
        <v>1970</v>
      </c>
      <c r="AV47" s="344" t="s">
        <v>1987</v>
      </c>
      <c r="BB47" s="2">
        <v>1</v>
      </c>
      <c r="BC47" s="2">
        <v>1</v>
      </c>
      <c r="BD47" s="2">
        <v>1</v>
      </c>
      <c r="BE47" s="2">
        <v>1</v>
      </c>
      <c r="BF47" s="2">
        <v>1</v>
      </c>
      <c r="BG47" s="2">
        <v>1</v>
      </c>
      <c r="BH47" s="2">
        <v>1</v>
      </c>
      <c r="BI47" s="2">
        <v>1</v>
      </c>
      <c r="BJ47" s="2" t="s">
        <v>1978</v>
      </c>
      <c r="BK47" s="2" t="s">
        <v>1978</v>
      </c>
      <c r="BL47" s="2" t="s">
        <v>1978</v>
      </c>
      <c r="BM47" s="2" t="s">
        <v>1978</v>
      </c>
      <c r="BN47" s="2" t="s">
        <v>1978</v>
      </c>
      <c r="BO47" s="2" t="s">
        <v>1978</v>
      </c>
      <c r="BP47" s="2" t="s">
        <v>1978</v>
      </c>
      <c r="BQ47" s="2" t="s">
        <v>1978</v>
      </c>
      <c r="BR47" s="2" t="e">
        <f t="shared" si="309"/>
        <v>#VALUE!</v>
      </c>
      <c r="BS47" s="2" t="e">
        <f t="shared" si="310"/>
        <v>#VALUE!</v>
      </c>
      <c r="BT47" s="2" t="e">
        <f t="shared" si="311"/>
        <v>#VALUE!</v>
      </c>
      <c r="BU47" s="2" t="e">
        <f t="shared" si="312"/>
        <v>#VALUE!</v>
      </c>
      <c r="BV47" s="2" t="e">
        <f t="shared" si="313"/>
        <v>#VALUE!</v>
      </c>
      <c r="BW47" s="2" t="e">
        <f t="shared" si="314"/>
        <v>#VALUE!</v>
      </c>
      <c r="BX47" s="2" t="e">
        <f t="shared" si="315"/>
        <v>#VALUE!</v>
      </c>
      <c r="BY47" s="2" t="e">
        <f t="shared" si="316"/>
        <v>#VALUE!</v>
      </c>
      <c r="BZ47" s="2" t="s">
        <v>1978</v>
      </c>
      <c r="CA47" s="2" t="s">
        <v>1978</v>
      </c>
      <c r="CB47" s="2" t="s">
        <v>1978</v>
      </c>
      <c r="CC47" s="2" t="s">
        <v>1978</v>
      </c>
      <c r="CD47" s="2" t="s">
        <v>1978</v>
      </c>
      <c r="CE47" s="2" t="s">
        <v>1978</v>
      </c>
      <c r="CF47" s="2" t="s">
        <v>1978</v>
      </c>
      <c r="CG47" s="2" t="s">
        <v>1978</v>
      </c>
      <c r="CH47" s="2">
        <v>1</v>
      </c>
      <c r="CI47" s="2">
        <v>1</v>
      </c>
      <c r="CJ47" s="2">
        <v>1</v>
      </c>
      <c r="CK47" s="2">
        <v>1</v>
      </c>
      <c r="CL47" s="2">
        <v>1</v>
      </c>
      <c r="CM47" s="2">
        <v>1</v>
      </c>
      <c r="CN47" s="2">
        <v>1</v>
      </c>
      <c r="CO47" s="2">
        <v>1</v>
      </c>
      <c r="CP47" s="2" t="s">
        <v>1978</v>
      </c>
      <c r="CQ47" s="2" t="s">
        <v>1978</v>
      </c>
      <c r="CR47" s="2" t="s">
        <v>1978</v>
      </c>
      <c r="CS47" s="2" t="s">
        <v>1978</v>
      </c>
      <c r="CT47" s="2" t="s">
        <v>1978</v>
      </c>
      <c r="CU47" s="2" t="s">
        <v>1978</v>
      </c>
      <c r="CV47" s="2" t="s">
        <v>1978</v>
      </c>
      <c r="CW47" s="2" t="s">
        <v>1978</v>
      </c>
      <c r="CX47" s="2" t="e">
        <f t="shared" si="333"/>
        <v>#VALUE!</v>
      </c>
      <c r="CY47" s="2" t="e">
        <f t="shared" si="334"/>
        <v>#VALUE!</v>
      </c>
      <c r="CZ47" s="2" t="e">
        <f t="shared" si="335"/>
        <v>#VALUE!</v>
      </c>
      <c r="DA47" s="2" t="e">
        <f t="shared" si="336"/>
        <v>#VALUE!</v>
      </c>
      <c r="DB47" s="2" t="e">
        <f t="shared" si="337"/>
        <v>#VALUE!</v>
      </c>
      <c r="DC47" s="2" t="e">
        <f t="shared" si="338"/>
        <v>#VALUE!</v>
      </c>
      <c r="DD47" s="2" t="e">
        <f t="shared" si="339"/>
        <v>#VALUE!</v>
      </c>
      <c r="DE47" s="2" t="e">
        <f t="shared" si="340"/>
        <v>#VALUE!</v>
      </c>
      <c r="DF47" s="2" t="s">
        <v>1978</v>
      </c>
      <c r="DG47" s="2" t="s">
        <v>1978</v>
      </c>
      <c r="DH47" s="2" t="s">
        <v>1978</v>
      </c>
      <c r="DI47" s="2" t="s">
        <v>1978</v>
      </c>
      <c r="DJ47" s="2" t="s">
        <v>1978</v>
      </c>
      <c r="DK47" s="2" t="s">
        <v>1978</v>
      </c>
      <c r="DL47" s="2" t="s">
        <v>1978</v>
      </c>
      <c r="DM47" s="2" t="s">
        <v>1978</v>
      </c>
      <c r="DN47" s="2" t="s">
        <v>1978</v>
      </c>
      <c r="DO47" s="2" t="s">
        <v>1978</v>
      </c>
      <c r="DP47" s="2" t="s">
        <v>1978</v>
      </c>
      <c r="DQ47" s="2" t="s">
        <v>1978</v>
      </c>
      <c r="DR47" s="2" t="s">
        <v>1978</v>
      </c>
      <c r="DS47" s="2" t="s">
        <v>1978</v>
      </c>
      <c r="DT47" s="2" t="s">
        <v>1978</v>
      </c>
      <c r="DU47" s="2" t="s">
        <v>1978</v>
      </c>
      <c r="DV47" s="2" t="s">
        <v>1978</v>
      </c>
      <c r="DW47" s="2" t="s">
        <v>1978</v>
      </c>
      <c r="DX47" s="2" t="s">
        <v>1978</v>
      </c>
      <c r="DY47" s="2" t="s">
        <v>1978</v>
      </c>
      <c r="DZ47" s="2" t="s">
        <v>1978</v>
      </c>
      <c r="EA47" s="2" t="s">
        <v>1978</v>
      </c>
      <c r="EB47" s="2" t="s">
        <v>1978</v>
      </c>
      <c r="EC47" s="2" t="s">
        <v>1978</v>
      </c>
      <c r="ED47" s="2" t="s">
        <v>1978</v>
      </c>
      <c r="EE47" s="2" t="s">
        <v>1978</v>
      </c>
      <c r="EF47" s="2" t="s">
        <v>1978</v>
      </c>
      <c r="EG47" s="2" t="s">
        <v>1978</v>
      </c>
      <c r="EH47" s="2" t="s">
        <v>1978</v>
      </c>
      <c r="EI47" s="2" t="s">
        <v>1978</v>
      </c>
      <c r="EJ47" s="2" t="s">
        <v>1978</v>
      </c>
      <c r="EK47" s="2" t="s">
        <v>1978</v>
      </c>
      <c r="EL47" s="2" t="s">
        <v>1978</v>
      </c>
      <c r="EM47" s="2" t="s">
        <v>1978</v>
      </c>
      <c r="EN47" s="2" t="s">
        <v>1978</v>
      </c>
      <c r="EO47" s="2" t="s">
        <v>1978</v>
      </c>
      <c r="EP47" s="2" t="s">
        <v>1978</v>
      </c>
      <c r="EQ47" s="2" t="s">
        <v>1978</v>
      </c>
      <c r="ER47" s="2" t="s">
        <v>1978</v>
      </c>
      <c r="ES47" s="2" t="s">
        <v>1978</v>
      </c>
    </row>
    <row r="48" spans="1:149" x14ac:dyDescent="0.3">
      <c r="A48" s="2" t="s">
        <v>173</v>
      </c>
      <c r="B48" s="2" t="s">
        <v>2148</v>
      </c>
      <c r="C48" s="2" t="s">
        <v>1975</v>
      </c>
      <c r="D48" s="2" t="s">
        <v>176</v>
      </c>
      <c r="E48" s="206" t="s">
        <v>2187</v>
      </c>
      <c r="F48" s="2" t="s">
        <v>1978</v>
      </c>
      <c r="G48" s="2" t="s">
        <v>1978</v>
      </c>
      <c r="H48" s="2" t="s">
        <v>1978</v>
      </c>
      <c r="I48" s="2" t="s">
        <v>1970</v>
      </c>
      <c r="J48" s="2" t="s">
        <v>1970</v>
      </c>
      <c r="K48" s="2" t="s">
        <v>1970</v>
      </c>
      <c r="L48" s="2" t="s">
        <v>1970</v>
      </c>
      <c r="M48" s="2" t="s">
        <v>1978</v>
      </c>
      <c r="N48" s="344" t="s">
        <v>1978</v>
      </c>
      <c r="O48" s="344" t="s">
        <v>1978</v>
      </c>
      <c r="P48" s="344" t="s">
        <v>1978</v>
      </c>
      <c r="Q48" s="344" t="s">
        <v>1978</v>
      </c>
      <c r="R48" s="344" t="s">
        <v>1978</v>
      </c>
      <c r="S48" s="344" t="s">
        <v>1978</v>
      </c>
      <c r="T48" s="2" t="s">
        <v>174</v>
      </c>
      <c r="U48" s="2" t="s">
        <v>2150</v>
      </c>
      <c r="X48" s="344">
        <f>'A123'!J56</f>
        <v>10</v>
      </c>
      <c r="Y48" s="344" t="str">
        <f>'A123'!K56</f>
        <v>/</v>
      </c>
      <c r="Z48" s="344" t="str">
        <f>'A123'!L56</f>
        <v>新科目</v>
      </c>
      <c r="AA48" s="2" t="s">
        <v>2150</v>
      </c>
      <c r="AB48" s="2" t="str">
        <f>入學要求!X57</f>
        <v>/</v>
      </c>
      <c r="AC48" s="2" t="str">
        <f>入學要求!Y57</f>
        <v>/</v>
      </c>
      <c r="AD48" s="2" t="s">
        <v>2153</v>
      </c>
      <c r="AE48" s="2" t="s">
        <v>2682</v>
      </c>
      <c r="AF48" s="2" t="s">
        <v>1970</v>
      </c>
      <c r="AG48" s="2" t="s">
        <v>1970</v>
      </c>
      <c r="AH48" s="2" t="s">
        <v>1970</v>
      </c>
      <c r="AI48" s="2" t="s">
        <v>1970</v>
      </c>
      <c r="AJ48" s="2" t="s">
        <v>2692</v>
      </c>
      <c r="AK48" s="2" t="s">
        <v>2151</v>
      </c>
      <c r="AL48" s="2" t="s">
        <v>2729</v>
      </c>
      <c r="AM48" s="2" t="s">
        <v>1970</v>
      </c>
      <c r="AN48" s="2" t="s">
        <v>1978</v>
      </c>
      <c r="AO48" s="2" t="s">
        <v>1978</v>
      </c>
      <c r="AP48" s="251" t="s">
        <v>1978</v>
      </c>
      <c r="AQ48" s="344" t="s">
        <v>1970</v>
      </c>
      <c r="AR48" s="2" t="s">
        <v>2150</v>
      </c>
      <c r="AS48" s="344" t="s">
        <v>2653</v>
      </c>
      <c r="AT48" s="2" t="s">
        <v>1970</v>
      </c>
      <c r="AU48" s="2" t="s">
        <v>1970</v>
      </c>
      <c r="AV48" s="344" t="s">
        <v>1987</v>
      </c>
      <c r="BB48" s="2">
        <v>1</v>
      </c>
      <c r="BC48" s="2">
        <v>1</v>
      </c>
      <c r="BD48" s="2">
        <v>1</v>
      </c>
      <c r="BE48" s="2">
        <v>1</v>
      </c>
      <c r="BF48" s="2">
        <v>1</v>
      </c>
      <c r="BG48" s="2">
        <v>1</v>
      </c>
      <c r="BH48" s="2">
        <v>1</v>
      </c>
      <c r="BI48" s="2">
        <v>1</v>
      </c>
      <c r="BJ48" s="2" t="s">
        <v>1978</v>
      </c>
      <c r="BK48" s="2" t="s">
        <v>1978</v>
      </c>
      <c r="BL48" s="2" t="s">
        <v>1978</v>
      </c>
      <c r="BM48" s="2" t="s">
        <v>1978</v>
      </c>
      <c r="BN48" s="2" t="s">
        <v>1978</v>
      </c>
      <c r="BO48" s="2" t="s">
        <v>1978</v>
      </c>
      <c r="BP48" s="2" t="s">
        <v>1978</v>
      </c>
      <c r="BQ48" s="2" t="s">
        <v>1978</v>
      </c>
      <c r="BR48" s="2" t="e">
        <f t="shared" si="309"/>
        <v>#VALUE!</v>
      </c>
      <c r="BS48" s="2" t="e">
        <f t="shared" si="310"/>
        <v>#VALUE!</v>
      </c>
      <c r="BT48" s="2" t="e">
        <f t="shared" si="311"/>
        <v>#VALUE!</v>
      </c>
      <c r="BU48" s="2" t="e">
        <f t="shared" si="312"/>
        <v>#VALUE!</v>
      </c>
      <c r="BV48" s="2" t="e">
        <f t="shared" si="313"/>
        <v>#VALUE!</v>
      </c>
      <c r="BW48" s="2" t="e">
        <f t="shared" si="314"/>
        <v>#VALUE!</v>
      </c>
      <c r="BX48" s="2" t="e">
        <f t="shared" si="315"/>
        <v>#VALUE!</v>
      </c>
      <c r="BY48" s="2" t="e">
        <f t="shared" si="316"/>
        <v>#VALUE!</v>
      </c>
      <c r="BZ48" s="2" t="s">
        <v>1978</v>
      </c>
      <c r="CA48" s="2" t="s">
        <v>1978</v>
      </c>
      <c r="CB48" s="2" t="s">
        <v>1978</v>
      </c>
      <c r="CC48" s="2" t="s">
        <v>1978</v>
      </c>
      <c r="CD48" s="2" t="s">
        <v>1978</v>
      </c>
      <c r="CE48" s="2" t="s">
        <v>1978</v>
      </c>
      <c r="CF48" s="2" t="s">
        <v>1978</v>
      </c>
      <c r="CG48" s="2" t="s">
        <v>1978</v>
      </c>
      <c r="CH48" s="2">
        <v>1</v>
      </c>
      <c r="CI48" s="2">
        <v>1</v>
      </c>
      <c r="CJ48" s="2">
        <v>1</v>
      </c>
      <c r="CK48" s="2">
        <v>1</v>
      </c>
      <c r="CL48" s="2">
        <v>1</v>
      </c>
      <c r="CM48" s="2">
        <v>1</v>
      </c>
      <c r="CN48" s="2">
        <v>1</v>
      </c>
      <c r="CO48" s="2">
        <v>1</v>
      </c>
      <c r="CP48" s="2" t="s">
        <v>1978</v>
      </c>
      <c r="CQ48" s="2" t="s">
        <v>1978</v>
      </c>
      <c r="CR48" s="2" t="s">
        <v>1978</v>
      </c>
      <c r="CS48" s="2" t="s">
        <v>1978</v>
      </c>
      <c r="CT48" s="2" t="s">
        <v>1978</v>
      </c>
      <c r="CU48" s="2" t="s">
        <v>1978</v>
      </c>
      <c r="CV48" s="2" t="s">
        <v>1978</v>
      </c>
      <c r="CW48" s="2" t="s">
        <v>1978</v>
      </c>
      <c r="CX48" s="2" t="e">
        <f t="shared" si="333"/>
        <v>#VALUE!</v>
      </c>
      <c r="CY48" s="2" t="e">
        <f t="shared" si="334"/>
        <v>#VALUE!</v>
      </c>
      <c r="CZ48" s="2" t="e">
        <f t="shared" si="335"/>
        <v>#VALUE!</v>
      </c>
      <c r="DA48" s="2" t="e">
        <f t="shared" si="336"/>
        <v>#VALUE!</v>
      </c>
      <c r="DB48" s="2" t="e">
        <f t="shared" si="337"/>
        <v>#VALUE!</v>
      </c>
      <c r="DC48" s="2" t="e">
        <f t="shared" si="338"/>
        <v>#VALUE!</v>
      </c>
      <c r="DD48" s="2" t="e">
        <f t="shared" si="339"/>
        <v>#VALUE!</v>
      </c>
      <c r="DE48" s="2" t="e">
        <f t="shared" si="340"/>
        <v>#VALUE!</v>
      </c>
      <c r="DF48" s="2" t="s">
        <v>1978</v>
      </c>
      <c r="DG48" s="2" t="s">
        <v>1978</v>
      </c>
      <c r="DH48" s="2" t="s">
        <v>1978</v>
      </c>
      <c r="DI48" s="2" t="s">
        <v>1978</v>
      </c>
      <c r="DJ48" s="2" t="s">
        <v>1978</v>
      </c>
      <c r="DK48" s="2" t="s">
        <v>1978</v>
      </c>
      <c r="DL48" s="2" t="s">
        <v>1978</v>
      </c>
      <c r="DM48" s="2" t="s">
        <v>1978</v>
      </c>
      <c r="DN48" s="2" t="s">
        <v>1978</v>
      </c>
      <c r="DO48" s="2" t="s">
        <v>1978</v>
      </c>
      <c r="DP48" s="2" t="s">
        <v>1978</v>
      </c>
      <c r="DQ48" s="2" t="s">
        <v>1978</v>
      </c>
      <c r="DR48" s="2" t="s">
        <v>1978</v>
      </c>
      <c r="DS48" s="2" t="s">
        <v>1978</v>
      </c>
      <c r="DT48" s="2" t="s">
        <v>1978</v>
      </c>
      <c r="DU48" s="2" t="s">
        <v>1978</v>
      </c>
      <c r="DV48" s="2" t="s">
        <v>1978</v>
      </c>
      <c r="DW48" s="2" t="s">
        <v>1978</v>
      </c>
      <c r="DX48" s="2" t="s">
        <v>1978</v>
      </c>
      <c r="DY48" s="2" t="s">
        <v>1978</v>
      </c>
      <c r="DZ48" s="2" t="s">
        <v>1978</v>
      </c>
      <c r="EA48" s="2" t="s">
        <v>1978</v>
      </c>
      <c r="EB48" s="2" t="s">
        <v>1978</v>
      </c>
      <c r="EC48" s="2" t="s">
        <v>1978</v>
      </c>
      <c r="ED48" s="2" t="s">
        <v>1978</v>
      </c>
      <c r="EE48" s="2" t="s">
        <v>1978</v>
      </c>
      <c r="EF48" s="2" t="s">
        <v>1978</v>
      </c>
      <c r="EG48" s="2" t="s">
        <v>1978</v>
      </c>
      <c r="EH48" s="2" t="s">
        <v>1978</v>
      </c>
      <c r="EI48" s="2" t="s">
        <v>1978</v>
      </c>
      <c r="EJ48" s="2" t="s">
        <v>1978</v>
      </c>
      <c r="EK48" s="2" t="s">
        <v>1978</v>
      </c>
      <c r="EL48" s="2" t="s">
        <v>1978</v>
      </c>
      <c r="EM48" s="2" t="s">
        <v>1978</v>
      </c>
      <c r="EN48" s="2" t="s">
        <v>1978</v>
      </c>
      <c r="EO48" s="2" t="s">
        <v>1978</v>
      </c>
      <c r="EP48" s="2" t="s">
        <v>1978</v>
      </c>
      <c r="EQ48" s="2" t="s">
        <v>1978</v>
      </c>
      <c r="ER48" s="2" t="s">
        <v>1978</v>
      </c>
      <c r="ES48" s="2" t="s">
        <v>1978</v>
      </c>
    </row>
    <row r="49" spans="1:149" x14ac:dyDescent="0.3">
      <c r="A49" s="2" t="s">
        <v>177</v>
      </c>
      <c r="B49" s="2" t="s">
        <v>2148</v>
      </c>
      <c r="C49" s="2" t="s">
        <v>2159</v>
      </c>
      <c r="D49" s="2" t="s">
        <v>180</v>
      </c>
      <c r="E49" s="11" t="s">
        <v>2171</v>
      </c>
      <c r="F49" s="2" t="s">
        <v>1978</v>
      </c>
      <c r="G49" s="2">
        <f t="shared" ref="G49:G59" si="359">SUMIF(DF49:DM49,TRUE,CX49:DE49)</f>
        <v>51</v>
      </c>
      <c r="H49" s="2">
        <f t="shared" ref="H49:H59" si="360">SUMIF(BZ49:CG49,TRUE,BR49:BY49)</f>
        <v>50.5</v>
      </c>
      <c r="I49" s="2" t="s">
        <v>1970</v>
      </c>
      <c r="J49" s="2" t="s">
        <v>1970</v>
      </c>
      <c r="K49" s="2" t="s">
        <v>2745</v>
      </c>
      <c r="L49" s="2" t="s">
        <v>2740</v>
      </c>
      <c r="M49" s="2" t="s">
        <v>1978</v>
      </c>
      <c r="N49" s="344" t="s">
        <v>1978</v>
      </c>
      <c r="O49" s="344" t="s">
        <v>1978</v>
      </c>
      <c r="P49" s="344" t="s">
        <v>1978</v>
      </c>
      <c r="Q49" s="344" t="s">
        <v>1978</v>
      </c>
      <c r="R49" s="344" t="s">
        <v>1978</v>
      </c>
      <c r="S49" s="344" t="s">
        <v>1978</v>
      </c>
      <c r="T49" s="2" t="s">
        <v>178</v>
      </c>
      <c r="U49" s="2" t="s">
        <v>2150</v>
      </c>
      <c r="X49" s="344">
        <f>'A123'!J57</f>
        <v>9</v>
      </c>
      <c r="Y49" s="344">
        <f>'A123'!K57</f>
        <v>3</v>
      </c>
      <c r="Z49" s="344">
        <f>'A123'!L57</f>
        <v>10</v>
      </c>
      <c r="AA49" s="2" t="s">
        <v>2150</v>
      </c>
      <c r="AB49" s="2" t="str">
        <f>入學要求!X58</f>
        <v xml:space="preserve">以下兩科選修取得Lv.3︰生物、化學、經濟、M1/2、物理 </v>
      </c>
      <c r="AC49" s="2" t="str">
        <f>入學要求!Y58</f>
        <v>/</v>
      </c>
      <c r="AD49" s="2" t="s">
        <v>2171</v>
      </c>
      <c r="AE49" s="2" t="s">
        <v>1970</v>
      </c>
      <c r="AF49" s="2" t="s">
        <v>1970</v>
      </c>
      <c r="AG49" s="2" t="s">
        <v>2745</v>
      </c>
      <c r="AH49" s="2" t="s">
        <v>2740</v>
      </c>
      <c r="AI49" s="2" t="s">
        <v>1970</v>
      </c>
      <c r="AJ49" s="2" t="s">
        <v>2151</v>
      </c>
      <c r="AK49" s="2" t="s">
        <v>2729</v>
      </c>
      <c r="AL49" s="2" t="s">
        <v>1970</v>
      </c>
      <c r="AM49" s="2" t="s">
        <v>1970</v>
      </c>
      <c r="AN49" s="2" t="s">
        <v>1978</v>
      </c>
      <c r="AO49" s="2" t="s">
        <v>1978</v>
      </c>
      <c r="AP49" s="251" t="s">
        <v>1978</v>
      </c>
      <c r="AQ49" s="344" t="s">
        <v>1970</v>
      </c>
      <c r="AR49" s="2" t="s">
        <v>2150</v>
      </c>
      <c r="AS49" s="2" t="s">
        <v>3617</v>
      </c>
      <c r="AT49" s="564">
        <v>44713</v>
      </c>
      <c r="AU49" s="2" t="s">
        <v>3616</v>
      </c>
      <c r="AV49" s="344" t="s">
        <v>1987</v>
      </c>
      <c r="BB49" s="2">
        <v>1</v>
      </c>
      <c r="BC49" s="2">
        <v>2</v>
      </c>
      <c r="BD49" s="2">
        <v>2.5</v>
      </c>
      <c r="BE49" s="2">
        <v>1</v>
      </c>
      <c r="BF49" s="2">
        <v>2.5</v>
      </c>
      <c r="BG49" s="2">
        <v>2.5</v>
      </c>
      <c r="BH49" s="2">
        <v>2.5</v>
      </c>
      <c r="BI49" s="2">
        <v>2.5</v>
      </c>
      <c r="BJ49" s="2">
        <v>3</v>
      </c>
      <c r="BK49" s="2">
        <v>4</v>
      </c>
      <c r="BL49" s="2">
        <v>5</v>
      </c>
      <c r="BM49" s="2">
        <v>4</v>
      </c>
      <c r="BN49" s="2" t="s">
        <v>1978</v>
      </c>
      <c r="BO49" s="2">
        <v>4</v>
      </c>
      <c r="BP49" s="2">
        <v>4</v>
      </c>
      <c r="BQ49" s="2">
        <v>4</v>
      </c>
      <c r="BR49" s="2">
        <f t="shared" si="309"/>
        <v>3</v>
      </c>
      <c r="BS49" s="2">
        <f t="shared" si="310"/>
        <v>8</v>
      </c>
      <c r="BT49" s="2">
        <f t="shared" si="311"/>
        <v>12.5</v>
      </c>
      <c r="BU49" s="2">
        <f t="shared" si="312"/>
        <v>4</v>
      </c>
      <c r="BV49" s="2" t="e">
        <f t="shared" si="313"/>
        <v>#VALUE!</v>
      </c>
      <c r="BW49" s="2">
        <f t="shared" si="314"/>
        <v>10</v>
      </c>
      <c r="BX49" s="2">
        <f t="shared" si="315"/>
        <v>10</v>
      </c>
      <c r="BY49" s="2">
        <f t="shared" si="316"/>
        <v>10</v>
      </c>
      <c r="BZ49" s="2" t="b">
        <v>0</v>
      </c>
      <c r="CA49" s="2" t="b">
        <v>1</v>
      </c>
      <c r="CB49" s="2" t="b">
        <v>1</v>
      </c>
      <c r="CC49" s="2" t="b">
        <v>0</v>
      </c>
      <c r="CD49" s="2" t="b">
        <v>0</v>
      </c>
      <c r="CE49" s="2" t="b">
        <v>1</v>
      </c>
      <c r="CF49" s="2" t="b">
        <v>1</v>
      </c>
      <c r="CG49" s="2" t="b">
        <v>1</v>
      </c>
      <c r="CH49" s="2">
        <v>1</v>
      </c>
      <c r="CI49" s="2">
        <v>2</v>
      </c>
      <c r="CJ49" s="2">
        <v>2.5</v>
      </c>
      <c r="CK49" s="2">
        <v>1</v>
      </c>
      <c r="CL49" s="2">
        <v>2.5</v>
      </c>
      <c r="CM49" s="2">
        <v>2.5</v>
      </c>
      <c r="CN49" s="2">
        <v>2.5</v>
      </c>
      <c r="CO49" s="2">
        <v>2.5</v>
      </c>
      <c r="CP49" s="2">
        <v>4</v>
      </c>
      <c r="CQ49" s="2">
        <v>3</v>
      </c>
      <c r="CR49" s="2">
        <v>4</v>
      </c>
      <c r="CS49" s="2">
        <v>4</v>
      </c>
      <c r="CT49" s="2" t="s">
        <v>1978</v>
      </c>
      <c r="CU49" s="2">
        <v>5</v>
      </c>
      <c r="CV49" s="2">
        <v>5</v>
      </c>
      <c r="CW49" s="2">
        <v>4</v>
      </c>
      <c r="CX49" s="2">
        <f t="shared" si="333"/>
        <v>4</v>
      </c>
      <c r="CY49" s="2">
        <f t="shared" si="334"/>
        <v>6</v>
      </c>
      <c r="CZ49" s="2">
        <f t="shared" si="335"/>
        <v>10</v>
      </c>
      <c r="DA49" s="2">
        <f t="shared" si="336"/>
        <v>4</v>
      </c>
      <c r="DB49" s="2" t="e">
        <f t="shared" si="337"/>
        <v>#VALUE!</v>
      </c>
      <c r="DC49" s="2">
        <f t="shared" si="338"/>
        <v>12.5</v>
      </c>
      <c r="DD49" s="2">
        <f t="shared" si="339"/>
        <v>12.5</v>
      </c>
      <c r="DE49" s="2">
        <f t="shared" si="340"/>
        <v>10</v>
      </c>
      <c r="DF49" s="2" t="b">
        <v>0</v>
      </c>
      <c r="DG49" s="2" t="b">
        <v>1</v>
      </c>
      <c r="DH49" s="2" t="b">
        <v>1</v>
      </c>
      <c r="DI49" s="2" t="b">
        <v>0</v>
      </c>
      <c r="DJ49" s="2" t="b">
        <v>0</v>
      </c>
      <c r="DK49" s="2" t="b">
        <v>1</v>
      </c>
      <c r="DL49" s="2" t="b">
        <v>1</v>
      </c>
      <c r="DM49" s="2" t="b">
        <v>1</v>
      </c>
      <c r="DN49" s="2" t="s">
        <v>1978</v>
      </c>
      <c r="DO49" s="2" t="s">
        <v>1978</v>
      </c>
      <c r="DP49" s="2" t="s">
        <v>1978</v>
      </c>
      <c r="DQ49" s="2" t="s">
        <v>1978</v>
      </c>
      <c r="DR49" s="2" t="s">
        <v>1978</v>
      </c>
      <c r="DS49" s="2" t="s">
        <v>1978</v>
      </c>
      <c r="DT49" s="2" t="s">
        <v>1978</v>
      </c>
      <c r="DU49" s="2" t="s">
        <v>1978</v>
      </c>
      <c r="DV49" s="2" t="s">
        <v>1978</v>
      </c>
      <c r="DW49" s="2" t="s">
        <v>1978</v>
      </c>
      <c r="DX49" s="2" t="s">
        <v>1978</v>
      </c>
      <c r="DY49" s="2" t="s">
        <v>1978</v>
      </c>
      <c r="DZ49" s="2" t="s">
        <v>1978</v>
      </c>
      <c r="EA49" s="2" t="s">
        <v>1978</v>
      </c>
      <c r="EB49" s="2" t="s">
        <v>1978</v>
      </c>
      <c r="EC49" s="2" t="s">
        <v>1978</v>
      </c>
      <c r="ED49" s="2" t="s">
        <v>1978</v>
      </c>
      <c r="EE49" s="2" t="s">
        <v>1978</v>
      </c>
      <c r="EF49" s="2" t="s">
        <v>1978</v>
      </c>
      <c r="EG49" s="2" t="s">
        <v>1978</v>
      </c>
      <c r="EH49" s="2" t="s">
        <v>1978</v>
      </c>
      <c r="EI49" s="2" t="s">
        <v>1978</v>
      </c>
      <c r="EJ49" s="2" t="s">
        <v>1978</v>
      </c>
      <c r="EK49" s="2" t="s">
        <v>1978</v>
      </c>
      <c r="EL49" s="2" t="s">
        <v>1978</v>
      </c>
      <c r="EM49" s="2" t="s">
        <v>1978</v>
      </c>
      <c r="EN49" s="2" t="s">
        <v>1978</v>
      </c>
      <c r="EO49" s="2" t="s">
        <v>1978</v>
      </c>
      <c r="EP49" s="2" t="s">
        <v>1978</v>
      </c>
      <c r="EQ49" s="2" t="s">
        <v>1978</v>
      </c>
      <c r="ER49" s="2" t="s">
        <v>1978</v>
      </c>
      <c r="ES49" s="2" t="s">
        <v>1978</v>
      </c>
    </row>
    <row r="50" spans="1:149" x14ac:dyDescent="0.3">
      <c r="A50" s="2" t="s">
        <v>182</v>
      </c>
      <c r="B50" s="2" t="s">
        <v>2148</v>
      </c>
      <c r="C50" s="2" t="s">
        <v>1983</v>
      </c>
      <c r="D50" s="2" t="s">
        <v>185</v>
      </c>
      <c r="E50" s="11" t="s">
        <v>2153</v>
      </c>
      <c r="F50" s="2" t="s">
        <v>1978</v>
      </c>
      <c r="G50" s="2">
        <f t="shared" si="359"/>
        <v>41.5</v>
      </c>
      <c r="H50" s="2">
        <f t="shared" si="360"/>
        <v>39</v>
      </c>
      <c r="I50" s="2" t="s">
        <v>2682</v>
      </c>
      <c r="J50" s="2" t="s">
        <v>1970</v>
      </c>
      <c r="K50" s="2" t="s">
        <v>2690</v>
      </c>
      <c r="L50" s="2" t="s">
        <v>2691</v>
      </c>
      <c r="M50" s="2" t="s">
        <v>1978</v>
      </c>
      <c r="N50" s="344" t="s">
        <v>1978</v>
      </c>
      <c r="O50" s="344" t="s">
        <v>1978</v>
      </c>
      <c r="P50" s="344" t="s">
        <v>1978</v>
      </c>
      <c r="Q50" s="344" t="s">
        <v>1978</v>
      </c>
      <c r="R50" s="344" t="s">
        <v>1978</v>
      </c>
      <c r="S50" s="344" t="s">
        <v>1978</v>
      </c>
      <c r="T50" s="2" t="s">
        <v>183</v>
      </c>
      <c r="U50" s="2" t="s">
        <v>2150</v>
      </c>
      <c r="X50" s="344">
        <f>'A123'!J58</f>
        <v>97</v>
      </c>
      <c r="Y50" s="344">
        <f>'A123'!K58</f>
        <v>67</v>
      </c>
      <c r="Z50" s="344">
        <f>'A123'!L58</f>
        <v>5.1746031746031749</v>
      </c>
      <c r="AA50" s="2" t="s">
        <v>2150</v>
      </c>
      <c r="AB50" s="2" t="str">
        <f>入學要求!X59</f>
        <v xml:space="preserve">以下一科選修取得Lv.3︰組合科學(物理)、綜合科學、物理 </v>
      </c>
      <c r="AC50" s="2" t="str">
        <f>入學要求!Y59</f>
        <v>/</v>
      </c>
      <c r="AD50" s="2" t="s">
        <v>2153</v>
      </c>
      <c r="AE50" s="2" t="s">
        <v>2682</v>
      </c>
      <c r="AF50" s="2" t="s">
        <v>1978</v>
      </c>
      <c r="AG50" s="2" t="s">
        <v>2690</v>
      </c>
      <c r="AH50" s="2" t="s">
        <v>2691</v>
      </c>
      <c r="AI50" s="2" t="s">
        <v>1970</v>
      </c>
      <c r="AJ50" s="2" t="s">
        <v>2692</v>
      </c>
      <c r="AK50" s="2" t="s">
        <v>2151</v>
      </c>
      <c r="AL50" s="2" t="s">
        <v>2686</v>
      </c>
      <c r="AM50" s="2" t="s">
        <v>1970</v>
      </c>
      <c r="AN50" s="2" t="s">
        <v>1978</v>
      </c>
      <c r="AO50" s="2" t="s">
        <v>1978</v>
      </c>
      <c r="AP50" s="251" t="s">
        <v>1978</v>
      </c>
      <c r="AQ50" s="344" t="s">
        <v>1970</v>
      </c>
      <c r="AR50" s="2" t="s">
        <v>2150</v>
      </c>
      <c r="AS50" s="2" t="s">
        <v>3603</v>
      </c>
      <c r="AT50" s="564">
        <v>44743</v>
      </c>
      <c r="AV50" s="344" t="s">
        <v>1987</v>
      </c>
      <c r="BB50" s="2">
        <v>1.5</v>
      </c>
      <c r="BC50" s="2">
        <v>2.5</v>
      </c>
      <c r="BD50" s="2">
        <v>2.5</v>
      </c>
      <c r="BE50" s="2">
        <v>1</v>
      </c>
      <c r="BF50" s="2">
        <v>2.5</v>
      </c>
      <c r="BG50" s="2">
        <v>2.5</v>
      </c>
      <c r="BH50" s="2">
        <v>1</v>
      </c>
      <c r="BI50" s="2">
        <v>1</v>
      </c>
      <c r="BJ50" s="2">
        <v>3</v>
      </c>
      <c r="BK50" s="2">
        <v>3</v>
      </c>
      <c r="BL50" s="2">
        <v>4</v>
      </c>
      <c r="BM50" s="2">
        <v>4</v>
      </c>
      <c r="BN50" s="2" t="s">
        <v>1978</v>
      </c>
      <c r="BO50" s="2">
        <v>4</v>
      </c>
      <c r="BP50" s="2">
        <v>3</v>
      </c>
      <c r="BQ50" s="2" t="s">
        <v>1978</v>
      </c>
      <c r="BR50" s="2">
        <f t="shared" si="309"/>
        <v>4.5</v>
      </c>
      <c r="BS50" s="2">
        <f t="shared" si="310"/>
        <v>7.5</v>
      </c>
      <c r="BT50" s="2">
        <f t="shared" si="311"/>
        <v>10</v>
      </c>
      <c r="BU50" s="2">
        <f t="shared" si="312"/>
        <v>4</v>
      </c>
      <c r="BV50" s="2" t="e">
        <f t="shared" si="313"/>
        <v>#VALUE!</v>
      </c>
      <c r="BW50" s="2">
        <f t="shared" si="314"/>
        <v>10</v>
      </c>
      <c r="BX50" s="2">
        <f t="shared" si="315"/>
        <v>3</v>
      </c>
      <c r="BY50" s="2" t="e">
        <f t="shared" si="316"/>
        <v>#VALUE!</v>
      </c>
      <c r="BZ50" s="2" t="b">
        <v>1</v>
      </c>
      <c r="CA50" s="2" t="b">
        <v>1</v>
      </c>
      <c r="CB50" s="2" t="b">
        <v>1</v>
      </c>
      <c r="CC50" s="2" t="b">
        <v>1</v>
      </c>
      <c r="CD50" s="2" t="b">
        <v>0</v>
      </c>
      <c r="CE50" s="2" t="b">
        <v>1</v>
      </c>
      <c r="CF50" s="2" t="b">
        <v>1</v>
      </c>
      <c r="CG50" s="2" t="b">
        <v>0</v>
      </c>
      <c r="CH50" s="2">
        <v>1.5</v>
      </c>
      <c r="CI50" s="2">
        <v>2.5</v>
      </c>
      <c r="CJ50" s="2">
        <v>2.5</v>
      </c>
      <c r="CK50" s="2">
        <v>1</v>
      </c>
      <c r="CL50" s="2">
        <v>2.5</v>
      </c>
      <c r="CM50" s="2">
        <v>2.5</v>
      </c>
      <c r="CN50" s="2">
        <v>1</v>
      </c>
      <c r="CO50" s="2">
        <v>1</v>
      </c>
      <c r="CP50" s="2">
        <v>4</v>
      </c>
      <c r="CQ50" s="2">
        <v>3</v>
      </c>
      <c r="CR50" s="2">
        <v>4</v>
      </c>
      <c r="CS50" s="2">
        <v>4</v>
      </c>
      <c r="CT50" s="2" t="s">
        <v>1978</v>
      </c>
      <c r="CU50" s="2">
        <v>4</v>
      </c>
      <c r="CV50" s="2">
        <v>4</v>
      </c>
      <c r="CW50" s="2" t="s">
        <v>1978</v>
      </c>
      <c r="CX50" s="2">
        <f t="shared" si="333"/>
        <v>6</v>
      </c>
      <c r="CY50" s="2">
        <f t="shared" si="334"/>
        <v>7.5</v>
      </c>
      <c r="CZ50" s="2">
        <f t="shared" si="335"/>
        <v>10</v>
      </c>
      <c r="DA50" s="2">
        <f t="shared" si="336"/>
        <v>4</v>
      </c>
      <c r="DB50" s="2" t="e">
        <f t="shared" si="337"/>
        <v>#VALUE!</v>
      </c>
      <c r="DC50" s="2">
        <f t="shared" si="338"/>
        <v>10</v>
      </c>
      <c r="DD50" s="2">
        <f t="shared" si="339"/>
        <v>4</v>
      </c>
      <c r="DE50" s="2" t="e">
        <f t="shared" si="340"/>
        <v>#VALUE!</v>
      </c>
      <c r="DF50" s="2" t="b">
        <v>1</v>
      </c>
      <c r="DG50" s="2" t="b">
        <v>1</v>
      </c>
      <c r="DH50" s="2" t="b">
        <v>1</v>
      </c>
      <c r="DI50" s="2" t="b">
        <v>1</v>
      </c>
      <c r="DJ50" s="2" t="b">
        <v>0</v>
      </c>
      <c r="DK50" s="2" t="b">
        <v>1</v>
      </c>
      <c r="DL50" s="2" t="b">
        <v>1</v>
      </c>
      <c r="DM50" s="2" t="b">
        <v>0</v>
      </c>
      <c r="DN50" s="2" t="s">
        <v>1978</v>
      </c>
      <c r="DO50" s="2" t="s">
        <v>1978</v>
      </c>
      <c r="DP50" s="2" t="s">
        <v>1978</v>
      </c>
      <c r="DQ50" s="2" t="s">
        <v>1978</v>
      </c>
      <c r="DR50" s="2" t="s">
        <v>1978</v>
      </c>
      <c r="DS50" s="2" t="s">
        <v>1978</v>
      </c>
      <c r="DT50" s="2" t="s">
        <v>1978</v>
      </c>
      <c r="DU50" s="2" t="s">
        <v>1978</v>
      </c>
      <c r="DV50" s="2" t="s">
        <v>1978</v>
      </c>
      <c r="DW50" s="2" t="s">
        <v>1978</v>
      </c>
      <c r="DX50" s="2" t="s">
        <v>1978</v>
      </c>
      <c r="DY50" s="2" t="s">
        <v>1978</v>
      </c>
      <c r="DZ50" s="2" t="s">
        <v>1978</v>
      </c>
      <c r="EA50" s="2" t="s">
        <v>1978</v>
      </c>
      <c r="EB50" s="2" t="s">
        <v>1978</v>
      </c>
      <c r="EC50" s="2" t="s">
        <v>1978</v>
      </c>
      <c r="ED50" s="2" t="s">
        <v>1978</v>
      </c>
      <c r="EE50" s="2" t="s">
        <v>1978</v>
      </c>
      <c r="EF50" s="2" t="s">
        <v>1978</v>
      </c>
      <c r="EG50" s="2" t="s">
        <v>1978</v>
      </c>
      <c r="EH50" s="2" t="s">
        <v>1978</v>
      </c>
      <c r="EI50" s="2" t="s">
        <v>1978</v>
      </c>
      <c r="EJ50" s="2" t="s">
        <v>1978</v>
      </c>
      <c r="EK50" s="2" t="s">
        <v>1978</v>
      </c>
      <c r="EL50" s="2" t="s">
        <v>1978</v>
      </c>
      <c r="EM50" s="2" t="s">
        <v>1978</v>
      </c>
      <c r="EN50" s="2" t="s">
        <v>1978</v>
      </c>
      <c r="EO50" s="2" t="s">
        <v>1978</v>
      </c>
      <c r="EP50" s="2" t="s">
        <v>1978</v>
      </c>
      <c r="EQ50" s="2" t="s">
        <v>1978</v>
      </c>
      <c r="ER50" s="2" t="s">
        <v>1978</v>
      </c>
      <c r="ES50" s="2" t="s">
        <v>1978</v>
      </c>
    </row>
    <row r="51" spans="1:149" x14ac:dyDescent="0.3">
      <c r="A51" s="2" t="s">
        <v>187</v>
      </c>
      <c r="B51" s="2" t="s">
        <v>2148</v>
      </c>
      <c r="C51" s="2" t="s">
        <v>2159</v>
      </c>
      <c r="D51" s="2" t="s">
        <v>190</v>
      </c>
      <c r="E51" s="11" t="s">
        <v>2171</v>
      </c>
      <c r="F51" s="2" t="s">
        <v>1978</v>
      </c>
      <c r="G51" s="2">
        <f t="shared" si="359"/>
        <v>28</v>
      </c>
      <c r="H51" s="2">
        <f t="shared" si="360"/>
        <v>27</v>
      </c>
      <c r="I51" s="2" t="s">
        <v>1970</v>
      </c>
      <c r="J51" s="2" t="s">
        <v>1970</v>
      </c>
      <c r="K51" s="2" t="s">
        <v>2747</v>
      </c>
      <c r="L51" s="2" t="s">
        <v>2749</v>
      </c>
      <c r="M51" s="2" t="s">
        <v>1978</v>
      </c>
      <c r="N51" s="344" t="s">
        <v>1978</v>
      </c>
      <c r="O51" s="344" t="s">
        <v>1978</v>
      </c>
      <c r="P51" s="344" t="s">
        <v>1978</v>
      </c>
      <c r="Q51" s="344" t="s">
        <v>1978</v>
      </c>
      <c r="R51" s="344" t="s">
        <v>1978</v>
      </c>
      <c r="S51" s="344" t="s">
        <v>1978</v>
      </c>
      <c r="T51" s="2" t="s">
        <v>188</v>
      </c>
      <c r="U51" s="2" t="s">
        <v>2150</v>
      </c>
      <c r="X51" s="344">
        <f>'A123'!J59</f>
        <v>46</v>
      </c>
      <c r="Y51" s="344">
        <f>'A123'!K59</f>
        <v>48</v>
      </c>
      <c r="Z51" s="344">
        <f>'A123'!L59</f>
        <v>5.7560975609756095</v>
      </c>
      <c r="AA51" s="2" t="s">
        <v>2150</v>
      </c>
      <c r="AB51" s="2" t="str">
        <f>入學要求!X60</f>
        <v>以下一科選修取得Lv.3︰化學、組合科學(化學)</v>
      </c>
      <c r="AC51" s="2" t="str">
        <f>入學要求!Y60</f>
        <v>若數學未有Lv.3，則以下一科選修需取得Lv.3: 生物、BAFS、DAT、ICT、組合科學(物理、生物)、物理</v>
      </c>
      <c r="AD51" s="2" t="s">
        <v>2171</v>
      </c>
      <c r="AE51" s="2" t="s">
        <v>1970</v>
      </c>
      <c r="AF51" s="2" t="s">
        <v>1970</v>
      </c>
      <c r="AG51" s="2" t="s">
        <v>2747</v>
      </c>
      <c r="AH51" s="2" t="s">
        <v>2749</v>
      </c>
      <c r="AI51" s="2" t="s">
        <v>1970</v>
      </c>
      <c r="AJ51" s="2" t="s">
        <v>2692</v>
      </c>
      <c r="AK51" s="2" t="s">
        <v>2151</v>
      </c>
      <c r="AL51" s="2" t="s">
        <v>2729</v>
      </c>
      <c r="AM51" s="2" t="s">
        <v>1970</v>
      </c>
      <c r="AN51" s="2" t="s">
        <v>1978</v>
      </c>
      <c r="AO51" s="2" t="s">
        <v>1978</v>
      </c>
      <c r="AP51" s="251" t="s">
        <v>1978</v>
      </c>
      <c r="AQ51" s="344" t="s">
        <v>1970</v>
      </c>
      <c r="AR51" s="2" t="s">
        <v>2150</v>
      </c>
      <c r="AS51" s="2" t="s">
        <v>3610</v>
      </c>
      <c r="AT51" s="2" t="s">
        <v>1970</v>
      </c>
      <c r="AU51" s="564">
        <v>44743</v>
      </c>
      <c r="AV51" s="344" t="s">
        <v>1987</v>
      </c>
      <c r="AW51" s="564"/>
      <c r="AX51" s="564"/>
      <c r="AY51" s="564"/>
      <c r="AZ51" s="564"/>
      <c r="BA51" s="564"/>
      <c r="BB51" s="2">
        <v>1</v>
      </c>
      <c r="BC51" s="2">
        <v>2</v>
      </c>
      <c r="BD51" s="2">
        <v>1.5</v>
      </c>
      <c r="BE51" s="2">
        <v>1</v>
      </c>
      <c r="BF51" s="2">
        <v>1</v>
      </c>
      <c r="BG51" s="2">
        <v>2</v>
      </c>
      <c r="BH51" s="2">
        <v>1</v>
      </c>
      <c r="BI51" s="2">
        <v>1</v>
      </c>
      <c r="BJ51" s="2">
        <v>3</v>
      </c>
      <c r="BK51" s="2">
        <v>3</v>
      </c>
      <c r="BL51" s="2">
        <v>4</v>
      </c>
      <c r="BM51" s="2">
        <v>3</v>
      </c>
      <c r="BN51" s="2" t="s">
        <v>1978</v>
      </c>
      <c r="BO51" s="2">
        <v>4</v>
      </c>
      <c r="BP51" s="2">
        <v>4</v>
      </c>
      <c r="BQ51" s="2" t="s">
        <v>1978</v>
      </c>
      <c r="BR51" s="2">
        <f t="shared" si="309"/>
        <v>3</v>
      </c>
      <c r="BS51" s="2">
        <f t="shared" si="310"/>
        <v>6</v>
      </c>
      <c r="BT51" s="2">
        <f t="shared" si="311"/>
        <v>6</v>
      </c>
      <c r="BU51" s="2">
        <f t="shared" si="312"/>
        <v>3</v>
      </c>
      <c r="BV51" s="2" t="e">
        <f t="shared" si="313"/>
        <v>#VALUE!</v>
      </c>
      <c r="BW51" s="2">
        <f t="shared" si="314"/>
        <v>8</v>
      </c>
      <c r="BX51" s="2">
        <f t="shared" si="315"/>
        <v>4</v>
      </c>
      <c r="BY51" s="2" t="e">
        <f t="shared" si="316"/>
        <v>#VALUE!</v>
      </c>
      <c r="BZ51" s="2" t="b">
        <v>1</v>
      </c>
      <c r="CA51" s="2" t="b">
        <v>1</v>
      </c>
      <c r="CB51" s="2" t="b">
        <v>1</v>
      </c>
      <c r="CC51" s="2" t="b">
        <v>0</v>
      </c>
      <c r="CD51" s="2" t="b">
        <v>0</v>
      </c>
      <c r="CE51" s="2" t="b">
        <v>1</v>
      </c>
      <c r="CF51" s="2" t="b">
        <v>1</v>
      </c>
      <c r="CG51" s="2" t="b">
        <v>0</v>
      </c>
      <c r="CH51" s="2">
        <v>1</v>
      </c>
      <c r="CI51" s="2">
        <v>2</v>
      </c>
      <c r="CJ51" s="2">
        <v>1.5</v>
      </c>
      <c r="CK51" s="2">
        <v>1</v>
      </c>
      <c r="CL51" s="2">
        <v>1</v>
      </c>
      <c r="CM51" s="2">
        <v>2</v>
      </c>
      <c r="CN51" s="2">
        <v>1</v>
      </c>
      <c r="CO51" s="2">
        <v>1</v>
      </c>
      <c r="CP51" s="2">
        <v>3</v>
      </c>
      <c r="CQ51" s="2">
        <v>4</v>
      </c>
      <c r="CR51" s="2">
        <v>4</v>
      </c>
      <c r="CS51" s="2">
        <v>3</v>
      </c>
      <c r="CT51" s="2" t="s">
        <v>1978</v>
      </c>
      <c r="CU51" s="2">
        <v>4</v>
      </c>
      <c r="CV51" s="2">
        <v>3</v>
      </c>
      <c r="CW51" s="2">
        <v>2</v>
      </c>
      <c r="CX51" s="2">
        <f t="shared" ref="CX51:CX66" si="361">CH51*CP51</f>
        <v>3</v>
      </c>
      <c r="CY51" s="2">
        <f t="shared" ref="CY51:CY66" si="362">CI51*CQ51</f>
        <v>8</v>
      </c>
      <c r="CZ51" s="2">
        <f t="shared" ref="CZ51:CZ66" si="363">CJ51*CR51</f>
        <v>6</v>
      </c>
      <c r="DA51" s="2">
        <f t="shared" ref="DA51:DA66" si="364">CK51*CS51</f>
        <v>3</v>
      </c>
      <c r="DB51" s="2" t="e">
        <f t="shared" ref="DB51:DB66" si="365">CL51*CT51</f>
        <v>#VALUE!</v>
      </c>
      <c r="DC51" s="2">
        <f t="shared" ref="DC51:DC66" si="366">CM51*CU51</f>
        <v>8</v>
      </c>
      <c r="DD51" s="2">
        <f t="shared" ref="DD51:DD66" si="367">CN51*CV51</f>
        <v>3</v>
      </c>
      <c r="DE51" s="2">
        <f t="shared" ref="DE51:DE66" si="368">CO51*CW51</f>
        <v>2</v>
      </c>
      <c r="DF51" s="2" t="b">
        <v>1</v>
      </c>
      <c r="DG51" s="2" t="b">
        <v>1</v>
      </c>
      <c r="DH51" s="2" t="b">
        <v>1</v>
      </c>
      <c r="DI51" s="2" t="b">
        <v>0</v>
      </c>
      <c r="DJ51" s="2" t="b">
        <v>0</v>
      </c>
      <c r="DK51" s="2" t="b">
        <v>1</v>
      </c>
      <c r="DL51" s="2" t="b">
        <v>1</v>
      </c>
      <c r="DM51" s="2" t="b">
        <v>0</v>
      </c>
      <c r="DN51" s="2" t="s">
        <v>1978</v>
      </c>
      <c r="DO51" s="2" t="s">
        <v>1978</v>
      </c>
      <c r="DP51" s="2" t="s">
        <v>1978</v>
      </c>
      <c r="DQ51" s="2" t="s">
        <v>1978</v>
      </c>
      <c r="DR51" s="2" t="s">
        <v>1978</v>
      </c>
      <c r="DS51" s="2" t="s">
        <v>1978</v>
      </c>
      <c r="DT51" s="2" t="s">
        <v>1978</v>
      </c>
      <c r="DU51" s="2" t="s">
        <v>1978</v>
      </c>
      <c r="DV51" s="2" t="s">
        <v>1978</v>
      </c>
      <c r="DW51" s="2" t="s">
        <v>1978</v>
      </c>
      <c r="DX51" s="2" t="s">
        <v>1978</v>
      </c>
      <c r="DY51" s="2" t="s">
        <v>1978</v>
      </c>
      <c r="DZ51" s="2" t="s">
        <v>1978</v>
      </c>
      <c r="EA51" s="2" t="s">
        <v>1978</v>
      </c>
      <c r="EB51" s="2" t="s">
        <v>1978</v>
      </c>
      <c r="EC51" s="2" t="s">
        <v>1978</v>
      </c>
      <c r="ED51" s="2" t="s">
        <v>1978</v>
      </c>
      <c r="EE51" s="2" t="s">
        <v>1978</v>
      </c>
      <c r="EF51" s="2" t="s">
        <v>1978</v>
      </c>
      <c r="EG51" s="2" t="s">
        <v>1978</v>
      </c>
      <c r="EH51" s="2" t="s">
        <v>1978</v>
      </c>
      <c r="EI51" s="2" t="s">
        <v>1978</v>
      </c>
      <c r="EJ51" s="2" t="s">
        <v>1978</v>
      </c>
      <c r="EK51" s="2" t="s">
        <v>1978</v>
      </c>
      <c r="EL51" s="2" t="s">
        <v>1978</v>
      </c>
      <c r="EM51" s="2" t="s">
        <v>1978</v>
      </c>
      <c r="EN51" s="2" t="s">
        <v>1978</v>
      </c>
      <c r="EO51" s="2" t="s">
        <v>1978</v>
      </c>
      <c r="EP51" s="2" t="s">
        <v>1978</v>
      </c>
      <c r="EQ51" s="2" t="s">
        <v>1978</v>
      </c>
      <c r="ER51" s="2" t="s">
        <v>1978</v>
      </c>
      <c r="ES51" s="2" t="s">
        <v>1978</v>
      </c>
    </row>
    <row r="52" spans="1:149" x14ac:dyDescent="0.3">
      <c r="A52" s="2" t="s">
        <v>192</v>
      </c>
      <c r="B52" s="2" t="s">
        <v>2148</v>
      </c>
      <c r="C52" s="2" t="s">
        <v>1983</v>
      </c>
      <c r="D52" s="2" t="s">
        <v>195</v>
      </c>
      <c r="E52" s="2" t="s">
        <v>2171</v>
      </c>
      <c r="F52" s="2" t="s">
        <v>1978</v>
      </c>
      <c r="G52" s="2">
        <f t="shared" si="359"/>
        <v>20</v>
      </c>
      <c r="H52" s="2">
        <f t="shared" si="360"/>
        <v>19</v>
      </c>
      <c r="I52" s="2" t="s">
        <v>2693</v>
      </c>
      <c r="J52" s="2" t="s">
        <v>2694</v>
      </c>
      <c r="K52" s="2" t="s">
        <v>1970</v>
      </c>
      <c r="L52" s="2" t="s">
        <v>1970</v>
      </c>
      <c r="M52" s="2" t="s">
        <v>1978</v>
      </c>
      <c r="N52" s="344" t="s">
        <v>1978</v>
      </c>
      <c r="O52" s="344" t="s">
        <v>1978</v>
      </c>
      <c r="P52" s="344" t="s">
        <v>1978</v>
      </c>
      <c r="Q52" s="344" t="s">
        <v>1978</v>
      </c>
      <c r="R52" s="344" t="s">
        <v>1978</v>
      </c>
      <c r="S52" s="344" t="s">
        <v>1978</v>
      </c>
      <c r="T52" s="2" t="s">
        <v>193</v>
      </c>
      <c r="U52" s="2" t="s">
        <v>2150</v>
      </c>
      <c r="X52" s="344">
        <f>'A123'!J60</f>
        <v>97</v>
      </c>
      <c r="Y52" s="344">
        <f>'A123'!K60</f>
        <v>111</v>
      </c>
      <c r="Z52" s="344">
        <f>'A123'!L60</f>
        <v>5.9905660377358494</v>
      </c>
      <c r="AA52" s="2" t="s">
        <v>2150</v>
      </c>
      <c r="AB52" s="2" t="str">
        <f>入學要求!X61</f>
        <v>以下一科選修取得Lv.3︰生物、化學、組合科學、ICT、M1/2、物理</v>
      </c>
      <c r="AC52" s="2" t="str">
        <f>入學要求!Y61</f>
        <v>/</v>
      </c>
      <c r="AD52" s="2" t="s">
        <v>2171</v>
      </c>
      <c r="AE52" s="2" t="s">
        <v>2693</v>
      </c>
      <c r="AF52" s="2" t="s">
        <v>2694</v>
      </c>
      <c r="AG52" s="2" t="s">
        <v>1978</v>
      </c>
      <c r="AH52" s="2" t="s">
        <v>1978</v>
      </c>
      <c r="AI52" s="2" t="s">
        <v>1970</v>
      </c>
      <c r="AJ52" s="2" t="s">
        <v>2692</v>
      </c>
      <c r="AK52" s="2" t="s">
        <v>2151</v>
      </c>
      <c r="AL52" s="2" t="s">
        <v>2695</v>
      </c>
      <c r="AM52" s="2" t="s">
        <v>1970</v>
      </c>
      <c r="AN52" s="2" t="s">
        <v>1978</v>
      </c>
      <c r="AO52" s="2" t="s">
        <v>1978</v>
      </c>
      <c r="AP52" s="251" t="s">
        <v>1978</v>
      </c>
      <c r="AQ52" s="344" t="s">
        <v>1970</v>
      </c>
      <c r="AR52" s="2" t="s">
        <v>2150</v>
      </c>
      <c r="AS52" s="2" t="s">
        <v>3610</v>
      </c>
      <c r="AT52" s="2" t="s">
        <v>1970</v>
      </c>
      <c r="AU52" s="2" t="s">
        <v>3618</v>
      </c>
      <c r="AV52" s="344" t="s">
        <v>1987</v>
      </c>
      <c r="BB52" s="2">
        <v>1</v>
      </c>
      <c r="BC52" s="2">
        <v>1</v>
      </c>
      <c r="BD52" s="2">
        <v>1</v>
      </c>
      <c r="BE52" s="2">
        <v>1</v>
      </c>
      <c r="BF52" s="2">
        <v>1</v>
      </c>
      <c r="BG52" s="2">
        <v>1</v>
      </c>
      <c r="BH52" s="2">
        <v>1</v>
      </c>
      <c r="BI52" s="2">
        <v>1</v>
      </c>
      <c r="BJ52" s="2">
        <v>4</v>
      </c>
      <c r="BK52" s="2">
        <v>3</v>
      </c>
      <c r="BL52" s="2">
        <v>5</v>
      </c>
      <c r="BM52" s="2">
        <v>3</v>
      </c>
      <c r="BN52" s="2" t="s">
        <v>1978</v>
      </c>
      <c r="BO52" s="2">
        <v>4</v>
      </c>
      <c r="BP52" s="2">
        <v>3</v>
      </c>
      <c r="BQ52" s="2">
        <v>3</v>
      </c>
      <c r="BR52" s="2">
        <f t="shared" si="309"/>
        <v>4</v>
      </c>
      <c r="BS52" s="2">
        <f t="shared" si="310"/>
        <v>3</v>
      </c>
      <c r="BT52" s="2">
        <f t="shared" si="311"/>
        <v>5</v>
      </c>
      <c r="BU52" s="2">
        <f t="shared" si="312"/>
        <v>3</v>
      </c>
      <c r="BV52" s="2" t="e">
        <f t="shared" si="313"/>
        <v>#VALUE!</v>
      </c>
      <c r="BW52" s="2">
        <f t="shared" si="314"/>
        <v>4</v>
      </c>
      <c r="BX52" s="2">
        <f t="shared" si="315"/>
        <v>3</v>
      </c>
      <c r="BY52" s="2">
        <f t="shared" si="316"/>
        <v>3</v>
      </c>
      <c r="BZ52" s="2" t="b">
        <v>1</v>
      </c>
      <c r="CA52" s="2" t="b">
        <v>1</v>
      </c>
      <c r="CB52" s="2" t="b">
        <v>1</v>
      </c>
      <c r="CC52" s="2" t="b">
        <v>0</v>
      </c>
      <c r="CD52" s="2" t="b">
        <v>0</v>
      </c>
      <c r="CE52" s="2" t="b">
        <v>1</v>
      </c>
      <c r="CF52" s="2" t="b">
        <v>1</v>
      </c>
      <c r="CG52" s="2" t="b">
        <v>0</v>
      </c>
      <c r="CH52" s="2">
        <v>1</v>
      </c>
      <c r="CI52" s="2">
        <v>1</v>
      </c>
      <c r="CJ52" s="2">
        <v>1</v>
      </c>
      <c r="CK52" s="2">
        <v>1</v>
      </c>
      <c r="CL52" s="2">
        <v>1</v>
      </c>
      <c r="CM52" s="2">
        <v>1</v>
      </c>
      <c r="CN52" s="2">
        <v>1</v>
      </c>
      <c r="CO52" s="2">
        <v>1</v>
      </c>
      <c r="CP52" s="2">
        <v>4</v>
      </c>
      <c r="CQ52" s="2">
        <v>4</v>
      </c>
      <c r="CR52" s="2">
        <v>4</v>
      </c>
      <c r="CS52" s="2">
        <v>3</v>
      </c>
      <c r="CT52" s="2" t="s">
        <v>1978</v>
      </c>
      <c r="CU52" s="2">
        <v>4</v>
      </c>
      <c r="CV52" s="2">
        <v>4</v>
      </c>
      <c r="CW52" s="2">
        <v>4</v>
      </c>
      <c r="CX52" s="2">
        <f t="shared" si="361"/>
        <v>4</v>
      </c>
      <c r="CY52" s="2">
        <f t="shared" si="362"/>
        <v>4</v>
      </c>
      <c r="CZ52" s="2">
        <f t="shared" si="363"/>
        <v>4</v>
      </c>
      <c r="DA52" s="2">
        <f t="shared" si="364"/>
        <v>3</v>
      </c>
      <c r="DB52" s="2" t="e">
        <f t="shared" si="365"/>
        <v>#VALUE!</v>
      </c>
      <c r="DC52" s="2">
        <f t="shared" si="366"/>
        <v>4</v>
      </c>
      <c r="DD52" s="2">
        <f t="shared" si="367"/>
        <v>4</v>
      </c>
      <c r="DE52" s="2">
        <f t="shared" si="368"/>
        <v>4</v>
      </c>
      <c r="DF52" s="2" t="b">
        <v>1</v>
      </c>
      <c r="DG52" s="2" t="b">
        <v>1</v>
      </c>
      <c r="DH52" s="2" t="b">
        <v>1</v>
      </c>
      <c r="DI52" s="2" t="b">
        <v>0</v>
      </c>
      <c r="DJ52" s="2" t="b">
        <v>0</v>
      </c>
      <c r="DK52" s="2" t="b">
        <v>1</v>
      </c>
      <c r="DL52" s="2" t="b">
        <v>1</v>
      </c>
      <c r="DM52" s="2" t="b">
        <v>0</v>
      </c>
      <c r="DN52" s="2" t="s">
        <v>1978</v>
      </c>
      <c r="DO52" s="2" t="s">
        <v>1978</v>
      </c>
      <c r="DP52" s="2" t="s">
        <v>1978</v>
      </c>
      <c r="DQ52" s="2" t="s">
        <v>1978</v>
      </c>
      <c r="DR52" s="2" t="s">
        <v>1978</v>
      </c>
      <c r="DS52" s="2" t="s">
        <v>1978</v>
      </c>
      <c r="DT52" s="2" t="s">
        <v>1978</v>
      </c>
      <c r="DU52" s="2" t="s">
        <v>1978</v>
      </c>
      <c r="DV52" s="2" t="s">
        <v>1978</v>
      </c>
      <c r="DW52" s="2" t="s">
        <v>1978</v>
      </c>
      <c r="DX52" s="2" t="s">
        <v>1978</v>
      </c>
      <c r="DY52" s="2" t="s">
        <v>1978</v>
      </c>
      <c r="DZ52" s="2" t="s">
        <v>1978</v>
      </c>
      <c r="EA52" s="2" t="s">
        <v>1978</v>
      </c>
      <c r="EB52" s="2" t="s">
        <v>1978</v>
      </c>
      <c r="EC52" s="2" t="s">
        <v>1978</v>
      </c>
      <c r="ED52" s="2" t="s">
        <v>1978</v>
      </c>
      <c r="EE52" s="2" t="s">
        <v>1978</v>
      </c>
      <c r="EF52" s="2" t="s">
        <v>1978</v>
      </c>
      <c r="EG52" s="2" t="s">
        <v>1978</v>
      </c>
      <c r="EH52" s="2" t="s">
        <v>1978</v>
      </c>
      <c r="EI52" s="2" t="s">
        <v>1978</v>
      </c>
      <c r="EJ52" s="2" t="s">
        <v>1978</v>
      </c>
      <c r="EK52" s="2" t="s">
        <v>1978</v>
      </c>
      <c r="EL52" s="2" t="s">
        <v>1978</v>
      </c>
      <c r="EM52" s="2" t="s">
        <v>1978</v>
      </c>
      <c r="EN52" s="2" t="s">
        <v>1978</v>
      </c>
      <c r="EO52" s="2" t="s">
        <v>1978</v>
      </c>
      <c r="EP52" s="2" t="s">
        <v>1978</v>
      </c>
      <c r="EQ52" s="2" t="s">
        <v>1978</v>
      </c>
      <c r="ER52" s="2" t="s">
        <v>1978</v>
      </c>
      <c r="ES52" s="2" t="s">
        <v>1978</v>
      </c>
    </row>
    <row r="53" spans="1:149" ht="13.95" customHeight="1" x14ac:dyDescent="0.3">
      <c r="A53" s="2" t="s">
        <v>198</v>
      </c>
      <c r="B53" s="2" t="s">
        <v>2148</v>
      </c>
      <c r="C53" s="2" t="s">
        <v>1983</v>
      </c>
      <c r="D53" s="2" t="s">
        <v>201</v>
      </c>
      <c r="E53" s="11" t="s">
        <v>2171</v>
      </c>
      <c r="F53" s="2" t="s">
        <v>1978</v>
      </c>
      <c r="G53" s="2">
        <f t="shared" si="359"/>
        <v>32</v>
      </c>
      <c r="H53" s="2">
        <f t="shared" si="360"/>
        <v>30</v>
      </c>
      <c r="I53" s="2" t="s">
        <v>2696</v>
      </c>
      <c r="J53" s="2" t="s">
        <v>1970</v>
      </c>
      <c r="K53" s="2" t="s">
        <v>2697</v>
      </c>
      <c r="L53" s="2" t="s">
        <v>2698</v>
      </c>
      <c r="M53" s="2" t="s">
        <v>1978</v>
      </c>
      <c r="N53" s="344" t="s">
        <v>1978</v>
      </c>
      <c r="O53" s="344" t="s">
        <v>1978</v>
      </c>
      <c r="P53" s="344" t="s">
        <v>1978</v>
      </c>
      <c r="Q53" s="344" t="s">
        <v>1978</v>
      </c>
      <c r="R53" s="344" t="s">
        <v>1978</v>
      </c>
      <c r="S53" s="344" t="s">
        <v>1978</v>
      </c>
      <c r="T53" s="2" t="s">
        <v>199</v>
      </c>
      <c r="U53" s="2" t="s">
        <v>2150</v>
      </c>
      <c r="X53" s="344">
        <f>'A123'!J61</f>
        <v>174</v>
      </c>
      <c r="Y53" s="344">
        <f>'A123'!K61</f>
        <v>89</v>
      </c>
      <c r="Z53" s="344">
        <f>'A123'!L61</f>
        <v>5.7261904761904763</v>
      </c>
      <c r="AA53" s="2" t="s">
        <v>2150</v>
      </c>
      <c r="AB53" s="2" t="str">
        <f>入學要求!X62</f>
        <v>以下一科選修取得Lv.3︰生物、化學、組合科學、綜合科學、ICT、M1/2、物理</v>
      </c>
      <c r="AC53" s="2" t="str">
        <f>入學要求!Y62</f>
        <v>/</v>
      </c>
      <c r="AD53" s="2" t="s">
        <v>2171</v>
      </c>
      <c r="AE53" s="2" t="s">
        <v>2696</v>
      </c>
      <c r="AF53" s="2" t="s">
        <v>1970</v>
      </c>
      <c r="AG53" s="2" t="s">
        <v>2697</v>
      </c>
      <c r="AH53" s="2" t="s">
        <v>2698</v>
      </c>
      <c r="AI53" s="2" t="s">
        <v>1970</v>
      </c>
      <c r="AJ53" s="2" t="s">
        <v>2692</v>
      </c>
      <c r="AK53" s="2" t="s">
        <v>2151</v>
      </c>
      <c r="AL53" s="2" t="s">
        <v>2702</v>
      </c>
      <c r="AM53" s="2" t="s">
        <v>2703</v>
      </c>
      <c r="AN53" s="2" t="s">
        <v>1978</v>
      </c>
      <c r="AO53" s="2" t="s">
        <v>1978</v>
      </c>
      <c r="AP53" s="251" t="s">
        <v>1978</v>
      </c>
      <c r="AQ53" s="344" t="s">
        <v>1970</v>
      </c>
      <c r="AR53" s="2" t="s">
        <v>2150</v>
      </c>
      <c r="AS53" s="344" t="s">
        <v>2653</v>
      </c>
      <c r="AT53" s="2" t="s">
        <v>1970</v>
      </c>
      <c r="AU53" s="2" t="s">
        <v>1970</v>
      </c>
      <c r="AV53" s="344" t="s">
        <v>1987</v>
      </c>
      <c r="BB53" s="2">
        <v>1</v>
      </c>
      <c r="BC53" s="2">
        <v>2</v>
      </c>
      <c r="BD53" s="2">
        <v>2</v>
      </c>
      <c r="BE53" s="2">
        <v>1</v>
      </c>
      <c r="BF53" s="2">
        <v>2</v>
      </c>
      <c r="BG53" s="2">
        <v>2</v>
      </c>
      <c r="BH53" s="2">
        <v>2</v>
      </c>
      <c r="BI53" s="2">
        <v>2</v>
      </c>
      <c r="BJ53" s="2">
        <v>3</v>
      </c>
      <c r="BK53" s="2">
        <v>4</v>
      </c>
      <c r="BL53" s="2">
        <v>3</v>
      </c>
      <c r="BM53" s="2">
        <v>4</v>
      </c>
      <c r="BN53" s="2" t="s">
        <v>1978</v>
      </c>
      <c r="BO53" s="2">
        <v>3</v>
      </c>
      <c r="BP53" s="2">
        <v>3</v>
      </c>
      <c r="BQ53" s="2">
        <v>2</v>
      </c>
      <c r="BR53" s="2">
        <f>BB53*BJ53</f>
        <v>3</v>
      </c>
      <c r="BS53" s="2">
        <f t="shared" si="310"/>
        <v>8</v>
      </c>
      <c r="BT53" s="2">
        <f t="shared" si="311"/>
        <v>6</v>
      </c>
      <c r="BU53" s="2">
        <f t="shared" si="312"/>
        <v>4</v>
      </c>
      <c r="BV53" s="2" t="e">
        <f>BF53*BN53</f>
        <v>#VALUE!</v>
      </c>
      <c r="BW53" s="2">
        <f>BG53*BO53</f>
        <v>6</v>
      </c>
      <c r="BX53" s="2">
        <f>BH53*BP53</f>
        <v>6</v>
      </c>
      <c r="BY53" s="2">
        <f>BI53*BQ53</f>
        <v>4</v>
      </c>
      <c r="BZ53" s="2" t="b">
        <v>0</v>
      </c>
      <c r="CA53" s="2" t="b">
        <v>1</v>
      </c>
      <c r="CB53" s="2" t="b">
        <v>1</v>
      </c>
      <c r="CC53" s="2" t="b">
        <v>1</v>
      </c>
      <c r="CD53" s="2" t="b">
        <v>0</v>
      </c>
      <c r="CE53" s="2" t="b">
        <v>1</v>
      </c>
      <c r="CF53" s="2" t="b">
        <v>1</v>
      </c>
      <c r="CG53" s="2" t="b">
        <v>0</v>
      </c>
      <c r="CH53" s="2">
        <v>1</v>
      </c>
      <c r="CI53" s="2">
        <v>2</v>
      </c>
      <c r="CJ53" s="2">
        <v>2</v>
      </c>
      <c r="CK53" s="2">
        <v>1</v>
      </c>
      <c r="CL53" s="2">
        <v>2</v>
      </c>
      <c r="CM53" s="2">
        <v>1.5</v>
      </c>
      <c r="CN53" s="2">
        <v>2</v>
      </c>
      <c r="CO53" s="2">
        <v>2</v>
      </c>
      <c r="CP53" s="2">
        <v>3</v>
      </c>
      <c r="CQ53" s="2">
        <v>3</v>
      </c>
      <c r="CR53" s="2">
        <v>4</v>
      </c>
      <c r="CS53" s="2">
        <v>3</v>
      </c>
      <c r="CT53" s="2" t="s">
        <v>1978</v>
      </c>
      <c r="CU53" s="2">
        <v>4</v>
      </c>
      <c r="CV53" s="2">
        <v>3</v>
      </c>
      <c r="CW53" s="2">
        <v>3</v>
      </c>
      <c r="CX53" s="2">
        <f t="shared" si="361"/>
        <v>3</v>
      </c>
      <c r="CY53" s="2">
        <f t="shared" si="362"/>
        <v>6</v>
      </c>
      <c r="CZ53" s="2">
        <f t="shared" si="363"/>
        <v>8</v>
      </c>
      <c r="DA53" s="2">
        <f t="shared" si="364"/>
        <v>3</v>
      </c>
      <c r="DB53" s="2" t="e">
        <f t="shared" si="365"/>
        <v>#VALUE!</v>
      </c>
      <c r="DC53" s="2">
        <f t="shared" si="366"/>
        <v>6</v>
      </c>
      <c r="DD53" s="2">
        <f t="shared" si="367"/>
        <v>6</v>
      </c>
      <c r="DE53" s="2">
        <f t="shared" si="368"/>
        <v>6</v>
      </c>
      <c r="DF53" s="2" t="b">
        <v>0</v>
      </c>
      <c r="DG53" s="2" t="b">
        <v>1</v>
      </c>
      <c r="DH53" s="2" t="b">
        <v>1</v>
      </c>
      <c r="DI53" s="2" t="b">
        <v>0</v>
      </c>
      <c r="DJ53" s="2" t="b">
        <v>0</v>
      </c>
      <c r="DK53" s="2" t="b">
        <v>1</v>
      </c>
      <c r="DL53" s="2" t="b">
        <v>1</v>
      </c>
      <c r="DM53" s="2" t="b">
        <v>1</v>
      </c>
      <c r="DN53" s="2" t="s">
        <v>1978</v>
      </c>
      <c r="DO53" s="2" t="s">
        <v>1978</v>
      </c>
      <c r="DP53" s="2" t="s">
        <v>1978</v>
      </c>
      <c r="DQ53" s="2" t="s">
        <v>1978</v>
      </c>
      <c r="DR53" s="2" t="s">
        <v>1978</v>
      </c>
      <c r="DS53" s="2" t="s">
        <v>1978</v>
      </c>
      <c r="DT53" s="2" t="s">
        <v>1978</v>
      </c>
      <c r="DU53" s="2" t="s">
        <v>1978</v>
      </c>
      <c r="DV53" s="2" t="s">
        <v>1978</v>
      </c>
      <c r="DW53" s="2" t="s">
        <v>1978</v>
      </c>
      <c r="DX53" s="2" t="s">
        <v>1978</v>
      </c>
      <c r="DY53" s="2" t="s">
        <v>1978</v>
      </c>
      <c r="DZ53" s="2" t="s">
        <v>1978</v>
      </c>
      <c r="EA53" s="2" t="s">
        <v>1978</v>
      </c>
      <c r="EB53" s="2" t="s">
        <v>1978</v>
      </c>
      <c r="EC53" s="2" t="s">
        <v>1978</v>
      </c>
      <c r="ED53" s="2" t="s">
        <v>1978</v>
      </c>
      <c r="EE53" s="2" t="s">
        <v>1978</v>
      </c>
      <c r="EF53" s="2" t="s">
        <v>1978</v>
      </c>
      <c r="EG53" s="2" t="s">
        <v>1978</v>
      </c>
      <c r="EH53" s="2" t="s">
        <v>1978</v>
      </c>
      <c r="EI53" s="2" t="s">
        <v>1978</v>
      </c>
      <c r="EJ53" s="2" t="s">
        <v>1978</v>
      </c>
      <c r="EK53" s="2" t="s">
        <v>1978</v>
      </c>
      <c r="EL53" s="2" t="s">
        <v>1978</v>
      </c>
      <c r="EM53" s="2" t="s">
        <v>1978</v>
      </c>
      <c r="EN53" s="2" t="s">
        <v>1978</v>
      </c>
      <c r="EO53" s="2" t="s">
        <v>1978</v>
      </c>
      <c r="EP53" s="2" t="s">
        <v>1978</v>
      </c>
      <c r="EQ53" s="2" t="s">
        <v>1978</v>
      </c>
      <c r="ER53" s="2" t="s">
        <v>1978</v>
      </c>
      <c r="ES53" s="2" t="s">
        <v>1978</v>
      </c>
    </row>
    <row r="54" spans="1:149" x14ac:dyDescent="0.3">
      <c r="A54" s="2" t="s">
        <v>204</v>
      </c>
      <c r="B54" s="2" t="s">
        <v>2148</v>
      </c>
      <c r="C54" s="2" t="s">
        <v>2159</v>
      </c>
      <c r="D54" s="2" t="s">
        <v>206</v>
      </c>
      <c r="E54" s="11" t="s">
        <v>2171</v>
      </c>
      <c r="F54" s="2" t="s">
        <v>1978</v>
      </c>
      <c r="G54" s="2">
        <f t="shared" si="359"/>
        <v>33</v>
      </c>
      <c r="H54" s="2">
        <f t="shared" si="360"/>
        <v>30</v>
      </c>
      <c r="I54" s="2" t="s">
        <v>2751</v>
      </c>
      <c r="J54" s="2" t="s">
        <v>1970</v>
      </c>
      <c r="K54" s="2" t="s">
        <v>2753</v>
      </c>
      <c r="L54" s="2" t="s">
        <v>2755</v>
      </c>
      <c r="M54" s="2" t="s">
        <v>1978</v>
      </c>
      <c r="N54" s="344" t="s">
        <v>1978</v>
      </c>
      <c r="O54" s="344" t="s">
        <v>1978</v>
      </c>
      <c r="P54" s="344" t="s">
        <v>1978</v>
      </c>
      <c r="Q54" s="344" t="s">
        <v>1978</v>
      </c>
      <c r="R54" s="344" t="s">
        <v>1978</v>
      </c>
      <c r="S54" s="344" t="s">
        <v>1978</v>
      </c>
      <c r="T54" s="2" t="s">
        <v>74</v>
      </c>
      <c r="U54" s="2" t="s">
        <v>2150</v>
      </c>
      <c r="X54" s="344">
        <f>'A123'!J62</f>
        <v>31</v>
      </c>
      <c r="Y54" s="344">
        <f>'A123'!K62</f>
        <v>22</v>
      </c>
      <c r="Z54" s="344">
        <f>'A123'!L62</f>
        <v>7.5294117647058822</v>
      </c>
      <c r="AA54" s="2" t="s">
        <v>2150</v>
      </c>
      <c r="AB54" s="2" t="str">
        <f>入學要求!X63</f>
        <v>以下一科選修取得Lv.3︰生物、BAFS、化學、DAT、ICT、M1/2、物理、組合科學、綜合科學</v>
      </c>
      <c r="AC54" s="2" t="str">
        <f>入學要求!Y63</f>
        <v>/</v>
      </c>
      <c r="AD54" s="2" t="s">
        <v>2171</v>
      </c>
      <c r="AE54" s="2" t="s">
        <v>2751</v>
      </c>
      <c r="AF54" s="2" t="s">
        <v>1970</v>
      </c>
      <c r="AG54" s="2" t="s">
        <v>2753</v>
      </c>
      <c r="AH54" s="2" t="s">
        <v>2755</v>
      </c>
      <c r="AI54" s="2" t="s">
        <v>1970</v>
      </c>
      <c r="AJ54" s="2" t="s">
        <v>2756</v>
      </c>
      <c r="AK54" s="2" t="s">
        <v>2151</v>
      </c>
      <c r="AL54" s="2" t="s">
        <v>2729</v>
      </c>
      <c r="AM54" s="2" t="s">
        <v>1970</v>
      </c>
      <c r="AN54" s="2" t="s">
        <v>1978</v>
      </c>
      <c r="AO54" s="2" t="s">
        <v>1978</v>
      </c>
      <c r="AP54" s="251" t="s">
        <v>1978</v>
      </c>
      <c r="AQ54" s="344" t="s">
        <v>1970</v>
      </c>
      <c r="AR54" s="2" t="s">
        <v>2150</v>
      </c>
      <c r="AS54" s="2" t="s">
        <v>3603</v>
      </c>
      <c r="AT54" s="2" t="s">
        <v>3619</v>
      </c>
      <c r="AU54" s="2" t="s">
        <v>1970</v>
      </c>
      <c r="AV54" s="344" t="s">
        <v>1987</v>
      </c>
      <c r="BB54" s="2">
        <v>1</v>
      </c>
      <c r="BC54" s="2">
        <v>2</v>
      </c>
      <c r="BD54" s="2">
        <v>2.5</v>
      </c>
      <c r="BE54" s="2">
        <v>1</v>
      </c>
      <c r="BF54" s="2">
        <v>2</v>
      </c>
      <c r="BG54" s="2">
        <v>1</v>
      </c>
      <c r="BH54" s="2">
        <v>1.5</v>
      </c>
      <c r="BI54" s="2">
        <v>1</v>
      </c>
      <c r="BJ54" s="2">
        <v>3</v>
      </c>
      <c r="BK54" s="2">
        <v>3</v>
      </c>
      <c r="BL54" s="2">
        <v>5</v>
      </c>
      <c r="BM54" s="2">
        <v>3</v>
      </c>
      <c r="BN54" s="2" t="s">
        <v>1978</v>
      </c>
      <c r="BO54" s="2">
        <v>4</v>
      </c>
      <c r="BP54" s="2">
        <v>3</v>
      </c>
      <c r="BQ54" s="2" t="s">
        <v>1978</v>
      </c>
      <c r="BR54" s="2">
        <f t="shared" si="309"/>
        <v>3</v>
      </c>
      <c r="BS54" s="2">
        <f t="shared" si="310"/>
        <v>6</v>
      </c>
      <c r="BT54" s="2">
        <f t="shared" si="311"/>
        <v>12.5</v>
      </c>
      <c r="BU54" s="2">
        <f t="shared" si="312"/>
        <v>3</v>
      </c>
      <c r="BV54" s="2" t="e">
        <f t="shared" si="313"/>
        <v>#VALUE!</v>
      </c>
      <c r="BW54" s="2">
        <f t="shared" si="314"/>
        <v>4</v>
      </c>
      <c r="BX54" s="2">
        <f t="shared" si="315"/>
        <v>4.5</v>
      </c>
      <c r="BY54" s="2" t="e">
        <f t="shared" si="316"/>
        <v>#VALUE!</v>
      </c>
      <c r="BZ54" s="2" t="b">
        <v>1</v>
      </c>
      <c r="CA54" s="2" t="b">
        <v>1</v>
      </c>
      <c r="CB54" s="2" t="b">
        <v>1</v>
      </c>
      <c r="CC54" s="2" t="b">
        <v>0</v>
      </c>
      <c r="CD54" s="2" t="b">
        <v>0</v>
      </c>
      <c r="CE54" s="2" t="b">
        <v>1</v>
      </c>
      <c r="CF54" s="2" t="b">
        <v>1</v>
      </c>
      <c r="CG54" s="2" t="b">
        <v>0</v>
      </c>
      <c r="CH54" s="2">
        <v>1</v>
      </c>
      <c r="CI54" s="2">
        <v>2</v>
      </c>
      <c r="CJ54" s="2">
        <v>2.5</v>
      </c>
      <c r="CK54" s="2">
        <v>1</v>
      </c>
      <c r="CL54" s="2">
        <v>2</v>
      </c>
      <c r="CM54" s="2">
        <v>1.5</v>
      </c>
      <c r="CN54" s="2">
        <v>1.5</v>
      </c>
      <c r="CO54" s="2">
        <v>1</v>
      </c>
      <c r="CP54" s="2">
        <v>3</v>
      </c>
      <c r="CQ54" s="2">
        <v>3</v>
      </c>
      <c r="CR54" s="2">
        <v>5</v>
      </c>
      <c r="CS54" s="2">
        <v>4</v>
      </c>
      <c r="CT54" s="2" t="s">
        <v>1978</v>
      </c>
      <c r="CU54" s="2">
        <v>4</v>
      </c>
      <c r="CV54" s="2">
        <v>3</v>
      </c>
      <c r="CW54" s="2">
        <v>3</v>
      </c>
      <c r="CX54" s="2">
        <f t="shared" si="361"/>
        <v>3</v>
      </c>
      <c r="CY54" s="2">
        <f t="shared" si="362"/>
        <v>6</v>
      </c>
      <c r="CZ54" s="2">
        <f t="shared" si="363"/>
        <v>12.5</v>
      </c>
      <c r="DA54" s="2">
        <f t="shared" si="364"/>
        <v>4</v>
      </c>
      <c r="DB54" s="2" t="e">
        <f t="shared" si="365"/>
        <v>#VALUE!</v>
      </c>
      <c r="DC54" s="2">
        <f t="shared" si="366"/>
        <v>6</v>
      </c>
      <c r="DD54" s="2">
        <f t="shared" si="367"/>
        <v>4.5</v>
      </c>
      <c r="DE54" s="2">
        <f t="shared" si="368"/>
        <v>3</v>
      </c>
      <c r="DF54" s="2" t="b">
        <v>0</v>
      </c>
      <c r="DG54" s="2" t="b">
        <v>1</v>
      </c>
      <c r="DH54" s="2" t="b">
        <v>1</v>
      </c>
      <c r="DI54" s="2" t="b">
        <v>1</v>
      </c>
      <c r="DJ54" s="2" t="b">
        <v>0</v>
      </c>
      <c r="DK54" s="2" t="b">
        <v>1</v>
      </c>
      <c r="DL54" s="2" t="b">
        <v>1</v>
      </c>
      <c r="DM54" s="2" t="b">
        <v>0</v>
      </c>
      <c r="DN54" s="2" t="s">
        <v>1978</v>
      </c>
      <c r="DO54" s="2" t="s">
        <v>1978</v>
      </c>
      <c r="DP54" s="2" t="s">
        <v>1978</v>
      </c>
      <c r="DQ54" s="2" t="s">
        <v>1978</v>
      </c>
      <c r="DR54" s="2" t="s">
        <v>1978</v>
      </c>
      <c r="DS54" s="2" t="s">
        <v>1978</v>
      </c>
      <c r="DT54" s="2" t="s">
        <v>1978</v>
      </c>
      <c r="DU54" s="2" t="s">
        <v>1978</v>
      </c>
      <c r="DV54" s="2" t="s">
        <v>1978</v>
      </c>
      <c r="DW54" s="2" t="s">
        <v>1978</v>
      </c>
      <c r="DX54" s="2" t="s">
        <v>1978</v>
      </c>
      <c r="DY54" s="2" t="s">
        <v>1978</v>
      </c>
      <c r="DZ54" s="2" t="s">
        <v>1978</v>
      </c>
      <c r="EA54" s="2" t="s">
        <v>1978</v>
      </c>
      <c r="EB54" s="2" t="s">
        <v>1978</v>
      </c>
      <c r="EC54" s="2" t="s">
        <v>1978</v>
      </c>
      <c r="ED54" s="2" t="s">
        <v>1978</v>
      </c>
      <c r="EE54" s="2" t="s">
        <v>1978</v>
      </c>
      <c r="EF54" s="2" t="s">
        <v>1978</v>
      </c>
      <c r="EG54" s="2" t="s">
        <v>1978</v>
      </c>
      <c r="EH54" s="2" t="s">
        <v>1978</v>
      </c>
      <c r="EI54" s="2" t="s">
        <v>1978</v>
      </c>
      <c r="EJ54" s="2" t="s">
        <v>1978</v>
      </c>
      <c r="EK54" s="2" t="s">
        <v>1978</v>
      </c>
      <c r="EL54" s="2" t="s">
        <v>1978</v>
      </c>
      <c r="EM54" s="2" t="s">
        <v>1978</v>
      </c>
      <c r="EN54" s="2" t="s">
        <v>1978</v>
      </c>
      <c r="EO54" s="2" t="s">
        <v>1978</v>
      </c>
      <c r="EP54" s="2" t="s">
        <v>1978</v>
      </c>
      <c r="EQ54" s="2" t="s">
        <v>1978</v>
      </c>
      <c r="ER54" s="2" t="s">
        <v>1978</v>
      </c>
      <c r="ES54" s="2" t="s">
        <v>1978</v>
      </c>
    </row>
    <row r="55" spans="1:149" x14ac:dyDescent="0.3">
      <c r="A55" s="2" t="s">
        <v>208</v>
      </c>
      <c r="B55" s="2" t="s">
        <v>2148</v>
      </c>
      <c r="C55" s="2" t="s">
        <v>1983</v>
      </c>
      <c r="D55" s="2" t="s">
        <v>211</v>
      </c>
      <c r="E55" s="11" t="s">
        <v>2153</v>
      </c>
      <c r="F55" s="2" t="s">
        <v>1978</v>
      </c>
      <c r="G55" s="2">
        <f t="shared" si="359"/>
        <v>32.5</v>
      </c>
      <c r="H55" s="2">
        <f t="shared" si="360"/>
        <v>31</v>
      </c>
      <c r="I55" s="2" t="s">
        <v>2705</v>
      </c>
      <c r="J55" s="2" t="s">
        <v>1970</v>
      </c>
      <c r="K55" s="2" t="s">
        <v>2707</v>
      </c>
      <c r="L55" s="2" t="s">
        <v>2709</v>
      </c>
      <c r="M55" s="2" t="s">
        <v>1978</v>
      </c>
      <c r="N55" s="344" t="s">
        <v>1978</v>
      </c>
      <c r="O55" s="344" t="s">
        <v>1978</v>
      </c>
      <c r="P55" s="344" t="s">
        <v>1978</v>
      </c>
      <c r="Q55" s="344" t="s">
        <v>1978</v>
      </c>
      <c r="R55" s="344" t="s">
        <v>1978</v>
      </c>
      <c r="S55" s="344" t="s">
        <v>1978</v>
      </c>
      <c r="T55" s="2" t="s">
        <v>209</v>
      </c>
      <c r="U55" s="2" t="s">
        <v>2150</v>
      </c>
      <c r="X55" s="344">
        <f>'A123'!J63</f>
        <v>106</v>
      </c>
      <c r="Y55" s="344">
        <f>'A123'!K63</f>
        <v>31</v>
      </c>
      <c r="Z55" s="344">
        <f>'A123'!L63</f>
        <v>6.7241379310344831</v>
      </c>
      <c r="AA55" s="2" t="s">
        <v>2150</v>
      </c>
      <c r="AB55" s="2" t="str">
        <f>入學要求!X64</f>
        <v>以下一科選修取得Lv.3︰化學、組合科學、DAT、M1/2、物理</v>
      </c>
      <c r="AC55" s="2" t="str">
        <f>入學要求!Y64</f>
        <v>/</v>
      </c>
      <c r="AD55" s="2" t="s">
        <v>2153</v>
      </c>
      <c r="AE55" s="2" t="s">
        <v>2705</v>
      </c>
      <c r="AF55" s="2" t="s">
        <v>1970</v>
      </c>
      <c r="AG55" s="2" t="s">
        <v>2707</v>
      </c>
      <c r="AH55" s="2" t="s">
        <v>2709</v>
      </c>
      <c r="AI55" s="2" t="s">
        <v>1970</v>
      </c>
      <c r="AJ55" s="2" t="s">
        <v>2692</v>
      </c>
      <c r="AK55" s="2" t="s">
        <v>2151</v>
      </c>
      <c r="AL55" s="2" t="s">
        <v>2686</v>
      </c>
      <c r="AM55" s="2" t="s">
        <v>1970</v>
      </c>
      <c r="AN55" s="2" t="s">
        <v>1978</v>
      </c>
      <c r="AO55" s="2" t="s">
        <v>1978</v>
      </c>
      <c r="AP55" s="251" t="s">
        <v>1978</v>
      </c>
      <c r="AQ55" s="344" t="s">
        <v>1970</v>
      </c>
      <c r="AR55" s="2" t="s">
        <v>2150</v>
      </c>
      <c r="AS55" s="344" t="s">
        <v>2653</v>
      </c>
      <c r="AT55" s="2" t="s">
        <v>1970</v>
      </c>
      <c r="AU55" s="2" t="s">
        <v>1970</v>
      </c>
      <c r="AV55" s="344" t="s">
        <v>1987</v>
      </c>
      <c r="BB55" s="2">
        <v>1</v>
      </c>
      <c r="BC55" s="2">
        <v>2</v>
      </c>
      <c r="BD55" s="2">
        <v>2</v>
      </c>
      <c r="BE55" s="2">
        <v>1</v>
      </c>
      <c r="BF55" s="2">
        <v>1.5</v>
      </c>
      <c r="BG55" s="2">
        <v>1</v>
      </c>
      <c r="BH55" s="2">
        <v>2</v>
      </c>
      <c r="BI55" s="2">
        <v>1</v>
      </c>
      <c r="BJ55" s="2">
        <v>4</v>
      </c>
      <c r="BK55" s="2">
        <v>3</v>
      </c>
      <c r="BL55" s="2">
        <v>4</v>
      </c>
      <c r="BM55" s="2">
        <v>3</v>
      </c>
      <c r="BN55" s="2" t="s">
        <v>1978</v>
      </c>
      <c r="BO55" s="2">
        <v>4</v>
      </c>
      <c r="BP55" s="2">
        <v>3</v>
      </c>
      <c r="BQ55" s="2" t="s">
        <v>1978</v>
      </c>
      <c r="BR55" s="2">
        <f t="shared" ref="BR55:BR59" si="369">BB55*BJ55</f>
        <v>4</v>
      </c>
      <c r="BS55" s="2">
        <f t="shared" ref="BS55:BS59" si="370">BC55*BK55</f>
        <v>6</v>
      </c>
      <c r="BT55" s="2">
        <f t="shared" ref="BT55:BT59" si="371">BD55*BL55</f>
        <v>8</v>
      </c>
      <c r="BU55" s="2">
        <f t="shared" ref="BU55:BU59" si="372">BE55*BM55</f>
        <v>3</v>
      </c>
      <c r="BV55" s="2" t="e">
        <f t="shared" ref="BV55:BV59" si="373">BF55*BN55</f>
        <v>#VALUE!</v>
      </c>
      <c r="BW55" s="2">
        <f t="shared" ref="BW55:BW59" si="374">BG55*BO55</f>
        <v>4</v>
      </c>
      <c r="BX55" s="2">
        <f t="shared" ref="BX55:BX59" si="375">BH55*BP55</f>
        <v>6</v>
      </c>
      <c r="BY55" s="2" t="e">
        <f t="shared" ref="BY55:BY59" si="376">BI55*BQ55</f>
        <v>#VALUE!</v>
      </c>
      <c r="BZ55" s="2" t="b">
        <v>1</v>
      </c>
      <c r="CA55" s="2" t="b">
        <v>1</v>
      </c>
      <c r="CB55" s="2" t="b">
        <v>1</v>
      </c>
      <c r="CC55" s="2" t="b">
        <v>1</v>
      </c>
      <c r="CD55" s="2" t="b">
        <v>0</v>
      </c>
      <c r="CE55" s="2" t="b">
        <v>1</v>
      </c>
      <c r="CF55" s="2" t="b">
        <v>1</v>
      </c>
      <c r="CG55" s="2" t="b">
        <v>0</v>
      </c>
      <c r="CH55" s="2">
        <v>1</v>
      </c>
      <c r="CI55" s="2">
        <v>2</v>
      </c>
      <c r="CJ55" s="2">
        <v>2</v>
      </c>
      <c r="CK55" s="2">
        <v>1</v>
      </c>
      <c r="CL55" s="2">
        <v>1.5</v>
      </c>
      <c r="CM55" s="2">
        <v>2</v>
      </c>
      <c r="CN55" s="2">
        <v>1.5</v>
      </c>
      <c r="CO55" s="2">
        <v>1</v>
      </c>
      <c r="CP55" s="2">
        <v>3</v>
      </c>
      <c r="CQ55" s="2">
        <v>3</v>
      </c>
      <c r="CR55" s="2">
        <v>4</v>
      </c>
      <c r="CS55" s="2">
        <v>3</v>
      </c>
      <c r="CT55" s="2" t="s">
        <v>1978</v>
      </c>
      <c r="CU55" s="2">
        <v>4</v>
      </c>
      <c r="CV55" s="2">
        <v>3</v>
      </c>
      <c r="CW55" s="2" t="s">
        <v>1978</v>
      </c>
      <c r="CX55" s="2">
        <f t="shared" si="361"/>
        <v>3</v>
      </c>
      <c r="CY55" s="2">
        <f t="shared" si="362"/>
        <v>6</v>
      </c>
      <c r="CZ55" s="2">
        <f t="shared" si="363"/>
        <v>8</v>
      </c>
      <c r="DA55" s="2">
        <f t="shared" si="364"/>
        <v>3</v>
      </c>
      <c r="DB55" s="2" t="e">
        <f t="shared" si="365"/>
        <v>#VALUE!</v>
      </c>
      <c r="DC55" s="2">
        <f t="shared" si="366"/>
        <v>8</v>
      </c>
      <c r="DD55" s="2">
        <f t="shared" si="367"/>
        <v>4.5</v>
      </c>
      <c r="DE55" s="2" t="e">
        <f t="shared" si="368"/>
        <v>#VALUE!</v>
      </c>
      <c r="DF55" s="2" t="b">
        <v>1</v>
      </c>
      <c r="DG55" s="2" t="b">
        <v>1</v>
      </c>
      <c r="DH55" s="2" t="b">
        <v>1</v>
      </c>
      <c r="DI55" s="2" t="b">
        <v>1</v>
      </c>
      <c r="DJ55" s="2" t="b">
        <v>0</v>
      </c>
      <c r="DK55" s="2" t="b">
        <v>1</v>
      </c>
      <c r="DL55" s="2" t="b">
        <v>1</v>
      </c>
      <c r="DM55" s="2" t="b">
        <v>0</v>
      </c>
      <c r="DN55" s="2" t="s">
        <v>1978</v>
      </c>
      <c r="DO55" s="2" t="s">
        <v>1978</v>
      </c>
      <c r="DP55" s="2" t="s">
        <v>1978</v>
      </c>
      <c r="DQ55" s="2" t="s">
        <v>1978</v>
      </c>
      <c r="DR55" s="2" t="s">
        <v>1978</v>
      </c>
      <c r="DS55" s="2" t="s">
        <v>1978</v>
      </c>
      <c r="DT55" s="2" t="s">
        <v>1978</v>
      </c>
      <c r="DU55" s="2" t="s">
        <v>1978</v>
      </c>
      <c r="DV55" s="2" t="s">
        <v>1978</v>
      </c>
      <c r="DW55" s="2" t="s">
        <v>1978</v>
      </c>
      <c r="DX55" s="2" t="s">
        <v>1978</v>
      </c>
      <c r="DY55" s="2" t="s">
        <v>1978</v>
      </c>
      <c r="DZ55" s="2" t="s">
        <v>1978</v>
      </c>
      <c r="EA55" s="2" t="s">
        <v>1978</v>
      </c>
      <c r="EB55" s="2" t="s">
        <v>1978</v>
      </c>
      <c r="EC55" s="2" t="s">
        <v>1978</v>
      </c>
      <c r="ED55" s="2" t="s">
        <v>1978</v>
      </c>
      <c r="EE55" s="2" t="s">
        <v>1978</v>
      </c>
      <c r="EF55" s="2" t="s">
        <v>1978</v>
      </c>
      <c r="EG55" s="2" t="s">
        <v>1978</v>
      </c>
      <c r="EH55" s="2" t="s">
        <v>1978</v>
      </c>
      <c r="EI55" s="2" t="s">
        <v>1978</v>
      </c>
      <c r="EJ55" s="2" t="s">
        <v>1978</v>
      </c>
      <c r="EK55" s="2" t="s">
        <v>1978</v>
      </c>
      <c r="EL55" s="2" t="s">
        <v>1978</v>
      </c>
      <c r="EM55" s="2" t="s">
        <v>1978</v>
      </c>
      <c r="EN55" s="2" t="s">
        <v>1978</v>
      </c>
      <c r="EO55" s="2" t="s">
        <v>1978</v>
      </c>
      <c r="EP55" s="2" t="s">
        <v>1978</v>
      </c>
      <c r="EQ55" s="2" t="s">
        <v>1978</v>
      </c>
      <c r="ER55" s="2" t="s">
        <v>1978</v>
      </c>
      <c r="ES55" s="2" t="s">
        <v>1978</v>
      </c>
    </row>
    <row r="56" spans="1:149" x14ac:dyDescent="0.3">
      <c r="A56" s="2" t="s">
        <v>214</v>
      </c>
      <c r="B56" s="2" t="s">
        <v>2148</v>
      </c>
      <c r="C56" s="2" t="s">
        <v>2159</v>
      </c>
      <c r="D56" s="2" t="s">
        <v>217</v>
      </c>
      <c r="E56" s="11" t="s">
        <v>2171</v>
      </c>
      <c r="F56" s="2" t="s">
        <v>1978</v>
      </c>
      <c r="G56" s="2">
        <f t="shared" si="359"/>
        <v>25</v>
      </c>
      <c r="H56" s="2">
        <f t="shared" si="360"/>
        <v>25</v>
      </c>
      <c r="I56" s="2" t="s">
        <v>2751</v>
      </c>
      <c r="J56" s="2" t="s">
        <v>1970</v>
      </c>
      <c r="K56" s="2" t="s">
        <v>2760</v>
      </c>
      <c r="L56" s="2" t="s">
        <v>2762</v>
      </c>
      <c r="M56" s="2" t="s">
        <v>1978</v>
      </c>
      <c r="N56" s="344" t="s">
        <v>1978</v>
      </c>
      <c r="O56" s="344" t="s">
        <v>1978</v>
      </c>
      <c r="P56" s="344" t="s">
        <v>1978</v>
      </c>
      <c r="Q56" s="344" t="s">
        <v>1978</v>
      </c>
      <c r="R56" s="344" t="s">
        <v>1978</v>
      </c>
      <c r="S56" s="344" t="s">
        <v>1978</v>
      </c>
      <c r="T56" s="2" t="s">
        <v>215</v>
      </c>
      <c r="U56" s="2" t="s">
        <v>2150</v>
      </c>
      <c r="X56" s="344">
        <f>'A123'!J64</f>
        <v>22</v>
      </c>
      <c r="Y56" s="344">
        <f>'A123'!K64</f>
        <v>13</v>
      </c>
      <c r="Z56" s="344">
        <f>'A123'!L64</f>
        <v>7.8</v>
      </c>
      <c r="AA56" s="2" t="s">
        <v>2150</v>
      </c>
      <c r="AB56" s="2" t="str">
        <f>入學要求!X65</f>
        <v>以下一科選修取得Lv.3︰化學、組合科學(物理)、DAT、物理</v>
      </c>
      <c r="AC56" s="2" t="str">
        <f>入學要求!Y65</f>
        <v>/</v>
      </c>
      <c r="AD56" s="2" t="s">
        <v>2171</v>
      </c>
      <c r="AE56" s="2" t="s">
        <v>2751</v>
      </c>
      <c r="AF56" s="2" t="s">
        <v>1970</v>
      </c>
      <c r="AG56" s="2" t="s">
        <v>2760</v>
      </c>
      <c r="AH56" s="2" t="s">
        <v>2762</v>
      </c>
      <c r="AI56" s="2" t="s">
        <v>1970</v>
      </c>
      <c r="AJ56" s="2" t="s">
        <v>2692</v>
      </c>
      <c r="AK56" s="2" t="s">
        <v>2151</v>
      </c>
      <c r="AL56" s="2" t="s">
        <v>2729</v>
      </c>
      <c r="AM56" s="2" t="s">
        <v>1970</v>
      </c>
      <c r="AN56" s="2" t="s">
        <v>1978</v>
      </c>
      <c r="AO56" s="2" t="s">
        <v>1978</v>
      </c>
      <c r="AP56" s="251" t="s">
        <v>1978</v>
      </c>
      <c r="AQ56" s="344" t="s">
        <v>1970</v>
      </c>
      <c r="AR56" s="2" t="s">
        <v>2150</v>
      </c>
      <c r="AS56" s="2" t="s">
        <v>3603</v>
      </c>
      <c r="AT56" s="564">
        <v>44713</v>
      </c>
      <c r="AU56" s="2" t="s">
        <v>1970</v>
      </c>
      <c r="AV56" s="344" t="s">
        <v>1987</v>
      </c>
      <c r="BB56" s="2">
        <v>1</v>
      </c>
      <c r="BC56" s="2">
        <v>2</v>
      </c>
      <c r="BD56" s="2">
        <v>1.25</v>
      </c>
      <c r="BE56" s="2">
        <v>1</v>
      </c>
      <c r="BF56" s="2">
        <v>1.5</v>
      </c>
      <c r="BG56" s="2">
        <v>2</v>
      </c>
      <c r="BH56" s="2">
        <v>1</v>
      </c>
      <c r="BI56" s="2">
        <v>1</v>
      </c>
      <c r="BJ56" s="2">
        <v>3</v>
      </c>
      <c r="BK56" s="2">
        <v>3</v>
      </c>
      <c r="BL56" s="2">
        <v>4</v>
      </c>
      <c r="BM56" s="2">
        <v>3</v>
      </c>
      <c r="BN56" s="2" t="s">
        <v>1978</v>
      </c>
      <c r="BO56" s="2">
        <v>4</v>
      </c>
      <c r="BP56" s="2">
        <v>3</v>
      </c>
      <c r="BQ56" s="2" t="s">
        <v>1978</v>
      </c>
      <c r="BR56" s="2">
        <f t="shared" si="369"/>
        <v>3</v>
      </c>
      <c r="BS56" s="2">
        <f t="shared" si="370"/>
        <v>6</v>
      </c>
      <c r="BT56" s="2">
        <f t="shared" si="371"/>
        <v>5</v>
      </c>
      <c r="BU56" s="2">
        <f t="shared" si="372"/>
        <v>3</v>
      </c>
      <c r="BV56" s="2" t="e">
        <f t="shared" si="373"/>
        <v>#VALUE!</v>
      </c>
      <c r="BW56" s="2">
        <f t="shared" si="374"/>
        <v>8</v>
      </c>
      <c r="BX56" s="2">
        <f t="shared" si="375"/>
        <v>3</v>
      </c>
      <c r="BY56" s="2" t="e">
        <f t="shared" si="376"/>
        <v>#VALUE!</v>
      </c>
      <c r="BZ56" s="2" t="b">
        <v>1</v>
      </c>
      <c r="CA56" s="2" t="b">
        <v>1</v>
      </c>
      <c r="CB56" s="2" t="b">
        <v>1</v>
      </c>
      <c r="CC56" s="2" t="b">
        <v>0</v>
      </c>
      <c r="CD56" s="2" t="b">
        <v>0</v>
      </c>
      <c r="CE56" s="2" t="b">
        <v>1</v>
      </c>
      <c r="CF56" s="2" t="b">
        <v>1</v>
      </c>
      <c r="CG56" s="2" t="b">
        <v>0</v>
      </c>
      <c r="CH56" s="2">
        <v>1</v>
      </c>
      <c r="CI56" s="2">
        <v>2</v>
      </c>
      <c r="CJ56" s="2">
        <v>1.25</v>
      </c>
      <c r="CK56" s="2">
        <v>1</v>
      </c>
      <c r="CL56" s="2">
        <v>1.5</v>
      </c>
      <c r="CM56" s="2">
        <v>1</v>
      </c>
      <c r="CN56" s="2">
        <v>2</v>
      </c>
      <c r="CO56" s="2">
        <v>1</v>
      </c>
      <c r="CP56" s="2">
        <v>4</v>
      </c>
      <c r="CQ56" s="2">
        <v>3</v>
      </c>
      <c r="CR56" s="2">
        <v>4</v>
      </c>
      <c r="CS56" s="2">
        <v>3</v>
      </c>
      <c r="CT56" s="2" t="s">
        <v>1978</v>
      </c>
      <c r="CU56" s="2">
        <v>4</v>
      </c>
      <c r="CV56" s="2">
        <v>3</v>
      </c>
      <c r="CW56" s="2" t="s">
        <v>1978</v>
      </c>
      <c r="CX56" s="2">
        <f t="shared" si="361"/>
        <v>4</v>
      </c>
      <c r="CY56" s="2">
        <f t="shared" si="362"/>
        <v>6</v>
      </c>
      <c r="CZ56" s="2">
        <f t="shared" si="363"/>
        <v>5</v>
      </c>
      <c r="DA56" s="2">
        <f t="shared" si="364"/>
        <v>3</v>
      </c>
      <c r="DB56" s="2" t="e">
        <f t="shared" si="365"/>
        <v>#VALUE!</v>
      </c>
      <c r="DC56" s="2">
        <f t="shared" si="366"/>
        <v>4</v>
      </c>
      <c r="DD56" s="2">
        <f t="shared" si="367"/>
        <v>6</v>
      </c>
      <c r="DE56" s="2" t="e">
        <f t="shared" si="368"/>
        <v>#VALUE!</v>
      </c>
      <c r="DF56" s="2" t="b">
        <v>1</v>
      </c>
      <c r="DG56" s="2" t="b">
        <v>1</v>
      </c>
      <c r="DH56" s="2" t="b">
        <v>1</v>
      </c>
      <c r="DI56" s="2" t="b">
        <v>0</v>
      </c>
      <c r="DJ56" s="2" t="b">
        <v>0</v>
      </c>
      <c r="DK56" s="2" t="b">
        <v>1</v>
      </c>
      <c r="DL56" s="2" t="b">
        <v>1</v>
      </c>
      <c r="DM56" s="2" t="b">
        <v>0</v>
      </c>
      <c r="DN56" s="2" t="s">
        <v>1978</v>
      </c>
      <c r="DO56" s="2" t="s">
        <v>1978</v>
      </c>
      <c r="DP56" s="2" t="s">
        <v>1978</v>
      </c>
      <c r="DQ56" s="2" t="s">
        <v>1978</v>
      </c>
      <c r="DR56" s="2" t="s">
        <v>1978</v>
      </c>
      <c r="DS56" s="2" t="s">
        <v>1978</v>
      </c>
      <c r="DT56" s="2" t="s">
        <v>1978</v>
      </c>
      <c r="DU56" s="2" t="s">
        <v>1978</v>
      </c>
      <c r="DV56" s="2" t="s">
        <v>1978</v>
      </c>
      <c r="DW56" s="2" t="s">
        <v>1978</v>
      </c>
      <c r="DX56" s="2" t="s">
        <v>1978</v>
      </c>
      <c r="DY56" s="2" t="s">
        <v>1978</v>
      </c>
      <c r="DZ56" s="2" t="s">
        <v>1978</v>
      </c>
      <c r="EA56" s="2" t="s">
        <v>1978</v>
      </c>
      <c r="EB56" s="2" t="s">
        <v>1978</v>
      </c>
      <c r="EC56" s="2" t="s">
        <v>1978</v>
      </c>
      <c r="ED56" s="2" t="s">
        <v>1978</v>
      </c>
      <c r="EE56" s="2" t="s">
        <v>1978</v>
      </c>
      <c r="EF56" s="2" t="s">
        <v>1978</v>
      </c>
      <c r="EG56" s="2" t="s">
        <v>1978</v>
      </c>
      <c r="EH56" s="2" t="s">
        <v>1978</v>
      </c>
      <c r="EI56" s="2" t="s">
        <v>1978</v>
      </c>
      <c r="EJ56" s="2" t="s">
        <v>1978</v>
      </c>
      <c r="EK56" s="2" t="s">
        <v>1978</v>
      </c>
      <c r="EL56" s="2" t="s">
        <v>1978</v>
      </c>
      <c r="EM56" s="2" t="s">
        <v>1978</v>
      </c>
      <c r="EN56" s="2" t="s">
        <v>1978</v>
      </c>
      <c r="EO56" s="2" t="s">
        <v>1978</v>
      </c>
      <c r="EP56" s="2" t="s">
        <v>1978</v>
      </c>
      <c r="EQ56" s="2" t="s">
        <v>1978</v>
      </c>
      <c r="ER56" s="2" t="s">
        <v>1978</v>
      </c>
      <c r="ES56" s="2" t="s">
        <v>1978</v>
      </c>
    </row>
    <row r="57" spans="1:149" x14ac:dyDescent="0.3">
      <c r="A57" s="2" t="s">
        <v>219</v>
      </c>
      <c r="B57" s="2" t="s">
        <v>2148</v>
      </c>
      <c r="C57" s="2" t="s">
        <v>1983</v>
      </c>
      <c r="D57" s="2" t="s">
        <v>222</v>
      </c>
      <c r="E57" s="59" t="s">
        <v>2153</v>
      </c>
      <c r="F57" s="2" t="s">
        <v>1978</v>
      </c>
      <c r="G57" s="2">
        <f t="shared" si="359"/>
        <v>28.5</v>
      </c>
      <c r="H57" s="2">
        <f t="shared" si="360"/>
        <v>27.5</v>
      </c>
      <c r="I57" s="2" t="s">
        <v>2765</v>
      </c>
      <c r="J57" s="2" t="s">
        <v>2710</v>
      </c>
      <c r="K57" s="2" t="s">
        <v>2758</v>
      </c>
      <c r="L57" s="2" t="s">
        <v>2869</v>
      </c>
      <c r="M57" s="2" t="s">
        <v>1978</v>
      </c>
      <c r="N57" s="344" t="s">
        <v>1978</v>
      </c>
      <c r="O57" s="344" t="s">
        <v>1978</v>
      </c>
      <c r="P57" s="344" t="s">
        <v>1978</v>
      </c>
      <c r="Q57" s="344" t="s">
        <v>1978</v>
      </c>
      <c r="R57" s="344" t="s">
        <v>1978</v>
      </c>
      <c r="S57" s="344" t="s">
        <v>1978</v>
      </c>
      <c r="T57" s="2" t="s">
        <v>220</v>
      </c>
      <c r="U57" s="2" t="s">
        <v>2150</v>
      </c>
      <c r="X57" s="344">
        <f>'A123'!J65</f>
        <v>29</v>
      </c>
      <c r="Y57" s="344">
        <f>'A123'!K65</f>
        <v>6</v>
      </c>
      <c r="Z57" s="344">
        <f>'A123'!L65</f>
        <v>17</v>
      </c>
      <c r="AA57" s="2" t="s">
        <v>2150</v>
      </c>
      <c r="AB57" s="2" t="str">
        <f>入學要求!X66</f>
        <v>以下一科選修取得Lv.3︰化學、組合科學(物理)、DAT、物理</v>
      </c>
      <c r="AC57" s="2" t="str">
        <f>入學要求!Y66</f>
        <v>/</v>
      </c>
      <c r="AD57" s="2" t="s">
        <v>2153</v>
      </c>
      <c r="AE57" s="2" t="s">
        <v>2765</v>
      </c>
      <c r="AF57" s="2" t="s">
        <v>2900</v>
      </c>
      <c r="AG57" s="2" t="s">
        <v>2711</v>
      </c>
      <c r="AH57" s="2" t="s">
        <v>2712</v>
      </c>
      <c r="AI57" s="2" t="s">
        <v>1970</v>
      </c>
      <c r="AJ57" s="2" t="s">
        <v>2692</v>
      </c>
      <c r="AK57" s="2" t="s">
        <v>2151</v>
      </c>
      <c r="AL57" s="2" t="s">
        <v>2686</v>
      </c>
      <c r="AM57" s="2" t="s">
        <v>1970</v>
      </c>
      <c r="AN57" s="2" t="s">
        <v>1978</v>
      </c>
      <c r="AO57" s="2" t="s">
        <v>1978</v>
      </c>
      <c r="AP57" s="251" t="s">
        <v>1978</v>
      </c>
      <c r="AQ57" s="344" t="s">
        <v>1970</v>
      </c>
      <c r="AR57" s="2" t="s">
        <v>2150</v>
      </c>
      <c r="AS57" s="2" t="s">
        <v>3603</v>
      </c>
      <c r="AT57" s="2" t="s">
        <v>3604</v>
      </c>
      <c r="AV57" s="344" t="s">
        <v>1987</v>
      </c>
      <c r="BB57" s="2">
        <v>1</v>
      </c>
      <c r="BC57" s="2">
        <v>2</v>
      </c>
      <c r="BD57" s="2">
        <v>1</v>
      </c>
      <c r="BE57" s="2">
        <v>1</v>
      </c>
      <c r="BF57" s="2">
        <v>1.5</v>
      </c>
      <c r="BG57" s="2">
        <v>2</v>
      </c>
      <c r="BH57" s="2">
        <v>1.5</v>
      </c>
      <c r="BI57" s="2">
        <v>1</v>
      </c>
      <c r="BJ57" s="2">
        <v>4</v>
      </c>
      <c r="BK57" s="2">
        <v>3</v>
      </c>
      <c r="BL57" s="2">
        <v>3</v>
      </c>
      <c r="BM57" s="2">
        <v>4</v>
      </c>
      <c r="BN57" s="2" t="s">
        <v>1978</v>
      </c>
      <c r="BO57" s="2">
        <v>3</v>
      </c>
      <c r="BP57" s="2">
        <v>3</v>
      </c>
      <c r="BQ57" s="2" t="s">
        <v>1978</v>
      </c>
      <c r="BR57" s="2">
        <f t="shared" si="369"/>
        <v>4</v>
      </c>
      <c r="BS57" s="2">
        <f t="shared" si="370"/>
        <v>6</v>
      </c>
      <c r="BT57" s="2">
        <f t="shared" si="371"/>
        <v>3</v>
      </c>
      <c r="BU57" s="2">
        <f t="shared" si="372"/>
        <v>4</v>
      </c>
      <c r="BV57" s="2" t="e">
        <f t="shared" si="373"/>
        <v>#VALUE!</v>
      </c>
      <c r="BW57" s="2">
        <f t="shared" si="374"/>
        <v>6</v>
      </c>
      <c r="BX57" s="2">
        <f t="shared" si="375"/>
        <v>4.5</v>
      </c>
      <c r="BY57" s="2" t="e">
        <f t="shared" si="376"/>
        <v>#VALUE!</v>
      </c>
      <c r="BZ57" s="2" t="b">
        <v>1</v>
      </c>
      <c r="CA57" s="2" t="b">
        <v>1</v>
      </c>
      <c r="CB57" s="2" t="b">
        <v>1</v>
      </c>
      <c r="CC57" s="2" t="b">
        <v>1</v>
      </c>
      <c r="CD57" s="2" t="b">
        <v>0</v>
      </c>
      <c r="CE57" s="2" t="b">
        <v>1</v>
      </c>
      <c r="CF57" s="2" t="b">
        <v>1</v>
      </c>
      <c r="CG57" s="2" t="b">
        <v>0</v>
      </c>
      <c r="CH57" s="2">
        <v>1</v>
      </c>
      <c r="CI57" s="2">
        <v>2</v>
      </c>
      <c r="CJ57" s="2">
        <v>1</v>
      </c>
      <c r="CK57" s="2">
        <v>1</v>
      </c>
      <c r="CL57" s="2">
        <v>1.5</v>
      </c>
      <c r="CM57" s="2">
        <v>2</v>
      </c>
      <c r="CN57" s="2">
        <v>1.5</v>
      </c>
      <c r="CO57" s="2">
        <v>1</v>
      </c>
      <c r="CP57" s="2">
        <v>4</v>
      </c>
      <c r="CQ57" s="2">
        <v>3</v>
      </c>
      <c r="CR57" s="2">
        <v>4</v>
      </c>
      <c r="CS57" s="2">
        <v>4</v>
      </c>
      <c r="CT57" s="2" t="s">
        <v>1978</v>
      </c>
      <c r="CU57" s="2">
        <v>3</v>
      </c>
      <c r="CV57" s="2">
        <v>3</v>
      </c>
      <c r="CW57" s="2" t="s">
        <v>1978</v>
      </c>
      <c r="CX57" s="2">
        <f t="shared" si="361"/>
        <v>4</v>
      </c>
      <c r="CY57" s="2">
        <f t="shared" si="362"/>
        <v>6</v>
      </c>
      <c r="CZ57" s="2">
        <f t="shared" si="363"/>
        <v>4</v>
      </c>
      <c r="DA57" s="2">
        <f t="shared" si="364"/>
        <v>4</v>
      </c>
      <c r="DB57" s="2" t="e">
        <f t="shared" si="365"/>
        <v>#VALUE!</v>
      </c>
      <c r="DC57" s="2">
        <f t="shared" si="366"/>
        <v>6</v>
      </c>
      <c r="DD57" s="2">
        <f t="shared" si="367"/>
        <v>4.5</v>
      </c>
      <c r="DE57" s="2" t="e">
        <f t="shared" si="368"/>
        <v>#VALUE!</v>
      </c>
      <c r="DF57" s="2" t="b">
        <v>1</v>
      </c>
      <c r="DG57" s="2" t="b">
        <v>1</v>
      </c>
      <c r="DH57" s="2" t="b">
        <v>1</v>
      </c>
      <c r="DI57" s="2" t="b">
        <v>1</v>
      </c>
      <c r="DJ57" s="2" t="b">
        <v>0</v>
      </c>
      <c r="DK57" s="2" t="b">
        <v>1</v>
      </c>
      <c r="DL57" s="2" t="b">
        <v>1</v>
      </c>
      <c r="DM57" s="2" t="b">
        <v>0</v>
      </c>
      <c r="DN57" s="2" t="s">
        <v>1978</v>
      </c>
      <c r="DO57" s="2" t="s">
        <v>1978</v>
      </c>
      <c r="DP57" s="2" t="s">
        <v>1978</v>
      </c>
      <c r="DQ57" s="2" t="s">
        <v>1978</v>
      </c>
      <c r="DR57" s="2" t="s">
        <v>1978</v>
      </c>
      <c r="DS57" s="2" t="s">
        <v>1978</v>
      </c>
      <c r="DT57" s="2" t="s">
        <v>1978</v>
      </c>
      <c r="DU57" s="2" t="s">
        <v>1978</v>
      </c>
      <c r="DV57" s="2" t="s">
        <v>1978</v>
      </c>
      <c r="DW57" s="2" t="s">
        <v>1978</v>
      </c>
      <c r="DX57" s="2" t="s">
        <v>1978</v>
      </c>
      <c r="DY57" s="2" t="s">
        <v>1978</v>
      </c>
      <c r="DZ57" s="2" t="s">
        <v>1978</v>
      </c>
      <c r="EA57" s="2" t="s">
        <v>1978</v>
      </c>
      <c r="EB57" s="2" t="s">
        <v>1978</v>
      </c>
      <c r="EC57" s="2" t="s">
        <v>1978</v>
      </c>
      <c r="ED57" s="2" t="s">
        <v>1978</v>
      </c>
      <c r="EE57" s="2" t="s">
        <v>1978</v>
      </c>
      <c r="EF57" s="2" t="s">
        <v>1978</v>
      </c>
      <c r="EG57" s="2" t="s">
        <v>1978</v>
      </c>
      <c r="EH57" s="2" t="s">
        <v>1978</v>
      </c>
      <c r="EI57" s="2" t="s">
        <v>1978</v>
      </c>
      <c r="EJ57" s="2" t="s">
        <v>1978</v>
      </c>
      <c r="EK57" s="2" t="s">
        <v>1978</v>
      </c>
      <c r="EL57" s="2" t="s">
        <v>1978</v>
      </c>
      <c r="EM57" s="2" t="s">
        <v>1978</v>
      </c>
      <c r="EN57" s="2" t="s">
        <v>1978</v>
      </c>
      <c r="EO57" s="2" t="s">
        <v>1978</v>
      </c>
      <c r="EP57" s="2" t="s">
        <v>1978</v>
      </c>
      <c r="EQ57" s="2" t="s">
        <v>1978</v>
      </c>
      <c r="ER57" s="2" t="s">
        <v>1978</v>
      </c>
      <c r="ES57" s="2" t="s">
        <v>1978</v>
      </c>
    </row>
    <row r="58" spans="1:149" x14ac:dyDescent="0.3">
      <c r="A58" s="2" t="s">
        <v>224</v>
      </c>
      <c r="B58" s="2" t="s">
        <v>2148</v>
      </c>
      <c r="C58" s="2" t="s">
        <v>1983</v>
      </c>
      <c r="D58" s="2" t="s">
        <v>227</v>
      </c>
      <c r="E58" s="2" t="s">
        <v>2171</v>
      </c>
      <c r="F58" s="2" t="s">
        <v>1978</v>
      </c>
      <c r="G58" s="2">
        <f t="shared" si="359"/>
        <v>33</v>
      </c>
      <c r="H58" s="2">
        <f t="shared" si="360"/>
        <v>32</v>
      </c>
      <c r="I58" s="2" t="s">
        <v>2714</v>
      </c>
      <c r="J58" s="2" t="s">
        <v>1970</v>
      </c>
      <c r="K58" s="2" t="s">
        <v>2718</v>
      </c>
      <c r="L58" s="2" t="s">
        <v>1970</v>
      </c>
      <c r="M58" s="2" t="s">
        <v>1978</v>
      </c>
      <c r="N58" s="344" t="s">
        <v>1978</v>
      </c>
      <c r="O58" s="344" t="s">
        <v>1978</v>
      </c>
      <c r="P58" s="344" t="s">
        <v>1978</v>
      </c>
      <c r="Q58" s="344" t="s">
        <v>1978</v>
      </c>
      <c r="R58" s="344" t="s">
        <v>1978</v>
      </c>
      <c r="S58" s="344" t="s">
        <v>1978</v>
      </c>
      <c r="T58" s="2" t="s">
        <v>225</v>
      </c>
      <c r="U58" s="2" t="s">
        <v>2150</v>
      </c>
      <c r="X58" s="344">
        <f>'A123'!J66</f>
        <v>43</v>
      </c>
      <c r="Y58" s="344">
        <f>'A123'!K66</f>
        <v>40</v>
      </c>
      <c r="Z58" s="344">
        <f>'A123'!L66</f>
        <v>6.375</v>
      </c>
      <c r="AA58" s="2" t="s">
        <v>2150</v>
      </c>
      <c r="AB58" s="2" t="str">
        <f>入學要求!X67</f>
        <v>以下一科選修取得Lv.3︰生物、化學、組合科學、物理</v>
      </c>
      <c r="AC58" s="2" t="str">
        <f>入學要求!Y67</f>
        <v>/</v>
      </c>
      <c r="AD58" s="2" t="s">
        <v>2171</v>
      </c>
      <c r="AE58" s="2" t="s">
        <v>2714</v>
      </c>
      <c r="AF58" s="2" t="s">
        <v>1970</v>
      </c>
      <c r="AG58" s="2" t="s">
        <v>2718</v>
      </c>
      <c r="AH58" s="2" t="s">
        <v>1970</v>
      </c>
      <c r="AI58" s="2" t="s">
        <v>1970</v>
      </c>
      <c r="AJ58" s="2" t="s">
        <v>2692</v>
      </c>
      <c r="AK58" s="2" t="s">
        <v>2151</v>
      </c>
      <c r="AL58" s="2" t="s">
        <v>2686</v>
      </c>
      <c r="AM58" s="2" t="s">
        <v>1970</v>
      </c>
      <c r="AN58" s="2" t="s">
        <v>1978</v>
      </c>
      <c r="AO58" s="2" t="s">
        <v>1978</v>
      </c>
      <c r="AP58" s="251" t="s">
        <v>1978</v>
      </c>
      <c r="AQ58" s="344" t="s">
        <v>1970</v>
      </c>
      <c r="AR58" s="2" t="s">
        <v>2150</v>
      </c>
      <c r="AS58" s="2" t="s">
        <v>3608</v>
      </c>
      <c r="AT58" s="2" t="s">
        <v>1970</v>
      </c>
      <c r="AU58" s="2" t="s">
        <v>1970</v>
      </c>
      <c r="AV58" s="344" t="s">
        <v>1987</v>
      </c>
      <c r="BB58" s="2">
        <v>1</v>
      </c>
      <c r="BC58" s="2">
        <v>2</v>
      </c>
      <c r="BD58" s="2">
        <v>2</v>
      </c>
      <c r="BE58" s="2">
        <v>1</v>
      </c>
      <c r="BF58" s="2">
        <v>2</v>
      </c>
      <c r="BG58" s="2">
        <v>2</v>
      </c>
      <c r="BH58" s="2">
        <v>2</v>
      </c>
      <c r="BI58" s="2">
        <v>2</v>
      </c>
      <c r="BJ58" s="2">
        <v>4</v>
      </c>
      <c r="BK58" s="2">
        <v>3</v>
      </c>
      <c r="BL58" s="2">
        <v>4</v>
      </c>
      <c r="BM58" s="2">
        <v>3</v>
      </c>
      <c r="BN58" s="2" t="s">
        <v>1978</v>
      </c>
      <c r="BO58" s="2">
        <v>3</v>
      </c>
      <c r="BP58" s="2">
        <v>3</v>
      </c>
      <c r="BQ58" s="2">
        <v>3</v>
      </c>
      <c r="BR58" s="2">
        <f t="shared" si="369"/>
        <v>4</v>
      </c>
      <c r="BS58" s="2">
        <f t="shared" si="370"/>
        <v>6</v>
      </c>
      <c r="BT58" s="2">
        <f t="shared" si="371"/>
        <v>8</v>
      </c>
      <c r="BU58" s="2">
        <f t="shared" si="372"/>
        <v>3</v>
      </c>
      <c r="BV58" s="2" t="e">
        <f t="shared" si="373"/>
        <v>#VALUE!</v>
      </c>
      <c r="BW58" s="2">
        <f t="shared" si="374"/>
        <v>6</v>
      </c>
      <c r="BX58" s="2">
        <f t="shared" si="375"/>
        <v>6</v>
      </c>
      <c r="BY58" s="2">
        <f t="shared" si="376"/>
        <v>6</v>
      </c>
      <c r="BZ58" s="2" t="b">
        <v>0</v>
      </c>
      <c r="CA58" s="2" t="b">
        <v>1</v>
      </c>
      <c r="CB58" s="2" t="b">
        <v>1</v>
      </c>
      <c r="CC58" s="2" t="b">
        <v>0</v>
      </c>
      <c r="CD58" s="2" t="b">
        <v>0</v>
      </c>
      <c r="CE58" s="2" t="b">
        <v>1</v>
      </c>
      <c r="CF58" s="2" t="b">
        <v>1</v>
      </c>
      <c r="CG58" s="2" t="b">
        <v>1</v>
      </c>
      <c r="CH58" s="2">
        <v>1</v>
      </c>
      <c r="CI58" s="2">
        <v>2</v>
      </c>
      <c r="CJ58" s="2">
        <v>2</v>
      </c>
      <c r="CK58" s="2">
        <v>1</v>
      </c>
      <c r="CL58" s="2">
        <v>2</v>
      </c>
      <c r="CM58" s="2">
        <v>2</v>
      </c>
      <c r="CN58" s="2">
        <v>2</v>
      </c>
      <c r="CO58" s="2">
        <v>1</v>
      </c>
      <c r="CP58" s="2">
        <v>3</v>
      </c>
      <c r="CQ58" s="2">
        <v>3</v>
      </c>
      <c r="CR58" s="2">
        <v>4</v>
      </c>
      <c r="CS58" s="2">
        <v>3</v>
      </c>
      <c r="CT58" s="2" t="s">
        <v>1978</v>
      </c>
      <c r="CU58" s="2">
        <v>4</v>
      </c>
      <c r="CV58" s="2">
        <v>4</v>
      </c>
      <c r="CW58" s="2" t="s">
        <v>1978</v>
      </c>
      <c r="CX58" s="2">
        <f t="shared" si="361"/>
        <v>3</v>
      </c>
      <c r="CY58" s="2">
        <f t="shared" si="362"/>
        <v>6</v>
      </c>
      <c r="CZ58" s="2">
        <f t="shared" si="363"/>
        <v>8</v>
      </c>
      <c r="DA58" s="2">
        <f t="shared" si="364"/>
        <v>3</v>
      </c>
      <c r="DB58" s="2" t="e">
        <f t="shared" si="365"/>
        <v>#VALUE!</v>
      </c>
      <c r="DC58" s="2">
        <f t="shared" si="366"/>
        <v>8</v>
      </c>
      <c r="DD58" s="2">
        <f t="shared" si="367"/>
        <v>8</v>
      </c>
      <c r="DE58" s="2" t="e">
        <f t="shared" si="368"/>
        <v>#VALUE!</v>
      </c>
      <c r="DF58" s="2" t="b">
        <v>1</v>
      </c>
      <c r="DG58" s="2" t="b">
        <v>1</v>
      </c>
      <c r="DH58" s="2" t="b">
        <v>1</v>
      </c>
      <c r="DI58" s="2" t="b">
        <v>0</v>
      </c>
      <c r="DJ58" s="2" t="b">
        <v>0</v>
      </c>
      <c r="DK58" s="2" t="b">
        <v>1</v>
      </c>
      <c r="DL58" s="2" t="b">
        <v>1</v>
      </c>
      <c r="DM58" s="2" t="b">
        <v>0</v>
      </c>
      <c r="DN58" s="2" t="s">
        <v>1978</v>
      </c>
      <c r="DO58" s="2" t="s">
        <v>1978</v>
      </c>
      <c r="DP58" s="2" t="s">
        <v>1978</v>
      </c>
      <c r="DQ58" s="2" t="s">
        <v>1978</v>
      </c>
      <c r="DR58" s="2" t="s">
        <v>1978</v>
      </c>
      <c r="DS58" s="2" t="s">
        <v>1978</v>
      </c>
      <c r="DT58" s="2" t="s">
        <v>1978</v>
      </c>
      <c r="DU58" s="2" t="s">
        <v>1978</v>
      </c>
      <c r="DV58" s="2" t="s">
        <v>1978</v>
      </c>
      <c r="DW58" s="2" t="s">
        <v>1978</v>
      </c>
      <c r="DX58" s="2" t="s">
        <v>1978</v>
      </c>
      <c r="DY58" s="2" t="s">
        <v>1978</v>
      </c>
      <c r="DZ58" s="2" t="s">
        <v>1978</v>
      </c>
      <c r="EA58" s="2" t="s">
        <v>1978</v>
      </c>
      <c r="EB58" s="2" t="s">
        <v>1978</v>
      </c>
      <c r="EC58" s="2" t="s">
        <v>1978</v>
      </c>
      <c r="ED58" s="2" t="s">
        <v>1978</v>
      </c>
      <c r="EE58" s="2" t="s">
        <v>1978</v>
      </c>
      <c r="EF58" s="2" t="s">
        <v>1978</v>
      </c>
      <c r="EG58" s="2" t="s">
        <v>1978</v>
      </c>
      <c r="EH58" s="2" t="s">
        <v>1978</v>
      </c>
      <c r="EI58" s="2" t="s">
        <v>1978</v>
      </c>
      <c r="EJ58" s="2" t="s">
        <v>1978</v>
      </c>
      <c r="EK58" s="2" t="s">
        <v>1978</v>
      </c>
      <c r="EL58" s="2" t="s">
        <v>1978</v>
      </c>
      <c r="EM58" s="2" t="s">
        <v>1978</v>
      </c>
      <c r="EN58" s="2" t="s">
        <v>1978</v>
      </c>
      <c r="EO58" s="2" t="s">
        <v>1978</v>
      </c>
      <c r="EP58" s="2" t="s">
        <v>1978</v>
      </c>
      <c r="EQ58" s="2" t="s">
        <v>1978</v>
      </c>
      <c r="ER58" s="2" t="s">
        <v>1978</v>
      </c>
      <c r="ES58" s="2" t="s">
        <v>1978</v>
      </c>
    </row>
    <row r="59" spans="1:149" x14ac:dyDescent="0.3">
      <c r="A59" s="2" t="s">
        <v>229</v>
      </c>
      <c r="B59" s="2" t="s">
        <v>2148</v>
      </c>
      <c r="C59" s="2" t="s">
        <v>1983</v>
      </c>
      <c r="D59" s="2" t="s">
        <v>232</v>
      </c>
      <c r="E59" s="2" t="s">
        <v>2171</v>
      </c>
      <c r="F59" s="2" t="s">
        <v>1978</v>
      </c>
      <c r="G59" s="2">
        <f t="shared" si="359"/>
        <v>30</v>
      </c>
      <c r="H59" s="2">
        <f t="shared" si="360"/>
        <v>27</v>
      </c>
      <c r="I59" s="2" t="s">
        <v>2696</v>
      </c>
      <c r="J59" s="2" t="s">
        <v>1970</v>
      </c>
      <c r="K59" s="2" t="s">
        <v>2716</v>
      </c>
      <c r="L59" s="2" t="s">
        <v>2720</v>
      </c>
      <c r="M59" s="2" t="s">
        <v>1978</v>
      </c>
      <c r="N59" s="344" t="s">
        <v>1978</v>
      </c>
      <c r="O59" s="344" t="s">
        <v>1978</v>
      </c>
      <c r="P59" s="344" t="s">
        <v>1978</v>
      </c>
      <c r="Q59" s="344" t="s">
        <v>1978</v>
      </c>
      <c r="R59" s="344" t="s">
        <v>1978</v>
      </c>
      <c r="S59" s="344" t="s">
        <v>1978</v>
      </c>
      <c r="T59" s="2" t="s">
        <v>2160</v>
      </c>
      <c r="U59" s="2" t="s">
        <v>2150</v>
      </c>
      <c r="X59" s="344">
        <f>'A123'!J67</f>
        <v>24</v>
      </c>
      <c r="Y59" s="344">
        <f>'A123'!K67</f>
        <v>7</v>
      </c>
      <c r="Z59" s="344">
        <f>'A123'!L67</f>
        <v>5.5714285714285712</v>
      </c>
      <c r="AA59" s="2" t="s">
        <v>2150</v>
      </c>
      <c r="AB59" s="2" t="str">
        <f>入學要求!X68</f>
        <v>以下一科選修取得Lv.3︰化學、組合科學(物理)、DAT、ICT、M1/2、物理</v>
      </c>
      <c r="AC59" s="2" t="str">
        <f>入學要求!Y68</f>
        <v>/</v>
      </c>
      <c r="AD59" s="2" t="s">
        <v>2171</v>
      </c>
      <c r="AE59" s="2" t="s">
        <v>2696</v>
      </c>
      <c r="AF59" s="2" t="s">
        <v>1970</v>
      </c>
      <c r="AG59" s="2" t="s">
        <v>2716</v>
      </c>
      <c r="AH59" s="2" t="s">
        <v>2720</v>
      </c>
      <c r="AI59" s="2" t="s">
        <v>1970</v>
      </c>
      <c r="AJ59" s="2" t="s">
        <v>2692</v>
      </c>
      <c r="AK59" s="2" t="s">
        <v>2151</v>
      </c>
      <c r="AL59" s="2" t="s">
        <v>2686</v>
      </c>
      <c r="AM59" s="2" t="s">
        <v>1970</v>
      </c>
      <c r="AN59" s="2" t="s">
        <v>1978</v>
      </c>
      <c r="AO59" s="2" t="s">
        <v>1978</v>
      </c>
      <c r="AP59" s="251" t="s">
        <v>1978</v>
      </c>
      <c r="AQ59" s="344" t="s">
        <v>1970</v>
      </c>
      <c r="AR59" s="2" t="s">
        <v>2150</v>
      </c>
      <c r="AS59" s="344" t="s">
        <v>2653</v>
      </c>
      <c r="AT59" s="2" t="s">
        <v>1970</v>
      </c>
      <c r="AU59" s="2" t="s">
        <v>1970</v>
      </c>
      <c r="AV59" s="344" t="s">
        <v>1987</v>
      </c>
      <c r="BB59" s="2">
        <v>1</v>
      </c>
      <c r="BC59" s="2">
        <v>2</v>
      </c>
      <c r="BD59" s="2">
        <v>2</v>
      </c>
      <c r="BE59" s="2">
        <v>1</v>
      </c>
      <c r="BF59" s="2">
        <v>2</v>
      </c>
      <c r="BG59" s="2">
        <v>2</v>
      </c>
      <c r="BH59" s="2">
        <v>1</v>
      </c>
      <c r="BI59" s="2">
        <v>1</v>
      </c>
      <c r="BJ59" s="2">
        <v>4</v>
      </c>
      <c r="BK59" s="2">
        <v>3</v>
      </c>
      <c r="BL59" s="2">
        <v>4</v>
      </c>
      <c r="BM59" s="2">
        <v>3</v>
      </c>
      <c r="BN59" s="2" t="s">
        <v>1978</v>
      </c>
      <c r="BO59" s="2">
        <v>3</v>
      </c>
      <c r="BP59" s="2">
        <v>3</v>
      </c>
      <c r="BQ59" s="2" t="s">
        <v>1978</v>
      </c>
      <c r="BR59" s="2">
        <f t="shared" si="369"/>
        <v>4</v>
      </c>
      <c r="BS59" s="2">
        <f t="shared" si="370"/>
        <v>6</v>
      </c>
      <c r="BT59" s="2">
        <f t="shared" si="371"/>
        <v>8</v>
      </c>
      <c r="BU59" s="2">
        <f t="shared" si="372"/>
        <v>3</v>
      </c>
      <c r="BV59" s="2" t="e">
        <f t="shared" si="373"/>
        <v>#VALUE!</v>
      </c>
      <c r="BW59" s="2">
        <f t="shared" si="374"/>
        <v>6</v>
      </c>
      <c r="BX59" s="2">
        <f t="shared" si="375"/>
        <v>3</v>
      </c>
      <c r="BY59" s="2" t="e">
        <f t="shared" si="376"/>
        <v>#VALUE!</v>
      </c>
      <c r="BZ59" s="2" t="b">
        <v>1</v>
      </c>
      <c r="CA59" s="2" t="b">
        <v>1</v>
      </c>
      <c r="CB59" s="2" t="b">
        <v>1</v>
      </c>
      <c r="CC59" s="2" t="b">
        <v>0</v>
      </c>
      <c r="CD59" s="2" t="b">
        <v>0</v>
      </c>
      <c r="CE59" s="2" t="b">
        <v>1</v>
      </c>
      <c r="CF59" s="2" t="b">
        <v>1</v>
      </c>
      <c r="CG59" s="2" t="b">
        <v>0</v>
      </c>
      <c r="CH59" s="2">
        <v>1</v>
      </c>
      <c r="CI59" s="2">
        <v>2</v>
      </c>
      <c r="CJ59" s="2">
        <v>2</v>
      </c>
      <c r="CK59" s="2">
        <v>1</v>
      </c>
      <c r="CL59" s="2">
        <v>2</v>
      </c>
      <c r="CM59" s="2">
        <v>2</v>
      </c>
      <c r="CN59" s="2">
        <v>2</v>
      </c>
      <c r="CO59" s="2">
        <v>1</v>
      </c>
      <c r="CP59" s="2">
        <v>3</v>
      </c>
      <c r="CQ59" s="2">
        <v>3</v>
      </c>
      <c r="CR59" s="2">
        <v>3</v>
      </c>
      <c r="CS59" s="2">
        <v>4</v>
      </c>
      <c r="CT59" s="2" t="s">
        <v>1978</v>
      </c>
      <c r="CU59" s="2">
        <v>4</v>
      </c>
      <c r="CV59" s="2">
        <v>3</v>
      </c>
      <c r="CW59" s="2" t="s">
        <v>1978</v>
      </c>
      <c r="CX59" s="2">
        <f t="shared" si="361"/>
        <v>3</v>
      </c>
      <c r="CY59" s="2">
        <f t="shared" si="362"/>
        <v>6</v>
      </c>
      <c r="CZ59" s="2">
        <f t="shared" si="363"/>
        <v>6</v>
      </c>
      <c r="DA59" s="2">
        <f t="shared" si="364"/>
        <v>4</v>
      </c>
      <c r="DB59" s="2" t="e">
        <f t="shared" si="365"/>
        <v>#VALUE!</v>
      </c>
      <c r="DC59" s="2">
        <f t="shared" si="366"/>
        <v>8</v>
      </c>
      <c r="DD59" s="2">
        <f t="shared" si="367"/>
        <v>6</v>
      </c>
      <c r="DE59" s="2" t="e">
        <f t="shared" si="368"/>
        <v>#VALUE!</v>
      </c>
      <c r="DF59" s="2" t="b">
        <v>0</v>
      </c>
      <c r="DG59" s="2" t="b">
        <v>1</v>
      </c>
      <c r="DH59" s="2" t="b">
        <v>1</v>
      </c>
      <c r="DI59" s="2" t="b">
        <v>1</v>
      </c>
      <c r="DJ59" s="2" t="b">
        <v>0</v>
      </c>
      <c r="DK59" s="2" t="b">
        <v>1</v>
      </c>
      <c r="DL59" s="2" t="b">
        <v>1</v>
      </c>
      <c r="DM59" s="2" t="b">
        <v>0</v>
      </c>
      <c r="DN59" s="2" t="s">
        <v>1978</v>
      </c>
      <c r="DO59" s="2" t="s">
        <v>1978</v>
      </c>
      <c r="DP59" s="2" t="s">
        <v>1978</v>
      </c>
      <c r="DQ59" s="2" t="s">
        <v>1978</v>
      </c>
      <c r="DR59" s="2" t="s">
        <v>1978</v>
      </c>
      <c r="DS59" s="2" t="s">
        <v>1978</v>
      </c>
      <c r="DT59" s="2" t="s">
        <v>1978</v>
      </c>
      <c r="DU59" s="2" t="s">
        <v>1978</v>
      </c>
      <c r="DV59" s="2" t="s">
        <v>1978</v>
      </c>
      <c r="DW59" s="2" t="s">
        <v>1978</v>
      </c>
      <c r="DX59" s="2" t="s">
        <v>1978</v>
      </c>
      <c r="DY59" s="2" t="s">
        <v>1978</v>
      </c>
      <c r="DZ59" s="2" t="s">
        <v>1978</v>
      </c>
      <c r="EA59" s="2" t="s">
        <v>1978</v>
      </c>
      <c r="EB59" s="2" t="s">
        <v>1978</v>
      </c>
      <c r="EC59" s="2" t="s">
        <v>1978</v>
      </c>
      <c r="ED59" s="2" t="s">
        <v>1978</v>
      </c>
      <c r="EE59" s="2" t="s">
        <v>1978</v>
      </c>
      <c r="EF59" s="2" t="s">
        <v>1978</v>
      </c>
      <c r="EG59" s="2" t="s">
        <v>1978</v>
      </c>
      <c r="EH59" s="2" t="s">
        <v>1978</v>
      </c>
      <c r="EI59" s="2" t="s">
        <v>1978</v>
      </c>
      <c r="EJ59" s="2" t="s">
        <v>1978</v>
      </c>
      <c r="EK59" s="2" t="s">
        <v>1978</v>
      </c>
      <c r="EL59" s="2" t="s">
        <v>1978</v>
      </c>
      <c r="EM59" s="2" t="s">
        <v>1978</v>
      </c>
      <c r="EN59" s="2" t="s">
        <v>1978</v>
      </c>
      <c r="EO59" s="2" t="s">
        <v>1978</v>
      </c>
      <c r="EP59" s="2" t="s">
        <v>1978</v>
      </c>
      <c r="EQ59" s="2" t="s">
        <v>1978</v>
      </c>
      <c r="ER59" s="2" t="s">
        <v>1978</v>
      </c>
      <c r="ES59" s="2" t="s">
        <v>1978</v>
      </c>
    </row>
    <row r="60" spans="1:149" x14ac:dyDescent="0.3">
      <c r="A60" s="2" t="s">
        <v>233</v>
      </c>
      <c r="B60" s="2" t="s">
        <v>2148</v>
      </c>
      <c r="C60" s="2" t="s">
        <v>1983</v>
      </c>
      <c r="D60" s="2" t="s">
        <v>236</v>
      </c>
      <c r="E60" s="206" t="s">
        <v>2187</v>
      </c>
      <c r="F60" s="2" t="s">
        <v>1978</v>
      </c>
      <c r="G60" s="2" t="s">
        <v>1978</v>
      </c>
      <c r="H60" s="2" t="s">
        <v>1978</v>
      </c>
      <c r="I60" s="2" t="s">
        <v>1970</v>
      </c>
      <c r="J60" s="2" t="s">
        <v>1970</v>
      </c>
      <c r="K60" s="2" t="s">
        <v>1970</v>
      </c>
      <c r="L60" s="2" t="s">
        <v>1970</v>
      </c>
      <c r="M60" s="2" t="s">
        <v>1978</v>
      </c>
      <c r="N60" s="344" t="s">
        <v>1978</v>
      </c>
      <c r="O60" s="344" t="s">
        <v>1978</v>
      </c>
      <c r="P60" s="344" t="s">
        <v>1978</v>
      </c>
      <c r="Q60" s="344" t="s">
        <v>1978</v>
      </c>
      <c r="R60" s="344" t="s">
        <v>1978</v>
      </c>
      <c r="S60" s="344" t="s">
        <v>1978</v>
      </c>
      <c r="T60" s="2" t="s">
        <v>234</v>
      </c>
      <c r="U60" s="2" t="s">
        <v>2150</v>
      </c>
      <c r="X60" s="344">
        <f>'A123'!J68</f>
        <v>20</v>
      </c>
      <c r="Y60" s="344" t="str">
        <f>'A123'!K68</f>
        <v>/</v>
      </c>
      <c r="Z60" s="344" t="str">
        <f>'A123'!L68</f>
        <v>新科目</v>
      </c>
      <c r="AA60" s="2" t="s">
        <v>2150</v>
      </c>
      <c r="AB60" s="2" t="str">
        <f>入學要求!X69</f>
        <v xml:space="preserve">以下兩科選修取得Lv.3︰生物、化學、組合科學、DAT、ICT、綜合科學、M1/2、物理 </v>
      </c>
      <c r="AC60" s="2" t="str">
        <f>入學要求!Y69</f>
        <v>/</v>
      </c>
      <c r="AD60" s="2" t="s">
        <v>2153</v>
      </c>
      <c r="AE60" s="2" t="s">
        <v>2682</v>
      </c>
      <c r="AF60" s="2" t="s">
        <v>1970</v>
      </c>
      <c r="AG60" s="2" t="s">
        <v>2902</v>
      </c>
      <c r="AH60" s="2" t="s">
        <v>1970</v>
      </c>
      <c r="AI60" s="2" t="s">
        <v>1970</v>
      </c>
      <c r="AJ60" s="2" t="s">
        <v>2692</v>
      </c>
      <c r="AK60" s="2" t="s">
        <v>2151</v>
      </c>
      <c r="AL60" s="2" t="s">
        <v>2686</v>
      </c>
      <c r="AM60" s="2" t="s">
        <v>1970</v>
      </c>
      <c r="AN60" s="2" t="s">
        <v>1978</v>
      </c>
      <c r="AO60" s="2" t="s">
        <v>1978</v>
      </c>
      <c r="AP60" s="251" t="s">
        <v>1978</v>
      </c>
      <c r="AQ60" s="344" t="s">
        <v>1970</v>
      </c>
      <c r="AR60" s="2" t="s">
        <v>2150</v>
      </c>
      <c r="AS60" s="2" t="s">
        <v>3608</v>
      </c>
      <c r="AT60" s="2" t="s">
        <v>1970</v>
      </c>
      <c r="AU60" s="2" t="s">
        <v>1970</v>
      </c>
      <c r="AV60" s="344" t="s">
        <v>1987</v>
      </c>
      <c r="BB60" s="2" t="s">
        <v>1978</v>
      </c>
      <c r="BC60" s="2" t="s">
        <v>1978</v>
      </c>
      <c r="BD60" s="2" t="s">
        <v>1978</v>
      </c>
      <c r="BE60" s="2" t="s">
        <v>1978</v>
      </c>
      <c r="BF60" s="2" t="s">
        <v>1978</v>
      </c>
      <c r="BG60" s="2" t="s">
        <v>1978</v>
      </c>
      <c r="BH60" s="2" t="s">
        <v>1978</v>
      </c>
      <c r="BI60" s="2" t="s">
        <v>1978</v>
      </c>
      <c r="BJ60" s="2" t="s">
        <v>1978</v>
      </c>
      <c r="BK60" s="2" t="s">
        <v>1978</v>
      </c>
      <c r="BL60" s="2" t="s">
        <v>1978</v>
      </c>
      <c r="BM60" s="2" t="s">
        <v>1978</v>
      </c>
      <c r="BN60" s="2" t="s">
        <v>1978</v>
      </c>
      <c r="BO60" s="2" t="s">
        <v>1978</v>
      </c>
      <c r="BP60" s="2" t="s">
        <v>1978</v>
      </c>
      <c r="BQ60" s="2" t="s">
        <v>1978</v>
      </c>
      <c r="BR60" s="2" t="e">
        <f t="shared" ref="BR60:BY60" si="377">BB60*BJ60</f>
        <v>#VALUE!</v>
      </c>
      <c r="BS60" s="2" t="e">
        <f t="shared" si="377"/>
        <v>#VALUE!</v>
      </c>
      <c r="BT60" s="2" t="e">
        <f t="shared" si="377"/>
        <v>#VALUE!</v>
      </c>
      <c r="BU60" s="2" t="e">
        <f t="shared" si="377"/>
        <v>#VALUE!</v>
      </c>
      <c r="BV60" s="2" t="e">
        <f t="shared" si="377"/>
        <v>#VALUE!</v>
      </c>
      <c r="BW60" s="2" t="e">
        <f t="shared" si="377"/>
        <v>#VALUE!</v>
      </c>
      <c r="BX60" s="2" t="e">
        <f t="shared" si="377"/>
        <v>#VALUE!</v>
      </c>
      <c r="BY60" s="2" t="e">
        <f t="shared" si="377"/>
        <v>#VALUE!</v>
      </c>
      <c r="BZ60" s="2" t="s">
        <v>1978</v>
      </c>
      <c r="CA60" s="2" t="s">
        <v>1978</v>
      </c>
      <c r="CB60" s="2" t="s">
        <v>1978</v>
      </c>
      <c r="CC60" s="2" t="s">
        <v>1978</v>
      </c>
      <c r="CD60" s="2" t="s">
        <v>1978</v>
      </c>
      <c r="CE60" s="2" t="s">
        <v>1978</v>
      </c>
      <c r="CF60" s="2" t="s">
        <v>1978</v>
      </c>
      <c r="CG60" s="2" t="s">
        <v>1978</v>
      </c>
      <c r="CH60" s="2" t="s">
        <v>1978</v>
      </c>
      <c r="CI60" s="2" t="s">
        <v>1978</v>
      </c>
      <c r="CJ60" s="2" t="s">
        <v>1978</v>
      </c>
      <c r="CK60" s="2" t="s">
        <v>1978</v>
      </c>
      <c r="CL60" s="2" t="s">
        <v>1978</v>
      </c>
      <c r="CM60" s="2" t="s">
        <v>1978</v>
      </c>
      <c r="CN60" s="2" t="s">
        <v>1978</v>
      </c>
      <c r="CO60" s="2" t="s">
        <v>1978</v>
      </c>
      <c r="CP60" s="2" t="s">
        <v>1978</v>
      </c>
      <c r="CQ60" s="2" t="s">
        <v>1978</v>
      </c>
      <c r="CR60" s="2" t="s">
        <v>1978</v>
      </c>
      <c r="CS60" s="2" t="s">
        <v>1978</v>
      </c>
      <c r="CT60" s="2" t="s">
        <v>1978</v>
      </c>
      <c r="CU60" s="2" t="s">
        <v>1978</v>
      </c>
      <c r="CV60" s="2" t="s">
        <v>1978</v>
      </c>
      <c r="CW60" s="2" t="s">
        <v>1978</v>
      </c>
      <c r="CX60" s="2" t="e">
        <f t="shared" si="361"/>
        <v>#VALUE!</v>
      </c>
      <c r="CY60" s="2" t="e">
        <f t="shared" si="362"/>
        <v>#VALUE!</v>
      </c>
      <c r="CZ60" s="2" t="e">
        <f t="shared" si="363"/>
        <v>#VALUE!</v>
      </c>
      <c r="DA60" s="2" t="e">
        <f t="shared" si="364"/>
        <v>#VALUE!</v>
      </c>
      <c r="DB60" s="2" t="e">
        <f t="shared" si="365"/>
        <v>#VALUE!</v>
      </c>
      <c r="DC60" s="2" t="e">
        <f t="shared" si="366"/>
        <v>#VALUE!</v>
      </c>
      <c r="DD60" s="2" t="e">
        <f t="shared" si="367"/>
        <v>#VALUE!</v>
      </c>
      <c r="DE60" s="2" t="e">
        <f t="shared" si="368"/>
        <v>#VALUE!</v>
      </c>
      <c r="DF60" s="2" t="s">
        <v>1978</v>
      </c>
      <c r="DG60" s="2" t="s">
        <v>1978</v>
      </c>
      <c r="DH60" s="2" t="s">
        <v>1978</v>
      </c>
      <c r="DI60" s="2" t="s">
        <v>1978</v>
      </c>
      <c r="DJ60" s="2" t="s">
        <v>1978</v>
      </c>
      <c r="DK60" s="2" t="s">
        <v>1978</v>
      </c>
      <c r="DL60" s="2" t="s">
        <v>1978</v>
      </c>
      <c r="DM60" s="2" t="s">
        <v>1978</v>
      </c>
      <c r="DN60" s="2" t="s">
        <v>1978</v>
      </c>
      <c r="DO60" s="2" t="s">
        <v>1978</v>
      </c>
      <c r="DP60" s="2" t="s">
        <v>1978</v>
      </c>
      <c r="DQ60" s="2" t="s">
        <v>1978</v>
      </c>
      <c r="DR60" s="2" t="s">
        <v>1978</v>
      </c>
      <c r="DS60" s="2" t="s">
        <v>1978</v>
      </c>
      <c r="DT60" s="2" t="s">
        <v>1978</v>
      </c>
      <c r="DU60" s="2" t="s">
        <v>1978</v>
      </c>
      <c r="DV60" s="2" t="s">
        <v>1978</v>
      </c>
      <c r="DW60" s="2" t="s">
        <v>1978</v>
      </c>
      <c r="DX60" s="2" t="s">
        <v>1978</v>
      </c>
      <c r="DY60" s="2" t="s">
        <v>1978</v>
      </c>
      <c r="DZ60" s="2" t="s">
        <v>1978</v>
      </c>
      <c r="EA60" s="2" t="s">
        <v>1978</v>
      </c>
      <c r="EB60" s="2" t="s">
        <v>1978</v>
      </c>
      <c r="EC60" s="2" t="s">
        <v>1978</v>
      </c>
      <c r="ED60" s="2" t="s">
        <v>1978</v>
      </c>
      <c r="EE60" s="2" t="s">
        <v>1978</v>
      </c>
      <c r="EF60" s="2" t="s">
        <v>1978</v>
      </c>
      <c r="EG60" s="2" t="s">
        <v>1978</v>
      </c>
      <c r="EH60" s="2" t="s">
        <v>1978</v>
      </c>
      <c r="EI60" s="2" t="s">
        <v>1978</v>
      </c>
      <c r="EJ60" s="2" t="s">
        <v>1978</v>
      </c>
      <c r="EK60" s="2" t="s">
        <v>1978</v>
      </c>
      <c r="EL60" s="2" t="s">
        <v>1978</v>
      </c>
      <c r="EM60" s="2" t="s">
        <v>1978</v>
      </c>
      <c r="EN60" s="2" t="s">
        <v>1978</v>
      </c>
      <c r="EO60" s="2" t="s">
        <v>1978</v>
      </c>
      <c r="EP60" s="2" t="s">
        <v>1978</v>
      </c>
      <c r="EQ60" s="2" t="s">
        <v>1978</v>
      </c>
      <c r="ER60" s="2" t="s">
        <v>1978</v>
      </c>
      <c r="ES60" s="2" t="s">
        <v>1978</v>
      </c>
    </row>
    <row r="61" spans="1:149" x14ac:dyDescent="0.3">
      <c r="A61" s="2" t="s">
        <v>237</v>
      </c>
      <c r="B61" s="2" t="s">
        <v>2148</v>
      </c>
      <c r="C61" s="2" t="s">
        <v>2161</v>
      </c>
      <c r="D61" s="2" t="s">
        <v>240</v>
      </c>
      <c r="E61" s="206" t="s">
        <v>2187</v>
      </c>
      <c r="F61" s="2" t="s">
        <v>1978</v>
      </c>
      <c r="G61" s="2" t="s">
        <v>1978</v>
      </c>
      <c r="H61" s="2" t="s">
        <v>1978</v>
      </c>
      <c r="I61" s="2" t="s">
        <v>1970</v>
      </c>
      <c r="J61" s="2" t="s">
        <v>1970</v>
      </c>
      <c r="K61" s="2" t="s">
        <v>1970</v>
      </c>
      <c r="L61" s="2" t="s">
        <v>1970</v>
      </c>
      <c r="M61" s="2" t="s">
        <v>1978</v>
      </c>
      <c r="N61" s="344" t="s">
        <v>1978</v>
      </c>
      <c r="O61" s="344" t="s">
        <v>1978</v>
      </c>
      <c r="P61" s="344" t="s">
        <v>1978</v>
      </c>
      <c r="Q61" s="344" t="s">
        <v>1978</v>
      </c>
      <c r="R61" s="344" t="s">
        <v>1978</v>
      </c>
      <c r="S61" s="344" t="s">
        <v>1978</v>
      </c>
      <c r="T61" s="2" t="s">
        <v>238</v>
      </c>
      <c r="U61" s="2" t="s">
        <v>2150</v>
      </c>
      <c r="X61" s="344">
        <f>'A123'!J69</f>
        <v>9</v>
      </c>
      <c r="Y61" s="344" t="str">
        <f>'A123'!K69</f>
        <v>/</v>
      </c>
      <c r="Z61" s="344" t="str">
        <f>'A123'!L69</f>
        <v>新科目</v>
      </c>
      <c r="AA61" s="2" t="s">
        <v>2150</v>
      </c>
      <c r="AB61" s="2" t="str">
        <f>入學要求!X70</f>
        <v>以下一科選修取得Lv.3︰BAFS、化學、M1/2、物理</v>
      </c>
      <c r="AC61" s="2" t="str">
        <f>入學要求!Y70</f>
        <v>/</v>
      </c>
      <c r="AD61" s="2" t="s">
        <v>2171</v>
      </c>
      <c r="AE61" s="2" t="s">
        <v>2696</v>
      </c>
      <c r="AF61" s="2" t="s">
        <v>1970</v>
      </c>
      <c r="AG61" s="2" t="s">
        <v>2763</v>
      </c>
      <c r="AH61" s="2" t="s">
        <v>1978</v>
      </c>
      <c r="AI61" s="2" t="s">
        <v>1978</v>
      </c>
      <c r="AJ61" s="2" t="s">
        <v>2151</v>
      </c>
      <c r="AK61" s="2" t="s">
        <v>2756</v>
      </c>
      <c r="AL61" s="2" t="s">
        <v>2729</v>
      </c>
      <c r="AM61" s="2" t="s">
        <v>1970</v>
      </c>
      <c r="AN61" s="2" t="s">
        <v>1978</v>
      </c>
      <c r="AO61" s="2" t="s">
        <v>1978</v>
      </c>
      <c r="AP61" s="251" t="s">
        <v>1978</v>
      </c>
      <c r="AQ61" s="344" t="s">
        <v>1970</v>
      </c>
      <c r="AR61" s="2" t="s">
        <v>2150</v>
      </c>
      <c r="AS61" s="2" t="s">
        <v>3603</v>
      </c>
      <c r="AT61" s="564">
        <v>44713</v>
      </c>
      <c r="AU61" s="2" t="s">
        <v>1970</v>
      </c>
      <c r="AV61" s="344" t="s">
        <v>1987</v>
      </c>
      <c r="BB61" s="2" t="s">
        <v>1978</v>
      </c>
      <c r="BC61" s="2" t="s">
        <v>1978</v>
      </c>
      <c r="BD61" s="2" t="s">
        <v>1978</v>
      </c>
      <c r="BE61" s="2" t="s">
        <v>1978</v>
      </c>
      <c r="BF61" s="2" t="s">
        <v>1978</v>
      </c>
      <c r="BG61" s="2" t="s">
        <v>1978</v>
      </c>
      <c r="BH61" s="2" t="s">
        <v>1978</v>
      </c>
      <c r="BI61" s="2" t="s">
        <v>1978</v>
      </c>
      <c r="BJ61" s="2" t="s">
        <v>1978</v>
      </c>
      <c r="BK61" s="2" t="s">
        <v>1978</v>
      </c>
      <c r="BL61" s="2" t="s">
        <v>1978</v>
      </c>
      <c r="BM61" s="2" t="s">
        <v>1978</v>
      </c>
      <c r="BN61" s="2" t="s">
        <v>1978</v>
      </c>
      <c r="BO61" s="2" t="s">
        <v>1978</v>
      </c>
      <c r="BP61" s="2" t="s">
        <v>1978</v>
      </c>
      <c r="BQ61" s="2" t="s">
        <v>1978</v>
      </c>
      <c r="BR61" s="2" t="e">
        <f t="shared" ref="BR61:BR66" si="378">BB61*BJ61</f>
        <v>#VALUE!</v>
      </c>
      <c r="BS61" s="2" t="e">
        <f t="shared" ref="BS61:BS66" si="379">BC61*BK61</f>
        <v>#VALUE!</v>
      </c>
      <c r="BT61" s="2" t="e">
        <f t="shared" ref="BT61:BT66" si="380">BD61*BL61</f>
        <v>#VALUE!</v>
      </c>
      <c r="BU61" s="2" t="e">
        <f t="shared" ref="BU61:BU66" si="381">BE61*BM61</f>
        <v>#VALUE!</v>
      </c>
      <c r="BV61" s="2" t="e">
        <f t="shared" ref="BV61:BV66" si="382">BF61*BN61</f>
        <v>#VALUE!</v>
      </c>
      <c r="BW61" s="2" t="e">
        <f t="shared" ref="BW61:BW66" si="383">BG61*BO61</f>
        <v>#VALUE!</v>
      </c>
      <c r="BX61" s="2" t="e">
        <f t="shared" ref="BX61:BX66" si="384">BH61*BP61</f>
        <v>#VALUE!</v>
      </c>
      <c r="BY61" s="2" t="e">
        <f t="shared" ref="BY61:BY66" si="385">BI61*BQ61</f>
        <v>#VALUE!</v>
      </c>
      <c r="BZ61" s="2" t="s">
        <v>1978</v>
      </c>
      <c r="CA61" s="2" t="s">
        <v>1978</v>
      </c>
      <c r="CB61" s="2" t="s">
        <v>1978</v>
      </c>
      <c r="CC61" s="2" t="s">
        <v>1978</v>
      </c>
      <c r="CD61" s="2" t="s">
        <v>1978</v>
      </c>
      <c r="CE61" s="2" t="s">
        <v>1978</v>
      </c>
      <c r="CF61" s="2" t="s">
        <v>1978</v>
      </c>
      <c r="CG61" s="2" t="s">
        <v>1978</v>
      </c>
      <c r="CH61" s="2" t="s">
        <v>1978</v>
      </c>
      <c r="CI61" s="2" t="s">
        <v>1978</v>
      </c>
      <c r="CJ61" s="2" t="s">
        <v>1978</v>
      </c>
      <c r="CK61" s="2" t="s">
        <v>1978</v>
      </c>
      <c r="CL61" s="2" t="s">
        <v>1978</v>
      </c>
      <c r="CM61" s="2" t="s">
        <v>1978</v>
      </c>
      <c r="CN61" s="2" t="s">
        <v>1978</v>
      </c>
      <c r="CO61" s="2" t="s">
        <v>1978</v>
      </c>
      <c r="CP61" s="2" t="s">
        <v>1978</v>
      </c>
      <c r="CQ61" s="2" t="s">
        <v>1978</v>
      </c>
      <c r="CR61" s="2" t="s">
        <v>1978</v>
      </c>
      <c r="CS61" s="2" t="s">
        <v>1978</v>
      </c>
      <c r="CT61" s="2" t="s">
        <v>1978</v>
      </c>
      <c r="CU61" s="2" t="s">
        <v>1978</v>
      </c>
      <c r="CV61" s="2" t="s">
        <v>1978</v>
      </c>
      <c r="CW61" s="2" t="s">
        <v>1978</v>
      </c>
      <c r="CX61" s="2" t="e">
        <f t="shared" si="361"/>
        <v>#VALUE!</v>
      </c>
      <c r="CY61" s="2" t="e">
        <f t="shared" si="362"/>
        <v>#VALUE!</v>
      </c>
      <c r="CZ61" s="2" t="e">
        <f t="shared" si="363"/>
        <v>#VALUE!</v>
      </c>
      <c r="DA61" s="2" t="e">
        <f t="shared" si="364"/>
        <v>#VALUE!</v>
      </c>
      <c r="DB61" s="2" t="e">
        <f t="shared" si="365"/>
        <v>#VALUE!</v>
      </c>
      <c r="DC61" s="2" t="e">
        <f t="shared" si="366"/>
        <v>#VALUE!</v>
      </c>
      <c r="DD61" s="2" t="e">
        <f t="shared" si="367"/>
        <v>#VALUE!</v>
      </c>
      <c r="DE61" s="2" t="e">
        <f t="shared" si="368"/>
        <v>#VALUE!</v>
      </c>
      <c r="DF61" s="2" t="s">
        <v>1978</v>
      </c>
      <c r="DG61" s="2" t="s">
        <v>1978</v>
      </c>
      <c r="DH61" s="2" t="s">
        <v>1978</v>
      </c>
      <c r="DI61" s="2" t="s">
        <v>1978</v>
      </c>
      <c r="DJ61" s="2" t="s">
        <v>1978</v>
      </c>
      <c r="DK61" s="2" t="s">
        <v>1978</v>
      </c>
      <c r="DL61" s="2" t="s">
        <v>1978</v>
      </c>
      <c r="DM61" s="2" t="s">
        <v>1978</v>
      </c>
      <c r="DN61" s="2" t="s">
        <v>1978</v>
      </c>
      <c r="DO61" s="2" t="s">
        <v>1978</v>
      </c>
      <c r="DP61" s="2" t="s">
        <v>1978</v>
      </c>
      <c r="DQ61" s="2" t="s">
        <v>1978</v>
      </c>
      <c r="DR61" s="2" t="s">
        <v>1978</v>
      </c>
      <c r="DS61" s="2" t="s">
        <v>1978</v>
      </c>
      <c r="DT61" s="2" t="s">
        <v>1978</v>
      </c>
      <c r="DU61" s="2" t="s">
        <v>1978</v>
      </c>
      <c r="DV61" s="2" t="s">
        <v>1978</v>
      </c>
      <c r="DW61" s="2" t="s">
        <v>1978</v>
      </c>
      <c r="DX61" s="2" t="s">
        <v>1978</v>
      </c>
      <c r="DY61" s="2" t="s">
        <v>1978</v>
      </c>
      <c r="DZ61" s="2" t="s">
        <v>1978</v>
      </c>
      <c r="EA61" s="2" t="s">
        <v>1978</v>
      </c>
      <c r="EB61" s="2" t="s">
        <v>1978</v>
      </c>
      <c r="EC61" s="2" t="s">
        <v>1978</v>
      </c>
      <c r="ED61" s="2" t="s">
        <v>1978</v>
      </c>
      <c r="EE61" s="2" t="s">
        <v>1978</v>
      </c>
      <c r="EF61" s="2" t="s">
        <v>1978</v>
      </c>
      <c r="EG61" s="2" t="s">
        <v>1978</v>
      </c>
      <c r="EH61" s="2" t="s">
        <v>1978</v>
      </c>
      <c r="EI61" s="2" t="s">
        <v>1978</v>
      </c>
      <c r="EJ61" s="2" t="s">
        <v>1978</v>
      </c>
      <c r="EK61" s="2" t="s">
        <v>1978</v>
      </c>
      <c r="EL61" s="2" t="s">
        <v>1978</v>
      </c>
      <c r="EM61" s="2" t="s">
        <v>1978</v>
      </c>
      <c r="EN61" s="2" t="s">
        <v>1978</v>
      </c>
      <c r="EO61" s="2" t="s">
        <v>1978</v>
      </c>
      <c r="EP61" s="2" t="s">
        <v>1978</v>
      </c>
      <c r="EQ61" s="2" t="s">
        <v>1978</v>
      </c>
      <c r="ER61" s="2" t="s">
        <v>1978</v>
      </c>
      <c r="ES61" s="2" t="s">
        <v>1978</v>
      </c>
    </row>
    <row r="62" spans="1:149" x14ac:dyDescent="0.3">
      <c r="A62" s="2" t="s">
        <v>2787</v>
      </c>
      <c r="B62" s="2" t="s">
        <v>2148</v>
      </c>
      <c r="C62" s="2" t="s">
        <v>2159</v>
      </c>
      <c r="D62" s="2" t="s">
        <v>244</v>
      </c>
      <c r="E62" s="206" t="s">
        <v>2187</v>
      </c>
      <c r="F62" s="2" t="s">
        <v>1978</v>
      </c>
      <c r="G62" s="2" t="s">
        <v>1978</v>
      </c>
      <c r="H62" s="2" t="s">
        <v>1978</v>
      </c>
      <c r="I62" s="2" t="s">
        <v>1970</v>
      </c>
      <c r="J62" s="2" t="s">
        <v>1978</v>
      </c>
      <c r="K62" s="2" t="s">
        <v>1970</v>
      </c>
      <c r="L62" s="2" t="s">
        <v>1970</v>
      </c>
      <c r="M62" s="2" t="s">
        <v>1978</v>
      </c>
      <c r="N62" s="344" t="s">
        <v>1978</v>
      </c>
      <c r="O62" s="344" t="s">
        <v>1978</v>
      </c>
      <c r="P62" s="344" t="s">
        <v>1978</v>
      </c>
      <c r="Q62" s="344" t="s">
        <v>1978</v>
      </c>
      <c r="R62" s="344" t="s">
        <v>1978</v>
      </c>
      <c r="S62" s="344" t="s">
        <v>1978</v>
      </c>
      <c r="T62" s="2" t="s">
        <v>242</v>
      </c>
      <c r="U62" s="2" t="s">
        <v>2150</v>
      </c>
      <c r="X62" s="344">
        <f>'A123'!J70</f>
        <v>10</v>
      </c>
      <c r="Y62" s="344" t="str">
        <f>'A123'!K70</f>
        <v>/</v>
      </c>
      <c r="Z62" s="344" t="str">
        <f>'A123'!L70</f>
        <v>新科目</v>
      </c>
      <c r="AA62" s="2" t="s">
        <v>2150</v>
      </c>
      <c r="AB62" s="2" t="str">
        <f>入學要求!X71</f>
        <v>以下一科選修取得Lv.3︰生物、化學、組合科學、ICT、M1/2、物理</v>
      </c>
      <c r="AC62" s="2" t="str">
        <f>入學要求!Y71</f>
        <v>/</v>
      </c>
      <c r="AD62" s="2" t="s">
        <v>1967</v>
      </c>
      <c r="AE62" s="2" t="s">
        <v>1978</v>
      </c>
      <c r="AF62" s="2" t="s">
        <v>1978</v>
      </c>
      <c r="AG62" s="2" t="s">
        <v>1978</v>
      </c>
      <c r="AH62" s="2" t="s">
        <v>1978</v>
      </c>
      <c r="AI62" s="2" t="s">
        <v>1978</v>
      </c>
      <c r="AJ62" s="2" t="s">
        <v>2692</v>
      </c>
      <c r="AK62" s="2" t="s">
        <v>2151</v>
      </c>
      <c r="AL62" s="2" t="s">
        <v>2695</v>
      </c>
      <c r="AM62" s="2" t="s">
        <v>1970</v>
      </c>
      <c r="AN62" s="2" t="s">
        <v>1978</v>
      </c>
      <c r="AO62" s="2" t="s">
        <v>1978</v>
      </c>
      <c r="AP62" s="251" t="s">
        <v>1978</v>
      </c>
      <c r="AQ62" s="344" t="s">
        <v>1970</v>
      </c>
      <c r="AR62" s="2" t="s">
        <v>2150</v>
      </c>
      <c r="AS62" s="2" t="s">
        <v>3610</v>
      </c>
      <c r="AT62" s="2" t="s">
        <v>1970</v>
      </c>
      <c r="AU62" s="2" t="s">
        <v>3618</v>
      </c>
      <c r="AV62" s="344" t="s">
        <v>1987</v>
      </c>
      <c r="BB62" s="2" t="s">
        <v>1978</v>
      </c>
      <c r="BC62" s="2" t="s">
        <v>1978</v>
      </c>
      <c r="BD62" s="2" t="s">
        <v>1978</v>
      </c>
      <c r="BE62" s="2" t="s">
        <v>1978</v>
      </c>
      <c r="BF62" s="2" t="s">
        <v>1978</v>
      </c>
      <c r="BG62" s="2" t="s">
        <v>1978</v>
      </c>
      <c r="BH62" s="2" t="s">
        <v>1978</v>
      </c>
      <c r="BI62" s="2" t="s">
        <v>1978</v>
      </c>
      <c r="BJ62" s="2" t="s">
        <v>1978</v>
      </c>
      <c r="BK62" s="2" t="s">
        <v>1978</v>
      </c>
      <c r="BL62" s="2" t="s">
        <v>1978</v>
      </c>
      <c r="BM62" s="2" t="s">
        <v>1978</v>
      </c>
      <c r="BN62" s="2" t="s">
        <v>1978</v>
      </c>
      <c r="BO62" s="2" t="s">
        <v>1978</v>
      </c>
      <c r="BP62" s="2" t="s">
        <v>1978</v>
      </c>
      <c r="BQ62" s="2" t="s">
        <v>1978</v>
      </c>
      <c r="BR62" s="2" t="e">
        <f t="shared" si="378"/>
        <v>#VALUE!</v>
      </c>
      <c r="BS62" s="2" t="e">
        <f t="shared" si="379"/>
        <v>#VALUE!</v>
      </c>
      <c r="BT62" s="2" t="e">
        <f t="shared" si="380"/>
        <v>#VALUE!</v>
      </c>
      <c r="BU62" s="2" t="e">
        <f t="shared" si="381"/>
        <v>#VALUE!</v>
      </c>
      <c r="BV62" s="2" t="e">
        <f t="shared" si="382"/>
        <v>#VALUE!</v>
      </c>
      <c r="BW62" s="2" t="e">
        <f t="shared" si="383"/>
        <v>#VALUE!</v>
      </c>
      <c r="BX62" s="2" t="e">
        <f t="shared" si="384"/>
        <v>#VALUE!</v>
      </c>
      <c r="BY62" s="2" t="e">
        <f t="shared" si="385"/>
        <v>#VALUE!</v>
      </c>
      <c r="BZ62" s="2" t="s">
        <v>1978</v>
      </c>
      <c r="CA62" s="2" t="s">
        <v>1978</v>
      </c>
      <c r="CB62" s="2" t="s">
        <v>1978</v>
      </c>
      <c r="CC62" s="2" t="s">
        <v>1978</v>
      </c>
      <c r="CD62" s="2" t="s">
        <v>1978</v>
      </c>
      <c r="CE62" s="2" t="s">
        <v>1978</v>
      </c>
      <c r="CF62" s="2" t="s">
        <v>1978</v>
      </c>
      <c r="CG62" s="2" t="s">
        <v>1978</v>
      </c>
      <c r="CH62" s="2" t="s">
        <v>1978</v>
      </c>
      <c r="CI62" s="2" t="s">
        <v>1978</v>
      </c>
      <c r="CJ62" s="2" t="s">
        <v>1978</v>
      </c>
      <c r="CK62" s="2" t="s">
        <v>1978</v>
      </c>
      <c r="CL62" s="2" t="s">
        <v>1978</v>
      </c>
      <c r="CM62" s="2" t="s">
        <v>1978</v>
      </c>
      <c r="CN62" s="2" t="s">
        <v>1978</v>
      </c>
      <c r="CO62" s="2" t="s">
        <v>1978</v>
      </c>
      <c r="CP62" s="2" t="s">
        <v>1978</v>
      </c>
      <c r="CQ62" s="2" t="s">
        <v>1978</v>
      </c>
      <c r="CR62" s="2" t="s">
        <v>1978</v>
      </c>
      <c r="CS62" s="2" t="s">
        <v>1978</v>
      </c>
      <c r="CT62" s="2" t="s">
        <v>1978</v>
      </c>
      <c r="CU62" s="2" t="s">
        <v>1978</v>
      </c>
      <c r="CV62" s="2" t="s">
        <v>1978</v>
      </c>
      <c r="CW62" s="2" t="s">
        <v>1978</v>
      </c>
      <c r="CX62" s="2" t="e">
        <f t="shared" si="361"/>
        <v>#VALUE!</v>
      </c>
      <c r="CY62" s="2" t="e">
        <f t="shared" si="362"/>
        <v>#VALUE!</v>
      </c>
      <c r="CZ62" s="2" t="e">
        <f t="shared" si="363"/>
        <v>#VALUE!</v>
      </c>
      <c r="DA62" s="2" t="e">
        <f t="shared" si="364"/>
        <v>#VALUE!</v>
      </c>
      <c r="DB62" s="2" t="e">
        <f t="shared" si="365"/>
        <v>#VALUE!</v>
      </c>
      <c r="DC62" s="2" t="e">
        <f t="shared" si="366"/>
        <v>#VALUE!</v>
      </c>
      <c r="DD62" s="2" t="e">
        <f t="shared" si="367"/>
        <v>#VALUE!</v>
      </c>
      <c r="DE62" s="2" t="e">
        <f t="shared" si="368"/>
        <v>#VALUE!</v>
      </c>
      <c r="DF62" s="2" t="s">
        <v>1978</v>
      </c>
      <c r="DG62" s="2" t="s">
        <v>1978</v>
      </c>
      <c r="DH62" s="2" t="s">
        <v>1978</v>
      </c>
      <c r="DI62" s="2" t="s">
        <v>1978</v>
      </c>
      <c r="DJ62" s="2" t="s">
        <v>1978</v>
      </c>
      <c r="DK62" s="2" t="s">
        <v>1978</v>
      </c>
      <c r="DL62" s="2" t="s">
        <v>1978</v>
      </c>
      <c r="DM62" s="2" t="s">
        <v>1978</v>
      </c>
      <c r="DN62" s="2" t="s">
        <v>1978</v>
      </c>
      <c r="DO62" s="2" t="s">
        <v>1978</v>
      </c>
      <c r="DP62" s="2" t="s">
        <v>1978</v>
      </c>
      <c r="DQ62" s="2" t="s">
        <v>1978</v>
      </c>
      <c r="DR62" s="2" t="s">
        <v>1978</v>
      </c>
      <c r="DS62" s="2" t="s">
        <v>1978</v>
      </c>
      <c r="DT62" s="2" t="s">
        <v>1978</v>
      </c>
      <c r="DU62" s="2" t="s">
        <v>1978</v>
      </c>
      <c r="DV62" s="2" t="s">
        <v>1978</v>
      </c>
      <c r="DW62" s="2" t="s">
        <v>1978</v>
      </c>
      <c r="DX62" s="2" t="s">
        <v>1978</v>
      </c>
      <c r="DY62" s="2" t="s">
        <v>1978</v>
      </c>
      <c r="DZ62" s="2" t="s">
        <v>1978</v>
      </c>
      <c r="EA62" s="2" t="s">
        <v>1978</v>
      </c>
      <c r="EB62" s="2" t="s">
        <v>1978</v>
      </c>
      <c r="EC62" s="2" t="s">
        <v>1978</v>
      </c>
      <c r="ED62" s="2" t="s">
        <v>1978</v>
      </c>
      <c r="EE62" s="2" t="s">
        <v>1978</v>
      </c>
      <c r="EF62" s="2" t="s">
        <v>1978</v>
      </c>
      <c r="EG62" s="2" t="s">
        <v>1978</v>
      </c>
      <c r="EH62" s="2" t="s">
        <v>1978</v>
      </c>
      <c r="EI62" s="2" t="s">
        <v>1978</v>
      </c>
      <c r="EJ62" s="2" t="s">
        <v>1978</v>
      </c>
      <c r="EK62" s="2" t="s">
        <v>1978</v>
      </c>
      <c r="EL62" s="2" t="s">
        <v>1978</v>
      </c>
      <c r="EM62" s="2" t="s">
        <v>1978</v>
      </c>
      <c r="EN62" s="2" t="s">
        <v>1978</v>
      </c>
      <c r="EO62" s="2" t="s">
        <v>1978</v>
      </c>
      <c r="EP62" s="2" t="s">
        <v>1978</v>
      </c>
      <c r="EQ62" s="2" t="s">
        <v>1978</v>
      </c>
      <c r="ER62" s="2" t="s">
        <v>1978</v>
      </c>
      <c r="ES62" s="2" t="s">
        <v>1978</v>
      </c>
    </row>
    <row r="63" spans="1:149" x14ac:dyDescent="0.3">
      <c r="A63" s="2" t="s">
        <v>245</v>
      </c>
      <c r="B63" s="2" t="s">
        <v>2148</v>
      </c>
      <c r="C63" s="2" t="s">
        <v>2162</v>
      </c>
      <c r="D63" s="2" t="s">
        <v>248</v>
      </c>
      <c r="E63" s="2" t="s">
        <v>2153</v>
      </c>
      <c r="F63" s="2" t="s">
        <v>1978</v>
      </c>
      <c r="G63" s="2">
        <f>SUMIF(DF63:DM63,TRUE,CX63:DE63)</f>
        <v>34</v>
      </c>
      <c r="H63" s="2">
        <f>SUMIF(BZ63:CG63,TRUE,BR63:BY63)</f>
        <v>33</v>
      </c>
      <c r="I63" s="2" t="s">
        <v>2767</v>
      </c>
      <c r="J63" s="2" t="s">
        <v>1978</v>
      </c>
      <c r="K63" s="2" t="s">
        <v>1970</v>
      </c>
      <c r="L63" s="2" t="s">
        <v>1970</v>
      </c>
      <c r="M63" s="2" t="s">
        <v>1978</v>
      </c>
      <c r="N63" s="344" t="s">
        <v>1978</v>
      </c>
      <c r="O63" s="344" t="s">
        <v>1978</v>
      </c>
      <c r="P63" s="344" t="s">
        <v>1978</v>
      </c>
      <c r="Q63" s="344" t="s">
        <v>1978</v>
      </c>
      <c r="R63" s="344" t="s">
        <v>1978</v>
      </c>
      <c r="S63" s="344" t="s">
        <v>1978</v>
      </c>
      <c r="T63" s="2" t="s">
        <v>246</v>
      </c>
      <c r="U63" s="2" t="s">
        <v>2150</v>
      </c>
      <c r="X63" s="344">
        <f>'A123'!J71</f>
        <v>30</v>
      </c>
      <c r="Y63" s="344">
        <f>'A123'!K71</f>
        <v>10</v>
      </c>
      <c r="Z63" s="344">
        <f>'A123'!L71</f>
        <v>12.5</v>
      </c>
      <c r="AA63" s="2" t="s">
        <v>2150</v>
      </c>
      <c r="AB63" s="2" t="str">
        <f>入學要求!X72</f>
        <v>以下兩科選修取得Lv.3︰生物、化學</v>
      </c>
      <c r="AC63" s="2" t="str">
        <f>入學要求!Y72</f>
        <v>/</v>
      </c>
      <c r="AD63" s="2" t="s">
        <v>2153</v>
      </c>
      <c r="AE63" s="2" t="s">
        <v>2767</v>
      </c>
      <c r="AF63" s="2" t="s">
        <v>1970</v>
      </c>
      <c r="AG63" s="2" t="s">
        <v>1970</v>
      </c>
      <c r="AH63" s="2" t="s">
        <v>1970</v>
      </c>
      <c r="AI63" s="2" t="s">
        <v>1970</v>
      </c>
      <c r="AJ63" s="2" t="s">
        <v>2151</v>
      </c>
      <c r="AK63" s="2" t="s">
        <v>2769</v>
      </c>
      <c r="AL63" s="2" t="s">
        <v>2768</v>
      </c>
      <c r="AM63" s="2" t="s">
        <v>1970</v>
      </c>
      <c r="AN63" s="2" t="s">
        <v>1978</v>
      </c>
      <c r="AO63" s="2" t="s">
        <v>1978</v>
      </c>
      <c r="AP63" s="251" t="s">
        <v>1978</v>
      </c>
      <c r="AQ63" s="344" t="s">
        <v>1970</v>
      </c>
      <c r="AR63" s="2" t="s">
        <v>2150</v>
      </c>
      <c r="AS63" s="2" t="s">
        <v>3610</v>
      </c>
      <c r="AT63" s="2" t="s">
        <v>1970</v>
      </c>
      <c r="AU63" s="2" t="s">
        <v>3618</v>
      </c>
      <c r="AV63" s="344" t="s">
        <v>1987</v>
      </c>
      <c r="BB63" s="2">
        <v>1</v>
      </c>
      <c r="BC63" s="2">
        <v>1</v>
      </c>
      <c r="BD63" s="2">
        <v>1</v>
      </c>
      <c r="BE63" s="2">
        <v>1</v>
      </c>
      <c r="BF63" s="2">
        <v>1</v>
      </c>
      <c r="BG63" s="2">
        <v>1</v>
      </c>
      <c r="BH63" s="2">
        <v>1</v>
      </c>
      <c r="BI63" s="2">
        <v>1</v>
      </c>
      <c r="BJ63" s="2">
        <v>6</v>
      </c>
      <c r="BK63" s="2">
        <v>5</v>
      </c>
      <c r="BL63" s="2">
        <v>5</v>
      </c>
      <c r="BM63" s="2">
        <v>6</v>
      </c>
      <c r="BN63" s="2">
        <v>7</v>
      </c>
      <c r="BO63" s="2">
        <v>6</v>
      </c>
      <c r="BP63" s="2">
        <v>5</v>
      </c>
      <c r="BQ63" s="2">
        <v>5</v>
      </c>
      <c r="BR63" s="2">
        <f t="shared" si="378"/>
        <v>6</v>
      </c>
      <c r="BS63" s="2">
        <f t="shared" si="379"/>
        <v>5</v>
      </c>
      <c r="BT63" s="2">
        <f t="shared" si="380"/>
        <v>5</v>
      </c>
      <c r="BU63" s="2">
        <f t="shared" si="381"/>
        <v>6</v>
      </c>
      <c r="BV63" s="2">
        <f t="shared" si="382"/>
        <v>7</v>
      </c>
      <c r="BW63" s="2">
        <f t="shared" si="383"/>
        <v>6</v>
      </c>
      <c r="BX63" s="2">
        <f t="shared" si="384"/>
        <v>5</v>
      </c>
      <c r="BY63" s="2">
        <f t="shared" si="385"/>
        <v>5</v>
      </c>
      <c r="BZ63" s="2" t="b">
        <v>1</v>
      </c>
      <c r="CA63" s="2" t="b">
        <v>1</v>
      </c>
      <c r="CB63" s="2" t="b">
        <v>1</v>
      </c>
      <c r="CC63" s="2" t="b">
        <v>1</v>
      </c>
      <c r="CD63" s="2" t="b">
        <v>0</v>
      </c>
      <c r="CE63" s="2" t="b">
        <v>1</v>
      </c>
      <c r="CF63" s="2" t="b">
        <v>1</v>
      </c>
      <c r="CG63" s="2" t="b">
        <v>0</v>
      </c>
      <c r="CH63" s="2">
        <v>1</v>
      </c>
      <c r="CI63" s="2">
        <v>1</v>
      </c>
      <c r="CJ63" s="2">
        <v>1</v>
      </c>
      <c r="CK63" s="2">
        <v>1</v>
      </c>
      <c r="CL63" s="2">
        <v>1</v>
      </c>
      <c r="CM63" s="2">
        <v>1</v>
      </c>
      <c r="CN63" s="2">
        <v>1</v>
      </c>
      <c r="CO63" s="2">
        <v>1</v>
      </c>
      <c r="CP63" s="2">
        <v>6</v>
      </c>
      <c r="CQ63" s="2">
        <v>5</v>
      </c>
      <c r="CR63" s="2">
        <v>6</v>
      </c>
      <c r="CS63" s="2">
        <v>6</v>
      </c>
      <c r="CT63" s="2" t="s">
        <v>1978</v>
      </c>
      <c r="CU63" s="2">
        <v>6</v>
      </c>
      <c r="CV63" s="2">
        <v>6</v>
      </c>
      <c r="CW63" s="2">
        <v>5</v>
      </c>
      <c r="CX63" s="2">
        <f t="shared" si="361"/>
        <v>6</v>
      </c>
      <c r="CY63" s="2">
        <f t="shared" si="362"/>
        <v>5</v>
      </c>
      <c r="CZ63" s="2">
        <f t="shared" si="363"/>
        <v>6</v>
      </c>
      <c r="DA63" s="2">
        <f t="shared" si="364"/>
        <v>6</v>
      </c>
      <c r="DB63" s="2" t="e">
        <f t="shared" si="365"/>
        <v>#VALUE!</v>
      </c>
      <c r="DC63" s="2">
        <f t="shared" si="366"/>
        <v>6</v>
      </c>
      <c r="DD63" s="2">
        <f t="shared" si="367"/>
        <v>6</v>
      </c>
      <c r="DE63" s="2">
        <f t="shared" si="368"/>
        <v>5</v>
      </c>
      <c r="DF63" s="2" t="b">
        <v>1</v>
      </c>
      <c r="DG63" s="2" t="b">
        <v>1</v>
      </c>
      <c r="DH63" s="2" t="b">
        <v>1</v>
      </c>
      <c r="DI63" s="2" t="b">
        <v>1</v>
      </c>
      <c r="DJ63" s="2" t="b">
        <v>0</v>
      </c>
      <c r="DK63" s="2" t="b">
        <v>1</v>
      </c>
      <c r="DL63" s="2" t="b">
        <v>0</v>
      </c>
      <c r="DM63" s="2" t="b">
        <v>1</v>
      </c>
      <c r="DN63" s="2" t="s">
        <v>1978</v>
      </c>
      <c r="DO63" s="2" t="s">
        <v>1978</v>
      </c>
      <c r="DP63" s="2" t="s">
        <v>1978</v>
      </c>
      <c r="DQ63" s="2" t="s">
        <v>1978</v>
      </c>
      <c r="DR63" s="2" t="s">
        <v>1978</v>
      </c>
      <c r="DS63" s="2" t="s">
        <v>1978</v>
      </c>
      <c r="DT63" s="2" t="s">
        <v>1978</v>
      </c>
      <c r="DU63" s="2" t="s">
        <v>1978</v>
      </c>
      <c r="DV63" s="2" t="s">
        <v>1978</v>
      </c>
      <c r="DW63" s="2" t="s">
        <v>1978</v>
      </c>
      <c r="DX63" s="2" t="s">
        <v>1978</v>
      </c>
      <c r="DY63" s="2" t="s">
        <v>1978</v>
      </c>
      <c r="DZ63" s="2" t="s">
        <v>1978</v>
      </c>
      <c r="EA63" s="2" t="s">
        <v>1978</v>
      </c>
      <c r="EB63" s="2" t="s">
        <v>1978</v>
      </c>
      <c r="EC63" s="2" t="s">
        <v>1978</v>
      </c>
      <c r="ED63" s="2" t="s">
        <v>1978</v>
      </c>
      <c r="EE63" s="2" t="s">
        <v>1978</v>
      </c>
      <c r="EF63" s="2" t="s">
        <v>1978</v>
      </c>
      <c r="EG63" s="2" t="s">
        <v>1978</v>
      </c>
      <c r="EH63" s="2" t="s">
        <v>1978</v>
      </c>
      <c r="EI63" s="2" t="s">
        <v>1978</v>
      </c>
      <c r="EJ63" s="2" t="s">
        <v>1978</v>
      </c>
      <c r="EK63" s="2" t="s">
        <v>1978</v>
      </c>
      <c r="EL63" s="2" t="s">
        <v>1978</v>
      </c>
      <c r="EM63" s="2" t="s">
        <v>1978</v>
      </c>
      <c r="EN63" s="2" t="s">
        <v>1978</v>
      </c>
      <c r="EO63" s="2" t="s">
        <v>1978</v>
      </c>
      <c r="EP63" s="2" t="s">
        <v>1978</v>
      </c>
      <c r="EQ63" s="2" t="s">
        <v>1978</v>
      </c>
      <c r="ER63" s="2" t="s">
        <v>1978</v>
      </c>
      <c r="ES63" s="2" t="s">
        <v>1978</v>
      </c>
    </row>
    <row r="64" spans="1:149" x14ac:dyDescent="0.3">
      <c r="A64" s="2" t="s">
        <v>250</v>
      </c>
      <c r="B64" s="2" t="s">
        <v>2148</v>
      </c>
      <c r="C64" s="2" t="s">
        <v>2162</v>
      </c>
      <c r="D64" s="2" t="s">
        <v>253</v>
      </c>
      <c r="E64" s="2" t="s">
        <v>1967</v>
      </c>
      <c r="F64" s="2" t="s">
        <v>1978</v>
      </c>
      <c r="G64" s="2">
        <f>SUMIF(DF64:DM64,TRUE,CX64:DE64)</f>
        <v>38</v>
      </c>
      <c r="H64" s="2">
        <f>SUMIF(BZ64:CG64,TRUE,BR64:BY64)</f>
        <v>37</v>
      </c>
      <c r="I64" s="2" t="s">
        <v>1970</v>
      </c>
      <c r="J64" s="2" t="s">
        <v>1978</v>
      </c>
      <c r="K64" s="2" t="s">
        <v>2771</v>
      </c>
      <c r="L64" s="2" t="s">
        <v>2773</v>
      </c>
      <c r="M64" s="2" t="s">
        <v>1978</v>
      </c>
      <c r="N64" s="344" t="s">
        <v>1978</v>
      </c>
      <c r="O64" s="344" t="s">
        <v>1978</v>
      </c>
      <c r="P64" s="344" t="s">
        <v>1978</v>
      </c>
      <c r="Q64" s="344" t="s">
        <v>1978</v>
      </c>
      <c r="R64" s="344" t="s">
        <v>1978</v>
      </c>
      <c r="S64" s="344" t="s">
        <v>1978</v>
      </c>
      <c r="T64" s="2" t="s">
        <v>251</v>
      </c>
      <c r="U64" s="2" t="s">
        <v>2150</v>
      </c>
      <c r="X64" s="344">
        <f>'A123'!J72</f>
        <v>24</v>
      </c>
      <c r="Y64" s="344">
        <f>'A123'!K72</f>
        <v>27</v>
      </c>
      <c r="Z64" s="344">
        <f>'A123'!L72</f>
        <v>5.76</v>
      </c>
      <c r="AA64" s="2" t="s">
        <v>2150</v>
      </c>
      <c r="AB64" s="2" t="str">
        <f>入學要求!X73</f>
        <v>以下一科選修取得Lv.3︰生物、化學、組合科學</v>
      </c>
      <c r="AC64" s="2" t="str">
        <f>入學要求!Y73</f>
        <v>以下一科選修取得Lv.3︰生物、BAFS、化學、DAT、ICT、M1/2、物理、組合科學、綜合科學</v>
      </c>
      <c r="AD64" s="2" t="s">
        <v>1967</v>
      </c>
      <c r="AE64" s="2" t="s">
        <v>1978</v>
      </c>
      <c r="AF64" s="2" t="s">
        <v>1978</v>
      </c>
      <c r="AG64" s="2" t="s">
        <v>2771</v>
      </c>
      <c r="AH64" s="2" t="s">
        <v>2773</v>
      </c>
      <c r="AI64" s="2" t="s">
        <v>1970</v>
      </c>
      <c r="AJ64" s="2" t="s">
        <v>2692</v>
      </c>
      <c r="AK64" s="2" t="s">
        <v>2151</v>
      </c>
      <c r="AL64" s="2" t="s">
        <v>2729</v>
      </c>
      <c r="AM64" s="2" t="s">
        <v>1970</v>
      </c>
      <c r="AN64" s="2" t="s">
        <v>1978</v>
      </c>
      <c r="AO64" s="2" t="s">
        <v>1978</v>
      </c>
      <c r="AP64" s="251" t="s">
        <v>1978</v>
      </c>
      <c r="AQ64" s="344" t="s">
        <v>1970</v>
      </c>
      <c r="AR64" s="2" t="s">
        <v>2150</v>
      </c>
      <c r="AS64" s="2" t="s">
        <v>3608</v>
      </c>
      <c r="AT64" s="2" t="s">
        <v>1970</v>
      </c>
      <c r="AU64" s="2" t="s">
        <v>1970</v>
      </c>
      <c r="AV64" s="344" t="s">
        <v>1987</v>
      </c>
      <c r="BB64" s="2">
        <v>1</v>
      </c>
      <c r="BC64" s="2">
        <v>2</v>
      </c>
      <c r="BD64" s="2">
        <v>1.5</v>
      </c>
      <c r="BE64" s="2">
        <v>1</v>
      </c>
      <c r="BF64" s="2">
        <v>1.5</v>
      </c>
      <c r="BG64" s="2">
        <v>2</v>
      </c>
      <c r="BH64" s="2">
        <v>2</v>
      </c>
      <c r="BI64" s="2">
        <v>1</v>
      </c>
      <c r="BJ64" s="2">
        <v>4</v>
      </c>
      <c r="BK64" s="2">
        <v>4</v>
      </c>
      <c r="BL64" s="2">
        <v>4</v>
      </c>
      <c r="BM64" s="2">
        <v>3</v>
      </c>
      <c r="BN64" s="2" t="s">
        <v>1978</v>
      </c>
      <c r="BO64" s="2">
        <v>4</v>
      </c>
      <c r="BP64" s="2">
        <v>4</v>
      </c>
      <c r="BQ64" s="2" t="s">
        <v>1978</v>
      </c>
      <c r="BR64" s="2">
        <f t="shared" si="378"/>
        <v>4</v>
      </c>
      <c r="BS64" s="2">
        <f t="shared" si="379"/>
        <v>8</v>
      </c>
      <c r="BT64" s="2">
        <f t="shared" si="380"/>
        <v>6</v>
      </c>
      <c r="BU64" s="2">
        <f t="shared" si="381"/>
        <v>3</v>
      </c>
      <c r="BV64" s="2" t="e">
        <f t="shared" si="382"/>
        <v>#VALUE!</v>
      </c>
      <c r="BW64" s="2">
        <f t="shared" si="383"/>
        <v>8</v>
      </c>
      <c r="BX64" s="2">
        <f t="shared" si="384"/>
        <v>8</v>
      </c>
      <c r="BY64" s="2" t="e">
        <f t="shared" si="385"/>
        <v>#VALUE!</v>
      </c>
      <c r="BZ64" s="2" t="b">
        <v>1</v>
      </c>
      <c r="CA64" s="2" t="b">
        <v>1</v>
      </c>
      <c r="CB64" s="2" t="b">
        <v>1</v>
      </c>
      <c r="CC64" s="2" t="b">
        <v>1</v>
      </c>
      <c r="CD64" s="2" t="b">
        <v>0</v>
      </c>
      <c r="CE64" s="2" t="b">
        <v>1</v>
      </c>
      <c r="CF64" s="2" t="b">
        <v>1</v>
      </c>
      <c r="CG64" s="2" t="b">
        <v>0</v>
      </c>
      <c r="CH64" s="2">
        <v>1</v>
      </c>
      <c r="CI64" s="2">
        <v>2</v>
      </c>
      <c r="CJ64" s="2">
        <v>1.5</v>
      </c>
      <c r="CK64" s="2">
        <v>1</v>
      </c>
      <c r="CL64" s="2">
        <v>1.5</v>
      </c>
      <c r="CM64" s="2">
        <v>2</v>
      </c>
      <c r="CN64" s="2">
        <v>2</v>
      </c>
      <c r="CO64" s="2">
        <v>1</v>
      </c>
      <c r="CP64" s="2">
        <v>4</v>
      </c>
      <c r="CQ64" s="2">
        <v>4</v>
      </c>
      <c r="CR64" s="2">
        <v>4</v>
      </c>
      <c r="CS64" s="2">
        <v>4</v>
      </c>
      <c r="CT64" s="2" t="s">
        <v>1978</v>
      </c>
      <c r="CU64" s="2">
        <v>4</v>
      </c>
      <c r="CV64" s="2">
        <v>4</v>
      </c>
      <c r="CW64" s="2" t="s">
        <v>1978</v>
      </c>
      <c r="CX64" s="2">
        <f t="shared" si="361"/>
        <v>4</v>
      </c>
      <c r="CY64" s="2">
        <f t="shared" si="362"/>
        <v>8</v>
      </c>
      <c r="CZ64" s="2">
        <f t="shared" si="363"/>
        <v>6</v>
      </c>
      <c r="DA64" s="2">
        <f t="shared" si="364"/>
        <v>4</v>
      </c>
      <c r="DB64" s="2" t="e">
        <f t="shared" si="365"/>
        <v>#VALUE!</v>
      </c>
      <c r="DC64" s="2">
        <f t="shared" si="366"/>
        <v>8</v>
      </c>
      <c r="DD64" s="2">
        <f t="shared" si="367"/>
        <v>8</v>
      </c>
      <c r="DE64" s="2" t="e">
        <f t="shared" si="368"/>
        <v>#VALUE!</v>
      </c>
      <c r="DF64" s="2" t="b">
        <v>1</v>
      </c>
      <c r="DG64" s="2" t="b">
        <v>1</v>
      </c>
      <c r="DH64" s="2" t="b">
        <v>1</v>
      </c>
      <c r="DI64" s="2" t="b">
        <v>1</v>
      </c>
      <c r="DJ64" s="2" t="b">
        <v>0</v>
      </c>
      <c r="DK64" s="2" t="b">
        <v>1</v>
      </c>
      <c r="DL64" s="2" t="b">
        <v>1</v>
      </c>
      <c r="DM64" s="2" t="b">
        <v>0</v>
      </c>
      <c r="DN64" s="2" t="s">
        <v>1978</v>
      </c>
      <c r="DO64" s="2" t="s">
        <v>1978</v>
      </c>
      <c r="DP64" s="2" t="s">
        <v>1978</v>
      </c>
      <c r="DQ64" s="2" t="s">
        <v>1978</v>
      </c>
      <c r="DR64" s="2" t="s">
        <v>1978</v>
      </c>
      <c r="DS64" s="2" t="s">
        <v>1978</v>
      </c>
      <c r="DT64" s="2" t="s">
        <v>1978</v>
      </c>
      <c r="DU64" s="2" t="s">
        <v>1978</v>
      </c>
      <c r="DV64" s="2" t="s">
        <v>1978</v>
      </c>
      <c r="DW64" s="2" t="s">
        <v>1978</v>
      </c>
      <c r="DX64" s="2" t="s">
        <v>1978</v>
      </c>
      <c r="DY64" s="2" t="s">
        <v>1978</v>
      </c>
      <c r="DZ64" s="2" t="s">
        <v>1978</v>
      </c>
      <c r="EA64" s="2" t="s">
        <v>1978</v>
      </c>
      <c r="EB64" s="2" t="s">
        <v>1978</v>
      </c>
      <c r="EC64" s="2" t="s">
        <v>1978</v>
      </c>
      <c r="ED64" s="2" t="s">
        <v>1978</v>
      </c>
      <c r="EE64" s="2" t="s">
        <v>1978</v>
      </c>
      <c r="EF64" s="2" t="s">
        <v>1978</v>
      </c>
      <c r="EG64" s="2" t="s">
        <v>1978</v>
      </c>
      <c r="EH64" s="2" t="s">
        <v>1978</v>
      </c>
      <c r="EI64" s="2" t="s">
        <v>1978</v>
      </c>
      <c r="EJ64" s="2" t="s">
        <v>1978</v>
      </c>
      <c r="EK64" s="2" t="s">
        <v>1978</v>
      </c>
      <c r="EL64" s="2" t="s">
        <v>1978</v>
      </c>
      <c r="EM64" s="2" t="s">
        <v>1978</v>
      </c>
      <c r="EN64" s="2" t="s">
        <v>1978</v>
      </c>
      <c r="EO64" s="2" t="s">
        <v>1978</v>
      </c>
      <c r="EP64" s="2" t="s">
        <v>1978</v>
      </c>
      <c r="EQ64" s="2" t="s">
        <v>1978</v>
      </c>
      <c r="ER64" s="2" t="s">
        <v>1978</v>
      </c>
      <c r="ES64" s="2" t="s">
        <v>1978</v>
      </c>
    </row>
    <row r="65" spans="1:150" x14ac:dyDescent="0.3">
      <c r="A65" s="2" t="s">
        <v>255</v>
      </c>
      <c r="B65" s="2" t="s">
        <v>2148</v>
      </c>
      <c r="C65" s="2" t="s">
        <v>2162</v>
      </c>
      <c r="D65" s="2" t="s">
        <v>258</v>
      </c>
      <c r="E65" s="2" t="s">
        <v>1967</v>
      </c>
      <c r="F65" s="2" t="s">
        <v>1978</v>
      </c>
      <c r="G65" s="2">
        <f>SUMIF(DF65:DM65,TRUE,CX65:DE65)</f>
        <v>35</v>
      </c>
      <c r="H65" s="2">
        <f>SUMIF(BZ65:CG65,TRUE,BR65:BY65)</f>
        <v>34.5</v>
      </c>
      <c r="I65" s="2" t="s">
        <v>1970</v>
      </c>
      <c r="J65" s="2" t="s">
        <v>1978</v>
      </c>
      <c r="K65" s="2" t="s">
        <v>2771</v>
      </c>
      <c r="L65" s="2" t="s">
        <v>2773</v>
      </c>
      <c r="M65" s="2" t="s">
        <v>1978</v>
      </c>
      <c r="N65" s="344" t="s">
        <v>1978</v>
      </c>
      <c r="O65" s="344" t="s">
        <v>1978</v>
      </c>
      <c r="P65" s="344" t="s">
        <v>1978</v>
      </c>
      <c r="Q65" s="344" t="s">
        <v>1978</v>
      </c>
      <c r="R65" s="344" t="s">
        <v>1978</v>
      </c>
      <c r="S65" s="344" t="s">
        <v>1978</v>
      </c>
      <c r="T65" s="2" t="s">
        <v>256</v>
      </c>
      <c r="U65" s="2" t="s">
        <v>2150</v>
      </c>
      <c r="X65" s="344">
        <f>'A123'!J73</f>
        <v>28</v>
      </c>
      <c r="Y65" s="344">
        <f>'A123'!K73</f>
        <v>33</v>
      </c>
      <c r="Z65" s="344">
        <f>'A123'!L73</f>
        <v>11.724137931034482</v>
      </c>
      <c r="AA65" s="2" t="s">
        <v>2150</v>
      </c>
      <c r="AB65" s="2" t="str">
        <f>入學要求!X74</f>
        <v>以下一科選修取得Lv.3︰生物、化學、組合科學</v>
      </c>
      <c r="AC65" s="2" t="str">
        <f>入學要求!Y74</f>
        <v>以下一科選修取得Lv.3︰生物、BAFS、化學、DAT、ICT、M1/2、物理、組合科學、綜合科學</v>
      </c>
      <c r="AD65" s="2" t="s">
        <v>1967</v>
      </c>
      <c r="AE65" s="2" t="s">
        <v>1978</v>
      </c>
      <c r="AF65" s="2" t="s">
        <v>1978</v>
      </c>
      <c r="AG65" s="2" t="s">
        <v>2771</v>
      </c>
      <c r="AH65" s="2" t="s">
        <v>2773</v>
      </c>
      <c r="AI65" s="2" t="s">
        <v>1970</v>
      </c>
      <c r="AJ65" s="2" t="s">
        <v>2692</v>
      </c>
      <c r="AK65" s="2" t="s">
        <v>2151</v>
      </c>
      <c r="AL65" s="2" t="s">
        <v>2729</v>
      </c>
      <c r="AM65" s="2" t="s">
        <v>1970</v>
      </c>
      <c r="AN65" s="2" t="s">
        <v>1978</v>
      </c>
      <c r="AO65" s="2" t="s">
        <v>1978</v>
      </c>
      <c r="AP65" s="251" t="s">
        <v>1978</v>
      </c>
      <c r="AQ65" s="344" t="s">
        <v>1970</v>
      </c>
      <c r="AR65" s="2" t="s">
        <v>2150</v>
      </c>
      <c r="AS65" s="2" t="s">
        <v>3608</v>
      </c>
      <c r="AT65" s="2" t="s">
        <v>1970</v>
      </c>
      <c r="AU65" s="2" t="s">
        <v>1970</v>
      </c>
      <c r="AV65" s="344" t="s">
        <v>1987</v>
      </c>
      <c r="BB65" s="2">
        <v>1</v>
      </c>
      <c r="BC65" s="2">
        <v>2</v>
      </c>
      <c r="BD65" s="2">
        <v>1.5</v>
      </c>
      <c r="BE65" s="2">
        <v>1</v>
      </c>
      <c r="BF65" s="2">
        <v>1.5</v>
      </c>
      <c r="BG65" s="2">
        <v>2</v>
      </c>
      <c r="BH65" s="2">
        <v>1.5</v>
      </c>
      <c r="BI65" s="2">
        <v>1</v>
      </c>
      <c r="BJ65" s="2">
        <v>3</v>
      </c>
      <c r="BK65" s="2">
        <v>5</v>
      </c>
      <c r="BL65" s="2">
        <v>4</v>
      </c>
      <c r="BM65" s="2">
        <v>3</v>
      </c>
      <c r="BN65" s="2" t="s">
        <v>1978</v>
      </c>
      <c r="BO65" s="2">
        <v>4</v>
      </c>
      <c r="BP65" s="2">
        <v>3</v>
      </c>
      <c r="BQ65" s="2" t="s">
        <v>1978</v>
      </c>
      <c r="BR65" s="2">
        <f t="shared" si="378"/>
        <v>3</v>
      </c>
      <c r="BS65" s="2">
        <f t="shared" si="379"/>
        <v>10</v>
      </c>
      <c r="BT65" s="2">
        <f t="shared" si="380"/>
        <v>6</v>
      </c>
      <c r="BU65" s="2">
        <f t="shared" si="381"/>
        <v>3</v>
      </c>
      <c r="BV65" s="2" t="e">
        <f t="shared" si="382"/>
        <v>#VALUE!</v>
      </c>
      <c r="BW65" s="2">
        <f t="shared" si="383"/>
        <v>8</v>
      </c>
      <c r="BX65" s="2">
        <f t="shared" si="384"/>
        <v>4.5</v>
      </c>
      <c r="BY65" s="2" t="e">
        <f t="shared" si="385"/>
        <v>#VALUE!</v>
      </c>
      <c r="BZ65" s="2" t="b">
        <v>1</v>
      </c>
      <c r="CA65" s="2" t="b">
        <v>1</v>
      </c>
      <c r="CB65" s="2" t="b">
        <v>1</v>
      </c>
      <c r="CC65" s="2" t="b">
        <v>1</v>
      </c>
      <c r="CD65" s="2" t="b">
        <v>0</v>
      </c>
      <c r="CE65" s="2" t="b">
        <v>1</v>
      </c>
      <c r="CF65" s="2" t="b">
        <v>1</v>
      </c>
      <c r="CG65" s="2" t="b">
        <v>0</v>
      </c>
      <c r="CH65" s="2">
        <v>1</v>
      </c>
      <c r="CI65" s="2">
        <v>2</v>
      </c>
      <c r="CJ65" s="2">
        <v>1.5</v>
      </c>
      <c r="CK65" s="2">
        <v>1</v>
      </c>
      <c r="CL65" s="2">
        <v>1.5</v>
      </c>
      <c r="CM65" s="2">
        <v>2</v>
      </c>
      <c r="CN65" s="2">
        <v>2</v>
      </c>
      <c r="CO65" s="2">
        <v>1</v>
      </c>
      <c r="CP65" s="2">
        <v>4</v>
      </c>
      <c r="CQ65" s="2">
        <v>4</v>
      </c>
      <c r="CR65" s="2">
        <v>4</v>
      </c>
      <c r="CS65" s="2">
        <v>5</v>
      </c>
      <c r="CT65" s="2" t="s">
        <v>1978</v>
      </c>
      <c r="CU65" s="2">
        <v>3</v>
      </c>
      <c r="CV65" s="2">
        <v>3</v>
      </c>
      <c r="CW65" s="2" t="s">
        <v>1978</v>
      </c>
      <c r="CX65" s="2">
        <f t="shared" si="361"/>
        <v>4</v>
      </c>
      <c r="CY65" s="2">
        <f t="shared" si="362"/>
        <v>8</v>
      </c>
      <c r="CZ65" s="2">
        <f t="shared" si="363"/>
        <v>6</v>
      </c>
      <c r="DA65" s="2">
        <f t="shared" si="364"/>
        <v>5</v>
      </c>
      <c r="DB65" s="2" t="e">
        <f t="shared" si="365"/>
        <v>#VALUE!</v>
      </c>
      <c r="DC65" s="2">
        <f t="shared" si="366"/>
        <v>6</v>
      </c>
      <c r="DD65" s="2">
        <f t="shared" si="367"/>
        <v>6</v>
      </c>
      <c r="DE65" s="2" t="e">
        <f t="shared" si="368"/>
        <v>#VALUE!</v>
      </c>
      <c r="DF65" s="2" t="b">
        <v>1</v>
      </c>
      <c r="DG65" s="2" t="b">
        <v>1</v>
      </c>
      <c r="DH65" s="2" t="b">
        <v>1</v>
      </c>
      <c r="DI65" s="2" t="b">
        <v>1</v>
      </c>
      <c r="DJ65" s="2" t="b">
        <v>0</v>
      </c>
      <c r="DK65" s="2" t="b">
        <v>1</v>
      </c>
      <c r="DL65" s="2" t="b">
        <v>1</v>
      </c>
      <c r="DM65" s="2" t="b">
        <v>0</v>
      </c>
      <c r="DN65" s="2" t="s">
        <v>1978</v>
      </c>
      <c r="DO65" s="2" t="s">
        <v>1978</v>
      </c>
      <c r="DP65" s="2" t="s">
        <v>1978</v>
      </c>
      <c r="DQ65" s="2" t="s">
        <v>1978</v>
      </c>
      <c r="DR65" s="2" t="s">
        <v>1978</v>
      </c>
      <c r="DS65" s="2" t="s">
        <v>1978</v>
      </c>
      <c r="DT65" s="2" t="s">
        <v>1978</v>
      </c>
      <c r="DU65" s="2" t="s">
        <v>1978</v>
      </c>
      <c r="DV65" s="2" t="s">
        <v>1978</v>
      </c>
      <c r="DW65" s="2" t="s">
        <v>1978</v>
      </c>
      <c r="DX65" s="2" t="s">
        <v>1978</v>
      </c>
      <c r="DY65" s="2" t="s">
        <v>1978</v>
      </c>
      <c r="DZ65" s="2" t="s">
        <v>1978</v>
      </c>
      <c r="EA65" s="2" t="s">
        <v>1978</v>
      </c>
      <c r="EB65" s="2" t="s">
        <v>1978</v>
      </c>
      <c r="EC65" s="2" t="s">
        <v>1978</v>
      </c>
      <c r="ED65" s="2" t="s">
        <v>1978</v>
      </c>
      <c r="EE65" s="2" t="s">
        <v>1978</v>
      </c>
      <c r="EF65" s="2" t="s">
        <v>1978</v>
      </c>
      <c r="EG65" s="2" t="s">
        <v>1978</v>
      </c>
      <c r="EH65" s="2" t="s">
        <v>1978</v>
      </c>
      <c r="EI65" s="2" t="s">
        <v>1978</v>
      </c>
      <c r="EJ65" s="2" t="s">
        <v>1978</v>
      </c>
      <c r="EK65" s="2" t="s">
        <v>1978</v>
      </c>
      <c r="EL65" s="2" t="s">
        <v>1978</v>
      </c>
      <c r="EM65" s="2" t="s">
        <v>1978</v>
      </c>
      <c r="EN65" s="2" t="s">
        <v>1978</v>
      </c>
      <c r="EO65" s="2" t="s">
        <v>1978</v>
      </c>
      <c r="EP65" s="2" t="s">
        <v>1978</v>
      </c>
      <c r="EQ65" s="2" t="s">
        <v>1978</v>
      </c>
      <c r="ER65" s="2" t="s">
        <v>1978</v>
      </c>
      <c r="ES65" s="2" t="s">
        <v>1978</v>
      </c>
    </row>
    <row r="66" spans="1:150" x14ac:dyDescent="0.3">
      <c r="A66" s="2" t="s">
        <v>260</v>
      </c>
      <c r="B66" s="2" t="s">
        <v>2148</v>
      </c>
      <c r="C66" s="2" t="s">
        <v>2162</v>
      </c>
      <c r="D66" s="2" t="s">
        <v>263</v>
      </c>
      <c r="E66" s="2" t="s">
        <v>1967</v>
      </c>
      <c r="F66" s="2" t="s">
        <v>1978</v>
      </c>
      <c r="G66" s="2">
        <f>SUMIF(DF66:DM66,TRUE,CX66:DE66)</f>
        <v>41.5</v>
      </c>
      <c r="H66" s="2">
        <f>SUMIF(BZ66:CG66,TRUE,BR66:BY66)</f>
        <v>39.5</v>
      </c>
      <c r="I66" s="2" t="s">
        <v>1970</v>
      </c>
      <c r="J66" s="2" t="s">
        <v>1978</v>
      </c>
      <c r="K66" s="2" t="s">
        <v>2771</v>
      </c>
      <c r="L66" s="2" t="s">
        <v>2773</v>
      </c>
      <c r="M66" s="2" t="s">
        <v>1978</v>
      </c>
      <c r="N66" s="251" t="s">
        <v>1978</v>
      </c>
      <c r="O66" s="344" t="s">
        <v>1978</v>
      </c>
      <c r="P66" s="344" t="s">
        <v>1978</v>
      </c>
      <c r="Q66" s="344" t="s">
        <v>1978</v>
      </c>
      <c r="R66" s="344" t="s">
        <v>1978</v>
      </c>
      <c r="S66" s="344" t="s">
        <v>1978</v>
      </c>
      <c r="T66" s="2" t="s">
        <v>261</v>
      </c>
      <c r="U66" s="2" t="s">
        <v>2150</v>
      </c>
      <c r="X66" s="344">
        <f>'A123'!J74</f>
        <v>28</v>
      </c>
      <c r="Y66" s="344">
        <f>'A123'!K74</f>
        <v>29</v>
      </c>
      <c r="Z66" s="344">
        <f>'A123'!L74</f>
        <v>5.1071428571428568</v>
      </c>
      <c r="AA66" s="2" t="s">
        <v>2150</v>
      </c>
      <c r="AB66" s="2" t="str">
        <f>入學要求!X75</f>
        <v>以下一科選修取得Lv.3︰生物、化學、組合科學</v>
      </c>
      <c r="AC66" s="2" t="str">
        <f>入學要求!Y75</f>
        <v>以下一科選修取得Lv.3︰生物、BAFS、化學、DAT、ICT、M1/2、物理、組合科學、綜合科學</v>
      </c>
      <c r="AD66" s="2" t="s">
        <v>1967</v>
      </c>
      <c r="AE66" s="2" t="s">
        <v>1978</v>
      </c>
      <c r="AF66" s="2" t="s">
        <v>1978</v>
      </c>
      <c r="AG66" s="2" t="s">
        <v>2771</v>
      </c>
      <c r="AH66" s="2" t="s">
        <v>2773</v>
      </c>
      <c r="AI66" s="2" t="s">
        <v>1970</v>
      </c>
      <c r="AJ66" s="2" t="s">
        <v>2692</v>
      </c>
      <c r="AK66" s="2" t="s">
        <v>2151</v>
      </c>
      <c r="AL66" s="2" t="s">
        <v>2729</v>
      </c>
      <c r="AM66" s="2" t="s">
        <v>1978</v>
      </c>
      <c r="AN66" s="2" t="s">
        <v>1978</v>
      </c>
      <c r="AO66" s="2" t="s">
        <v>1978</v>
      </c>
      <c r="AP66" s="251" t="s">
        <v>1978</v>
      </c>
      <c r="AQ66" s="344" t="s">
        <v>1970</v>
      </c>
      <c r="AR66" s="2" t="s">
        <v>2150</v>
      </c>
      <c r="AS66" s="344" t="s">
        <v>3608</v>
      </c>
      <c r="AT66" s="344" t="s">
        <v>1970</v>
      </c>
      <c r="AU66" s="344" t="s">
        <v>1970</v>
      </c>
      <c r="AV66" s="344" t="s">
        <v>1987</v>
      </c>
      <c r="BB66" s="2">
        <v>1</v>
      </c>
      <c r="BC66" s="2">
        <v>2</v>
      </c>
      <c r="BD66" s="2">
        <v>1.5</v>
      </c>
      <c r="BE66" s="2">
        <v>1</v>
      </c>
      <c r="BF66" s="2">
        <v>1.5</v>
      </c>
      <c r="BG66" s="2">
        <v>2</v>
      </c>
      <c r="BH66" s="2">
        <v>1.5</v>
      </c>
      <c r="BI66" s="2">
        <v>1</v>
      </c>
      <c r="BJ66" s="2">
        <v>4</v>
      </c>
      <c r="BK66" s="2">
        <v>4</v>
      </c>
      <c r="BL66" s="2">
        <v>6</v>
      </c>
      <c r="BM66" s="2">
        <v>3</v>
      </c>
      <c r="BN66" s="2">
        <v>5</v>
      </c>
      <c r="BO66" s="2">
        <v>4</v>
      </c>
      <c r="BP66" s="2">
        <v>4</v>
      </c>
      <c r="BQ66" s="2">
        <v>3</v>
      </c>
      <c r="BR66" s="2">
        <f t="shared" si="378"/>
        <v>4</v>
      </c>
      <c r="BS66" s="2">
        <f t="shared" si="379"/>
        <v>8</v>
      </c>
      <c r="BT66" s="2">
        <f t="shared" si="380"/>
        <v>9</v>
      </c>
      <c r="BU66" s="2">
        <f t="shared" si="381"/>
        <v>3</v>
      </c>
      <c r="BV66" s="2">
        <f t="shared" si="382"/>
        <v>7.5</v>
      </c>
      <c r="BW66" s="2">
        <f t="shared" si="383"/>
        <v>8</v>
      </c>
      <c r="BX66" s="2">
        <f t="shared" si="384"/>
        <v>6</v>
      </c>
      <c r="BY66" s="2">
        <f t="shared" si="385"/>
        <v>3</v>
      </c>
      <c r="BZ66" s="2" t="b">
        <v>1</v>
      </c>
      <c r="CA66" s="2" t="b">
        <v>1</v>
      </c>
      <c r="CB66" s="2" t="b">
        <v>1</v>
      </c>
      <c r="CC66" s="2" t="b">
        <v>1</v>
      </c>
      <c r="CD66" s="2" t="b">
        <v>1</v>
      </c>
      <c r="CE66" s="2" t="b">
        <v>1</v>
      </c>
      <c r="CF66" s="2" t="b">
        <v>0</v>
      </c>
      <c r="CG66" s="2" t="b">
        <v>0</v>
      </c>
      <c r="CH66" s="2">
        <v>1</v>
      </c>
      <c r="CI66" s="2">
        <v>2</v>
      </c>
      <c r="CJ66" s="2">
        <v>1.5</v>
      </c>
      <c r="CK66" s="2">
        <v>1</v>
      </c>
      <c r="CL66" s="2">
        <v>1.5</v>
      </c>
      <c r="CM66" s="2">
        <v>2</v>
      </c>
      <c r="CN66" s="2">
        <v>2</v>
      </c>
      <c r="CO66" s="2">
        <v>1</v>
      </c>
      <c r="CP66" s="2">
        <v>5</v>
      </c>
      <c r="CQ66" s="2">
        <v>5</v>
      </c>
      <c r="CR66" s="2">
        <v>5</v>
      </c>
      <c r="CS66" s="2">
        <v>3</v>
      </c>
      <c r="CT66" s="2" t="s">
        <v>1978</v>
      </c>
      <c r="CU66" s="2">
        <v>4</v>
      </c>
      <c r="CV66" s="2">
        <v>4</v>
      </c>
      <c r="CW66" s="2">
        <v>4</v>
      </c>
      <c r="CX66" s="2">
        <f t="shared" si="361"/>
        <v>5</v>
      </c>
      <c r="CY66" s="2">
        <f t="shared" si="362"/>
        <v>10</v>
      </c>
      <c r="CZ66" s="2">
        <f t="shared" si="363"/>
        <v>7.5</v>
      </c>
      <c r="DA66" s="2">
        <f t="shared" si="364"/>
        <v>3</v>
      </c>
      <c r="DB66" s="2" t="e">
        <f t="shared" si="365"/>
        <v>#VALUE!</v>
      </c>
      <c r="DC66" s="2">
        <f t="shared" si="366"/>
        <v>8</v>
      </c>
      <c r="DD66" s="2">
        <f t="shared" si="367"/>
        <v>8</v>
      </c>
      <c r="DE66" s="2">
        <f t="shared" si="368"/>
        <v>4</v>
      </c>
      <c r="DF66" s="2" t="b">
        <v>1</v>
      </c>
      <c r="DG66" s="2" t="b">
        <v>1</v>
      </c>
      <c r="DH66" s="2" t="b">
        <v>1</v>
      </c>
      <c r="DI66" s="2" t="b">
        <v>1</v>
      </c>
      <c r="DJ66" s="2" t="b">
        <v>0</v>
      </c>
      <c r="DK66" s="2" t="b">
        <v>1</v>
      </c>
      <c r="DL66" s="2" t="b">
        <v>1</v>
      </c>
      <c r="DM66" s="2" t="b">
        <v>0</v>
      </c>
      <c r="DN66" s="2" t="s">
        <v>1978</v>
      </c>
      <c r="DO66" s="2" t="s">
        <v>1978</v>
      </c>
      <c r="DP66" s="2" t="s">
        <v>1978</v>
      </c>
      <c r="DQ66" s="2" t="s">
        <v>1978</v>
      </c>
      <c r="DR66" s="2" t="s">
        <v>1978</v>
      </c>
      <c r="DS66" s="2" t="s">
        <v>1978</v>
      </c>
      <c r="DT66" s="2" t="s">
        <v>1978</v>
      </c>
      <c r="DU66" s="2" t="s">
        <v>1978</v>
      </c>
      <c r="DV66" s="2" t="s">
        <v>1978</v>
      </c>
      <c r="DW66" s="2" t="s">
        <v>1978</v>
      </c>
      <c r="DX66" s="2" t="s">
        <v>1978</v>
      </c>
      <c r="DY66" s="2" t="s">
        <v>1978</v>
      </c>
      <c r="DZ66" s="2" t="s">
        <v>1978</v>
      </c>
      <c r="EA66" s="2" t="s">
        <v>1978</v>
      </c>
      <c r="EB66" s="2" t="s">
        <v>1978</v>
      </c>
      <c r="EC66" s="2" t="s">
        <v>1978</v>
      </c>
      <c r="ED66" s="2" t="s">
        <v>1978</v>
      </c>
      <c r="EE66" s="2" t="s">
        <v>1978</v>
      </c>
      <c r="EF66" s="2" t="s">
        <v>1978</v>
      </c>
      <c r="EG66" s="2" t="s">
        <v>1978</v>
      </c>
      <c r="EH66" s="2" t="s">
        <v>1978</v>
      </c>
      <c r="EI66" s="2" t="s">
        <v>1978</v>
      </c>
      <c r="EJ66" s="2" t="s">
        <v>1978</v>
      </c>
      <c r="EK66" s="2" t="s">
        <v>1978</v>
      </c>
      <c r="EL66" s="2" t="s">
        <v>1978</v>
      </c>
      <c r="EM66" s="2" t="s">
        <v>1978</v>
      </c>
      <c r="EN66" s="2" t="s">
        <v>1978</v>
      </c>
      <c r="EO66" s="2" t="s">
        <v>1978</v>
      </c>
      <c r="EP66" s="2" t="s">
        <v>1978</v>
      </c>
      <c r="EQ66" s="2" t="s">
        <v>1978</v>
      </c>
      <c r="ER66" s="2" t="s">
        <v>1978</v>
      </c>
      <c r="ES66" s="2" t="s">
        <v>1978</v>
      </c>
    </row>
    <row r="67" spans="1:150" s="344" customFormat="1" x14ac:dyDescent="0.3"/>
    <row r="68" spans="1:150" x14ac:dyDescent="0.3">
      <c r="BZ68" s="2" t="s">
        <v>1970</v>
      </c>
      <c r="CA68" s="2" t="s">
        <v>1970</v>
      </c>
      <c r="CB68" s="2" t="s">
        <v>1970</v>
      </c>
      <c r="CC68" s="2" t="s">
        <v>1970</v>
      </c>
      <c r="CD68" s="2" t="s">
        <v>1970</v>
      </c>
      <c r="CE68" s="2" t="s">
        <v>1970</v>
      </c>
      <c r="CF68" s="2" t="s">
        <v>1970</v>
      </c>
      <c r="CG68" s="2" t="s">
        <v>1970</v>
      </c>
    </row>
    <row r="69" spans="1:150" x14ac:dyDescent="0.3">
      <c r="A69" s="2" t="s">
        <v>266</v>
      </c>
      <c r="B69" s="2" t="s">
        <v>265</v>
      </c>
      <c r="C69" s="2" t="s">
        <v>2180</v>
      </c>
      <c r="D69" s="2" t="s">
        <v>271</v>
      </c>
      <c r="E69" s="2" t="s">
        <v>1967</v>
      </c>
      <c r="F69" s="2" t="s">
        <v>1970</v>
      </c>
      <c r="G69" s="2">
        <f>SUMIF(DF69:DM69,TRUE,CX69:DE69)</f>
        <v>24</v>
      </c>
      <c r="H69" s="2">
        <f>SUMIF(BZ69:CG69,TRUE,BR69:BY69)</f>
        <v>25</v>
      </c>
      <c r="I69" s="2" t="s">
        <v>1970</v>
      </c>
      <c r="J69" s="2" t="s">
        <v>1970</v>
      </c>
      <c r="K69" s="2" t="s">
        <v>1970</v>
      </c>
      <c r="L69" s="2" t="s">
        <v>1970</v>
      </c>
      <c r="M69" s="2" t="s">
        <v>1978</v>
      </c>
      <c r="N69" s="344" t="s">
        <v>1978</v>
      </c>
      <c r="O69" s="344" t="s">
        <v>1978</v>
      </c>
      <c r="P69" s="344" t="s">
        <v>1978</v>
      </c>
      <c r="Q69" s="344" t="s">
        <v>1978</v>
      </c>
      <c r="R69" s="344" t="s">
        <v>1978</v>
      </c>
      <c r="S69" s="344" t="s">
        <v>1978</v>
      </c>
      <c r="T69" s="2" t="s">
        <v>267</v>
      </c>
      <c r="U69" s="2" t="s">
        <v>2150</v>
      </c>
      <c r="X69" s="344">
        <f>'A123'!J77</f>
        <v>105</v>
      </c>
      <c r="Y69" s="344">
        <f>'A123'!K77</f>
        <v>64</v>
      </c>
      <c r="Z69" s="344">
        <f>'A123'!L77</f>
        <v>8.7704918032786878</v>
      </c>
      <c r="AA69" s="2" t="s">
        <v>2150</v>
      </c>
      <c r="AB69" s="2" t="str">
        <f>入學要求!X78</f>
        <v>/</v>
      </c>
      <c r="AC69" s="2" t="str">
        <f>入學要求!Y78</f>
        <v>/</v>
      </c>
      <c r="AD69" s="2" t="s">
        <v>1967</v>
      </c>
      <c r="AE69" s="2" t="s">
        <v>1970</v>
      </c>
      <c r="AF69" s="2" t="s">
        <v>1970</v>
      </c>
      <c r="AG69" s="2" t="s">
        <v>1970</v>
      </c>
      <c r="AH69" s="2" t="s">
        <v>1970</v>
      </c>
      <c r="AI69" s="2" t="s">
        <v>1970</v>
      </c>
      <c r="AJ69" s="2" t="s">
        <v>2928</v>
      </c>
      <c r="AK69" s="2" t="s">
        <v>2151</v>
      </c>
      <c r="AL69" s="2" t="s">
        <v>2929</v>
      </c>
      <c r="AM69" s="2" t="s">
        <v>1970</v>
      </c>
      <c r="AN69" s="2" t="s">
        <v>1970</v>
      </c>
      <c r="AO69" s="2" t="s">
        <v>1970</v>
      </c>
      <c r="AP69" s="251" t="s">
        <v>1978</v>
      </c>
      <c r="AQ69" s="344" t="s">
        <v>1970</v>
      </c>
      <c r="AR69" s="2" t="s">
        <v>2150</v>
      </c>
      <c r="AS69" s="2" t="s">
        <v>3608</v>
      </c>
      <c r="AT69" s="2" t="s">
        <v>1970</v>
      </c>
      <c r="AU69" s="2" t="s">
        <v>1970</v>
      </c>
      <c r="AV69" s="344" t="s">
        <v>3720</v>
      </c>
      <c r="AW69" s="344" t="s">
        <v>3727</v>
      </c>
      <c r="AX69" s="344" t="s">
        <v>3724</v>
      </c>
      <c r="BB69" s="2">
        <v>1</v>
      </c>
      <c r="BC69" s="2">
        <v>1</v>
      </c>
      <c r="BD69" s="2">
        <v>1</v>
      </c>
      <c r="BE69" s="2">
        <v>1</v>
      </c>
      <c r="BF69" s="2">
        <v>1</v>
      </c>
      <c r="BG69" s="2">
        <v>1</v>
      </c>
      <c r="BH69" s="2">
        <v>1</v>
      </c>
      <c r="BI69" s="2">
        <v>1</v>
      </c>
      <c r="BJ69" s="2">
        <v>5</v>
      </c>
      <c r="BK69" s="2">
        <v>3</v>
      </c>
      <c r="BL69" s="2">
        <v>3</v>
      </c>
      <c r="BM69" s="2">
        <v>5</v>
      </c>
      <c r="BN69" s="2" t="s">
        <v>1970</v>
      </c>
      <c r="BO69" s="2">
        <v>5</v>
      </c>
      <c r="BP69" s="2">
        <v>4</v>
      </c>
      <c r="BQ69" s="2" t="s">
        <v>1970</v>
      </c>
      <c r="BR69" s="2">
        <f>BB69*BJ69</f>
        <v>5</v>
      </c>
      <c r="BS69" s="2">
        <f t="shared" ref="BS69:BY69" si="386">BC69*BK69</f>
        <v>3</v>
      </c>
      <c r="BT69" s="2">
        <f t="shared" si="386"/>
        <v>3</v>
      </c>
      <c r="BU69" s="2">
        <f t="shared" si="386"/>
        <v>5</v>
      </c>
      <c r="BV69" s="2" t="e">
        <f t="shared" si="386"/>
        <v>#VALUE!</v>
      </c>
      <c r="BW69" s="2">
        <f t="shared" si="386"/>
        <v>5</v>
      </c>
      <c r="BX69" s="2">
        <f t="shared" si="386"/>
        <v>4</v>
      </c>
      <c r="BY69" s="2" t="e">
        <f t="shared" si="386"/>
        <v>#VALUE!</v>
      </c>
      <c r="BZ69" s="2" t="b">
        <v>1</v>
      </c>
      <c r="CA69" s="2" t="b">
        <v>1</v>
      </c>
      <c r="CB69" s="2" t="b">
        <v>1</v>
      </c>
      <c r="CC69" s="2" t="b">
        <v>1</v>
      </c>
      <c r="CD69" s="2" t="b">
        <v>0</v>
      </c>
      <c r="CE69" s="2" t="b">
        <v>1</v>
      </c>
      <c r="CF69" s="2" t="b">
        <v>1</v>
      </c>
      <c r="CG69" s="2" t="b">
        <v>0</v>
      </c>
      <c r="CH69" s="2">
        <v>1</v>
      </c>
      <c r="CI69" s="2">
        <v>1</v>
      </c>
      <c r="CJ69" s="2">
        <v>1</v>
      </c>
      <c r="CK69" s="2">
        <v>1</v>
      </c>
      <c r="CL69" s="2">
        <v>1</v>
      </c>
      <c r="CM69" s="2">
        <v>1</v>
      </c>
      <c r="CN69" s="2">
        <v>1</v>
      </c>
      <c r="CO69" s="2">
        <v>1</v>
      </c>
      <c r="CP69" s="2">
        <v>6</v>
      </c>
      <c r="CQ69" s="2">
        <v>3</v>
      </c>
      <c r="CR69" s="2">
        <v>3</v>
      </c>
      <c r="CS69" s="2">
        <v>4</v>
      </c>
      <c r="CT69" s="2" t="s">
        <v>1970</v>
      </c>
      <c r="CU69" s="2">
        <v>4</v>
      </c>
      <c r="CV69" s="2">
        <v>4</v>
      </c>
      <c r="CW69" s="2" t="s">
        <v>1970</v>
      </c>
      <c r="CX69" s="2">
        <f t="shared" ref="CX69:CX89" si="387">CH69*CP69</f>
        <v>6</v>
      </c>
      <c r="CY69" s="2">
        <f t="shared" ref="CY69:CY89" si="388">CI69*CQ69</f>
        <v>3</v>
      </c>
      <c r="CZ69" s="2">
        <f t="shared" ref="CZ69:CZ89" si="389">CJ69*CR69</f>
        <v>3</v>
      </c>
      <c r="DA69" s="2">
        <f t="shared" ref="DA69:DA89" si="390">CK69*CS69</f>
        <v>4</v>
      </c>
      <c r="DB69" s="2" t="e">
        <f t="shared" ref="DB69:DB89" si="391">CL69*CT69</f>
        <v>#VALUE!</v>
      </c>
      <c r="DC69" s="2">
        <f t="shared" ref="DC69:DC89" si="392">CM69*CU69</f>
        <v>4</v>
      </c>
      <c r="DD69" s="2">
        <f t="shared" ref="DD69:DD89" si="393">CN69*CV69</f>
        <v>4</v>
      </c>
      <c r="DE69" s="2" t="e">
        <f t="shared" ref="DE69:DE89" si="394">CO69*CW69</f>
        <v>#VALUE!</v>
      </c>
      <c r="DF69" s="2" t="b">
        <v>1</v>
      </c>
      <c r="DG69" s="2" t="b">
        <v>1</v>
      </c>
      <c r="DH69" s="2" t="b">
        <v>1</v>
      </c>
      <c r="DI69" s="2" t="b">
        <v>1</v>
      </c>
      <c r="DJ69" s="2" t="b">
        <v>0</v>
      </c>
      <c r="DK69" s="2" t="b">
        <v>1</v>
      </c>
      <c r="DL69" s="2" t="b">
        <v>1</v>
      </c>
      <c r="DM69" s="2" t="b">
        <v>0</v>
      </c>
      <c r="DN69" s="2" t="s">
        <v>1978</v>
      </c>
      <c r="DO69" s="2" t="s">
        <v>1978</v>
      </c>
      <c r="DP69" s="2" t="s">
        <v>1978</v>
      </c>
      <c r="DQ69" s="2" t="s">
        <v>1978</v>
      </c>
      <c r="DR69" s="2" t="s">
        <v>1978</v>
      </c>
      <c r="DS69" s="2" t="s">
        <v>1978</v>
      </c>
      <c r="DT69" s="2" t="s">
        <v>1978</v>
      </c>
      <c r="DU69" s="2" t="s">
        <v>1978</v>
      </c>
      <c r="DV69" s="2" t="s">
        <v>1978</v>
      </c>
      <c r="DW69" s="2" t="s">
        <v>1978</v>
      </c>
      <c r="DX69" s="2" t="s">
        <v>1978</v>
      </c>
      <c r="DY69" s="2" t="s">
        <v>1978</v>
      </c>
      <c r="DZ69" s="2" t="s">
        <v>1978</v>
      </c>
      <c r="EA69" s="2" t="s">
        <v>1978</v>
      </c>
      <c r="EB69" s="2" t="s">
        <v>1978</v>
      </c>
      <c r="EC69" s="2" t="s">
        <v>1978</v>
      </c>
      <c r="ED69" s="2" t="s">
        <v>1978</v>
      </c>
      <c r="EE69" s="2" t="s">
        <v>1978</v>
      </c>
      <c r="EF69" s="2" t="s">
        <v>1978</v>
      </c>
      <c r="EG69" s="2" t="s">
        <v>1978</v>
      </c>
      <c r="EH69" s="2" t="s">
        <v>1978</v>
      </c>
      <c r="EI69" s="2" t="s">
        <v>1978</v>
      </c>
      <c r="EJ69" s="2" t="s">
        <v>1978</v>
      </c>
      <c r="EK69" s="2" t="s">
        <v>1978</v>
      </c>
      <c r="EL69" s="2" t="s">
        <v>1978</v>
      </c>
      <c r="EM69" s="2" t="s">
        <v>1978</v>
      </c>
      <c r="EN69" s="2" t="s">
        <v>1978</v>
      </c>
      <c r="EO69" s="2" t="s">
        <v>1978</v>
      </c>
      <c r="EP69" s="2" t="s">
        <v>1978</v>
      </c>
      <c r="EQ69" s="2" t="s">
        <v>1978</v>
      </c>
      <c r="ER69" s="2" t="s">
        <v>1978</v>
      </c>
      <c r="ES69" s="2" t="s">
        <v>1978</v>
      </c>
    </row>
    <row r="70" spans="1:150" x14ac:dyDescent="0.3">
      <c r="A70" s="2" t="s">
        <v>288</v>
      </c>
      <c r="B70" s="2" t="s">
        <v>265</v>
      </c>
      <c r="C70" s="2" t="s">
        <v>2404</v>
      </c>
      <c r="D70" s="2" t="s">
        <v>293</v>
      </c>
      <c r="E70" s="2" t="s">
        <v>1967</v>
      </c>
      <c r="F70" s="2" t="s">
        <v>1970</v>
      </c>
      <c r="G70" s="2">
        <f>SUMIF(DF70:DM70,TRUE,CX70:DE70)</f>
        <v>23</v>
      </c>
      <c r="H70" s="2">
        <f>SUMIF(BZ70:CG70,TRUE,BR70:BY70)</f>
        <v>23</v>
      </c>
      <c r="I70" s="2" t="s">
        <v>1970</v>
      </c>
      <c r="J70" s="2" t="s">
        <v>1970</v>
      </c>
      <c r="K70" s="2" t="s">
        <v>1970</v>
      </c>
      <c r="L70" s="2" t="s">
        <v>1970</v>
      </c>
      <c r="M70" s="2" t="s">
        <v>1978</v>
      </c>
      <c r="N70" s="344" t="s">
        <v>1978</v>
      </c>
      <c r="O70" s="344" t="s">
        <v>1978</v>
      </c>
      <c r="P70" s="344" t="s">
        <v>1978</v>
      </c>
      <c r="Q70" s="344" t="s">
        <v>1978</v>
      </c>
      <c r="R70" s="344" t="s">
        <v>1978</v>
      </c>
      <c r="S70" s="344" t="s">
        <v>1978</v>
      </c>
      <c r="T70" s="2" t="s">
        <v>289</v>
      </c>
      <c r="U70" s="2" t="s">
        <v>2150</v>
      </c>
      <c r="X70" s="344">
        <f>'A123'!J78</f>
        <v>15</v>
      </c>
      <c r="Y70" s="344">
        <f>'A123'!K78</f>
        <v>10</v>
      </c>
      <c r="Z70" s="344">
        <f>'A123'!L78</f>
        <v>10.8</v>
      </c>
      <c r="AA70" s="2" t="s">
        <v>2150</v>
      </c>
      <c r="AB70" s="2" t="str">
        <f>入學要求!X79</f>
        <v>/</v>
      </c>
      <c r="AC70" s="2" t="str">
        <f>入學要求!Y79</f>
        <v>/</v>
      </c>
      <c r="AD70" s="2" t="s">
        <v>1967</v>
      </c>
      <c r="AE70" s="2" t="s">
        <v>1970</v>
      </c>
      <c r="AF70" s="2" t="s">
        <v>1970</v>
      </c>
      <c r="AG70" s="2" t="s">
        <v>1970</v>
      </c>
      <c r="AH70" s="2" t="s">
        <v>1970</v>
      </c>
      <c r="AI70" s="2" t="s">
        <v>1970</v>
      </c>
      <c r="AJ70" s="2" t="s">
        <v>2928</v>
      </c>
      <c r="AK70" s="2" t="s">
        <v>2151</v>
      </c>
      <c r="AL70" s="2" t="s">
        <v>2929</v>
      </c>
      <c r="AM70" s="2" t="s">
        <v>2950</v>
      </c>
      <c r="AN70" s="2" t="s">
        <v>1970</v>
      </c>
      <c r="AO70" s="2" t="s">
        <v>1970</v>
      </c>
      <c r="AP70" s="251" t="s">
        <v>1978</v>
      </c>
      <c r="AQ70" s="344" t="s">
        <v>1970</v>
      </c>
      <c r="AR70" s="2" t="s">
        <v>2150</v>
      </c>
      <c r="AS70" s="2" t="s">
        <v>3603</v>
      </c>
      <c r="AT70" s="565">
        <v>44740</v>
      </c>
      <c r="AU70" s="2" t="s">
        <v>1970</v>
      </c>
      <c r="AV70" s="344" t="s">
        <v>3720</v>
      </c>
      <c r="AW70" s="344" t="s">
        <v>3727</v>
      </c>
      <c r="AX70" s="344" t="s">
        <v>3724</v>
      </c>
      <c r="BB70" s="2">
        <v>1</v>
      </c>
      <c r="BC70" s="2">
        <v>1</v>
      </c>
      <c r="BD70" s="2">
        <v>1</v>
      </c>
      <c r="BE70" s="2">
        <v>1</v>
      </c>
      <c r="BF70" s="2">
        <v>1</v>
      </c>
      <c r="BG70" s="2">
        <v>1</v>
      </c>
      <c r="BH70" s="2">
        <v>1</v>
      </c>
      <c r="BI70" s="2">
        <v>1</v>
      </c>
      <c r="BJ70" s="2">
        <v>5</v>
      </c>
      <c r="BK70" s="2">
        <v>4</v>
      </c>
      <c r="BL70" s="2">
        <v>4</v>
      </c>
      <c r="BM70" s="2">
        <v>3</v>
      </c>
      <c r="BN70" s="2" t="s">
        <v>1970</v>
      </c>
      <c r="BO70" s="2">
        <v>4</v>
      </c>
      <c r="BP70" s="2">
        <v>3</v>
      </c>
      <c r="BQ70" s="2" t="s">
        <v>1970</v>
      </c>
      <c r="BR70" s="2">
        <f t="shared" ref="BR70:BR88" si="395">BB70*BJ70</f>
        <v>5</v>
      </c>
      <c r="BS70" s="2">
        <f t="shared" ref="BS70:BS89" si="396">BC70*BK70</f>
        <v>4</v>
      </c>
      <c r="BT70" s="2">
        <f t="shared" ref="BT70:BT89" si="397">BD70*BL70</f>
        <v>4</v>
      </c>
      <c r="BU70" s="2">
        <f t="shared" ref="BU70:BU89" si="398">BE70*BM70</f>
        <v>3</v>
      </c>
      <c r="BV70" s="2" t="e">
        <f t="shared" ref="BV70:BV89" si="399">BF70*BN70</f>
        <v>#VALUE!</v>
      </c>
      <c r="BW70" s="2">
        <f t="shared" ref="BW70:BW89" si="400">BG70*BO70</f>
        <v>4</v>
      </c>
      <c r="BX70" s="2">
        <f t="shared" ref="BX70:BX89" si="401">BH70*BP70</f>
        <v>3</v>
      </c>
      <c r="BY70" s="2" t="e">
        <f t="shared" ref="BY70:BY89" si="402">BI70*BQ70</f>
        <v>#VALUE!</v>
      </c>
      <c r="BZ70" s="2" t="b">
        <v>1</v>
      </c>
      <c r="CA70" s="2" t="b">
        <v>1</v>
      </c>
      <c r="CB70" s="2" t="b">
        <v>1</v>
      </c>
      <c r="CC70" s="2" t="b">
        <v>1</v>
      </c>
      <c r="CD70" s="2" t="b">
        <v>0</v>
      </c>
      <c r="CE70" s="2" t="b">
        <v>1</v>
      </c>
      <c r="CF70" s="2" t="b">
        <v>1</v>
      </c>
      <c r="CG70" s="2" t="b">
        <v>0</v>
      </c>
      <c r="CH70" s="2">
        <v>1</v>
      </c>
      <c r="CI70" s="2">
        <v>1</v>
      </c>
      <c r="CJ70" s="2">
        <v>1</v>
      </c>
      <c r="CK70" s="2">
        <v>1</v>
      </c>
      <c r="CL70" s="2">
        <v>1</v>
      </c>
      <c r="CM70" s="2">
        <v>1</v>
      </c>
      <c r="CN70" s="2">
        <v>1</v>
      </c>
      <c r="CO70" s="2">
        <v>1</v>
      </c>
      <c r="CP70" s="2">
        <v>4</v>
      </c>
      <c r="CQ70" s="2">
        <v>4</v>
      </c>
      <c r="CR70" s="2">
        <v>2</v>
      </c>
      <c r="CS70" s="2">
        <v>4</v>
      </c>
      <c r="CT70" s="2" t="s">
        <v>1970</v>
      </c>
      <c r="CU70" s="2">
        <v>5</v>
      </c>
      <c r="CV70" s="2">
        <v>4</v>
      </c>
      <c r="CW70" s="2">
        <v>3</v>
      </c>
      <c r="CX70" s="2">
        <f t="shared" si="387"/>
        <v>4</v>
      </c>
      <c r="CY70" s="2">
        <f t="shared" si="388"/>
        <v>4</v>
      </c>
      <c r="CZ70" s="2">
        <f t="shared" si="389"/>
        <v>2</v>
      </c>
      <c r="DA70" s="2">
        <f t="shared" si="390"/>
        <v>4</v>
      </c>
      <c r="DB70" s="2" t="e">
        <f t="shared" si="391"/>
        <v>#VALUE!</v>
      </c>
      <c r="DC70" s="2">
        <f t="shared" si="392"/>
        <v>5</v>
      </c>
      <c r="DD70" s="2">
        <f t="shared" si="393"/>
        <v>4</v>
      </c>
      <c r="DE70" s="2">
        <f t="shared" si="394"/>
        <v>3</v>
      </c>
      <c r="DF70" s="2" t="b">
        <v>1</v>
      </c>
      <c r="DG70" s="2" t="b">
        <v>1</v>
      </c>
      <c r="DH70" s="2" t="b">
        <v>1</v>
      </c>
      <c r="DI70" s="2" t="b">
        <v>1</v>
      </c>
      <c r="DJ70" s="2" t="b">
        <v>0</v>
      </c>
      <c r="DK70" s="2" t="b">
        <v>1</v>
      </c>
      <c r="DL70" s="2" t="b">
        <v>1</v>
      </c>
      <c r="DM70" s="2" t="b">
        <v>0</v>
      </c>
      <c r="DN70" s="2" t="s">
        <v>1978</v>
      </c>
      <c r="DO70" s="2" t="s">
        <v>1978</v>
      </c>
      <c r="DP70" s="2" t="s">
        <v>1978</v>
      </c>
      <c r="DQ70" s="2" t="s">
        <v>1978</v>
      </c>
      <c r="DR70" s="2" t="s">
        <v>1978</v>
      </c>
      <c r="DS70" s="2" t="s">
        <v>1978</v>
      </c>
      <c r="DT70" s="2" t="s">
        <v>1978</v>
      </c>
      <c r="DU70" s="2" t="s">
        <v>1978</v>
      </c>
      <c r="DV70" s="2" t="s">
        <v>1978</v>
      </c>
      <c r="DW70" s="2" t="s">
        <v>1978</v>
      </c>
      <c r="DX70" s="2" t="s">
        <v>1978</v>
      </c>
      <c r="DY70" s="2" t="s">
        <v>1978</v>
      </c>
      <c r="DZ70" s="2" t="s">
        <v>1978</v>
      </c>
      <c r="EA70" s="2" t="s">
        <v>1978</v>
      </c>
      <c r="EB70" s="2" t="s">
        <v>1978</v>
      </c>
      <c r="EC70" s="2" t="s">
        <v>1978</v>
      </c>
      <c r="ED70" s="2" t="s">
        <v>1978</v>
      </c>
      <c r="EE70" s="2" t="s">
        <v>1978</v>
      </c>
      <c r="EF70" s="2" t="s">
        <v>1978</v>
      </c>
      <c r="EG70" s="2" t="s">
        <v>1978</v>
      </c>
      <c r="EH70" s="2" t="s">
        <v>1978</v>
      </c>
      <c r="EI70" s="2" t="s">
        <v>1978</v>
      </c>
      <c r="EJ70" s="2" t="s">
        <v>1978</v>
      </c>
      <c r="EK70" s="2" t="s">
        <v>1978</v>
      </c>
      <c r="EL70" s="2" t="s">
        <v>1978</v>
      </c>
      <c r="EM70" s="2" t="s">
        <v>1978</v>
      </c>
      <c r="EN70" s="2" t="s">
        <v>1978</v>
      </c>
      <c r="EO70" s="2" t="s">
        <v>1978</v>
      </c>
      <c r="EP70" s="2" t="s">
        <v>1978</v>
      </c>
      <c r="EQ70" s="2" t="s">
        <v>1978</v>
      </c>
      <c r="ER70" s="2" t="s">
        <v>1978</v>
      </c>
      <c r="ES70" s="2" t="s">
        <v>1978</v>
      </c>
    </row>
    <row r="71" spans="1:150" ht="13.95" customHeight="1" x14ac:dyDescent="0.3">
      <c r="A71" s="2" t="s">
        <v>2907</v>
      </c>
      <c r="B71" s="2" t="s">
        <v>265</v>
      </c>
      <c r="C71" s="2" t="s">
        <v>2404</v>
      </c>
      <c r="D71" s="2" t="s">
        <v>313</v>
      </c>
      <c r="E71" s="206" t="s">
        <v>2916</v>
      </c>
      <c r="F71" s="2" t="s">
        <v>1970</v>
      </c>
      <c r="G71" s="2" t="s">
        <v>1978</v>
      </c>
      <c r="H71" s="2" t="s">
        <v>1978</v>
      </c>
      <c r="I71" s="2" t="s">
        <v>1970</v>
      </c>
      <c r="J71" s="2" t="s">
        <v>1970</v>
      </c>
      <c r="K71" s="2" t="s">
        <v>1970</v>
      </c>
      <c r="L71" s="2" t="s">
        <v>1970</v>
      </c>
      <c r="M71" s="2" t="s">
        <v>1978</v>
      </c>
      <c r="N71" s="344" t="s">
        <v>1978</v>
      </c>
      <c r="O71" s="344" t="s">
        <v>1978</v>
      </c>
      <c r="P71" s="344" t="s">
        <v>1978</v>
      </c>
      <c r="Q71" s="344" t="s">
        <v>1978</v>
      </c>
      <c r="R71" s="344" t="s">
        <v>1978</v>
      </c>
      <c r="S71" s="344" t="s">
        <v>1978</v>
      </c>
      <c r="T71" s="2" t="s">
        <v>311</v>
      </c>
      <c r="U71" s="2" t="s">
        <v>2150</v>
      </c>
      <c r="X71" s="344">
        <f>'A123'!J79</f>
        <v>43</v>
      </c>
      <c r="Y71" s="344" t="str">
        <f>'A123'!K79</f>
        <v>/</v>
      </c>
      <c r="Z71" s="344" t="str">
        <f>'A123'!L79</f>
        <v>新科目</v>
      </c>
      <c r="AA71" s="2" t="s">
        <v>2150</v>
      </c>
      <c r="AB71" s="2" t="str">
        <f>入學要求!X80</f>
        <v>/</v>
      </c>
      <c r="AC71" s="2" t="str">
        <f>入學要求!Y80</f>
        <v>/</v>
      </c>
      <c r="AD71" s="2" t="s">
        <v>1967</v>
      </c>
      <c r="AE71" s="2" t="s">
        <v>1970</v>
      </c>
      <c r="AF71" s="2" t="s">
        <v>1970</v>
      </c>
      <c r="AG71" s="2" t="s">
        <v>1970</v>
      </c>
      <c r="AH71" s="2" t="s">
        <v>1970</v>
      </c>
      <c r="AI71" s="2" t="s">
        <v>1970</v>
      </c>
      <c r="AJ71" s="2" t="s">
        <v>2928</v>
      </c>
      <c r="AK71" s="2" t="s">
        <v>2151</v>
      </c>
      <c r="AL71" s="2" t="s">
        <v>2929</v>
      </c>
      <c r="AM71" s="182" t="s">
        <v>2938</v>
      </c>
      <c r="AN71" s="2" t="s">
        <v>2946</v>
      </c>
      <c r="AO71" s="2" t="s">
        <v>2945</v>
      </c>
      <c r="AP71" s="251" t="s">
        <v>1978</v>
      </c>
      <c r="AQ71" s="344" t="s">
        <v>1970</v>
      </c>
      <c r="AR71" s="2" t="s">
        <v>2150</v>
      </c>
      <c r="AS71" s="2" t="s">
        <v>3620</v>
      </c>
      <c r="AT71" s="2" t="s">
        <v>3621</v>
      </c>
      <c r="AU71" s="2" t="s">
        <v>3622</v>
      </c>
      <c r="AV71" s="344" t="s">
        <v>3720</v>
      </c>
      <c r="AW71" s="344" t="s">
        <v>3727</v>
      </c>
      <c r="AX71" s="344" t="s">
        <v>3723</v>
      </c>
      <c r="BB71" s="2">
        <v>1</v>
      </c>
      <c r="BC71" s="2">
        <v>1</v>
      </c>
      <c r="BD71" s="2">
        <v>1</v>
      </c>
      <c r="BE71" s="2">
        <v>1</v>
      </c>
      <c r="BF71" s="2">
        <v>1</v>
      </c>
      <c r="BG71" s="2">
        <v>1</v>
      </c>
      <c r="BH71" s="2">
        <v>1</v>
      </c>
      <c r="BI71" s="2">
        <v>1</v>
      </c>
      <c r="BJ71" s="2" t="s">
        <v>1970</v>
      </c>
      <c r="BK71" s="2" t="s">
        <v>1970</v>
      </c>
      <c r="BL71" s="2" t="s">
        <v>1970</v>
      </c>
      <c r="BM71" s="2" t="s">
        <v>1970</v>
      </c>
      <c r="BN71" s="2" t="s">
        <v>1970</v>
      </c>
      <c r="BO71" s="2" t="s">
        <v>1970</v>
      </c>
      <c r="BP71" s="2" t="s">
        <v>1970</v>
      </c>
      <c r="BQ71" s="2" t="s">
        <v>1970</v>
      </c>
      <c r="BR71" s="2" t="e">
        <f t="shared" si="395"/>
        <v>#VALUE!</v>
      </c>
      <c r="BS71" s="2" t="e">
        <f t="shared" si="396"/>
        <v>#VALUE!</v>
      </c>
      <c r="BT71" s="2" t="e">
        <f t="shared" si="397"/>
        <v>#VALUE!</v>
      </c>
      <c r="BU71" s="2" t="e">
        <f t="shared" si="398"/>
        <v>#VALUE!</v>
      </c>
      <c r="BV71" s="2" t="e">
        <f t="shared" si="399"/>
        <v>#VALUE!</v>
      </c>
      <c r="BW71" s="2" t="e">
        <f t="shared" si="400"/>
        <v>#VALUE!</v>
      </c>
      <c r="BX71" s="2" t="e">
        <f t="shared" si="401"/>
        <v>#VALUE!</v>
      </c>
      <c r="BY71" s="2" t="e">
        <f t="shared" si="402"/>
        <v>#VALUE!</v>
      </c>
      <c r="BZ71" s="2" t="s">
        <v>1970</v>
      </c>
      <c r="CA71" s="2" t="s">
        <v>1970</v>
      </c>
      <c r="CB71" s="2" t="s">
        <v>1970</v>
      </c>
      <c r="CC71" s="2" t="s">
        <v>1970</v>
      </c>
      <c r="CD71" s="2" t="s">
        <v>1970</v>
      </c>
      <c r="CE71" s="2" t="s">
        <v>1970</v>
      </c>
      <c r="CF71" s="2" t="s">
        <v>1970</v>
      </c>
      <c r="CG71" s="2" t="s">
        <v>1970</v>
      </c>
      <c r="CH71" s="2">
        <v>1</v>
      </c>
      <c r="CI71" s="2">
        <v>1</v>
      </c>
      <c r="CJ71" s="2">
        <v>1</v>
      </c>
      <c r="CK71" s="2">
        <v>1</v>
      </c>
      <c r="CL71" s="2">
        <v>1</v>
      </c>
      <c r="CM71" s="2">
        <v>1</v>
      </c>
      <c r="CN71" s="2">
        <v>1</v>
      </c>
      <c r="CO71" s="2">
        <v>1</v>
      </c>
      <c r="CP71" s="2" t="s">
        <v>1970</v>
      </c>
      <c r="CQ71" s="2" t="s">
        <v>1970</v>
      </c>
      <c r="CR71" s="2" t="s">
        <v>1970</v>
      </c>
      <c r="CS71" s="2" t="s">
        <v>1970</v>
      </c>
      <c r="CT71" s="2" t="s">
        <v>1970</v>
      </c>
      <c r="CU71" s="2" t="s">
        <v>1970</v>
      </c>
      <c r="CV71" s="2" t="s">
        <v>1970</v>
      </c>
      <c r="CW71" s="2" t="s">
        <v>1970</v>
      </c>
      <c r="CX71" s="2" t="e">
        <f t="shared" si="387"/>
        <v>#VALUE!</v>
      </c>
      <c r="CY71" s="2" t="e">
        <f t="shared" si="388"/>
        <v>#VALUE!</v>
      </c>
      <c r="CZ71" s="2" t="e">
        <f t="shared" si="389"/>
        <v>#VALUE!</v>
      </c>
      <c r="DA71" s="2" t="e">
        <f t="shared" si="390"/>
        <v>#VALUE!</v>
      </c>
      <c r="DB71" s="2" t="e">
        <f t="shared" si="391"/>
        <v>#VALUE!</v>
      </c>
      <c r="DC71" s="2" t="e">
        <f t="shared" si="392"/>
        <v>#VALUE!</v>
      </c>
      <c r="DD71" s="2" t="e">
        <f t="shared" si="393"/>
        <v>#VALUE!</v>
      </c>
      <c r="DE71" s="2" t="e">
        <f t="shared" si="394"/>
        <v>#VALUE!</v>
      </c>
      <c r="DF71" s="2" t="s">
        <v>1970</v>
      </c>
      <c r="DG71" s="2" t="s">
        <v>1970</v>
      </c>
      <c r="DH71" s="2" t="s">
        <v>1970</v>
      </c>
      <c r="DI71" s="2" t="s">
        <v>1970</v>
      </c>
      <c r="DJ71" s="2" t="s">
        <v>1970</v>
      </c>
      <c r="DK71" s="2" t="s">
        <v>1970</v>
      </c>
      <c r="DL71" s="2" t="s">
        <v>1970</v>
      </c>
      <c r="DM71" s="2" t="s">
        <v>1970</v>
      </c>
      <c r="DN71" s="2" t="s">
        <v>1978</v>
      </c>
      <c r="DO71" s="2" t="s">
        <v>1978</v>
      </c>
      <c r="DP71" s="2" t="s">
        <v>1978</v>
      </c>
      <c r="DQ71" s="2" t="s">
        <v>1978</v>
      </c>
      <c r="DR71" s="2" t="s">
        <v>1978</v>
      </c>
      <c r="DS71" s="2" t="s">
        <v>1978</v>
      </c>
      <c r="DT71" s="2" t="s">
        <v>1978</v>
      </c>
      <c r="DU71" s="2" t="s">
        <v>1978</v>
      </c>
      <c r="DV71" s="2" t="s">
        <v>1978</v>
      </c>
      <c r="DW71" s="2" t="s">
        <v>1978</v>
      </c>
      <c r="DX71" s="2" t="s">
        <v>1978</v>
      </c>
      <c r="DY71" s="2" t="s">
        <v>1978</v>
      </c>
      <c r="DZ71" s="2" t="s">
        <v>1978</v>
      </c>
      <c r="EA71" s="2" t="s">
        <v>1978</v>
      </c>
      <c r="EB71" s="2" t="s">
        <v>1978</v>
      </c>
      <c r="EC71" s="2" t="s">
        <v>1978</v>
      </c>
      <c r="ED71" s="2" t="s">
        <v>1978</v>
      </c>
      <c r="EE71" s="2" t="s">
        <v>1978</v>
      </c>
      <c r="EF71" s="2" t="s">
        <v>1978</v>
      </c>
      <c r="EG71" s="2" t="s">
        <v>1978</v>
      </c>
      <c r="EH71" s="2" t="s">
        <v>1978</v>
      </c>
      <c r="EI71" s="2" t="s">
        <v>1978</v>
      </c>
      <c r="EJ71" s="2" t="s">
        <v>1978</v>
      </c>
      <c r="EK71" s="2" t="s">
        <v>1978</v>
      </c>
      <c r="EL71" s="2" t="s">
        <v>1978</v>
      </c>
      <c r="EM71" s="2" t="s">
        <v>1978</v>
      </c>
      <c r="EN71" s="2" t="s">
        <v>1978</v>
      </c>
      <c r="EO71" s="2" t="s">
        <v>1978</v>
      </c>
      <c r="EP71" s="2" t="s">
        <v>1978</v>
      </c>
      <c r="EQ71" s="2" t="s">
        <v>1978</v>
      </c>
      <c r="ER71" s="2" t="s">
        <v>1978</v>
      </c>
      <c r="ES71" s="2" t="s">
        <v>1978</v>
      </c>
    </row>
    <row r="72" spans="1:150" x14ac:dyDescent="0.3">
      <c r="A72" s="2" t="s">
        <v>314</v>
      </c>
      <c r="B72" s="2" t="s">
        <v>265</v>
      </c>
      <c r="C72" s="2" t="s">
        <v>2149</v>
      </c>
      <c r="D72" s="2" t="s">
        <v>319</v>
      </c>
      <c r="E72" s="59" t="s">
        <v>2153</v>
      </c>
      <c r="F72" s="2" t="s">
        <v>1970</v>
      </c>
      <c r="G72" s="2">
        <f>SUMIF(DF72:DM72,TRUE,CX72:DE72)</f>
        <v>24</v>
      </c>
      <c r="H72" s="2">
        <f>SUMIF(BZ72:CG72,TRUE,BR72:BY72)</f>
        <v>23.5</v>
      </c>
      <c r="I72" s="2" t="s">
        <v>1970</v>
      </c>
      <c r="J72" s="2" t="s">
        <v>1970</v>
      </c>
      <c r="K72" s="2" t="s">
        <v>2685</v>
      </c>
      <c r="L72" s="2" t="s">
        <v>1970</v>
      </c>
      <c r="M72" s="2" t="s">
        <v>1978</v>
      </c>
      <c r="N72" s="344" t="s">
        <v>1978</v>
      </c>
      <c r="O72" s="344" t="s">
        <v>1978</v>
      </c>
      <c r="P72" s="344" t="s">
        <v>1978</v>
      </c>
      <c r="Q72" s="344" t="s">
        <v>1978</v>
      </c>
      <c r="R72" s="344" t="s">
        <v>1978</v>
      </c>
      <c r="S72" s="344" t="s">
        <v>1978</v>
      </c>
      <c r="T72" s="2" t="s">
        <v>315</v>
      </c>
      <c r="U72" s="2" t="s">
        <v>2150</v>
      </c>
      <c r="X72" s="344">
        <f>'A123'!J80</f>
        <v>47</v>
      </c>
      <c r="Y72" s="344">
        <f>'A123'!K80</f>
        <v>48</v>
      </c>
      <c r="Z72" s="344">
        <f>'A123'!L80</f>
        <v>11</v>
      </c>
      <c r="AA72" s="2" t="s">
        <v>2150</v>
      </c>
      <c r="AB72" s="2" t="str">
        <f>入學要求!X81</f>
        <v>/</v>
      </c>
      <c r="AC72" s="2" t="str">
        <f>入學要求!Y81</f>
        <v>/</v>
      </c>
      <c r="AD72" s="2" t="s">
        <v>2153</v>
      </c>
      <c r="AE72" s="2" t="s">
        <v>1970</v>
      </c>
      <c r="AF72" s="2" t="s">
        <v>1970</v>
      </c>
      <c r="AG72" s="2" t="s">
        <v>2913</v>
      </c>
      <c r="AH72" s="2" t="s">
        <v>1970</v>
      </c>
      <c r="AI72" s="2" t="s">
        <v>1970</v>
      </c>
      <c r="AJ72" s="2" t="s">
        <v>2928</v>
      </c>
      <c r="AK72" s="2" t="s">
        <v>2151</v>
      </c>
      <c r="AL72" s="2" t="s">
        <v>2930</v>
      </c>
      <c r="AM72" s="2" t="s">
        <v>2950</v>
      </c>
      <c r="AN72" s="2" t="s">
        <v>1970</v>
      </c>
      <c r="AO72" s="2" t="s">
        <v>1970</v>
      </c>
      <c r="AP72" s="251" t="s">
        <v>1978</v>
      </c>
      <c r="AQ72" s="344" t="s">
        <v>1970</v>
      </c>
      <c r="AR72" s="2" t="s">
        <v>2150</v>
      </c>
      <c r="AS72" s="2" t="s">
        <v>3603</v>
      </c>
      <c r="AT72" s="2" t="s">
        <v>3623</v>
      </c>
      <c r="AU72" s="2" t="s">
        <v>1970</v>
      </c>
      <c r="AV72" s="344" t="s">
        <v>3720</v>
      </c>
      <c r="AW72" s="344" t="s">
        <v>3727</v>
      </c>
      <c r="AX72" s="344" t="s">
        <v>3723</v>
      </c>
      <c r="AY72" s="344" t="s">
        <v>3722</v>
      </c>
      <c r="BB72" s="2">
        <v>1</v>
      </c>
      <c r="BC72" s="2">
        <v>1.5</v>
      </c>
      <c r="BD72" s="2">
        <v>1</v>
      </c>
      <c r="BE72" s="2">
        <v>1</v>
      </c>
      <c r="BF72" s="2">
        <v>1</v>
      </c>
      <c r="BG72" s="2">
        <v>1</v>
      </c>
      <c r="BH72" s="2">
        <v>1</v>
      </c>
      <c r="BI72" s="2">
        <v>1</v>
      </c>
      <c r="BJ72" s="2">
        <v>4</v>
      </c>
      <c r="BK72" s="2">
        <v>3</v>
      </c>
      <c r="BL72" s="2">
        <v>4</v>
      </c>
      <c r="BM72" s="2">
        <v>3</v>
      </c>
      <c r="BN72" s="2" t="s">
        <v>1970</v>
      </c>
      <c r="BO72" s="2">
        <v>4</v>
      </c>
      <c r="BP72" s="2">
        <v>4</v>
      </c>
      <c r="BQ72" s="2" t="s">
        <v>1970</v>
      </c>
      <c r="BR72" s="2">
        <f t="shared" si="395"/>
        <v>4</v>
      </c>
      <c r="BS72" s="2">
        <f t="shared" si="396"/>
        <v>4.5</v>
      </c>
      <c r="BT72" s="2">
        <f t="shared" si="397"/>
        <v>4</v>
      </c>
      <c r="BU72" s="2">
        <f t="shared" si="398"/>
        <v>3</v>
      </c>
      <c r="BV72" s="2" t="e">
        <f t="shared" si="399"/>
        <v>#VALUE!</v>
      </c>
      <c r="BW72" s="2">
        <f t="shared" si="400"/>
        <v>4</v>
      </c>
      <c r="BX72" s="2">
        <f t="shared" si="401"/>
        <v>4</v>
      </c>
      <c r="BY72" s="2" t="e">
        <f t="shared" si="402"/>
        <v>#VALUE!</v>
      </c>
      <c r="BZ72" s="2" t="b">
        <v>1</v>
      </c>
      <c r="CA72" s="2" t="b">
        <v>1</v>
      </c>
      <c r="CB72" s="2" t="b">
        <v>1</v>
      </c>
      <c r="CC72" s="2" t="b">
        <v>1</v>
      </c>
      <c r="CD72" s="2" t="b">
        <v>0</v>
      </c>
      <c r="CE72" s="2" t="b">
        <v>1</v>
      </c>
      <c r="CF72" s="2" t="b">
        <v>1</v>
      </c>
      <c r="CG72" s="2" t="b">
        <v>0</v>
      </c>
      <c r="CH72" s="2">
        <v>1</v>
      </c>
      <c r="CI72" s="2">
        <v>1.5</v>
      </c>
      <c r="CJ72" s="2">
        <v>1</v>
      </c>
      <c r="CK72" s="2">
        <v>1</v>
      </c>
      <c r="CL72" s="2">
        <v>1</v>
      </c>
      <c r="CM72" s="2">
        <v>1</v>
      </c>
      <c r="CN72" s="2">
        <v>1</v>
      </c>
      <c r="CO72" s="2">
        <v>1</v>
      </c>
      <c r="CP72" s="2">
        <v>4</v>
      </c>
      <c r="CQ72" s="2">
        <v>4</v>
      </c>
      <c r="CR72" s="2">
        <v>3</v>
      </c>
      <c r="CS72" s="2">
        <v>4</v>
      </c>
      <c r="CT72" s="2" t="s">
        <v>1970</v>
      </c>
      <c r="CU72" s="2">
        <v>4</v>
      </c>
      <c r="CV72" s="2">
        <v>3</v>
      </c>
      <c r="CW72" s="2" t="s">
        <v>1970</v>
      </c>
      <c r="CX72" s="2">
        <f t="shared" si="387"/>
        <v>4</v>
      </c>
      <c r="CY72" s="2">
        <f t="shared" si="388"/>
        <v>6</v>
      </c>
      <c r="CZ72" s="2">
        <f t="shared" si="389"/>
        <v>3</v>
      </c>
      <c r="DA72" s="2">
        <f t="shared" si="390"/>
        <v>4</v>
      </c>
      <c r="DB72" s="2" t="e">
        <f t="shared" si="391"/>
        <v>#VALUE!</v>
      </c>
      <c r="DC72" s="2">
        <f t="shared" si="392"/>
        <v>4</v>
      </c>
      <c r="DD72" s="2">
        <f t="shared" si="393"/>
        <v>3</v>
      </c>
      <c r="DE72" s="2" t="e">
        <f t="shared" si="394"/>
        <v>#VALUE!</v>
      </c>
      <c r="DF72" s="2" t="b">
        <v>1</v>
      </c>
      <c r="DG72" s="2" t="b">
        <v>1</v>
      </c>
      <c r="DH72" s="2" t="b">
        <v>1</v>
      </c>
      <c r="DI72" s="2" t="b">
        <v>1</v>
      </c>
      <c r="DJ72" s="2" t="b">
        <v>0</v>
      </c>
      <c r="DK72" s="2" t="b">
        <v>1</v>
      </c>
      <c r="DL72" s="2" t="b">
        <v>1</v>
      </c>
      <c r="DM72" s="2" t="b">
        <v>0</v>
      </c>
      <c r="DN72" s="2" t="s">
        <v>1978</v>
      </c>
      <c r="DO72" s="2" t="s">
        <v>1978</v>
      </c>
      <c r="DP72" s="2" t="s">
        <v>1978</v>
      </c>
      <c r="DQ72" s="2" t="s">
        <v>1978</v>
      </c>
      <c r="DR72" s="2" t="s">
        <v>1978</v>
      </c>
      <c r="DS72" s="2" t="s">
        <v>1978</v>
      </c>
      <c r="DT72" s="2" t="s">
        <v>1978</v>
      </c>
      <c r="DU72" s="2" t="s">
        <v>1978</v>
      </c>
      <c r="DV72" s="2" t="s">
        <v>1978</v>
      </c>
      <c r="DW72" s="2" t="s">
        <v>1978</v>
      </c>
      <c r="DX72" s="2" t="s">
        <v>1978</v>
      </c>
      <c r="DY72" s="2" t="s">
        <v>1978</v>
      </c>
      <c r="DZ72" s="2" t="s">
        <v>1978</v>
      </c>
      <c r="EA72" s="2" t="s">
        <v>1978</v>
      </c>
      <c r="EB72" s="2" t="s">
        <v>1978</v>
      </c>
      <c r="EC72" s="2" t="s">
        <v>1978</v>
      </c>
      <c r="ED72" s="2" t="s">
        <v>1978</v>
      </c>
      <c r="EE72" s="2" t="s">
        <v>1978</v>
      </c>
      <c r="EF72" s="2" t="s">
        <v>1978</v>
      </c>
      <c r="EG72" s="2" t="s">
        <v>1978</v>
      </c>
      <c r="EH72" s="2" t="s">
        <v>1978</v>
      </c>
      <c r="EI72" s="2" t="s">
        <v>1978</v>
      </c>
      <c r="EJ72" s="2" t="s">
        <v>1978</v>
      </c>
      <c r="EK72" s="2" t="s">
        <v>1978</v>
      </c>
      <c r="EL72" s="2" t="s">
        <v>1978</v>
      </c>
      <c r="EM72" s="2" t="s">
        <v>1978</v>
      </c>
      <c r="EN72" s="2" t="s">
        <v>1978</v>
      </c>
      <c r="EO72" s="2" t="s">
        <v>1978</v>
      </c>
      <c r="EP72" s="2" t="s">
        <v>1978</v>
      </c>
      <c r="EQ72" s="2" t="s">
        <v>1978</v>
      </c>
      <c r="ER72" s="2" t="s">
        <v>1978</v>
      </c>
      <c r="ES72" s="2" t="s">
        <v>1978</v>
      </c>
    </row>
    <row r="73" spans="1:150" x14ac:dyDescent="0.3">
      <c r="A73" s="2" t="s">
        <v>320</v>
      </c>
      <c r="B73" s="2" t="s">
        <v>265</v>
      </c>
      <c r="C73" s="2" t="s">
        <v>2149</v>
      </c>
      <c r="D73" s="2" t="s">
        <v>325</v>
      </c>
      <c r="E73" s="59" t="s">
        <v>2153</v>
      </c>
      <c r="F73" s="2" t="s">
        <v>1970</v>
      </c>
      <c r="G73" s="2">
        <f>SUMIF(DF73:DM73,TRUE,CX73:DE73)</f>
        <v>23.5</v>
      </c>
      <c r="H73" s="2">
        <f>SUMIF(BZ73:CG73,TRUE,BR73:BY73)</f>
        <v>23.5</v>
      </c>
      <c r="I73" s="2" t="s">
        <v>1970</v>
      </c>
      <c r="J73" s="2" t="s">
        <v>1970</v>
      </c>
      <c r="K73" s="2" t="s">
        <v>2685</v>
      </c>
      <c r="L73" s="2" t="s">
        <v>1970</v>
      </c>
      <c r="M73" s="2" t="s">
        <v>1978</v>
      </c>
      <c r="N73" s="344" t="s">
        <v>1978</v>
      </c>
      <c r="O73" s="344" t="s">
        <v>1978</v>
      </c>
      <c r="P73" s="344" t="s">
        <v>1978</v>
      </c>
      <c r="Q73" s="344" t="s">
        <v>1978</v>
      </c>
      <c r="R73" s="344" t="s">
        <v>1978</v>
      </c>
      <c r="S73" s="344" t="s">
        <v>1978</v>
      </c>
      <c r="T73" s="2" t="s">
        <v>321</v>
      </c>
      <c r="U73" s="2" t="s">
        <v>2150</v>
      </c>
      <c r="X73" s="344">
        <f>'A123'!J81</f>
        <v>187</v>
      </c>
      <c r="Y73" s="344">
        <f>'A123'!K81</f>
        <v>213</v>
      </c>
      <c r="Z73" s="344">
        <f>'A123'!L81</f>
        <v>7.962025316455696</v>
      </c>
      <c r="AA73" s="2" t="s">
        <v>2150</v>
      </c>
      <c r="AB73" s="2" t="str">
        <f>入學要求!X82</f>
        <v>/</v>
      </c>
      <c r="AC73" s="2" t="str">
        <f>入學要求!Y82</f>
        <v>/</v>
      </c>
      <c r="AD73" s="2" t="s">
        <v>2153</v>
      </c>
      <c r="AE73" s="2" t="s">
        <v>1970</v>
      </c>
      <c r="AF73" s="2" t="s">
        <v>1970</v>
      </c>
      <c r="AG73" s="2" t="s">
        <v>2913</v>
      </c>
      <c r="AH73" s="2" t="s">
        <v>1970</v>
      </c>
      <c r="AI73" s="2" t="s">
        <v>1970</v>
      </c>
      <c r="AJ73" s="2" t="s">
        <v>2928</v>
      </c>
      <c r="AK73" s="2" t="s">
        <v>2151</v>
      </c>
      <c r="AL73" s="2" t="s">
        <v>2930</v>
      </c>
      <c r="AM73" s="2" t="s">
        <v>2950</v>
      </c>
      <c r="AN73" s="2" t="s">
        <v>1970</v>
      </c>
      <c r="AO73" s="2" t="s">
        <v>1970</v>
      </c>
      <c r="AP73" s="251" t="s">
        <v>1978</v>
      </c>
      <c r="AQ73" s="344" t="s">
        <v>1970</v>
      </c>
      <c r="AR73" s="2" t="s">
        <v>2150</v>
      </c>
      <c r="AS73" s="2" t="s">
        <v>3603</v>
      </c>
      <c r="AT73" s="2" t="s">
        <v>3623</v>
      </c>
      <c r="AU73" s="2" t="s">
        <v>1970</v>
      </c>
      <c r="AV73" s="344" t="s">
        <v>3720</v>
      </c>
      <c r="AW73" s="344" t="s">
        <v>3727</v>
      </c>
      <c r="AX73" s="344" t="s">
        <v>3723</v>
      </c>
      <c r="AY73" s="344" t="s">
        <v>3722</v>
      </c>
      <c r="BB73" s="2">
        <v>1</v>
      </c>
      <c r="BC73" s="2">
        <v>1.5</v>
      </c>
      <c r="BD73" s="2">
        <v>1</v>
      </c>
      <c r="BE73" s="2">
        <v>1</v>
      </c>
      <c r="BF73" s="2">
        <v>1</v>
      </c>
      <c r="BG73" s="2">
        <v>1</v>
      </c>
      <c r="BH73" s="2">
        <v>1</v>
      </c>
      <c r="BI73" s="2">
        <v>1</v>
      </c>
      <c r="BJ73" s="2">
        <v>4</v>
      </c>
      <c r="BK73" s="2">
        <v>3</v>
      </c>
      <c r="BL73" s="2">
        <v>3</v>
      </c>
      <c r="BM73" s="2">
        <v>4</v>
      </c>
      <c r="BN73" s="2" t="s">
        <v>1970</v>
      </c>
      <c r="BO73" s="2">
        <v>5</v>
      </c>
      <c r="BP73" s="2">
        <v>3</v>
      </c>
      <c r="BQ73" s="2" t="s">
        <v>1970</v>
      </c>
      <c r="BR73" s="2">
        <f t="shared" si="395"/>
        <v>4</v>
      </c>
      <c r="BS73" s="2">
        <f t="shared" si="396"/>
        <v>4.5</v>
      </c>
      <c r="BT73" s="2">
        <f t="shared" si="397"/>
        <v>3</v>
      </c>
      <c r="BU73" s="2">
        <f t="shared" si="398"/>
        <v>4</v>
      </c>
      <c r="BV73" s="2" t="e">
        <f t="shared" si="399"/>
        <v>#VALUE!</v>
      </c>
      <c r="BW73" s="2">
        <f t="shared" si="400"/>
        <v>5</v>
      </c>
      <c r="BX73" s="2">
        <f t="shared" si="401"/>
        <v>3</v>
      </c>
      <c r="BY73" s="2" t="e">
        <f t="shared" si="402"/>
        <v>#VALUE!</v>
      </c>
      <c r="BZ73" s="2" t="b">
        <v>1</v>
      </c>
      <c r="CA73" s="2" t="b">
        <v>1</v>
      </c>
      <c r="CB73" s="2" t="b">
        <v>1</v>
      </c>
      <c r="CC73" s="2" t="b">
        <v>1</v>
      </c>
      <c r="CD73" s="2" t="b">
        <v>0</v>
      </c>
      <c r="CE73" s="2" t="b">
        <v>1</v>
      </c>
      <c r="CF73" s="2" t="b">
        <v>1</v>
      </c>
      <c r="CG73" s="2" t="b">
        <v>0</v>
      </c>
      <c r="CH73" s="2">
        <v>1</v>
      </c>
      <c r="CI73" s="2">
        <v>1.5</v>
      </c>
      <c r="CJ73" s="2">
        <v>1</v>
      </c>
      <c r="CK73" s="2">
        <v>1</v>
      </c>
      <c r="CL73" s="2">
        <v>1</v>
      </c>
      <c r="CM73" s="2">
        <v>1</v>
      </c>
      <c r="CN73" s="2">
        <v>1</v>
      </c>
      <c r="CO73" s="2">
        <v>1</v>
      </c>
      <c r="CP73" s="2">
        <v>4</v>
      </c>
      <c r="CQ73" s="2">
        <v>3</v>
      </c>
      <c r="CR73" s="2">
        <v>4</v>
      </c>
      <c r="CS73" s="2">
        <v>3</v>
      </c>
      <c r="CT73" s="2" t="s">
        <v>1970</v>
      </c>
      <c r="CU73" s="2">
        <v>4</v>
      </c>
      <c r="CV73" s="2">
        <v>4</v>
      </c>
      <c r="CW73" s="2" t="s">
        <v>1970</v>
      </c>
      <c r="CX73" s="2">
        <f t="shared" si="387"/>
        <v>4</v>
      </c>
      <c r="CY73" s="2">
        <f t="shared" si="388"/>
        <v>4.5</v>
      </c>
      <c r="CZ73" s="2">
        <f t="shared" si="389"/>
        <v>4</v>
      </c>
      <c r="DA73" s="2">
        <f t="shared" si="390"/>
        <v>3</v>
      </c>
      <c r="DB73" s="2" t="e">
        <f t="shared" si="391"/>
        <v>#VALUE!</v>
      </c>
      <c r="DC73" s="2">
        <f t="shared" si="392"/>
        <v>4</v>
      </c>
      <c r="DD73" s="2">
        <f t="shared" si="393"/>
        <v>4</v>
      </c>
      <c r="DE73" s="2" t="e">
        <f t="shared" si="394"/>
        <v>#VALUE!</v>
      </c>
      <c r="DF73" s="2" t="b">
        <v>1</v>
      </c>
      <c r="DG73" s="2" t="b">
        <v>1</v>
      </c>
      <c r="DH73" s="2" t="b">
        <v>1</v>
      </c>
      <c r="DI73" s="2" t="b">
        <v>1</v>
      </c>
      <c r="DJ73" s="2" t="b">
        <v>0</v>
      </c>
      <c r="DK73" s="2" t="b">
        <v>1</v>
      </c>
      <c r="DL73" s="2" t="b">
        <v>1</v>
      </c>
      <c r="DM73" s="2" t="b">
        <v>0</v>
      </c>
      <c r="DN73" s="2" t="s">
        <v>1978</v>
      </c>
      <c r="DO73" s="2" t="s">
        <v>1978</v>
      </c>
      <c r="DP73" s="2" t="s">
        <v>1978</v>
      </c>
      <c r="DQ73" s="2" t="s">
        <v>1978</v>
      </c>
      <c r="DR73" s="2" t="s">
        <v>1978</v>
      </c>
      <c r="DS73" s="2" t="s">
        <v>1978</v>
      </c>
      <c r="DT73" s="2" t="s">
        <v>1978</v>
      </c>
      <c r="DU73" s="2" t="s">
        <v>1978</v>
      </c>
      <c r="DV73" s="2" t="s">
        <v>1978</v>
      </c>
      <c r="DW73" s="2" t="s">
        <v>1978</v>
      </c>
      <c r="DX73" s="2" t="s">
        <v>1978</v>
      </c>
      <c r="DY73" s="2" t="s">
        <v>1978</v>
      </c>
      <c r="DZ73" s="2" t="s">
        <v>1978</v>
      </c>
      <c r="EA73" s="2" t="s">
        <v>1978</v>
      </c>
      <c r="EB73" s="2" t="s">
        <v>1978</v>
      </c>
      <c r="EC73" s="2" t="s">
        <v>1978</v>
      </c>
      <c r="ED73" s="2" t="s">
        <v>1978</v>
      </c>
      <c r="EE73" s="2" t="s">
        <v>1978</v>
      </c>
      <c r="EF73" s="2" t="s">
        <v>1978</v>
      </c>
      <c r="EG73" s="2" t="s">
        <v>1978</v>
      </c>
      <c r="EH73" s="2" t="s">
        <v>1978</v>
      </c>
      <c r="EI73" s="2" t="s">
        <v>1978</v>
      </c>
      <c r="EJ73" s="2" t="s">
        <v>1978</v>
      </c>
      <c r="EK73" s="2" t="s">
        <v>1978</v>
      </c>
      <c r="EL73" s="2" t="s">
        <v>1978</v>
      </c>
      <c r="EM73" s="2" t="s">
        <v>1978</v>
      </c>
      <c r="EN73" s="2" t="s">
        <v>1978</v>
      </c>
      <c r="EO73" s="2" t="s">
        <v>1978</v>
      </c>
      <c r="EP73" s="2" t="s">
        <v>1978</v>
      </c>
      <c r="EQ73" s="2" t="s">
        <v>1978</v>
      </c>
      <c r="ER73" s="2" t="s">
        <v>1978</v>
      </c>
      <c r="ES73" s="2" t="s">
        <v>1978</v>
      </c>
    </row>
    <row r="74" spans="1:150" x14ac:dyDescent="0.3">
      <c r="A74" s="2" t="s">
        <v>2920</v>
      </c>
      <c r="B74" s="2" t="s">
        <v>265</v>
      </c>
      <c r="C74" s="2" t="s">
        <v>2405</v>
      </c>
      <c r="D74" s="2" t="s">
        <v>329</v>
      </c>
      <c r="E74" s="59" t="s">
        <v>2916</v>
      </c>
      <c r="F74" s="2" t="s">
        <v>1970</v>
      </c>
      <c r="G74" s="2" t="s">
        <v>1978</v>
      </c>
      <c r="H74" s="2" t="s">
        <v>1978</v>
      </c>
      <c r="I74" s="2" t="s">
        <v>1970</v>
      </c>
      <c r="J74" s="2" t="s">
        <v>1970</v>
      </c>
      <c r="K74" s="2" t="s">
        <v>2736</v>
      </c>
      <c r="L74" s="2" t="s">
        <v>1970</v>
      </c>
      <c r="M74" s="2" t="s">
        <v>1978</v>
      </c>
      <c r="N74" s="344" t="s">
        <v>1978</v>
      </c>
      <c r="O74" s="344" t="s">
        <v>1978</v>
      </c>
      <c r="P74" s="344" t="s">
        <v>1978</v>
      </c>
      <c r="Q74" s="344" t="s">
        <v>1978</v>
      </c>
      <c r="R74" s="344" t="s">
        <v>1978</v>
      </c>
      <c r="S74" s="344" t="s">
        <v>1978</v>
      </c>
      <c r="T74" s="2" t="s">
        <v>327</v>
      </c>
      <c r="U74" s="2" t="s">
        <v>2150</v>
      </c>
      <c r="X74" s="344">
        <f>'A123'!J82</f>
        <v>77</v>
      </c>
      <c r="Y74" s="344">
        <f>'A123'!K82</f>
        <v>89</v>
      </c>
      <c r="Z74" s="344">
        <f>'A123'!L82</f>
        <v>6.666666666666667</v>
      </c>
      <c r="AA74" s="2" t="s">
        <v>2150</v>
      </c>
      <c r="AB74" s="2" t="str">
        <f>入學要求!X83</f>
        <v>/</v>
      </c>
      <c r="AC74" s="2" t="str">
        <f>入學要求!Y83</f>
        <v>/</v>
      </c>
      <c r="AD74" s="2" t="s">
        <v>2171</v>
      </c>
      <c r="AE74" s="2" t="s">
        <v>2911</v>
      </c>
      <c r="AF74" s="2" t="s">
        <v>1970</v>
      </c>
      <c r="AG74" s="2" t="s">
        <v>2736</v>
      </c>
      <c r="AH74" s="2" t="s">
        <v>1970</v>
      </c>
      <c r="AI74" s="2" t="s">
        <v>1970</v>
      </c>
      <c r="AJ74" s="2" t="s">
        <v>2928</v>
      </c>
      <c r="AK74" s="2" t="s">
        <v>2151</v>
      </c>
      <c r="AL74" s="2" t="s">
        <v>2934</v>
      </c>
      <c r="AM74" s="2" t="s">
        <v>1970</v>
      </c>
      <c r="AN74" s="2" t="s">
        <v>1970</v>
      </c>
      <c r="AO74" s="2" t="s">
        <v>1970</v>
      </c>
      <c r="AP74" s="251" t="s">
        <v>1978</v>
      </c>
      <c r="AQ74" s="344" t="s">
        <v>1970</v>
      </c>
      <c r="AR74" s="2" t="s">
        <v>2150</v>
      </c>
      <c r="AS74" s="2" t="s">
        <v>3608</v>
      </c>
      <c r="AT74" s="2" t="s">
        <v>1970</v>
      </c>
      <c r="AU74" s="2" t="s">
        <v>1970</v>
      </c>
      <c r="AV74" s="344" t="s">
        <v>3720</v>
      </c>
      <c r="AW74" s="344" t="s">
        <v>3727</v>
      </c>
      <c r="AX74" s="344" t="s">
        <v>3723</v>
      </c>
      <c r="AY74" s="344" t="s">
        <v>3722</v>
      </c>
      <c r="BB74" s="2">
        <v>1.25</v>
      </c>
      <c r="BC74" s="2">
        <v>1.25</v>
      </c>
      <c r="BD74" s="2">
        <v>1</v>
      </c>
      <c r="BE74" s="2">
        <v>1</v>
      </c>
      <c r="BF74" s="2">
        <v>1</v>
      </c>
      <c r="BG74" s="2">
        <v>1</v>
      </c>
      <c r="BH74" s="2">
        <v>1</v>
      </c>
      <c r="BI74" s="2">
        <v>1</v>
      </c>
      <c r="BJ74" s="2" t="s">
        <v>1970</v>
      </c>
      <c r="BK74" s="2" t="s">
        <v>1970</v>
      </c>
      <c r="BL74" s="2" t="s">
        <v>1970</v>
      </c>
      <c r="BM74" s="2" t="s">
        <v>1970</v>
      </c>
      <c r="BN74" s="2" t="s">
        <v>1970</v>
      </c>
      <c r="BO74" s="2" t="s">
        <v>1970</v>
      </c>
      <c r="BP74" s="2" t="s">
        <v>1970</v>
      </c>
      <c r="BQ74" s="2" t="s">
        <v>1970</v>
      </c>
      <c r="BR74" s="2" t="e">
        <f t="shared" si="395"/>
        <v>#VALUE!</v>
      </c>
      <c r="BS74" s="2" t="e">
        <f t="shared" si="396"/>
        <v>#VALUE!</v>
      </c>
      <c r="BT74" s="2" t="e">
        <f t="shared" si="397"/>
        <v>#VALUE!</v>
      </c>
      <c r="BU74" s="2" t="e">
        <f t="shared" si="398"/>
        <v>#VALUE!</v>
      </c>
      <c r="BV74" s="2" t="e">
        <f t="shared" si="399"/>
        <v>#VALUE!</v>
      </c>
      <c r="BW74" s="2" t="e">
        <f t="shared" si="400"/>
        <v>#VALUE!</v>
      </c>
      <c r="BX74" s="2" t="e">
        <f t="shared" si="401"/>
        <v>#VALUE!</v>
      </c>
      <c r="BY74" s="2" t="e">
        <f t="shared" si="402"/>
        <v>#VALUE!</v>
      </c>
      <c r="BZ74" s="2" t="s">
        <v>1970</v>
      </c>
      <c r="CA74" s="2" t="s">
        <v>1970</v>
      </c>
      <c r="CB74" s="2" t="s">
        <v>1970</v>
      </c>
      <c r="CC74" s="2" t="s">
        <v>1970</v>
      </c>
      <c r="CD74" s="2" t="s">
        <v>1970</v>
      </c>
      <c r="CE74" s="2" t="s">
        <v>1970</v>
      </c>
      <c r="CF74" s="2" t="s">
        <v>1970</v>
      </c>
      <c r="CG74" s="2" t="s">
        <v>1970</v>
      </c>
      <c r="CH74" s="2">
        <v>1.25</v>
      </c>
      <c r="CI74" s="2">
        <v>1.25</v>
      </c>
      <c r="CJ74" s="2">
        <v>1</v>
      </c>
      <c r="CK74" s="2">
        <v>1</v>
      </c>
      <c r="CL74" s="2">
        <v>1</v>
      </c>
      <c r="CM74" s="2">
        <v>1</v>
      </c>
      <c r="CN74" s="2">
        <v>1</v>
      </c>
      <c r="CO74" s="2">
        <v>1</v>
      </c>
      <c r="CP74" s="2" t="s">
        <v>1970</v>
      </c>
      <c r="CQ74" s="2" t="s">
        <v>1970</v>
      </c>
      <c r="CR74" s="2" t="s">
        <v>1970</v>
      </c>
      <c r="CS74" s="2" t="s">
        <v>1970</v>
      </c>
      <c r="CT74" s="2" t="s">
        <v>1970</v>
      </c>
      <c r="CU74" s="2" t="s">
        <v>1970</v>
      </c>
      <c r="CV74" s="2" t="s">
        <v>1970</v>
      </c>
      <c r="CW74" s="2" t="s">
        <v>1970</v>
      </c>
      <c r="CX74" s="2" t="e">
        <f t="shared" si="387"/>
        <v>#VALUE!</v>
      </c>
      <c r="CY74" s="2" t="e">
        <f t="shared" si="388"/>
        <v>#VALUE!</v>
      </c>
      <c r="CZ74" s="2" t="e">
        <f t="shared" si="389"/>
        <v>#VALUE!</v>
      </c>
      <c r="DA74" s="2" t="e">
        <f t="shared" si="390"/>
        <v>#VALUE!</v>
      </c>
      <c r="DB74" s="2" t="e">
        <f t="shared" si="391"/>
        <v>#VALUE!</v>
      </c>
      <c r="DC74" s="2" t="e">
        <f t="shared" si="392"/>
        <v>#VALUE!</v>
      </c>
      <c r="DD74" s="2" t="e">
        <f t="shared" si="393"/>
        <v>#VALUE!</v>
      </c>
      <c r="DE74" s="2" t="e">
        <f t="shared" si="394"/>
        <v>#VALUE!</v>
      </c>
      <c r="DF74" s="2" t="s">
        <v>1970</v>
      </c>
      <c r="DG74" s="2" t="s">
        <v>1970</v>
      </c>
      <c r="DH74" s="2" t="s">
        <v>1970</v>
      </c>
      <c r="DI74" s="2" t="s">
        <v>1970</v>
      </c>
      <c r="DJ74" s="2" t="s">
        <v>1970</v>
      </c>
      <c r="DK74" s="2" t="s">
        <v>1970</v>
      </c>
      <c r="DL74" s="2" t="s">
        <v>1970</v>
      </c>
      <c r="DM74" s="2" t="s">
        <v>1970</v>
      </c>
      <c r="DN74" s="2" t="s">
        <v>1978</v>
      </c>
      <c r="DO74" s="2" t="s">
        <v>1978</v>
      </c>
      <c r="DP74" s="2" t="s">
        <v>1978</v>
      </c>
      <c r="DQ74" s="2" t="s">
        <v>1978</v>
      </c>
      <c r="DR74" s="2" t="s">
        <v>1978</v>
      </c>
      <c r="DS74" s="2" t="s">
        <v>1978</v>
      </c>
      <c r="DT74" s="2" t="s">
        <v>1978</v>
      </c>
      <c r="DU74" s="2" t="s">
        <v>1978</v>
      </c>
      <c r="DV74" s="2" t="s">
        <v>1978</v>
      </c>
      <c r="DW74" s="2" t="s">
        <v>1978</v>
      </c>
      <c r="DX74" s="2" t="s">
        <v>1978</v>
      </c>
      <c r="DY74" s="2" t="s">
        <v>1978</v>
      </c>
      <c r="DZ74" s="2" t="s">
        <v>1978</v>
      </c>
      <c r="EA74" s="2" t="s">
        <v>1978</v>
      </c>
      <c r="EB74" s="2" t="s">
        <v>1978</v>
      </c>
      <c r="EC74" s="2" t="s">
        <v>1978</v>
      </c>
      <c r="ED74" s="2" t="s">
        <v>1978</v>
      </c>
      <c r="EE74" s="2" t="s">
        <v>1978</v>
      </c>
      <c r="EF74" s="2" t="s">
        <v>1978</v>
      </c>
      <c r="EG74" s="2" t="s">
        <v>1978</v>
      </c>
      <c r="EH74" s="2" t="s">
        <v>1978</v>
      </c>
      <c r="EI74" s="2" t="s">
        <v>1978</v>
      </c>
      <c r="EJ74" s="2" t="s">
        <v>1978</v>
      </c>
      <c r="EK74" s="2" t="s">
        <v>1978</v>
      </c>
      <c r="EL74" s="2" t="s">
        <v>1978</v>
      </c>
      <c r="EM74" s="2" t="s">
        <v>1978</v>
      </c>
      <c r="EN74" s="2" t="s">
        <v>1978</v>
      </c>
      <c r="EO74" s="2" t="s">
        <v>1978</v>
      </c>
      <c r="EP74" s="2" t="s">
        <v>1978</v>
      </c>
      <c r="EQ74" s="2" t="s">
        <v>1978</v>
      </c>
      <c r="ER74" s="2" t="s">
        <v>1978</v>
      </c>
      <c r="ES74" s="2" t="s">
        <v>1978</v>
      </c>
    </row>
    <row r="75" spans="1:150" x14ac:dyDescent="0.3">
      <c r="A75" s="2" t="s">
        <v>334</v>
      </c>
      <c r="B75" s="2" t="s">
        <v>265</v>
      </c>
      <c r="C75" s="2" t="s">
        <v>2405</v>
      </c>
      <c r="D75" s="2" t="s">
        <v>339</v>
      </c>
      <c r="E75" s="11" t="s">
        <v>2171</v>
      </c>
      <c r="F75" s="2" t="s">
        <v>1970</v>
      </c>
      <c r="G75" s="2">
        <f>SUMIF(DF75:DM75,TRUE,CX75:DE75)</f>
        <v>24</v>
      </c>
      <c r="H75" s="2">
        <f>SUMIF(BZ75:CG75,TRUE,BR75:BY75)</f>
        <v>23</v>
      </c>
      <c r="I75" s="2" t="s">
        <v>2911</v>
      </c>
      <c r="J75" s="2" t="s">
        <v>1970</v>
      </c>
      <c r="K75" s="2" t="s">
        <v>2736</v>
      </c>
      <c r="L75" s="2" t="s">
        <v>1970</v>
      </c>
      <c r="M75" s="2" t="s">
        <v>1978</v>
      </c>
      <c r="N75" s="344" t="s">
        <v>1978</v>
      </c>
      <c r="O75" s="344" t="s">
        <v>1978</v>
      </c>
      <c r="P75" s="344" t="s">
        <v>1978</v>
      </c>
      <c r="Q75" s="344" t="s">
        <v>1978</v>
      </c>
      <c r="R75" s="344" t="s">
        <v>1978</v>
      </c>
      <c r="S75" s="344" t="s">
        <v>1978</v>
      </c>
      <c r="T75" s="2" t="s">
        <v>335</v>
      </c>
      <c r="U75" s="2" t="s">
        <v>2150</v>
      </c>
      <c r="X75" s="344">
        <f>'A123'!J83</f>
        <v>18</v>
      </c>
      <c r="Y75" s="344">
        <f>'A123'!K83</f>
        <v>23</v>
      </c>
      <c r="Z75" s="344">
        <f>'A123'!L83</f>
        <v>21.695652173913043</v>
      </c>
      <c r="AA75" s="2" t="s">
        <v>2150</v>
      </c>
      <c r="AB75" s="2" t="str">
        <f>入學要求!X84</f>
        <v>/</v>
      </c>
      <c r="AC75" s="2" t="str">
        <f>入學要求!Y84</f>
        <v>/</v>
      </c>
      <c r="AD75" s="2" t="s">
        <v>2171</v>
      </c>
      <c r="AE75" s="2" t="s">
        <v>2911</v>
      </c>
      <c r="AF75" s="2" t="s">
        <v>1970</v>
      </c>
      <c r="AG75" s="2" t="s">
        <v>2736</v>
      </c>
      <c r="AH75" s="2" t="s">
        <v>1970</v>
      </c>
      <c r="AI75" s="2" t="s">
        <v>1970</v>
      </c>
      <c r="AJ75" s="2" t="s">
        <v>2928</v>
      </c>
      <c r="AK75" s="2" t="s">
        <v>2943</v>
      </c>
      <c r="AL75" s="2" t="s">
        <v>2939</v>
      </c>
      <c r="AM75" s="2" t="s">
        <v>2942</v>
      </c>
      <c r="AN75" s="2" t="s">
        <v>2940</v>
      </c>
      <c r="AO75" s="2" t="s">
        <v>1970</v>
      </c>
      <c r="AP75" s="251" t="s">
        <v>1978</v>
      </c>
      <c r="AQ75" s="344" t="s">
        <v>1970</v>
      </c>
      <c r="AR75" s="2" t="s">
        <v>2150</v>
      </c>
      <c r="AS75" s="2" t="s">
        <v>3610</v>
      </c>
      <c r="AT75" s="2" t="s">
        <v>1970</v>
      </c>
      <c r="AU75" s="2" t="s">
        <v>3624</v>
      </c>
      <c r="AV75" s="344" t="s">
        <v>3720</v>
      </c>
      <c r="AW75" s="344" t="s">
        <v>3727</v>
      </c>
      <c r="AX75" s="344" t="s">
        <v>3723</v>
      </c>
      <c r="AY75" s="344" t="s">
        <v>3722</v>
      </c>
      <c r="BB75" s="2">
        <v>1.25</v>
      </c>
      <c r="BC75" s="2">
        <v>1.25</v>
      </c>
      <c r="BD75" s="2">
        <v>1</v>
      </c>
      <c r="BE75" s="2">
        <v>1</v>
      </c>
      <c r="BF75" s="2">
        <v>1</v>
      </c>
      <c r="BG75" s="2">
        <v>1</v>
      </c>
      <c r="BH75" s="2">
        <v>1</v>
      </c>
      <c r="BI75" s="2">
        <v>1</v>
      </c>
      <c r="BJ75" s="2">
        <v>3</v>
      </c>
      <c r="BK75" s="2">
        <v>4</v>
      </c>
      <c r="BL75" s="2">
        <v>5</v>
      </c>
      <c r="BM75" s="2">
        <v>5</v>
      </c>
      <c r="BN75" s="2" t="s">
        <v>1970</v>
      </c>
      <c r="BO75" s="2">
        <v>4</v>
      </c>
      <c r="BP75" s="2">
        <v>4</v>
      </c>
      <c r="BQ75" s="2" t="s">
        <v>1970</v>
      </c>
      <c r="BR75" s="2">
        <f t="shared" si="395"/>
        <v>3.75</v>
      </c>
      <c r="BS75" s="2">
        <f t="shared" si="396"/>
        <v>5</v>
      </c>
      <c r="BT75" s="2">
        <f t="shared" si="397"/>
        <v>5</v>
      </c>
      <c r="BU75" s="2">
        <f t="shared" si="398"/>
        <v>5</v>
      </c>
      <c r="BV75" s="2" t="e">
        <f t="shared" si="399"/>
        <v>#VALUE!</v>
      </c>
      <c r="BW75" s="2">
        <f t="shared" si="400"/>
        <v>4</v>
      </c>
      <c r="BX75" s="2">
        <f t="shared" si="401"/>
        <v>4</v>
      </c>
      <c r="BY75" s="2" t="e">
        <f t="shared" si="402"/>
        <v>#VALUE!</v>
      </c>
      <c r="BZ75" s="2" t="b">
        <v>0</v>
      </c>
      <c r="CA75" s="2" t="b">
        <v>1</v>
      </c>
      <c r="CB75" s="2" t="b">
        <v>1</v>
      </c>
      <c r="CC75" s="2" t="b">
        <v>1</v>
      </c>
      <c r="CD75" s="2" t="b">
        <v>0</v>
      </c>
      <c r="CE75" s="2" t="b">
        <v>1</v>
      </c>
      <c r="CF75" s="2" t="b">
        <v>1</v>
      </c>
      <c r="CG75" s="2" t="b">
        <v>0</v>
      </c>
      <c r="CH75" s="2">
        <v>1.25</v>
      </c>
      <c r="CI75" s="2">
        <v>1.25</v>
      </c>
      <c r="CJ75" s="2">
        <v>1</v>
      </c>
      <c r="CK75" s="2">
        <v>1</v>
      </c>
      <c r="CL75" s="2">
        <v>1</v>
      </c>
      <c r="CM75" s="2">
        <v>1</v>
      </c>
      <c r="CN75" s="2">
        <v>1</v>
      </c>
      <c r="CO75" s="2">
        <v>1</v>
      </c>
      <c r="CP75" s="2">
        <v>4</v>
      </c>
      <c r="CQ75" s="2">
        <v>4</v>
      </c>
      <c r="CR75" s="2">
        <v>6</v>
      </c>
      <c r="CS75" s="2">
        <v>3</v>
      </c>
      <c r="CT75" s="2" t="s">
        <v>1970</v>
      </c>
      <c r="CU75" s="2">
        <v>4</v>
      </c>
      <c r="CV75" s="2">
        <v>4</v>
      </c>
      <c r="CW75" s="2" t="s">
        <v>1970</v>
      </c>
      <c r="CX75" s="2">
        <f t="shared" si="387"/>
        <v>5</v>
      </c>
      <c r="CY75" s="2">
        <f t="shared" si="388"/>
        <v>5</v>
      </c>
      <c r="CZ75" s="2">
        <f t="shared" si="389"/>
        <v>6</v>
      </c>
      <c r="DA75" s="2">
        <f t="shared" si="390"/>
        <v>3</v>
      </c>
      <c r="DB75" s="2" t="e">
        <f t="shared" si="391"/>
        <v>#VALUE!</v>
      </c>
      <c r="DC75" s="2">
        <f t="shared" si="392"/>
        <v>4</v>
      </c>
      <c r="DD75" s="2">
        <f t="shared" si="393"/>
        <v>4</v>
      </c>
      <c r="DE75" s="2" t="e">
        <f t="shared" si="394"/>
        <v>#VALUE!</v>
      </c>
      <c r="DF75" s="2" t="b">
        <v>1</v>
      </c>
      <c r="DG75" s="2" t="b">
        <v>1</v>
      </c>
      <c r="DH75" s="2" t="b">
        <v>1</v>
      </c>
      <c r="DI75" s="2" t="b">
        <v>0</v>
      </c>
      <c r="DJ75" s="2" t="b">
        <v>0</v>
      </c>
      <c r="DK75" s="2" t="b">
        <v>1</v>
      </c>
      <c r="DL75" s="2" t="b">
        <v>1</v>
      </c>
      <c r="DM75" s="2" t="b">
        <v>0</v>
      </c>
      <c r="DN75" s="2" t="s">
        <v>1978</v>
      </c>
      <c r="DO75" s="2" t="s">
        <v>1978</v>
      </c>
      <c r="DP75" s="2" t="s">
        <v>1978</v>
      </c>
      <c r="DQ75" s="2" t="s">
        <v>1978</v>
      </c>
      <c r="DR75" s="2" t="s">
        <v>1978</v>
      </c>
      <c r="DS75" s="2" t="s">
        <v>1978</v>
      </c>
      <c r="DT75" s="2" t="s">
        <v>1978</v>
      </c>
      <c r="DU75" s="2" t="s">
        <v>1978</v>
      </c>
      <c r="DV75" s="2" t="s">
        <v>1978</v>
      </c>
      <c r="DW75" s="2" t="s">
        <v>1978</v>
      </c>
      <c r="DX75" s="2" t="s">
        <v>1978</v>
      </c>
      <c r="DY75" s="2" t="s">
        <v>1978</v>
      </c>
      <c r="DZ75" s="2" t="s">
        <v>1978</v>
      </c>
      <c r="EA75" s="2" t="s">
        <v>1978</v>
      </c>
      <c r="EB75" s="2" t="s">
        <v>1978</v>
      </c>
      <c r="EC75" s="2" t="s">
        <v>1978</v>
      </c>
      <c r="ED75" s="2" t="s">
        <v>1978</v>
      </c>
      <c r="EE75" s="2" t="s">
        <v>1978</v>
      </c>
      <c r="EF75" s="2" t="s">
        <v>1978</v>
      </c>
      <c r="EG75" s="2" t="s">
        <v>1978</v>
      </c>
      <c r="EH75" s="2" t="s">
        <v>1978</v>
      </c>
      <c r="EI75" s="2" t="s">
        <v>1978</v>
      </c>
      <c r="EJ75" s="2" t="s">
        <v>1978</v>
      </c>
      <c r="EK75" s="2" t="s">
        <v>1978</v>
      </c>
      <c r="EL75" s="2" t="s">
        <v>1978</v>
      </c>
      <c r="EM75" s="2" t="s">
        <v>1978</v>
      </c>
      <c r="EN75" s="2" t="s">
        <v>1978</v>
      </c>
      <c r="EO75" s="2" t="s">
        <v>1978</v>
      </c>
      <c r="EP75" s="2" t="s">
        <v>1978</v>
      </c>
      <c r="EQ75" s="2" t="s">
        <v>1978</v>
      </c>
      <c r="ER75" s="2" t="s">
        <v>1978</v>
      </c>
      <c r="ES75" s="2" t="s">
        <v>1978</v>
      </c>
    </row>
    <row r="76" spans="1:150" x14ac:dyDescent="0.3">
      <c r="A76" s="2" t="s">
        <v>340</v>
      </c>
      <c r="B76" s="2" t="s">
        <v>265</v>
      </c>
      <c r="C76" s="2" t="s">
        <v>2405</v>
      </c>
      <c r="D76" s="2" t="s">
        <v>345</v>
      </c>
      <c r="E76" s="2" t="s">
        <v>2171</v>
      </c>
      <c r="F76" s="2" t="s">
        <v>1970</v>
      </c>
      <c r="G76" s="2">
        <f>SUMIF(DF76:DM76,TRUE,CX76:DE76)</f>
        <v>19</v>
      </c>
      <c r="H76" s="2">
        <f>SUMIF(BZ76:CG76,TRUE,BR76:BY76)</f>
        <v>19</v>
      </c>
      <c r="I76" s="2" t="s">
        <v>2182</v>
      </c>
      <c r="J76" s="2" t="s">
        <v>1970</v>
      </c>
      <c r="K76" s="2" t="s">
        <v>1970</v>
      </c>
      <c r="L76" s="2" t="s">
        <v>1970</v>
      </c>
      <c r="M76" s="2" t="s">
        <v>1978</v>
      </c>
      <c r="N76" s="344" t="s">
        <v>1978</v>
      </c>
      <c r="O76" s="344" t="s">
        <v>1978</v>
      </c>
      <c r="P76" s="344" t="s">
        <v>1978</v>
      </c>
      <c r="Q76" s="344" t="s">
        <v>1978</v>
      </c>
      <c r="R76" s="344" t="s">
        <v>1978</v>
      </c>
      <c r="S76" s="344" t="s">
        <v>1978</v>
      </c>
      <c r="T76" s="2" t="s">
        <v>341</v>
      </c>
      <c r="U76" s="2" t="s">
        <v>2150</v>
      </c>
      <c r="X76" s="344">
        <f>'A123'!J84</f>
        <v>8</v>
      </c>
      <c r="Y76" s="344">
        <f>'A123'!K84</f>
        <v>10</v>
      </c>
      <c r="Z76" s="344">
        <f>'A123'!L84</f>
        <v>10.199999999999999</v>
      </c>
      <c r="AA76" s="2" t="s">
        <v>2150</v>
      </c>
      <c r="AB76" s="2" t="str">
        <f>入學要求!X85</f>
        <v>/</v>
      </c>
      <c r="AC76" s="2" t="str">
        <f>入學要求!Y85</f>
        <v>/</v>
      </c>
      <c r="AD76" s="2" t="s">
        <v>1977</v>
      </c>
      <c r="AE76" s="2" t="s">
        <v>2182</v>
      </c>
      <c r="AF76" s="2" t="s">
        <v>1970</v>
      </c>
      <c r="AG76" s="2" t="s">
        <v>1970</v>
      </c>
      <c r="AH76" s="2" t="s">
        <v>1970</v>
      </c>
      <c r="AI76" s="2" t="s">
        <v>1970</v>
      </c>
      <c r="AJ76" s="2" t="s">
        <v>2928</v>
      </c>
      <c r="AK76" s="2" t="s">
        <v>2943</v>
      </c>
      <c r="AL76" s="2" t="s">
        <v>2930</v>
      </c>
      <c r="AM76" s="2" t="s">
        <v>2948</v>
      </c>
      <c r="AN76" s="2" t="s">
        <v>2949</v>
      </c>
      <c r="AO76" s="2" t="s">
        <v>2947</v>
      </c>
      <c r="AP76" s="251" t="s">
        <v>1978</v>
      </c>
      <c r="AQ76" s="344" t="s">
        <v>1970</v>
      </c>
      <c r="AR76" s="2" t="s">
        <v>2150</v>
      </c>
      <c r="AS76" s="2" t="s">
        <v>3620</v>
      </c>
      <c r="AT76" s="2" t="s">
        <v>3625</v>
      </c>
      <c r="AU76" s="565">
        <v>44775</v>
      </c>
      <c r="AV76" s="344" t="s">
        <v>3720</v>
      </c>
      <c r="AW76" s="344" t="s">
        <v>3727</v>
      </c>
      <c r="AX76" s="344" t="s">
        <v>3723</v>
      </c>
      <c r="AY76" s="344" t="s">
        <v>3722</v>
      </c>
      <c r="AZ76" s="565"/>
      <c r="BA76" s="565"/>
      <c r="BB76" s="2">
        <v>1</v>
      </c>
      <c r="BC76" s="2">
        <v>1</v>
      </c>
      <c r="BD76" s="2">
        <v>1</v>
      </c>
      <c r="BE76" s="2">
        <v>1</v>
      </c>
      <c r="BF76" s="2">
        <v>1</v>
      </c>
      <c r="BG76" s="2">
        <v>1</v>
      </c>
      <c r="BH76" s="2">
        <v>1</v>
      </c>
      <c r="BI76" s="2">
        <v>1</v>
      </c>
      <c r="BJ76" s="2">
        <v>4</v>
      </c>
      <c r="BK76" s="2">
        <v>4</v>
      </c>
      <c r="BL76" s="2">
        <v>4</v>
      </c>
      <c r="BM76" s="2">
        <v>4</v>
      </c>
      <c r="BN76" s="2" t="s">
        <v>1970</v>
      </c>
      <c r="BO76" s="2">
        <v>3</v>
      </c>
      <c r="BP76" s="2">
        <v>2</v>
      </c>
      <c r="BQ76" s="2" t="s">
        <v>1970</v>
      </c>
      <c r="BR76" s="2">
        <f t="shared" si="395"/>
        <v>4</v>
      </c>
      <c r="BS76" s="2">
        <f t="shared" si="396"/>
        <v>4</v>
      </c>
      <c r="BT76" s="2">
        <f t="shared" si="397"/>
        <v>4</v>
      </c>
      <c r="BU76" s="2">
        <f t="shared" si="398"/>
        <v>4</v>
      </c>
      <c r="BV76" s="2" t="e">
        <f t="shared" si="399"/>
        <v>#VALUE!</v>
      </c>
      <c r="BW76" s="2">
        <f t="shared" si="400"/>
        <v>3</v>
      </c>
      <c r="BX76" s="2">
        <f t="shared" si="401"/>
        <v>2</v>
      </c>
      <c r="BY76" s="2" t="e">
        <f t="shared" si="402"/>
        <v>#VALUE!</v>
      </c>
      <c r="BZ76" s="2" t="b">
        <v>1</v>
      </c>
      <c r="CA76" s="2" t="b">
        <v>1</v>
      </c>
      <c r="CB76" s="2" t="b">
        <v>1</v>
      </c>
      <c r="CC76" s="2" t="b">
        <v>1</v>
      </c>
      <c r="CD76" s="2" t="b">
        <v>0</v>
      </c>
      <c r="CE76" s="2" t="b">
        <v>1</v>
      </c>
      <c r="CF76" s="2" t="b">
        <v>0</v>
      </c>
      <c r="CG76" s="2" t="b">
        <v>0</v>
      </c>
      <c r="CH76" s="2">
        <v>1</v>
      </c>
      <c r="CI76" s="2">
        <v>1</v>
      </c>
      <c r="CJ76" s="2">
        <v>1</v>
      </c>
      <c r="CK76" s="2">
        <v>1</v>
      </c>
      <c r="CL76" s="2">
        <v>1</v>
      </c>
      <c r="CM76" s="2">
        <v>1</v>
      </c>
      <c r="CN76" s="2">
        <v>1</v>
      </c>
      <c r="CO76" s="2">
        <v>1</v>
      </c>
      <c r="CP76" s="2">
        <v>4</v>
      </c>
      <c r="CQ76" s="2">
        <v>3</v>
      </c>
      <c r="CR76" s="2">
        <v>3</v>
      </c>
      <c r="CS76" s="2">
        <v>4</v>
      </c>
      <c r="CT76" s="2" t="s">
        <v>1970</v>
      </c>
      <c r="CU76" s="2">
        <v>4</v>
      </c>
      <c r="CV76" s="2">
        <v>4</v>
      </c>
      <c r="CW76" s="2" t="s">
        <v>1970</v>
      </c>
      <c r="CX76" s="2">
        <f t="shared" si="387"/>
        <v>4</v>
      </c>
      <c r="CY76" s="2">
        <f t="shared" si="388"/>
        <v>3</v>
      </c>
      <c r="CZ76" s="2">
        <f t="shared" si="389"/>
        <v>3</v>
      </c>
      <c r="DA76" s="2">
        <f t="shared" si="390"/>
        <v>4</v>
      </c>
      <c r="DB76" s="2" t="e">
        <f t="shared" si="391"/>
        <v>#VALUE!</v>
      </c>
      <c r="DC76" s="2">
        <f t="shared" si="392"/>
        <v>4</v>
      </c>
      <c r="DD76" s="2">
        <f t="shared" si="393"/>
        <v>4</v>
      </c>
      <c r="DE76" s="2" t="e">
        <f t="shared" si="394"/>
        <v>#VALUE!</v>
      </c>
      <c r="DF76" s="2" t="b">
        <v>1</v>
      </c>
      <c r="DG76" s="2" t="b">
        <v>1</v>
      </c>
      <c r="DH76" s="2" t="b">
        <v>0</v>
      </c>
      <c r="DI76" s="2" t="b">
        <v>1</v>
      </c>
      <c r="DJ76" s="2" t="b">
        <v>0</v>
      </c>
      <c r="DK76" s="2" t="b">
        <v>1</v>
      </c>
      <c r="DL76" s="2" t="b">
        <v>1</v>
      </c>
      <c r="DM76" s="2" t="b">
        <v>0</v>
      </c>
      <c r="DN76" s="2" t="s">
        <v>1978</v>
      </c>
      <c r="DO76" s="2" t="s">
        <v>1978</v>
      </c>
      <c r="DP76" s="2" t="s">
        <v>1978</v>
      </c>
      <c r="DQ76" s="2" t="s">
        <v>1978</v>
      </c>
      <c r="DR76" s="2" t="s">
        <v>1978</v>
      </c>
      <c r="DS76" s="2" t="s">
        <v>1978</v>
      </c>
      <c r="DT76" s="2" t="s">
        <v>1978</v>
      </c>
      <c r="DU76" s="2" t="s">
        <v>1978</v>
      </c>
      <c r="DV76" s="2" t="s">
        <v>1978</v>
      </c>
      <c r="DW76" s="2" t="s">
        <v>1978</v>
      </c>
      <c r="DX76" s="2" t="s">
        <v>1978</v>
      </c>
      <c r="DY76" s="2" t="s">
        <v>1978</v>
      </c>
      <c r="DZ76" s="2" t="s">
        <v>1978</v>
      </c>
      <c r="EA76" s="2" t="s">
        <v>1978</v>
      </c>
      <c r="EB76" s="2" t="s">
        <v>1978</v>
      </c>
      <c r="EC76" s="2" t="s">
        <v>1978</v>
      </c>
      <c r="ED76" s="2" t="s">
        <v>1978</v>
      </c>
      <c r="EE76" s="2" t="s">
        <v>1978</v>
      </c>
      <c r="EF76" s="2" t="s">
        <v>1978</v>
      </c>
      <c r="EG76" s="2" t="s">
        <v>1978</v>
      </c>
      <c r="EH76" s="2" t="s">
        <v>1978</v>
      </c>
      <c r="EI76" s="2" t="s">
        <v>1978</v>
      </c>
      <c r="EJ76" s="2" t="s">
        <v>1978</v>
      </c>
      <c r="EK76" s="2" t="s">
        <v>1978</v>
      </c>
      <c r="EL76" s="2" t="s">
        <v>1978</v>
      </c>
      <c r="EM76" s="2" t="s">
        <v>1978</v>
      </c>
      <c r="EN76" s="2" t="s">
        <v>1978</v>
      </c>
      <c r="EO76" s="2" t="s">
        <v>1978</v>
      </c>
      <c r="EP76" s="2" t="s">
        <v>1978</v>
      </c>
      <c r="EQ76" s="2" t="s">
        <v>1978</v>
      </c>
      <c r="ER76" s="2" t="s">
        <v>1978</v>
      </c>
      <c r="ES76" s="2" t="s">
        <v>1978</v>
      </c>
    </row>
    <row r="77" spans="1:150" x14ac:dyDescent="0.3">
      <c r="A77" s="2" t="s">
        <v>354</v>
      </c>
      <c r="B77" s="2" t="s">
        <v>265</v>
      </c>
      <c r="C77" s="2" t="s">
        <v>2405</v>
      </c>
      <c r="D77" s="2" t="s">
        <v>357</v>
      </c>
      <c r="E77" s="59" t="s">
        <v>2916</v>
      </c>
      <c r="F77" s="2" t="s">
        <v>1970</v>
      </c>
      <c r="G77" s="2" t="s">
        <v>1978</v>
      </c>
      <c r="H77" s="2" t="s">
        <v>1978</v>
      </c>
      <c r="I77" s="2" t="s">
        <v>1970</v>
      </c>
      <c r="J77" s="2" t="s">
        <v>1970</v>
      </c>
      <c r="K77" s="2" t="s">
        <v>2736</v>
      </c>
      <c r="L77" s="2" t="s">
        <v>1970</v>
      </c>
      <c r="M77" s="2" t="s">
        <v>1978</v>
      </c>
      <c r="N77" s="344" t="s">
        <v>1978</v>
      </c>
      <c r="O77" s="344" t="s">
        <v>1978</v>
      </c>
      <c r="P77" s="344" t="s">
        <v>1978</v>
      </c>
      <c r="Q77" s="344" t="s">
        <v>1978</v>
      </c>
      <c r="R77" s="344" t="s">
        <v>1978</v>
      </c>
      <c r="S77" s="344" t="s">
        <v>1978</v>
      </c>
      <c r="T77" s="2" t="s">
        <v>355</v>
      </c>
      <c r="U77" s="2" t="s">
        <v>2150</v>
      </c>
      <c r="X77" s="344">
        <f>'A123'!J85</f>
        <v>20</v>
      </c>
      <c r="Y77" s="344">
        <f>'A123'!K85</f>
        <v>11</v>
      </c>
      <c r="Z77" s="344">
        <f>'A123'!L85</f>
        <v>43.636363636363633</v>
      </c>
      <c r="AA77" s="2" t="s">
        <v>2150</v>
      </c>
      <c r="AB77" s="2" t="str">
        <f>入學要求!X86</f>
        <v>/</v>
      </c>
      <c r="AC77" s="2" t="str">
        <f>入學要求!Y86</f>
        <v>/</v>
      </c>
      <c r="AD77" s="2" t="s">
        <v>1977</v>
      </c>
      <c r="AE77" s="2" t="s">
        <v>2911</v>
      </c>
      <c r="AF77" s="2" t="s">
        <v>1970</v>
      </c>
      <c r="AG77" s="2" t="s">
        <v>2736</v>
      </c>
      <c r="AH77" s="2" t="s">
        <v>1970</v>
      </c>
      <c r="AI77" s="2" t="s">
        <v>1970</v>
      </c>
      <c r="AJ77" s="2" t="s">
        <v>2928</v>
      </c>
      <c r="AK77" s="2" t="s">
        <v>2943</v>
      </c>
      <c r="AL77" s="2" t="s">
        <v>2939</v>
      </c>
      <c r="AM77" s="2" t="s">
        <v>2941</v>
      </c>
      <c r="AN77" s="2" t="s">
        <v>2951</v>
      </c>
      <c r="AO77" s="2" t="s">
        <v>1970</v>
      </c>
      <c r="AP77" s="251" t="s">
        <v>1978</v>
      </c>
      <c r="AQ77" s="344" t="s">
        <v>1970</v>
      </c>
      <c r="AR77" s="2" t="s">
        <v>2150</v>
      </c>
      <c r="AS77" s="112" t="s">
        <v>3610</v>
      </c>
      <c r="AT77" s="112" t="s">
        <v>1970</v>
      </c>
      <c r="AU77" s="112" t="s">
        <v>3622</v>
      </c>
      <c r="AV77" s="344" t="s">
        <v>3720</v>
      </c>
      <c r="AW77" s="344" t="s">
        <v>3727</v>
      </c>
      <c r="AX77" s="344" t="s">
        <v>3723</v>
      </c>
      <c r="AY77" s="344" t="s">
        <v>3722</v>
      </c>
      <c r="AZ77" s="381"/>
      <c r="BA77" s="381"/>
      <c r="BB77" s="2">
        <v>1.25</v>
      </c>
      <c r="BC77" s="2">
        <v>1.25</v>
      </c>
      <c r="BD77" s="2">
        <v>1</v>
      </c>
      <c r="BE77" s="2">
        <v>1</v>
      </c>
      <c r="BF77" s="2">
        <v>1</v>
      </c>
      <c r="BG77" s="2">
        <v>1</v>
      </c>
      <c r="BH77" s="2">
        <v>1</v>
      </c>
      <c r="BI77" s="2">
        <v>1</v>
      </c>
      <c r="BJ77" s="2" t="s">
        <v>1970</v>
      </c>
      <c r="BK77" s="2" t="s">
        <v>1970</v>
      </c>
      <c r="BL77" s="2" t="s">
        <v>1970</v>
      </c>
      <c r="BM77" s="2" t="s">
        <v>1970</v>
      </c>
      <c r="BN77" s="2" t="s">
        <v>1970</v>
      </c>
      <c r="BO77" s="2" t="s">
        <v>1970</v>
      </c>
      <c r="BP77" s="2" t="s">
        <v>1970</v>
      </c>
      <c r="BQ77" s="2" t="s">
        <v>1970</v>
      </c>
      <c r="BR77" s="2" t="e">
        <f t="shared" si="395"/>
        <v>#VALUE!</v>
      </c>
      <c r="BS77" s="2" t="e">
        <f t="shared" si="396"/>
        <v>#VALUE!</v>
      </c>
      <c r="BT77" s="2" t="e">
        <f t="shared" si="397"/>
        <v>#VALUE!</v>
      </c>
      <c r="BU77" s="2" t="e">
        <f t="shared" si="398"/>
        <v>#VALUE!</v>
      </c>
      <c r="BV77" s="2" t="e">
        <f t="shared" si="399"/>
        <v>#VALUE!</v>
      </c>
      <c r="BW77" s="2" t="e">
        <f t="shared" si="400"/>
        <v>#VALUE!</v>
      </c>
      <c r="BX77" s="2" t="e">
        <f t="shared" si="401"/>
        <v>#VALUE!</v>
      </c>
      <c r="BY77" s="2" t="e">
        <f t="shared" si="402"/>
        <v>#VALUE!</v>
      </c>
      <c r="BZ77" s="2" t="s">
        <v>1970</v>
      </c>
      <c r="CA77" s="2" t="s">
        <v>1970</v>
      </c>
      <c r="CB77" s="2" t="s">
        <v>1970</v>
      </c>
      <c r="CC77" s="2" t="s">
        <v>1970</v>
      </c>
      <c r="CD77" s="2" t="s">
        <v>1970</v>
      </c>
      <c r="CE77" s="2" t="s">
        <v>1970</v>
      </c>
      <c r="CF77" s="2" t="s">
        <v>1970</v>
      </c>
      <c r="CG77" s="2" t="s">
        <v>1970</v>
      </c>
      <c r="CH77" s="2">
        <v>1.25</v>
      </c>
      <c r="CI77" s="2">
        <v>1.25</v>
      </c>
      <c r="CJ77" s="2">
        <v>1</v>
      </c>
      <c r="CK77" s="2">
        <v>1</v>
      </c>
      <c r="CL77" s="2">
        <v>1</v>
      </c>
      <c r="CM77" s="2">
        <v>1</v>
      </c>
      <c r="CN77" s="2">
        <v>1</v>
      </c>
      <c r="CO77" s="2">
        <v>1</v>
      </c>
      <c r="CP77" s="2" t="s">
        <v>1970</v>
      </c>
      <c r="CQ77" s="2" t="s">
        <v>1970</v>
      </c>
      <c r="CR77" s="2" t="s">
        <v>1970</v>
      </c>
      <c r="CS77" s="2" t="s">
        <v>1970</v>
      </c>
      <c r="CT77" s="2" t="s">
        <v>1970</v>
      </c>
      <c r="CU77" s="2" t="s">
        <v>1970</v>
      </c>
      <c r="CV77" s="2" t="s">
        <v>1970</v>
      </c>
      <c r="CW77" s="2" t="s">
        <v>1970</v>
      </c>
      <c r="CX77" s="2" t="e">
        <f t="shared" si="387"/>
        <v>#VALUE!</v>
      </c>
      <c r="CY77" s="2" t="e">
        <f t="shared" si="388"/>
        <v>#VALUE!</v>
      </c>
      <c r="CZ77" s="2" t="e">
        <f t="shared" si="389"/>
        <v>#VALUE!</v>
      </c>
      <c r="DA77" s="2" t="e">
        <f t="shared" si="390"/>
        <v>#VALUE!</v>
      </c>
      <c r="DB77" s="2" t="e">
        <f t="shared" si="391"/>
        <v>#VALUE!</v>
      </c>
      <c r="DC77" s="2" t="e">
        <f t="shared" si="392"/>
        <v>#VALUE!</v>
      </c>
      <c r="DD77" s="2" t="e">
        <f t="shared" si="393"/>
        <v>#VALUE!</v>
      </c>
      <c r="DE77" s="2" t="e">
        <f t="shared" si="394"/>
        <v>#VALUE!</v>
      </c>
      <c r="DF77" s="2" t="s">
        <v>1970</v>
      </c>
      <c r="DG77" s="2" t="s">
        <v>1970</v>
      </c>
      <c r="DH77" s="2" t="s">
        <v>1970</v>
      </c>
      <c r="DI77" s="2" t="s">
        <v>1970</v>
      </c>
      <c r="DJ77" s="2" t="s">
        <v>1970</v>
      </c>
      <c r="DK77" s="2" t="s">
        <v>1970</v>
      </c>
      <c r="DL77" s="2" t="s">
        <v>1970</v>
      </c>
      <c r="DM77" s="2" t="s">
        <v>1970</v>
      </c>
      <c r="DN77" s="2" t="s">
        <v>1978</v>
      </c>
      <c r="DO77" s="2" t="s">
        <v>1978</v>
      </c>
      <c r="DP77" s="2" t="s">
        <v>1978</v>
      </c>
      <c r="DQ77" s="2" t="s">
        <v>1978</v>
      </c>
      <c r="DR77" s="2" t="s">
        <v>1978</v>
      </c>
      <c r="DS77" s="2" t="s">
        <v>1978</v>
      </c>
      <c r="DT77" s="2" t="s">
        <v>1978</v>
      </c>
      <c r="DU77" s="2" t="s">
        <v>1978</v>
      </c>
      <c r="DV77" s="2" t="s">
        <v>1978</v>
      </c>
      <c r="DW77" s="2" t="s">
        <v>1978</v>
      </c>
      <c r="DX77" s="2" t="s">
        <v>1978</v>
      </c>
      <c r="DY77" s="2" t="s">
        <v>1978</v>
      </c>
      <c r="DZ77" s="2" t="s">
        <v>1978</v>
      </c>
      <c r="EA77" s="2" t="s">
        <v>1978</v>
      </c>
      <c r="EB77" s="2" t="s">
        <v>1978</v>
      </c>
      <c r="EC77" s="2" t="s">
        <v>1978</v>
      </c>
      <c r="ED77" s="2" t="s">
        <v>1978</v>
      </c>
      <c r="EE77" s="2" t="s">
        <v>1978</v>
      </c>
      <c r="EF77" s="2" t="s">
        <v>1978</v>
      </c>
      <c r="EG77" s="2" t="s">
        <v>1978</v>
      </c>
      <c r="EH77" s="2" t="s">
        <v>1978</v>
      </c>
      <c r="EI77" s="2" t="s">
        <v>1978</v>
      </c>
      <c r="EJ77" s="2" t="s">
        <v>1978</v>
      </c>
      <c r="EK77" s="2" t="s">
        <v>1978</v>
      </c>
      <c r="EL77" s="2" t="s">
        <v>1978</v>
      </c>
      <c r="EM77" s="2" t="s">
        <v>1978</v>
      </c>
      <c r="EN77" s="2" t="s">
        <v>1978</v>
      </c>
      <c r="EO77" s="2" t="s">
        <v>1978</v>
      </c>
      <c r="EP77" s="2" t="s">
        <v>1978</v>
      </c>
      <c r="EQ77" s="2" t="s">
        <v>1978</v>
      </c>
      <c r="ER77" s="2" t="s">
        <v>1978</v>
      </c>
      <c r="ES77" s="2" t="s">
        <v>1978</v>
      </c>
    </row>
    <row r="78" spans="1:150" s="53" customFormat="1" x14ac:dyDescent="0.3">
      <c r="A78" s="112" t="s">
        <v>358</v>
      </c>
      <c r="B78" s="112" t="s">
        <v>265</v>
      </c>
      <c r="C78" s="112" t="s">
        <v>2905</v>
      </c>
      <c r="D78" s="112" t="s">
        <v>363</v>
      </c>
      <c r="E78" s="245" t="s">
        <v>2171</v>
      </c>
      <c r="F78" s="112" t="s">
        <v>1970</v>
      </c>
      <c r="G78" s="2">
        <f t="shared" ref="G78:G85" si="403">SUMIF(DF78:DM78,TRUE,CX78:DE78)</f>
        <v>33.75</v>
      </c>
      <c r="H78" s="2">
        <f t="shared" ref="H78:H85" si="404">SUMIF(BZ78:CG78,TRUE,BR78:BY78)</f>
        <v>30.75</v>
      </c>
      <c r="I78" s="112" t="s">
        <v>1970</v>
      </c>
      <c r="J78" s="112" t="s">
        <v>1970</v>
      </c>
      <c r="K78" s="112" t="s">
        <v>2914</v>
      </c>
      <c r="L78" s="112" t="s">
        <v>2917</v>
      </c>
      <c r="M78" s="2" t="s">
        <v>1978</v>
      </c>
      <c r="N78" s="344" t="s">
        <v>1978</v>
      </c>
      <c r="O78" s="344" t="s">
        <v>1978</v>
      </c>
      <c r="P78" s="344" t="s">
        <v>1978</v>
      </c>
      <c r="Q78" s="344" t="s">
        <v>1978</v>
      </c>
      <c r="R78" s="344" t="s">
        <v>1978</v>
      </c>
      <c r="S78" s="344" t="s">
        <v>1978</v>
      </c>
      <c r="T78" s="112" t="s">
        <v>359</v>
      </c>
      <c r="U78" s="112" t="s">
        <v>2150</v>
      </c>
      <c r="V78" s="279"/>
      <c r="W78" s="279"/>
      <c r="X78" s="344">
        <f>'A123'!J86</f>
        <v>40</v>
      </c>
      <c r="Y78" s="344">
        <f>'A123'!K86</f>
        <v>30</v>
      </c>
      <c r="Z78" s="344">
        <f>'A123'!L86</f>
        <v>6.7586206896551726</v>
      </c>
      <c r="AA78" s="112" t="s">
        <v>2150</v>
      </c>
      <c r="AB78" s="2" t="str">
        <f>入學要求!X87</f>
        <v>以下一科選修取得Lv.3︰生物、化學</v>
      </c>
      <c r="AC78" s="2" t="str">
        <f>入學要求!Y87</f>
        <v>/</v>
      </c>
      <c r="AD78" s="112" t="s">
        <v>1977</v>
      </c>
      <c r="AE78" s="112" t="s">
        <v>1970</v>
      </c>
      <c r="AF78" s="112" t="s">
        <v>1970</v>
      </c>
      <c r="AG78" s="112" t="s">
        <v>2921</v>
      </c>
      <c r="AH78" s="112" t="s">
        <v>2927</v>
      </c>
      <c r="AI78" s="112" t="s">
        <v>2923</v>
      </c>
      <c r="AJ78" s="2" t="s">
        <v>2928</v>
      </c>
      <c r="AK78" s="2" t="s">
        <v>2151</v>
      </c>
      <c r="AL78" s="2" t="s">
        <v>2929</v>
      </c>
      <c r="AM78" s="2" t="s">
        <v>2950</v>
      </c>
      <c r="AN78" s="112" t="s">
        <v>1970</v>
      </c>
      <c r="AO78" s="112" t="s">
        <v>1970</v>
      </c>
      <c r="AP78" s="251" t="s">
        <v>1978</v>
      </c>
      <c r="AQ78" s="344" t="s">
        <v>1970</v>
      </c>
      <c r="AR78" s="112" t="s">
        <v>2150</v>
      </c>
      <c r="AS78" s="112" t="s">
        <v>3620</v>
      </c>
      <c r="AT78" s="112" t="s">
        <v>3626</v>
      </c>
      <c r="AU78" s="112" t="s">
        <v>3627</v>
      </c>
      <c r="AV78" s="344" t="s">
        <v>3720</v>
      </c>
      <c r="AW78" s="344" t="s">
        <v>3727</v>
      </c>
      <c r="AX78" s="344" t="s">
        <v>3723</v>
      </c>
      <c r="AY78" s="344" t="s">
        <v>3722</v>
      </c>
      <c r="AZ78" s="381" t="s">
        <v>3721</v>
      </c>
      <c r="BA78" s="381" t="s">
        <v>3725</v>
      </c>
      <c r="BB78" s="112">
        <v>1.5</v>
      </c>
      <c r="BC78" s="112">
        <v>1.5</v>
      </c>
      <c r="BD78" s="112">
        <v>1</v>
      </c>
      <c r="BE78" s="112">
        <v>1</v>
      </c>
      <c r="BF78" s="112">
        <v>1</v>
      </c>
      <c r="BG78" s="112">
        <v>1.5</v>
      </c>
      <c r="BH78" s="112">
        <v>1.25</v>
      </c>
      <c r="BI78" s="112">
        <v>1</v>
      </c>
      <c r="BJ78" s="112">
        <v>4</v>
      </c>
      <c r="BK78" s="112">
        <v>4</v>
      </c>
      <c r="BL78" s="112">
        <v>5</v>
      </c>
      <c r="BM78" s="112">
        <v>4</v>
      </c>
      <c r="BN78" s="112" t="s">
        <v>1970</v>
      </c>
      <c r="BO78" s="112">
        <v>5</v>
      </c>
      <c r="BP78" s="112">
        <v>5</v>
      </c>
      <c r="BQ78" s="112">
        <v>4</v>
      </c>
      <c r="BR78" s="112">
        <f t="shared" si="395"/>
        <v>6</v>
      </c>
      <c r="BS78" s="112">
        <f t="shared" si="396"/>
        <v>6</v>
      </c>
      <c r="BT78" s="112">
        <f t="shared" si="397"/>
        <v>5</v>
      </c>
      <c r="BU78" s="112">
        <f t="shared" si="398"/>
        <v>4</v>
      </c>
      <c r="BV78" s="112" t="e">
        <f t="shared" si="399"/>
        <v>#VALUE!</v>
      </c>
      <c r="BW78" s="112">
        <f t="shared" si="400"/>
        <v>7.5</v>
      </c>
      <c r="BX78" s="112">
        <f t="shared" si="401"/>
        <v>6.25</v>
      </c>
      <c r="BY78" s="112">
        <f t="shared" si="402"/>
        <v>4</v>
      </c>
      <c r="BZ78" s="112" t="b">
        <v>1</v>
      </c>
      <c r="CA78" s="112" t="b">
        <v>1</v>
      </c>
      <c r="CB78" s="112" t="b">
        <v>1</v>
      </c>
      <c r="CC78" s="112" t="b">
        <v>0</v>
      </c>
      <c r="CD78" s="112" t="b">
        <v>0</v>
      </c>
      <c r="CE78" s="112" t="b">
        <v>1</v>
      </c>
      <c r="CF78" s="112" t="b">
        <v>1</v>
      </c>
      <c r="CG78" s="112" t="b">
        <v>0</v>
      </c>
      <c r="CH78" s="112">
        <v>1.5</v>
      </c>
      <c r="CI78" s="112">
        <v>1.5</v>
      </c>
      <c r="CJ78" s="112">
        <v>1</v>
      </c>
      <c r="CK78" s="112">
        <v>1</v>
      </c>
      <c r="CL78" s="112">
        <v>1</v>
      </c>
      <c r="CM78" s="112">
        <v>1.5</v>
      </c>
      <c r="CN78" s="112">
        <v>1.25</v>
      </c>
      <c r="CO78" s="112">
        <v>1</v>
      </c>
      <c r="CP78" s="112">
        <v>5</v>
      </c>
      <c r="CQ78" s="112">
        <v>4</v>
      </c>
      <c r="CR78" s="112">
        <v>5</v>
      </c>
      <c r="CS78" s="112">
        <v>5</v>
      </c>
      <c r="CT78" s="112">
        <v>4</v>
      </c>
      <c r="CU78" s="112">
        <v>6</v>
      </c>
      <c r="CV78" s="112">
        <v>5</v>
      </c>
      <c r="CW78" s="112">
        <v>4</v>
      </c>
      <c r="CX78" s="112">
        <f t="shared" si="387"/>
        <v>7.5</v>
      </c>
      <c r="CY78" s="112">
        <f t="shared" si="388"/>
        <v>6</v>
      </c>
      <c r="CZ78" s="112">
        <f t="shared" si="389"/>
        <v>5</v>
      </c>
      <c r="DA78" s="112">
        <f t="shared" si="390"/>
        <v>5</v>
      </c>
      <c r="DB78" s="112">
        <f t="shared" si="391"/>
        <v>4</v>
      </c>
      <c r="DC78" s="112">
        <f t="shared" si="392"/>
        <v>9</v>
      </c>
      <c r="DD78" s="112">
        <f t="shared" si="393"/>
        <v>6.25</v>
      </c>
      <c r="DE78" s="112">
        <f t="shared" si="394"/>
        <v>4</v>
      </c>
      <c r="DF78" s="112" t="b">
        <v>1</v>
      </c>
      <c r="DG78" s="112" t="b">
        <v>1</v>
      </c>
      <c r="DH78" s="112" t="b">
        <v>1</v>
      </c>
      <c r="DI78" s="112" t="b">
        <v>0</v>
      </c>
      <c r="DJ78" s="112" t="b">
        <v>0</v>
      </c>
      <c r="DK78" s="112" t="b">
        <v>1</v>
      </c>
      <c r="DL78" s="112" t="b">
        <v>1</v>
      </c>
      <c r="DM78" s="112" t="b">
        <v>0</v>
      </c>
      <c r="DN78" s="2" t="s">
        <v>1978</v>
      </c>
      <c r="DO78" s="2" t="s">
        <v>1978</v>
      </c>
      <c r="DP78" s="2" t="s">
        <v>1978</v>
      </c>
      <c r="DQ78" s="2" t="s">
        <v>1978</v>
      </c>
      <c r="DR78" s="2" t="s">
        <v>1978</v>
      </c>
      <c r="DS78" s="2" t="s">
        <v>1978</v>
      </c>
      <c r="DT78" s="2" t="s">
        <v>1978</v>
      </c>
      <c r="DU78" s="2" t="s">
        <v>1978</v>
      </c>
      <c r="DV78" s="2" t="s">
        <v>1978</v>
      </c>
      <c r="DW78" s="2" t="s">
        <v>1978</v>
      </c>
      <c r="DX78" s="2" t="s">
        <v>1978</v>
      </c>
      <c r="DY78" s="2" t="s">
        <v>1978</v>
      </c>
      <c r="DZ78" s="2" t="s">
        <v>1978</v>
      </c>
      <c r="EA78" s="2" t="s">
        <v>1978</v>
      </c>
      <c r="EB78" s="2" t="s">
        <v>1978</v>
      </c>
      <c r="EC78" s="2" t="s">
        <v>1978</v>
      </c>
      <c r="ED78" s="2" t="s">
        <v>1978</v>
      </c>
      <c r="EE78" s="2" t="s">
        <v>1978</v>
      </c>
      <c r="EF78" s="2" t="s">
        <v>1978</v>
      </c>
      <c r="EG78" s="2" t="s">
        <v>1978</v>
      </c>
      <c r="EH78" s="2" t="s">
        <v>1978</v>
      </c>
      <c r="EI78" s="2" t="s">
        <v>1978</v>
      </c>
      <c r="EJ78" s="2" t="s">
        <v>1978</v>
      </c>
      <c r="EK78" s="2" t="s">
        <v>1978</v>
      </c>
      <c r="EL78" s="2" t="s">
        <v>1978</v>
      </c>
      <c r="EM78" s="2" t="s">
        <v>1978</v>
      </c>
      <c r="EN78" s="2" t="s">
        <v>1978</v>
      </c>
      <c r="EO78" s="2" t="s">
        <v>1978</v>
      </c>
      <c r="EP78" s="2" t="s">
        <v>1978</v>
      </c>
      <c r="EQ78" s="2" t="s">
        <v>1978</v>
      </c>
      <c r="ER78" s="2" t="s">
        <v>1978</v>
      </c>
      <c r="ES78" s="2" t="s">
        <v>1978</v>
      </c>
      <c r="ET78" s="251"/>
    </row>
    <row r="79" spans="1:150" s="53" customFormat="1" x14ac:dyDescent="0.3">
      <c r="A79" s="112" t="s">
        <v>364</v>
      </c>
      <c r="B79" s="112" t="s">
        <v>265</v>
      </c>
      <c r="C79" s="112" t="s">
        <v>2905</v>
      </c>
      <c r="D79" s="112" t="s">
        <v>369</v>
      </c>
      <c r="E79" s="245" t="s">
        <v>2171</v>
      </c>
      <c r="F79" s="112" t="s">
        <v>1970</v>
      </c>
      <c r="G79" s="2">
        <f t="shared" si="403"/>
        <v>27.5</v>
      </c>
      <c r="H79" s="2">
        <f t="shared" si="404"/>
        <v>24.5</v>
      </c>
      <c r="I79" s="112" t="s">
        <v>1970</v>
      </c>
      <c r="J79" s="112" t="s">
        <v>1970</v>
      </c>
      <c r="K79" s="112" t="s">
        <v>2919</v>
      </c>
      <c r="L79" s="112" t="s">
        <v>2918</v>
      </c>
      <c r="M79" s="2" t="s">
        <v>1978</v>
      </c>
      <c r="N79" s="344" t="s">
        <v>1978</v>
      </c>
      <c r="O79" s="344" t="s">
        <v>1978</v>
      </c>
      <c r="P79" s="344" t="s">
        <v>1978</v>
      </c>
      <c r="Q79" s="344" t="s">
        <v>1978</v>
      </c>
      <c r="R79" s="344" t="s">
        <v>1978</v>
      </c>
      <c r="S79" s="344" t="s">
        <v>1978</v>
      </c>
      <c r="T79" s="112" t="s">
        <v>365</v>
      </c>
      <c r="U79" s="112" t="s">
        <v>2150</v>
      </c>
      <c r="V79" s="279"/>
      <c r="W79" s="279"/>
      <c r="X79" s="344">
        <f>'A123'!J87</f>
        <v>20</v>
      </c>
      <c r="Y79" s="344">
        <f>'A123'!K87</f>
        <v>20</v>
      </c>
      <c r="Z79" s="344">
        <f>'A123'!L87</f>
        <v>12.875</v>
      </c>
      <c r="AA79" s="112" t="s">
        <v>2150</v>
      </c>
      <c r="AB79" s="2" t="str">
        <f>入學要求!X88</f>
        <v>以下一科選修取得Lv.3︰化學</v>
      </c>
      <c r="AC79" s="2" t="str">
        <f>入學要求!Y88</f>
        <v>/</v>
      </c>
      <c r="AD79" s="112" t="s">
        <v>1977</v>
      </c>
      <c r="AE79" s="112" t="s">
        <v>1970</v>
      </c>
      <c r="AF79" s="112" t="s">
        <v>1970</v>
      </c>
      <c r="AG79" s="112" t="s">
        <v>2922</v>
      </c>
      <c r="AH79" s="112" t="s">
        <v>2925</v>
      </c>
      <c r="AI79" s="112" t="s">
        <v>2926</v>
      </c>
      <c r="AJ79" s="2" t="s">
        <v>2928</v>
      </c>
      <c r="AK79" s="2" t="s">
        <v>2151</v>
      </c>
      <c r="AL79" s="2" t="s">
        <v>2929</v>
      </c>
      <c r="AM79" s="2" t="s">
        <v>2950</v>
      </c>
      <c r="AN79" s="112" t="s">
        <v>1970</v>
      </c>
      <c r="AO79" s="112" t="s">
        <v>1970</v>
      </c>
      <c r="AP79" s="251" t="s">
        <v>1978</v>
      </c>
      <c r="AQ79" s="344" t="s">
        <v>1970</v>
      </c>
      <c r="AR79" s="112" t="s">
        <v>2150</v>
      </c>
      <c r="AS79" s="2" t="s">
        <v>3620</v>
      </c>
      <c r="AT79" s="2" t="s">
        <v>3626</v>
      </c>
      <c r="AU79" s="2" t="s">
        <v>3628</v>
      </c>
      <c r="AV79" s="344" t="s">
        <v>3720</v>
      </c>
      <c r="AW79" s="344" t="s">
        <v>3727</v>
      </c>
      <c r="AX79" s="344" t="s">
        <v>3723</v>
      </c>
      <c r="AY79" s="344" t="s">
        <v>3722</v>
      </c>
      <c r="AZ79" s="381" t="s">
        <v>3721</v>
      </c>
      <c r="BA79" s="381" t="s">
        <v>3725</v>
      </c>
      <c r="BB79" s="112">
        <v>1</v>
      </c>
      <c r="BC79" s="112">
        <v>1.5</v>
      </c>
      <c r="BD79" s="112">
        <v>1.25</v>
      </c>
      <c r="BE79" s="112">
        <v>1</v>
      </c>
      <c r="BF79" s="112">
        <v>1</v>
      </c>
      <c r="BG79" s="112">
        <v>1.5</v>
      </c>
      <c r="BH79" s="112">
        <v>1.25</v>
      </c>
      <c r="BI79" s="112">
        <v>1</v>
      </c>
      <c r="BJ79" s="112">
        <v>4</v>
      </c>
      <c r="BK79" s="112">
        <v>3</v>
      </c>
      <c r="BL79" s="112">
        <v>4</v>
      </c>
      <c r="BM79" s="112">
        <v>4</v>
      </c>
      <c r="BN79" s="112" t="s">
        <v>1970</v>
      </c>
      <c r="BO79" s="112">
        <v>4</v>
      </c>
      <c r="BP79" s="112">
        <v>4</v>
      </c>
      <c r="BQ79" s="112">
        <v>3</v>
      </c>
      <c r="BR79" s="112">
        <f t="shared" si="395"/>
        <v>4</v>
      </c>
      <c r="BS79" s="112">
        <f t="shared" si="396"/>
        <v>4.5</v>
      </c>
      <c r="BT79" s="112">
        <f t="shared" si="397"/>
        <v>5</v>
      </c>
      <c r="BU79" s="112">
        <f t="shared" si="398"/>
        <v>4</v>
      </c>
      <c r="BV79" s="112" t="e">
        <f t="shared" si="399"/>
        <v>#VALUE!</v>
      </c>
      <c r="BW79" s="112">
        <f t="shared" si="400"/>
        <v>6</v>
      </c>
      <c r="BX79" s="112">
        <f t="shared" si="401"/>
        <v>5</v>
      </c>
      <c r="BY79" s="112">
        <f t="shared" si="402"/>
        <v>3</v>
      </c>
      <c r="BZ79" s="112" t="b">
        <v>1</v>
      </c>
      <c r="CA79" s="112" t="b">
        <v>1</v>
      </c>
      <c r="CB79" s="112" t="b">
        <v>1</v>
      </c>
      <c r="CC79" s="112" t="b">
        <v>0</v>
      </c>
      <c r="CD79" s="112" t="b">
        <v>0</v>
      </c>
      <c r="CE79" s="112" t="b">
        <v>1</v>
      </c>
      <c r="CF79" s="112" t="b">
        <v>1</v>
      </c>
      <c r="CG79" s="112" t="b">
        <v>0</v>
      </c>
      <c r="CH79" s="112">
        <v>1</v>
      </c>
      <c r="CI79" s="112">
        <v>1.5</v>
      </c>
      <c r="CJ79" s="112">
        <v>1.25</v>
      </c>
      <c r="CK79" s="112">
        <v>1</v>
      </c>
      <c r="CL79" s="112">
        <v>1</v>
      </c>
      <c r="CM79" s="112">
        <v>1.5</v>
      </c>
      <c r="CN79" s="112">
        <v>1.25</v>
      </c>
      <c r="CO79" s="112">
        <v>1</v>
      </c>
      <c r="CP79" s="112">
        <v>4</v>
      </c>
      <c r="CQ79" s="112">
        <v>4</v>
      </c>
      <c r="CR79" s="112">
        <v>4</v>
      </c>
      <c r="CS79" s="112">
        <v>4</v>
      </c>
      <c r="CT79" s="112" t="s">
        <v>1970</v>
      </c>
      <c r="CU79" s="112">
        <v>5</v>
      </c>
      <c r="CV79" s="112">
        <v>4</v>
      </c>
      <c r="CW79" s="112">
        <v>4</v>
      </c>
      <c r="CX79" s="112">
        <f t="shared" si="387"/>
        <v>4</v>
      </c>
      <c r="CY79" s="112">
        <f t="shared" si="388"/>
        <v>6</v>
      </c>
      <c r="CZ79" s="112">
        <f t="shared" si="389"/>
        <v>5</v>
      </c>
      <c r="DA79" s="112">
        <f t="shared" si="390"/>
        <v>4</v>
      </c>
      <c r="DB79" s="112" t="e">
        <f t="shared" si="391"/>
        <v>#VALUE!</v>
      </c>
      <c r="DC79" s="112">
        <f t="shared" si="392"/>
        <v>7.5</v>
      </c>
      <c r="DD79" s="112">
        <f t="shared" si="393"/>
        <v>5</v>
      </c>
      <c r="DE79" s="112">
        <f t="shared" si="394"/>
        <v>4</v>
      </c>
      <c r="DF79" s="112" t="b">
        <v>1</v>
      </c>
      <c r="DG79" s="112" t="b">
        <v>1</v>
      </c>
      <c r="DH79" s="112" t="b">
        <v>1</v>
      </c>
      <c r="DI79" s="112" t="b">
        <v>0</v>
      </c>
      <c r="DJ79" s="112" t="b">
        <v>0</v>
      </c>
      <c r="DK79" s="112" t="b">
        <v>1</v>
      </c>
      <c r="DL79" s="112" t="b">
        <v>1</v>
      </c>
      <c r="DM79" s="112" t="b">
        <v>0</v>
      </c>
      <c r="DN79" s="2" t="s">
        <v>1978</v>
      </c>
      <c r="DO79" s="2" t="s">
        <v>1978</v>
      </c>
      <c r="DP79" s="2" t="s">
        <v>1978</v>
      </c>
      <c r="DQ79" s="2" t="s">
        <v>1978</v>
      </c>
      <c r="DR79" s="2" t="s">
        <v>1978</v>
      </c>
      <c r="DS79" s="2" t="s">
        <v>1978</v>
      </c>
      <c r="DT79" s="2" t="s">
        <v>1978</v>
      </c>
      <c r="DU79" s="2" t="s">
        <v>1978</v>
      </c>
      <c r="DV79" s="2" t="s">
        <v>1978</v>
      </c>
      <c r="DW79" s="2" t="s">
        <v>1978</v>
      </c>
      <c r="DX79" s="2" t="s">
        <v>1978</v>
      </c>
      <c r="DY79" s="2" t="s">
        <v>1978</v>
      </c>
      <c r="DZ79" s="2" t="s">
        <v>1978</v>
      </c>
      <c r="EA79" s="2" t="s">
        <v>1978</v>
      </c>
      <c r="EB79" s="2" t="s">
        <v>1978</v>
      </c>
      <c r="EC79" s="2" t="s">
        <v>1978</v>
      </c>
      <c r="ED79" s="2" t="s">
        <v>1978</v>
      </c>
      <c r="EE79" s="2" t="s">
        <v>1978</v>
      </c>
      <c r="EF79" s="2" t="s">
        <v>1978</v>
      </c>
      <c r="EG79" s="2" t="s">
        <v>1978</v>
      </c>
      <c r="EH79" s="2" t="s">
        <v>1978</v>
      </c>
      <c r="EI79" s="2" t="s">
        <v>1978</v>
      </c>
      <c r="EJ79" s="2" t="s">
        <v>1978</v>
      </c>
      <c r="EK79" s="2" t="s">
        <v>1978</v>
      </c>
      <c r="EL79" s="2" t="s">
        <v>1978</v>
      </c>
      <c r="EM79" s="2" t="s">
        <v>1978</v>
      </c>
      <c r="EN79" s="2" t="s">
        <v>1978</v>
      </c>
      <c r="EO79" s="2" t="s">
        <v>1978</v>
      </c>
      <c r="EP79" s="2" t="s">
        <v>1978</v>
      </c>
      <c r="EQ79" s="2" t="s">
        <v>1978</v>
      </c>
      <c r="ER79" s="2" t="s">
        <v>1978</v>
      </c>
      <c r="ES79" s="2" t="s">
        <v>1978</v>
      </c>
      <c r="ET79" s="251"/>
    </row>
    <row r="80" spans="1:150" x14ac:dyDescent="0.3">
      <c r="A80" s="2" t="s">
        <v>370</v>
      </c>
      <c r="B80" s="2" t="s">
        <v>265</v>
      </c>
      <c r="C80" s="2" t="s">
        <v>2159</v>
      </c>
      <c r="D80" s="2" t="s">
        <v>375</v>
      </c>
      <c r="E80" s="2" t="s">
        <v>1967</v>
      </c>
      <c r="F80" s="2" t="s">
        <v>1970</v>
      </c>
      <c r="G80" s="2">
        <f t="shared" si="403"/>
        <v>21</v>
      </c>
      <c r="H80" s="2">
        <f t="shared" si="404"/>
        <v>20</v>
      </c>
      <c r="I80" s="2" t="s">
        <v>2912</v>
      </c>
      <c r="J80" s="2" t="s">
        <v>1970</v>
      </c>
      <c r="K80" s="2" t="s">
        <v>1970</v>
      </c>
      <c r="L80" s="2" t="s">
        <v>1970</v>
      </c>
      <c r="M80" s="2" t="s">
        <v>1978</v>
      </c>
      <c r="N80" s="344" t="s">
        <v>1978</v>
      </c>
      <c r="O80" s="344" t="s">
        <v>1978</v>
      </c>
      <c r="P80" s="344" t="s">
        <v>1978</v>
      </c>
      <c r="Q80" s="344" t="s">
        <v>1978</v>
      </c>
      <c r="R80" s="344" t="s">
        <v>1978</v>
      </c>
      <c r="S80" s="344" t="s">
        <v>1978</v>
      </c>
      <c r="T80" s="2" t="s">
        <v>371</v>
      </c>
      <c r="U80" s="2" t="s">
        <v>2150</v>
      </c>
      <c r="X80" s="344">
        <f>'A123'!J88</f>
        <v>195</v>
      </c>
      <c r="Y80" s="344">
        <f>'A123'!K88</f>
        <v>249</v>
      </c>
      <c r="Z80" s="344">
        <f>'A123'!L88</f>
        <v>3.575268817204301</v>
      </c>
      <c r="AA80" s="2" t="s">
        <v>2150</v>
      </c>
      <c r="AB80" s="2" t="str">
        <f>入學要求!X89</f>
        <v>/</v>
      </c>
      <c r="AC80" s="2" t="str">
        <f>入學要求!Y89</f>
        <v>/</v>
      </c>
      <c r="AD80" s="2" t="s">
        <v>1967</v>
      </c>
      <c r="AE80" s="2" t="s">
        <v>2912</v>
      </c>
      <c r="AF80" s="2" t="s">
        <v>1970</v>
      </c>
      <c r="AG80" s="2" t="s">
        <v>1970</v>
      </c>
      <c r="AH80" s="2" t="s">
        <v>1970</v>
      </c>
      <c r="AI80" s="2" t="s">
        <v>1970</v>
      </c>
      <c r="AJ80" s="2" t="s">
        <v>2928</v>
      </c>
      <c r="AK80" s="2" t="s">
        <v>2943</v>
      </c>
      <c r="AL80" s="2" t="s">
        <v>2929</v>
      </c>
      <c r="AM80" s="2" t="s">
        <v>2952</v>
      </c>
      <c r="AN80" s="2" t="s">
        <v>2953</v>
      </c>
      <c r="AO80" s="2" t="s">
        <v>1970</v>
      </c>
      <c r="AP80" s="251" t="s">
        <v>1978</v>
      </c>
      <c r="AQ80" s="344" t="s">
        <v>1970</v>
      </c>
      <c r="AR80" s="2" t="s">
        <v>2150</v>
      </c>
      <c r="AS80" s="2" t="s">
        <v>3608</v>
      </c>
      <c r="AT80" s="2" t="s">
        <v>1970</v>
      </c>
      <c r="AU80" s="2" t="s">
        <v>1970</v>
      </c>
      <c r="AV80" s="344" t="s">
        <v>3720</v>
      </c>
      <c r="AW80" s="344" t="s">
        <v>3727</v>
      </c>
      <c r="AX80" s="344" t="s">
        <v>3723</v>
      </c>
      <c r="AY80" s="344" t="s">
        <v>3722</v>
      </c>
      <c r="BB80" s="2">
        <v>1</v>
      </c>
      <c r="BC80" s="2">
        <v>1</v>
      </c>
      <c r="BD80" s="2">
        <v>1</v>
      </c>
      <c r="BE80" s="2">
        <v>1</v>
      </c>
      <c r="BF80" s="2">
        <v>1</v>
      </c>
      <c r="BG80" s="2">
        <v>1</v>
      </c>
      <c r="BH80" s="2">
        <v>1</v>
      </c>
      <c r="BI80" s="2">
        <v>1</v>
      </c>
      <c r="BJ80" s="2">
        <v>3</v>
      </c>
      <c r="BK80" s="2">
        <v>3</v>
      </c>
      <c r="BL80" s="2">
        <v>4</v>
      </c>
      <c r="BM80" s="2">
        <v>4</v>
      </c>
      <c r="BN80" s="2" t="s">
        <v>1970</v>
      </c>
      <c r="BO80" s="2">
        <v>3</v>
      </c>
      <c r="BP80" s="2">
        <v>3</v>
      </c>
      <c r="BQ80" s="2">
        <v>2</v>
      </c>
      <c r="BR80" s="2">
        <f t="shared" si="395"/>
        <v>3</v>
      </c>
      <c r="BS80" s="2">
        <f t="shared" si="396"/>
        <v>3</v>
      </c>
      <c r="BT80" s="2">
        <f t="shared" si="397"/>
        <v>4</v>
      </c>
      <c r="BU80" s="2">
        <f t="shared" si="398"/>
        <v>4</v>
      </c>
      <c r="BV80" s="2" t="e">
        <f t="shared" si="399"/>
        <v>#VALUE!</v>
      </c>
      <c r="BW80" s="2">
        <f t="shared" si="400"/>
        <v>3</v>
      </c>
      <c r="BX80" s="2">
        <f t="shared" si="401"/>
        <v>3</v>
      </c>
      <c r="BY80" s="2">
        <f t="shared" si="402"/>
        <v>2</v>
      </c>
      <c r="BZ80" s="2" t="b">
        <v>1</v>
      </c>
      <c r="CA80" s="2" t="b">
        <v>1</v>
      </c>
      <c r="CB80" s="2" t="b">
        <v>1</v>
      </c>
      <c r="CC80" s="2" t="b">
        <v>1</v>
      </c>
      <c r="CD80" s="2" t="b">
        <v>0</v>
      </c>
      <c r="CE80" s="2" t="b">
        <v>1</v>
      </c>
      <c r="CF80" s="2" t="b">
        <v>1</v>
      </c>
      <c r="CG80" s="2" t="b">
        <v>0</v>
      </c>
      <c r="CH80" s="2">
        <v>1</v>
      </c>
      <c r="CI80" s="2">
        <v>1</v>
      </c>
      <c r="CJ80" s="2">
        <v>1</v>
      </c>
      <c r="CK80" s="2">
        <v>1</v>
      </c>
      <c r="CL80" s="2">
        <v>1</v>
      </c>
      <c r="CM80" s="2">
        <v>1</v>
      </c>
      <c r="CN80" s="2">
        <v>1</v>
      </c>
      <c r="CO80" s="2">
        <v>1</v>
      </c>
      <c r="CP80" s="2">
        <v>4</v>
      </c>
      <c r="CQ80" s="2">
        <v>4</v>
      </c>
      <c r="CR80" s="2">
        <v>3</v>
      </c>
      <c r="CS80" s="2">
        <v>3</v>
      </c>
      <c r="CT80" s="2" t="s">
        <v>1970</v>
      </c>
      <c r="CU80" s="2">
        <v>4</v>
      </c>
      <c r="CV80" s="2">
        <v>3</v>
      </c>
      <c r="CW80" s="2" t="s">
        <v>1970</v>
      </c>
      <c r="CX80" s="2">
        <f t="shared" si="387"/>
        <v>4</v>
      </c>
      <c r="CY80" s="2">
        <f t="shared" si="388"/>
        <v>4</v>
      </c>
      <c r="CZ80" s="2">
        <f t="shared" si="389"/>
        <v>3</v>
      </c>
      <c r="DA80" s="2">
        <f t="shared" si="390"/>
        <v>3</v>
      </c>
      <c r="DB80" s="2" t="e">
        <f t="shared" si="391"/>
        <v>#VALUE!</v>
      </c>
      <c r="DC80" s="2">
        <f t="shared" si="392"/>
        <v>4</v>
      </c>
      <c r="DD80" s="2">
        <f t="shared" si="393"/>
        <v>3</v>
      </c>
      <c r="DE80" s="2" t="e">
        <f t="shared" si="394"/>
        <v>#VALUE!</v>
      </c>
      <c r="DF80" s="2" t="b">
        <v>1</v>
      </c>
      <c r="DG80" s="2" t="b">
        <v>1</v>
      </c>
      <c r="DH80" s="2" t="b">
        <v>1</v>
      </c>
      <c r="DI80" s="2" t="b">
        <v>1</v>
      </c>
      <c r="DJ80" s="2" t="b">
        <v>0</v>
      </c>
      <c r="DK80" s="2" t="b">
        <v>1</v>
      </c>
      <c r="DL80" s="2" t="b">
        <v>1</v>
      </c>
      <c r="DM80" s="2" t="b">
        <v>0</v>
      </c>
      <c r="DN80" s="2" t="s">
        <v>1978</v>
      </c>
      <c r="DO80" s="2" t="s">
        <v>1978</v>
      </c>
      <c r="DP80" s="2" t="s">
        <v>1978</v>
      </c>
      <c r="DQ80" s="2" t="s">
        <v>1978</v>
      </c>
      <c r="DR80" s="2" t="s">
        <v>1978</v>
      </c>
      <c r="DS80" s="2" t="s">
        <v>1978</v>
      </c>
      <c r="DT80" s="2" t="s">
        <v>1978</v>
      </c>
      <c r="DU80" s="2" t="s">
        <v>1978</v>
      </c>
      <c r="DV80" s="2" t="s">
        <v>1978</v>
      </c>
      <c r="DW80" s="2" t="s">
        <v>1978</v>
      </c>
      <c r="DX80" s="2" t="s">
        <v>1978</v>
      </c>
      <c r="DY80" s="2" t="s">
        <v>1978</v>
      </c>
      <c r="DZ80" s="2" t="s">
        <v>1978</v>
      </c>
      <c r="EA80" s="2" t="s">
        <v>1978</v>
      </c>
      <c r="EB80" s="2" t="s">
        <v>1978</v>
      </c>
      <c r="EC80" s="2" t="s">
        <v>1978</v>
      </c>
      <c r="ED80" s="2" t="s">
        <v>1978</v>
      </c>
      <c r="EE80" s="2" t="s">
        <v>1978</v>
      </c>
      <c r="EF80" s="2" t="s">
        <v>1978</v>
      </c>
      <c r="EG80" s="2" t="s">
        <v>1978</v>
      </c>
      <c r="EH80" s="2" t="s">
        <v>1978</v>
      </c>
      <c r="EI80" s="2" t="s">
        <v>1978</v>
      </c>
      <c r="EJ80" s="2" t="s">
        <v>1978</v>
      </c>
      <c r="EK80" s="2" t="s">
        <v>1978</v>
      </c>
      <c r="EL80" s="2" t="s">
        <v>1978</v>
      </c>
      <c r="EM80" s="2" t="s">
        <v>1978</v>
      </c>
      <c r="EN80" s="2" t="s">
        <v>1978</v>
      </c>
      <c r="EO80" s="2" t="s">
        <v>1978</v>
      </c>
      <c r="EP80" s="2" t="s">
        <v>1978</v>
      </c>
      <c r="EQ80" s="2" t="s">
        <v>1978</v>
      </c>
      <c r="ER80" s="2" t="s">
        <v>1978</v>
      </c>
      <c r="ES80" s="2" t="s">
        <v>1978</v>
      </c>
    </row>
    <row r="81" spans="1:149" x14ac:dyDescent="0.3">
      <c r="A81" s="2" t="s">
        <v>376</v>
      </c>
      <c r="B81" s="2" t="s">
        <v>265</v>
      </c>
      <c r="C81" s="2" t="s">
        <v>2216</v>
      </c>
      <c r="D81" s="2" t="s">
        <v>382</v>
      </c>
      <c r="E81" s="11" t="s">
        <v>1967</v>
      </c>
      <c r="F81" s="2" t="s">
        <v>1970</v>
      </c>
      <c r="G81" s="2">
        <f t="shared" si="403"/>
        <v>28</v>
      </c>
      <c r="H81" s="2">
        <f t="shared" si="404"/>
        <v>27</v>
      </c>
      <c r="I81" s="2" t="s">
        <v>1970</v>
      </c>
      <c r="J81" s="2" t="s">
        <v>1970</v>
      </c>
      <c r="K81" s="2" t="s">
        <v>2740</v>
      </c>
      <c r="L81" s="2" t="s">
        <v>1970</v>
      </c>
      <c r="M81" s="2" t="s">
        <v>1978</v>
      </c>
      <c r="N81" s="344" t="s">
        <v>1978</v>
      </c>
      <c r="O81" s="344" t="s">
        <v>1978</v>
      </c>
      <c r="P81" s="344" t="s">
        <v>1978</v>
      </c>
      <c r="Q81" s="344" t="s">
        <v>1978</v>
      </c>
      <c r="R81" s="344" t="s">
        <v>1978</v>
      </c>
      <c r="S81" s="344" t="s">
        <v>1978</v>
      </c>
      <c r="T81" s="2" t="s">
        <v>380</v>
      </c>
      <c r="U81" s="2" t="s">
        <v>2150</v>
      </c>
      <c r="X81" s="344">
        <f>'A123'!J89</f>
        <v>135</v>
      </c>
      <c r="Y81" s="344">
        <f>'A123'!K89</f>
        <v>102</v>
      </c>
      <c r="Z81" s="344">
        <f>'A123'!L89</f>
        <v>8.9896907216494846</v>
      </c>
      <c r="AA81" s="2" t="s">
        <v>2150</v>
      </c>
      <c r="AB81" s="2" t="str">
        <f>入學要求!X90</f>
        <v>/</v>
      </c>
      <c r="AC81" s="2" t="str">
        <f>入學要求!Y90</f>
        <v>/</v>
      </c>
      <c r="AD81" s="2" t="s">
        <v>1967</v>
      </c>
      <c r="AE81" s="2" t="s">
        <v>1970</v>
      </c>
      <c r="AF81" s="2" t="s">
        <v>1970</v>
      </c>
      <c r="AG81" s="2" t="s">
        <v>2740</v>
      </c>
      <c r="AH81" s="2" t="s">
        <v>1970</v>
      </c>
      <c r="AI81" s="2" t="s">
        <v>1970</v>
      </c>
      <c r="AJ81" s="2" t="s">
        <v>2928</v>
      </c>
      <c r="AK81" s="2" t="s">
        <v>2151</v>
      </c>
      <c r="AL81" s="2" t="s">
        <v>2929</v>
      </c>
      <c r="AM81" s="2" t="s">
        <v>2935</v>
      </c>
      <c r="AN81" s="2" t="s">
        <v>1970</v>
      </c>
      <c r="AO81" s="2" t="s">
        <v>1970</v>
      </c>
      <c r="AP81" s="251" t="s">
        <v>1978</v>
      </c>
      <c r="AQ81" s="344" t="s">
        <v>1970</v>
      </c>
      <c r="AR81" s="2" t="s">
        <v>2150</v>
      </c>
      <c r="AS81" s="2" t="s">
        <v>3608</v>
      </c>
      <c r="AT81" s="2" t="s">
        <v>1970</v>
      </c>
      <c r="AU81" s="2" t="s">
        <v>1970</v>
      </c>
      <c r="AV81" s="344" t="s">
        <v>3720</v>
      </c>
      <c r="AW81" s="344" t="s">
        <v>3727</v>
      </c>
      <c r="AX81" s="344" t="s">
        <v>3723</v>
      </c>
      <c r="AY81" s="344" t="s">
        <v>3722</v>
      </c>
      <c r="BB81" s="2">
        <v>1</v>
      </c>
      <c r="BC81" s="2">
        <v>2</v>
      </c>
      <c r="BD81" s="2">
        <v>1</v>
      </c>
      <c r="BE81" s="2">
        <v>1</v>
      </c>
      <c r="BF81" s="2">
        <v>1</v>
      </c>
      <c r="BG81" s="2">
        <v>1</v>
      </c>
      <c r="BH81" s="2">
        <v>1</v>
      </c>
      <c r="BI81" s="2">
        <v>1</v>
      </c>
      <c r="BJ81" s="2">
        <v>4</v>
      </c>
      <c r="BK81" s="2">
        <v>4</v>
      </c>
      <c r="BL81" s="2">
        <v>2</v>
      </c>
      <c r="BM81" s="2">
        <v>4</v>
      </c>
      <c r="BN81" s="2" t="s">
        <v>1970</v>
      </c>
      <c r="BO81" s="2">
        <v>5</v>
      </c>
      <c r="BP81" s="2">
        <v>4</v>
      </c>
      <c r="BQ81" s="2" t="s">
        <v>1970</v>
      </c>
      <c r="BR81" s="2">
        <f t="shared" si="395"/>
        <v>4</v>
      </c>
      <c r="BS81" s="2">
        <f t="shared" si="396"/>
        <v>8</v>
      </c>
      <c r="BT81" s="2">
        <f t="shared" si="397"/>
        <v>2</v>
      </c>
      <c r="BU81" s="2">
        <f t="shared" si="398"/>
        <v>4</v>
      </c>
      <c r="BV81" s="2" t="e">
        <f t="shared" si="399"/>
        <v>#VALUE!</v>
      </c>
      <c r="BW81" s="2">
        <f t="shared" si="400"/>
        <v>5</v>
      </c>
      <c r="BX81" s="2">
        <f t="shared" si="401"/>
        <v>4</v>
      </c>
      <c r="BY81" s="2" t="e">
        <f t="shared" si="402"/>
        <v>#VALUE!</v>
      </c>
      <c r="BZ81" s="2" t="b">
        <v>1</v>
      </c>
      <c r="CA81" s="2" t="b">
        <v>1</v>
      </c>
      <c r="CB81" s="2" t="b">
        <v>1</v>
      </c>
      <c r="CC81" s="2" t="b">
        <v>1</v>
      </c>
      <c r="CD81" s="2" t="b">
        <v>0</v>
      </c>
      <c r="CE81" s="2" t="b">
        <v>1</v>
      </c>
      <c r="CF81" s="2" t="b">
        <v>1</v>
      </c>
      <c r="CG81" s="2" t="b">
        <v>0</v>
      </c>
      <c r="CH81" s="2">
        <v>1</v>
      </c>
      <c r="CI81" s="2">
        <v>2</v>
      </c>
      <c r="CJ81" s="2">
        <v>1</v>
      </c>
      <c r="CK81" s="2">
        <v>1</v>
      </c>
      <c r="CL81" s="2">
        <v>1</v>
      </c>
      <c r="CM81" s="2">
        <v>1</v>
      </c>
      <c r="CN81" s="2">
        <v>1</v>
      </c>
      <c r="CO81" s="2">
        <v>1</v>
      </c>
      <c r="CP81" s="2">
        <v>5</v>
      </c>
      <c r="CQ81" s="2">
        <v>3</v>
      </c>
      <c r="CR81" s="2">
        <v>3</v>
      </c>
      <c r="CS81" s="2">
        <v>5</v>
      </c>
      <c r="CT81" s="2" t="s">
        <v>1970</v>
      </c>
      <c r="CU81" s="2">
        <v>5</v>
      </c>
      <c r="CV81" s="2">
        <v>4</v>
      </c>
      <c r="CW81" s="2" t="s">
        <v>1970</v>
      </c>
      <c r="CX81" s="2">
        <f t="shared" si="387"/>
        <v>5</v>
      </c>
      <c r="CY81" s="2">
        <f t="shared" si="388"/>
        <v>6</v>
      </c>
      <c r="CZ81" s="2">
        <f t="shared" si="389"/>
        <v>3</v>
      </c>
      <c r="DA81" s="2">
        <f t="shared" si="390"/>
        <v>5</v>
      </c>
      <c r="DB81" s="2" t="e">
        <f t="shared" si="391"/>
        <v>#VALUE!</v>
      </c>
      <c r="DC81" s="2">
        <f t="shared" si="392"/>
        <v>5</v>
      </c>
      <c r="DD81" s="2">
        <f t="shared" si="393"/>
        <v>4</v>
      </c>
      <c r="DE81" s="2" t="e">
        <f t="shared" si="394"/>
        <v>#VALUE!</v>
      </c>
      <c r="DF81" s="2" t="b">
        <v>1</v>
      </c>
      <c r="DG81" s="2" t="b">
        <v>1</v>
      </c>
      <c r="DH81" s="2" t="b">
        <v>1</v>
      </c>
      <c r="DI81" s="2" t="b">
        <v>1</v>
      </c>
      <c r="DJ81" s="2" t="b">
        <v>0</v>
      </c>
      <c r="DK81" s="2" t="b">
        <v>1</v>
      </c>
      <c r="DL81" s="2" t="b">
        <v>1</v>
      </c>
      <c r="DM81" s="2" t="b">
        <v>0</v>
      </c>
      <c r="DN81" s="2" t="s">
        <v>1978</v>
      </c>
      <c r="DO81" s="2" t="s">
        <v>1978</v>
      </c>
      <c r="DP81" s="2" t="s">
        <v>1978</v>
      </c>
      <c r="DQ81" s="2" t="s">
        <v>1978</v>
      </c>
      <c r="DR81" s="2" t="s">
        <v>1978</v>
      </c>
      <c r="DS81" s="2" t="s">
        <v>1978</v>
      </c>
      <c r="DT81" s="2" t="s">
        <v>1978</v>
      </c>
      <c r="DU81" s="2" t="s">
        <v>1978</v>
      </c>
      <c r="DV81" s="2" t="s">
        <v>1978</v>
      </c>
      <c r="DW81" s="2" t="s">
        <v>1978</v>
      </c>
      <c r="DX81" s="2" t="s">
        <v>1978</v>
      </c>
      <c r="DY81" s="2" t="s">
        <v>1978</v>
      </c>
      <c r="DZ81" s="2" t="s">
        <v>1978</v>
      </c>
      <c r="EA81" s="2" t="s">
        <v>1978</v>
      </c>
      <c r="EB81" s="2" t="s">
        <v>1978</v>
      </c>
      <c r="EC81" s="2" t="s">
        <v>1978</v>
      </c>
      <c r="ED81" s="2" t="s">
        <v>1978</v>
      </c>
      <c r="EE81" s="2" t="s">
        <v>1978</v>
      </c>
      <c r="EF81" s="2" t="s">
        <v>1978</v>
      </c>
      <c r="EG81" s="2" t="s">
        <v>1978</v>
      </c>
      <c r="EH81" s="2" t="s">
        <v>1978</v>
      </c>
      <c r="EI81" s="2" t="s">
        <v>1978</v>
      </c>
      <c r="EJ81" s="2" t="s">
        <v>1978</v>
      </c>
      <c r="EK81" s="2" t="s">
        <v>1978</v>
      </c>
      <c r="EL81" s="2" t="s">
        <v>1978</v>
      </c>
      <c r="EM81" s="2" t="s">
        <v>1978</v>
      </c>
      <c r="EN81" s="2" t="s">
        <v>1978</v>
      </c>
      <c r="EO81" s="2" t="s">
        <v>1978</v>
      </c>
      <c r="EP81" s="2" t="s">
        <v>1978</v>
      </c>
      <c r="EQ81" s="2" t="s">
        <v>1978</v>
      </c>
      <c r="ER81" s="2" t="s">
        <v>1978</v>
      </c>
      <c r="ES81" s="2" t="s">
        <v>1978</v>
      </c>
    </row>
    <row r="82" spans="1:149" x14ac:dyDescent="0.3">
      <c r="A82" s="2" t="s">
        <v>383</v>
      </c>
      <c r="B82" s="2" t="s">
        <v>265</v>
      </c>
      <c r="C82" s="2" t="s">
        <v>2216</v>
      </c>
      <c r="D82" s="2" t="s">
        <v>388</v>
      </c>
      <c r="E82" s="2" t="s">
        <v>1967</v>
      </c>
      <c r="F82" s="2" t="s">
        <v>1970</v>
      </c>
      <c r="G82" s="2">
        <f t="shared" si="403"/>
        <v>26</v>
      </c>
      <c r="H82" s="2">
        <f t="shared" si="404"/>
        <v>25</v>
      </c>
      <c r="I82" s="2" t="s">
        <v>1970</v>
      </c>
      <c r="J82" s="2" t="s">
        <v>1970</v>
      </c>
      <c r="K82" s="2" t="s">
        <v>1970</v>
      </c>
      <c r="L82" s="2" t="s">
        <v>1970</v>
      </c>
      <c r="M82" s="2" t="s">
        <v>1978</v>
      </c>
      <c r="N82" s="344" t="s">
        <v>1978</v>
      </c>
      <c r="O82" s="344" t="s">
        <v>1978</v>
      </c>
      <c r="P82" s="344" t="s">
        <v>1978</v>
      </c>
      <c r="Q82" s="344" t="s">
        <v>1978</v>
      </c>
      <c r="R82" s="344" t="s">
        <v>1978</v>
      </c>
      <c r="S82" s="344" t="s">
        <v>1978</v>
      </c>
      <c r="T82" s="2" t="s">
        <v>384</v>
      </c>
      <c r="U82" s="2" t="s">
        <v>2150</v>
      </c>
      <c r="X82" s="344">
        <f>'A123'!J90</f>
        <v>22</v>
      </c>
      <c r="Y82" s="344">
        <f>'A123'!K90</f>
        <v>16</v>
      </c>
      <c r="Z82" s="344">
        <f>'A123'!L90</f>
        <v>37.3125</v>
      </c>
      <c r="AA82" s="2" t="s">
        <v>2150</v>
      </c>
      <c r="AB82" s="2" t="str">
        <f>入學要求!X91</f>
        <v>/</v>
      </c>
      <c r="AC82" s="2" t="str">
        <f>入學要求!Y91</f>
        <v>/</v>
      </c>
      <c r="AD82" s="2" t="s">
        <v>1967</v>
      </c>
      <c r="AE82" s="2" t="s">
        <v>1970</v>
      </c>
      <c r="AF82" s="2" t="s">
        <v>1970</v>
      </c>
      <c r="AG82" s="2" t="s">
        <v>1970</v>
      </c>
      <c r="AH82" s="2" t="s">
        <v>1970</v>
      </c>
      <c r="AI82" s="2" t="s">
        <v>1970</v>
      </c>
      <c r="AJ82" s="2" t="s">
        <v>2928</v>
      </c>
      <c r="AK82" s="2" t="s">
        <v>2943</v>
      </c>
      <c r="AL82" s="2" t="s">
        <v>2929</v>
      </c>
      <c r="AM82" s="2" t="s">
        <v>1970</v>
      </c>
      <c r="AN82" s="2" t="s">
        <v>1970</v>
      </c>
      <c r="AO82" s="2" t="s">
        <v>1970</v>
      </c>
      <c r="AP82" s="251" t="s">
        <v>1978</v>
      </c>
      <c r="AQ82" s="344" t="s">
        <v>1970</v>
      </c>
      <c r="AR82" s="2" t="s">
        <v>2150</v>
      </c>
      <c r="AS82" s="2" t="s">
        <v>3608</v>
      </c>
      <c r="AT82" s="2" t="s">
        <v>1970</v>
      </c>
      <c r="AU82" s="2" t="s">
        <v>1970</v>
      </c>
      <c r="AV82" s="344" t="s">
        <v>3720</v>
      </c>
      <c r="AW82" s="344" t="s">
        <v>3727</v>
      </c>
      <c r="AX82" s="344" t="s">
        <v>3723</v>
      </c>
      <c r="AY82" s="344" t="s">
        <v>3722</v>
      </c>
      <c r="BB82" s="2">
        <v>1</v>
      </c>
      <c r="BC82" s="2">
        <v>1</v>
      </c>
      <c r="BD82" s="2">
        <v>1</v>
      </c>
      <c r="BE82" s="2">
        <v>1</v>
      </c>
      <c r="BF82" s="2">
        <v>1</v>
      </c>
      <c r="BG82" s="2">
        <v>1</v>
      </c>
      <c r="BH82" s="2">
        <v>1</v>
      </c>
      <c r="BI82" s="2">
        <v>1</v>
      </c>
      <c r="BJ82" s="2">
        <v>4</v>
      </c>
      <c r="BK82" s="2">
        <v>4</v>
      </c>
      <c r="BL82" s="2">
        <v>5</v>
      </c>
      <c r="BM82" s="2">
        <v>4</v>
      </c>
      <c r="BN82" s="2" t="s">
        <v>1970</v>
      </c>
      <c r="BO82" s="2">
        <v>4</v>
      </c>
      <c r="BP82" s="2">
        <v>4</v>
      </c>
      <c r="BQ82" s="2">
        <v>3</v>
      </c>
      <c r="BR82" s="2">
        <f t="shared" si="395"/>
        <v>4</v>
      </c>
      <c r="BS82" s="2">
        <f t="shared" si="396"/>
        <v>4</v>
      </c>
      <c r="BT82" s="2">
        <f t="shared" si="397"/>
        <v>5</v>
      </c>
      <c r="BU82" s="2">
        <f t="shared" si="398"/>
        <v>4</v>
      </c>
      <c r="BV82" s="2" t="e">
        <f t="shared" si="399"/>
        <v>#VALUE!</v>
      </c>
      <c r="BW82" s="2">
        <f t="shared" si="400"/>
        <v>4</v>
      </c>
      <c r="BX82" s="2">
        <f t="shared" si="401"/>
        <v>4</v>
      </c>
      <c r="BY82" s="2">
        <f t="shared" si="402"/>
        <v>3</v>
      </c>
      <c r="BZ82" s="2" t="b">
        <v>1</v>
      </c>
      <c r="CA82" s="2" t="b">
        <v>1</v>
      </c>
      <c r="CB82" s="2" t="b">
        <v>1</v>
      </c>
      <c r="CC82" s="2" t="b">
        <v>1</v>
      </c>
      <c r="CD82" s="2" t="b">
        <v>0</v>
      </c>
      <c r="CE82" s="2" t="b">
        <v>1</v>
      </c>
      <c r="CF82" s="2" t="b">
        <v>1</v>
      </c>
      <c r="CG82" s="2" t="b">
        <v>0</v>
      </c>
      <c r="CH82" s="2">
        <v>1</v>
      </c>
      <c r="CI82" s="2">
        <v>1</v>
      </c>
      <c r="CJ82" s="2">
        <v>1</v>
      </c>
      <c r="CK82" s="2">
        <v>1</v>
      </c>
      <c r="CL82" s="2">
        <v>1</v>
      </c>
      <c r="CM82" s="2">
        <v>1</v>
      </c>
      <c r="CN82" s="2">
        <v>1</v>
      </c>
      <c r="CO82" s="2">
        <v>1</v>
      </c>
      <c r="CP82" s="2">
        <v>4</v>
      </c>
      <c r="CQ82" s="2">
        <v>4</v>
      </c>
      <c r="CR82" s="2">
        <v>4</v>
      </c>
      <c r="CS82" s="2">
        <v>5</v>
      </c>
      <c r="CT82" s="2" t="s">
        <v>1970</v>
      </c>
      <c r="CU82" s="2">
        <v>5</v>
      </c>
      <c r="CV82" s="2">
        <v>4</v>
      </c>
      <c r="CW82" s="2" t="s">
        <v>1970</v>
      </c>
      <c r="CX82" s="2">
        <f t="shared" si="387"/>
        <v>4</v>
      </c>
      <c r="CY82" s="2">
        <f t="shared" si="388"/>
        <v>4</v>
      </c>
      <c r="CZ82" s="2">
        <f t="shared" si="389"/>
        <v>4</v>
      </c>
      <c r="DA82" s="2">
        <f t="shared" si="390"/>
        <v>5</v>
      </c>
      <c r="DB82" s="2" t="e">
        <f t="shared" si="391"/>
        <v>#VALUE!</v>
      </c>
      <c r="DC82" s="2">
        <f t="shared" si="392"/>
        <v>5</v>
      </c>
      <c r="DD82" s="2">
        <f t="shared" si="393"/>
        <v>4</v>
      </c>
      <c r="DE82" s="2" t="e">
        <f t="shared" si="394"/>
        <v>#VALUE!</v>
      </c>
      <c r="DF82" s="2" t="b">
        <v>1</v>
      </c>
      <c r="DG82" s="2" t="b">
        <v>1</v>
      </c>
      <c r="DH82" s="2" t="b">
        <v>1</v>
      </c>
      <c r="DI82" s="2" t="b">
        <v>1</v>
      </c>
      <c r="DJ82" s="2" t="b">
        <v>0</v>
      </c>
      <c r="DK82" s="2" t="b">
        <v>1</v>
      </c>
      <c r="DL82" s="2" t="b">
        <v>1</v>
      </c>
      <c r="DM82" s="2" t="b">
        <v>0</v>
      </c>
      <c r="DN82" s="2" t="s">
        <v>1978</v>
      </c>
      <c r="DO82" s="2" t="s">
        <v>1978</v>
      </c>
      <c r="DP82" s="2" t="s">
        <v>1978</v>
      </c>
      <c r="DQ82" s="2" t="s">
        <v>1978</v>
      </c>
      <c r="DR82" s="2" t="s">
        <v>1978</v>
      </c>
      <c r="DS82" s="2" t="s">
        <v>1978</v>
      </c>
      <c r="DT82" s="2" t="s">
        <v>1978</v>
      </c>
      <c r="DU82" s="2" t="s">
        <v>1978</v>
      </c>
      <c r="DV82" s="2" t="s">
        <v>1978</v>
      </c>
      <c r="DW82" s="2" t="s">
        <v>1978</v>
      </c>
      <c r="DX82" s="2" t="s">
        <v>1978</v>
      </c>
      <c r="DY82" s="2" t="s">
        <v>1978</v>
      </c>
      <c r="DZ82" s="2" t="s">
        <v>1978</v>
      </c>
      <c r="EA82" s="2" t="s">
        <v>1978</v>
      </c>
      <c r="EB82" s="2" t="s">
        <v>1978</v>
      </c>
      <c r="EC82" s="2" t="s">
        <v>1978</v>
      </c>
      <c r="ED82" s="2" t="s">
        <v>1978</v>
      </c>
      <c r="EE82" s="2" t="s">
        <v>1978</v>
      </c>
      <c r="EF82" s="2" t="s">
        <v>1978</v>
      </c>
      <c r="EG82" s="2" t="s">
        <v>1978</v>
      </c>
      <c r="EH82" s="2" t="s">
        <v>1978</v>
      </c>
      <c r="EI82" s="2" t="s">
        <v>1978</v>
      </c>
      <c r="EJ82" s="2" t="s">
        <v>1978</v>
      </c>
      <c r="EK82" s="2" t="s">
        <v>1978</v>
      </c>
      <c r="EL82" s="2" t="s">
        <v>1978</v>
      </c>
      <c r="EM82" s="2" t="s">
        <v>1978</v>
      </c>
      <c r="EN82" s="2" t="s">
        <v>1978</v>
      </c>
      <c r="EO82" s="2" t="s">
        <v>1978</v>
      </c>
      <c r="EP82" s="2" t="s">
        <v>1978</v>
      </c>
      <c r="EQ82" s="2" t="s">
        <v>1978</v>
      </c>
      <c r="ER82" s="2" t="s">
        <v>1978</v>
      </c>
      <c r="ES82" s="2" t="s">
        <v>1978</v>
      </c>
    </row>
    <row r="83" spans="1:149" x14ac:dyDescent="0.3">
      <c r="A83" s="2" t="s">
        <v>397</v>
      </c>
      <c r="B83" s="2" t="s">
        <v>265</v>
      </c>
      <c r="C83" s="2" t="s">
        <v>2216</v>
      </c>
      <c r="D83" s="2" t="s">
        <v>402</v>
      </c>
      <c r="E83" s="11" t="s">
        <v>1967</v>
      </c>
      <c r="F83" s="2" t="s">
        <v>1970</v>
      </c>
      <c r="G83" s="2">
        <f t="shared" si="403"/>
        <v>31</v>
      </c>
      <c r="H83" s="2">
        <f t="shared" si="404"/>
        <v>30.5</v>
      </c>
      <c r="I83" s="2" t="s">
        <v>1970</v>
      </c>
      <c r="J83" s="2" t="s">
        <v>1970</v>
      </c>
      <c r="K83" s="2" t="s">
        <v>2740</v>
      </c>
      <c r="L83" s="2" t="s">
        <v>2867</v>
      </c>
      <c r="M83" s="2" t="s">
        <v>1978</v>
      </c>
      <c r="N83" s="344" t="s">
        <v>1978</v>
      </c>
      <c r="O83" s="344" t="s">
        <v>1978</v>
      </c>
      <c r="P83" s="344" t="s">
        <v>1978</v>
      </c>
      <c r="Q83" s="344" t="s">
        <v>1978</v>
      </c>
      <c r="R83" s="344" t="s">
        <v>1978</v>
      </c>
      <c r="S83" s="344" t="s">
        <v>1978</v>
      </c>
      <c r="T83" s="2" t="s">
        <v>398</v>
      </c>
      <c r="U83" s="2" t="s">
        <v>2150</v>
      </c>
      <c r="X83" s="344">
        <f>'A123'!J91</f>
        <v>30</v>
      </c>
      <c r="Y83" s="344">
        <f>'A123'!K91</f>
        <v>37</v>
      </c>
      <c r="Z83" s="344">
        <f>'A123'!L91</f>
        <v>23.741935483870968</v>
      </c>
      <c r="AA83" s="2" t="s">
        <v>2150</v>
      </c>
      <c r="AB83" s="2" t="str">
        <f>入學要求!X92</f>
        <v>/</v>
      </c>
      <c r="AC83" s="2" t="str">
        <f>入學要求!Y92</f>
        <v>/</v>
      </c>
      <c r="AD83" s="2" t="s">
        <v>1967</v>
      </c>
      <c r="AE83" s="2" t="s">
        <v>1970</v>
      </c>
      <c r="AF83" s="2" t="s">
        <v>1970</v>
      </c>
      <c r="AG83" s="2" t="s">
        <v>2740</v>
      </c>
      <c r="AH83" s="2" t="s">
        <v>2867</v>
      </c>
      <c r="AI83" s="2" t="s">
        <v>1970</v>
      </c>
      <c r="AJ83" s="2" t="s">
        <v>2928</v>
      </c>
      <c r="AK83" s="2" t="s">
        <v>2943</v>
      </c>
      <c r="AL83" s="2" t="s">
        <v>2929</v>
      </c>
      <c r="AM83" s="2" t="s">
        <v>1970</v>
      </c>
      <c r="AN83" s="2" t="s">
        <v>1970</v>
      </c>
      <c r="AO83" s="2" t="s">
        <v>1970</v>
      </c>
      <c r="AP83" s="251" t="s">
        <v>1978</v>
      </c>
      <c r="AQ83" s="344" t="s">
        <v>1970</v>
      </c>
      <c r="AR83" s="2" t="s">
        <v>2150</v>
      </c>
      <c r="AS83" s="2" t="s">
        <v>3608</v>
      </c>
      <c r="AT83" s="2" t="s">
        <v>1970</v>
      </c>
      <c r="AU83" s="2" t="s">
        <v>1970</v>
      </c>
      <c r="AV83" s="344" t="s">
        <v>3720</v>
      </c>
      <c r="AW83" s="344" t="s">
        <v>3727</v>
      </c>
      <c r="AX83" s="344" t="s">
        <v>3723</v>
      </c>
      <c r="AY83" s="344" t="s">
        <v>3722</v>
      </c>
      <c r="BB83" s="2">
        <v>1</v>
      </c>
      <c r="BC83" s="2">
        <v>2</v>
      </c>
      <c r="BD83" s="2">
        <v>1</v>
      </c>
      <c r="BE83" s="2">
        <v>1.5</v>
      </c>
      <c r="BF83" s="2">
        <v>1</v>
      </c>
      <c r="BG83" s="2">
        <v>1</v>
      </c>
      <c r="BH83" s="2">
        <v>1</v>
      </c>
      <c r="BI83" s="2">
        <v>1</v>
      </c>
      <c r="BJ83" s="2">
        <v>6</v>
      </c>
      <c r="BK83" s="2">
        <v>3</v>
      </c>
      <c r="BL83" s="2">
        <v>2</v>
      </c>
      <c r="BM83" s="2">
        <v>5</v>
      </c>
      <c r="BN83" s="2" t="s">
        <v>1970</v>
      </c>
      <c r="BO83" s="2">
        <v>5</v>
      </c>
      <c r="BP83" s="2">
        <v>4</v>
      </c>
      <c r="BQ83" s="2" t="s">
        <v>1970</v>
      </c>
      <c r="BR83" s="2">
        <f t="shared" si="395"/>
        <v>6</v>
      </c>
      <c r="BS83" s="2">
        <f t="shared" si="396"/>
        <v>6</v>
      </c>
      <c r="BT83" s="2">
        <f t="shared" si="397"/>
        <v>2</v>
      </c>
      <c r="BU83" s="2">
        <f t="shared" si="398"/>
        <v>7.5</v>
      </c>
      <c r="BV83" s="2" t="e">
        <f t="shared" si="399"/>
        <v>#VALUE!</v>
      </c>
      <c r="BW83" s="2">
        <f t="shared" si="400"/>
        <v>5</v>
      </c>
      <c r="BX83" s="2">
        <f t="shared" si="401"/>
        <v>4</v>
      </c>
      <c r="BY83" s="2" t="e">
        <f t="shared" si="402"/>
        <v>#VALUE!</v>
      </c>
      <c r="BZ83" s="2" t="b">
        <v>1</v>
      </c>
      <c r="CA83" s="2" t="b">
        <v>1</v>
      </c>
      <c r="CB83" s="2" t="b">
        <v>1</v>
      </c>
      <c r="CC83" s="2" t="b">
        <v>1</v>
      </c>
      <c r="CD83" s="2" t="b">
        <v>0</v>
      </c>
      <c r="CE83" s="2" t="b">
        <v>1</v>
      </c>
      <c r="CF83" s="2" t="b">
        <v>1</v>
      </c>
      <c r="CG83" s="2" t="b">
        <v>0</v>
      </c>
      <c r="CH83" s="2">
        <v>1</v>
      </c>
      <c r="CI83" s="2">
        <v>2</v>
      </c>
      <c r="CJ83" s="2">
        <v>1</v>
      </c>
      <c r="CK83" s="2">
        <v>1.5</v>
      </c>
      <c r="CL83" s="2">
        <v>1</v>
      </c>
      <c r="CM83" s="2">
        <v>1</v>
      </c>
      <c r="CN83" s="2">
        <v>1</v>
      </c>
      <c r="CO83" s="2">
        <v>1</v>
      </c>
      <c r="CP83" s="2">
        <v>6</v>
      </c>
      <c r="CQ83" s="2">
        <v>4</v>
      </c>
      <c r="CR83" s="2">
        <v>3</v>
      </c>
      <c r="CS83" s="2">
        <v>4</v>
      </c>
      <c r="CT83" s="2" t="s">
        <v>1970</v>
      </c>
      <c r="CU83" s="2">
        <v>4</v>
      </c>
      <c r="CV83" s="2">
        <v>4</v>
      </c>
      <c r="CW83" s="2" t="s">
        <v>1970</v>
      </c>
      <c r="CX83" s="2">
        <f t="shared" si="387"/>
        <v>6</v>
      </c>
      <c r="CY83" s="2">
        <f t="shared" si="388"/>
        <v>8</v>
      </c>
      <c r="CZ83" s="2">
        <f t="shared" si="389"/>
        <v>3</v>
      </c>
      <c r="DA83" s="2">
        <f t="shared" si="390"/>
        <v>6</v>
      </c>
      <c r="DB83" s="2" t="e">
        <f t="shared" si="391"/>
        <v>#VALUE!</v>
      </c>
      <c r="DC83" s="2">
        <f t="shared" si="392"/>
        <v>4</v>
      </c>
      <c r="DD83" s="2">
        <f t="shared" si="393"/>
        <v>4</v>
      </c>
      <c r="DE83" s="2" t="e">
        <f t="shared" si="394"/>
        <v>#VALUE!</v>
      </c>
      <c r="DF83" s="2" t="b">
        <v>1</v>
      </c>
      <c r="DG83" s="2" t="b">
        <v>1</v>
      </c>
      <c r="DH83" s="2" t="b">
        <v>1</v>
      </c>
      <c r="DI83" s="2" t="b">
        <v>1</v>
      </c>
      <c r="DJ83" s="2" t="b">
        <v>0</v>
      </c>
      <c r="DK83" s="2" t="b">
        <v>1</v>
      </c>
      <c r="DL83" s="2" t="b">
        <v>1</v>
      </c>
      <c r="DM83" s="2" t="b">
        <v>0</v>
      </c>
      <c r="DN83" s="2" t="s">
        <v>1978</v>
      </c>
      <c r="DO83" s="2" t="s">
        <v>1978</v>
      </c>
      <c r="DP83" s="2" t="s">
        <v>1978</v>
      </c>
      <c r="DQ83" s="2" t="s">
        <v>1978</v>
      </c>
      <c r="DR83" s="2" t="s">
        <v>1978</v>
      </c>
      <c r="DS83" s="2" t="s">
        <v>1978</v>
      </c>
      <c r="DT83" s="2" t="s">
        <v>1978</v>
      </c>
      <c r="DU83" s="2" t="s">
        <v>1978</v>
      </c>
      <c r="DV83" s="2" t="s">
        <v>1978</v>
      </c>
      <c r="DW83" s="2" t="s">
        <v>1978</v>
      </c>
      <c r="DX83" s="2" t="s">
        <v>1978</v>
      </c>
      <c r="DY83" s="2" t="s">
        <v>1978</v>
      </c>
      <c r="DZ83" s="2" t="s">
        <v>1978</v>
      </c>
      <c r="EA83" s="2" t="s">
        <v>1978</v>
      </c>
      <c r="EB83" s="2" t="s">
        <v>1978</v>
      </c>
      <c r="EC83" s="2" t="s">
        <v>1978</v>
      </c>
      <c r="ED83" s="2" t="s">
        <v>1978</v>
      </c>
      <c r="EE83" s="2" t="s">
        <v>1978</v>
      </c>
      <c r="EF83" s="2" t="s">
        <v>1978</v>
      </c>
      <c r="EG83" s="2" t="s">
        <v>1978</v>
      </c>
      <c r="EH83" s="2" t="s">
        <v>1978</v>
      </c>
      <c r="EI83" s="2" t="s">
        <v>1978</v>
      </c>
      <c r="EJ83" s="2" t="s">
        <v>1978</v>
      </c>
      <c r="EK83" s="2" t="s">
        <v>1978</v>
      </c>
      <c r="EL83" s="2" t="s">
        <v>1978</v>
      </c>
      <c r="EM83" s="2" t="s">
        <v>1978</v>
      </c>
      <c r="EN83" s="2" t="s">
        <v>1978</v>
      </c>
      <c r="EO83" s="2" t="s">
        <v>1978</v>
      </c>
      <c r="EP83" s="2" t="s">
        <v>1978</v>
      </c>
      <c r="EQ83" s="2" t="s">
        <v>1978</v>
      </c>
      <c r="ER83" s="2" t="s">
        <v>1978</v>
      </c>
      <c r="ES83" s="2" t="s">
        <v>1978</v>
      </c>
    </row>
    <row r="84" spans="1:149" ht="13.95" customHeight="1" x14ac:dyDescent="0.3">
      <c r="A84" s="2" t="s">
        <v>411</v>
      </c>
      <c r="B84" s="2" t="s">
        <v>265</v>
      </c>
      <c r="C84" s="2" t="s">
        <v>2906</v>
      </c>
      <c r="D84" s="2" t="s">
        <v>416</v>
      </c>
      <c r="E84" s="2" t="s">
        <v>2171</v>
      </c>
      <c r="F84" s="2" t="s">
        <v>1970</v>
      </c>
      <c r="G84" s="2">
        <f t="shared" si="403"/>
        <v>21</v>
      </c>
      <c r="H84" s="2">
        <f t="shared" si="404"/>
        <v>20</v>
      </c>
      <c r="I84" s="2" t="s">
        <v>2182</v>
      </c>
      <c r="J84" s="2" t="s">
        <v>1970</v>
      </c>
      <c r="K84" s="2" t="s">
        <v>1970</v>
      </c>
      <c r="L84" s="2" t="s">
        <v>1970</v>
      </c>
      <c r="M84" s="2" t="s">
        <v>1978</v>
      </c>
      <c r="N84" s="344" t="s">
        <v>1978</v>
      </c>
      <c r="O84" s="344" t="s">
        <v>1978</v>
      </c>
      <c r="P84" s="344" t="s">
        <v>1978</v>
      </c>
      <c r="Q84" s="344" t="s">
        <v>1978</v>
      </c>
      <c r="R84" s="344" t="s">
        <v>1978</v>
      </c>
      <c r="S84" s="344" t="s">
        <v>1978</v>
      </c>
      <c r="T84" s="2" t="s">
        <v>412</v>
      </c>
      <c r="U84" s="2" t="s">
        <v>2150</v>
      </c>
      <c r="X84" s="344">
        <f>'A123'!J92</f>
        <v>40</v>
      </c>
      <c r="Y84" s="344">
        <f>'A123'!K92</f>
        <v>53</v>
      </c>
      <c r="Z84" s="344">
        <f>'A123'!L92</f>
        <v>13.471698113207546</v>
      </c>
      <c r="AA84" s="2" t="s">
        <v>2150</v>
      </c>
      <c r="AB84" s="2" t="str">
        <f>入學要求!X93</f>
        <v>/</v>
      </c>
      <c r="AC84" s="2" t="str">
        <f>入學要求!Y93</f>
        <v>/</v>
      </c>
      <c r="AD84" s="2" t="s">
        <v>1977</v>
      </c>
      <c r="AE84" s="2" t="s">
        <v>2182</v>
      </c>
      <c r="AF84" s="2" t="s">
        <v>1970</v>
      </c>
      <c r="AG84" s="2" t="s">
        <v>1970</v>
      </c>
      <c r="AH84" s="2" t="s">
        <v>1970</v>
      </c>
      <c r="AI84" s="2" t="s">
        <v>1970</v>
      </c>
      <c r="AJ84" s="2" t="s">
        <v>2928</v>
      </c>
      <c r="AK84" s="2" t="s">
        <v>2943</v>
      </c>
      <c r="AL84" s="2" t="s">
        <v>2929</v>
      </c>
      <c r="AM84" s="2" t="s">
        <v>2954</v>
      </c>
      <c r="AN84" s="182" t="s">
        <v>2955</v>
      </c>
      <c r="AO84" s="2" t="s">
        <v>1970</v>
      </c>
      <c r="AP84" s="251" t="s">
        <v>1978</v>
      </c>
      <c r="AQ84" s="344" t="s">
        <v>1970</v>
      </c>
      <c r="AR84" s="2" t="s">
        <v>2150</v>
      </c>
      <c r="AS84" s="2" t="s">
        <v>3620</v>
      </c>
      <c r="AT84" s="2" t="s">
        <v>3629</v>
      </c>
      <c r="AU84" s="565">
        <v>44774</v>
      </c>
      <c r="AV84" s="344" t="s">
        <v>3720</v>
      </c>
      <c r="AW84" s="344" t="s">
        <v>3727</v>
      </c>
      <c r="AX84" s="344" t="s">
        <v>3723</v>
      </c>
      <c r="AY84" s="565"/>
      <c r="AZ84" s="565"/>
      <c r="BA84" s="565"/>
      <c r="BB84" s="2">
        <v>1</v>
      </c>
      <c r="BC84" s="2">
        <v>1</v>
      </c>
      <c r="BD84" s="2">
        <v>1</v>
      </c>
      <c r="BE84" s="2">
        <v>1</v>
      </c>
      <c r="BF84" s="2">
        <v>1</v>
      </c>
      <c r="BG84" s="2">
        <v>1</v>
      </c>
      <c r="BH84" s="2">
        <v>1</v>
      </c>
      <c r="BI84" s="2">
        <v>1</v>
      </c>
      <c r="BJ84" s="2">
        <v>4</v>
      </c>
      <c r="BK84" s="2">
        <v>5</v>
      </c>
      <c r="BL84" s="2">
        <v>4</v>
      </c>
      <c r="BM84" s="2">
        <v>4</v>
      </c>
      <c r="BN84" s="2" t="s">
        <v>1970</v>
      </c>
      <c r="BO84" s="2">
        <v>3</v>
      </c>
      <c r="BP84" s="2">
        <v>3</v>
      </c>
      <c r="BQ84" s="2" t="s">
        <v>1970</v>
      </c>
      <c r="BR84" s="2">
        <f t="shared" si="395"/>
        <v>4</v>
      </c>
      <c r="BS84" s="2">
        <f t="shared" si="396"/>
        <v>5</v>
      </c>
      <c r="BT84" s="2">
        <f t="shared" si="397"/>
        <v>4</v>
      </c>
      <c r="BU84" s="2">
        <f t="shared" si="398"/>
        <v>4</v>
      </c>
      <c r="BV84" s="2" t="e">
        <f t="shared" si="399"/>
        <v>#VALUE!</v>
      </c>
      <c r="BW84" s="2">
        <f t="shared" si="400"/>
        <v>3</v>
      </c>
      <c r="BX84" s="2">
        <f t="shared" si="401"/>
        <v>3</v>
      </c>
      <c r="BY84" s="2" t="e">
        <f t="shared" si="402"/>
        <v>#VALUE!</v>
      </c>
      <c r="BZ84" s="2" t="b">
        <v>1</v>
      </c>
      <c r="CA84" s="2" t="b">
        <v>1</v>
      </c>
      <c r="CB84" s="2" t="b">
        <v>1</v>
      </c>
      <c r="CC84" s="2" t="b">
        <v>1</v>
      </c>
      <c r="CD84" s="2" t="b">
        <v>0</v>
      </c>
      <c r="CE84" s="2" t="b">
        <v>1</v>
      </c>
      <c r="CF84" s="2" t="b">
        <v>0</v>
      </c>
      <c r="CG84" s="2" t="b">
        <v>0</v>
      </c>
      <c r="CH84" s="2">
        <v>1</v>
      </c>
      <c r="CI84" s="2">
        <v>1</v>
      </c>
      <c r="CJ84" s="2">
        <v>1</v>
      </c>
      <c r="CK84" s="2">
        <v>1</v>
      </c>
      <c r="CL84" s="2">
        <v>1</v>
      </c>
      <c r="CM84" s="2">
        <v>1</v>
      </c>
      <c r="CN84" s="2">
        <v>1</v>
      </c>
      <c r="CO84" s="2">
        <v>1</v>
      </c>
      <c r="CP84" s="2">
        <v>6</v>
      </c>
      <c r="CQ84" s="2">
        <v>4</v>
      </c>
      <c r="CR84" s="2">
        <v>4</v>
      </c>
      <c r="CS84" s="2">
        <v>4</v>
      </c>
      <c r="CT84" s="2" t="s">
        <v>1970</v>
      </c>
      <c r="CU84" s="2">
        <v>3</v>
      </c>
      <c r="CV84" s="2">
        <v>3</v>
      </c>
      <c r="CW84" s="2" t="s">
        <v>1970</v>
      </c>
      <c r="CX84" s="2">
        <f t="shared" si="387"/>
        <v>6</v>
      </c>
      <c r="CY84" s="2">
        <f t="shared" si="388"/>
        <v>4</v>
      </c>
      <c r="CZ84" s="2">
        <f t="shared" si="389"/>
        <v>4</v>
      </c>
      <c r="DA84" s="2">
        <f t="shared" si="390"/>
        <v>4</v>
      </c>
      <c r="DB84" s="2" t="e">
        <f t="shared" si="391"/>
        <v>#VALUE!</v>
      </c>
      <c r="DC84" s="2">
        <f t="shared" si="392"/>
        <v>3</v>
      </c>
      <c r="DD84" s="2">
        <f t="shared" si="393"/>
        <v>3</v>
      </c>
      <c r="DE84" s="2" t="e">
        <f t="shared" si="394"/>
        <v>#VALUE!</v>
      </c>
      <c r="DF84" s="2" t="b">
        <v>1</v>
      </c>
      <c r="DG84" s="2" t="b">
        <v>1</v>
      </c>
      <c r="DH84" s="2" t="b">
        <v>1</v>
      </c>
      <c r="DI84" s="2" t="b">
        <v>1</v>
      </c>
      <c r="DJ84" s="2" t="b">
        <v>0</v>
      </c>
      <c r="DK84" s="2" t="b">
        <v>1</v>
      </c>
      <c r="DL84" s="2" t="b">
        <v>0</v>
      </c>
      <c r="DM84" s="2" t="b">
        <v>0</v>
      </c>
      <c r="DN84" s="2" t="s">
        <v>1978</v>
      </c>
      <c r="DO84" s="2" t="s">
        <v>1978</v>
      </c>
      <c r="DP84" s="2" t="s">
        <v>1978</v>
      </c>
      <c r="DQ84" s="2" t="s">
        <v>1978</v>
      </c>
      <c r="DR84" s="2" t="s">
        <v>1978</v>
      </c>
      <c r="DS84" s="2" t="s">
        <v>1978</v>
      </c>
      <c r="DT84" s="2" t="s">
        <v>1978</v>
      </c>
      <c r="DU84" s="2" t="s">
        <v>1978</v>
      </c>
      <c r="DV84" s="2" t="s">
        <v>1978</v>
      </c>
      <c r="DW84" s="2" t="s">
        <v>1978</v>
      </c>
      <c r="DX84" s="2" t="s">
        <v>1978</v>
      </c>
      <c r="DY84" s="2" t="s">
        <v>1978</v>
      </c>
      <c r="DZ84" s="2" t="s">
        <v>1978</v>
      </c>
      <c r="EA84" s="2" t="s">
        <v>1978</v>
      </c>
      <c r="EB84" s="2" t="s">
        <v>1978</v>
      </c>
      <c r="EC84" s="2" t="s">
        <v>1978</v>
      </c>
      <c r="ED84" s="2" t="s">
        <v>1978</v>
      </c>
      <c r="EE84" s="2" t="s">
        <v>1978</v>
      </c>
      <c r="EF84" s="2" t="s">
        <v>1978</v>
      </c>
      <c r="EG84" s="2" t="s">
        <v>1978</v>
      </c>
      <c r="EH84" s="2" t="s">
        <v>1978</v>
      </c>
      <c r="EI84" s="2" t="s">
        <v>1978</v>
      </c>
      <c r="EJ84" s="2" t="s">
        <v>1978</v>
      </c>
      <c r="EK84" s="2" t="s">
        <v>1978</v>
      </c>
      <c r="EL84" s="2" t="s">
        <v>1978</v>
      </c>
      <c r="EM84" s="2" t="s">
        <v>1978</v>
      </c>
      <c r="EN84" s="2" t="s">
        <v>1978</v>
      </c>
      <c r="EO84" s="2" t="s">
        <v>1978</v>
      </c>
      <c r="EP84" s="2" t="s">
        <v>1978</v>
      </c>
      <c r="EQ84" s="2" t="s">
        <v>1978</v>
      </c>
      <c r="ER84" s="2" t="s">
        <v>1978</v>
      </c>
      <c r="ES84" s="2" t="s">
        <v>1978</v>
      </c>
    </row>
    <row r="85" spans="1:149" x14ac:dyDescent="0.3">
      <c r="A85" s="2" t="s">
        <v>417</v>
      </c>
      <c r="B85" s="2" t="s">
        <v>265</v>
      </c>
      <c r="C85" s="2" t="s">
        <v>2910</v>
      </c>
      <c r="D85" s="2" t="s">
        <v>422</v>
      </c>
      <c r="E85" s="2" t="s">
        <v>2153</v>
      </c>
      <c r="F85" s="2" t="s">
        <v>1970</v>
      </c>
      <c r="G85" s="2">
        <f t="shared" si="403"/>
        <v>22</v>
      </c>
      <c r="H85" s="2">
        <f t="shared" si="404"/>
        <v>21</v>
      </c>
      <c r="I85" s="2" t="s">
        <v>1970</v>
      </c>
      <c r="J85" s="2" t="s">
        <v>1970</v>
      </c>
      <c r="K85" s="2" t="s">
        <v>1970</v>
      </c>
      <c r="L85" s="2" t="s">
        <v>1970</v>
      </c>
      <c r="M85" s="2" t="s">
        <v>1978</v>
      </c>
      <c r="N85" s="344" t="s">
        <v>1978</v>
      </c>
      <c r="O85" s="344" t="s">
        <v>1978</v>
      </c>
      <c r="P85" s="344" t="s">
        <v>1978</v>
      </c>
      <c r="Q85" s="344" t="s">
        <v>1978</v>
      </c>
      <c r="R85" s="344" t="s">
        <v>1978</v>
      </c>
      <c r="S85" s="344" t="s">
        <v>1978</v>
      </c>
      <c r="T85" s="2" t="s">
        <v>418</v>
      </c>
      <c r="U85" s="2" t="s">
        <v>2150</v>
      </c>
      <c r="X85" s="344">
        <f>'A123'!J93</f>
        <v>15</v>
      </c>
      <c r="Y85" s="344">
        <f>'A123'!K93</f>
        <v>20</v>
      </c>
      <c r="Z85" s="344">
        <f>'A123'!L93</f>
        <v>12.090909090909092</v>
      </c>
      <c r="AA85" s="2" t="s">
        <v>2150</v>
      </c>
      <c r="AB85" s="2" t="str">
        <f>入學要求!X94</f>
        <v>/</v>
      </c>
      <c r="AC85" s="2" t="str">
        <f>入學要求!Y94</f>
        <v>/</v>
      </c>
      <c r="AD85" s="2" t="s">
        <v>2153</v>
      </c>
      <c r="AE85" s="2" t="s">
        <v>1970</v>
      </c>
      <c r="AF85" s="2" t="s">
        <v>1970</v>
      </c>
      <c r="AG85" s="2" t="s">
        <v>1970</v>
      </c>
      <c r="AH85" s="2" t="s">
        <v>1970</v>
      </c>
      <c r="AI85" s="2" t="s">
        <v>1970</v>
      </c>
      <c r="AJ85" s="2" t="s">
        <v>2928</v>
      </c>
      <c r="AK85" s="2" t="s">
        <v>2151</v>
      </c>
      <c r="AL85" s="2" t="s">
        <v>2929</v>
      </c>
      <c r="AM85" s="2" t="s">
        <v>1970</v>
      </c>
      <c r="AN85" s="2" t="s">
        <v>1970</v>
      </c>
      <c r="AO85" s="2" t="s">
        <v>1970</v>
      </c>
      <c r="AP85" s="251" t="s">
        <v>1978</v>
      </c>
      <c r="AQ85" s="344" t="s">
        <v>1970</v>
      </c>
      <c r="AR85" s="2" t="s">
        <v>2150</v>
      </c>
      <c r="AS85" s="2" t="s">
        <v>3620</v>
      </c>
      <c r="AT85" s="2" t="s">
        <v>3630</v>
      </c>
      <c r="AU85" s="2" t="s">
        <v>3622</v>
      </c>
      <c r="AV85" s="344" t="s">
        <v>3720</v>
      </c>
      <c r="AW85" s="344" t="s">
        <v>3727</v>
      </c>
      <c r="AX85" s="344" t="s">
        <v>3723</v>
      </c>
      <c r="BB85" s="2">
        <v>1</v>
      </c>
      <c r="BC85" s="2">
        <v>1</v>
      </c>
      <c r="BD85" s="2">
        <v>1</v>
      </c>
      <c r="BE85" s="2">
        <v>1</v>
      </c>
      <c r="BF85" s="2">
        <v>1</v>
      </c>
      <c r="BG85" s="2">
        <v>1</v>
      </c>
      <c r="BH85" s="2">
        <v>1</v>
      </c>
      <c r="BI85" s="2">
        <v>1</v>
      </c>
      <c r="BJ85" s="2">
        <v>4</v>
      </c>
      <c r="BK85" s="2">
        <v>3</v>
      </c>
      <c r="BL85" s="2">
        <v>5</v>
      </c>
      <c r="BM85" s="2">
        <v>3</v>
      </c>
      <c r="BN85" s="2" t="s">
        <v>1970</v>
      </c>
      <c r="BO85" s="2">
        <v>3</v>
      </c>
      <c r="BP85" s="2">
        <v>3</v>
      </c>
      <c r="BQ85" s="2">
        <v>2</v>
      </c>
      <c r="BR85" s="2">
        <f t="shared" si="395"/>
        <v>4</v>
      </c>
      <c r="BS85" s="2">
        <f t="shared" si="396"/>
        <v>3</v>
      </c>
      <c r="BT85" s="2">
        <f t="shared" si="397"/>
        <v>5</v>
      </c>
      <c r="BU85" s="2">
        <f t="shared" si="398"/>
        <v>3</v>
      </c>
      <c r="BV85" s="2" t="e">
        <f t="shared" si="399"/>
        <v>#VALUE!</v>
      </c>
      <c r="BW85" s="2">
        <f t="shared" si="400"/>
        <v>3</v>
      </c>
      <c r="BX85" s="2">
        <f t="shared" si="401"/>
        <v>3</v>
      </c>
      <c r="BY85" s="2">
        <f t="shared" si="402"/>
        <v>2</v>
      </c>
      <c r="BZ85" s="2" t="b">
        <v>1</v>
      </c>
      <c r="CA85" s="2" t="b">
        <v>1</v>
      </c>
      <c r="CB85" s="2" t="b">
        <v>1</v>
      </c>
      <c r="CC85" s="2" t="b">
        <v>1</v>
      </c>
      <c r="CD85" s="2" t="b">
        <v>0</v>
      </c>
      <c r="CE85" s="2" t="b">
        <v>1</v>
      </c>
      <c r="CF85" s="2" t="b">
        <v>1</v>
      </c>
      <c r="CG85" s="2" t="b">
        <v>0</v>
      </c>
      <c r="CH85" s="2">
        <v>1</v>
      </c>
      <c r="CI85" s="2">
        <v>1</v>
      </c>
      <c r="CJ85" s="2">
        <v>1</v>
      </c>
      <c r="CK85" s="2">
        <v>1</v>
      </c>
      <c r="CL85" s="2">
        <v>1</v>
      </c>
      <c r="CM85" s="2">
        <v>1</v>
      </c>
      <c r="CN85" s="2">
        <v>1</v>
      </c>
      <c r="CO85" s="2">
        <v>1</v>
      </c>
      <c r="CP85" s="2">
        <v>4</v>
      </c>
      <c r="CQ85" s="2">
        <v>3</v>
      </c>
      <c r="CR85" s="2">
        <v>4</v>
      </c>
      <c r="CS85" s="2">
        <v>3</v>
      </c>
      <c r="CT85" s="2" t="s">
        <v>1970</v>
      </c>
      <c r="CU85" s="2">
        <v>4</v>
      </c>
      <c r="CV85" s="2">
        <v>4</v>
      </c>
      <c r="CW85" s="2" t="s">
        <v>1970</v>
      </c>
      <c r="CX85" s="2">
        <f t="shared" si="387"/>
        <v>4</v>
      </c>
      <c r="CY85" s="2">
        <f t="shared" si="388"/>
        <v>3</v>
      </c>
      <c r="CZ85" s="2">
        <f t="shared" si="389"/>
        <v>4</v>
      </c>
      <c r="DA85" s="2">
        <f t="shared" si="390"/>
        <v>3</v>
      </c>
      <c r="DB85" s="2" t="e">
        <f t="shared" si="391"/>
        <v>#VALUE!</v>
      </c>
      <c r="DC85" s="2">
        <f t="shared" si="392"/>
        <v>4</v>
      </c>
      <c r="DD85" s="2">
        <f t="shared" si="393"/>
        <v>4</v>
      </c>
      <c r="DE85" s="2" t="e">
        <f t="shared" si="394"/>
        <v>#VALUE!</v>
      </c>
      <c r="DF85" s="2" t="b">
        <v>1</v>
      </c>
      <c r="DG85" s="2" t="b">
        <v>1</v>
      </c>
      <c r="DH85" s="2" t="b">
        <v>1</v>
      </c>
      <c r="DI85" s="2" t="b">
        <v>1</v>
      </c>
      <c r="DJ85" s="2" t="b">
        <v>0</v>
      </c>
      <c r="DK85" s="2" t="b">
        <v>1</v>
      </c>
      <c r="DL85" s="2" t="b">
        <v>1</v>
      </c>
      <c r="DM85" s="2" t="b">
        <v>0</v>
      </c>
      <c r="DN85" s="2" t="s">
        <v>1978</v>
      </c>
      <c r="DO85" s="2" t="s">
        <v>1978</v>
      </c>
      <c r="DP85" s="2" t="s">
        <v>1978</v>
      </c>
      <c r="DQ85" s="2" t="s">
        <v>1978</v>
      </c>
      <c r="DR85" s="2" t="s">
        <v>1978</v>
      </c>
      <c r="DS85" s="2" t="s">
        <v>1978</v>
      </c>
      <c r="DT85" s="2" t="s">
        <v>1978</v>
      </c>
      <c r="DU85" s="2" t="s">
        <v>1978</v>
      </c>
      <c r="DV85" s="2" t="s">
        <v>1978</v>
      </c>
      <c r="DW85" s="2" t="s">
        <v>1978</v>
      </c>
      <c r="DX85" s="2" t="s">
        <v>1978</v>
      </c>
      <c r="DY85" s="2" t="s">
        <v>1978</v>
      </c>
      <c r="DZ85" s="2" t="s">
        <v>1978</v>
      </c>
      <c r="EA85" s="2" t="s">
        <v>1978</v>
      </c>
      <c r="EB85" s="2" t="s">
        <v>1978</v>
      </c>
      <c r="EC85" s="2" t="s">
        <v>1978</v>
      </c>
      <c r="ED85" s="2" t="s">
        <v>1978</v>
      </c>
      <c r="EE85" s="2" t="s">
        <v>1978</v>
      </c>
      <c r="EF85" s="2" t="s">
        <v>1978</v>
      </c>
      <c r="EG85" s="2" t="s">
        <v>1978</v>
      </c>
      <c r="EH85" s="2" t="s">
        <v>1978</v>
      </c>
      <c r="EI85" s="2" t="s">
        <v>1978</v>
      </c>
      <c r="EJ85" s="2" t="s">
        <v>1978</v>
      </c>
      <c r="EK85" s="2" t="s">
        <v>1978</v>
      </c>
      <c r="EL85" s="2" t="s">
        <v>1978</v>
      </c>
      <c r="EM85" s="2" t="s">
        <v>1978</v>
      </c>
      <c r="EN85" s="2" t="s">
        <v>1978</v>
      </c>
      <c r="EO85" s="2" t="s">
        <v>1978</v>
      </c>
      <c r="EP85" s="2" t="s">
        <v>1978</v>
      </c>
      <c r="EQ85" s="2" t="s">
        <v>1978</v>
      </c>
      <c r="ER85" s="2" t="s">
        <v>1978</v>
      </c>
      <c r="ES85" s="2" t="s">
        <v>1978</v>
      </c>
    </row>
    <row r="86" spans="1:149" x14ac:dyDescent="0.3">
      <c r="A86" s="2" t="s">
        <v>2908</v>
      </c>
      <c r="B86" s="2" t="s">
        <v>265</v>
      </c>
      <c r="C86" s="2" t="s">
        <v>2910</v>
      </c>
      <c r="D86" s="2" t="s">
        <v>426</v>
      </c>
      <c r="E86" s="59" t="s">
        <v>2916</v>
      </c>
      <c r="F86" s="2" t="s">
        <v>1970</v>
      </c>
      <c r="G86" s="2" t="s">
        <v>1978</v>
      </c>
      <c r="H86" s="2" t="s">
        <v>1978</v>
      </c>
      <c r="I86" s="2" t="s">
        <v>1970</v>
      </c>
      <c r="J86" s="2" t="s">
        <v>1970</v>
      </c>
      <c r="K86" s="2" t="s">
        <v>2915</v>
      </c>
      <c r="L86" s="2" t="s">
        <v>1970</v>
      </c>
      <c r="M86" s="2" t="s">
        <v>1978</v>
      </c>
      <c r="N86" s="344" t="s">
        <v>1978</v>
      </c>
      <c r="O86" s="344" t="s">
        <v>1978</v>
      </c>
      <c r="P86" s="344" t="s">
        <v>1978</v>
      </c>
      <c r="Q86" s="344" t="s">
        <v>1978</v>
      </c>
      <c r="R86" s="344" t="s">
        <v>1978</v>
      </c>
      <c r="S86" s="344" t="s">
        <v>1978</v>
      </c>
      <c r="T86" s="2" t="s">
        <v>424</v>
      </c>
      <c r="U86" s="2" t="s">
        <v>2150</v>
      </c>
      <c r="X86" s="344">
        <f>'A123'!J94</f>
        <v>40</v>
      </c>
      <c r="Y86" s="344" t="str">
        <f>'A123'!K94</f>
        <v>/</v>
      </c>
      <c r="Z86" s="344" t="str">
        <f>'A123'!L94</f>
        <v>新科目</v>
      </c>
      <c r="AA86" s="2" t="s">
        <v>2150</v>
      </c>
      <c r="AB86" s="2" t="str">
        <f>入學要求!X95</f>
        <v>/</v>
      </c>
      <c r="AC86" s="2" t="str">
        <f>入學要求!Y95</f>
        <v>/</v>
      </c>
      <c r="AD86" s="2" t="s">
        <v>1967</v>
      </c>
      <c r="AE86" s="2" t="s">
        <v>1970</v>
      </c>
      <c r="AF86" s="2" t="s">
        <v>1970</v>
      </c>
      <c r="AG86" s="2" t="s">
        <v>2915</v>
      </c>
      <c r="AH86" s="2" t="s">
        <v>1970</v>
      </c>
      <c r="AI86" s="2" t="s">
        <v>1970</v>
      </c>
      <c r="AJ86" s="2" t="s">
        <v>2928</v>
      </c>
      <c r="AK86" s="2" t="s">
        <v>2151</v>
      </c>
      <c r="AL86" s="2" t="s">
        <v>2929</v>
      </c>
      <c r="AM86" s="2" t="s">
        <v>2956</v>
      </c>
      <c r="AN86" s="2" t="s">
        <v>1970</v>
      </c>
      <c r="AO86" s="2" t="s">
        <v>1970</v>
      </c>
      <c r="AP86" s="251" t="s">
        <v>1978</v>
      </c>
      <c r="AQ86" s="344" t="s">
        <v>1970</v>
      </c>
      <c r="AR86" s="2" t="s">
        <v>2150</v>
      </c>
      <c r="AS86" s="2" t="s">
        <v>3620</v>
      </c>
      <c r="AT86" s="2" t="s">
        <v>3630</v>
      </c>
      <c r="AU86" s="2" t="s">
        <v>3622</v>
      </c>
      <c r="AV86" s="344" t="s">
        <v>3720</v>
      </c>
      <c r="AW86" s="344" t="s">
        <v>3727</v>
      </c>
      <c r="AX86" s="344" t="s">
        <v>3723</v>
      </c>
      <c r="AY86" s="344" t="s">
        <v>3722</v>
      </c>
      <c r="BB86" s="2">
        <v>1</v>
      </c>
      <c r="BC86" s="2">
        <v>1</v>
      </c>
      <c r="BD86" s="2">
        <v>1.2</v>
      </c>
      <c r="BE86" s="2">
        <v>1</v>
      </c>
      <c r="BF86" s="2">
        <v>1</v>
      </c>
      <c r="BG86" s="2">
        <v>1</v>
      </c>
      <c r="BH86" s="2">
        <v>1</v>
      </c>
      <c r="BI86" s="2">
        <v>1</v>
      </c>
      <c r="BJ86" s="2" t="s">
        <v>1970</v>
      </c>
      <c r="BK86" s="2" t="s">
        <v>1970</v>
      </c>
      <c r="BL86" s="2" t="s">
        <v>1970</v>
      </c>
      <c r="BM86" s="2" t="s">
        <v>1970</v>
      </c>
      <c r="BN86" s="2" t="s">
        <v>1970</v>
      </c>
      <c r="BO86" s="2" t="s">
        <v>1970</v>
      </c>
      <c r="BP86" s="2" t="s">
        <v>1970</v>
      </c>
      <c r="BQ86" s="2" t="s">
        <v>1970</v>
      </c>
      <c r="BR86" s="2" t="e">
        <f t="shared" si="395"/>
        <v>#VALUE!</v>
      </c>
      <c r="BS86" s="2" t="e">
        <f t="shared" si="396"/>
        <v>#VALUE!</v>
      </c>
      <c r="BT86" s="2" t="e">
        <f t="shared" si="397"/>
        <v>#VALUE!</v>
      </c>
      <c r="BU86" s="2" t="e">
        <f t="shared" si="398"/>
        <v>#VALUE!</v>
      </c>
      <c r="BV86" s="2" t="e">
        <f t="shared" si="399"/>
        <v>#VALUE!</v>
      </c>
      <c r="BW86" s="2" t="e">
        <f t="shared" si="400"/>
        <v>#VALUE!</v>
      </c>
      <c r="BX86" s="2" t="e">
        <f t="shared" si="401"/>
        <v>#VALUE!</v>
      </c>
      <c r="BY86" s="2" t="e">
        <f t="shared" si="402"/>
        <v>#VALUE!</v>
      </c>
      <c r="BZ86" s="2" t="s">
        <v>1970</v>
      </c>
      <c r="CA86" s="2" t="s">
        <v>1970</v>
      </c>
      <c r="CB86" s="2" t="s">
        <v>1970</v>
      </c>
      <c r="CC86" s="2" t="s">
        <v>1970</v>
      </c>
      <c r="CD86" s="2" t="s">
        <v>1970</v>
      </c>
      <c r="CE86" s="2" t="s">
        <v>1970</v>
      </c>
      <c r="CF86" s="2" t="s">
        <v>1970</v>
      </c>
      <c r="CG86" s="2" t="s">
        <v>1970</v>
      </c>
      <c r="CH86" s="2">
        <v>1</v>
      </c>
      <c r="CI86" s="2">
        <v>1</v>
      </c>
      <c r="CJ86" s="2">
        <v>1.2</v>
      </c>
      <c r="CK86" s="2">
        <v>1</v>
      </c>
      <c r="CL86" s="2">
        <v>1</v>
      </c>
      <c r="CM86" s="2">
        <v>1</v>
      </c>
      <c r="CN86" s="2">
        <v>1</v>
      </c>
      <c r="CO86" s="2">
        <v>1</v>
      </c>
      <c r="CP86" s="2" t="s">
        <v>1970</v>
      </c>
      <c r="CQ86" s="2" t="s">
        <v>1970</v>
      </c>
      <c r="CR86" s="2" t="s">
        <v>1970</v>
      </c>
      <c r="CS86" s="2" t="s">
        <v>1970</v>
      </c>
      <c r="CT86" s="2" t="s">
        <v>1970</v>
      </c>
      <c r="CU86" s="2" t="s">
        <v>1970</v>
      </c>
      <c r="CV86" s="2" t="s">
        <v>1970</v>
      </c>
      <c r="CW86" s="2" t="s">
        <v>1970</v>
      </c>
      <c r="CX86" s="2" t="e">
        <f t="shared" si="387"/>
        <v>#VALUE!</v>
      </c>
      <c r="CY86" s="2" t="e">
        <f t="shared" si="388"/>
        <v>#VALUE!</v>
      </c>
      <c r="CZ86" s="2" t="e">
        <f t="shared" si="389"/>
        <v>#VALUE!</v>
      </c>
      <c r="DA86" s="2" t="e">
        <f t="shared" si="390"/>
        <v>#VALUE!</v>
      </c>
      <c r="DB86" s="2" t="e">
        <f t="shared" si="391"/>
        <v>#VALUE!</v>
      </c>
      <c r="DC86" s="2" t="e">
        <f t="shared" si="392"/>
        <v>#VALUE!</v>
      </c>
      <c r="DD86" s="2" t="e">
        <f t="shared" si="393"/>
        <v>#VALUE!</v>
      </c>
      <c r="DE86" s="2" t="e">
        <f t="shared" si="394"/>
        <v>#VALUE!</v>
      </c>
      <c r="DF86" s="2" t="s">
        <v>1970</v>
      </c>
      <c r="DG86" s="2" t="s">
        <v>1970</v>
      </c>
      <c r="DH86" s="2" t="s">
        <v>1970</v>
      </c>
      <c r="DI86" s="2" t="s">
        <v>1970</v>
      </c>
      <c r="DJ86" s="2" t="s">
        <v>1970</v>
      </c>
      <c r="DK86" s="2" t="s">
        <v>1970</v>
      </c>
      <c r="DL86" s="2" t="s">
        <v>1970</v>
      </c>
      <c r="DM86" s="2" t="s">
        <v>1970</v>
      </c>
      <c r="DN86" s="2" t="s">
        <v>1978</v>
      </c>
      <c r="DO86" s="2" t="s">
        <v>1978</v>
      </c>
      <c r="DP86" s="2" t="s">
        <v>1978</v>
      </c>
      <c r="DQ86" s="2" t="s">
        <v>1978</v>
      </c>
      <c r="DR86" s="2" t="s">
        <v>1978</v>
      </c>
      <c r="DS86" s="2" t="s">
        <v>1978</v>
      </c>
      <c r="DT86" s="2" t="s">
        <v>1978</v>
      </c>
      <c r="DU86" s="2" t="s">
        <v>1978</v>
      </c>
      <c r="DV86" s="2" t="s">
        <v>1978</v>
      </c>
      <c r="DW86" s="2" t="s">
        <v>1978</v>
      </c>
      <c r="DX86" s="2" t="s">
        <v>1978</v>
      </c>
      <c r="DY86" s="2" t="s">
        <v>1978</v>
      </c>
      <c r="DZ86" s="2" t="s">
        <v>1978</v>
      </c>
      <c r="EA86" s="2" t="s">
        <v>1978</v>
      </c>
      <c r="EB86" s="2" t="s">
        <v>1978</v>
      </c>
      <c r="EC86" s="2" t="s">
        <v>1978</v>
      </c>
      <c r="ED86" s="2" t="s">
        <v>1978</v>
      </c>
      <c r="EE86" s="2" t="s">
        <v>1978</v>
      </c>
      <c r="EF86" s="2" t="s">
        <v>1978</v>
      </c>
      <c r="EG86" s="2" t="s">
        <v>1978</v>
      </c>
      <c r="EH86" s="2" t="s">
        <v>1978</v>
      </c>
      <c r="EI86" s="2" t="s">
        <v>1978</v>
      </c>
      <c r="EJ86" s="2" t="s">
        <v>1978</v>
      </c>
      <c r="EK86" s="2" t="s">
        <v>1978</v>
      </c>
      <c r="EL86" s="2" t="s">
        <v>1978</v>
      </c>
      <c r="EM86" s="2" t="s">
        <v>1978</v>
      </c>
      <c r="EN86" s="2" t="s">
        <v>1978</v>
      </c>
      <c r="EO86" s="2" t="s">
        <v>1978</v>
      </c>
      <c r="EP86" s="2" t="s">
        <v>1978</v>
      </c>
      <c r="EQ86" s="2" t="s">
        <v>1978</v>
      </c>
      <c r="ER86" s="2" t="s">
        <v>1978</v>
      </c>
      <c r="ES86" s="2" t="s">
        <v>1978</v>
      </c>
    </row>
    <row r="87" spans="1:149" x14ac:dyDescent="0.3">
      <c r="A87" s="2" t="s">
        <v>2909</v>
      </c>
      <c r="B87" s="2" t="s">
        <v>265</v>
      </c>
      <c r="C87" s="2" t="s">
        <v>2910</v>
      </c>
      <c r="D87" s="2" t="s">
        <v>430</v>
      </c>
      <c r="E87" s="206" t="s">
        <v>2916</v>
      </c>
      <c r="F87" s="2" t="s">
        <v>1970</v>
      </c>
      <c r="G87" s="2" t="s">
        <v>1978</v>
      </c>
      <c r="H87" s="2" t="s">
        <v>1978</v>
      </c>
      <c r="I87" s="2" t="s">
        <v>1970</v>
      </c>
      <c r="J87" s="2" t="s">
        <v>1970</v>
      </c>
      <c r="K87" s="2" t="s">
        <v>1970</v>
      </c>
      <c r="L87" s="2" t="s">
        <v>1970</v>
      </c>
      <c r="M87" s="2" t="s">
        <v>1978</v>
      </c>
      <c r="N87" s="344" t="s">
        <v>1978</v>
      </c>
      <c r="O87" s="344" t="s">
        <v>1978</v>
      </c>
      <c r="P87" s="344" t="s">
        <v>1978</v>
      </c>
      <c r="Q87" s="344" t="s">
        <v>1978</v>
      </c>
      <c r="R87" s="344" t="s">
        <v>1978</v>
      </c>
      <c r="S87" s="344" t="s">
        <v>1978</v>
      </c>
      <c r="T87" s="2" t="s">
        <v>428</v>
      </c>
      <c r="U87" s="2" t="s">
        <v>2150</v>
      </c>
      <c r="X87" s="344">
        <f>'A123'!J95</f>
        <v>15</v>
      </c>
      <c r="Y87" s="344" t="str">
        <f>'A123'!K95</f>
        <v>/</v>
      </c>
      <c r="Z87" s="344" t="str">
        <f>'A123'!L95</f>
        <v>新科目</v>
      </c>
      <c r="AA87" s="2" t="s">
        <v>2150</v>
      </c>
      <c r="AB87" s="2" t="str">
        <f>入學要求!X96</f>
        <v>/</v>
      </c>
      <c r="AC87" s="2" t="str">
        <f>入學要求!Y96</f>
        <v>/</v>
      </c>
      <c r="AD87" s="2" t="s">
        <v>1977</v>
      </c>
      <c r="AE87" s="2" t="s">
        <v>1970</v>
      </c>
      <c r="AF87" s="2" t="s">
        <v>1970</v>
      </c>
      <c r="AG87" s="2" t="s">
        <v>1970</v>
      </c>
      <c r="AH87" s="2" t="s">
        <v>1970</v>
      </c>
      <c r="AI87" s="2" t="s">
        <v>1970</v>
      </c>
      <c r="AJ87" s="2" t="s">
        <v>2928</v>
      </c>
      <c r="AK87" s="2" t="s">
        <v>2151</v>
      </c>
      <c r="AL87" s="2" t="s">
        <v>2929</v>
      </c>
      <c r="AM87" s="2" t="s">
        <v>2956</v>
      </c>
      <c r="AN87" s="2" t="s">
        <v>1970</v>
      </c>
      <c r="AO87" s="2" t="s">
        <v>1970</v>
      </c>
      <c r="AP87" s="251" t="s">
        <v>1978</v>
      </c>
      <c r="AQ87" s="344" t="s">
        <v>1970</v>
      </c>
      <c r="AR87" s="2" t="s">
        <v>2150</v>
      </c>
      <c r="AS87" s="2" t="s">
        <v>3620</v>
      </c>
      <c r="AT87" s="2" t="s">
        <v>3630</v>
      </c>
      <c r="AU87" s="2" t="s">
        <v>3622</v>
      </c>
      <c r="AV87" s="344" t="s">
        <v>3720</v>
      </c>
      <c r="AW87" s="344" t="s">
        <v>3727</v>
      </c>
      <c r="AX87" s="344" t="s">
        <v>3723</v>
      </c>
      <c r="BB87" s="2">
        <v>1</v>
      </c>
      <c r="BC87" s="2">
        <v>1</v>
      </c>
      <c r="BD87" s="2">
        <v>1</v>
      </c>
      <c r="BE87" s="2">
        <v>1</v>
      </c>
      <c r="BF87" s="2">
        <v>1</v>
      </c>
      <c r="BG87" s="2">
        <v>1</v>
      </c>
      <c r="BH87" s="2">
        <v>1</v>
      </c>
      <c r="BI87" s="2">
        <v>1</v>
      </c>
      <c r="BJ87" s="2" t="s">
        <v>1970</v>
      </c>
      <c r="BK87" s="2" t="s">
        <v>1970</v>
      </c>
      <c r="BL87" s="2" t="s">
        <v>1970</v>
      </c>
      <c r="BM87" s="2" t="s">
        <v>1970</v>
      </c>
      <c r="BN87" s="2" t="s">
        <v>1970</v>
      </c>
      <c r="BO87" s="2" t="s">
        <v>1970</v>
      </c>
      <c r="BP87" s="2" t="s">
        <v>1970</v>
      </c>
      <c r="BQ87" s="2" t="s">
        <v>1970</v>
      </c>
      <c r="BR87" s="2" t="e">
        <f t="shared" si="395"/>
        <v>#VALUE!</v>
      </c>
      <c r="BS87" s="2" t="e">
        <f t="shared" si="396"/>
        <v>#VALUE!</v>
      </c>
      <c r="BT87" s="2" t="e">
        <f t="shared" si="397"/>
        <v>#VALUE!</v>
      </c>
      <c r="BU87" s="2" t="e">
        <f t="shared" si="398"/>
        <v>#VALUE!</v>
      </c>
      <c r="BV87" s="2" t="e">
        <f t="shared" si="399"/>
        <v>#VALUE!</v>
      </c>
      <c r="BW87" s="2" t="e">
        <f t="shared" si="400"/>
        <v>#VALUE!</v>
      </c>
      <c r="BX87" s="2" t="e">
        <f t="shared" si="401"/>
        <v>#VALUE!</v>
      </c>
      <c r="BY87" s="2" t="e">
        <f t="shared" si="402"/>
        <v>#VALUE!</v>
      </c>
      <c r="BZ87" s="2" t="s">
        <v>1970</v>
      </c>
      <c r="CA87" s="2" t="s">
        <v>1970</v>
      </c>
      <c r="CB87" s="2" t="s">
        <v>1970</v>
      </c>
      <c r="CC87" s="2" t="s">
        <v>1970</v>
      </c>
      <c r="CD87" s="2" t="s">
        <v>1970</v>
      </c>
      <c r="CE87" s="2" t="s">
        <v>1970</v>
      </c>
      <c r="CF87" s="2" t="s">
        <v>1970</v>
      </c>
      <c r="CG87" s="2" t="s">
        <v>1970</v>
      </c>
      <c r="CH87" s="2">
        <v>1</v>
      </c>
      <c r="CI87" s="2">
        <v>1</v>
      </c>
      <c r="CJ87" s="2">
        <v>1</v>
      </c>
      <c r="CK87" s="2">
        <v>1</v>
      </c>
      <c r="CL87" s="2">
        <v>1</v>
      </c>
      <c r="CM87" s="2">
        <v>1</v>
      </c>
      <c r="CN87" s="2">
        <v>1</v>
      </c>
      <c r="CO87" s="2">
        <v>1</v>
      </c>
      <c r="CP87" s="2" t="s">
        <v>1970</v>
      </c>
      <c r="CQ87" s="2" t="s">
        <v>1970</v>
      </c>
      <c r="CR87" s="2" t="s">
        <v>1970</v>
      </c>
      <c r="CS87" s="2" t="s">
        <v>1970</v>
      </c>
      <c r="CT87" s="2" t="s">
        <v>1970</v>
      </c>
      <c r="CU87" s="2" t="s">
        <v>1970</v>
      </c>
      <c r="CV87" s="2" t="s">
        <v>1970</v>
      </c>
      <c r="CW87" s="2" t="s">
        <v>1970</v>
      </c>
      <c r="CX87" s="2" t="e">
        <f t="shared" si="387"/>
        <v>#VALUE!</v>
      </c>
      <c r="CY87" s="2" t="e">
        <f t="shared" si="388"/>
        <v>#VALUE!</v>
      </c>
      <c r="CZ87" s="2" t="e">
        <f t="shared" si="389"/>
        <v>#VALUE!</v>
      </c>
      <c r="DA87" s="2" t="e">
        <f t="shared" si="390"/>
        <v>#VALUE!</v>
      </c>
      <c r="DB87" s="2" t="e">
        <f t="shared" si="391"/>
        <v>#VALUE!</v>
      </c>
      <c r="DC87" s="2" t="e">
        <f t="shared" si="392"/>
        <v>#VALUE!</v>
      </c>
      <c r="DD87" s="2" t="e">
        <f t="shared" si="393"/>
        <v>#VALUE!</v>
      </c>
      <c r="DE87" s="2" t="e">
        <f t="shared" si="394"/>
        <v>#VALUE!</v>
      </c>
      <c r="DF87" s="2" t="s">
        <v>1970</v>
      </c>
      <c r="DG87" s="2" t="s">
        <v>1970</v>
      </c>
      <c r="DH87" s="2" t="s">
        <v>1970</v>
      </c>
      <c r="DI87" s="2" t="s">
        <v>1970</v>
      </c>
      <c r="DJ87" s="2" t="s">
        <v>1970</v>
      </c>
      <c r="DK87" s="2" t="s">
        <v>1970</v>
      </c>
      <c r="DL87" s="2" t="s">
        <v>1970</v>
      </c>
      <c r="DM87" s="2" t="s">
        <v>1970</v>
      </c>
      <c r="DN87" s="2" t="s">
        <v>1978</v>
      </c>
      <c r="DO87" s="2" t="s">
        <v>1978</v>
      </c>
      <c r="DP87" s="2" t="s">
        <v>1978</v>
      </c>
      <c r="DQ87" s="2" t="s">
        <v>1978</v>
      </c>
      <c r="DR87" s="2" t="s">
        <v>1978</v>
      </c>
      <c r="DS87" s="2" t="s">
        <v>1978</v>
      </c>
      <c r="DT87" s="2" t="s">
        <v>1978</v>
      </c>
      <c r="DU87" s="2" t="s">
        <v>1978</v>
      </c>
      <c r="DV87" s="2" t="s">
        <v>1978</v>
      </c>
      <c r="DW87" s="2" t="s">
        <v>1978</v>
      </c>
      <c r="DX87" s="2" t="s">
        <v>1978</v>
      </c>
      <c r="DY87" s="2" t="s">
        <v>1978</v>
      </c>
      <c r="DZ87" s="2" t="s">
        <v>1978</v>
      </c>
      <c r="EA87" s="2" t="s">
        <v>1978</v>
      </c>
      <c r="EB87" s="2" t="s">
        <v>1978</v>
      </c>
      <c r="EC87" s="2" t="s">
        <v>1978</v>
      </c>
      <c r="ED87" s="2" t="s">
        <v>1978</v>
      </c>
      <c r="EE87" s="2" t="s">
        <v>1978</v>
      </c>
      <c r="EF87" s="2" t="s">
        <v>1978</v>
      </c>
      <c r="EG87" s="2" t="s">
        <v>1978</v>
      </c>
      <c r="EH87" s="2" t="s">
        <v>1978</v>
      </c>
      <c r="EI87" s="2" t="s">
        <v>1978</v>
      </c>
      <c r="EJ87" s="2" t="s">
        <v>1978</v>
      </c>
      <c r="EK87" s="2" t="s">
        <v>1978</v>
      </c>
      <c r="EL87" s="2" t="s">
        <v>1978</v>
      </c>
      <c r="EM87" s="2" t="s">
        <v>1978</v>
      </c>
      <c r="EN87" s="2" t="s">
        <v>1978</v>
      </c>
      <c r="EO87" s="2" t="s">
        <v>1978</v>
      </c>
      <c r="EP87" s="2" t="s">
        <v>1978</v>
      </c>
      <c r="EQ87" s="2" t="s">
        <v>1978</v>
      </c>
      <c r="ER87" s="2" t="s">
        <v>1978</v>
      </c>
      <c r="ES87" s="2" t="s">
        <v>1978</v>
      </c>
    </row>
    <row r="88" spans="1:149" x14ac:dyDescent="0.3">
      <c r="A88" s="2" t="s">
        <v>431</v>
      </c>
      <c r="B88" s="2" t="s">
        <v>265</v>
      </c>
      <c r="C88" s="2" t="s">
        <v>2910</v>
      </c>
      <c r="D88" s="2" t="s">
        <v>434</v>
      </c>
      <c r="E88" s="206" t="s">
        <v>2916</v>
      </c>
      <c r="F88" s="2" t="s">
        <v>1970</v>
      </c>
      <c r="G88" s="2" t="s">
        <v>1978</v>
      </c>
      <c r="H88" s="2" t="s">
        <v>1978</v>
      </c>
      <c r="I88" s="2" t="s">
        <v>1970</v>
      </c>
      <c r="J88" s="2" t="s">
        <v>1970</v>
      </c>
      <c r="K88" s="2" t="s">
        <v>1970</v>
      </c>
      <c r="L88" s="2" t="s">
        <v>1970</v>
      </c>
      <c r="M88" s="2" t="s">
        <v>1978</v>
      </c>
      <c r="N88" s="344" t="s">
        <v>1978</v>
      </c>
      <c r="O88" s="344" t="s">
        <v>1978</v>
      </c>
      <c r="P88" s="344" t="s">
        <v>1978</v>
      </c>
      <c r="Q88" s="344" t="s">
        <v>1978</v>
      </c>
      <c r="R88" s="344" t="s">
        <v>1978</v>
      </c>
      <c r="S88" s="344" t="s">
        <v>1978</v>
      </c>
      <c r="T88" s="2" t="s">
        <v>432</v>
      </c>
      <c r="U88" s="2" t="s">
        <v>2150</v>
      </c>
      <c r="X88" s="344">
        <f>'A123'!J96</f>
        <v>30</v>
      </c>
      <c r="Y88" s="344" t="str">
        <f>'A123'!K96</f>
        <v>/</v>
      </c>
      <c r="Z88" s="344" t="str">
        <f>'A123'!L96</f>
        <v>新科目</v>
      </c>
      <c r="AA88" s="2" t="s">
        <v>2150</v>
      </c>
      <c r="AB88" s="2" t="str">
        <f>入學要求!X97</f>
        <v>/</v>
      </c>
      <c r="AC88" s="2" t="str">
        <f>入學要求!Y97</f>
        <v>/</v>
      </c>
      <c r="AD88" s="2" t="s">
        <v>1977</v>
      </c>
      <c r="AE88" s="2" t="s">
        <v>2182</v>
      </c>
      <c r="AF88" s="2" t="s">
        <v>1970</v>
      </c>
      <c r="AG88" s="2" t="s">
        <v>1970</v>
      </c>
      <c r="AH88" s="2" t="s">
        <v>1970</v>
      </c>
      <c r="AI88" s="2" t="s">
        <v>1970</v>
      </c>
      <c r="AJ88" s="2" t="s">
        <v>2928</v>
      </c>
      <c r="AK88" s="2" t="s">
        <v>2151</v>
      </c>
      <c r="AL88" s="2" t="s">
        <v>2929</v>
      </c>
      <c r="AM88" s="2" t="s">
        <v>1970</v>
      </c>
      <c r="AN88" s="2" t="s">
        <v>1970</v>
      </c>
      <c r="AO88" s="2" t="s">
        <v>1970</v>
      </c>
      <c r="AP88" s="251" t="s">
        <v>1978</v>
      </c>
      <c r="AQ88" s="344" t="s">
        <v>1970</v>
      </c>
      <c r="AR88" s="2" t="s">
        <v>2150</v>
      </c>
      <c r="AS88" s="2" t="s">
        <v>3608</v>
      </c>
      <c r="AT88" s="2" t="s">
        <v>1970</v>
      </c>
      <c r="AU88" s="2" t="s">
        <v>1970</v>
      </c>
      <c r="AV88" s="344" t="s">
        <v>3720</v>
      </c>
      <c r="AW88" s="344" t="s">
        <v>3727</v>
      </c>
      <c r="AX88" s="344" t="s">
        <v>3723</v>
      </c>
      <c r="BB88" s="2">
        <v>1</v>
      </c>
      <c r="BC88" s="2">
        <v>1</v>
      </c>
      <c r="BD88" s="2">
        <v>1</v>
      </c>
      <c r="BE88" s="2">
        <v>1</v>
      </c>
      <c r="BF88" s="2">
        <v>1</v>
      </c>
      <c r="BG88" s="2">
        <v>1</v>
      </c>
      <c r="BH88" s="2">
        <v>1</v>
      </c>
      <c r="BI88" s="2">
        <v>1</v>
      </c>
      <c r="BJ88" s="2" t="s">
        <v>1970</v>
      </c>
      <c r="BK88" s="2" t="s">
        <v>1970</v>
      </c>
      <c r="BL88" s="2" t="s">
        <v>1970</v>
      </c>
      <c r="BM88" s="2" t="s">
        <v>1970</v>
      </c>
      <c r="BN88" s="2" t="s">
        <v>1970</v>
      </c>
      <c r="BO88" s="2" t="s">
        <v>1970</v>
      </c>
      <c r="BP88" s="2" t="s">
        <v>1970</v>
      </c>
      <c r="BQ88" s="2" t="s">
        <v>1970</v>
      </c>
      <c r="BR88" s="2" t="e">
        <f t="shared" si="395"/>
        <v>#VALUE!</v>
      </c>
      <c r="BS88" s="2" t="e">
        <f t="shared" si="396"/>
        <v>#VALUE!</v>
      </c>
      <c r="BT88" s="2" t="e">
        <f t="shared" si="397"/>
        <v>#VALUE!</v>
      </c>
      <c r="BU88" s="2" t="e">
        <f t="shared" si="398"/>
        <v>#VALUE!</v>
      </c>
      <c r="BV88" s="2" t="e">
        <f t="shared" si="399"/>
        <v>#VALUE!</v>
      </c>
      <c r="BW88" s="2" t="e">
        <f t="shared" si="400"/>
        <v>#VALUE!</v>
      </c>
      <c r="BX88" s="2" t="e">
        <f t="shared" si="401"/>
        <v>#VALUE!</v>
      </c>
      <c r="BY88" s="2" t="e">
        <f t="shared" si="402"/>
        <v>#VALUE!</v>
      </c>
      <c r="BZ88" s="2" t="s">
        <v>1970</v>
      </c>
      <c r="CA88" s="2" t="s">
        <v>1970</v>
      </c>
      <c r="CB88" s="2" t="s">
        <v>1970</v>
      </c>
      <c r="CC88" s="2" t="s">
        <v>1970</v>
      </c>
      <c r="CD88" s="2" t="s">
        <v>1970</v>
      </c>
      <c r="CE88" s="2" t="s">
        <v>1970</v>
      </c>
      <c r="CF88" s="2" t="s">
        <v>1970</v>
      </c>
      <c r="CG88" s="2" t="s">
        <v>1970</v>
      </c>
      <c r="CH88" s="2">
        <v>1</v>
      </c>
      <c r="CI88" s="2">
        <v>1</v>
      </c>
      <c r="CJ88" s="2">
        <v>1</v>
      </c>
      <c r="CK88" s="2">
        <v>1</v>
      </c>
      <c r="CL88" s="2">
        <v>1</v>
      </c>
      <c r="CM88" s="2">
        <v>1</v>
      </c>
      <c r="CN88" s="2">
        <v>1</v>
      </c>
      <c r="CO88" s="2">
        <v>1</v>
      </c>
      <c r="CP88" s="2" t="s">
        <v>1970</v>
      </c>
      <c r="CQ88" s="2" t="s">
        <v>1970</v>
      </c>
      <c r="CR88" s="2" t="s">
        <v>1970</v>
      </c>
      <c r="CS88" s="2" t="s">
        <v>1970</v>
      </c>
      <c r="CT88" s="2" t="s">
        <v>1970</v>
      </c>
      <c r="CU88" s="2" t="s">
        <v>1970</v>
      </c>
      <c r="CV88" s="2" t="s">
        <v>1970</v>
      </c>
      <c r="CW88" s="2" t="s">
        <v>1970</v>
      </c>
      <c r="CX88" s="2" t="e">
        <f t="shared" si="387"/>
        <v>#VALUE!</v>
      </c>
      <c r="CY88" s="2" t="e">
        <f t="shared" si="388"/>
        <v>#VALUE!</v>
      </c>
      <c r="CZ88" s="2" t="e">
        <f t="shared" si="389"/>
        <v>#VALUE!</v>
      </c>
      <c r="DA88" s="2" t="e">
        <f t="shared" si="390"/>
        <v>#VALUE!</v>
      </c>
      <c r="DB88" s="2" t="e">
        <f t="shared" si="391"/>
        <v>#VALUE!</v>
      </c>
      <c r="DC88" s="2" t="e">
        <f t="shared" si="392"/>
        <v>#VALUE!</v>
      </c>
      <c r="DD88" s="2" t="e">
        <f t="shared" si="393"/>
        <v>#VALUE!</v>
      </c>
      <c r="DE88" s="2" t="e">
        <f t="shared" si="394"/>
        <v>#VALUE!</v>
      </c>
      <c r="DF88" s="2" t="s">
        <v>1970</v>
      </c>
      <c r="DG88" s="2" t="s">
        <v>1970</v>
      </c>
      <c r="DH88" s="2" t="s">
        <v>1970</v>
      </c>
      <c r="DI88" s="2" t="s">
        <v>1970</v>
      </c>
      <c r="DJ88" s="2" t="s">
        <v>1970</v>
      </c>
      <c r="DK88" s="2" t="s">
        <v>1970</v>
      </c>
      <c r="DL88" s="2" t="s">
        <v>1970</v>
      </c>
      <c r="DM88" s="2" t="s">
        <v>1970</v>
      </c>
      <c r="DN88" s="2" t="s">
        <v>1978</v>
      </c>
      <c r="DO88" s="2" t="s">
        <v>1978</v>
      </c>
      <c r="DP88" s="2" t="s">
        <v>1978</v>
      </c>
      <c r="DQ88" s="2" t="s">
        <v>1978</v>
      </c>
      <c r="DR88" s="2" t="s">
        <v>1978</v>
      </c>
      <c r="DS88" s="2" t="s">
        <v>1978</v>
      </c>
      <c r="DT88" s="2" t="s">
        <v>1978</v>
      </c>
      <c r="DU88" s="2" t="s">
        <v>1978</v>
      </c>
      <c r="DV88" s="2" t="s">
        <v>1978</v>
      </c>
      <c r="DW88" s="2" t="s">
        <v>1978</v>
      </c>
      <c r="DX88" s="2" t="s">
        <v>1978</v>
      </c>
      <c r="DY88" s="2" t="s">
        <v>1978</v>
      </c>
      <c r="DZ88" s="2" t="s">
        <v>1978</v>
      </c>
      <c r="EA88" s="2" t="s">
        <v>1978</v>
      </c>
      <c r="EB88" s="2" t="s">
        <v>1978</v>
      </c>
      <c r="EC88" s="2" t="s">
        <v>1978</v>
      </c>
      <c r="ED88" s="2" t="s">
        <v>1978</v>
      </c>
      <c r="EE88" s="2" t="s">
        <v>1978</v>
      </c>
      <c r="EF88" s="2" t="s">
        <v>1978</v>
      </c>
      <c r="EG88" s="2" t="s">
        <v>1978</v>
      </c>
      <c r="EH88" s="2" t="s">
        <v>1978</v>
      </c>
      <c r="EI88" s="2" t="s">
        <v>1978</v>
      </c>
      <c r="EJ88" s="2" t="s">
        <v>1978</v>
      </c>
      <c r="EK88" s="2" t="s">
        <v>1978</v>
      </c>
      <c r="EL88" s="2" t="s">
        <v>1978</v>
      </c>
      <c r="EM88" s="2" t="s">
        <v>1978</v>
      </c>
      <c r="EN88" s="2" t="s">
        <v>1978</v>
      </c>
      <c r="EO88" s="2" t="s">
        <v>1978</v>
      </c>
      <c r="EP88" s="2" t="s">
        <v>1978</v>
      </c>
      <c r="EQ88" s="2" t="s">
        <v>1978</v>
      </c>
      <c r="ER88" s="2" t="s">
        <v>1978</v>
      </c>
      <c r="ES88" s="2" t="s">
        <v>1978</v>
      </c>
    </row>
    <row r="89" spans="1:149" x14ac:dyDescent="0.3">
      <c r="A89" s="2" t="s">
        <v>435</v>
      </c>
      <c r="B89" s="2" t="s">
        <v>265</v>
      </c>
      <c r="C89" s="2" t="s">
        <v>2910</v>
      </c>
      <c r="D89" s="2" t="s">
        <v>438</v>
      </c>
      <c r="E89" s="206" t="s">
        <v>2916</v>
      </c>
      <c r="F89" s="2" t="s">
        <v>1970</v>
      </c>
      <c r="G89" s="2" t="s">
        <v>1978</v>
      </c>
      <c r="H89" s="2" t="s">
        <v>1978</v>
      </c>
      <c r="I89" s="2" t="s">
        <v>1970</v>
      </c>
      <c r="J89" s="2" t="s">
        <v>1970</v>
      </c>
      <c r="K89" s="2" t="s">
        <v>1970</v>
      </c>
      <c r="L89" s="2" t="s">
        <v>1970</v>
      </c>
      <c r="M89" s="2" t="s">
        <v>1978</v>
      </c>
      <c r="N89" s="344" t="s">
        <v>1978</v>
      </c>
      <c r="O89" s="344" t="s">
        <v>1978</v>
      </c>
      <c r="P89" s="344" t="s">
        <v>1978</v>
      </c>
      <c r="Q89" s="344" t="s">
        <v>1978</v>
      </c>
      <c r="R89" s="344" t="s">
        <v>1978</v>
      </c>
      <c r="S89" s="344" t="s">
        <v>1978</v>
      </c>
      <c r="T89" s="2" t="s">
        <v>436</v>
      </c>
      <c r="U89" s="2" t="s">
        <v>2150</v>
      </c>
      <c r="X89" s="344">
        <f>'A123'!J97</f>
        <v>10</v>
      </c>
      <c r="Y89" s="344" t="str">
        <f>'A123'!K97</f>
        <v>/</v>
      </c>
      <c r="Z89" s="344" t="str">
        <f>'A123'!L97</f>
        <v>新科目</v>
      </c>
      <c r="AA89" s="2" t="s">
        <v>2150</v>
      </c>
      <c r="AB89" s="2" t="str">
        <f>入學要求!X98</f>
        <v>/</v>
      </c>
      <c r="AC89" s="2" t="str">
        <f>入學要求!Y98</f>
        <v>/</v>
      </c>
      <c r="AD89" s="2" t="s">
        <v>1977</v>
      </c>
      <c r="AE89" s="2" t="s">
        <v>1970</v>
      </c>
      <c r="AF89" s="2" t="s">
        <v>1970</v>
      </c>
      <c r="AG89" s="2" t="s">
        <v>1970</v>
      </c>
      <c r="AH89" s="2" t="s">
        <v>1970</v>
      </c>
      <c r="AI89" s="2" t="s">
        <v>1970</v>
      </c>
      <c r="AJ89" s="2" t="s">
        <v>2928</v>
      </c>
      <c r="AK89" s="2" t="s">
        <v>2151</v>
      </c>
      <c r="AL89" s="2" t="s">
        <v>2929</v>
      </c>
      <c r="AM89" s="2" t="s">
        <v>2956</v>
      </c>
      <c r="AN89" s="2" t="s">
        <v>1970</v>
      </c>
      <c r="AO89" s="2" t="s">
        <v>1970</v>
      </c>
      <c r="AP89" s="251" t="s">
        <v>1978</v>
      </c>
      <c r="AQ89" s="344" t="s">
        <v>1970</v>
      </c>
      <c r="AR89" s="2" t="s">
        <v>2150</v>
      </c>
      <c r="AS89" s="344" t="s">
        <v>3620</v>
      </c>
      <c r="AT89" s="344" t="s">
        <v>3630</v>
      </c>
      <c r="AU89" s="344" t="s">
        <v>3622</v>
      </c>
      <c r="AV89" s="344" t="s">
        <v>3720</v>
      </c>
      <c r="AW89" s="344" t="s">
        <v>3727</v>
      </c>
      <c r="AX89" s="344" t="s">
        <v>3723</v>
      </c>
      <c r="BB89" s="2">
        <v>1</v>
      </c>
      <c r="BC89" s="2">
        <v>1</v>
      </c>
      <c r="BD89" s="2">
        <v>1</v>
      </c>
      <c r="BE89" s="2">
        <v>1</v>
      </c>
      <c r="BF89" s="2">
        <v>1</v>
      </c>
      <c r="BG89" s="2">
        <v>1</v>
      </c>
      <c r="BH89" s="2">
        <v>1</v>
      </c>
      <c r="BI89" s="2">
        <v>1</v>
      </c>
      <c r="BJ89" s="2" t="s">
        <v>1970</v>
      </c>
      <c r="BK89" s="2" t="s">
        <v>1970</v>
      </c>
      <c r="BL89" s="2" t="s">
        <v>1970</v>
      </c>
      <c r="BM89" s="2" t="s">
        <v>1970</v>
      </c>
      <c r="BN89" s="2" t="s">
        <v>1970</v>
      </c>
      <c r="BO89" s="2" t="s">
        <v>1970</v>
      </c>
      <c r="BP89" s="2" t="s">
        <v>1970</v>
      </c>
      <c r="BQ89" s="2" t="s">
        <v>1970</v>
      </c>
      <c r="BR89" s="2" t="e">
        <f>BB89*BJ89</f>
        <v>#VALUE!</v>
      </c>
      <c r="BS89" s="2" t="e">
        <f t="shared" si="396"/>
        <v>#VALUE!</v>
      </c>
      <c r="BT89" s="2" t="e">
        <f t="shared" si="397"/>
        <v>#VALUE!</v>
      </c>
      <c r="BU89" s="2" t="e">
        <f t="shared" si="398"/>
        <v>#VALUE!</v>
      </c>
      <c r="BV89" s="2" t="e">
        <f t="shared" si="399"/>
        <v>#VALUE!</v>
      </c>
      <c r="BW89" s="2" t="e">
        <f t="shared" si="400"/>
        <v>#VALUE!</v>
      </c>
      <c r="BX89" s="2" t="e">
        <f t="shared" si="401"/>
        <v>#VALUE!</v>
      </c>
      <c r="BY89" s="2" t="e">
        <f t="shared" si="402"/>
        <v>#VALUE!</v>
      </c>
      <c r="BZ89" s="2" t="s">
        <v>1970</v>
      </c>
      <c r="CA89" s="2" t="s">
        <v>1970</v>
      </c>
      <c r="CB89" s="2" t="s">
        <v>1970</v>
      </c>
      <c r="CC89" s="2" t="s">
        <v>1970</v>
      </c>
      <c r="CD89" s="2" t="s">
        <v>1970</v>
      </c>
      <c r="CE89" s="2" t="s">
        <v>1970</v>
      </c>
      <c r="CF89" s="2" t="s">
        <v>1970</v>
      </c>
      <c r="CG89" s="2" t="s">
        <v>1970</v>
      </c>
      <c r="CH89" s="2">
        <v>1</v>
      </c>
      <c r="CI89" s="2">
        <v>1</v>
      </c>
      <c r="CJ89" s="2">
        <v>1</v>
      </c>
      <c r="CK89" s="2">
        <v>1</v>
      </c>
      <c r="CL89" s="2">
        <v>1</v>
      </c>
      <c r="CM89" s="2">
        <v>1</v>
      </c>
      <c r="CN89" s="2">
        <v>1</v>
      </c>
      <c r="CO89" s="2">
        <v>1</v>
      </c>
      <c r="CP89" s="2" t="s">
        <v>1970</v>
      </c>
      <c r="CQ89" s="2" t="s">
        <v>1970</v>
      </c>
      <c r="CR89" s="2" t="s">
        <v>1970</v>
      </c>
      <c r="CS89" s="2" t="s">
        <v>1970</v>
      </c>
      <c r="CT89" s="2" t="s">
        <v>1970</v>
      </c>
      <c r="CU89" s="2" t="s">
        <v>1970</v>
      </c>
      <c r="CV89" s="2" t="s">
        <v>1970</v>
      </c>
      <c r="CW89" s="2" t="s">
        <v>1970</v>
      </c>
      <c r="CX89" s="2" t="e">
        <f t="shared" si="387"/>
        <v>#VALUE!</v>
      </c>
      <c r="CY89" s="2" t="e">
        <f t="shared" si="388"/>
        <v>#VALUE!</v>
      </c>
      <c r="CZ89" s="2" t="e">
        <f t="shared" si="389"/>
        <v>#VALUE!</v>
      </c>
      <c r="DA89" s="2" t="e">
        <f t="shared" si="390"/>
        <v>#VALUE!</v>
      </c>
      <c r="DB89" s="2" t="e">
        <f t="shared" si="391"/>
        <v>#VALUE!</v>
      </c>
      <c r="DC89" s="2" t="e">
        <f t="shared" si="392"/>
        <v>#VALUE!</v>
      </c>
      <c r="DD89" s="2" t="e">
        <f t="shared" si="393"/>
        <v>#VALUE!</v>
      </c>
      <c r="DE89" s="2" t="e">
        <f t="shared" si="394"/>
        <v>#VALUE!</v>
      </c>
      <c r="DF89" s="2" t="s">
        <v>1970</v>
      </c>
      <c r="DG89" s="2" t="s">
        <v>1970</v>
      </c>
      <c r="DH89" s="2" t="s">
        <v>1970</v>
      </c>
      <c r="DI89" s="2" t="s">
        <v>1970</v>
      </c>
      <c r="DJ89" s="2" t="s">
        <v>1970</v>
      </c>
      <c r="DK89" s="2" t="s">
        <v>1970</v>
      </c>
      <c r="DL89" s="2" t="s">
        <v>1970</v>
      </c>
      <c r="DM89" s="2" t="s">
        <v>1970</v>
      </c>
      <c r="DN89" s="2" t="s">
        <v>1978</v>
      </c>
      <c r="DO89" s="2" t="s">
        <v>1978</v>
      </c>
      <c r="DP89" s="2" t="s">
        <v>1978</v>
      </c>
      <c r="DQ89" s="2" t="s">
        <v>1978</v>
      </c>
      <c r="DR89" s="2" t="s">
        <v>1978</v>
      </c>
      <c r="DS89" s="2" t="s">
        <v>1978</v>
      </c>
      <c r="DT89" s="2" t="s">
        <v>1978</v>
      </c>
      <c r="DU89" s="2" t="s">
        <v>1978</v>
      </c>
      <c r="DV89" s="2" t="s">
        <v>1978</v>
      </c>
      <c r="DW89" s="2" t="s">
        <v>1978</v>
      </c>
      <c r="DX89" s="2" t="s">
        <v>1978</v>
      </c>
      <c r="DY89" s="2" t="s">
        <v>1978</v>
      </c>
      <c r="DZ89" s="2" t="s">
        <v>1978</v>
      </c>
      <c r="EA89" s="2" t="s">
        <v>1978</v>
      </c>
      <c r="EB89" s="2" t="s">
        <v>1978</v>
      </c>
      <c r="EC89" s="2" t="s">
        <v>1978</v>
      </c>
      <c r="ED89" s="2" t="s">
        <v>1978</v>
      </c>
      <c r="EE89" s="2" t="s">
        <v>1978</v>
      </c>
      <c r="EF89" s="2" t="s">
        <v>1978</v>
      </c>
      <c r="EG89" s="2" t="s">
        <v>1978</v>
      </c>
      <c r="EH89" s="2" t="s">
        <v>1978</v>
      </c>
      <c r="EI89" s="2" t="s">
        <v>1978</v>
      </c>
      <c r="EJ89" s="2" t="s">
        <v>1978</v>
      </c>
      <c r="EK89" s="2" t="s">
        <v>1978</v>
      </c>
      <c r="EL89" s="2" t="s">
        <v>1978</v>
      </c>
      <c r="EM89" s="2" t="s">
        <v>1978</v>
      </c>
      <c r="EN89" s="2" t="s">
        <v>1978</v>
      </c>
      <c r="EO89" s="2" t="s">
        <v>1978</v>
      </c>
      <c r="EP89" s="2" t="s">
        <v>1978</v>
      </c>
      <c r="EQ89" s="2" t="s">
        <v>1978</v>
      </c>
      <c r="ER89" s="2" t="s">
        <v>1978</v>
      </c>
      <c r="ES89" s="2" t="s">
        <v>1978</v>
      </c>
    </row>
    <row r="90" spans="1:149" s="344" customFormat="1" x14ac:dyDescent="0.3">
      <c r="E90" s="396"/>
      <c r="X90" s="344">
        <f>'A123'!J98</f>
        <v>0</v>
      </c>
      <c r="Y90" s="344">
        <f>'A123'!K98</f>
        <v>0</v>
      </c>
      <c r="Z90" s="344">
        <f>'A123'!L98</f>
        <v>0</v>
      </c>
    </row>
    <row r="91" spans="1:149" s="251" customFormat="1" x14ac:dyDescent="0.3">
      <c r="E91" s="282"/>
      <c r="X91" s="344" t="str">
        <f>'A123'!J99</f>
        <v>學額</v>
      </c>
      <c r="Y91" s="344" t="str">
        <f>'A123'!K99</f>
        <v>取錄人數</v>
      </c>
      <c r="Z91" s="344" t="str">
        <f>'A123'!L99</f>
        <v>BandA競爭人數</v>
      </c>
      <c r="AB91" s="344"/>
      <c r="AC91" s="344"/>
      <c r="AQ91" s="344"/>
      <c r="AV91" s="344"/>
      <c r="AW91" s="344"/>
      <c r="AX91" s="344"/>
      <c r="AY91" s="344"/>
      <c r="AZ91" s="344"/>
      <c r="BA91" s="344"/>
    </row>
    <row r="92" spans="1:149" s="251" customFormat="1" x14ac:dyDescent="0.3">
      <c r="A92" s="251" t="str">
        <f>'PolyU Score Calculation'!A2</f>
        <v>JS3010</v>
      </c>
      <c r="B92" s="251" t="s">
        <v>2246</v>
      </c>
      <c r="C92" s="251" t="str">
        <f>IF('PolyU Score Calculation'!B2=0,"",'PolyU Score Calculation'!B2)</f>
        <v>理學院</v>
      </c>
      <c r="D92" s="251" t="str">
        <f>IF('PolyU Score Calculation'!C2=0,"",'PolyU Score Calculation'!C2)</f>
        <v>生物科技、食物安全及化學科技(榮譽)理學士組合課程</v>
      </c>
      <c r="E92" s="251" t="str">
        <f>IF('PolyU Score Calculation'!E2=0,"",'PolyU Score Calculation'!E2)</f>
        <v>Best 5</v>
      </c>
      <c r="F92" s="251" t="s">
        <v>1978</v>
      </c>
      <c r="G92" s="251">
        <f>'PolyU Score Calculation'!W2</f>
        <v>193.00000000207999</v>
      </c>
      <c r="H92" s="251">
        <f>'PolyU Score Calculation'!V2</f>
        <v>190.00000000260002</v>
      </c>
      <c r="I92" s="251" t="s">
        <v>3034</v>
      </c>
      <c r="J92" s="251" t="s">
        <v>3035</v>
      </c>
      <c r="K92" s="344" t="s">
        <v>3048</v>
      </c>
      <c r="L92" s="344" t="s">
        <v>1970</v>
      </c>
      <c r="M92" s="344" t="s">
        <v>1970</v>
      </c>
      <c r="N92" s="251" t="str">
        <f>'PolyU Score Calculation'!M2</f>
        <v>JS3349</v>
      </c>
      <c r="O92" s="251" t="str">
        <f>'PolyU Score Calculation'!N2</f>
        <v>食品科技與食物安全(榮譽)理學士學位</v>
      </c>
      <c r="P92" s="251" t="str">
        <f>'PolyU Score Calculation'!O2</f>
        <v>Best 5</v>
      </c>
      <c r="Q92" s="251" t="str">
        <f>'PolyU Score Calculation'!P2</f>
        <v>x10: 英文、數學、M1/2、物理、化學、生物、組合科學</v>
      </c>
      <c r="R92" s="251" t="str">
        <f>'PolyU Score Calculation'!Q2</f>
        <v>x7: 中文、通識</v>
      </c>
      <c r="S92" s="251" t="str">
        <f>'PolyU Score Calculation'!R2</f>
        <v>x5: 其他科目</v>
      </c>
      <c r="T92" s="251" t="str">
        <f>IF('PolyU Score Calculation'!D2=0,"",'PolyU Score Calculation'!D2)</f>
        <v>BIOT, FOOD SAFE &amp; CHEM T</v>
      </c>
      <c r="U92" s="251" t="s">
        <v>2165</v>
      </c>
      <c r="V92" s="251">
        <f>IF('PolyU Score Calculation'!T2=0,"",'PolyU Score Calculation'!T2)</f>
        <v>21.4</v>
      </c>
      <c r="W92" s="251">
        <f>'PolyU Score Calculation'!U2</f>
        <v>21</v>
      </c>
      <c r="X92" s="344">
        <f>'A123'!J100</f>
        <v>76</v>
      </c>
      <c r="Y92" s="344" t="str">
        <f>'A123'!K100</f>
        <v>/</v>
      </c>
      <c r="Z92" s="344" t="str">
        <f>'A123'!L100</f>
        <v>新科目</v>
      </c>
      <c r="AA92" s="251" t="s">
        <v>2165</v>
      </c>
      <c r="AB92" s="344" t="str">
        <f>入學要求!X101</f>
        <v>/</v>
      </c>
      <c r="AC92" s="344" t="str">
        <f>入學要求!Y101</f>
        <v>/</v>
      </c>
      <c r="AD92" s="251" t="str">
        <f>'PolyU Score Calculation'!E2</f>
        <v>Best 5</v>
      </c>
      <c r="AE92" s="251" t="s">
        <v>1970</v>
      </c>
      <c r="AF92" s="251" t="s">
        <v>1970</v>
      </c>
      <c r="AG92" s="251" t="str">
        <f>'PolyU Score Calculation'!I2</f>
        <v>x10: 英文、數學、生物、化學、組合科學</v>
      </c>
      <c r="AH92" s="344" t="str">
        <f>'PolyU Score Calculation'!J2</f>
        <v>x7: 中文、通識</v>
      </c>
      <c r="AI92" s="344" t="str">
        <f>'PolyU Score Calculation'!K2</f>
        <v>x5: 其他科目</v>
      </c>
      <c r="AJ92" s="251" t="s">
        <v>1970</v>
      </c>
      <c r="AK92" s="251" t="s">
        <v>1970</v>
      </c>
      <c r="AL92" s="251" t="s">
        <v>1970</v>
      </c>
      <c r="AM92" s="251" t="s">
        <v>3043</v>
      </c>
      <c r="AN92" s="251" t="str">
        <f t="shared" ref="AN92:AN136" si="405">_xlfn.CONCAT(N92," ",O92)</f>
        <v>JS3349 食品科技與食物安全(榮譽)理學士學位</v>
      </c>
      <c r="AO92" s="251" t="str">
        <f>AN93</f>
        <v>JS3923 應用生物兼生物科技(榮譽)理學士學位</v>
      </c>
      <c r="AP92" s="251" t="str">
        <f>AN94</f>
        <v>JS3997 化學科技(榮譽)理學士學位</v>
      </c>
      <c r="AQ92" s="344" t="s">
        <v>1970</v>
      </c>
      <c r="AR92" s="344" t="s">
        <v>2150</v>
      </c>
      <c r="AS92" s="251" t="s">
        <v>3610</v>
      </c>
      <c r="AT92" s="251" t="s">
        <v>1970</v>
      </c>
      <c r="AV92" s="344" t="s">
        <v>3728</v>
      </c>
      <c r="AW92" s="344" t="s">
        <v>3726</v>
      </c>
      <c r="AX92" s="344" t="s">
        <v>3729</v>
      </c>
      <c r="AY92" s="344" t="s">
        <v>3731</v>
      </c>
      <c r="AZ92" s="344" t="s">
        <v>3733</v>
      </c>
      <c r="BA92" s="344" t="s">
        <v>3734</v>
      </c>
      <c r="BB92" s="251">
        <f>'PolyU Score Calculation'!X2</f>
        <v>7</v>
      </c>
      <c r="BC92" s="251">
        <f>'PolyU Score Calculation'!Y2</f>
        <v>10</v>
      </c>
      <c r="BD92" s="251">
        <f>'PolyU Score Calculation'!Z2</f>
        <v>10</v>
      </c>
      <c r="BE92" s="251">
        <f>'PolyU Score Calculation'!AA2</f>
        <v>7</v>
      </c>
      <c r="BF92" s="251">
        <f>'PolyU Score Calculation'!AB2</f>
        <v>10</v>
      </c>
      <c r="BG92" s="251">
        <f>'PolyU Score Calculation'!AC2</f>
        <v>10</v>
      </c>
      <c r="BH92" s="251">
        <f>'PolyU Score Calculation'!AD2</f>
        <v>10</v>
      </c>
      <c r="BI92" s="251">
        <f>'PolyU Score Calculation'!AE2</f>
        <v>10</v>
      </c>
      <c r="BJ92" s="251">
        <f>'PolyU Score Calculation'!AF2</f>
        <v>4.00000000001</v>
      </c>
      <c r="BK92" s="251">
        <f>'PolyU Score Calculation'!AG2</f>
        <v>4.00000000002</v>
      </c>
      <c r="BL92" s="251">
        <f>'PolyU Score Calculation'!AH2</f>
        <v>4.00000000003</v>
      </c>
      <c r="BM92" s="251">
        <f>'PolyU Score Calculation'!AI2</f>
        <v>4.00000000004</v>
      </c>
      <c r="BN92" s="251">
        <f>'PolyU Score Calculation'!AJ2</f>
        <v>5.0000000000000002E-11</v>
      </c>
      <c r="BO92" s="251">
        <f>'PolyU Score Calculation'!AK2</f>
        <v>4.00000000006</v>
      </c>
      <c r="BP92" s="251">
        <f>'PolyU Score Calculation'!AL2</f>
        <v>4.00000000007</v>
      </c>
      <c r="BQ92" s="251">
        <f>'PolyU Score Calculation'!AM2</f>
        <v>3.00000000008</v>
      </c>
      <c r="BR92" s="251">
        <f>'PolyU Score Calculation'!AN2</f>
        <v>28.000000000069999</v>
      </c>
      <c r="BS92" s="251">
        <f>'PolyU Score Calculation'!AO2</f>
        <v>40.000000000200004</v>
      </c>
      <c r="BT92" s="251">
        <f>'PolyU Score Calculation'!AP2</f>
        <v>40.000000000299998</v>
      </c>
      <c r="BU92" s="251">
        <f>'PolyU Score Calculation'!AQ2</f>
        <v>28.00000000028</v>
      </c>
      <c r="BV92" s="251">
        <f>'PolyU Score Calculation'!AR2</f>
        <v>5.0000000000000003E-10</v>
      </c>
      <c r="BW92" s="251">
        <f>'PolyU Score Calculation'!AS2</f>
        <v>40.000000000599996</v>
      </c>
      <c r="BX92" s="251">
        <f>'PolyU Score Calculation'!AT2</f>
        <v>40.000000000699998</v>
      </c>
      <c r="BY92" s="251">
        <f>'PolyU Score Calculation'!AU2</f>
        <v>30.0000000008</v>
      </c>
      <c r="BZ92" s="251" t="b">
        <f>'PolyU Score Calculation'!AV2</f>
        <v>0</v>
      </c>
      <c r="CA92" s="251" t="b">
        <f>'PolyU Score Calculation'!AW2</f>
        <v>1</v>
      </c>
      <c r="CB92" s="251" t="b">
        <f>'PolyU Score Calculation'!AX2</f>
        <v>1</v>
      </c>
      <c r="CC92" s="251" t="b">
        <f>'PolyU Score Calculation'!AY2</f>
        <v>0</v>
      </c>
      <c r="CD92" s="251" t="b">
        <f>'PolyU Score Calculation'!AZ2</f>
        <v>0</v>
      </c>
      <c r="CE92" s="251" t="b">
        <f>'PolyU Score Calculation'!BA2</f>
        <v>1</v>
      </c>
      <c r="CF92" s="251" t="b">
        <f>'PolyU Score Calculation'!BB2</f>
        <v>1</v>
      </c>
      <c r="CG92" s="251" t="b">
        <f>'PolyU Score Calculation'!BC2</f>
        <v>1</v>
      </c>
      <c r="CH92" s="251">
        <f>'PolyU Score Calculation'!BD2</f>
        <v>7</v>
      </c>
      <c r="CI92" s="251">
        <f>'PolyU Score Calculation'!BE2</f>
        <v>10</v>
      </c>
      <c r="CJ92" s="251">
        <f>'PolyU Score Calculation'!BF2</f>
        <v>10</v>
      </c>
      <c r="CK92" s="251">
        <f>'PolyU Score Calculation'!BG2</f>
        <v>7</v>
      </c>
      <c r="CL92" s="251">
        <f>'PolyU Score Calculation'!BH2</f>
        <v>10</v>
      </c>
      <c r="CM92" s="251">
        <f>'PolyU Score Calculation'!BI2</f>
        <v>10</v>
      </c>
      <c r="CN92" s="251">
        <f>'PolyU Score Calculation'!BJ2</f>
        <v>10</v>
      </c>
      <c r="CO92" s="251">
        <f>'PolyU Score Calculation'!BK2</f>
        <v>10</v>
      </c>
      <c r="CP92" s="251">
        <f>'PolyU Score Calculation'!BL2</f>
        <v>4.00000000001</v>
      </c>
      <c r="CQ92" s="251">
        <f>'PolyU Score Calculation'!BM2</f>
        <v>4.00000000002</v>
      </c>
      <c r="CR92" s="251">
        <f>'PolyU Score Calculation'!BN2</f>
        <v>3.00000000003</v>
      </c>
      <c r="CS92" s="251">
        <f>'PolyU Score Calculation'!BO2</f>
        <v>4.00000000004</v>
      </c>
      <c r="CT92" s="251">
        <f>'PolyU Score Calculation'!BP2</f>
        <v>5.0000000000000002E-11</v>
      </c>
      <c r="CU92" s="251">
        <f>'PolyU Score Calculation'!BQ2</f>
        <v>5.50000000006</v>
      </c>
      <c r="CV92" s="251">
        <f>'PolyU Score Calculation'!BR2</f>
        <v>4.00000000007</v>
      </c>
      <c r="CW92" s="251">
        <f>'PolyU Score Calculation'!BS2</f>
        <v>7.9999999999999995E-11</v>
      </c>
      <c r="CX92" s="251">
        <f>'PolyU Score Calculation'!BT2</f>
        <v>28.000000000069999</v>
      </c>
      <c r="CY92" s="251">
        <f>'PolyU Score Calculation'!BU2</f>
        <v>40.000000000200004</v>
      </c>
      <c r="CZ92" s="251">
        <f>'PolyU Score Calculation'!BV2</f>
        <v>30.000000000299998</v>
      </c>
      <c r="DA92" s="251">
        <f>'PolyU Score Calculation'!BW2</f>
        <v>28.00000000028</v>
      </c>
      <c r="DB92" s="251">
        <f>'PolyU Score Calculation'!BX2</f>
        <v>5.0000000000000003E-10</v>
      </c>
      <c r="DC92" s="251">
        <f>'PolyU Score Calculation'!BY2</f>
        <v>55.000000000599996</v>
      </c>
      <c r="DD92" s="251">
        <f>'PolyU Score Calculation'!BZ2</f>
        <v>40.000000000699998</v>
      </c>
      <c r="DE92" s="251">
        <f>'PolyU Score Calculation'!CA2</f>
        <v>7.9999999999999993E-10</v>
      </c>
      <c r="DF92" s="251" t="b">
        <f>'PolyU Score Calculation'!CB2</f>
        <v>0</v>
      </c>
      <c r="DG92" s="251" t="b">
        <f>'PolyU Score Calculation'!CC2</f>
        <v>1</v>
      </c>
      <c r="DH92" s="251" t="b">
        <f>'PolyU Score Calculation'!CD2</f>
        <v>1</v>
      </c>
      <c r="DI92" s="251" t="b">
        <f>'PolyU Score Calculation'!CE2</f>
        <v>1</v>
      </c>
      <c r="DJ92" s="251" t="b">
        <f>'PolyU Score Calculation'!CF2</f>
        <v>0</v>
      </c>
      <c r="DK92" s="251" t="b">
        <f>'PolyU Score Calculation'!CG2</f>
        <v>1</v>
      </c>
      <c r="DL92" s="251" t="b">
        <f>'PolyU Score Calculation'!CH2</f>
        <v>1</v>
      </c>
      <c r="DM92" s="251" t="b">
        <f>'PolyU Score Calculation'!CI2</f>
        <v>0</v>
      </c>
    </row>
    <row r="93" spans="1:149" s="251" customFormat="1" x14ac:dyDescent="0.3">
      <c r="A93" s="251" t="str">
        <f>'PolyU Score Calculation'!A3</f>
        <v>JS3010-2</v>
      </c>
      <c r="B93" s="251" t="s">
        <v>2246</v>
      </c>
      <c r="C93" s="251" t="str">
        <f>IF('PolyU Score Calculation'!B3=0,"",'PolyU Score Calculation'!B3)</f>
        <v/>
      </c>
      <c r="D93" s="251" t="str">
        <f>IF('PolyU Score Calculation'!C3=0,"",'PolyU Score Calculation'!C3)</f>
        <v/>
      </c>
      <c r="E93" s="251" t="str">
        <f>IF('PolyU Score Calculation'!E3=0,"",'PolyU Score Calculation'!E3)</f>
        <v/>
      </c>
      <c r="F93" s="251" t="s">
        <v>1978</v>
      </c>
      <c r="G93" s="251">
        <f>'PolyU Score Calculation'!W3</f>
        <v>180.50000000172997</v>
      </c>
      <c r="H93" s="251">
        <f>'PolyU Score Calculation'!V3</f>
        <v>177.00000000145002</v>
      </c>
      <c r="I93" s="251" t="s">
        <v>3034</v>
      </c>
      <c r="J93" s="251" t="s">
        <v>3035</v>
      </c>
      <c r="K93" s="344" t="s">
        <v>3048</v>
      </c>
      <c r="L93" s="344" t="s">
        <v>1970</v>
      </c>
      <c r="M93" s="344" t="s">
        <v>1970</v>
      </c>
      <c r="N93" s="251" t="str">
        <f>'PolyU Score Calculation'!M3</f>
        <v>JS3923</v>
      </c>
      <c r="O93" s="251" t="str">
        <f>'PolyU Score Calculation'!N3</f>
        <v>應用生物兼生物科技(榮譽)理學士學位</v>
      </c>
      <c r="P93" s="251" t="str">
        <f>'PolyU Score Calculation'!O3</f>
        <v>Best 5</v>
      </c>
      <c r="Q93" s="251" t="str">
        <f>'PolyU Score Calculation'!P3</f>
        <v>x10: 英文、數學、生物、組合科學(生物)</v>
      </c>
      <c r="R93" s="251" t="str">
        <f>'PolyU Score Calculation'!Q3</f>
        <v>x7: 中文、通識</v>
      </c>
      <c r="S93" s="251" t="str">
        <f>'PolyU Score Calculation'!R3</f>
        <v>x5: 其他科目</v>
      </c>
      <c r="T93" s="251" t="str">
        <f>IF('PolyU Score Calculation'!D3=0,"",'PolyU Score Calculation'!D3)</f>
        <v/>
      </c>
      <c r="U93" s="251" t="s">
        <v>2165</v>
      </c>
      <c r="V93" s="251" t="str">
        <f>IF('PolyU Score Calculation'!T3=0,"",'PolyU Score Calculation'!T3)</f>
        <v/>
      </c>
      <c r="W93" s="251">
        <f>'PolyU Score Calculation'!U3</f>
        <v>22.1</v>
      </c>
      <c r="X93" s="344">
        <f>'A123'!J101</f>
        <v>0</v>
      </c>
      <c r="Y93" s="344" t="str">
        <f>'A123'!K101</f>
        <v>/</v>
      </c>
      <c r="Z93" s="344" t="str">
        <f>'A123'!L101</f>
        <v>新科目</v>
      </c>
      <c r="AB93" s="344" t="str">
        <f>入學要求!X102</f>
        <v>/</v>
      </c>
      <c r="AC93" s="344" t="str">
        <f>入學要求!Y102</f>
        <v>/</v>
      </c>
      <c r="AD93" s="251">
        <f>'PolyU Score Calculation'!E3</f>
        <v>0</v>
      </c>
      <c r="AE93" s="251" t="s">
        <v>1970</v>
      </c>
      <c r="AF93" s="251" t="s">
        <v>1970</v>
      </c>
      <c r="AG93" s="344">
        <f>'PolyU Score Calculation'!I3</f>
        <v>0</v>
      </c>
      <c r="AH93" s="344">
        <f>'PolyU Score Calculation'!J3</f>
        <v>0</v>
      </c>
      <c r="AI93" s="344">
        <f>'PolyU Score Calculation'!K3</f>
        <v>0</v>
      </c>
      <c r="AJ93" s="251" t="s">
        <v>1970</v>
      </c>
      <c r="AK93" s="251" t="s">
        <v>1970</v>
      </c>
      <c r="AL93" s="251" t="s">
        <v>1970</v>
      </c>
      <c r="AM93" s="251" t="s">
        <v>1970</v>
      </c>
      <c r="AN93" s="251" t="str">
        <f t="shared" si="405"/>
        <v>JS3923 應用生物兼生物科技(榮譽)理學士學位</v>
      </c>
      <c r="AO93" s="251" t="s">
        <v>1970</v>
      </c>
      <c r="AP93" s="251" t="s">
        <v>1970</v>
      </c>
      <c r="AQ93" s="344" t="s">
        <v>1970</v>
      </c>
      <c r="AR93" s="344" t="s">
        <v>2150</v>
      </c>
      <c r="AV93" s="344" t="s">
        <v>3728</v>
      </c>
      <c r="AW93" s="344" t="s">
        <v>3726</v>
      </c>
      <c r="AX93" s="344" t="s">
        <v>3729</v>
      </c>
      <c r="AY93" s="344" t="s">
        <v>3731</v>
      </c>
      <c r="AZ93" s="344" t="s">
        <v>3733</v>
      </c>
      <c r="BA93" s="344" t="s">
        <v>3734</v>
      </c>
      <c r="BB93" s="251">
        <f>'PolyU Score Calculation'!X3</f>
        <v>7</v>
      </c>
      <c r="BC93" s="251">
        <f>'PolyU Score Calculation'!Y3</f>
        <v>10</v>
      </c>
      <c r="BD93" s="251">
        <f>'PolyU Score Calculation'!Z3</f>
        <v>10</v>
      </c>
      <c r="BE93" s="251">
        <f>'PolyU Score Calculation'!AA3</f>
        <v>7</v>
      </c>
      <c r="BF93" s="251">
        <f>'PolyU Score Calculation'!AB3</f>
        <v>5</v>
      </c>
      <c r="BG93" s="251">
        <f>'PolyU Score Calculation'!AC3</f>
        <v>10</v>
      </c>
      <c r="BH93" s="251">
        <f>'PolyU Score Calculation'!AD3</f>
        <v>5</v>
      </c>
      <c r="BI93" s="251">
        <f>'PolyU Score Calculation'!AE3</f>
        <v>5</v>
      </c>
      <c r="BJ93" s="251">
        <f>'PolyU Score Calculation'!AF3</f>
        <v>7.00000000001</v>
      </c>
      <c r="BK93" s="251">
        <f>'PolyU Score Calculation'!AG3</f>
        <v>3.00000000002</v>
      </c>
      <c r="BL93" s="251">
        <f>'PolyU Score Calculation'!AH3</f>
        <v>4.00000000003</v>
      </c>
      <c r="BM93" s="251">
        <f>'PolyU Score Calculation'!AI3</f>
        <v>4.00000000004</v>
      </c>
      <c r="BN93" s="251">
        <f>'PolyU Score Calculation'!AJ3</f>
        <v>5.0000000000000002E-11</v>
      </c>
      <c r="BO93" s="251">
        <f>'PolyU Score Calculation'!AK3</f>
        <v>3.00000000006</v>
      </c>
      <c r="BP93" s="251">
        <f>'PolyU Score Calculation'!AL3</f>
        <v>3.00000000007</v>
      </c>
      <c r="BQ93" s="251">
        <f>'PolyU Score Calculation'!AM3</f>
        <v>2.00000000008</v>
      </c>
      <c r="BR93" s="251">
        <f>'PolyU Score Calculation'!AN3</f>
        <v>49.000000000070003</v>
      </c>
      <c r="BS93" s="251">
        <f>'PolyU Score Calculation'!AO3</f>
        <v>30.0000000002</v>
      </c>
      <c r="BT93" s="251">
        <f>'PolyU Score Calculation'!AP3</f>
        <v>40.000000000299998</v>
      </c>
      <c r="BU93" s="251">
        <f>'PolyU Score Calculation'!AQ3</f>
        <v>28.00000000028</v>
      </c>
      <c r="BV93" s="251">
        <f>'PolyU Score Calculation'!AR3</f>
        <v>2.5000000000000002E-10</v>
      </c>
      <c r="BW93" s="251">
        <f>'PolyU Score Calculation'!AS3</f>
        <v>30.0000000006</v>
      </c>
      <c r="BX93" s="251">
        <f>'PolyU Score Calculation'!AT3</f>
        <v>15.000000000349999</v>
      </c>
      <c r="BY93" s="251">
        <f>'PolyU Score Calculation'!AU3</f>
        <v>10.0000000004</v>
      </c>
      <c r="BZ93" s="251" t="b">
        <f>'PolyU Score Calculation'!AV3</f>
        <v>1</v>
      </c>
      <c r="CA93" s="251" t="b">
        <f>'PolyU Score Calculation'!AW3</f>
        <v>1</v>
      </c>
      <c r="CB93" s="251" t="b">
        <f>'PolyU Score Calculation'!AX3</f>
        <v>1</v>
      </c>
      <c r="CC93" s="251" t="b">
        <f>'PolyU Score Calculation'!AY3</f>
        <v>1</v>
      </c>
      <c r="CD93" s="251" t="b">
        <f>'PolyU Score Calculation'!AZ3</f>
        <v>0</v>
      </c>
      <c r="CE93" s="251" t="b">
        <f>'PolyU Score Calculation'!BA3</f>
        <v>1</v>
      </c>
      <c r="CF93" s="251" t="b">
        <f>'PolyU Score Calculation'!BB3</f>
        <v>0</v>
      </c>
      <c r="CG93" s="251" t="b">
        <f>'PolyU Score Calculation'!BC3</f>
        <v>0</v>
      </c>
      <c r="CH93" s="251">
        <f>'PolyU Score Calculation'!BD3</f>
        <v>7</v>
      </c>
      <c r="CI93" s="251">
        <f>'PolyU Score Calculation'!BE3</f>
        <v>10</v>
      </c>
      <c r="CJ93" s="251">
        <f>'PolyU Score Calculation'!BF3</f>
        <v>10</v>
      </c>
      <c r="CK93" s="251">
        <f>'PolyU Score Calculation'!BG3</f>
        <v>7</v>
      </c>
      <c r="CL93" s="251">
        <f>'PolyU Score Calculation'!BH3</f>
        <v>5</v>
      </c>
      <c r="CM93" s="251">
        <f>'PolyU Score Calculation'!BI3</f>
        <v>10</v>
      </c>
      <c r="CN93" s="251">
        <f>'PolyU Score Calculation'!BJ3</f>
        <v>5</v>
      </c>
      <c r="CO93" s="251">
        <f>'PolyU Score Calculation'!BK3</f>
        <v>5</v>
      </c>
      <c r="CP93" s="251">
        <f>'PolyU Score Calculation'!BL3</f>
        <v>3.00000000001</v>
      </c>
      <c r="CQ93" s="251">
        <f>'PolyU Score Calculation'!BM3</f>
        <v>3.00000000002</v>
      </c>
      <c r="CR93" s="251">
        <f>'PolyU Score Calculation'!BN3</f>
        <v>4.00000000003</v>
      </c>
      <c r="CS93" s="251">
        <f>'PolyU Score Calculation'!BO3</f>
        <v>4.00000000004</v>
      </c>
      <c r="CT93" s="251">
        <f>'PolyU Score Calculation'!BP3</f>
        <v>5.0000000000000002E-11</v>
      </c>
      <c r="CU93" s="251">
        <f>'PolyU Score Calculation'!BQ3</f>
        <v>5.50000000006</v>
      </c>
      <c r="CV93" s="251">
        <f>'PolyU Score Calculation'!BR3</f>
        <v>5.50000000007</v>
      </c>
      <c r="CW93" s="251">
        <f>'PolyU Score Calculation'!BS3</f>
        <v>4.00000000008</v>
      </c>
      <c r="CX93" s="251">
        <f>'PolyU Score Calculation'!BT3</f>
        <v>21.000000000069999</v>
      </c>
      <c r="CY93" s="251">
        <f>'PolyU Score Calculation'!BU3</f>
        <v>30.0000000002</v>
      </c>
      <c r="CZ93" s="251">
        <f>'PolyU Score Calculation'!BV3</f>
        <v>40.000000000299998</v>
      </c>
      <c r="DA93" s="251">
        <f>'PolyU Score Calculation'!BW3</f>
        <v>28.00000000028</v>
      </c>
      <c r="DB93" s="251">
        <f>'PolyU Score Calculation'!BX3</f>
        <v>2.5000000000000002E-10</v>
      </c>
      <c r="DC93" s="251">
        <f>'PolyU Score Calculation'!BY3</f>
        <v>55.000000000599996</v>
      </c>
      <c r="DD93" s="251">
        <f>'PolyU Score Calculation'!BZ3</f>
        <v>27.500000000349999</v>
      </c>
      <c r="DE93" s="251">
        <f>'PolyU Score Calculation'!CA3</f>
        <v>20.0000000004</v>
      </c>
      <c r="DF93" s="251" t="b">
        <f>'PolyU Score Calculation'!CB3</f>
        <v>0</v>
      </c>
      <c r="DG93" s="251" t="b">
        <f>'PolyU Score Calculation'!CC3</f>
        <v>1</v>
      </c>
      <c r="DH93" s="251" t="b">
        <f>'PolyU Score Calculation'!CD3</f>
        <v>1</v>
      </c>
      <c r="DI93" s="251" t="b">
        <f>'PolyU Score Calculation'!CE3</f>
        <v>1</v>
      </c>
      <c r="DJ93" s="251" t="b">
        <f>'PolyU Score Calculation'!CF3</f>
        <v>0</v>
      </c>
      <c r="DK93" s="251" t="b">
        <f>'PolyU Score Calculation'!CG3</f>
        <v>1</v>
      </c>
      <c r="DL93" s="251" t="b">
        <f>'PolyU Score Calculation'!CH3</f>
        <v>1</v>
      </c>
      <c r="DM93" s="251" t="b">
        <f>'PolyU Score Calculation'!CI3</f>
        <v>0</v>
      </c>
    </row>
    <row r="94" spans="1:149" s="251" customFormat="1" x14ac:dyDescent="0.3">
      <c r="A94" s="251" t="str">
        <f>'PolyU Score Calculation'!A4</f>
        <v>JS3010-3</v>
      </c>
      <c r="B94" s="251" t="s">
        <v>2246</v>
      </c>
      <c r="C94" s="251" t="str">
        <f>IF('PolyU Score Calculation'!B4=0,"",'PolyU Score Calculation'!B4)</f>
        <v/>
      </c>
      <c r="D94" s="251" t="str">
        <f>IF('PolyU Score Calculation'!C4=0,"",'PolyU Score Calculation'!C4)</f>
        <v/>
      </c>
      <c r="E94" s="251" t="str">
        <f>IF('PolyU Score Calculation'!E4=0,"",'PolyU Score Calculation'!E4)</f>
        <v/>
      </c>
      <c r="F94" s="251" t="s">
        <v>1978</v>
      </c>
      <c r="G94" s="251">
        <f>'PolyU Score Calculation'!W4</f>
        <v>176.00000000145002</v>
      </c>
      <c r="H94" s="251">
        <f>'PolyU Score Calculation'!V4</f>
        <v>161.00000000151999</v>
      </c>
      <c r="I94" s="251" t="s">
        <v>3034</v>
      </c>
      <c r="J94" s="251" t="s">
        <v>3035</v>
      </c>
      <c r="K94" s="344" t="s">
        <v>3048</v>
      </c>
      <c r="L94" s="344" t="s">
        <v>1970</v>
      </c>
      <c r="M94" s="344" t="s">
        <v>1970</v>
      </c>
      <c r="N94" s="251" t="str">
        <f>'PolyU Score Calculation'!M4</f>
        <v>JS3997</v>
      </c>
      <c r="O94" s="251" t="str">
        <f>'PolyU Score Calculation'!N4</f>
        <v>化學科技(榮譽)理學士學位</v>
      </c>
      <c r="P94" s="251" t="str">
        <f>'PolyU Score Calculation'!O4</f>
        <v>Best 5</v>
      </c>
      <c r="Q94" s="251" t="str">
        <f>'PolyU Score Calculation'!P4</f>
        <v>x10: 英文、數學、化學、組合科學(化學)</v>
      </c>
      <c r="R94" s="251" t="str">
        <f>'PolyU Score Calculation'!Q4</f>
        <v>x7: 中文、通識</v>
      </c>
      <c r="S94" s="251" t="str">
        <f>'PolyU Score Calculation'!R4</f>
        <v>x5: 其他科目</v>
      </c>
      <c r="T94" s="251" t="str">
        <f>IF('PolyU Score Calculation'!D4=0,"",'PolyU Score Calculation'!D4)</f>
        <v/>
      </c>
      <c r="U94" s="251" t="s">
        <v>2165</v>
      </c>
      <c r="V94" s="251" t="str">
        <f>IF('PolyU Score Calculation'!T4=0,"",'PolyU Score Calculation'!T4)</f>
        <v/>
      </c>
      <c r="W94" s="251">
        <f>'PolyU Score Calculation'!U4</f>
        <v>21.2</v>
      </c>
      <c r="X94" s="344">
        <f>'A123'!J102</f>
        <v>0</v>
      </c>
      <c r="Y94" s="344" t="str">
        <f>'A123'!K102</f>
        <v>/</v>
      </c>
      <c r="Z94" s="344" t="str">
        <f>'A123'!L102</f>
        <v>新科目</v>
      </c>
      <c r="AB94" s="344" t="str">
        <f>入學要求!X103</f>
        <v>/</v>
      </c>
      <c r="AC94" s="344" t="str">
        <f>入學要求!Y103</f>
        <v>/</v>
      </c>
      <c r="AD94" s="251">
        <f>'PolyU Score Calculation'!E4</f>
        <v>0</v>
      </c>
      <c r="AE94" s="251" t="s">
        <v>1970</v>
      </c>
      <c r="AF94" s="251" t="s">
        <v>1970</v>
      </c>
      <c r="AG94" s="344">
        <f>'PolyU Score Calculation'!I4</f>
        <v>0</v>
      </c>
      <c r="AH94" s="344">
        <f>'PolyU Score Calculation'!J4</f>
        <v>0</v>
      </c>
      <c r="AI94" s="344">
        <f>'PolyU Score Calculation'!K4</f>
        <v>0</v>
      </c>
      <c r="AJ94" s="251" t="s">
        <v>1970</v>
      </c>
      <c r="AK94" s="251" t="s">
        <v>1970</v>
      </c>
      <c r="AL94" s="251" t="s">
        <v>1970</v>
      </c>
      <c r="AM94" s="251" t="s">
        <v>1970</v>
      </c>
      <c r="AN94" s="251" t="str">
        <f t="shared" si="405"/>
        <v>JS3997 化學科技(榮譽)理學士學位</v>
      </c>
      <c r="AO94" s="251" t="s">
        <v>1970</v>
      </c>
      <c r="AP94" s="251" t="s">
        <v>1970</v>
      </c>
      <c r="AQ94" s="344" t="s">
        <v>1970</v>
      </c>
      <c r="AR94" s="344" t="s">
        <v>2150</v>
      </c>
      <c r="AV94" s="344" t="s">
        <v>3728</v>
      </c>
      <c r="AW94" s="344" t="s">
        <v>3726</v>
      </c>
      <c r="AX94" s="344" t="s">
        <v>3729</v>
      </c>
      <c r="AY94" s="344" t="s">
        <v>3730</v>
      </c>
      <c r="AZ94" s="344" t="s">
        <v>3732</v>
      </c>
      <c r="BA94" s="344" t="s">
        <v>3734</v>
      </c>
      <c r="BB94" s="251">
        <f>'PolyU Score Calculation'!X4</f>
        <v>7</v>
      </c>
      <c r="BC94" s="251">
        <f>'PolyU Score Calculation'!Y4</f>
        <v>10</v>
      </c>
      <c r="BD94" s="251">
        <f>'PolyU Score Calculation'!Z4</f>
        <v>10</v>
      </c>
      <c r="BE94" s="251">
        <f>'PolyU Score Calculation'!AA4</f>
        <v>7</v>
      </c>
      <c r="BF94" s="251">
        <f>'PolyU Score Calculation'!AB4</f>
        <v>5</v>
      </c>
      <c r="BG94" s="251">
        <f>'PolyU Score Calculation'!AC4</f>
        <v>10</v>
      </c>
      <c r="BH94" s="251">
        <f>'PolyU Score Calculation'!AD4</f>
        <v>5</v>
      </c>
      <c r="BI94" s="251">
        <f>'PolyU Score Calculation'!AE4</f>
        <v>5</v>
      </c>
      <c r="BJ94" s="251">
        <f>'PolyU Score Calculation'!AF4</f>
        <v>3.00000000001</v>
      </c>
      <c r="BK94" s="251">
        <f>'PolyU Score Calculation'!AG4</f>
        <v>4.00000000002</v>
      </c>
      <c r="BL94" s="251">
        <f>'PolyU Score Calculation'!AH4</f>
        <v>4.00000000003</v>
      </c>
      <c r="BM94" s="251">
        <f>'PolyU Score Calculation'!AI4</f>
        <v>2.00000000004</v>
      </c>
      <c r="BN94" s="251">
        <f>'PolyU Score Calculation'!AJ4</f>
        <v>5.0000000000000002E-11</v>
      </c>
      <c r="BO94" s="251">
        <f>'PolyU Score Calculation'!AK4</f>
        <v>4.00000000006</v>
      </c>
      <c r="BP94" s="251">
        <f>'PolyU Score Calculation'!AL4</f>
        <v>4.00000000007</v>
      </c>
      <c r="BQ94" s="251">
        <f>'PolyU Score Calculation'!AM4</f>
        <v>7.9999999999999995E-11</v>
      </c>
      <c r="BR94" s="251">
        <f>'PolyU Score Calculation'!AN4</f>
        <v>21.000000000069999</v>
      </c>
      <c r="BS94" s="251">
        <f>'PolyU Score Calculation'!AO4</f>
        <v>40.000000000200004</v>
      </c>
      <c r="BT94" s="251">
        <f>'PolyU Score Calculation'!AP4</f>
        <v>40.000000000299998</v>
      </c>
      <c r="BU94" s="251">
        <f>'PolyU Score Calculation'!AQ4</f>
        <v>14.00000000028</v>
      </c>
      <c r="BV94" s="251">
        <f>'PolyU Score Calculation'!AR4</f>
        <v>2.5000000000000002E-10</v>
      </c>
      <c r="BW94" s="251">
        <f>'PolyU Score Calculation'!AS4</f>
        <v>40.000000000599996</v>
      </c>
      <c r="BX94" s="251">
        <f>'PolyU Score Calculation'!AT4</f>
        <v>20.000000000349999</v>
      </c>
      <c r="BY94" s="251">
        <f>'PolyU Score Calculation'!AU4</f>
        <v>3.9999999999999996E-10</v>
      </c>
      <c r="BZ94" s="251" t="b">
        <f>'PolyU Score Calculation'!AV4</f>
        <v>1</v>
      </c>
      <c r="CA94" s="251" t="b">
        <f>'PolyU Score Calculation'!AW4</f>
        <v>1</v>
      </c>
      <c r="CB94" s="251" t="b">
        <f>'PolyU Score Calculation'!AX4</f>
        <v>1</v>
      </c>
      <c r="CC94" s="251" t="b">
        <f>'PolyU Score Calculation'!AY4</f>
        <v>0</v>
      </c>
      <c r="CD94" s="251" t="b">
        <f>'PolyU Score Calculation'!AZ4</f>
        <v>0</v>
      </c>
      <c r="CE94" s="251" t="b">
        <f>'PolyU Score Calculation'!BA4</f>
        <v>1</v>
      </c>
      <c r="CF94" s="251" t="b">
        <f>'PolyU Score Calculation'!BB4</f>
        <v>1</v>
      </c>
      <c r="CG94" s="251" t="b">
        <f>'PolyU Score Calculation'!BC4</f>
        <v>0</v>
      </c>
      <c r="CH94" s="251">
        <f>'PolyU Score Calculation'!BD4</f>
        <v>7</v>
      </c>
      <c r="CI94" s="251">
        <f>'PolyU Score Calculation'!BE4</f>
        <v>10</v>
      </c>
      <c r="CJ94" s="251">
        <f>'PolyU Score Calculation'!BF4</f>
        <v>10</v>
      </c>
      <c r="CK94" s="251">
        <f>'PolyU Score Calculation'!BG4</f>
        <v>7</v>
      </c>
      <c r="CL94" s="251">
        <f>'PolyU Score Calculation'!BH4</f>
        <v>5</v>
      </c>
      <c r="CM94" s="251">
        <f>'PolyU Score Calculation'!BI4</f>
        <v>10</v>
      </c>
      <c r="CN94" s="251">
        <f>'PolyU Score Calculation'!BJ4</f>
        <v>5</v>
      </c>
      <c r="CO94" s="251">
        <f>'PolyU Score Calculation'!BK4</f>
        <v>5</v>
      </c>
      <c r="CP94" s="251">
        <f>'PolyU Score Calculation'!BL4</f>
        <v>4.00000000001</v>
      </c>
      <c r="CQ94" s="251">
        <f>'PolyU Score Calculation'!BM4</f>
        <v>4.00000000002</v>
      </c>
      <c r="CR94" s="251">
        <f>'PolyU Score Calculation'!BN4</f>
        <v>4.00000000003</v>
      </c>
      <c r="CS94" s="251">
        <f>'PolyU Score Calculation'!BO4</f>
        <v>4.00000000004</v>
      </c>
      <c r="CT94" s="251">
        <f>'PolyU Score Calculation'!BP4</f>
        <v>5.0000000000000002E-11</v>
      </c>
      <c r="CU94" s="251">
        <f>'PolyU Score Calculation'!BQ4</f>
        <v>4.00000000006</v>
      </c>
      <c r="CV94" s="251">
        <f>'PolyU Score Calculation'!BR4</f>
        <v>4.00000000007</v>
      </c>
      <c r="CW94" s="251">
        <f>'PolyU Score Calculation'!BS4</f>
        <v>7.9999999999999995E-11</v>
      </c>
      <c r="CX94" s="251">
        <f>'PolyU Score Calculation'!BT4</f>
        <v>28.000000000069999</v>
      </c>
      <c r="CY94" s="251">
        <f>'PolyU Score Calculation'!BU4</f>
        <v>40.000000000200004</v>
      </c>
      <c r="CZ94" s="251">
        <f>'PolyU Score Calculation'!BV4</f>
        <v>40.000000000299998</v>
      </c>
      <c r="DA94" s="251">
        <f>'PolyU Score Calculation'!BW4</f>
        <v>28.00000000028</v>
      </c>
      <c r="DB94" s="251">
        <f>'PolyU Score Calculation'!BX4</f>
        <v>2.5000000000000002E-10</v>
      </c>
      <c r="DC94" s="251">
        <f>'PolyU Score Calculation'!BY4</f>
        <v>40.000000000599996</v>
      </c>
      <c r="DD94" s="251">
        <f>'PolyU Score Calculation'!BZ4</f>
        <v>20.000000000349999</v>
      </c>
      <c r="DE94" s="251">
        <f>'PolyU Score Calculation'!CA4</f>
        <v>3.9999999999999996E-10</v>
      </c>
      <c r="DF94" s="251" t="b">
        <f>'PolyU Score Calculation'!CB4</f>
        <v>1</v>
      </c>
      <c r="DG94" s="251" t="b">
        <f>'PolyU Score Calculation'!CC4</f>
        <v>1</v>
      </c>
      <c r="DH94" s="251" t="b">
        <f>'PolyU Score Calculation'!CD4</f>
        <v>1</v>
      </c>
      <c r="DI94" s="251" t="b">
        <f>'PolyU Score Calculation'!CE4</f>
        <v>1</v>
      </c>
      <c r="DJ94" s="251" t="b">
        <f>'PolyU Score Calculation'!CF4</f>
        <v>0</v>
      </c>
      <c r="DK94" s="251" t="b">
        <f>'PolyU Score Calculation'!CG4</f>
        <v>1</v>
      </c>
      <c r="DL94" s="251" t="b">
        <f>'PolyU Score Calculation'!CH4</f>
        <v>0</v>
      </c>
      <c r="DM94" s="251" t="b">
        <f>'PolyU Score Calculation'!CI4</f>
        <v>0</v>
      </c>
    </row>
    <row r="95" spans="1:149" s="251" customFormat="1" x14ac:dyDescent="0.3">
      <c r="A95" s="251" t="str">
        <f>'PolyU Score Calculation'!A5</f>
        <v>JS3020</v>
      </c>
      <c r="B95" s="251" t="s">
        <v>2246</v>
      </c>
      <c r="C95" s="251" t="str">
        <f>IF('PolyU Score Calculation'!B5=0,"",'PolyU Score Calculation'!B5)</f>
        <v>理學院</v>
      </c>
      <c r="D95" s="251" t="str">
        <f>IF('PolyU Score Calculation'!C5=0,"",'PolyU Score Calculation'!C5)</f>
        <v>數據科學(榮譽)理學士組合課程</v>
      </c>
      <c r="E95" s="251" t="str">
        <f>IF('PolyU Score Calculation'!E5=0,"",'PolyU Score Calculation'!E5)</f>
        <v>Best 5</v>
      </c>
      <c r="F95" s="251" t="s">
        <v>1978</v>
      </c>
      <c r="G95" s="251">
        <f>'PolyU Score Calculation'!W5</f>
        <v>164.00000000115</v>
      </c>
      <c r="H95" s="251">
        <f>'PolyU Score Calculation'!V5</f>
        <v>146.50000000115</v>
      </c>
      <c r="I95" s="251" t="s">
        <v>3034</v>
      </c>
      <c r="J95" s="251" t="s">
        <v>3035</v>
      </c>
      <c r="K95" s="344" t="s">
        <v>3048</v>
      </c>
      <c r="L95" s="344" t="s">
        <v>1970</v>
      </c>
      <c r="M95" s="344" t="s">
        <v>1970</v>
      </c>
      <c r="N95" s="251" t="str">
        <f>'PolyU Score Calculation'!M5</f>
        <v>JS3806</v>
      </c>
      <c r="O95" s="251" t="str">
        <f>'PolyU Score Calculation'!N5</f>
        <v>投資科學及金融分析(榮譽)理學士學位</v>
      </c>
      <c r="P95" s="251" t="str">
        <f>'PolyU Score Calculation'!O5</f>
        <v>Best 5</v>
      </c>
      <c r="Q95" s="251" t="str">
        <f>'PolyU Score Calculation'!P5</f>
        <v>x10: 英文、數學</v>
      </c>
      <c r="R95" s="251" t="str">
        <f>'PolyU Score Calculation'!Q5</f>
        <v>x7: 中文、通識</v>
      </c>
      <c r="S95" s="251" t="str">
        <f>'PolyU Score Calculation'!R5</f>
        <v>x5: 其他科目</v>
      </c>
      <c r="T95" s="251" t="str">
        <f>IF('PolyU Score Calculation'!D5=0,"",'PolyU Score Calculation'!D5)</f>
        <v>DATA SCI</v>
      </c>
      <c r="U95" s="251" t="s">
        <v>2165</v>
      </c>
      <c r="V95" s="251">
        <f>IF('PolyU Score Calculation'!T5=0,"",'PolyU Score Calculation'!T5)</f>
        <v>21.9</v>
      </c>
      <c r="W95" s="251">
        <f>'PolyU Score Calculation'!U5</f>
        <v>21.9</v>
      </c>
      <c r="X95" s="344">
        <f>'A123'!J103</f>
        <v>25</v>
      </c>
      <c r="Y95" s="344" t="str">
        <f>'A123'!K103</f>
        <v>/</v>
      </c>
      <c r="Z95" s="344" t="str">
        <f>'A123'!L103</f>
        <v>新科目</v>
      </c>
      <c r="AA95" s="251" t="s">
        <v>2165</v>
      </c>
      <c r="AB95" s="344" t="str">
        <f>入學要求!X104</f>
        <v>/</v>
      </c>
      <c r="AC95" s="344" t="str">
        <f>入學要求!Y104</f>
        <v>/</v>
      </c>
      <c r="AD95" s="251" t="str">
        <f>'PolyU Score Calculation'!E5</f>
        <v>Best 5</v>
      </c>
      <c r="AE95" s="251" t="s">
        <v>1970</v>
      </c>
      <c r="AF95" s="251" t="s">
        <v>1970</v>
      </c>
      <c r="AG95" s="344" t="str">
        <f>'PolyU Score Calculation'!I5</f>
        <v>x10: 英文、數學</v>
      </c>
      <c r="AH95" s="344" t="str">
        <f>'PolyU Score Calculation'!J5</f>
        <v>x7: 中文、通識</v>
      </c>
      <c r="AI95" s="344" t="str">
        <f>'PolyU Score Calculation'!K5</f>
        <v>x5: 其他科目</v>
      </c>
      <c r="AJ95" s="251" t="s">
        <v>1970</v>
      </c>
      <c r="AK95" s="251" t="s">
        <v>1970</v>
      </c>
      <c r="AL95" s="251" t="s">
        <v>1970</v>
      </c>
      <c r="AM95" s="251" t="s">
        <v>3043</v>
      </c>
      <c r="AN95" s="251" t="str">
        <f t="shared" si="405"/>
        <v>JS3806 投資科學及金融分析(榮譽)理學士學位</v>
      </c>
      <c r="AO95" s="251" t="s">
        <v>1970</v>
      </c>
      <c r="AP95" s="251" t="s">
        <v>1970</v>
      </c>
      <c r="AQ95" s="344" t="s">
        <v>1970</v>
      </c>
      <c r="AR95" s="344" t="s">
        <v>2150</v>
      </c>
      <c r="AS95" s="251" t="s">
        <v>3603</v>
      </c>
      <c r="AT95" s="251" t="s">
        <v>3631</v>
      </c>
      <c r="AU95" s="251" t="s">
        <v>1970</v>
      </c>
      <c r="AV95" s="344" t="s">
        <v>3728</v>
      </c>
      <c r="AW95" s="344" t="s">
        <v>3726</v>
      </c>
      <c r="AX95" s="344" t="s">
        <v>3729</v>
      </c>
      <c r="AY95" s="344" t="s">
        <v>3730</v>
      </c>
      <c r="AZ95" s="344" t="s">
        <v>3732</v>
      </c>
      <c r="BA95" s="344" t="s">
        <v>3734</v>
      </c>
      <c r="BB95" s="251">
        <f>'PolyU Score Calculation'!X5</f>
        <v>7</v>
      </c>
      <c r="BC95" s="251">
        <f>'PolyU Score Calculation'!Y5</f>
        <v>10</v>
      </c>
      <c r="BD95" s="251">
        <f>'PolyU Score Calculation'!Z5</f>
        <v>10</v>
      </c>
      <c r="BE95" s="251">
        <f>'PolyU Score Calculation'!AA5</f>
        <v>7</v>
      </c>
      <c r="BF95" s="251">
        <f>'PolyU Score Calculation'!AB5</f>
        <v>5</v>
      </c>
      <c r="BG95" s="251">
        <f>'PolyU Score Calculation'!AC5</f>
        <v>5</v>
      </c>
      <c r="BH95" s="251">
        <f>'PolyU Score Calculation'!AD5</f>
        <v>5</v>
      </c>
      <c r="BI95" s="251">
        <f>'PolyU Score Calculation'!AE5</f>
        <v>5</v>
      </c>
      <c r="BJ95" s="251">
        <f>'PolyU Score Calculation'!AF5</f>
        <v>3.00000000001</v>
      </c>
      <c r="BK95" s="251">
        <f>'PolyU Score Calculation'!AG5</f>
        <v>3.00000000002</v>
      </c>
      <c r="BL95" s="251">
        <f>'PolyU Score Calculation'!AH5</f>
        <v>4.00000000003</v>
      </c>
      <c r="BM95" s="251">
        <f>'PolyU Score Calculation'!AI5</f>
        <v>4.00000000004</v>
      </c>
      <c r="BN95" s="251">
        <f>'PolyU Score Calculation'!AJ5</f>
        <v>5.0000000000000002E-11</v>
      </c>
      <c r="BO95" s="251">
        <f>'PolyU Score Calculation'!AK5</f>
        <v>5.50000000006</v>
      </c>
      <c r="BP95" s="251">
        <f>'PolyU Score Calculation'!AL5</f>
        <v>4.00000000007</v>
      </c>
      <c r="BQ95" s="251">
        <f>'PolyU Score Calculation'!AM5</f>
        <v>7.9999999999999995E-11</v>
      </c>
      <c r="BR95" s="251">
        <f>'PolyU Score Calculation'!AN5</f>
        <v>21.000000000069999</v>
      </c>
      <c r="BS95" s="251">
        <f>'PolyU Score Calculation'!AO5</f>
        <v>30.0000000002</v>
      </c>
      <c r="BT95" s="251">
        <f>'PolyU Score Calculation'!AP5</f>
        <v>40.000000000299998</v>
      </c>
      <c r="BU95" s="251">
        <f>'PolyU Score Calculation'!AQ5</f>
        <v>28.00000000028</v>
      </c>
      <c r="BV95" s="251">
        <f>'PolyU Score Calculation'!AR5</f>
        <v>2.5000000000000002E-10</v>
      </c>
      <c r="BW95" s="251">
        <f>'PolyU Score Calculation'!AS5</f>
        <v>27.500000000299998</v>
      </c>
      <c r="BX95" s="251">
        <f>'PolyU Score Calculation'!AT5</f>
        <v>20.000000000349999</v>
      </c>
      <c r="BY95" s="251">
        <f>'PolyU Score Calculation'!AU5</f>
        <v>3.9999999999999996E-10</v>
      </c>
      <c r="BZ95" s="251" t="b">
        <f>'PolyU Score Calculation'!AV5</f>
        <v>1</v>
      </c>
      <c r="CA95" s="251" t="b">
        <f>'PolyU Score Calculation'!AW5</f>
        <v>1</v>
      </c>
      <c r="CB95" s="251" t="b">
        <f>'PolyU Score Calculation'!AX5</f>
        <v>1</v>
      </c>
      <c r="CC95" s="251" t="b">
        <f>'PolyU Score Calculation'!AY5</f>
        <v>1</v>
      </c>
      <c r="CD95" s="251" t="b">
        <f>'PolyU Score Calculation'!AZ5</f>
        <v>0</v>
      </c>
      <c r="CE95" s="251" t="b">
        <f>'PolyU Score Calculation'!BA5</f>
        <v>1</v>
      </c>
      <c r="CF95" s="251" t="b">
        <f>'PolyU Score Calculation'!BB5</f>
        <v>0</v>
      </c>
      <c r="CG95" s="251" t="b">
        <f>'PolyU Score Calculation'!BC5</f>
        <v>0</v>
      </c>
      <c r="CH95" s="251">
        <f>'PolyU Score Calculation'!BD5</f>
        <v>7</v>
      </c>
      <c r="CI95" s="251">
        <f>'PolyU Score Calculation'!BE5</f>
        <v>10</v>
      </c>
      <c r="CJ95" s="251">
        <f>'PolyU Score Calculation'!BF5</f>
        <v>10</v>
      </c>
      <c r="CK95" s="251">
        <f>'PolyU Score Calculation'!BG5</f>
        <v>7</v>
      </c>
      <c r="CL95" s="251">
        <f>'PolyU Score Calculation'!BH5</f>
        <v>5</v>
      </c>
      <c r="CM95" s="251">
        <f>'PolyU Score Calculation'!BI5</f>
        <v>5</v>
      </c>
      <c r="CN95" s="251">
        <f>'PolyU Score Calculation'!BJ5</f>
        <v>5</v>
      </c>
      <c r="CO95" s="251">
        <f>'PolyU Score Calculation'!BK5</f>
        <v>5</v>
      </c>
      <c r="CP95" s="251">
        <f>'PolyU Score Calculation'!BL5</f>
        <v>4.00000000001</v>
      </c>
      <c r="CQ95" s="251">
        <f>'PolyU Score Calculation'!BM5</f>
        <v>4.00000000002</v>
      </c>
      <c r="CR95" s="251">
        <f>'PolyU Score Calculation'!BN5</f>
        <v>5.50000000003</v>
      </c>
      <c r="CS95" s="251">
        <f>'PolyU Score Calculation'!BO5</f>
        <v>3.00000000004</v>
      </c>
      <c r="CT95" s="251">
        <f>'PolyU Score Calculation'!BP5</f>
        <v>2.00000000005</v>
      </c>
      <c r="CU95" s="251">
        <f>'PolyU Score Calculation'!BQ5</f>
        <v>4.00000000006</v>
      </c>
      <c r="CV95" s="251">
        <f>'PolyU Score Calculation'!BR5</f>
        <v>3.00000000007</v>
      </c>
      <c r="CW95" s="251">
        <f>'PolyU Score Calculation'!BS5</f>
        <v>7.9999999999999995E-11</v>
      </c>
      <c r="CX95" s="251">
        <f>'PolyU Score Calculation'!BT5</f>
        <v>28.000000000069999</v>
      </c>
      <c r="CY95" s="251">
        <f>'PolyU Score Calculation'!BU5</f>
        <v>40.000000000200004</v>
      </c>
      <c r="CZ95" s="251">
        <f>'PolyU Score Calculation'!BV5</f>
        <v>55.000000000299998</v>
      </c>
      <c r="DA95" s="251">
        <f>'PolyU Score Calculation'!BW5</f>
        <v>21.00000000028</v>
      </c>
      <c r="DB95" s="251">
        <f>'PolyU Score Calculation'!BX5</f>
        <v>10.000000000250001</v>
      </c>
      <c r="DC95" s="251">
        <f>'PolyU Score Calculation'!BY5</f>
        <v>20.000000000299998</v>
      </c>
      <c r="DD95" s="251">
        <f>'PolyU Score Calculation'!BZ5</f>
        <v>15.000000000349999</v>
      </c>
      <c r="DE95" s="251">
        <f>'PolyU Score Calculation'!CA5</f>
        <v>3.9999999999999996E-10</v>
      </c>
      <c r="DF95" s="251" t="b">
        <f>'PolyU Score Calculation'!CB5</f>
        <v>1</v>
      </c>
      <c r="DG95" s="251" t="b">
        <f>'PolyU Score Calculation'!CC5</f>
        <v>1</v>
      </c>
      <c r="DH95" s="251" t="b">
        <f>'PolyU Score Calculation'!CD5</f>
        <v>1</v>
      </c>
      <c r="DI95" s="251" t="b">
        <f>'PolyU Score Calculation'!CE5</f>
        <v>1</v>
      </c>
      <c r="DJ95" s="251" t="b">
        <f>'PolyU Score Calculation'!CF5</f>
        <v>0</v>
      </c>
      <c r="DK95" s="251" t="b">
        <f>'PolyU Score Calculation'!CG5</f>
        <v>1</v>
      </c>
      <c r="DL95" s="251" t="b">
        <f>'PolyU Score Calculation'!CH5</f>
        <v>0</v>
      </c>
      <c r="DM95" s="251" t="b">
        <f>'PolyU Score Calculation'!CI5</f>
        <v>0</v>
      </c>
    </row>
    <row r="96" spans="1:149" s="251" customFormat="1" x14ac:dyDescent="0.3">
      <c r="A96" s="251" t="str">
        <f>'PolyU Score Calculation'!A6</f>
        <v>JS3030</v>
      </c>
      <c r="B96" s="251" t="s">
        <v>2246</v>
      </c>
      <c r="C96" s="251" t="str">
        <f>IF('PolyU Score Calculation'!B6=0,"",'PolyU Score Calculation'!B6)</f>
        <v>理學院</v>
      </c>
      <c r="D96" s="251" t="str">
        <f>IF('PolyU Score Calculation'!C6=0,"",'PolyU Score Calculation'!C6)</f>
        <v>物理學(榮譽)理學士 副主修人工智能及數據分析 / 創新及創業</v>
      </c>
      <c r="E96" s="251" t="str">
        <f>IF('PolyU Score Calculation'!E6=0,"",'PolyU Score Calculation'!E6)</f>
        <v>Best 5</v>
      </c>
      <c r="F96" s="251" t="s">
        <v>1978</v>
      </c>
      <c r="G96" s="251" t="str">
        <f>'PolyU Score Calculation'!W6</f>
        <v>/</v>
      </c>
      <c r="H96" s="251" t="str">
        <f>'PolyU Score Calculation'!V6</f>
        <v>/</v>
      </c>
      <c r="I96" s="251" t="s">
        <v>3034</v>
      </c>
      <c r="J96" s="251" t="s">
        <v>3035</v>
      </c>
      <c r="K96" s="344" t="s">
        <v>3048</v>
      </c>
      <c r="L96" s="344" t="s">
        <v>1970</v>
      </c>
      <c r="M96" s="344" t="s">
        <v>1970</v>
      </c>
      <c r="N96" s="251" t="str">
        <f>'PolyU Score Calculation'!M6</f>
        <v>/</v>
      </c>
      <c r="O96" s="251" t="str">
        <f>'PolyU Score Calculation'!N6</f>
        <v>/</v>
      </c>
      <c r="P96" s="251" t="str">
        <f>'PolyU Score Calculation'!O6</f>
        <v>/</v>
      </c>
      <c r="Q96" s="251" t="str">
        <f>'PolyU Score Calculation'!P6</f>
        <v>/</v>
      </c>
      <c r="R96" s="251" t="str">
        <f>'PolyU Score Calculation'!Q6</f>
        <v>/</v>
      </c>
      <c r="S96" s="251" t="str">
        <f>'PolyU Score Calculation'!R6</f>
        <v>/</v>
      </c>
      <c r="T96" s="251" t="str">
        <f>IF('PolyU Score Calculation'!D6=0,"",'PolyU Score Calculation'!D6)</f>
        <v>PHYSICS</v>
      </c>
      <c r="U96" s="251" t="s">
        <v>2165</v>
      </c>
      <c r="V96" s="251" t="str">
        <f>IF('PolyU Score Calculation'!T6=0,"",'PolyU Score Calculation'!T6)</f>
        <v>/</v>
      </c>
      <c r="W96" s="251" t="str">
        <f>'PolyU Score Calculation'!U6</f>
        <v>/</v>
      </c>
      <c r="X96" s="344">
        <f>'A123'!J104</f>
        <v>25</v>
      </c>
      <c r="Y96" s="344" t="str">
        <f>'A123'!K104</f>
        <v>/</v>
      </c>
      <c r="Z96" s="344" t="str">
        <f>'A123'!L104</f>
        <v>新科目</v>
      </c>
      <c r="AA96" s="251" t="s">
        <v>2165</v>
      </c>
      <c r="AB96" s="344" t="str">
        <f>入學要求!X105</f>
        <v>/</v>
      </c>
      <c r="AC96" s="344" t="str">
        <f>入學要求!Y105</f>
        <v>/</v>
      </c>
      <c r="AD96" s="251" t="str">
        <f>'PolyU Score Calculation'!E6</f>
        <v>Best 5</v>
      </c>
      <c r="AE96" s="251" t="s">
        <v>1970</v>
      </c>
      <c r="AF96" s="251" t="s">
        <v>1970</v>
      </c>
      <c r="AG96" s="344" t="str">
        <f>'PolyU Score Calculation'!I6</f>
        <v>x10: 英文、數學、M1/2、物理、組合科學(物理)</v>
      </c>
      <c r="AH96" s="344" t="str">
        <f>'PolyU Score Calculation'!J6</f>
        <v>x7: 中文、通識</v>
      </c>
      <c r="AI96" s="344" t="str">
        <f>'PolyU Score Calculation'!K6</f>
        <v>x5: 其他科目</v>
      </c>
      <c r="AJ96" s="251" t="s">
        <v>1970</v>
      </c>
      <c r="AK96" s="251" t="s">
        <v>1970</v>
      </c>
      <c r="AL96" s="251" t="s">
        <v>1970</v>
      </c>
      <c r="AM96" s="251" t="s">
        <v>3043</v>
      </c>
      <c r="AN96" s="251" t="str">
        <f t="shared" si="405"/>
        <v>/ /</v>
      </c>
      <c r="AO96" s="251" t="s">
        <v>1970</v>
      </c>
      <c r="AP96" s="251" t="s">
        <v>1970</v>
      </c>
      <c r="AQ96" s="344" t="s">
        <v>1970</v>
      </c>
      <c r="AR96" s="344" t="s">
        <v>2150</v>
      </c>
      <c r="AS96" s="251" t="s">
        <v>3610</v>
      </c>
      <c r="AT96" s="251" t="s">
        <v>1970</v>
      </c>
      <c r="AV96" s="344" t="s">
        <v>3728</v>
      </c>
      <c r="AW96" s="344" t="s">
        <v>3726</v>
      </c>
      <c r="AX96" s="344" t="s">
        <v>3729</v>
      </c>
      <c r="AY96" s="344" t="s">
        <v>3730</v>
      </c>
      <c r="AZ96" s="344" t="s">
        <v>3732</v>
      </c>
      <c r="BA96" s="344" t="s">
        <v>3734</v>
      </c>
      <c r="BB96" s="251">
        <f>'PolyU Score Calculation'!X6</f>
        <v>0</v>
      </c>
      <c r="BC96" s="251">
        <f>'PolyU Score Calculation'!Y6</f>
        <v>0</v>
      </c>
      <c r="BD96" s="251">
        <f>'PolyU Score Calculation'!Z6</f>
        <v>0</v>
      </c>
      <c r="BE96" s="251">
        <f>'PolyU Score Calculation'!AA6</f>
        <v>0</v>
      </c>
      <c r="BF96" s="251">
        <f>'PolyU Score Calculation'!AB6</f>
        <v>0</v>
      </c>
      <c r="BG96" s="251">
        <f>'PolyU Score Calculation'!AC6</f>
        <v>0</v>
      </c>
      <c r="BH96" s="251">
        <f>'PolyU Score Calculation'!AD6</f>
        <v>0</v>
      </c>
      <c r="BI96" s="251">
        <f>'PolyU Score Calculation'!AE6</f>
        <v>0</v>
      </c>
      <c r="BJ96" s="251">
        <f>'PolyU Score Calculation'!AF6</f>
        <v>9.9999999999999994E-12</v>
      </c>
      <c r="BK96" s="251">
        <f>'PolyU Score Calculation'!AG6</f>
        <v>1.9999999999999999E-11</v>
      </c>
      <c r="BL96" s="251">
        <f>'PolyU Score Calculation'!AH6</f>
        <v>3E-11</v>
      </c>
      <c r="BM96" s="251">
        <f>'PolyU Score Calculation'!AI6</f>
        <v>3.9999999999999998E-11</v>
      </c>
      <c r="BN96" s="251">
        <f>'PolyU Score Calculation'!AJ6</f>
        <v>5.0000000000000002E-11</v>
      </c>
      <c r="BO96" s="251">
        <f>'PolyU Score Calculation'!AK6</f>
        <v>6E-11</v>
      </c>
      <c r="BP96" s="251">
        <f>'PolyU Score Calculation'!AL6</f>
        <v>7.0000000000000004E-11</v>
      </c>
      <c r="BQ96" s="251">
        <f>'PolyU Score Calculation'!AM6</f>
        <v>7.9999999999999995E-11</v>
      </c>
      <c r="BR96" s="251">
        <f>'PolyU Score Calculation'!AN6</f>
        <v>0</v>
      </c>
      <c r="BS96" s="251">
        <f>'PolyU Score Calculation'!AO6</f>
        <v>0</v>
      </c>
      <c r="BT96" s="251">
        <f>'PolyU Score Calculation'!AP6</f>
        <v>0</v>
      </c>
      <c r="BU96" s="251">
        <f>'PolyU Score Calculation'!AQ6</f>
        <v>0</v>
      </c>
      <c r="BV96" s="251">
        <f>'PolyU Score Calculation'!AR6</f>
        <v>0</v>
      </c>
      <c r="BW96" s="251">
        <f>'PolyU Score Calculation'!AS6</f>
        <v>0</v>
      </c>
      <c r="BX96" s="251">
        <f>'PolyU Score Calculation'!AT6</f>
        <v>0</v>
      </c>
      <c r="BY96" s="251">
        <f>'PolyU Score Calculation'!AU6</f>
        <v>0</v>
      </c>
      <c r="BZ96" s="251" t="e">
        <f>'PolyU Score Calculation'!AV6</f>
        <v>#NUM!</v>
      </c>
      <c r="CA96" s="251" t="e">
        <f>'PolyU Score Calculation'!AW6</f>
        <v>#NUM!</v>
      </c>
      <c r="CB96" s="251" t="e">
        <f>'PolyU Score Calculation'!AX6</f>
        <v>#NUM!</v>
      </c>
      <c r="CC96" s="251" t="e">
        <f>'PolyU Score Calculation'!AY6</f>
        <v>#NUM!</v>
      </c>
      <c r="CD96" s="251" t="e">
        <f>'PolyU Score Calculation'!AZ6</f>
        <v>#NUM!</v>
      </c>
      <c r="CE96" s="251" t="e">
        <f>'PolyU Score Calculation'!BA6</f>
        <v>#NUM!</v>
      </c>
      <c r="CF96" s="251" t="e">
        <f>'PolyU Score Calculation'!BB6</f>
        <v>#NUM!</v>
      </c>
      <c r="CG96" s="251" t="e">
        <f>'PolyU Score Calculation'!BC6</f>
        <v>#NUM!</v>
      </c>
      <c r="CH96" s="251">
        <f>'PolyU Score Calculation'!BD6</f>
        <v>0</v>
      </c>
      <c r="CI96" s="251">
        <f>'PolyU Score Calculation'!BE6</f>
        <v>0</v>
      </c>
      <c r="CJ96" s="251">
        <f>'PolyU Score Calculation'!BF6</f>
        <v>0</v>
      </c>
      <c r="CK96" s="251">
        <f>'PolyU Score Calculation'!BG6</f>
        <v>0</v>
      </c>
      <c r="CL96" s="251">
        <f>'PolyU Score Calculation'!BH6</f>
        <v>0</v>
      </c>
      <c r="CM96" s="251">
        <f>'PolyU Score Calculation'!BI6</f>
        <v>0</v>
      </c>
      <c r="CN96" s="251">
        <f>'PolyU Score Calculation'!BJ6</f>
        <v>0</v>
      </c>
      <c r="CO96" s="251">
        <f>'PolyU Score Calculation'!BK6</f>
        <v>0</v>
      </c>
      <c r="CP96" s="251">
        <f>'PolyU Score Calculation'!BL6</f>
        <v>9.9999999999999994E-12</v>
      </c>
      <c r="CQ96" s="251">
        <f>'PolyU Score Calculation'!BM6</f>
        <v>1.9999999999999999E-11</v>
      </c>
      <c r="CR96" s="251">
        <f>'PolyU Score Calculation'!BN6</f>
        <v>3E-11</v>
      </c>
      <c r="CS96" s="251">
        <f>'PolyU Score Calculation'!BO6</f>
        <v>3.9999999999999998E-11</v>
      </c>
      <c r="CT96" s="251">
        <f>'PolyU Score Calculation'!BP6</f>
        <v>5.0000000000000002E-11</v>
      </c>
      <c r="CU96" s="251">
        <f>'PolyU Score Calculation'!BQ6</f>
        <v>6E-11</v>
      </c>
      <c r="CV96" s="251">
        <f>'PolyU Score Calculation'!BR6</f>
        <v>7.0000000000000004E-11</v>
      </c>
      <c r="CW96" s="251">
        <f>'PolyU Score Calculation'!BS6</f>
        <v>7.9999999999999995E-11</v>
      </c>
      <c r="CX96" s="251">
        <f>'PolyU Score Calculation'!BT6</f>
        <v>0</v>
      </c>
      <c r="CY96" s="251">
        <f>'PolyU Score Calculation'!BU6</f>
        <v>0</v>
      </c>
      <c r="CZ96" s="251">
        <f>'PolyU Score Calculation'!BV6</f>
        <v>0</v>
      </c>
      <c r="DA96" s="251">
        <f>'PolyU Score Calculation'!BW6</f>
        <v>0</v>
      </c>
      <c r="DB96" s="251">
        <f>'PolyU Score Calculation'!BX6</f>
        <v>0</v>
      </c>
      <c r="DC96" s="251">
        <f>'PolyU Score Calculation'!BY6</f>
        <v>0</v>
      </c>
      <c r="DD96" s="251">
        <f>'PolyU Score Calculation'!BZ6</f>
        <v>0</v>
      </c>
      <c r="DE96" s="251">
        <f>'PolyU Score Calculation'!CA6</f>
        <v>0</v>
      </c>
      <c r="DF96" s="251" t="e">
        <f>'PolyU Score Calculation'!CB6</f>
        <v>#NUM!</v>
      </c>
      <c r="DG96" s="251" t="e">
        <f>'PolyU Score Calculation'!CC6</f>
        <v>#NUM!</v>
      </c>
      <c r="DH96" s="251" t="e">
        <f>'PolyU Score Calculation'!CD6</f>
        <v>#NUM!</v>
      </c>
      <c r="DI96" s="251" t="e">
        <f>'PolyU Score Calculation'!CE6</f>
        <v>#NUM!</v>
      </c>
      <c r="DJ96" s="251" t="e">
        <f>'PolyU Score Calculation'!CF6</f>
        <v>#NUM!</v>
      </c>
      <c r="DK96" s="251" t="e">
        <f>'PolyU Score Calculation'!CG6</f>
        <v>#NUM!</v>
      </c>
      <c r="DL96" s="251" t="e">
        <f>'PolyU Score Calculation'!CH6</f>
        <v>#NUM!</v>
      </c>
      <c r="DM96" s="251" t="e">
        <f>'PolyU Score Calculation'!CI6</f>
        <v>#NUM!</v>
      </c>
    </row>
    <row r="97" spans="1:117" s="251" customFormat="1" x14ac:dyDescent="0.3">
      <c r="A97" s="251" t="str">
        <f>'PolyU Score Calculation'!A7</f>
        <v>JS3060</v>
      </c>
      <c r="B97" s="251" t="s">
        <v>2246</v>
      </c>
      <c r="C97" s="251" t="str">
        <f>IF('PolyU Score Calculation'!B7=0,"",'PolyU Score Calculation'!B7)</f>
        <v>工商管理學院</v>
      </c>
      <c r="D97" s="251" t="str">
        <f>IF('PolyU Score Calculation'!C7=0,"",'PolyU Score Calculation'!C7)</f>
        <v>會計及金融(榮譽)工商管理學士組合課程</v>
      </c>
      <c r="E97" s="251" t="str">
        <f>IF('PolyU Score Calculation'!E7=0,"",'PolyU Score Calculation'!E7)</f>
        <v>Best 5</v>
      </c>
      <c r="F97" s="251" t="s">
        <v>1978</v>
      </c>
      <c r="G97" s="251">
        <f>'PolyU Score Calculation'!W7</f>
        <v>161.50000000115</v>
      </c>
      <c r="H97" s="251">
        <f>'PolyU Score Calculation'!V7</f>
        <v>163.50000000115</v>
      </c>
      <c r="I97" s="251" t="s">
        <v>3034</v>
      </c>
      <c r="J97" s="251" t="s">
        <v>3035</v>
      </c>
      <c r="K97" s="344" t="s">
        <v>3048</v>
      </c>
      <c r="L97" s="344" t="s">
        <v>1970</v>
      </c>
      <c r="M97" s="344" t="s">
        <v>1970</v>
      </c>
      <c r="N97" s="251" t="str">
        <f>'PolyU Score Calculation'!M7</f>
        <v>JS3466</v>
      </c>
      <c r="O97" s="251" t="str">
        <f>'PolyU Score Calculation'!N7</f>
        <v>會計及金融(榮譽)工商管理學士學位</v>
      </c>
      <c r="P97" s="251" t="str">
        <f>'PolyU Score Calculation'!O7</f>
        <v>Best 5</v>
      </c>
      <c r="Q97" s="251" t="str">
        <f>'PolyU Score Calculation'!P7</f>
        <v>x10: 英文、數學</v>
      </c>
      <c r="R97" s="251" t="str">
        <f>'PolyU Score Calculation'!Q7</f>
        <v>x7: 中文、通識</v>
      </c>
      <c r="S97" s="251" t="str">
        <f>'PolyU Score Calculation'!R7</f>
        <v>x5: 其他科目</v>
      </c>
      <c r="T97" s="251" t="str">
        <f>IF('PolyU Score Calculation'!D7=0,"",'PolyU Score Calculation'!D7)</f>
        <v>ACCT &amp; FINANCE</v>
      </c>
      <c r="U97" s="251" t="s">
        <v>2165</v>
      </c>
      <c r="V97" s="251">
        <f>IF('PolyU Score Calculation'!T7=0,"",'PolyU Score Calculation'!T7)</f>
        <v>22.1</v>
      </c>
      <c r="W97" s="251">
        <f>'PolyU Score Calculation'!U7</f>
        <v>23.1</v>
      </c>
      <c r="X97" s="344">
        <f>'A123'!J105</f>
        <v>160</v>
      </c>
      <c r="Y97" s="344" t="str">
        <f>'A123'!K105</f>
        <v>/</v>
      </c>
      <c r="Z97" s="344" t="str">
        <f>'A123'!L105</f>
        <v>新科目</v>
      </c>
      <c r="AA97" s="251" t="s">
        <v>2165</v>
      </c>
      <c r="AB97" s="344" t="str">
        <f>入學要求!X106</f>
        <v>/</v>
      </c>
      <c r="AC97" s="344" t="str">
        <f>入學要求!Y106</f>
        <v>/</v>
      </c>
      <c r="AD97" s="251" t="str">
        <f>'PolyU Score Calculation'!E7</f>
        <v>Best 5</v>
      </c>
      <c r="AE97" s="251" t="s">
        <v>1970</v>
      </c>
      <c r="AF97" s="251" t="s">
        <v>1970</v>
      </c>
      <c r="AG97" s="344" t="str">
        <f>'PolyU Score Calculation'!I7</f>
        <v>x10: 英文、數學</v>
      </c>
      <c r="AH97" s="344" t="str">
        <f>'PolyU Score Calculation'!J7</f>
        <v>x7: 中文、通識</v>
      </c>
      <c r="AI97" s="344" t="str">
        <f>'PolyU Score Calculation'!K7</f>
        <v>x5: 其他科目</v>
      </c>
      <c r="AJ97" s="251" t="s">
        <v>1970</v>
      </c>
      <c r="AK97" s="251" t="s">
        <v>1970</v>
      </c>
      <c r="AL97" s="251" t="s">
        <v>1970</v>
      </c>
      <c r="AM97" s="251" t="s">
        <v>3043</v>
      </c>
      <c r="AN97" s="251" t="str">
        <f t="shared" si="405"/>
        <v>JS3466 會計及金融(榮譽)工商管理學士學位</v>
      </c>
      <c r="AO97" s="251" t="str">
        <f>AN98</f>
        <v>JS3595 金融服務(榮譽)工商管理學士學位</v>
      </c>
      <c r="AP97" s="251" t="str">
        <f>AN99</f>
        <v>JS3911 會計學(榮譽)工商管理學士學位</v>
      </c>
      <c r="AQ97" s="344" t="s">
        <v>1970</v>
      </c>
      <c r="AR97" s="344" t="s">
        <v>2150</v>
      </c>
      <c r="AS97" s="251" t="s">
        <v>3603</v>
      </c>
      <c r="AT97" s="251" t="s">
        <v>3632</v>
      </c>
      <c r="AU97" s="251" t="s">
        <v>1970</v>
      </c>
      <c r="AV97" s="344" t="s">
        <v>3728</v>
      </c>
      <c r="AW97" s="344" t="s">
        <v>3726</v>
      </c>
      <c r="AX97" s="344" t="s">
        <v>3729</v>
      </c>
      <c r="AY97" s="344" t="s">
        <v>3730</v>
      </c>
      <c r="AZ97" s="344" t="s">
        <v>3732</v>
      </c>
      <c r="BA97" s="344" t="s">
        <v>3734</v>
      </c>
      <c r="BB97" s="251">
        <f>'PolyU Score Calculation'!X7</f>
        <v>7</v>
      </c>
      <c r="BC97" s="251">
        <f>'PolyU Score Calculation'!Y7</f>
        <v>10</v>
      </c>
      <c r="BD97" s="251">
        <f>'PolyU Score Calculation'!Z7</f>
        <v>10</v>
      </c>
      <c r="BE97" s="251">
        <f>'PolyU Score Calculation'!AA7</f>
        <v>7</v>
      </c>
      <c r="BF97" s="251">
        <f>'PolyU Score Calculation'!AB7</f>
        <v>5</v>
      </c>
      <c r="BG97" s="251">
        <f>'PolyU Score Calculation'!AC7</f>
        <v>5</v>
      </c>
      <c r="BH97" s="251">
        <f>'PolyU Score Calculation'!AD7</f>
        <v>5</v>
      </c>
      <c r="BI97" s="251">
        <f>'PolyU Score Calculation'!AE7</f>
        <v>5</v>
      </c>
      <c r="BJ97" s="251">
        <f>'PolyU Score Calculation'!AF7</f>
        <v>4.00000000001</v>
      </c>
      <c r="BK97" s="251">
        <f>'PolyU Score Calculation'!AG7</f>
        <v>4.00000000002</v>
      </c>
      <c r="BL97" s="251">
        <f>'PolyU Score Calculation'!AH7</f>
        <v>4.00000000003</v>
      </c>
      <c r="BM97" s="251">
        <f>'PolyU Score Calculation'!AI7</f>
        <v>4.00000000004</v>
      </c>
      <c r="BN97" s="251">
        <f>'PolyU Score Calculation'!AJ7</f>
        <v>5.0000000000000002E-11</v>
      </c>
      <c r="BO97" s="251">
        <f>'PolyU Score Calculation'!AK7</f>
        <v>5.50000000006</v>
      </c>
      <c r="BP97" s="251">
        <f>'PolyU Score Calculation'!AL7</f>
        <v>4.00000000007</v>
      </c>
      <c r="BQ97" s="251">
        <f>'PolyU Score Calculation'!AM7</f>
        <v>7.9999999999999995E-11</v>
      </c>
      <c r="BR97" s="251">
        <f>'PolyU Score Calculation'!AN7</f>
        <v>28.000000000069999</v>
      </c>
      <c r="BS97" s="251">
        <f>'PolyU Score Calculation'!AO7</f>
        <v>40.000000000200004</v>
      </c>
      <c r="BT97" s="251">
        <f>'PolyU Score Calculation'!AP7</f>
        <v>40.000000000299998</v>
      </c>
      <c r="BU97" s="251">
        <f>'PolyU Score Calculation'!AQ7</f>
        <v>28.00000000028</v>
      </c>
      <c r="BV97" s="251">
        <f>'PolyU Score Calculation'!AR7</f>
        <v>2.5000000000000002E-10</v>
      </c>
      <c r="BW97" s="251">
        <f>'PolyU Score Calculation'!AS7</f>
        <v>27.500000000299998</v>
      </c>
      <c r="BX97" s="251">
        <f>'PolyU Score Calculation'!AT7</f>
        <v>20.000000000349999</v>
      </c>
      <c r="BY97" s="251">
        <f>'PolyU Score Calculation'!AU7</f>
        <v>3.9999999999999996E-10</v>
      </c>
      <c r="BZ97" s="251" t="b">
        <f>'PolyU Score Calculation'!AV7</f>
        <v>1</v>
      </c>
      <c r="CA97" s="251" t="b">
        <f>'PolyU Score Calculation'!AW7</f>
        <v>1</v>
      </c>
      <c r="CB97" s="251" t="b">
        <f>'PolyU Score Calculation'!AX7</f>
        <v>1</v>
      </c>
      <c r="CC97" s="251" t="b">
        <f>'PolyU Score Calculation'!AY7</f>
        <v>1</v>
      </c>
      <c r="CD97" s="251" t="b">
        <f>'PolyU Score Calculation'!AZ7</f>
        <v>0</v>
      </c>
      <c r="CE97" s="251" t="b">
        <f>'PolyU Score Calculation'!BA7</f>
        <v>1</v>
      </c>
      <c r="CF97" s="251" t="b">
        <f>'PolyU Score Calculation'!BB7</f>
        <v>0</v>
      </c>
      <c r="CG97" s="251" t="b">
        <f>'PolyU Score Calculation'!BC7</f>
        <v>0</v>
      </c>
      <c r="CH97" s="251">
        <f>'PolyU Score Calculation'!BD7</f>
        <v>7</v>
      </c>
      <c r="CI97" s="251">
        <f>'PolyU Score Calculation'!BE7</f>
        <v>10</v>
      </c>
      <c r="CJ97" s="251">
        <f>'PolyU Score Calculation'!BF7</f>
        <v>10</v>
      </c>
      <c r="CK97" s="251">
        <f>'PolyU Score Calculation'!BG7</f>
        <v>7</v>
      </c>
      <c r="CL97" s="251">
        <f>'PolyU Score Calculation'!BH7</f>
        <v>5</v>
      </c>
      <c r="CM97" s="251">
        <f>'PolyU Score Calculation'!BI7</f>
        <v>5</v>
      </c>
      <c r="CN97" s="251">
        <f>'PolyU Score Calculation'!BJ7</f>
        <v>5</v>
      </c>
      <c r="CO97" s="251">
        <f>'PolyU Score Calculation'!BK7</f>
        <v>5</v>
      </c>
      <c r="CP97" s="251">
        <f>'PolyU Score Calculation'!BL7</f>
        <v>4.00000000001</v>
      </c>
      <c r="CQ97" s="251">
        <f>'PolyU Score Calculation'!BM7</f>
        <v>3.00000000002</v>
      </c>
      <c r="CR97" s="251">
        <f>'PolyU Score Calculation'!BN7</f>
        <v>5.50000000003</v>
      </c>
      <c r="CS97" s="251">
        <f>'PolyU Score Calculation'!BO7</f>
        <v>3.00000000004</v>
      </c>
      <c r="CT97" s="251">
        <f>'PolyU Score Calculation'!BP7</f>
        <v>4.00000000005</v>
      </c>
      <c r="CU97" s="251">
        <f>'PolyU Score Calculation'!BQ7</f>
        <v>5.50000000006</v>
      </c>
      <c r="CV97" s="251">
        <f>'PolyU Score Calculation'!BR7</f>
        <v>4.00000000007</v>
      </c>
      <c r="CW97" s="251">
        <f>'PolyU Score Calculation'!BS7</f>
        <v>7.9999999999999995E-11</v>
      </c>
      <c r="CX97" s="251">
        <f>'PolyU Score Calculation'!BT7</f>
        <v>28.000000000069999</v>
      </c>
      <c r="CY97" s="251">
        <f>'PolyU Score Calculation'!BU7</f>
        <v>30.0000000002</v>
      </c>
      <c r="CZ97" s="251">
        <f>'PolyU Score Calculation'!BV7</f>
        <v>55.000000000299998</v>
      </c>
      <c r="DA97" s="251">
        <f>'PolyU Score Calculation'!BW7</f>
        <v>21.00000000028</v>
      </c>
      <c r="DB97" s="251">
        <f>'PolyU Score Calculation'!BX7</f>
        <v>20.000000000250001</v>
      </c>
      <c r="DC97" s="251">
        <f>'PolyU Score Calculation'!BY7</f>
        <v>27.500000000299998</v>
      </c>
      <c r="DD97" s="251">
        <f>'PolyU Score Calculation'!BZ7</f>
        <v>20.000000000349999</v>
      </c>
      <c r="DE97" s="251">
        <f>'PolyU Score Calculation'!CA7</f>
        <v>3.9999999999999996E-10</v>
      </c>
      <c r="DF97" s="251" t="b">
        <f>'PolyU Score Calculation'!CB7</f>
        <v>1</v>
      </c>
      <c r="DG97" s="251" t="b">
        <f>'PolyU Score Calculation'!CC7</f>
        <v>1</v>
      </c>
      <c r="DH97" s="251" t="b">
        <f>'PolyU Score Calculation'!CD7</f>
        <v>1</v>
      </c>
      <c r="DI97" s="251" t="b">
        <f>'PolyU Score Calculation'!CE7</f>
        <v>1</v>
      </c>
      <c r="DJ97" s="251" t="b">
        <f>'PolyU Score Calculation'!CF7</f>
        <v>0</v>
      </c>
      <c r="DK97" s="251" t="b">
        <f>'PolyU Score Calculation'!CG7</f>
        <v>1</v>
      </c>
      <c r="DL97" s="251" t="b">
        <f>'PolyU Score Calculation'!CH7</f>
        <v>0</v>
      </c>
      <c r="DM97" s="251" t="b">
        <f>'PolyU Score Calculation'!CI7</f>
        <v>0</v>
      </c>
    </row>
    <row r="98" spans="1:117" s="251" customFormat="1" x14ac:dyDescent="0.3">
      <c r="A98" s="251" t="str">
        <f>'PolyU Score Calculation'!A8</f>
        <v>JS3060-2</v>
      </c>
      <c r="B98" s="251" t="s">
        <v>2246</v>
      </c>
      <c r="C98" s="251" t="str">
        <f>IF('PolyU Score Calculation'!B8=0,"",'PolyU Score Calculation'!B8)</f>
        <v/>
      </c>
      <c r="D98" s="251" t="str">
        <f>IF('PolyU Score Calculation'!C8=0,"",'PolyU Score Calculation'!C8)</f>
        <v/>
      </c>
      <c r="E98" s="251" t="str">
        <f>IF('PolyU Score Calculation'!E8=0,"",'PolyU Score Calculation'!E8)</f>
        <v/>
      </c>
      <c r="F98" s="251" t="s">
        <v>1978</v>
      </c>
      <c r="G98" s="251">
        <f>'PolyU Score Calculation'!W8</f>
        <v>156.00000000120002</v>
      </c>
      <c r="H98" s="251">
        <f>'PolyU Score Calculation'!V8</f>
        <v>149.50000000115</v>
      </c>
      <c r="I98" s="251" t="s">
        <v>3034</v>
      </c>
      <c r="J98" s="251" t="s">
        <v>3035</v>
      </c>
      <c r="K98" s="344" t="s">
        <v>3048</v>
      </c>
      <c r="L98" s="344" t="s">
        <v>1970</v>
      </c>
      <c r="M98" s="344" t="s">
        <v>1970</v>
      </c>
      <c r="N98" s="251" t="str">
        <f>'PolyU Score Calculation'!M8</f>
        <v>JS3595</v>
      </c>
      <c r="O98" s="251" t="str">
        <f>'PolyU Score Calculation'!N8</f>
        <v>金融服務(榮譽)工商管理學士學位</v>
      </c>
      <c r="P98" s="251" t="str">
        <f>'PolyU Score Calculation'!O8</f>
        <v>Best 5</v>
      </c>
      <c r="Q98" s="251" t="str">
        <f>'PolyU Score Calculation'!P8</f>
        <v>x10: 英文、數學</v>
      </c>
      <c r="R98" s="251" t="str">
        <f>'PolyU Score Calculation'!Q8</f>
        <v>x7: 中文、通識</v>
      </c>
      <c r="S98" s="251" t="str">
        <f>'PolyU Score Calculation'!R8</f>
        <v>x5: 其他科目</v>
      </c>
      <c r="T98" s="251" t="str">
        <f>IF('PolyU Score Calculation'!D8=0,"",'PolyU Score Calculation'!D8)</f>
        <v/>
      </c>
      <c r="U98" s="251" t="s">
        <v>2165</v>
      </c>
      <c r="V98" s="251" t="str">
        <f>IF('PolyU Score Calculation'!T8=0,"",'PolyU Score Calculation'!T8)</f>
        <v/>
      </c>
      <c r="W98" s="251">
        <f>'PolyU Score Calculation'!U8</f>
        <v>20.5</v>
      </c>
      <c r="X98" s="344">
        <f>'A123'!J106</f>
        <v>0</v>
      </c>
      <c r="Y98" s="344" t="str">
        <f>'A123'!K106</f>
        <v>/</v>
      </c>
      <c r="Z98" s="344" t="str">
        <f>'A123'!L106</f>
        <v>新科目</v>
      </c>
      <c r="AB98" s="344" t="str">
        <f>入學要求!X107</f>
        <v>/</v>
      </c>
      <c r="AC98" s="344" t="str">
        <f>入學要求!Y107</f>
        <v>/</v>
      </c>
      <c r="AD98" s="251">
        <f>'PolyU Score Calculation'!E8</f>
        <v>0</v>
      </c>
      <c r="AE98" s="251" t="s">
        <v>1970</v>
      </c>
      <c r="AF98" s="251" t="s">
        <v>1970</v>
      </c>
      <c r="AG98" s="344">
        <f>'PolyU Score Calculation'!I8</f>
        <v>0</v>
      </c>
      <c r="AH98" s="344">
        <f>'PolyU Score Calculation'!J8</f>
        <v>0</v>
      </c>
      <c r="AI98" s="344">
        <f>'PolyU Score Calculation'!K8</f>
        <v>0</v>
      </c>
      <c r="AJ98" s="251" t="s">
        <v>1970</v>
      </c>
      <c r="AK98" s="251" t="s">
        <v>1970</v>
      </c>
      <c r="AL98" s="251" t="s">
        <v>1970</v>
      </c>
      <c r="AM98" s="251" t="s">
        <v>1970</v>
      </c>
      <c r="AN98" s="251" t="str">
        <f t="shared" si="405"/>
        <v>JS3595 金融服務(榮譽)工商管理學士學位</v>
      </c>
      <c r="AO98" s="251" t="s">
        <v>1970</v>
      </c>
      <c r="AP98" s="251" t="s">
        <v>1970</v>
      </c>
      <c r="AQ98" s="344" t="s">
        <v>1970</v>
      </c>
      <c r="AR98" s="344" t="s">
        <v>2150</v>
      </c>
      <c r="AV98" s="344" t="s">
        <v>3728</v>
      </c>
      <c r="AW98" s="344" t="s">
        <v>3726</v>
      </c>
      <c r="AX98" s="344" t="s">
        <v>3729</v>
      </c>
      <c r="AY98" s="344" t="s">
        <v>3730</v>
      </c>
      <c r="AZ98" s="344" t="s">
        <v>3732</v>
      </c>
      <c r="BA98" s="344" t="s">
        <v>3734</v>
      </c>
      <c r="BB98" s="251">
        <f>'PolyU Score Calculation'!X8</f>
        <v>7</v>
      </c>
      <c r="BC98" s="251">
        <f>'PolyU Score Calculation'!Y8</f>
        <v>10</v>
      </c>
      <c r="BD98" s="251">
        <f>'PolyU Score Calculation'!Z8</f>
        <v>10</v>
      </c>
      <c r="BE98" s="251">
        <f>'PolyU Score Calculation'!AA8</f>
        <v>7</v>
      </c>
      <c r="BF98" s="251">
        <f>'PolyU Score Calculation'!AB8</f>
        <v>5</v>
      </c>
      <c r="BG98" s="251">
        <f>'PolyU Score Calculation'!AC8</f>
        <v>5</v>
      </c>
      <c r="BH98" s="251">
        <f>'PolyU Score Calculation'!AD8</f>
        <v>5</v>
      </c>
      <c r="BI98" s="251">
        <f>'PolyU Score Calculation'!AE8</f>
        <v>5</v>
      </c>
      <c r="BJ98" s="251">
        <f>'PolyU Score Calculation'!AF8</f>
        <v>3.00000000001</v>
      </c>
      <c r="BK98" s="251">
        <f>'PolyU Score Calculation'!AG8</f>
        <v>4.00000000002</v>
      </c>
      <c r="BL98" s="251">
        <f>'PolyU Score Calculation'!AH8</f>
        <v>4.00000000003</v>
      </c>
      <c r="BM98" s="251">
        <f>'PolyU Score Calculation'!AI8</f>
        <v>3.00000000004</v>
      </c>
      <c r="BN98" s="251">
        <f>'PolyU Score Calculation'!AJ8</f>
        <v>5.0000000000000002E-11</v>
      </c>
      <c r="BO98" s="251">
        <f>'PolyU Score Calculation'!AK8</f>
        <v>5.50000000006</v>
      </c>
      <c r="BP98" s="251">
        <f>'PolyU Score Calculation'!AL8</f>
        <v>3.00000000007</v>
      </c>
      <c r="BQ98" s="251">
        <f>'PolyU Score Calculation'!AM8</f>
        <v>7.9999999999999995E-11</v>
      </c>
      <c r="BR98" s="251">
        <f>'PolyU Score Calculation'!AN8</f>
        <v>21.000000000069999</v>
      </c>
      <c r="BS98" s="251">
        <f>'PolyU Score Calculation'!AO8</f>
        <v>40.000000000200004</v>
      </c>
      <c r="BT98" s="251">
        <f>'PolyU Score Calculation'!AP8</f>
        <v>40.000000000299998</v>
      </c>
      <c r="BU98" s="251">
        <f>'PolyU Score Calculation'!AQ8</f>
        <v>21.00000000028</v>
      </c>
      <c r="BV98" s="251">
        <f>'PolyU Score Calculation'!AR8</f>
        <v>2.5000000000000002E-10</v>
      </c>
      <c r="BW98" s="251">
        <f>'PolyU Score Calculation'!AS8</f>
        <v>27.500000000299998</v>
      </c>
      <c r="BX98" s="251">
        <f>'PolyU Score Calculation'!AT8</f>
        <v>15.000000000349999</v>
      </c>
      <c r="BY98" s="251">
        <f>'PolyU Score Calculation'!AU8</f>
        <v>3.9999999999999996E-10</v>
      </c>
      <c r="BZ98" s="251" t="b">
        <f>'PolyU Score Calculation'!AV8</f>
        <v>1</v>
      </c>
      <c r="CA98" s="251" t="b">
        <f>'PolyU Score Calculation'!AW8</f>
        <v>1</v>
      </c>
      <c r="CB98" s="251" t="b">
        <f>'PolyU Score Calculation'!AX8</f>
        <v>1</v>
      </c>
      <c r="CC98" s="251" t="b">
        <f>'PolyU Score Calculation'!AY8</f>
        <v>1</v>
      </c>
      <c r="CD98" s="251" t="b">
        <f>'PolyU Score Calculation'!AZ8</f>
        <v>0</v>
      </c>
      <c r="CE98" s="251" t="b">
        <f>'PolyU Score Calculation'!BA8</f>
        <v>1</v>
      </c>
      <c r="CF98" s="251" t="b">
        <f>'PolyU Score Calculation'!BB8</f>
        <v>0</v>
      </c>
      <c r="CG98" s="251" t="b">
        <f>'PolyU Score Calculation'!BC8</f>
        <v>0</v>
      </c>
      <c r="CH98" s="251">
        <f>'PolyU Score Calculation'!BD8</f>
        <v>7</v>
      </c>
      <c r="CI98" s="251">
        <f>'PolyU Score Calculation'!BE8</f>
        <v>10</v>
      </c>
      <c r="CJ98" s="251">
        <f>'PolyU Score Calculation'!BF8</f>
        <v>10</v>
      </c>
      <c r="CK98" s="251">
        <f>'PolyU Score Calculation'!BG8</f>
        <v>7</v>
      </c>
      <c r="CL98" s="251">
        <f>'PolyU Score Calculation'!BH8</f>
        <v>5</v>
      </c>
      <c r="CM98" s="251">
        <f>'PolyU Score Calculation'!BI8</f>
        <v>5</v>
      </c>
      <c r="CN98" s="251">
        <f>'PolyU Score Calculation'!BJ8</f>
        <v>5</v>
      </c>
      <c r="CO98" s="251">
        <f>'PolyU Score Calculation'!BK8</f>
        <v>5</v>
      </c>
      <c r="CP98" s="251">
        <f>'PolyU Score Calculation'!BL8</f>
        <v>4.00000000001</v>
      </c>
      <c r="CQ98" s="251">
        <f>'PolyU Score Calculation'!BM8</f>
        <v>4.00000000002</v>
      </c>
      <c r="CR98" s="251">
        <f>'PolyU Score Calculation'!BN8</f>
        <v>4.00000000003</v>
      </c>
      <c r="CS98" s="251">
        <f>'PolyU Score Calculation'!BO8</f>
        <v>4.00000000004</v>
      </c>
      <c r="CT98" s="251">
        <f>'PolyU Score Calculation'!BP8</f>
        <v>5.0000000000000002E-11</v>
      </c>
      <c r="CU98" s="251">
        <f>'PolyU Score Calculation'!BQ8</f>
        <v>4.00000000006</v>
      </c>
      <c r="CV98" s="251">
        <f>'PolyU Score Calculation'!BR8</f>
        <v>4.00000000007</v>
      </c>
      <c r="CW98" s="251">
        <f>'PolyU Score Calculation'!BS8</f>
        <v>7.9999999999999995E-11</v>
      </c>
      <c r="CX98" s="251">
        <f>'PolyU Score Calculation'!BT8</f>
        <v>28.000000000069999</v>
      </c>
      <c r="CY98" s="251">
        <f>'PolyU Score Calculation'!BU8</f>
        <v>40.000000000200004</v>
      </c>
      <c r="CZ98" s="251">
        <f>'PolyU Score Calculation'!BV8</f>
        <v>40.000000000299998</v>
      </c>
      <c r="DA98" s="251">
        <f>'PolyU Score Calculation'!BW8</f>
        <v>28.00000000028</v>
      </c>
      <c r="DB98" s="251">
        <f>'PolyU Score Calculation'!BX8</f>
        <v>2.5000000000000002E-10</v>
      </c>
      <c r="DC98" s="251">
        <f>'PolyU Score Calculation'!BY8</f>
        <v>20.000000000299998</v>
      </c>
      <c r="DD98" s="251">
        <f>'PolyU Score Calculation'!BZ8</f>
        <v>20.000000000349999</v>
      </c>
      <c r="DE98" s="251">
        <f>'PolyU Score Calculation'!CA8</f>
        <v>3.9999999999999996E-10</v>
      </c>
      <c r="DF98" s="251" t="b">
        <f>'PolyU Score Calculation'!CB8</f>
        <v>1</v>
      </c>
      <c r="DG98" s="251" t="b">
        <f>'PolyU Score Calculation'!CC8</f>
        <v>1</v>
      </c>
      <c r="DH98" s="251" t="b">
        <f>'PolyU Score Calculation'!CD8</f>
        <v>1</v>
      </c>
      <c r="DI98" s="251" t="b">
        <f>'PolyU Score Calculation'!CE8</f>
        <v>1</v>
      </c>
      <c r="DJ98" s="251" t="b">
        <f>'PolyU Score Calculation'!CF8</f>
        <v>0</v>
      </c>
      <c r="DK98" s="251" t="b">
        <f>'PolyU Score Calculation'!CG8</f>
        <v>0</v>
      </c>
      <c r="DL98" s="251" t="b">
        <f>'PolyU Score Calculation'!CH8</f>
        <v>1</v>
      </c>
      <c r="DM98" s="251" t="b">
        <f>'PolyU Score Calculation'!CI8</f>
        <v>0</v>
      </c>
    </row>
    <row r="99" spans="1:117" s="251" customFormat="1" x14ac:dyDescent="0.3">
      <c r="A99" s="251" t="str">
        <f>'PolyU Score Calculation'!A9</f>
        <v>JS3060-3</v>
      </c>
      <c r="B99" s="251" t="s">
        <v>2246</v>
      </c>
      <c r="C99" s="251" t="str">
        <f>IF('PolyU Score Calculation'!B9=0,"",'PolyU Score Calculation'!B9)</f>
        <v/>
      </c>
      <c r="D99" s="251" t="str">
        <f>IF('PolyU Score Calculation'!C9=0,"",'PolyU Score Calculation'!C9)</f>
        <v/>
      </c>
      <c r="E99" s="251" t="str">
        <f>IF('PolyU Score Calculation'!E9=0,"",'PolyU Score Calculation'!E9)</f>
        <v/>
      </c>
      <c r="F99" s="251" t="s">
        <v>1978</v>
      </c>
      <c r="G99" s="251">
        <f>'PolyU Score Calculation'!W9</f>
        <v>161.00000000115</v>
      </c>
      <c r="H99" s="251">
        <f>'PolyU Score Calculation'!V9</f>
        <v>166.50000000114997</v>
      </c>
      <c r="I99" s="251" t="s">
        <v>3034</v>
      </c>
      <c r="J99" s="251" t="s">
        <v>3035</v>
      </c>
      <c r="K99" s="344" t="s">
        <v>3048</v>
      </c>
      <c r="L99" s="344" t="s">
        <v>1970</v>
      </c>
      <c r="M99" s="344" t="s">
        <v>1970</v>
      </c>
      <c r="N99" s="251" t="str">
        <f>'PolyU Score Calculation'!M9</f>
        <v>JS3911</v>
      </c>
      <c r="O99" s="251" t="str">
        <f>'PolyU Score Calculation'!N9</f>
        <v>會計學(榮譽)工商管理學士學位</v>
      </c>
      <c r="P99" s="251" t="str">
        <f>'PolyU Score Calculation'!O9</f>
        <v>Best 5</v>
      </c>
      <c r="Q99" s="251" t="str">
        <f>'PolyU Score Calculation'!P9</f>
        <v>x10: 英文、數學</v>
      </c>
      <c r="R99" s="251" t="str">
        <f>'PolyU Score Calculation'!Q9</f>
        <v>x7: 中文、通識</v>
      </c>
      <c r="S99" s="251" t="str">
        <f>'PolyU Score Calculation'!R9</f>
        <v>x5: 其他科目</v>
      </c>
      <c r="T99" s="251" t="str">
        <f>IF('PolyU Score Calculation'!D9=0,"",'PolyU Score Calculation'!D9)</f>
        <v/>
      </c>
      <c r="U99" s="251" t="s">
        <v>2165</v>
      </c>
      <c r="V99" s="251" t="str">
        <f>IF('PolyU Score Calculation'!T9=0,"",'PolyU Score Calculation'!T9)</f>
        <v/>
      </c>
      <c r="W99" s="251">
        <f>'PolyU Score Calculation'!U9</f>
        <v>22.2</v>
      </c>
      <c r="X99" s="344">
        <f>'A123'!J107</f>
        <v>0</v>
      </c>
      <c r="Y99" s="344" t="str">
        <f>'A123'!K107</f>
        <v>/</v>
      </c>
      <c r="Z99" s="344" t="str">
        <f>'A123'!L107</f>
        <v>新科目</v>
      </c>
      <c r="AB99" s="344" t="str">
        <f>入學要求!X108</f>
        <v>/</v>
      </c>
      <c r="AC99" s="344" t="str">
        <f>入學要求!Y108</f>
        <v>/</v>
      </c>
      <c r="AD99" s="251">
        <f>'PolyU Score Calculation'!E9</f>
        <v>0</v>
      </c>
      <c r="AE99" s="251" t="s">
        <v>1970</v>
      </c>
      <c r="AF99" s="251" t="s">
        <v>1970</v>
      </c>
      <c r="AG99" s="344">
        <f>'PolyU Score Calculation'!I9</f>
        <v>0</v>
      </c>
      <c r="AH99" s="344">
        <f>'PolyU Score Calculation'!J9</f>
        <v>0</v>
      </c>
      <c r="AI99" s="344">
        <f>'PolyU Score Calculation'!K9</f>
        <v>0</v>
      </c>
      <c r="AJ99" s="251" t="s">
        <v>1970</v>
      </c>
      <c r="AK99" s="251" t="s">
        <v>1970</v>
      </c>
      <c r="AL99" s="251" t="s">
        <v>1970</v>
      </c>
      <c r="AM99" s="251" t="s">
        <v>1970</v>
      </c>
      <c r="AN99" s="251" t="str">
        <f t="shared" si="405"/>
        <v>JS3911 會計學(榮譽)工商管理學士學位</v>
      </c>
      <c r="AO99" s="251" t="s">
        <v>1970</v>
      </c>
      <c r="AP99" s="251" t="s">
        <v>1970</v>
      </c>
      <c r="AQ99" s="344" t="s">
        <v>1970</v>
      </c>
      <c r="AR99" s="344" t="s">
        <v>2150</v>
      </c>
      <c r="AV99" s="344" t="s">
        <v>3728</v>
      </c>
      <c r="AW99" s="344" t="s">
        <v>3726</v>
      </c>
      <c r="AX99" s="344" t="s">
        <v>3729</v>
      </c>
      <c r="AY99" s="344" t="s">
        <v>3730</v>
      </c>
      <c r="AZ99" s="344" t="s">
        <v>3732</v>
      </c>
      <c r="BA99" s="344" t="s">
        <v>3734</v>
      </c>
      <c r="BB99" s="251">
        <f>'PolyU Score Calculation'!X9</f>
        <v>7</v>
      </c>
      <c r="BC99" s="251">
        <f>'PolyU Score Calculation'!Y9</f>
        <v>10</v>
      </c>
      <c r="BD99" s="251">
        <f>'PolyU Score Calculation'!Z9</f>
        <v>10</v>
      </c>
      <c r="BE99" s="251">
        <f>'PolyU Score Calculation'!AA9</f>
        <v>7</v>
      </c>
      <c r="BF99" s="251">
        <f>'PolyU Score Calculation'!AB9</f>
        <v>5</v>
      </c>
      <c r="BG99" s="251">
        <f>'PolyU Score Calculation'!AC9</f>
        <v>5</v>
      </c>
      <c r="BH99" s="251">
        <f>'PolyU Score Calculation'!AD9</f>
        <v>5</v>
      </c>
      <c r="BI99" s="251">
        <f>'PolyU Score Calculation'!AE9</f>
        <v>5</v>
      </c>
      <c r="BJ99" s="251">
        <f>'PolyU Score Calculation'!AF9</f>
        <v>4.00000000001</v>
      </c>
      <c r="BK99" s="251">
        <f>'PolyU Score Calculation'!AG9</f>
        <v>4.00000000002</v>
      </c>
      <c r="BL99" s="251">
        <f>'PolyU Score Calculation'!AH9</f>
        <v>4.00000000003</v>
      </c>
      <c r="BM99" s="251">
        <f>'PolyU Score Calculation'!AI9</f>
        <v>5.50000000004</v>
      </c>
      <c r="BN99" s="251">
        <f>'PolyU Score Calculation'!AJ9</f>
        <v>5.0000000000000002E-11</v>
      </c>
      <c r="BO99" s="251">
        <f>'PolyU Score Calculation'!AK9</f>
        <v>4.00000000006</v>
      </c>
      <c r="BP99" s="251">
        <f>'PolyU Score Calculation'!AL9</f>
        <v>3.00000000007</v>
      </c>
      <c r="BQ99" s="251">
        <f>'PolyU Score Calculation'!AM9</f>
        <v>7.9999999999999995E-11</v>
      </c>
      <c r="BR99" s="251">
        <f>'PolyU Score Calculation'!AN9</f>
        <v>28.000000000069999</v>
      </c>
      <c r="BS99" s="251">
        <f>'PolyU Score Calculation'!AO9</f>
        <v>40.000000000200004</v>
      </c>
      <c r="BT99" s="251">
        <f>'PolyU Score Calculation'!AP9</f>
        <v>40.000000000299998</v>
      </c>
      <c r="BU99" s="251">
        <f>'PolyU Score Calculation'!AQ9</f>
        <v>38.500000000279996</v>
      </c>
      <c r="BV99" s="251">
        <f>'PolyU Score Calculation'!AR9</f>
        <v>2.5000000000000002E-10</v>
      </c>
      <c r="BW99" s="251">
        <f>'PolyU Score Calculation'!AS9</f>
        <v>20.000000000299998</v>
      </c>
      <c r="BX99" s="251">
        <f>'PolyU Score Calculation'!AT9</f>
        <v>15.000000000349999</v>
      </c>
      <c r="BY99" s="251">
        <f>'PolyU Score Calculation'!AU9</f>
        <v>3.9999999999999996E-10</v>
      </c>
      <c r="BZ99" s="251" t="b">
        <f>'PolyU Score Calculation'!AV9</f>
        <v>1</v>
      </c>
      <c r="CA99" s="251" t="b">
        <f>'PolyU Score Calculation'!AW9</f>
        <v>1</v>
      </c>
      <c r="CB99" s="251" t="b">
        <f>'PolyU Score Calculation'!AX9</f>
        <v>1</v>
      </c>
      <c r="CC99" s="251" t="b">
        <f>'PolyU Score Calculation'!AY9</f>
        <v>1</v>
      </c>
      <c r="CD99" s="251" t="b">
        <f>'PolyU Score Calculation'!AZ9</f>
        <v>0</v>
      </c>
      <c r="CE99" s="251" t="b">
        <f>'PolyU Score Calculation'!BA9</f>
        <v>1</v>
      </c>
      <c r="CF99" s="251" t="b">
        <f>'PolyU Score Calculation'!BB9</f>
        <v>0</v>
      </c>
      <c r="CG99" s="251" t="b">
        <f>'PolyU Score Calculation'!BC9</f>
        <v>0</v>
      </c>
      <c r="CH99" s="251">
        <f>'PolyU Score Calculation'!BD9</f>
        <v>7</v>
      </c>
      <c r="CI99" s="251">
        <f>'PolyU Score Calculation'!BE9</f>
        <v>10</v>
      </c>
      <c r="CJ99" s="251">
        <f>'PolyU Score Calculation'!BF9</f>
        <v>10</v>
      </c>
      <c r="CK99" s="251">
        <f>'PolyU Score Calculation'!BG9</f>
        <v>7</v>
      </c>
      <c r="CL99" s="251">
        <f>'PolyU Score Calculation'!BH9</f>
        <v>5</v>
      </c>
      <c r="CM99" s="251">
        <f>'PolyU Score Calculation'!BI9</f>
        <v>5</v>
      </c>
      <c r="CN99" s="251">
        <f>'PolyU Score Calculation'!BJ9</f>
        <v>5</v>
      </c>
      <c r="CO99" s="251">
        <f>'PolyU Score Calculation'!BK9</f>
        <v>5</v>
      </c>
      <c r="CP99" s="251">
        <f>'PolyU Score Calculation'!BL9</f>
        <v>4.00000000001</v>
      </c>
      <c r="CQ99" s="251">
        <f>'PolyU Score Calculation'!BM9</f>
        <v>3.00000000002</v>
      </c>
      <c r="CR99" s="251">
        <f>'PolyU Score Calculation'!BN9</f>
        <v>4.00000000003</v>
      </c>
      <c r="CS99" s="251">
        <f>'PolyU Score Calculation'!BO9</f>
        <v>4.00000000004</v>
      </c>
      <c r="CT99" s="251">
        <f>'PolyU Score Calculation'!BP9</f>
        <v>4.00000000005</v>
      </c>
      <c r="CU99" s="251">
        <f>'PolyU Score Calculation'!BQ9</f>
        <v>7.00000000006</v>
      </c>
      <c r="CV99" s="251">
        <f>'PolyU Score Calculation'!BR9</f>
        <v>4.00000000007</v>
      </c>
      <c r="CW99" s="251">
        <f>'PolyU Score Calculation'!BS9</f>
        <v>7.9999999999999995E-11</v>
      </c>
      <c r="CX99" s="251">
        <f>'PolyU Score Calculation'!BT9</f>
        <v>28.000000000069999</v>
      </c>
      <c r="CY99" s="251">
        <f>'PolyU Score Calculation'!BU9</f>
        <v>30.0000000002</v>
      </c>
      <c r="CZ99" s="251">
        <f>'PolyU Score Calculation'!BV9</f>
        <v>40.000000000299998</v>
      </c>
      <c r="DA99" s="251">
        <f>'PolyU Score Calculation'!BW9</f>
        <v>28.00000000028</v>
      </c>
      <c r="DB99" s="251">
        <f>'PolyU Score Calculation'!BX9</f>
        <v>20.000000000250001</v>
      </c>
      <c r="DC99" s="251">
        <f>'PolyU Score Calculation'!BY9</f>
        <v>35.000000000299998</v>
      </c>
      <c r="DD99" s="251">
        <f>'PolyU Score Calculation'!BZ9</f>
        <v>20.000000000349999</v>
      </c>
      <c r="DE99" s="251">
        <f>'PolyU Score Calculation'!CA9</f>
        <v>3.9999999999999996E-10</v>
      </c>
      <c r="DF99" s="251" t="b">
        <f>'PolyU Score Calculation'!CB9</f>
        <v>1</v>
      </c>
      <c r="DG99" s="251" t="b">
        <f>'PolyU Score Calculation'!CC9</f>
        <v>1</v>
      </c>
      <c r="DH99" s="251" t="b">
        <f>'PolyU Score Calculation'!CD9</f>
        <v>1</v>
      </c>
      <c r="DI99" s="251" t="b">
        <f>'PolyU Score Calculation'!CE9</f>
        <v>1</v>
      </c>
      <c r="DJ99" s="251" t="b">
        <f>'PolyU Score Calculation'!CF9</f>
        <v>0</v>
      </c>
      <c r="DK99" s="251" t="b">
        <f>'PolyU Score Calculation'!CG9</f>
        <v>1</v>
      </c>
      <c r="DL99" s="251" t="b">
        <f>'PolyU Score Calculation'!CH9</f>
        <v>0</v>
      </c>
      <c r="DM99" s="251" t="b">
        <f>'PolyU Score Calculation'!CI9</f>
        <v>0</v>
      </c>
    </row>
    <row r="100" spans="1:117" s="251" customFormat="1" x14ac:dyDescent="0.3">
      <c r="A100" s="251" t="str">
        <f>'PolyU Score Calculation'!A10</f>
        <v>JS3070</v>
      </c>
      <c r="B100" s="251" t="s">
        <v>2246</v>
      </c>
      <c r="C100" s="251" t="str">
        <f>IF('PolyU Score Calculation'!B10=0,"",'PolyU Score Calculation'!B10)</f>
        <v>工商管理學院</v>
      </c>
      <c r="D100" s="251" t="str">
        <f>IF('PolyU Score Calculation'!C10=0,"",'PolyU Score Calculation'!C10)</f>
        <v>航空、航運及供應鏈管理(榮譽)工商管理學士組合課程</v>
      </c>
      <c r="E100" s="251" t="str">
        <f>IF('PolyU Score Calculation'!E10=0,"",'PolyU Score Calculation'!E10)</f>
        <v>Best 5</v>
      </c>
      <c r="F100" s="251" t="s">
        <v>1978</v>
      </c>
      <c r="G100" s="251">
        <f>'PolyU Score Calculation'!W10</f>
        <v>146.50000000115</v>
      </c>
      <c r="H100" s="251">
        <f>'PolyU Score Calculation'!V10</f>
        <v>149.00000000115</v>
      </c>
      <c r="I100" s="251" t="s">
        <v>3034</v>
      </c>
      <c r="J100" s="251" t="s">
        <v>3035</v>
      </c>
      <c r="K100" s="344" t="s">
        <v>3048</v>
      </c>
      <c r="L100" s="344" t="s">
        <v>1970</v>
      </c>
      <c r="M100" s="344" t="s">
        <v>1970</v>
      </c>
      <c r="N100" s="251" t="str">
        <f>'PolyU Score Calculation'!M10</f>
        <v>JS3674</v>
      </c>
      <c r="O100" s="251" t="str">
        <f>'PolyU Score Calculation'!N10</f>
        <v>國際航運及物流管理(榮譽)工商管理學士學位</v>
      </c>
      <c r="P100" s="251" t="str">
        <f>'PolyU Score Calculation'!O10</f>
        <v>Best 5</v>
      </c>
      <c r="Q100" s="251" t="str">
        <f>'PolyU Score Calculation'!P10</f>
        <v>x10: 英文、數學</v>
      </c>
      <c r="R100" s="251" t="str">
        <f>'PolyU Score Calculation'!Q10</f>
        <v>x7: 中文、通識</v>
      </c>
      <c r="S100" s="251" t="str">
        <f>'PolyU Score Calculation'!R10</f>
        <v>x5: 其他科目</v>
      </c>
      <c r="T100" s="251" t="str">
        <f>IF('PolyU Score Calculation'!D10=0,"",'PolyU Score Calculation'!D10)</f>
        <v>AVIAT, MARITIME &amp; SC MGT</v>
      </c>
      <c r="U100" s="251" t="s">
        <v>2165</v>
      </c>
      <c r="V100" s="251">
        <f>IF('PolyU Score Calculation'!T10=0,"",'PolyU Score Calculation'!T10)</f>
        <v>19.7</v>
      </c>
      <c r="W100" s="251">
        <f>'PolyU Score Calculation'!U10</f>
        <v>19.7</v>
      </c>
      <c r="X100" s="344">
        <f>'A123'!J108</f>
        <v>60</v>
      </c>
      <c r="Y100" s="344" t="str">
        <f>'A123'!K108</f>
        <v>/</v>
      </c>
      <c r="Z100" s="344" t="str">
        <f>'A123'!L108</f>
        <v>新科目</v>
      </c>
      <c r="AA100" s="251" t="s">
        <v>2165</v>
      </c>
      <c r="AB100" s="344" t="str">
        <f>入學要求!X109</f>
        <v>/</v>
      </c>
      <c r="AC100" s="344" t="str">
        <f>入學要求!Y109</f>
        <v>/</v>
      </c>
      <c r="AD100" s="251" t="str">
        <f>'PolyU Score Calculation'!E10</f>
        <v>Best 5</v>
      </c>
      <c r="AE100" s="251" t="s">
        <v>1970</v>
      </c>
      <c r="AF100" s="251" t="s">
        <v>1970</v>
      </c>
      <c r="AG100" s="344" t="str">
        <f>'PolyU Score Calculation'!I10</f>
        <v>x10: 英文、數學</v>
      </c>
      <c r="AH100" s="344" t="str">
        <f>'PolyU Score Calculation'!J10</f>
        <v>x7: 中文、通識</v>
      </c>
      <c r="AI100" s="344" t="str">
        <f>'PolyU Score Calculation'!K10</f>
        <v>x5: 其他科目</v>
      </c>
      <c r="AJ100" s="251" t="s">
        <v>1970</v>
      </c>
      <c r="AK100" s="251" t="s">
        <v>1970</v>
      </c>
      <c r="AL100" s="251" t="s">
        <v>1970</v>
      </c>
      <c r="AM100" s="251" t="s">
        <v>3043</v>
      </c>
      <c r="AN100" s="251" t="str">
        <f t="shared" si="405"/>
        <v>JS3674 國際航運及物流管理(榮譽)工商管理學士學位</v>
      </c>
      <c r="AO100" s="251" t="str">
        <f>AN101</f>
        <v>JS3844 供應鏈管理及分析(榮譽)工商管理學士學位</v>
      </c>
      <c r="AP100" s="251" t="s">
        <v>1970</v>
      </c>
      <c r="AQ100" s="344" t="s">
        <v>1970</v>
      </c>
      <c r="AR100" s="344" t="s">
        <v>2150</v>
      </c>
      <c r="AS100" s="251" t="s">
        <v>3610</v>
      </c>
      <c r="AT100" s="251" t="s">
        <v>1970</v>
      </c>
      <c r="AU100" s="251" t="s">
        <v>3633</v>
      </c>
      <c r="AV100" s="344" t="s">
        <v>3728</v>
      </c>
      <c r="AW100" s="344" t="s">
        <v>3726</v>
      </c>
      <c r="AX100" s="344" t="s">
        <v>3729</v>
      </c>
      <c r="AY100" s="344" t="s">
        <v>3730</v>
      </c>
      <c r="AZ100" s="344" t="s">
        <v>3732</v>
      </c>
      <c r="BA100" s="344" t="s">
        <v>3734</v>
      </c>
      <c r="BB100" s="251">
        <f>'PolyU Score Calculation'!X10</f>
        <v>7</v>
      </c>
      <c r="BC100" s="251">
        <f>'PolyU Score Calculation'!Y10</f>
        <v>10</v>
      </c>
      <c r="BD100" s="251">
        <f>'PolyU Score Calculation'!Z10</f>
        <v>10</v>
      </c>
      <c r="BE100" s="251">
        <f>'PolyU Score Calculation'!AA10</f>
        <v>7</v>
      </c>
      <c r="BF100" s="251">
        <f>'PolyU Score Calculation'!AB10</f>
        <v>5</v>
      </c>
      <c r="BG100" s="251">
        <f>'PolyU Score Calculation'!AC10</f>
        <v>5</v>
      </c>
      <c r="BH100" s="251">
        <f>'PolyU Score Calculation'!AD10</f>
        <v>5</v>
      </c>
      <c r="BI100" s="251">
        <f>'PolyU Score Calculation'!AE10</f>
        <v>5</v>
      </c>
      <c r="BJ100" s="251">
        <f>'PolyU Score Calculation'!AF10</f>
        <v>4.00000000001</v>
      </c>
      <c r="BK100" s="251">
        <f>'PolyU Score Calculation'!AG10</f>
        <v>4.00000000002</v>
      </c>
      <c r="BL100" s="251">
        <f>'PolyU Score Calculation'!AH10</f>
        <v>4.00000000003</v>
      </c>
      <c r="BM100" s="251">
        <f>'PolyU Score Calculation'!AI10</f>
        <v>3.00000000004</v>
      </c>
      <c r="BN100" s="251">
        <f>'PolyU Score Calculation'!AJ10</f>
        <v>5.0000000000000002E-11</v>
      </c>
      <c r="BO100" s="251">
        <f>'PolyU Score Calculation'!AK10</f>
        <v>4.00000000006</v>
      </c>
      <c r="BP100" s="251">
        <f>'PolyU Score Calculation'!AL10</f>
        <v>3.00000000007</v>
      </c>
      <c r="BQ100" s="251">
        <f>'PolyU Score Calculation'!AM10</f>
        <v>7.9999999999999995E-11</v>
      </c>
      <c r="BR100" s="251">
        <f>'PolyU Score Calculation'!AN10</f>
        <v>28.000000000069999</v>
      </c>
      <c r="BS100" s="251">
        <f>'PolyU Score Calculation'!AO10</f>
        <v>40.000000000200004</v>
      </c>
      <c r="BT100" s="251">
        <f>'PolyU Score Calculation'!AP10</f>
        <v>40.000000000299998</v>
      </c>
      <c r="BU100" s="251">
        <f>'PolyU Score Calculation'!AQ10</f>
        <v>21.00000000028</v>
      </c>
      <c r="BV100" s="251">
        <f>'PolyU Score Calculation'!AR10</f>
        <v>2.5000000000000002E-10</v>
      </c>
      <c r="BW100" s="251">
        <f>'PolyU Score Calculation'!AS10</f>
        <v>20.000000000299998</v>
      </c>
      <c r="BX100" s="251">
        <f>'PolyU Score Calculation'!AT10</f>
        <v>15.000000000349999</v>
      </c>
      <c r="BY100" s="251">
        <f>'PolyU Score Calculation'!AU10</f>
        <v>3.9999999999999996E-10</v>
      </c>
      <c r="BZ100" s="251" t="b">
        <f>'PolyU Score Calculation'!AV10</f>
        <v>1</v>
      </c>
      <c r="CA100" s="251" t="b">
        <f>'PolyU Score Calculation'!AW10</f>
        <v>1</v>
      </c>
      <c r="CB100" s="251" t="b">
        <f>'PolyU Score Calculation'!AX10</f>
        <v>1</v>
      </c>
      <c r="CC100" s="251" t="b">
        <f>'PolyU Score Calculation'!AY10</f>
        <v>1</v>
      </c>
      <c r="CD100" s="251" t="b">
        <f>'PolyU Score Calculation'!AZ10</f>
        <v>0</v>
      </c>
      <c r="CE100" s="251" t="b">
        <f>'PolyU Score Calculation'!BA10</f>
        <v>1</v>
      </c>
      <c r="CF100" s="251" t="b">
        <f>'PolyU Score Calculation'!BB10</f>
        <v>0</v>
      </c>
      <c r="CG100" s="251" t="b">
        <f>'PolyU Score Calculation'!BC10</f>
        <v>0</v>
      </c>
      <c r="CH100" s="251">
        <f>'PolyU Score Calculation'!BD10</f>
        <v>7</v>
      </c>
      <c r="CI100" s="251">
        <f>'PolyU Score Calculation'!BE10</f>
        <v>10</v>
      </c>
      <c r="CJ100" s="251">
        <f>'PolyU Score Calculation'!BF10</f>
        <v>10</v>
      </c>
      <c r="CK100" s="251">
        <f>'PolyU Score Calculation'!BG10</f>
        <v>7</v>
      </c>
      <c r="CL100" s="251">
        <f>'PolyU Score Calculation'!BH10</f>
        <v>5</v>
      </c>
      <c r="CM100" s="251">
        <f>'PolyU Score Calculation'!BI10</f>
        <v>5</v>
      </c>
      <c r="CN100" s="251">
        <f>'PolyU Score Calculation'!BJ10</f>
        <v>5</v>
      </c>
      <c r="CO100" s="251">
        <f>'PolyU Score Calculation'!BK10</f>
        <v>5</v>
      </c>
      <c r="CP100" s="251">
        <f>'PolyU Score Calculation'!BL10</f>
        <v>3.00000000001</v>
      </c>
      <c r="CQ100" s="251">
        <f>'PolyU Score Calculation'!BM10</f>
        <v>3.00000000002</v>
      </c>
      <c r="CR100" s="251">
        <f>'PolyU Score Calculation'!BN10</f>
        <v>4.00000000003</v>
      </c>
      <c r="CS100" s="251">
        <f>'PolyU Score Calculation'!BO10</f>
        <v>4.00000000004</v>
      </c>
      <c r="CT100" s="251">
        <f>'PolyU Score Calculation'!BP10</f>
        <v>5.0000000000000002E-11</v>
      </c>
      <c r="CU100" s="251">
        <f>'PolyU Score Calculation'!BQ10</f>
        <v>5.50000000006</v>
      </c>
      <c r="CV100" s="251">
        <f>'PolyU Score Calculation'!BR10</f>
        <v>4.00000000007</v>
      </c>
      <c r="CW100" s="251">
        <f>'PolyU Score Calculation'!BS10</f>
        <v>7.9999999999999995E-11</v>
      </c>
      <c r="CX100" s="251">
        <f>'PolyU Score Calculation'!BT10</f>
        <v>21.000000000069999</v>
      </c>
      <c r="CY100" s="251">
        <f>'PolyU Score Calculation'!BU10</f>
        <v>30.0000000002</v>
      </c>
      <c r="CZ100" s="251">
        <f>'PolyU Score Calculation'!BV10</f>
        <v>40.000000000299998</v>
      </c>
      <c r="DA100" s="251">
        <f>'PolyU Score Calculation'!BW10</f>
        <v>28.00000000028</v>
      </c>
      <c r="DB100" s="251">
        <f>'PolyU Score Calculation'!BX10</f>
        <v>2.5000000000000002E-10</v>
      </c>
      <c r="DC100" s="251">
        <f>'PolyU Score Calculation'!BY10</f>
        <v>27.500000000299998</v>
      </c>
      <c r="DD100" s="251">
        <f>'PolyU Score Calculation'!BZ10</f>
        <v>20.000000000349999</v>
      </c>
      <c r="DE100" s="251">
        <f>'PolyU Score Calculation'!CA10</f>
        <v>3.9999999999999996E-10</v>
      </c>
      <c r="DF100" s="251" t="b">
        <f>'PolyU Score Calculation'!CB10</f>
        <v>1</v>
      </c>
      <c r="DG100" s="251" t="b">
        <f>'PolyU Score Calculation'!CC10</f>
        <v>1</v>
      </c>
      <c r="DH100" s="251" t="b">
        <f>'PolyU Score Calculation'!CD10</f>
        <v>1</v>
      </c>
      <c r="DI100" s="251" t="b">
        <f>'PolyU Score Calculation'!CE10</f>
        <v>1</v>
      </c>
      <c r="DJ100" s="251" t="b">
        <f>'PolyU Score Calculation'!CF10</f>
        <v>0</v>
      </c>
      <c r="DK100" s="251" t="b">
        <f>'PolyU Score Calculation'!CG10</f>
        <v>1</v>
      </c>
      <c r="DL100" s="251" t="b">
        <f>'PolyU Score Calculation'!CH10</f>
        <v>0</v>
      </c>
      <c r="DM100" s="251" t="b">
        <f>'PolyU Score Calculation'!CI10</f>
        <v>0</v>
      </c>
    </row>
    <row r="101" spans="1:117" s="251" customFormat="1" x14ac:dyDescent="0.3">
      <c r="A101" s="251" t="str">
        <f>'PolyU Score Calculation'!A11</f>
        <v>JS3070-2</v>
      </c>
      <c r="B101" s="251" t="s">
        <v>2246</v>
      </c>
      <c r="C101" s="251" t="str">
        <f>IF('PolyU Score Calculation'!B11=0,"",'PolyU Score Calculation'!B11)</f>
        <v/>
      </c>
      <c r="D101" s="251" t="str">
        <f>IF('PolyU Score Calculation'!C11=0,"",'PolyU Score Calculation'!C11)</f>
        <v/>
      </c>
      <c r="E101" s="251" t="str">
        <f>IF('PolyU Score Calculation'!E11=0,"",'PolyU Score Calculation'!E11)</f>
        <v/>
      </c>
      <c r="F101" s="251" t="s">
        <v>1978</v>
      </c>
      <c r="G101" s="251">
        <f>'PolyU Score Calculation'!W11</f>
        <v>151.00000000120002</v>
      </c>
      <c r="H101" s="251">
        <f>'PolyU Score Calculation'!V11</f>
        <v>143.00000000121997</v>
      </c>
      <c r="I101" s="251" t="s">
        <v>3034</v>
      </c>
      <c r="J101" s="251" t="s">
        <v>3035</v>
      </c>
      <c r="K101" s="344" t="s">
        <v>3048</v>
      </c>
      <c r="L101" s="344" t="s">
        <v>1970</v>
      </c>
      <c r="M101" s="344" t="s">
        <v>1970</v>
      </c>
      <c r="N101" s="251" t="str">
        <f>'PolyU Score Calculation'!M11</f>
        <v>JS3844</v>
      </c>
      <c r="O101" s="251" t="str">
        <f>'PolyU Score Calculation'!N11</f>
        <v>供應鏈管理及分析(榮譽)工商管理學士學位</v>
      </c>
      <c r="P101" s="251" t="str">
        <f>'PolyU Score Calculation'!O11</f>
        <v>Best 5</v>
      </c>
      <c r="Q101" s="251" t="str">
        <f>'PolyU Score Calculation'!P11</f>
        <v>x10: 英文、數學</v>
      </c>
      <c r="R101" s="251" t="str">
        <f>'PolyU Score Calculation'!Q11</f>
        <v>x7: 中文、通識</v>
      </c>
      <c r="S101" s="251" t="str">
        <f>'PolyU Score Calculation'!R11</f>
        <v>x5: 其他科目</v>
      </c>
      <c r="T101" s="251" t="str">
        <f>IF('PolyU Score Calculation'!D11=0,"",'PolyU Score Calculation'!D11)</f>
        <v/>
      </c>
      <c r="U101" s="251" t="s">
        <v>2165</v>
      </c>
      <c r="V101" s="251" t="str">
        <f>IF('PolyU Score Calculation'!T11=0,"",'PolyU Score Calculation'!T11)</f>
        <v/>
      </c>
      <c r="W101" s="251">
        <f>'PolyU Score Calculation'!U11</f>
        <v>19.8</v>
      </c>
      <c r="X101" s="344">
        <f>'A123'!J109</f>
        <v>0</v>
      </c>
      <c r="Y101" s="344" t="str">
        <f>'A123'!K109</f>
        <v>/</v>
      </c>
      <c r="Z101" s="344" t="str">
        <f>'A123'!L109</f>
        <v>新科目</v>
      </c>
      <c r="AB101" s="344" t="str">
        <f>入學要求!X110</f>
        <v>/</v>
      </c>
      <c r="AC101" s="344" t="str">
        <f>入學要求!Y110</f>
        <v>/</v>
      </c>
      <c r="AD101" s="251">
        <f>'PolyU Score Calculation'!E11</f>
        <v>0</v>
      </c>
      <c r="AE101" s="251" t="s">
        <v>1970</v>
      </c>
      <c r="AF101" s="251" t="s">
        <v>1970</v>
      </c>
      <c r="AG101" s="344">
        <f>'PolyU Score Calculation'!I11</f>
        <v>0</v>
      </c>
      <c r="AH101" s="344">
        <f>'PolyU Score Calculation'!J11</f>
        <v>0</v>
      </c>
      <c r="AI101" s="344">
        <f>'PolyU Score Calculation'!K11</f>
        <v>0</v>
      </c>
      <c r="AJ101" s="251" t="s">
        <v>1970</v>
      </c>
      <c r="AK101" s="251" t="s">
        <v>1970</v>
      </c>
      <c r="AL101" s="251" t="s">
        <v>1970</v>
      </c>
      <c r="AM101" s="251" t="s">
        <v>1970</v>
      </c>
      <c r="AN101" s="251" t="str">
        <f t="shared" si="405"/>
        <v>JS3844 供應鏈管理及分析(榮譽)工商管理學士學位</v>
      </c>
      <c r="AO101" s="251" t="s">
        <v>1970</v>
      </c>
      <c r="AP101" s="251" t="s">
        <v>1970</v>
      </c>
      <c r="AQ101" s="344" t="s">
        <v>1970</v>
      </c>
      <c r="AR101" s="344" t="s">
        <v>2150</v>
      </c>
      <c r="AV101" s="344" t="s">
        <v>3728</v>
      </c>
      <c r="AW101" s="344" t="s">
        <v>3726</v>
      </c>
      <c r="AX101" s="344" t="s">
        <v>3729</v>
      </c>
      <c r="AY101" s="344" t="s">
        <v>3730</v>
      </c>
      <c r="AZ101" s="344" t="s">
        <v>3732</v>
      </c>
      <c r="BA101" s="344" t="s">
        <v>3734</v>
      </c>
      <c r="BB101" s="251">
        <f>'PolyU Score Calculation'!X11</f>
        <v>7</v>
      </c>
      <c r="BC101" s="251">
        <f>'PolyU Score Calculation'!Y11</f>
        <v>10</v>
      </c>
      <c r="BD101" s="251">
        <f>'PolyU Score Calculation'!Z11</f>
        <v>10</v>
      </c>
      <c r="BE101" s="251">
        <f>'PolyU Score Calculation'!AA11</f>
        <v>7</v>
      </c>
      <c r="BF101" s="251">
        <f>'PolyU Score Calculation'!AB11</f>
        <v>5</v>
      </c>
      <c r="BG101" s="251">
        <f>'PolyU Score Calculation'!AC11</f>
        <v>5</v>
      </c>
      <c r="BH101" s="251">
        <f>'PolyU Score Calculation'!AD11</f>
        <v>5</v>
      </c>
      <c r="BI101" s="251">
        <f>'PolyU Score Calculation'!AE11</f>
        <v>5</v>
      </c>
      <c r="BJ101" s="251">
        <f>'PolyU Score Calculation'!AF11</f>
        <v>4.00000000001</v>
      </c>
      <c r="BK101" s="251">
        <f>'PolyU Score Calculation'!AG11</f>
        <v>4.00000000002</v>
      </c>
      <c r="BL101" s="251">
        <f>'PolyU Score Calculation'!AH11</f>
        <v>4.00000000003</v>
      </c>
      <c r="BM101" s="251">
        <f>'PolyU Score Calculation'!AI11</f>
        <v>2.00000000004</v>
      </c>
      <c r="BN101" s="251">
        <f>'PolyU Score Calculation'!AJ11</f>
        <v>5.0000000000000002E-11</v>
      </c>
      <c r="BO101" s="251">
        <f>'PolyU Score Calculation'!AK11</f>
        <v>4.00000000006</v>
      </c>
      <c r="BP101" s="251">
        <f>'PolyU Score Calculation'!AL11</f>
        <v>3.00000000007</v>
      </c>
      <c r="BQ101" s="251">
        <f>'PolyU Score Calculation'!AM11</f>
        <v>7.9999999999999995E-11</v>
      </c>
      <c r="BR101" s="251">
        <f>'PolyU Score Calculation'!AN11</f>
        <v>28.000000000069999</v>
      </c>
      <c r="BS101" s="251">
        <f>'PolyU Score Calculation'!AO11</f>
        <v>40.000000000200004</v>
      </c>
      <c r="BT101" s="251">
        <f>'PolyU Score Calculation'!AP11</f>
        <v>40.000000000299998</v>
      </c>
      <c r="BU101" s="251">
        <f>'PolyU Score Calculation'!AQ11</f>
        <v>14.00000000028</v>
      </c>
      <c r="BV101" s="251">
        <f>'PolyU Score Calculation'!AR11</f>
        <v>2.5000000000000002E-10</v>
      </c>
      <c r="BW101" s="251">
        <f>'PolyU Score Calculation'!AS11</f>
        <v>20.000000000299998</v>
      </c>
      <c r="BX101" s="251">
        <f>'PolyU Score Calculation'!AT11</f>
        <v>15.000000000349999</v>
      </c>
      <c r="BY101" s="251">
        <f>'PolyU Score Calculation'!AU11</f>
        <v>3.9999999999999996E-10</v>
      </c>
      <c r="BZ101" s="251" t="b">
        <f>'PolyU Score Calculation'!AV11</f>
        <v>1</v>
      </c>
      <c r="CA101" s="251" t="b">
        <f>'PolyU Score Calculation'!AW11</f>
        <v>1</v>
      </c>
      <c r="CB101" s="251" t="b">
        <f>'PolyU Score Calculation'!AX11</f>
        <v>1</v>
      </c>
      <c r="CC101" s="251" t="b">
        <f>'PolyU Score Calculation'!AY11</f>
        <v>0</v>
      </c>
      <c r="CD101" s="251" t="b">
        <f>'PolyU Score Calculation'!AZ11</f>
        <v>0</v>
      </c>
      <c r="CE101" s="251" t="b">
        <f>'PolyU Score Calculation'!BA11</f>
        <v>1</v>
      </c>
      <c r="CF101" s="251" t="b">
        <f>'PolyU Score Calculation'!BB11</f>
        <v>1</v>
      </c>
      <c r="CG101" s="251" t="b">
        <f>'PolyU Score Calculation'!BC11</f>
        <v>0</v>
      </c>
      <c r="CH101" s="251">
        <f>'PolyU Score Calculation'!BD11</f>
        <v>7</v>
      </c>
      <c r="CI101" s="251">
        <f>'PolyU Score Calculation'!BE11</f>
        <v>10</v>
      </c>
      <c r="CJ101" s="251">
        <f>'PolyU Score Calculation'!BF11</f>
        <v>10</v>
      </c>
      <c r="CK101" s="251">
        <f>'PolyU Score Calculation'!BG11</f>
        <v>7</v>
      </c>
      <c r="CL101" s="251">
        <f>'PolyU Score Calculation'!BH11</f>
        <v>5</v>
      </c>
      <c r="CM101" s="251">
        <f>'PolyU Score Calculation'!BI11</f>
        <v>5</v>
      </c>
      <c r="CN101" s="251">
        <f>'PolyU Score Calculation'!BJ11</f>
        <v>5</v>
      </c>
      <c r="CO101" s="251">
        <f>'PolyU Score Calculation'!BK11</f>
        <v>5</v>
      </c>
      <c r="CP101" s="251">
        <f>'PolyU Score Calculation'!BL11</f>
        <v>4.00000000001</v>
      </c>
      <c r="CQ101" s="251">
        <f>'PolyU Score Calculation'!BM11</f>
        <v>4.00000000002</v>
      </c>
      <c r="CR101" s="251">
        <f>'PolyU Score Calculation'!BN11</f>
        <v>4.00000000003</v>
      </c>
      <c r="CS101" s="251">
        <f>'PolyU Score Calculation'!BO11</f>
        <v>4.00000000004</v>
      </c>
      <c r="CT101" s="251">
        <f>'PolyU Score Calculation'!BP11</f>
        <v>5.0000000000000002E-11</v>
      </c>
      <c r="CU101" s="251">
        <f>'PolyU Score Calculation'!BQ11</f>
        <v>3.00000000006</v>
      </c>
      <c r="CV101" s="251">
        <f>'PolyU Score Calculation'!BR11</f>
        <v>3.00000000007</v>
      </c>
      <c r="CW101" s="251">
        <f>'PolyU Score Calculation'!BS11</f>
        <v>7.9999999999999995E-11</v>
      </c>
      <c r="CX101" s="251">
        <f>'PolyU Score Calculation'!BT11</f>
        <v>28.000000000069999</v>
      </c>
      <c r="CY101" s="251">
        <f>'PolyU Score Calculation'!BU11</f>
        <v>40.000000000200004</v>
      </c>
      <c r="CZ101" s="251">
        <f>'PolyU Score Calculation'!BV11</f>
        <v>40.000000000299998</v>
      </c>
      <c r="DA101" s="251">
        <f>'PolyU Score Calculation'!BW11</f>
        <v>28.00000000028</v>
      </c>
      <c r="DB101" s="251">
        <f>'PolyU Score Calculation'!BX11</f>
        <v>2.5000000000000002E-10</v>
      </c>
      <c r="DC101" s="251">
        <f>'PolyU Score Calculation'!BY11</f>
        <v>15.0000000003</v>
      </c>
      <c r="DD101" s="251">
        <f>'PolyU Score Calculation'!BZ11</f>
        <v>15.000000000349999</v>
      </c>
      <c r="DE101" s="251">
        <f>'PolyU Score Calculation'!CA11</f>
        <v>3.9999999999999996E-10</v>
      </c>
      <c r="DF101" s="251" t="b">
        <f>'PolyU Score Calculation'!CB11</f>
        <v>1</v>
      </c>
      <c r="DG101" s="251" t="b">
        <f>'PolyU Score Calculation'!CC11</f>
        <v>1</v>
      </c>
      <c r="DH101" s="251" t="b">
        <f>'PolyU Score Calculation'!CD11</f>
        <v>1</v>
      </c>
      <c r="DI101" s="251" t="b">
        <f>'PolyU Score Calculation'!CE11</f>
        <v>1</v>
      </c>
      <c r="DJ101" s="251" t="b">
        <f>'PolyU Score Calculation'!CF11</f>
        <v>0</v>
      </c>
      <c r="DK101" s="251" t="b">
        <f>'PolyU Score Calculation'!CG11</f>
        <v>0</v>
      </c>
      <c r="DL101" s="251" t="b">
        <f>'PolyU Score Calculation'!CH11</f>
        <v>1</v>
      </c>
      <c r="DM101" s="251" t="b">
        <f>'PolyU Score Calculation'!CI11</f>
        <v>0</v>
      </c>
    </row>
    <row r="102" spans="1:117" s="251" customFormat="1" x14ac:dyDescent="0.3">
      <c r="A102" s="251" t="str">
        <f>'PolyU Score Calculation'!A12</f>
        <v>JS3080</v>
      </c>
      <c r="B102" s="251" t="s">
        <v>2246</v>
      </c>
      <c r="C102" s="251" t="str">
        <f>IF('PolyU Score Calculation'!B12=0,"",'PolyU Score Calculation'!B12)</f>
        <v>工商管理學院</v>
      </c>
      <c r="D102" s="251" t="str">
        <f>IF('PolyU Score Calculation'!C12=0,"",'PolyU Score Calculation'!C12)</f>
        <v>管理及市場學(榮譽)工商管理學士組合課程</v>
      </c>
      <c r="E102" s="251" t="str">
        <f>IF('PolyU Score Calculation'!E12=0,"",'PolyU Score Calculation'!E12)</f>
        <v>Best 5</v>
      </c>
      <c r="F102" s="251" t="s">
        <v>1978</v>
      </c>
      <c r="G102" s="251">
        <f>'PolyU Score Calculation'!W12</f>
        <v>154.00000000125002</v>
      </c>
      <c r="H102" s="251">
        <f>'PolyU Score Calculation'!V12</f>
        <v>146.50000000115</v>
      </c>
      <c r="I102" s="251" t="s">
        <v>3034</v>
      </c>
      <c r="J102" s="251" t="s">
        <v>3035</v>
      </c>
      <c r="K102" s="344" t="s">
        <v>3048</v>
      </c>
      <c r="L102" s="344" t="s">
        <v>1970</v>
      </c>
      <c r="M102" s="344" t="s">
        <v>1970</v>
      </c>
      <c r="N102" s="251" t="str">
        <f>'PolyU Score Calculation'!M12</f>
        <v>JS3583</v>
      </c>
      <c r="O102" s="251" t="str">
        <f>'PolyU Score Calculation'!N12</f>
        <v>管理學(榮譽)工商管理學士學位</v>
      </c>
      <c r="P102" s="251" t="str">
        <f>'PolyU Score Calculation'!O12</f>
        <v>Best 5</v>
      </c>
      <c r="Q102" s="251" t="str">
        <f>'PolyU Score Calculation'!P12</f>
        <v>x10: 英文、數學</v>
      </c>
      <c r="R102" s="251" t="str">
        <f>'PolyU Score Calculation'!Q12</f>
        <v>x7: 中文、通識</v>
      </c>
      <c r="S102" s="251" t="str">
        <f>'PolyU Score Calculation'!R12</f>
        <v>x5: 其他科目</v>
      </c>
      <c r="T102" s="251" t="str">
        <f>IF('PolyU Score Calculation'!D12=0,"",'PolyU Score Calculation'!D12)</f>
        <v>MGT &amp; MARKETING</v>
      </c>
      <c r="U102" s="251" t="s">
        <v>2165</v>
      </c>
      <c r="V102" s="251">
        <f>IF('PolyU Score Calculation'!T12=0,"",'PolyU Score Calculation'!T12)</f>
        <v>21.1</v>
      </c>
      <c r="W102" s="251">
        <f>'PolyU Score Calculation'!U12</f>
        <v>21.3</v>
      </c>
      <c r="X102" s="344">
        <f>'A123'!J110</f>
        <v>97</v>
      </c>
      <c r="Y102" s="344" t="str">
        <f>'A123'!K110</f>
        <v>/</v>
      </c>
      <c r="Z102" s="344" t="str">
        <f>'A123'!L110</f>
        <v>新科目</v>
      </c>
      <c r="AA102" s="251" t="s">
        <v>2165</v>
      </c>
      <c r="AB102" s="344" t="str">
        <f>入學要求!X111</f>
        <v>/</v>
      </c>
      <c r="AC102" s="344" t="str">
        <f>入學要求!Y111</f>
        <v>/</v>
      </c>
      <c r="AD102" s="251" t="str">
        <f>'PolyU Score Calculation'!E12</f>
        <v>Best 5</v>
      </c>
      <c r="AE102" s="251" t="s">
        <v>1970</v>
      </c>
      <c r="AF102" s="251" t="s">
        <v>1970</v>
      </c>
      <c r="AG102" s="344" t="str">
        <f>'PolyU Score Calculation'!I12</f>
        <v>x10: 英文、數學</v>
      </c>
      <c r="AH102" s="344" t="str">
        <f>'PolyU Score Calculation'!J12</f>
        <v>x7: 中文、通識</v>
      </c>
      <c r="AI102" s="344" t="str">
        <f>'PolyU Score Calculation'!K12</f>
        <v>x5: 其他科目</v>
      </c>
      <c r="AJ102" s="251" t="s">
        <v>1970</v>
      </c>
      <c r="AK102" s="251" t="s">
        <v>1970</v>
      </c>
      <c r="AL102" s="251" t="s">
        <v>1970</v>
      </c>
      <c r="AM102" s="251" t="s">
        <v>3043</v>
      </c>
      <c r="AN102" s="251" t="str">
        <f t="shared" si="405"/>
        <v>JS3583 管理學(榮譽)工商管理學士學位</v>
      </c>
      <c r="AO102" s="251" t="str">
        <f>AN103</f>
        <v>JS3894 市場學(榮譽)工商管理學士學位</v>
      </c>
      <c r="AP102" s="251" t="s">
        <v>1970</v>
      </c>
      <c r="AQ102" s="344" t="s">
        <v>1970</v>
      </c>
      <c r="AR102" s="344" t="s">
        <v>2150</v>
      </c>
      <c r="AS102" s="251" t="s">
        <v>3603</v>
      </c>
      <c r="AT102" s="251" t="s">
        <v>3632</v>
      </c>
      <c r="AU102" s="251" t="s">
        <v>1970</v>
      </c>
      <c r="AV102" s="344" t="s">
        <v>3728</v>
      </c>
      <c r="AW102" s="344" t="s">
        <v>3726</v>
      </c>
      <c r="AX102" s="344" t="s">
        <v>3729</v>
      </c>
      <c r="AY102" s="344" t="s">
        <v>3730</v>
      </c>
      <c r="AZ102" s="344" t="s">
        <v>3732</v>
      </c>
      <c r="BA102" s="344" t="s">
        <v>3734</v>
      </c>
      <c r="BB102" s="251">
        <f>'PolyU Score Calculation'!X12</f>
        <v>7</v>
      </c>
      <c r="BC102" s="251">
        <f>'PolyU Score Calculation'!Y12</f>
        <v>10</v>
      </c>
      <c r="BD102" s="251">
        <f>'PolyU Score Calculation'!Z12</f>
        <v>10</v>
      </c>
      <c r="BE102" s="251">
        <f>'PolyU Score Calculation'!AA12</f>
        <v>7</v>
      </c>
      <c r="BF102" s="251">
        <f>'PolyU Score Calculation'!AB12</f>
        <v>5</v>
      </c>
      <c r="BG102" s="251">
        <f>'PolyU Score Calculation'!AC12</f>
        <v>5</v>
      </c>
      <c r="BH102" s="251">
        <f>'PolyU Score Calculation'!AD12</f>
        <v>5</v>
      </c>
      <c r="BI102" s="251">
        <f>'PolyU Score Calculation'!AE12</f>
        <v>5</v>
      </c>
      <c r="BJ102" s="251">
        <f>'PolyU Score Calculation'!AF12</f>
        <v>4.00000000001</v>
      </c>
      <c r="BK102" s="251">
        <f>'PolyU Score Calculation'!AG12</f>
        <v>3.00000000002</v>
      </c>
      <c r="BL102" s="251">
        <f>'PolyU Score Calculation'!AH12</f>
        <v>4.00000000003</v>
      </c>
      <c r="BM102" s="251">
        <f>'PolyU Score Calculation'!AI12</f>
        <v>3.00000000004</v>
      </c>
      <c r="BN102" s="251">
        <f>'PolyU Score Calculation'!AJ12</f>
        <v>5.0000000000000002E-11</v>
      </c>
      <c r="BO102" s="251">
        <f>'PolyU Score Calculation'!AK12</f>
        <v>5.50000000006</v>
      </c>
      <c r="BP102" s="251">
        <f>'PolyU Score Calculation'!AL12</f>
        <v>4.00000000007</v>
      </c>
      <c r="BQ102" s="251">
        <f>'PolyU Score Calculation'!AM12</f>
        <v>7.9999999999999995E-11</v>
      </c>
      <c r="BR102" s="251">
        <f>'PolyU Score Calculation'!AN12</f>
        <v>28.000000000069999</v>
      </c>
      <c r="BS102" s="251">
        <f>'PolyU Score Calculation'!AO12</f>
        <v>30.0000000002</v>
      </c>
      <c r="BT102" s="251">
        <f>'PolyU Score Calculation'!AP12</f>
        <v>40.000000000299998</v>
      </c>
      <c r="BU102" s="251">
        <f>'PolyU Score Calculation'!AQ12</f>
        <v>21.00000000028</v>
      </c>
      <c r="BV102" s="251">
        <f>'PolyU Score Calculation'!AR12</f>
        <v>2.5000000000000002E-10</v>
      </c>
      <c r="BW102" s="251">
        <f>'PolyU Score Calculation'!AS12</f>
        <v>27.500000000299998</v>
      </c>
      <c r="BX102" s="251">
        <f>'PolyU Score Calculation'!AT12</f>
        <v>20.000000000349999</v>
      </c>
      <c r="BY102" s="251">
        <f>'PolyU Score Calculation'!AU12</f>
        <v>3.9999999999999996E-10</v>
      </c>
      <c r="BZ102" s="251" t="b">
        <f>'PolyU Score Calculation'!AV12</f>
        <v>1</v>
      </c>
      <c r="CA102" s="251" t="b">
        <f>'PolyU Score Calculation'!AW12</f>
        <v>1</v>
      </c>
      <c r="CB102" s="251" t="b">
        <f>'PolyU Score Calculation'!AX12</f>
        <v>1</v>
      </c>
      <c r="CC102" s="251" t="b">
        <f>'PolyU Score Calculation'!AY12</f>
        <v>1</v>
      </c>
      <c r="CD102" s="251" t="b">
        <f>'PolyU Score Calculation'!AZ12</f>
        <v>0</v>
      </c>
      <c r="CE102" s="251" t="b">
        <f>'PolyU Score Calculation'!BA12</f>
        <v>1</v>
      </c>
      <c r="CF102" s="251" t="b">
        <f>'PolyU Score Calculation'!BB12</f>
        <v>0</v>
      </c>
      <c r="CG102" s="251" t="b">
        <f>'PolyU Score Calculation'!BC12</f>
        <v>0</v>
      </c>
      <c r="CH102" s="251">
        <f>'PolyU Score Calculation'!BD12</f>
        <v>7</v>
      </c>
      <c r="CI102" s="251">
        <f>'PolyU Score Calculation'!BE12</f>
        <v>10</v>
      </c>
      <c r="CJ102" s="251">
        <f>'PolyU Score Calculation'!BF12</f>
        <v>10</v>
      </c>
      <c r="CK102" s="251">
        <f>'PolyU Score Calculation'!BG12</f>
        <v>7</v>
      </c>
      <c r="CL102" s="251">
        <f>'PolyU Score Calculation'!BH12</f>
        <v>5</v>
      </c>
      <c r="CM102" s="251">
        <f>'PolyU Score Calculation'!BI12</f>
        <v>5</v>
      </c>
      <c r="CN102" s="251">
        <f>'PolyU Score Calculation'!BJ12</f>
        <v>5</v>
      </c>
      <c r="CO102" s="251">
        <f>'PolyU Score Calculation'!BK12</f>
        <v>5</v>
      </c>
      <c r="CP102" s="251">
        <f>'PolyU Score Calculation'!BL12</f>
        <v>4.00000000001</v>
      </c>
      <c r="CQ102" s="251">
        <f>'PolyU Score Calculation'!BM12</f>
        <v>3.00000000002</v>
      </c>
      <c r="CR102" s="251">
        <f>'PolyU Score Calculation'!BN12</f>
        <v>5.50000000003</v>
      </c>
      <c r="CS102" s="251">
        <f>'PolyU Score Calculation'!BO12</f>
        <v>3.00000000004</v>
      </c>
      <c r="CT102" s="251">
        <f>'PolyU Score Calculation'!BP12</f>
        <v>5.0000000000000002E-11</v>
      </c>
      <c r="CU102" s="251">
        <f>'PolyU Score Calculation'!BQ12</f>
        <v>4.00000000006</v>
      </c>
      <c r="CV102" s="251">
        <f>'PolyU Score Calculation'!BR12</f>
        <v>4.00000000007</v>
      </c>
      <c r="CW102" s="251">
        <f>'PolyU Score Calculation'!BS12</f>
        <v>4.00000000008</v>
      </c>
      <c r="CX102" s="251">
        <f>'PolyU Score Calculation'!BT12</f>
        <v>28.000000000069999</v>
      </c>
      <c r="CY102" s="251">
        <f>'PolyU Score Calculation'!BU12</f>
        <v>30.0000000002</v>
      </c>
      <c r="CZ102" s="251">
        <f>'PolyU Score Calculation'!BV12</f>
        <v>55.000000000299998</v>
      </c>
      <c r="DA102" s="251">
        <f>'PolyU Score Calculation'!BW12</f>
        <v>21.00000000028</v>
      </c>
      <c r="DB102" s="251">
        <f>'PolyU Score Calculation'!BX12</f>
        <v>2.5000000000000002E-10</v>
      </c>
      <c r="DC102" s="251">
        <f>'PolyU Score Calculation'!BY12</f>
        <v>20.000000000299998</v>
      </c>
      <c r="DD102" s="251">
        <f>'PolyU Score Calculation'!BZ12</f>
        <v>20.000000000349999</v>
      </c>
      <c r="DE102" s="251">
        <f>'PolyU Score Calculation'!CA12</f>
        <v>20.0000000004</v>
      </c>
      <c r="DF102" s="251" t="b">
        <f>'PolyU Score Calculation'!CB12</f>
        <v>1</v>
      </c>
      <c r="DG102" s="251" t="b">
        <f>'PolyU Score Calculation'!CC12</f>
        <v>1</v>
      </c>
      <c r="DH102" s="251" t="b">
        <f>'PolyU Score Calculation'!CD12</f>
        <v>1</v>
      </c>
      <c r="DI102" s="251" t="b">
        <f>'PolyU Score Calculation'!CE12</f>
        <v>1</v>
      </c>
      <c r="DJ102" s="251" t="b">
        <f>'PolyU Score Calculation'!CF12</f>
        <v>0</v>
      </c>
      <c r="DK102" s="251" t="b">
        <f>'PolyU Score Calculation'!CG12</f>
        <v>0</v>
      </c>
      <c r="DL102" s="251" t="b">
        <f>'PolyU Score Calculation'!CH12</f>
        <v>0</v>
      </c>
      <c r="DM102" s="251" t="b">
        <f>'PolyU Score Calculation'!CI12</f>
        <v>1</v>
      </c>
    </row>
    <row r="103" spans="1:117" s="251" customFormat="1" x14ac:dyDescent="0.3">
      <c r="A103" s="251" t="str">
        <f>'PolyU Score Calculation'!A13</f>
        <v>JS3080-2</v>
      </c>
      <c r="B103" s="251" t="s">
        <v>2246</v>
      </c>
      <c r="C103" s="251" t="str">
        <f>IF('PolyU Score Calculation'!B13=0,"",'PolyU Score Calculation'!B13)</f>
        <v/>
      </c>
      <c r="D103" s="251" t="str">
        <f>IF('PolyU Score Calculation'!C13=0,"",'PolyU Score Calculation'!C13)</f>
        <v/>
      </c>
      <c r="E103" s="251" t="str">
        <f>IF('PolyU Score Calculation'!E13=0,"",'PolyU Score Calculation'!E13)</f>
        <v/>
      </c>
      <c r="F103" s="251" t="s">
        <v>1978</v>
      </c>
      <c r="G103" s="251">
        <f>'PolyU Score Calculation'!W13</f>
        <v>149.50000000125002</v>
      </c>
      <c r="H103" s="251">
        <f>'PolyU Score Calculation'!V13</f>
        <v>149.00000000120002</v>
      </c>
      <c r="I103" s="251" t="s">
        <v>3034</v>
      </c>
      <c r="J103" s="251" t="s">
        <v>3035</v>
      </c>
      <c r="K103" s="344" t="s">
        <v>3048</v>
      </c>
      <c r="L103" s="344" t="s">
        <v>1970</v>
      </c>
      <c r="M103" s="344" t="s">
        <v>1970</v>
      </c>
      <c r="N103" s="251" t="str">
        <f>'PolyU Score Calculation'!M13</f>
        <v>JS3894</v>
      </c>
      <c r="O103" s="251" t="str">
        <f>'PolyU Score Calculation'!N13</f>
        <v>市場學(榮譽)工商管理學士學位</v>
      </c>
      <c r="P103" s="251" t="str">
        <f>'PolyU Score Calculation'!O13</f>
        <v>Best 5</v>
      </c>
      <c r="Q103" s="251" t="str">
        <f>'PolyU Score Calculation'!P13</f>
        <v>x10: 英文、數學</v>
      </c>
      <c r="R103" s="251" t="str">
        <f>'PolyU Score Calculation'!Q13</f>
        <v>x7: 中文、通識</v>
      </c>
      <c r="S103" s="251" t="str">
        <f>'PolyU Score Calculation'!R13</f>
        <v>x5: 其他科目</v>
      </c>
      <c r="T103" s="251" t="str">
        <f>IF('PolyU Score Calculation'!D13=0,"",'PolyU Score Calculation'!D13)</f>
        <v/>
      </c>
      <c r="U103" s="251" t="s">
        <v>2165</v>
      </c>
      <c r="V103" s="251" t="str">
        <f>IF('PolyU Score Calculation'!T13=0,"",'PolyU Score Calculation'!T13)</f>
        <v/>
      </c>
      <c r="W103" s="251">
        <f>'PolyU Score Calculation'!U13</f>
        <v>21</v>
      </c>
      <c r="X103" s="344">
        <f>'A123'!J111</f>
        <v>0</v>
      </c>
      <c r="Y103" s="344" t="str">
        <f>'A123'!K111</f>
        <v>/</v>
      </c>
      <c r="Z103" s="344" t="str">
        <f>'A123'!L111</f>
        <v>新科目</v>
      </c>
      <c r="AB103" s="344" t="str">
        <f>入學要求!X112</f>
        <v>/</v>
      </c>
      <c r="AC103" s="344" t="str">
        <f>入學要求!Y112</f>
        <v>/</v>
      </c>
      <c r="AD103" s="251">
        <f>'PolyU Score Calculation'!E13</f>
        <v>0</v>
      </c>
      <c r="AE103" s="251" t="s">
        <v>1970</v>
      </c>
      <c r="AF103" s="251" t="s">
        <v>1970</v>
      </c>
      <c r="AG103" s="344">
        <f>'PolyU Score Calculation'!I13</f>
        <v>0</v>
      </c>
      <c r="AH103" s="344">
        <f>'PolyU Score Calculation'!J13</f>
        <v>0</v>
      </c>
      <c r="AI103" s="344">
        <f>'PolyU Score Calculation'!K13</f>
        <v>0</v>
      </c>
      <c r="AJ103" s="251" t="s">
        <v>1970</v>
      </c>
      <c r="AK103" s="251" t="s">
        <v>1970</v>
      </c>
      <c r="AL103" s="251" t="s">
        <v>1970</v>
      </c>
      <c r="AM103" s="251" t="s">
        <v>1970</v>
      </c>
      <c r="AN103" s="251" t="str">
        <f t="shared" si="405"/>
        <v>JS3894 市場學(榮譽)工商管理學士學位</v>
      </c>
      <c r="AO103" s="251" t="s">
        <v>1970</v>
      </c>
      <c r="AP103" s="251" t="s">
        <v>1970</v>
      </c>
      <c r="AQ103" s="344" t="s">
        <v>1970</v>
      </c>
      <c r="AR103" s="344" t="s">
        <v>2150</v>
      </c>
      <c r="AV103" s="344" t="s">
        <v>3728</v>
      </c>
      <c r="AW103" s="344" t="s">
        <v>3726</v>
      </c>
      <c r="AX103" s="344" t="s">
        <v>3729</v>
      </c>
      <c r="AY103" s="344" t="s">
        <v>3730</v>
      </c>
      <c r="AZ103" s="344" t="s">
        <v>3732</v>
      </c>
      <c r="BA103" s="344" t="s">
        <v>3734</v>
      </c>
      <c r="BB103" s="251">
        <f>'PolyU Score Calculation'!X13</f>
        <v>7</v>
      </c>
      <c r="BC103" s="251">
        <f>'PolyU Score Calculation'!Y13</f>
        <v>10</v>
      </c>
      <c r="BD103" s="251">
        <f>'PolyU Score Calculation'!Z13</f>
        <v>10</v>
      </c>
      <c r="BE103" s="251">
        <f>'PolyU Score Calculation'!AA13</f>
        <v>7</v>
      </c>
      <c r="BF103" s="251">
        <f>'PolyU Score Calculation'!AB13</f>
        <v>5</v>
      </c>
      <c r="BG103" s="251">
        <f>'PolyU Score Calculation'!AC13</f>
        <v>5</v>
      </c>
      <c r="BH103" s="251">
        <f>'PolyU Score Calculation'!AD13</f>
        <v>5</v>
      </c>
      <c r="BI103" s="251">
        <f>'PolyU Score Calculation'!AE13</f>
        <v>5</v>
      </c>
      <c r="BJ103" s="251">
        <f>'PolyU Score Calculation'!AF13</f>
        <v>3.00000000001</v>
      </c>
      <c r="BK103" s="251">
        <f>'PolyU Score Calculation'!AG13</f>
        <v>4.00000000002</v>
      </c>
      <c r="BL103" s="251">
        <f>'PolyU Score Calculation'!AH13</f>
        <v>4.00000000003</v>
      </c>
      <c r="BM103" s="251">
        <f>'PolyU Score Calculation'!AI13</f>
        <v>4.00000000004</v>
      </c>
      <c r="BN103" s="251">
        <f>'PolyU Score Calculation'!AJ13</f>
        <v>5.0000000000000002E-11</v>
      </c>
      <c r="BO103" s="251">
        <f>'PolyU Score Calculation'!AK13</f>
        <v>4.00000000006</v>
      </c>
      <c r="BP103" s="251">
        <f>'PolyU Score Calculation'!AL13</f>
        <v>4.00000000007</v>
      </c>
      <c r="BQ103" s="251">
        <f>'PolyU Score Calculation'!AM13</f>
        <v>3.00000000008</v>
      </c>
      <c r="BR103" s="251">
        <f>'PolyU Score Calculation'!AN13</f>
        <v>21.000000000069999</v>
      </c>
      <c r="BS103" s="251">
        <f>'PolyU Score Calculation'!AO13</f>
        <v>40.000000000200004</v>
      </c>
      <c r="BT103" s="251">
        <f>'PolyU Score Calculation'!AP13</f>
        <v>40.000000000299998</v>
      </c>
      <c r="BU103" s="251">
        <f>'PolyU Score Calculation'!AQ13</f>
        <v>28.00000000028</v>
      </c>
      <c r="BV103" s="251">
        <f>'PolyU Score Calculation'!AR13</f>
        <v>2.5000000000000002E-10</v>
      </c>
      <c r="BW103" s="251">
        <f>'PolyU Score Calculation'!AS13</f>
        <v>20.000000000299998</v>
      </c>
      <c r="BX103" s="251">
        <f>'PolyU Score Calculation'!AT13</f>
        <v>20.000000000349999</v>
      </c>
      <c r="BY103" s="251">
        <f>'PolyU Score Calculation'!AU13</f>
        <v>15.0000000004</v>
      </c>
      <c r="BZ103" s="251" t="b">
        <f>'PolyU Score Calculation'!AV13</f>
        <v>1</v>
      </c>
      <c r="CA103" s="251" t="b">
        <f>'PolyU Score Calculation'!AW13</f>
        <v>1</v>
      </c>
      <c r="CB103" s="251" t="b">
        <f>'PolyU Score Calculation'!AX13</f>
        <v>1</v>
      </c>
      <c r="CC103" s="251" t="b">
        <f>'PolyU Score Calculation'!AY13</f>
        <v>1</v>
      </c>
      <c r="CD103" s="251" t="b">
        <f>'PolyU Score Calculation'!AZ13</f>
        <v>0</v>
      </c>
      <c r="CE103" s="251" t="b">
        <f>'PolyU Score Calculation'!BA13</f>
        <v>0</v>
      </c>
      <c r="CF103" s="251" t="b">
        <f>'PolyU Score Calculation'!BB13</f>
        <v>1</v>
      </c>
      <c r="CG103" s="251" t="b">
        <f>'PolyU Score Calculation'!BC13</f>
        <v>0</v>
      </c>
      <c r="CH103" s="251">
        <f>'PolyU Score Calculation'!BD13</f>
        <v>7</v>
      </c>
      <c r="CI103" s="251">
        <f>'PolyU Score Calculation'!BE13</f>
        <v>10</v>
      </c>
      <c r="CJ103" s="251">
        <f>'PolyU Score Calculation'!BF13</f>
        <v>10</v>
      </c>
      <c r="CK103" s="251">
        <f>'PolyU Score Calculation'!BG13</f>
        <v>7</v>
      </c>
      <c r="CL103" s="251">
        <f>'PolyU Score Calculation'!BH13</f>
        <v>5</v>
      </c>
      <c r="CM103" s="251">
        <f>'PolyU Score Calculation'!BI13</f>
        <v>5</v>
      </c>
      <c r="CN103" s="251">
        <f>'PolyU Score Calculation'!BJ13</f>
        <v>5</v>
      </c>
      <c r="CO103" s="251">
        <f>'PolyU Score Calculation'!BK13</f>
        <v>5</v>
      </c>
      <c r="CP103" s="251">
        <f>'PolyU Score Calculation'!BL13</f>
        <v>5.50000000001</v>
      </c>
      <c r="CQ103" s="251">
        <f>'PolyU Score Calculation'!BM13</f>
        <v>3.00000000002</v>
      </c>
      <c r="CR103" s="251">
        <f>'PolyU Score Calculation'!BN13</f>
        <v>4.00000000003</v>
      </c>
      <c r="CS103" s="251">
        <f>'PolyU Score Calculation'!BO13</f>
        <v>3.00000000004</v>
      </c>
      <c r="CT103" s="251">
        <f>'PolyU Score Calculation'!BP13</f>
        <v>5.0000000000000002E-11</v>
      </c>
      <c r="CU103" s="251">
        <f>'PolyU Score Calculation'!BQ13</f>
        <v>4.00000000006</v>
      </c>
      <c r="CV103" s="251">
        <f>'PolyU Score Calculation'!BR13</f>
        <v>4.00000000007</v>
      </c>
      <c r="CW103" s="251">
        <f>'PolyU Score Calculation'!BS13</f>
        <v>4.00000000008</v>
      </c>
      <c r="CX103" s="251">
        <f>'PolyU Score Calculation'!BT13</f>
        <v>38.500000000070003</v>
      </c>
      <c r="CY103" s="251">
        <f>'PolyU Score Calculation'!BU13</f>
        <v>30.0000000002</v>
      </c>
      <c r="CZ103" s="251">
        <f>'PolyU Score Calculation'!BV13</f>
        <v>40.000000000299998</v>
      </c>
      <c r="DA103" s="251">
        <f>'PolyU Score Calculation'!BW13</f>
        <v>21.00000000028</v>
      </c>
      <c r="DB103" s="251">
        <f>'PolyU Score Calculation'!BX13</f>
        <v>2.5000000000000002E-10</v>
      </c>
      <c r="DC103" s="251">
        <f>'PolyU Score Calculation'!BY13</f>
        <v>20.000000000299998</v>
      </c>
      <c r="DD103" s="251">
        <f>'PolyU Score Calculation'!BZ13</f>
        <v>20.000000000349999</v>
      </c>
      <c r="DE103" s="251">
        <f>'PolyU Score Calculation'!CA13</f>
        <v>20.0000000004</v>
      </c>
      <c r="DF103" s="251" t="b">
        <f>'PolyU Score Calculation'!CB13</f>
        <v>1</v>
      </c>
      <c r="DG103" s="251" t="b">
        <f>'PolyU Score Calculation'!CC13</f>
        <v>1</v>
      </c>
      <c r="DH103" s="251" t="b">
        <f>'PolyU Score Calculation'!CD13</f>
        <v>1</v>
      </c>
      <c r="DI103" s="251" t="b">
        <f>'PolyU Score Calculation'!CE13</f>
        <v>1</v>
      </c>
      <c r="DJ103" s="251" t="b">
        <f>'PolyU Score Calculation'!CF13</f>
        <v>0</v>
      </c>
      <c r="DK103" s="251" t="b">
        <f>'PolyU Score Calculation'!CG13</f>
        <v>0</v>
      </c>
      <c r="DL103" s="251" t="b">
        <f>'PolyU Score Calculation'!CH13</f>
        <v>0</v>
      </c>
      <c r="DM103" s="251" t="b">
        <f>'PolyU Score Calculation'!CI13</f>
        <v>1</v>
      </c>
    </row>
    <row r="104" spans="1:117" s="251" customFormat="1" x14ac:dyDescent="0.3">
      <c r="A104" s="251" t="str">
        <f>'PolyU Score Calculation'!A14</f>
        <v>JS3100</v>
      </c>
      <c r="B104" s="251" t="s">
        <v>2246</v>
      </c>
      <c r="C104" s="251" t="str">
        <f>IF('PolyU Score Calculation'!B14=0,"",'PolyU Score Calculation'!B14)</f>
        <v>建築及環境學院</v>
      </c>
      <c r="D104" s="251" t="str">
        <f>IF('PolyU Score Calculation'!C14=0,"",'PolyU Score Calculation'!C14)</f>
        <v>建築及房地產(榮譽)理學士組合課程</v>
      </c>
      <c r="E104" s="251" t="str">
        <f>IF('PolyU Score Calculation'!E14=0,"",'PolyU Score Calculation'!E14)</f>
        <v>Best 5</v>
      </c>
      <c r="F104" s="251" t="s">
        <v>1978</v>
      </c>
      <c r="G104" s="251">
        <f>'PolyU Score Calculation'!W14</f>
        <v>127.00000000111</v>
      </c>
      <c r="H104" s="251">
        <f>'PolyU Score Calculation'!V14</f>
        <v>137.00000000106002</v>
      </c>
      <c r="I104" s="251" t="s">
        <v>3034</v>
      </c>
      <c r="J104" s="251" t="s">
        <v>3035</v>
      </c>
      <c r="K104" s="344" t="s">
        <v>3048</v>
      </c>
      <c r="L104" s="344" t="s">
        <v>1970</v>
      </c>
      <c r="M104" s="344" t="s">
        <v>1970</v>
      </c>
      <c r="N104" s="251" t="str">
        <f>'PolyU Score Calculation'!M14</f>
        <v>JS3442</v>
      </c>
      <c r="O104" s="251" t="str">
        <f>'PolyU Score Calculation'!N14</f>
        <v>物業管理學(榮譽)理學士學位</v>
      </c>
      <c r="P104" s="251" t="str">
        <f>'PolyU Score Calculation'!O14</f>
        <v>Best 5</v>
      </c>
      <c r="Q104" s="251" t="str">
        <f>'PolyU Score Calculation'!P14</f>
        <v>x10: 英文</v>
      </c>
      <c r="R104" s="251" t="str">
        <f>'PolyU Score Calculation'!Q14</f>
        <v>x7: 中文、數學、通識</v>
      </c>
      <c r="S104" s="251" t="str">
        <f>'PolyU Score Calculation'!R14</f>
        <v>x5: 其他科目</v>
      </c>
      <c r="T104" s="251" t="str">
        <f>IF('PolyU Score Calculation'!D14=0,"",'PolyU Score Calculation'!D14)</f>
        <v>BLDG &amp; REAL ESTATE</v>
      </c>
      <c r="U104" s="251" t="s">
        <v>2165</v>
      </c>
      <c r="V104" s="251">
        <f>IF('PolyU Score Calculation'!T14=0,"",'PolyU Score Calculation'!T14)</f>
        <v>23.1</v>
      </c>
      <c r="W104" s="251">
        <f>'PolyU Score Calculation'!U14</f>
        <v>20</v>
      </c>
      <c r="X104" s="344">
        <f>'A123'!J112</f>
        <v>98</v>
      </c>
      <c r="Y104" s="344" t="str">
        <f>'A123'!K112</f>
        <v>/</v>
      </c>
      <c r="Z104" s="344" t="str">
        <f>'A123'!L112</f>
        <v>新科目</v>
      </c>
      <c r="AA104" s="251" t="s">
        <v>2165</v>
      </c>
      <c r="AB104" s="344" t="str">
        <f>入學要求!X113</f>
        <v>/</v>
      </c>
      <c r="AC104" s="344" t="str">
        <f>入學要求!Y113</f>
        <v>/</v>
      </c>
      <c r="AD104" s="251" t="str">
        <f>'PolyU Score Calculation'!E14</f>
        <v>Best 5</v>
      </c>
      <c r="AE104" s="251" t="s">
        <v>1970</v>
      </c>
      <c r="AF104" s="251" t="s">
        <v>1970</v>
      </c>
      <c r="AG104" s="344" t="str">
        <f>'PolyU Score Calculation'!I14</f>
        <v>x10: 英文</v>
      </c>
      <c r="AH104" s="344" t="str">
        <f>'PolyU Score Calculation'!J14</f>
        <v>x7: 中文、數學、通識</v>
      </c>
      <c r="AI104" s="344" t="str">
        <f>'PolyU Score Calculation'!K14</f>
        <v>x5: 其他科目</v>
      </c>
      <c r="AJ104" s="251" t="s">
        <v>1970</v>
      </c>
      <c r="AK104" s="251" t="s">
        <v>1970</v>
      </c>
      <c r="AL104" s="251" t="s">
        <v>1970</v>
      </c>
      <c r="AM104" s="251" t="s">
        <v>3043</v>
      </c>
      <c r="AN104" s="251" t="str">
        <f t="shared" si="405"/>
        <v>JS3442 物業管理學(榮譽)理學士學位</v>
      </c>
      <c r="AO104" s="251" t="str">
        <f>AN105</f>
        <v>JS3789 地產及建設測量學(榮譽)理學士學位</v>
      </c>
      <c r="AP104" s="251" t="str">
        <f>AN106</f>
        <v>JS3791 建築工程及管理學(榮譽)理學士學位</v>
      </c>
      <c r="AQ104" s="344" t="s">
        <v>1970</v>
      </c>
      <c r="AR104" s="344" t="s">
        <v>2150</v>
      </c>
      <c r="AS104" s="251" t="s">
        <v>3610</v>
      </c>
      <c r="AT104" s="251" t="s">
        <v>1970</v>
      </c>
      <c r="AV104" s="344" t="s">
        <v>3728</v>
      </c>
      <c r="AW104" s="344" t="s">
        <v>3726</v>
      </c>
      <c r="AX104" s="344" t="s">
        <v>3729</v>
      </c>
      <c r="AY104" s="344" t="s">
        <v>3730</v>
      </c>
      <c r="AZ104" s="344" t="s">
        <v>3732</v>
      </c>
      <c r="BA104" s="344" t="s">
        <v>3734</v>
      </c>
      <c r="BB104" s="251">
        <f>'PolyU Score Calculation'!X14</f>
        <v>7</v>
      </c>
      <c r="BC104" s="251">
        <f>'PolyU Score Calculation'!Y14</f>
        <v>10</v>
      </c>
      <c r="BD104" s="251">
        <f>'PolyU Score Calculation'!Z14</f>
        <v>7</v>
      </c>
      <c r="BE104" s="251">
        <f>'PolyU Score Calculation'!AA14</f>
        <v>7</v>
      </c>
      <c r="BF104" s="251">
        <f>'PolyU Score Calculation'!AB14</f>
        <v>5</v>
      </c>
      <c r="BG104" s="251">
        <f>'PolyU Score Calculation'!AC14</f>
        <v>5</v>
      </c>
      <c r="BH104" s="251">
        <f>'PolyU Score Calculation'!AD14</f>
        <v>5</v>
      </c>
      <c r="BI104" s="251">
        <f>'PolyU Score Calculation'!AE14</f>
        <v>5</v>
      </c>
      <c r="BJ104" s="251">
        <f>'PolyU Score Calculation'!AF14</f>
        <v>3.00000000001</v>
      </c>
      <c r="BK104" s="251">
        <f>'PolyU Score Calculation'!AG14</f>
        <v>4.00000000002</v>
      </c>
      <c r="BL104" s="251">
        <f>'PolyU Score Calculation'!AH14</f>
        <v>4.00000000003</v>
      </c>
      <c r="BM104" s="251">
        <f>'PolyU Score Calculation'!AI14</f>
        <v>4.00000000004</v>
      </c>
      <c r="BN104" s="251">
        <f>'PolyU Score Calculation'!AJ14</f>
        <v>5.0000000000000002E-11</v>
      </c>
      <c r="BO104" s="251">
        <f>'PolyU Score Calculation'!AK14</f>
        <v>4.00000000006</v>
      </c>
      <c r="BP104" s="251">
        <f>'PolyU Score Calculation'!AL14</f>
        <v>3.00000000007</v>
      </c>
      <c r="BQ104" s="251">
        <f>'PolyU Score Calculation'!AM14</f>
        <v>7.9999999999999995E-11</v>
      </c>
      <c r="BR104" s="251">
        <f>'PolyU Score Calculation'!AN14</f>
        <v>21.000000000069999</v>
      </c>
      <c r="BS104" s="251">
        <f>'PolyU Score Calculation'!AO14</f>
        <v>40.000000000200004</v>
      </c>
      <c r="BT104" s="251">
        <f>'PolyU Score Calculation'!AP14</f>
        <v>28.000000000210001</v>
      </c>
      <c r="BU104" s="251">
        <f>'PolyU Score Calculation'!AQ14</f>
        <v>28.00000000028</v>
      </c>
      <c r="BV104" s="251">
        <f>'PolyU Score Calculation'!AR14</f>
        <v>2.5000000000000002E-10</v>
      </c>
      <c r="BW104" s="251">
        <f>'PolyU Score Calculation'!AS14</f>
        <v>20.000000000299998</v>
      </c>
      <c r="BX104" s="251">
        <f>'PolyU Score Calculation'!AT14</f>
        <v>15.000000000349999</v>
      </c>
      <c r="BY104" s="251">
        <f>'PolyU Score Calculation'!AU14</f>
        <v>3.9999999999999996E-10</v>
      </c>
      <c r="BZ104" s="251" t="b">
        <f>'PolyU Score Calculation'!AV14</f>
        <v>1</v>
      </c>
      <c r="CA104" s="251" t="b">
        <f>'PolyU Score Calculation'!AW14</f>
        <v>1</v>
      </c>
      <c r="CB104" s="251" t="b">
        <f>'PolyU Score Calculation'!AX14</f>
        <v>1</v>
      </c>
      <c r="CC104" s="251" t="b">
        <f>'PolyU Score Calculation'!AY14</f>
        <v>1</v>
      </c>
      <c r="CD104" s="251" t="b">
        <f>'PolyU Score Calculation'!AZ14</f>
        <v>0</v>
      </c>
      <c r="CE104" s="251" t="b">
        <f>'PolyU Score Calculation'!BA14</f>
        <v>1</v>
      </c>
      <c r="CF104" s="251" t="b">
        <f>'PolyU Score Calculation'!BB14</f>
        <v>0</v>
      </c>
      <c r="CG104" s="251" t="b">
        <f>'PolyU Score Calculation'!BC14</f>
        <v>0</v>
      </c>
      <c r="CH104" s="251">
        <f>'PolyU Score Calculation'!BD14</f>
        <v>7</v>
      </c>
      <c r="CI104" s="251">
        <f>'PolyU Score Calculation'!BE14</f>
        <v>10</v>
      </c>
      <c r="CJ104" s="251">
        <f>'PolyU Score Calculation'!BF14</f>
        <v>7</v>
      </c>
      <c r="CK104" s="251">
        <f>'PolyU Score Calculation'!BG14</f>
        <v>7</v>
      </c>
      <c r="CL104" s="251">
        <f>'PolyU Score Calculation'!BH14</f>
        <v>5</v>
      </c>
      <c r="CM104" s="251">
        <f>'PolyU Score Calculation'!BI14</f>
        <v>5</v>
      </c>
      <c r="CN104" s="251">
        <f>'PolyU Score Calculation'!BJ14</f>
        <v>5</v>
      </c>
      <c r="CO104" s="251">
        <f>'PolyU Score Calculation'!BK14</f>
        <v>5</v>
      </c>
      <c r="CP104" s="251">
        <f>'PolyU Score Calculation'!BL14</f>
        <v>4.00000000001</v>
      </c>
      <c r="CQ104" s="251">
        <f>'PolyU Score Calculation'!BM14</f>
        <v>3.00000000002</v>
      </c>
      <c r="CR104" s="251">
        <f>'PolyU Score Calculation'!BN14</f>
        <v>3.00000000003</v>
      </c>
      <c r="CS104" s="251">
        <f>'PolyU Score Calculation'!BO14</f>
        <v>4.00000000004</v>
      </c>
      <c r="CT104" s="251">
        <f>'PolyU Score Calculation'!BP14</f>
        <v>5.0000000000000002E-11</v>
      </c>
      <c r="CU104" s="251">
        <f>'PolyU Score Calculation'!BQ14</f>
        <v>4.00000000006</v>
      </c>
      <c r="CV104" s="251">
        <f>'PolyU Score Calculation'!BR14</f>
        <v>4.00000000007</v>
      </c>
      <c r="CW104" s="251">
        <f>'PolyU Score Calculation'!BS14</f>
        <v>3.00000000008</v>
      </c>
      <c r="CX104" s="251">
        <f>'PolyU Score Calculation'!BT14</f>
        <v>28.000000000069999</v>
      </c>
      <c r="CY104" s="251">
        <f>'PolyU Score Calculation'!BU14</f>
        <v>30.0000000002</v>
      </c>
      <c r="CZ104" s="251">
        <f>'PolyU Score Calculation'!BV14</f>
        <v>21.000000000210001</v>
      </c>
      <c r="DA104" s="251">
        <f>'PolyU Score Calculation'!BW14</f>
        <v>28.00000000028</v>
      </c>
      <c r="DB104" s="251">
        <f>'PolyU Score Calculation'!BX14</f>
        <v>2.5000000000000002E-10</v>
      </c>
      <c r="DC104" s="251">
        <f>'PolyU Score Calculation'!BY14</f>
        <v>20.000000000299998</v>
      </c>
      <c r="DD104" s="251">
        <f>'PolyU Score Calculation'!BZ14</f>
        <v>20.000000000349999</v>
      </c>
      <c r="DE104" s="251">
        <f>'PolyU Score Calculation'!CA14</f>
        <v>15.0000000004</v>
      </c>
      <c r="DF104" s="251" t="b">
        <f>'PolyU Score Calculation'!CB14</f>
        <v>1</v>
      </c>
      <c r="DG104" s="251" t="b">
        <f>'PolyU Score Calculation'!CC14</f>
        <v>1</v>
      </c>
      <c r="DH104" s="251" t="b">
        <f>'PolyU Score Calculation'!CD14</f>
        <v>1</v>
      </c>
      <c r="DI104" s="251" t="b">
        <f>'PolyU Score Calculation'!CE14</f>
        <v>1</v>
      </c>
      <c r="DJ104" s="251" t="b">
        <f>'PolyU Score Calculation'!CF14</f>
        <v>0</v>
      </c>
      <c r="DK104" s="251" t="b">
        <f>'PolyU Score Calculation'!CG14</f>
        <v>0</v>
      </c>
      <c r="DL104" s="251" t="b">
        <f>'PolyU Score Calculation'!CH14</f>
        <v>1</v>
      </c>
      <c r="DM104" s="251" t="b">
        <f>'PolyU Score Calculation'!CI14</f>
        <v>0</v>
      </c>
    </row>
    <row r="105" spans="1:117" s="251" customFormat="1" x14ac:dyDescent="0.3">
      <c r="A105" s="251" t="str">
        <f>'PolyU Score Calculation'!A15</f>
        <v>JS3100-2</v>
      </c>
      <c r="B105" s="251" t="s">
        <v>2246</v>
      </c>
      <c r="C105" s="251" t="str">
        <f>IF('PolyU Score Calculation'!B15=0,"",'PolyU Score Calculation'!B15)</f>
        <v/>
      </c>
      <c r="D105" s="251" t="str">
        <f>IF('PolyU Score Calculation'!C15=0,"",'PolyU Score Calculation'!C15)</f>
        <v/>
      </c>
      <c r="E105" s="251" t="str">
        <f>IF('PolyU Score Calculation'!E15=0,"",'PolyU Score Calculation'!E15)</f>
        <v/>
      </c>
      <c r="F105" s="251" t="s">
        <v>1978</v>
      </c>
      <c r="G105" s="251">
        <f>'PolyU Score Calculation'!W15</f>
        <v>180.50000000105999</v>
      </c>
      <c r="H105" s="251">
        <f>'PolyU Score Calculation'!V15</f>
        <v>175.00000000110998</v>
      </c>
      <c r="I105" s="251" t="s">
        <v>3034</v>
      </c>
      <c r="J105" s="251" t="s">
        <v>3035</v>
      </c>
      <c r="K105" s="344" t="s">
        <v>3048</v>
      </c>
      <c r="L105" s="344" t="s">
        <v>1970</v>
      </c>
      <c r="M105" s="344" t="s">
        <v>1970</v>
      </c>
      <c r="N105" s="251" t="str">
        <f>'PolyU Score Calculation'!M15</f>
        <v>JS3789</v>
      </c>
      <c r="O105" s="251" t="str">
        <f>'PolyU Score Calculation'!N15</f>
        <v>地產及建設測量學(榮譽)理學士學位</v>
      </c>
      <c r="P105" s="251" t="str">
        <f>'PolyU Score Calculation'!O15</f>
        <v>Best 5</v>
      </c>
      <c r="Q105" s="251" t="str">
        <f>'PolyU Score Calculation'!P15</f>
        <v>x10: 英文</v>
      </c>
      <c r="R105" s="251" t="str">
        <f>'PolyU Score Calculation'!Q15</f>
        <v>x7: 中文、數學、通識</v>
      </c>
      <c r="S105" s="251" t="str">
        <f>'PolyU Score Calculation'!R15</f>
        <v>x5: 其他科目</v>
      </c>
      <c r="T105" s="251" t="str">
        <f>IF('PolyU Score Calculation'!D15=0,"",'PolyU Score Calculation'!D15)</f>
        <v/>
      </c>
      <c r="U105" s="251" t="s">
        <v>2165</v>
      </c>
      <c r="V105" s="251" t="str">
        <f>IF('PolyU Score Calculation'!T15=0,"",'PolyU Score Calculation'!T15)</f>
        <v/>
      </c>
      <c r="W105" s="251">
        <f>'PolyU Score Calculation'!U15</f>
        <v>25.9</v>
      </c>
      <c r="X105" s="344">
        <f>'A123'!J113</f>
        <v>0</v>
      </c>
      <c r="Y105" s="344" t="str">
        <f>'A123'!K113</f>
        <v>/</v>
      </c>
      <c r="Z105" s="344" t="str">
        <f>'A123'!L113</f>
        <v>新科目</v>
      </c>
      <c r="AB105" s="344" t="str">
        <f>入學要求!X114</f>
        <v>/</v>
      </c>
      <c r="AC105" s="344" t="str">
        <f>入學要求!Y114</f>
        <v>/</v>
      </c>
      <c r="AD105" s="251">
        <f>'PolyU Score Calculation'!E15</f>
        <v>0</v>
      </c>
      <c r="AE105" s="251" t="s">
        <v>1970</v>
      </c>
      <c r="AF105" s="251" t="s">
        <v>1970</v>
      </c>
      <c r="AG105" s="344">
        <f>'PolyU Score Calculation'!I15</f>
        <v>0</v>
      </c>
      <c r="AH105" s="344">
        <f>'PolyU Score Calculation'!J15</f>
        <v>0</v>
      </c>
      <c r="AI105" s="344">
        <f>'PolyU Score Calculation'!K15</f>
        <v>0</v>
      </c>
      <c r="AJ105" s="251" t="s">
        <v>1970</v>
      </c>
      <c r="AK105" s="251" t="s">
        <v>1970</v>
      </c>
      <c r="AL105" s="251" t="s">
        <v>1970</v>
      </c>
      <c r="AM105" s="251" t="s">
        <v>1970</v>
      </c>
      <c r="AN105" s="251" t="str">
        <f t="shared" si="405"/>
        <v>JS3789 地產及建設測量學(榮譽)理學士學位</v>
      </c>
      <c r="AO105" s="251" t="s">
        <v>1970</v>
      </c>
      <c r="AP105" s="251" t="s">
        <v>1970</v>
      </c>
      <c r="AQ105" s="344" t="s">
        <v>1970</v>
      </c>
      <c r="AR105" s="344" t="s">
        <v>2150</v>
      </c>
      <c r="AV105" s="344" t="s">
        <v>3728</v>
      </c>
      <c r="AW105" s="344" t="s">
        <v>3726</v>
      </c>
      <c r="AX105" s="344" t="s">
        <v>3729</v>
      </c>
      <c r="AY105" s="344" t="s">
        <v>3730</v>
      </c>
      <c r="AZ105" s="344" t="s">
        <v>3732</v>
      </c>
      <c r="BA105" s="344" t="s">
        <v>3734</v>
      </c>
      <c r="BB105" s="251">
        <f>'PolyU Score Calculation'!X15</f>
        <v>7</v>
      </c>
      <c r="BC105" s="251">
        <f>'PolyU Score Calculation'!Y15</f>
        <v>10</v>
      </c>
      <c r="BD105" s="251">
        <f>'PolyU Score Calculation'!Z15</f>
        <v>7</v>
      </c>
      <c r="BE105" s="251">
        <f>'PolyU Score Calculation'!AA15</f>
        <v>7</v>
      </c>
      <c r="BF105" s="251">
        <f>'PolyU Score Calculation'!AB15</f>
        <v>5</v>
      </c>
      <c r="BG105" s="251">
        <f>'PolyU Score Calculation'!AC15</f>
        <v>5</v>
      </c>
      <c r="BH105" s="251">
        <f>'PolyU Score Calculation'!AD15</f>
        <v>5</v>
      </c>
      <c r="BI105" s="251">
        <f>'PolyU Score Calculation'!AE15</f>
        <v>5</v>
      </c>
      <c r="BJ105" s="251">
        <f>'PolyU Score Calculation'!AF15</f>
        <v>4.00000000001</v>
      </c>
      <c r="BK105" s="251">
        <f>'PolyU Score Calculation'!AG15</f>
        <v>5.50000000002</v>
      </c>
      <c r="BL105" s="251">
        <f>'PolyU Score Calculation'!AH15</f>
        <v>4.00000000003</v>
      </c>
      <c r="BM105" s="251">
        <f>'PolyU Score Calculation'!AI15</f>
        <v>7.00000000004</v>
      </c>
      <c r="BN105" s="251">
        <f>'PolyU Score Calculation'!AJ15</f>
        <v>5.0000000000000002E-11</v>
      </c>
      <c r="BO105" s="251">
        <f>'PolyU Score Calculation'!AK15</f>
        <v>3.00000000006</v>
      </c>
      <c r="BP105" s="251">
        <f>'PolyU Score Calculation'!AL15</f>
        <v>3.00000000007</v>
      </c>
      <c r="BQ105" s="251">
        <f>'PolyU Score Calculation'!AM15</f>
        <v>2.00000000008</v>
      </c>
      <c r="BR105" s="251">
        <f>'PolyU Score Calculation'!AN15</f>
        <v>28.000000000069999</v>
      </c>
      <c r="BS105" s="251">
        <f>'PolyU Score Calculation'!AO15</f>
        <v>55.000000000200004</v>
      </c>
      <c r="BT105" s="251">
        <f>'PolyU Score Calculation'!AP15</f>
        <v>28.000000000210001</v>
      </c>
      <c r="BU105" s="251">
        <f>'PolyU Score Calculation'!AQ15</f>
        <v>49.000000000279996</v>
      </c>
      <c r="BV105" s="251">
        <f>'PolyU Score Calculation'!AR15</f>
        <v>2.5000000000000002E-10</v>
      </c>
      <c r="BW105" s="251">
        <f>'PolyU Score Calculation'!AS15</f>
        <v>15.0000000003</v>
      </c>
      <c r="BX105" s="251">
        <f>'PolyU Score Calculation'!AT15</f>
        <v>15.000000000349999</v>
      </c>
      <c r="BY105" s="251">
        <f>'PolyU Score Calculation'!AU15</f>
        <v>10.0000000004</v>
      </c>
      <c r="BZ105" s="251" t="b">
        <f>'PolyU Score Calculation'!AV15</f>
        <v>1</v>
      </c>
      <c r="CA105" s="251" t="b">
        <f>'PolyU Score Calculation'!AW15</f>
        <v>1</v>
      </c>
      <c r="CB105" s="251" t="b">
        <f>'PolyU Score Calculation'!AX15</f>
        <v>1</v>
      </c>
      <c r="CC105" s="251" t="b">
        <f>'PolyU Score Calculation'!AY15</f>
        <v>1</v>
      </c>
      <c r="CD105" s="251" t="b">
        <f>'PolyU Score Calculation'!AZ15</f>
        <v>0</v>
      </c>
      <c r="CE105" s="251" t="b">
        <f>'PolyU Score Calculation'!BA15</f>
        <v>0</v>
      </c>
      <c r="CF105" s="251" t="b">
        <f>'PolyU Score Calculation'!BB15</f>
        <v>1</v>
      </c>
      <c r="CG105" s="251" t="b">
        <f>'PolyU Score Calculation'!BC15</f>
        <v>0</v>
      </c>
      <c r="CH105" s="251">
        <f>'PolyU Score Calculation'!BD15</f>
        <v>7</v>
      </c>
      <c r="CI105" s="251">
        <f>'PolyU Score Calculation'!BE15</f>
        <v>10</v>
      </c>
      <c r="CJ105" s="251">
        <f>'PolyU Score Calculation'!BF15</f>
        <v>7</v>
      </c>
      <c r="CK105" s="251">
        <f>'PolyU Score Calculation'!BG15</f>
        <v>7</v>
      </c>
      <c r="CL105" s="251">
        <f>'PolyU Score Calculation'!BH15</f>
        <v>5</v>
      </c>
      <c r="CM105" s="251">
        <f>'PolyU Score Calculation'!BI15</f>
        <v>5</v>
      </c>
      <c r="CN105" s="251">
        <f>'PolyU Score Calculation'!BJ15</f>
        <v>5</v>
      </c>
      <c r="CO105" s="251">
        <f>'PolyU Score Calculation'!BK15</f>
        <v>5</v>
      </c>
      <c r="CP105" s="251">
        <f>'PolyU Score Calculation'!BL15</f>
        <v>3.00000000001</v>
      </c>
      <c r="CQ105" s="251">
        <f>'PolyU Score Calculation'!BM15</f>
        <v>5.50000000002</v>
      </c>
      <c r="CR105" s="251">
        <f>'PolyU Score Calculation'!BN15</f>
        <v>5.50000000003</v>
      </c>
      <c r="CS105" s="251">
        <f>'PolyU Score Calculation'!BO15</f>
        <v>5.50000000004</v>
      </c>
      <c r="CT105" s="251">
        <f>'PolyU Score Calculation'!BP15</f>
        <v>5.0000000000000002E-11</v>
      </c>
      <c r="CU105" s="251">
        <f>'PolyU Score Calculation'!BQ15</f>
        <v>5.50000000006</v>
      </c>
      <c r="CV105" s="251">
        <f>'PolyU Score Calculation'!BR15</f>
        <v>4.00000000007</v>
      </c>
      <c r="CW105" s="251">
        <f>'PolyU Score Calculation'!BS15</f>
        <v>4.00000000008</v>
      </c>
      <c r="CX105" s="251">
        <f>'PolyU Score Calculation'!BT15</f>
        <v>21.000000000069999</v>
      </c>
      <c r="CY105" s="251">
        <f>'PolyU Score Calculation'!BU15</f>
        <v>55.000000000200004</v>
      </c>
      <c r="CZ105" s="251">
        <f>'PolyU Score Calculation'!BV15</f>
        <v>38.500000000210001</v>
      </c>
      <c r="DA105" s="251">
        <f>'PolyU Score Calculation'!BW15</f>
        <v>38.500000000279996</v>
      </c>
      <c r="DB105" s="251">
        <f>'PolyU Score Calculation'!BX15</f>
        <v>2.5000000000000002E-10</v>
      </c>
      <c r="DC105" s="251">
        <f>'PolyU Score Calculation'!BY15</f>
        <v>27.500000000299998</v>
      </c>
      <c r="DD105" s="251">
        <f>'PolyU Score Calculation'!BZ15</f>
        <v>20.000000000349999</v>
      </c>
      <c r="DE105" s="251">
        <f>'PolyU Score Calculation'!CA15</f>
        <v>20.0000000004</v>
      </c>
      <c r="DF105" s="251" t="b">
        <f>'PolyU Score Calculation'!CB15</f>
        <v>1</v>
      </c>
      <c r="DG105" s="251" t="b">
        <f>'PolyU Score Calculation'!CC15</f>
        <v>1</v>
      </c>
      <c r="DH105" s="251" t="b">
        <f>'PolyU Score Calculation'!CD15</f>
        <v>1</v>
      </c>
      <c r="DI105" s="251" t="b">
        <f>'PolyU Score Calculation'!CE15</f>
        <v>1</v>
      </c>
      <c r="DJ105" s="251" t="b">
        <f>'PolyU Score Calculation'!CF15</f>
        <v>0</v>
      </c>
      <c r="DK105" s="251" t="b">
        <f>'PolyU Score Calculation'!CG15</f>
        <v>1</v>
      </c>
      <c r="DL105" s="251" t="b">
        <f>'PolyU Score Calculation'!CH15</f>
        <v>0</v>
      </c>
      <c r="DM105" s="251" t="b">
        <f>'PolyU Score Calculation'!CI15</f>
        <v>0</v>
      </c>
    </row>
    <row r="106" spans="1:117" s="251" customFormat="1" x14ac:dyDescent="0.3">
      <c r="A106" s="251" t="str">
        <f>'PolyU Score Calculation'!A16</f>
        <v>JS3100-3</v>
      </c>
      <c r="B106" s="251" t="s">
        <v>2246</v>
      </c>
      <c r="C106" s="251" t="str">
        <f>IF('PolyU Score Calculation'!B16=0,"",'PolyU Score Calculation'!B16)</f>
        <v/>
      </c>
      <c r="D106" s="251" t="str">
        <f>IF('PolyU Score Calculation'!C16=0,"",'PolyU Score Calculation'!C16)</f>
        <v/>
      </c>
      <c r="E106" s="251" t="str">
        <f>IF('PolyU Score Calculation'!E16=0,"",'PolyU Score Calculation'!E16)</f>
        <v/>
      </c>
      <c r="F106" s="251" t="s">
        <v>1978</v>
      </c>
      <c r="G106" s="251">
        <f>'PolyU Score Calculation'!W16</f>
        <v>159.00000000144999</v>
      </c>
      <c r="H106" s="251">
        <f>'PolyU Score Calculation'!V16</f>
        <v>171.00000000187998</v>
      </c>
      <c r="I106" s="251" t="s">
        <v>3034</v>
      </c>
      <c r="J106" s="251" t="s">
        <v>3035</v>
      </c>
      <c r="K106" s="344" t="s">
        <v>3048</v>
      </c>
      <c r="L106" s="344" t="s">
        <v>1970</v>
      </c>
      <c r="M106" s="344" t="s">
        <v>1970</v>
      </c>
      <c r="N106" s="251" t="str">
        <f>'PolyU Score Calculation'!M16</f>
        <v>JS3791</v>
      </c>
      <c r="O106" s="251" t="str">
        <f>'PolyU Score Calculation'!N16</f>
        <v>建築工程及管理學(榮譽)理學士學位</v>
      </c>
      <c r="P106" s="251" t="str">
        <f>'PolyU Score Calculation'!O16</f>
        <v>Best 5</v>
      </c>
      <c r="Q106" s="251" t="str">
        <f>'PolyU Score Calculation'!P16</f>
        <v>x10: 英文、數學、M1/2、物理、組合科學(物理)</v>
      </c>
      <c r="R106" s="251" t="str">
        <f>'PolyU Score Calculation'!Q16</f>
        <v>x7: 中文、通識</v>
      </c>
      <c r="S106" s="251" t="str">
        <f>'PolyU Score Calculation'!R16</f>
        <v>x5: 其他科目</v>
      </c>
      <c r="T106" s="251" t="str">
        <f>IF('PolyU Score Calculation'!D16=0,"",'PolyU Score Calculation'!D16)</f>
        <v/>
      </c>
      <c r="U106" s="251" t="s">
        <v>2165</v>
      </c>
      <c r="V106" s="251" t="str">
        <f>IF('PolyU Score Calculation'!T16=0,"",'PolyU Score Calculation'!T16)</f>
        <v/>
      </c>
      <c r="W106" s="251">
        <f>'PolyU Score Calculation'!U16</f>
        <v>19.399999999999999</v>
      </c>
      <c r="X106" s="344">
        <f>'A123'!J114</f>
        <v>0</v>
      </c>
      <c r="Y106" s="344" t="str">
        <f>'A123'!K114</f>
        <v>/</v>
      </c>
      <c r="Z106" s="344" t="str">
        <f>'A123'!L114</f>
        <v>新科目</v>
      </c>
      <c r="AB106" s="344" t="str">
        <f>入學要求!X115</f>
        <v>/</v>
      </c>
      <c r="AC106" s="344" t="str">
        <f>入學要求!Y115</f>
        <v>/</v>
      </c>
      <c r="AD106" s="251">
        <f>'PolyU Score Calculation'!E16</f>
        <v>0</v>
      </c>
      <c r="AE106" s="251" t="s">
        <v>1970</v>
      </c>
      <c r="AF106" s="251" t="s">
        <v>1970</v>
      </c>
      <c r="AG106" s="344">
        <f>'PolyU Score Calculation'!I16</f>
        <v>0</v>
      </c>
      <c r="AH106" s="344">
        <f>'PolyU Score Calculation'!J16</f>
        <v>0</v>
      </c>
      <c r="AI106" s="344">
        <f>'PolyU Score Calculation'!K16</f>
        <v>0</v>
      </c>
      <c r="AJ106" s="251" t="s">
        <v>1970</v>
      </c>
      <c r="AK106" s="251" t="s">
        <v>1970</v>
      </c>
      <c r="AL106" s="251" t="s">
        <v>1970</v>
      </c>
      <c r="AM106" s="251" t="s">
        <v>1970</v>
      </c>
      <c r="AN106" s="251" t="str">
        <f t="shared" si="405"/>
        <v>JS3791 建築工程及管理學(榮譽)理學士學位</v>
      </c>
      <c r="AO106" s="251" t="s">
        <v>1970</v>
      </c>
      <c r="AP106" s="251" t="s">
        <v>1970</v>
      </c>
      <c r="AQ106" s="344" t="s">
        <v>1970</v>
      </c>
      <c r="AR106" s="344" t="s">
        <v>2150</v>
      </c>
      <c r="AV106" s="344" t="s">
        <v>3728</v>
      </c>
      <c r="AW106" s="344" t="s">
        <v>3726</v>
      </c>
      <c r="AX106" s="344" t="s">
        <v>3729</v>
      </c>
      <c r="AY106" s="344" t="s">
        <v>3730</v>
      </c>
      <c r="AZ106" s="344" t="s">
        <v>3732</v>
      </c>
      <c r="BA106" s="344" t="s">
        <v>3734</v>
      </c>
      <c r="BB106" s="251">
        <f>'PolyU Score Calculation'!X16</f>
        <v>7</v>
      </c>
      <c r="BC106" s="251">
        <f>'PolyU Score Calculation'!Y16</f>
        <v>10</v>
      </c>
      <c r="BD106" s="251">
        <f>'PolyU Score Calculation'!Z16</f>
        <v>10</v>
      </c>
      <c r="BE106" s="251">
        <f>'PolyU Score Calculation'!AA16</f>
        <v>7</v>
      </c>
      <c r="BF106" s="251">
        <f>'PolyU Score Calculation'!AB16</f>
        <v>10</v>
      </c>
      <c r="BG106" s="251">
        <f>'PolyU Score Calculation'!AC16</f>
        <v>10</v>
      </c>
      <c r="BH106" s="251">
        <f>'PolyU Score Calculation'!AD16</f>
        <v>5</v>
      </c>
      <c r="BI106" s="251">
        <f>'PolyU Score Calculation'!AE16</f>
        <v>5</v>
      </c>
      <c r="BJ106" s="251">
        <f>'PolyU Score Calculation'!AF16</f>
        <v>3.00000000001</v>
      </c>
      <c r="BK106" s="251">
        <f>'PolyU Score Calculation'!AG16</f>
        <v>3.00000000002</v>
      </c>
      <c r="BL106" s="251">
        <f>'PolyU Score Calculation'!AH16</f>
        <v>4.00000000003</v>
      </c>
      <c r="BM106" s="251">
        <f>'PolyU Score Calculation'!AI16</f>
        <v>3.00000000004</v>
      </c>
      <c r="BN106" s="251">
        <f>'PolyU Score Calculation'!AJ16</f>
        <v>4.00000000005</v>
      </c>
      <c r="BO106" s="251">
        <f>'PolyU Score Calculation'!AK16</f>
        <v>4.00000000006</v>
      </c>
      <c r="BP106" s="251">
        <f>'PolyU Score Calculation'!AL16</f>
        <v>3.00000000007</v>
      </c>
      <c r="BQ106" s="251">
        <f>'PolyU Score Calculation'!AM16</f>
        <v>7.9999999999999995E-11</v>
      </c>
      <c r="BR106" s="251">
        <f>'PolyU Score Calculation'!AN16</f>
        <v>21.000000000069999</v>
      </c>
      <c r="BS106" s="251">
        <f>'PolyU Score Calculation'!AO16</f>
        <v>30.0000000002</v>
      </c>
      <c r="BT106" s="251">
        <f>'PolyU Score Calculation'!AP16</f>
        <v>40.000000000299998</v>
      </c>
      <c r="BU106" s="251">
        <f>'PolyU Score Calculation'!AQ16</f>
        <v>21.00000000028</v>
      </c>
      <c r="BV106" s="251">
        <f>'PolyU Score Calculation'!AR16</f>
        <v>40.000000000500002</v>
      </c>
      <c r="BW106" s="251">
        <f>'PolyU Score Calculation'!AS16</f>
        <v>40.000000000599996</v>
      </c>
      <c r="BX106" s="251">
        <f>'PolyU Score Calculation'!AT16</f>
        <v>15.000000000349999</v>
      </c>
      <c r="BY106" s="251">
        <f>'PolyU Score Calculation'!AU16</f>
        <v>3.9999999999999996E-10</v>
      </c>
      <c r="BZ106" s="251" t="b">
        <f>'PolyU Score Calculation'!AV16</f>
        <v>0</v>
      </c>
      <c r="CA106" s="251" t="b">
        <f>'PolyU Score Calculation'!AW16</f>
        <v>1</v>
      </c>
      <c r="CB106" s="251" t="b">
        <f>'PolyU Score Calculation'!AX16</f>
        <v>1</v>
      </c>
      <c r="CC106" s="251" t="b">
        <f>'PolyU Score Calculation'!AY16</f>
        <v>1</v>
      </c>
      <c r="CD106" s="251" t="b">
        <f>'PolyU Score Calculation'!AZ16</f>
        <v>1</v>
      </c>
      <c r="CE106" s="251" t="b">
        <f>'PolyU Score Calculation'!BA16</f>
        <v>1</v>
      </c>
      <c r="CF106" s="251" t="b">
        <f>'PolyU Score Calculation'!BB16</f>
        <v>0</v>
      </c>
      <c r="CG106" s="251" t="b">
        <f>'PolyU Score Calculation'!BC16</f>
        <v>0</v>
      </c>
      <c r="CH106" s="251">
        <f>'PolyU Score Calculation'!BD16</f>
        <v>7</v>
      </c>
      <c r="CI106" s="251">
        <f>'PolyU Score Calculation'!BE16</f>
        <v>10</v>
      </c>
      <c r="CJ106" s="251">
        <f>'PolyU Score Calculation'!BF16</f>
        <v>10</v>
      </c>
      <c r="CK106" s="251">
        <f>'PolyU Score Calculation'!BG16</f>
        <v>7</v>
      </c>
      <c r="CL106" s="251">
        <f>'PolyU Score Calculation'!BH16</f>
        <v>10</v>
      </c>
      <c r="CM106" s="251">
        <f>'PolyU Score Calculation'!BI16</f>
        <v>10</v>
      </c>
      <c r="CN106" s="251">
        <f>'PolyU Score Calculation'!BJ16</f>
        <v>5</v>
      </c>
      <c r="CO106" s="251">
        <f>'PolyU Score Calculation'!BK16</f>
        <v>5</v>
      </c>
      <c r="CP106" s="251">
        <f>'PolyU Score Calculation'!BL16</f>
        <v>3.00000000001</v>
      </c>
      <c r="CQ106" s="251">
        <f>'PolyU Score Calculation'!BM16</f>
        <v>3.00000000002</v>
      </c>
      <c r="CR106" s="251">
        <f>'PolyU Score Calculation'!BN16</f>
        <v>4.00000000003</v>
      </c>
      <c r="CS106" s="251">
        <f>'PolyU Score Calculation'!BO16</f>
        <v>4.00000000004</v>
      </c>
      <c r="CT106" s="251">
        <f>'PolyU Score Calculation'!BP16</f>
        <v>5.0000000000000002E-11</v>
      </c>
      <c r="CU106" s="251">
        <f>'PolyU Score Calculation'!BQ16</f>
        <v>4.00000000006</v>
      </c>
      <c r="CV106" s="251">
        <f>'PolyU Score Calculation'!BR16</f>
        <v>4.00000000007</v>
      </c>
      <c r="CW106" s="251">
        <f>'PolyU Score Calculation'!BS16</f>
        <v>3.00000000008</v>
      </c>
      <c r="CX106" s="251">
        <f>'PolyU Score Calculation'!BT16</f>
        <v>21.000000000069999</v>
      </c>
      <c r="CY106" s="251">
        <f>'PolyU Score Calculation'!BU16</f>
        <v>30.0000000002</v>
      </c>
      <c r="CZ106" s="251">
        <f>'PolyU Score Calculation'!BV16</f>
        <v>40.000000000299998</v>
      </c>
      <c r="DA106" s="251">
        <f>'PolyU Score Calculation'!BW16</f>
        <v>28.00000000028</v>
      </c>
      <c r="DB106" s="251">
        <f>'PolyU Score Calculation'!BX16</f>
        <v>5.0000000000000003E-10</v>
      </c>
      <c r="DC106" s="251">
        <f>'PolyU Score Calculation'!BY16</f>
        <v>40.000000000599996</v>
      </c>
      <c r="DD106" s="251">
        <f>'PolyU Score Calculation'!BZ16</f>
        <v>20.000000000349999</v>
      </c>
      <c r="DE106" s="251">
        <f>'PolyU Score Calculation'!CA16</f>
        <v>15.0000000004</v>
      </c>
      <c r="DF106" s="251" t="b">
        <f>'PolyU Score Calculation'!CB16</f>
        <v>1</v>
      </c>
      <c r="DG106" s="251" t="b">
        <f>'PolyU Score Calculation'!CC16</f>
        <v>1</v>
      </c>
      <c r="DH106" s="251" t="b">
        <f>'PolyU Score Calculation'!CD16</f>
        <v>1</v>
      </c>
      <c r="DI106" s="251" t="b">
        <f>'PolyU Score Calculation'!CE16</f>
        <v>1</v>
      </c>
      <c r="DJ106" s="251" t="b">
        <f>'PolyU Score Calculation'!CF16</f>
        <v>0</v>
      </c>
      <c r="DK106" s="251" t="b">
        <f>'PolyU Score Calculation'!CG16</f>
        <v>1</v>
      </c>
      <c r="DL106" s="251" t="b">
        <f>'PolyU Score Calculation'!CH16</f>
        <v>0</v>
      </c>
      <c r="DM106" s="251" t="b">
        <f>'PolyU Score Calculation'!CI16</f>
        <v>0</v>
      </c>
    </row>
    <row r="107" spans="1:117" s="251" customFormat="1" x14ac:dyDescent="0.3">
      <c r="A107" s="251" t="str">
        <f>'PolyU Score Calculation'!A17</f>
        <v>JS3110</v>
      </c>
      <c r="B107" s="251" t="s">
        <v>2246</v>
      </c>
      <c r="C107" s="251" t="str">
        <f>IF('PolyU Score Calculation'!B17=0,"",'PolyU Score Calculation'!B17)</f>
        <v>建築及環境學院</v>
      </c>
      <c r="D107" s="251" t="str">
        <f>IF('PolyU Score Calculation'!C17=0,"",'PolyU Score Calculation'!C17)</f>
        <v>建築科學及工程學(榮譽)工學士組合課程</v>
      </c>
      <c r="E107" s="251" t="str">
        <f>IF('PolyU Score Calculation'!E17=0,"",'PolyU Score Calculation'!E17)</f>
        <v>Best 5</v>
      </c>
      <c r="F107" s="251" t="s">
        <v>1978</v>
      </c>
      <c r="G107" s="251">
        <f>'PolyU Score Calculation'!W17</f>
        <v>166.00000000145002</v>
      </c>
      <c r="H107" s="251">
        <f>'PolyU Score Calculation'!V17</f>
        <v>159.50000000145002</v>
      </c>
      <c r="I107" s="251" t="s">
        <v>3034</v>
      </c>
      <c r="J107" s="251" t="s">
        <v>3035</v>
      </c>
      <c r="K107" s="344" t="s">
        <v>3048</v>
      </c>
      <c r="L107" s="344" t="s">
        <v>1970</v>
      </c>
      <c r="M107" s="344" t="s">
        <v>1970</v>
      </c>
      <c r="N107" s="251" t="str">
        <f>'PolyU Score Calculation'!M17</f>
        <v>JS3753</v>
      </c>
      <c r="O107" s="251" t="str">
        <f>'PolyU Score Calculation'!N17</f>
        <v>屋宇設備工程學(榮譽)工學士學位</v>
      </c>
      <c r="P107" s="251" t="str">
        <f>'PolyU Score Calculation'!O17</f>
        <v>Best 5</v>
      </c>
      <c r="Q107" s="251" t="str">
        <f>'PolyU Score Calculation'!P17</f>
        <v>x10: 英文、數學、物理、組合科學(物理)</v>
      </c>
      <c r="R107" s="251" t="str">
        <f>'PolyU Score Calculation'!Q17</f>
        <v>x7: 中文、通識</v>
      </c>
      <c r="S107" s="251" t="str">
        <f>'PolyU Score Calculation'!R17</f>
        <v>x5: 其他科目</v>
      </c>
      <c r="T107" s="251" t="str">
        <f>IF('PolyU Score Calculation'!D17=0,"",'PolyU Score Calculation'!D17)</f>
        <v>BLDG SCI &amp; ENGG</v>
      </c>
      <c r="U107" s="251" t="s">
        <v>2165</v>
      </c>
      <c r="V107" s="251">
        <f>IF('PolyU Score Calculation'!T17=0,"",'PolyU Score Calculation'!T17)</f>
        <v>20</v>
      </c>
      <c r="W107" s="251">
        <f>'PolyU Score Calculation'!U17</f>
        <v>20</v>
      </c>
      <c r="X107" s="344">
        <f>'A123'!J115</f>
        <v>35</v>
      </c>
      <c r="Y107" s="344" t="str">
        <f>'A123'!K115</f>
        <v>/</v>
      </c>
      <c r="Z107" s="344" t="str">
        <f>'A123'!L115</f>
        <v>新科目</v>
      </c>
      <c r="AA107" s="251" t="s">
        <v>2165</v>
      </c>
      <c r="AB107" s="344" t="str">
        <f>入學要求!X116</f>
        <v>/</v>
      </c>
      <c r="AC107" s="344" t="str">
        <f>入學要求!Y116</f>
        <v>/</v>
      </c>
      <c r="AD107" s="251" t="str">
        <f>'PolyU Score Calculation'!E17</f>
        <v>Best 5</v>
      </c>
      <c r="AE107" s="251" t="s">
        <v>1970</v>
      </c>
      <c r="AF107" s="251" t="s">
        <v>1970</v>
      </c>
      <c r="AG107" s="344" t="str">
        <f>'PolyU Score Calculation'!I17</f>
        <v>x10: 英文、數學、物理、組合科學(物理)</v>
      </c>
      <c r="AH107" s="344" t="str">
        <f>'PolyU Score Calculation'!J17</f>
        <v>x7: 中文、通識</v>
      </c>
      <c r="AI107" s="344" t="str">
        <f>'PolyU Score Calculation'!K17</f>
        <v>x5: 其他科目</v>
      </c>
      <c r="AJ107" s="251" t="s">
        <v>1970</v>
      </c>
      <c r="AK107" s="251" t="s">
        <v>1970</v>
      </c>
      <c r="AL107" s="251" t="s">
        <v>1970</v>
      </c>
      <c r="AM107" s="251" t="s">
        <v>3043</v>
      </c>
      <c r="AN107" s="251" t="str">
        <f t="shared" si="405"/>
        <v>JS3753 屋宇設備工程學(榮譽)工學士學位</v>
      </c>
      <c r="AO107" s="251" t="s">
        <v>1970</v>
      </c>
      <c r="AP107" s="251" t="s">
        <v>1970</v>
      </c>
      <c r="AQ107" s="344" t="s">
        <v>1970</v>
      </c>
      <c r="AR107" s="344" t="s">
        <v>2150</v>
      </c>
      <c r="AS107" s="251" t="s">
        <v>3610</v>
      </c>
      <c r="AT107" s="251" t="s">
        <v>1970</v>
      </c>
      <c r="AV107" s="344" t="s">
        <v>3728</v>
      </c>
      <c r="AW107" s="344" t="s">
        <v>3726</v>
      </c>
      <c r="AX107" s="344" t="s">
        <v>3729</v>
      </c>
      <c r="AY107" s="344" t="s">
        <v>3730</v>
      </c>
      <c r="AZ107" s="344" t="s">
        <v>3732</v>
      </c>
      <c r="BA107" s="344" t="s">
        <v>3734</v>
      </c>
      <c r="BB107" s="251">
        <f>'PolyU Score Calculation'!X17</f>
        <v>7</v>
      </c>
      <c r="BC107" s="251">
        <f>'PolyU Score Calculation'!Y17</f>
        <v>10</v>
      </c>
      <c r="BD107" s="251">
        <f>'PolyU Score Calculation'!Z17</f>
        <v>10</v>
      </c>
      <c r="BE107" s="251">
        <f>'PolyU Score Calculation'!AA17</f>
        <v>7</v>
      </c>
      <c r="BF107" s="251">
        <f>'PolyU Score Calculation'!AB17</f>
        <v>5</v>
      </c>
      <c r="BG107" s="251">
        <f>'PolyU Score Calculation'!AC17</f>
        <v>10</v>
      </c>
      <c r="BH107" s="251">
        <f>'PolyU Score Calculation'!AD17</f>
        <v>5</v>
      </c>
      <c r="BI107" s="251">
        <f>'PolyU Score Calculation'!AE17</f>
        <v>5</v>
      </c>
      <c r="BJ107" s="251">
        <f>'PolyU Score Calculation'!AF17</f>
        <v>5.50000000001</v>
      </c>
      <c r="BK107" s="251">
        <f>'PolyU Score Calculation'!AG17</f>
        <v>3.00000000002</v>
      </c>
      <c r="BL107" s="251">
        <f>'PolyU Score Calculation'!AH17</f>
        <v>4.00000000003</v>
      </c>
      <c r="BM107" s="251">
        <f>'PolyU Score Calculation'!AI17</f>
        <v>3.00000000004</v>
      </c>
      <c r="BN107" s="251">
        <f>'PolyU Score Calculation'!AJ17</f>
        <v>5.0000000000000002E-11</v>
      </c>
      <c r="BO107" s="251">
        <f>'PolyU Score Calculation'!AK17</f>
        <v>3.00000000006</v>
      </c>
      <c r="BP107" s="251">
        <f>'PolyU Score Calculation'!AL17</f>
        <v>3.00000000007</v>
      </c>
      <c r="BQ107" s="251">
        <f>'PolyU Score Calculation'!AM17</f>
        <v>7.9999999999999995E-11</v>
      </c>
      <c r="BR107" s="251">
        <f>'PolyU Score Calculation'!AN17</f>
        <v>38.500000000070003</v>
      </c>
      <c r="BS107" s="251">
        <f>'PolyU Score Calculation'!AO17</f>
        <v>30.0000000002</v>
      </c>
      <c r="BT107" s="251">
        <f>'PolyU Score Calculation'!AP17</f>
        <v>40.000000000299998</v>
      </c>
      <c r="BU107" s="251">
        <f>'PolyU Score Calculation'!AQ17</f>
        <v>21.00000000028</v>
      </c>
      <c r="BV107" s="251">
        <f>'PolyU Score Calculation'!AR17</f>
        <v>2.5000000000000002E-10</v>
      </c>
      <c r="BW107" s="251">
        <f>'PolyU Score Calculation'!AS17</f>
        <v>30.0000000006</v>
      </c>
      <c r="BX107" s="251">
        <f>'PolyU Score Calculation'!AT17</f>
        <v>15.000000000349999</v>
      </c>
      <c r="BY107" s="251">
        <f>'PolyU Score Calculation'!AU17</f>
        <v>3.9999999999999996E-10</v>
      </c>
      <c r="BZ107" s="251" t="b">
        <f>'PolyU Score Calculation'!AV17</f>
        <v>1</v>
      </c>
      <c r="CA107" s="251" t="b">
        <f>'PolyU Score Calculation'!AW17</f>
        <v>1</v>
      </c>
      <c r="CB107" s="251" t="b">
        <f>'PolyU Score Calculation'!AX17</f>
        <v>1</v>
      </c>
      <c r="CC107" s="251" t="b">
        <f>'PolyU Score Calculation'!AY17</f>
        <v>1</v>
      </c>
      <c r="CD107" s="251" t="b">
        <f>'PolyU Score Calculation'!AZ17</f>
        <v>0</v>
      </c>
      <c r="CE107" s="251" t="b">
        <f>'PolyU Score Calculation'!BA17</f>
        <v>1</v>
      </c>
      <c r="CF107" s="251" t="b">
        <f>'PolyU Score Calculation'!BB17</f>
        <v>0</v>
      </c>
      <c r="CG107" s="251" t="b">
        <f>'PolyU Score Calculation'!BC17</f>
        <v>0</v>
      </c>
      <c r="CH107" s="251">
        <f>'PolyU Score Calculation'!BD17</f>
        <v>7</v>
      </c>
      <c r="CI107" s="251">
        <f>'PolyU Score Calculation'!BE17</f>
        <v>10</v>
      </c>
      <c r="CJ107" s="251">
        <f>'PolyU Score Calculation'!BF17</f>
        <v>10</v>
      </c>
      <c r="CK107" s="251">
        <f>'PolyU Score Calculation'!BG17</f>
        <v>7</v>
      </c>
      <c r="CL107" s="251">
        <f>'PolyU Score Calculation'!BH17</f>
        <v>5</v>
      </c>
      <c r="CM107" s="251">
        <f>'PolyU Score Calculation'!BI17</f>
        <v>10</v>
      </c>
      <c r="CN107" s="251">
        <f>'PolyU Score Calculation'!BJ17</f>
        <v>5</v>
      </c>
      <c r="CO107" s="251">
        <f>'PolyU Score Calculation'!BK17</f>
        <v>5</v>
      </c>
      <c r="CP107" s="251">
        <f>'PolyU Score Calculation'!BL17</f>
        <v>4.00000000001</v>
      </c>
      <c r="CQ107" s="251">
        <f>'PolyU Score Calculation'!BM17</f>
        <v>4.00000000002</v>
      </c>
      <c r="CR107" s="251">
        <f>'PolyU Score Calculation'!BN17</f>
        <v>4.00000000003</v>
      </c>
      <c r="CS107" s="251">
        <f>'PolyU Score Calculation'!BO17</f>
        <v>4.00000000004</v>
      </c>
      <c r="CT107" s="251">
        <f>'PolyU Score Calculation'!BP17</f>
        <v>4.00000000005</v>
      </c>
      <c r="CU107" s="251">
        <f>'PolyU Score Calculation'!BQ17</f>
        <v>3.00000000006</v>
      </c>
      <c r="CV107" s="251">
        <f>'PolyU Score Calculation'!BR17</f>
        <v>7.0000000000000004E-11</v>
      </c>
      <c r="CW107" s="251">
        <f>'PolyU Score Calculation'!BS17</f>
        <v>7.9999999999999995E-11</v>
      </c>
      <c r="CX107" s="251">
        <f>'PolyU Score Calculation'!BT17</f>
        <v>28.000000000069999</v>
      </c>
      <c r="CY107" s="251">
        <f>'PolyU Score Calculation'!BU17</f>
        <v>40.000000000200004</v>
      </c>
      <c r="CZ107" s="251">
        <f>'PolyU Score Calculation'!BV17</f>
        <v>40.000000000299998</v>
      </c>
      <c r="DA107" s="251">
        <f>'PolyU Score Calculation'!BW17</f>
        <v>28.00000000028</v>
      </c>
      <c r="DB107" s="251">
        <f>'PolyU Score Calculation'!BX17</f>
        <v>20.000000000250001</v>
      </c>
      <c r="DC107" s="251">
        <f>'PolyU Score Calculation'!BY17</f>
        <v>30.0000000006</v>
      </c>
      <c r="DD107" s="251">
        <f>'PolyU Score Calculation'!BZ17</f>
        <v>3.5000000000000003E-10</v>
      </c>
      <c r="DE107" s="251">
        <f>'PolyU Score Calculation'!CA17</f>
        <v>3.9999999999999996E-10</v>
      </c>
      <c r="DF107" s="251" t="b">
        <f>'PolyU Score Calculation'!CB17</f>
        <v>1</v>
      </c>
      <c r="DG107" s="251" t="b">
        <f>'PolyU Score Calculation'!CC17</f>
        <v>1</v>
      </c>
      <c r="DH107" s="251" t="b">
        <f>'PolyU Score Calculation'!CD17</f>
        <v>1</v>
      </c>
      <c r="DI107" s="251" t="b">
        <f>'PolyU Score Calculation'!CE17</f>
        <v>1</v>
      </c>
      <c r="DJ107" s="251" t="b">
        <f>'PolyU Score Calculation'!CF17</f>
        <v>0</v>
      </c>
      <c r="DK107" s="251" t="b">
        <f>'PolyU Score Calculation'!CG17</f>
        <v>1</v>
      </c>
      <c r="DL107" s="251" t="b">
        <f>'PolyU Score Calculation'!CH17</f>
        <v>0</v>
      </c>
      <c r="DM107" s="251" t="b">
        <f>'PolyU Score Calculation'!CI17</f>
        <v>0</v>
      </c>
    </row>
    <row r="108" spans="1:117" s="251" customFormat="1" x14ac:dyDescent="0.3">
      <c r="A108" s="251" t="str">
        <f>'PolyU Score Calculation'!A18</f>
        <v>JS3120</v>
      </c>
      <c r="B108" s="251" t="s">
        <v>2246</v>
      </c>
      <c r="C108" s="251" t="str">
        <f>IF('PolyU Score Calculation'!B18=0,"",'PolyU Score Calculation'!B18)</f>
        <v>建築及環境學院</v>
      </c>
      <c r="D108" s="251" t="str">
        <f>IF('PolyU Score Calculation'!C18=0,"",'PolyU Score Calculation'!C18)</f>
        <v>土木工程及可持續發展學(榮譽)工學士組合課程</v>
      </c>
      <c r="E108" s="251" t="str">
        <f>IF('PolyU Score Calculation'!E18=0,"",'PolyU Score Calculation'!E18)</f>
        <v>Best 5</v>
      </c>
      <c r="F108" s="251" t="s">
        <v>1978</v>
      </c>
      <c r="G108" s="251">
        <f>'PolyU Score Calculation'!W18</f>
        <v>195.00000000279999</v>
      </c>
      <c r="H108" s="251">
        <f>'PolyU Score Calculation'!V18</f>
        <v>195.00000000219998</v>
      </c>
      <c r="I108" s="251" t="s">
        <v>3034</v>
      </c>
      <c r="J108" s="251" t="s">
        <v>3035</v>
      </c>
      <c r="K108" s="344" t="s">
        <v>3048</v>
      </c>
      <c r="L108" s="344" t="s">
        <v>1970</v>
      </c>
      <c r="M108" s="344" t="s">
        <v>1970</v>
      </c>
      <c r="N108" s="251" t="str">
        <f>'PolyU Score Calculation'!M18</f>
        <v>JS3375</v>
      </c>
      <c r="O108" s="251" t="str">
        <f>'PolyU Score Calculation'!N18</f>
        <v>環境工程與可持續發展學(榮譽)工學士學位</v>
      </c>
      <c r="P108" s="251" t="str">
        <f>'PolyU Score Calculation'!O18</f>
        <v>Best 5</v>
      </c>
      <c r="Q108" s="251" t="str">
        <f>'PolyU Score Calculation'!P18</f>
        <v>x10: 中文、英文、數學、M1/2、通識、生物、化學、物理、組合科學、經濟、地理、綜合科學</v>
      </c>
      <c r="R108" s="251" t="str">
        <f>'PolyU Score Calculation'!Q18</f>
        <v>/</v>
      </c>
      <c r="S108" s="251" t="str">
        <f>'PolyU Score Calculation'!R18</f>
        <v>x5: 其他科目</v>
      </c>
      <c r="T108" s="251" t="str">
        <f>IF('PolyU Score Calculation'!D18=0,"",'PolyU Score Calculation'!D18)</f>
        <v>CIVIL ENGG &amp; SUS DEVELOP</v>
      </c>
      <c r="U108" s="251" t="s">
        <v>2165</v>
      </c>
      <c r="V108" s="251">
        <f>IF('PolyU Score Calculation'!T18=0,"",'PolyU Score Calculation'!T18)</f>
        <v>20.5</v>
      </c>
      <c r="W108" s="251">
        <f>'PolyU Score Calculation'!U18</f>
        <v>20.2</v>
      </c>
      <c r="X108" s="344">
        <f>'A123'!J116</f>
        <v>128</v>
      </c>
      <c r="Y108" s="344" t="str">
        <f>'A123'!K116</f>
        <v>/</v>
      </c>
      <c r="Z108" s="344" t="str">
        <f>'A123'!L116</f>
        <v>新科目</v>
      </c>
      <c r="AA108" s="251" t="s">
        <v>2165</v>
      </c>
      <c r="AB108" s="344" t="str">
        <f>入學要求!X117</f>
        <v>/</v>
      </c>
      <c r="AC108" s="344" t="str">
        <f>入學要求!Y117</f>
        <v>/</v>
      </c>
      <c r="AD108" s="251" t="str">
        <f>'PolyU Score Calculation'!E18</f>
        <v>Best 5</v>
      </c>
      <c r="AE108" s="251" t="s">
        <v>1970</v>
      </c>
      <c r="AF108" s="251" t="s">
        <v>1970</v>
      </c>
      <c r="AG108" s="344" t="str">
        <f>'PolyU Score Calculation'!I18</f>
        <v>x10: 中文、英文、數學、M1/2、生物、化學、物理、組合科學、經濟、地理、綜合科學</v>
      </c>
      <c r="AH108" s="344" t="str">
        <f>'PolyU Score Calculation'!J18</f>
        <v>x7: 通識</v>
      </c>
      <c r="AI108" s="344" t="str">
        <f>'PolyU Score Calculation'!K18</f>
        <v>x5: 其他科目</v>
      </c>
      <c r="AJ108" s="251" t="s">
        <v>1970</v>
      </c>
      <c r="AK108" s="251" t="s">
        <v>1970</v>
      </c>
      <c r="AL108" s="251" t="s">
        <v>1970</v>
      </c>
      <c r="AM108" s="251" t="s">
        <v>3043</v>
      </c>
      <c r="AN108" s="251" t="str">
        <f t="shared" si="405"/>
        <v>JS3375 環境工程與可持續發展學(榮譽)工學士學位</v>
      </c>
      <c r="AO108" s="251" t="str">
        <f>AN109</f>
        <v>JS3739 土木工程學(榮譽)工學士學位</v>
      </c>
      <c r="AP108" s="251" t="str">
        <f>AN110</f>
        <v>JS3777 結構及消防安全工程學(榮譽)工學士學位</v>
      </c>
      <c r="AQ108" s="344" t="s">
        <v>1970</v>
      </c>
      <c r="AR108" s="344" t="s">
        <v>2150</v>
      </c>
      <c r="AS108" s="251" t="s">
        <v>3610</v>
      </c>
      <c r="AT108" s="251" t="s">
        <v>1970</v>
      </c>
      <c r="AV108" s="344" t="s">
        <v>3728</v>
      </c>
      <c r="AW108" s="344" t="s">
        <v>3726</v>
      </c>
      <c r="AX108" s="344" t="s">
        <v>3729</v>
      </c>
      <c r="AY108" s="344" t="s">
        <v>3730</v>
      </c>
      <c r="AZ108" s="344" t="s">
        <v>3732</v>
      </c>
      <c r="BA108" s="344" t="s">
        <v>3734</v>
      </c>
      <c r="BB108" s="251">
        <f>'PolyU Score Calculation'!X18</f>
        <v>10</v>
      </c>
      <c r="BC108" s="251">
        <f>'PolyU Score Calculation'!Y18</f>
        <v>10</v>
      </c>
      <c r="BD108" s="251">
        <f>'PolyU Score Calculation'!Z18</f>
        <v>10</v>
      </c>
      <c r="BE108" s="251">
        <f>'PolyU Score Calculation'!AA18</f>
        <v>10</v>
      </c>
      <c r="BF108" s="251">
        <f>'PolyU Score Calculation'!AB18</f>
        <v>10</v>
      </c>
      <c r="BG108" s="251">
        <f>'PolyU Score Calculation'!AC18</f>
        <v>10</v>
      </c>
      <c r="BH108" s="251">
        <f>'PolyU Score Calculation'!AD18</f>
        <v>10</v>
      </c>
      <c r="BI108" s="251">
        <f>'PolyU Score Calculation'!AE18</f>
        <v>10</v>
      </c>
      <c r="BJ108" s="251">
        <f>'PolyU Score Calculation'!AF18</f>
        <v>3.00000000001</v>
      </c>
      <c r="BK108" s="251">
        <f>'PolyU Score Calculation'!AG18</f>
        <v>5.50000000002</v>
      </c>
      <c r="BL108" s="251">
        <f>'PolyU Score Calculation'!AH18</f>
        <v>4.00000000003</v>
      </c>
      <c r="BM108" s="251">
        <f>'PolyU Score Calculation'!AI18</f>
        <v>3.00000000004</v>
      </c>
      <c r="BN108" s="251">
        <f>'PolyU Score Calculation'!AJ18</f>
        <v>5.0000000000000002E-11</v>
      </c>
      <c r="BO108" s="251">
        <f>'PolyU Score Calculation'!AK18</f>
        <v>4.00000000006</v>
      </c>
      <c r="BP108" s="251">
        <f>'PolyU Score Calculation'!AL18</f>
        <v>3.00000000007</v>
      </c>
      <c r="BQ108" s="251">
        <f>'PolyU Score Calculation'!AM18</f>
        <v>7.9999999999999995E-11</v>
      </c>
      <c r="BR108" s="251">
        <f>'PolyU Score Calculation'!AN18</f>
        <v>30.000000000100002</v>
      </c>
      <c r="BS108" s="251">
        <f>'PolyU Score Calculation'!AO18</f>
        <v>55.000000000200004</v>
      </c>
      <c r="BT108" s="251">
        <f>'PolyU Score Calculation'!AP18</f>
        <v>40.000000000299998</v>
      </c>
      <c r="BU108" s="251">
        <f>'PolyU Score Calculation'!AQ18</f>
        <v>30.0000000004</v>
      </c>
      <c r="BV108" s="251">
        <f>'PolyU Score Calculation'!AR18</f>
        <v>5.0000000000000003E-10</v>
      </c>
      <c r="BW108" s="251">
        <f>'PolyU Score Calculation'!AS18</f>
        <v>40.000000000599996</v>
      </c>
      <c r="BX108" s="251">
        <f>'PolyU Score Calculation'!AT18</f>
        <v>30.000000000699998</v>
      </c>
      <c r="BY108" s="251">
        <f>'PolyU Score Calculation'!AU18</f>
        <v>7.9999999999999993E-10</v>
      </c>
      <c r="BZ108" s="251" t="b">
        <f>'PolyU Score Calculation'!AV18</f>
        <v>0</v>
      </c>
      <c r="CA108" s="251" t="b">
        <f>'PolyU Score Calculation'!AW18</f>
        <v>1</v>
      </c>
      <c r="CB108" s="251" t="b">
        <f>'PolyU Score Calculation'!AX18</f>
        <v>1</v>
      </c>
      <c r="CC108" s="251" t="b">
        <f>'PolyU Score Calculation'!AY18</f>
        <v>1</v>
      </c>
      <c r="CD108" s="251" t="b">
        <f>'PolyU Score Calculation'!AZ18</f>
        <v>0</v>
      </c>
      <c r="CE108" s="251" t="b">
        <f>'PolyU Score Calculation'!BA18</f>
        <v>1</v>
      </c>
      <c r="CF108" s="251" t="b">
        <f>'PolyU Score Calculation'!BB18</f>
        <v>1</v>
      </c>
      <c r="CG108" s="251" t="b">
        <f>'PolyU Score Calculation'!BC18</f>
        <v>0</v>
      </c>
      <c r="CH108" s="251">
        <f>'PolyU Score Calculation'!BD18</f>
        <v>10</v>
      </c>
      <c r="CI108" s="251">
        <f>'PolyU Score Calculation'!BE18</f>
        <v>10</v>
      </c>
      <c r="CJ108" s="251">
        <f>'PolyU Score Calculation'!BF18</f>
        <v>10</v>
      </c>
      <c r="CK108" s="251">
        <f>'PolyU Score Calculation'!BG18</f>
        <v>10</v>
      </c>
      <c r="CL108" s="251">
        <f>'PolyU Score Calculation'!BH18</f>
        <v>10</v>
      </c>
      <c r="CM108" s="251">
        <f>'PolyU Score Calculation'!BI18</f>
        <v>10</v>
      </c>
      <c r="CN108" s="251">
        <f>'PolyU Score Calculation'!BJ18</f>
        <v>10</v>
      </c>
      <c r="CO108" s="251">
        <f>'PolyU Score Calculation'!BK18</f>
        <v>10</v>
      </c>
      <c r="CP108" s="251">
        <f>'PolyU Score Calculation'!BL18</f>
        <v>3.00000000001</v>
      </c>
      <c r="CQ108" s="251">
        <f>'PolyU Score Calculation'!BM18</f>
        <v>3.00000000002</v>
      </c>
      <c r="CR108" s="251">
        <f>'PolyU Score Calculation'!BN18</f>
        <v>3.00000000003</v>
      </c>
      <c r="CS108" s="251">
        <f>'PolyU Score Calculation'!BO18</f>
        <v>5.50000000004</v>
      </c>
      <c r="CT108" s="251">
        <f>'PolyU Score Calculation'!BP18</f>
        <v>5.0000000000000002E-11</v>
      </c>
      <c r="CU108" s="251">
        <f>'PolyU Score Calculation'!BQ18</f>
        <v>4.00000000006</v>
      </c>
      <c r="CV108" s="251">
        <f>'PolyU Score Calculation'!BR18</f>
        <v>4.00000000007</v>
      </c>
      <c r="CW108" s="251">
        <f>'PolyU Score Calculation'!BS18</f>
        <v>3.00000000008</v>
      </c>
      <c r="CX108" s="251">
        <f>'PolyU Score Calculation'!BT18</f>
        <v>30.000000000100002</v>
      </c>
      <c r="CY108" s="251">
        <f>'PolyU Score Calculation'!BU18</f>
        <v>30.0000000002</v>
      </c>
      <c r="CZ108" s="251">
        <f>'PolyU Score Calculation'!BV18</f>
        <v>30.000000000299998</v>
      </c>
      <c r="DA108" s="251">
        <f>'PolyU Score Calculation'!BW18</f>
        <v>55.0000000004</v>
      </c>
      <c r="DB108" s="251">
        <f>'PolyU Score Calculation'!BX18</f>
        <v>5.0000000000000003E-10</v>
      </c>
      <c r="DC108" s="251">
        <f>'PolyU Score Calculation'!BY18</f>
        <v>40.000000000599996</v>
      </c>
      <c r="DD108" s="251">
        <f>'PolyU Score Calculation'!BZ18</f>
        <v>40.000000000699998</v>
      </c>
      <c r="DE108" s="251">
        <f>'PolyU Score Calculation'!CA18</f>
        <v>30.0000000008</v>
      </c>
      <c r="DF108" s="251" t="b">
        <f>'PolyU Score Calculation'!CB18</f>
        <v>0</v>
      </c>
      <c r="DG108" s="251" t="b">
        <f>'PolyU Score Calculation'!CC18</f>
        <v>0</v>
      </c>
      <c r="DH108" s="251" t="b">
        <f>'PolyU Score Calculation'!CD18</f>
        <v>1</v>
      </c>
      <c r="DI108" s="251" t="b">
        <f>'PolyU Score Calculation'!CE18</f>
        <v>1</v>
      </c>
      <c r="DJ108" s="251" t="b">
        <f>'PolyU Score Calculation'!CF18</f>
        <v>0</v>
      </c>
      <c r="DK108" s="251" t="b">
        <f>'PolyU Score Calculation'!CG18</f>
        <v>1</v>
      </c>
      <c r="DL108" s="251" t="b">
        <f>'PolyU Score Calculation'!CH18</f>
        <v>1</v>
      </c>
      <c r="DM108" s="251" t="b">
        <f>'PolyU Score Calculation'!CI18</f>
        <v>1</v>
      </c>
    </row>
    <row r="109" spans="1:117" s="251" customFormat="1" x14ac:dyDescent="0.3">
      <c r="A109" s="251" t="str">
        <f>'PolyU Score Calculation'!A19</f>
        <v>JS3120-2</v>
      </c>
      <c r="B109" s="251" t="s">
        <v>2246</v>
      </c>
      <c r="C109" s="251" t="str">
        <f>IF('PolyU Score Calculation'!B19=0,"",'PolyU Score Calculation'!B19)</f>
        <v/>
      </c>
      <c r="D109" s="251" t="str">
        <f>IF('PolyU Score Calculation'!C19=0,"",'PolyU Score Calculation'!C19)</f>
        <v/>
      </c>
      <c r="E109" s="251" t="str">
        <f>IF('PolyU Score Calculation'!E19=0,"",'PolyU Score Calculation'!E19)</f>
        <v/>
      </c>
      <c r="F109" s="251" t="s">
        <v>1978</v>
      </c>
      <c r="G109" s="251">
        <f>'PolyU Score Calculation'!W19</f>
        <v>186.50000000144996</v>
      </c>
      <c r="H109" s="251">
        <f>'PolyU Score Calculation'!V19</f>
        <v>178.00000000187998</v>
      </c>
      <c r="I109" s="251" t="s">
        <v>3034</v>
      </c>
      <c r="J109" s="251" t="s">
        <v>3035</v>
      </c>
      <c r="K109" s="344" t="s">
        <v>3048</v>
      </c>
      <c r="L109" s="344" t="s">
        <v>1970</v>
      </c>
      <c r="M109" s="344" t="s">
        <v>1970</v>
      </c>
      <c r="N109" s="251" t="str">
        <f>'PolyU Score Calculation'!M19</f>
        <v>JS3739</v>
      </c>
      <c r="O109" s="251" t="str">
        <f>'PolyU Score Calculation'!N19</f>
        <v>土木工程學(榮譽)工學士學位</v>
      </c>
      <c r="P109" s="251" t="str">
        <f>'PolyU Score Calculation'!O19</f>
        <v>Best 5</v>
      </c>
      <c r="Q109" s="251" t="str">
        <f>'PolyU Score Calculation'!P19</f>
        <v>x10: 英文、數學、M1/2、物理、組合科學(物理)</v>
      </c>
      <c r="R109" s="251" t="str">
        <f>'PolyU Score Calculation'!Q19</f>
        <v>x7: 中文、通識</v>
      </c>
      <c r="S109" s="251" t="str">
        <f>'PolyU Score Calculation'!R19</f>
        <v>x5: 其他科目</v>
      </c>
      <c r="T109" s="251" t="str">
        <f>IF('PolyU Score Calculation'!D19=0,"",'PolyU Score Calculation'!D19)</f>
        <v/>
      </c>
      <c r="U109" s="251" t="s">
        <v>2165</v>
      </c>
      <c r="V109" s="251" t="str">
        <f>IF('PolyU Score Calculation'!T19=0,"",'PolyU Score Calculation'!T19)</f>
        <v/>
      </c>
      <c r="W109" s="251">
        <f>'PolyU Score Calculation'!U19</f>
        <v>21.7</v>
      </c>
      <c r="X109" s="344">
        <f>'A123'!J117</f>
        <v>0</v>
      </c>
      <c r="Y109" s="344" t="str">
        <f>'A123'!K117</f>
        <v>/</v>
      </c>
      <c r="Z109" s="344" t="str">
        <f>'A123'!L117</f>
        <v>新科目</v>
      </c>
      <c r="AB109" s="344" t="str">
        <f>入學要求!X118</f>
        <v>/</v>
      </c>
      <c r="AC109" s="344" t="str">
        <f>入學要求!Y118</f>
        <v>/</v>
      </c>
      <c r="AD109" s="251">
        <f>'PolyU Score Calculation'!E19</f>
        <v>0</v>
      </c>
      <c r="AE109" s="251" t="s">
        <v>1970</v>
      </c>
      <c r="AF109" s="251" t="s">
        <v>1970</v>
      </c>
      <c r="AG109" s="344">
        <f>'PolyU Score Calculation'!I19</f>
        <v>0</v>
      </c>
      <c r="AH109" s="344">
        <f>'PolyU Score Calculation'!J19</f>
        <v>0</v>
      </c>
      <c r="AI109" s="344">
        <f>'PolyU Score Calculation'!K19</f>
        <v>0</v>
      </c>
      <c r="AJ109" s="251" t="s">
        <v>1970</v>
      </c>
      <c r="AK109" s="251" t="s">
        <v>1970</v>
      </c>
      <c r="AL109" s="251" t="s">
        <v>1970</v>
      </c>
      <c r="AM109" s="251" t="s">
        <v>1970</v>
      </c>
      <c r="AN109" s="251" t="str">
        <f t="shared" si="405"/>
        <v>JS3739 土木工程學(榮譽)工學士學位</v>
      </c>
      <c r="AO109" s="251" t="s">
        <v>1970</v>
      </c>
      <c r="AP109" s="251" t="s">
        <v>1970</v>
      </c>
      <c r="AQ109" s="344" t="s">
        <v>1970</v>
      </c>
      <c r="AR109" s="344" t="s">
        <v>2150</v>
      </c>
      <c r="AV109" s="344" t="s">
        <v>3728</v>
      </c>
      <c r="AW109" s="344" t="s">
        <v>3726</v>
      </c>
      <c r="AX109" s="344" t="s">
        <v>3729</v>
      </c>
      <c r="AY109" s="344" t="s">
        <v>3730</v>
      </c>
      <c r="AZ109" s="344" t="s">
        <v>3732</v>
      </c>
      <c r="BA109" s="344" t="s">
        <v>3734</v>
      </c>
      <c r="BB109" s="251">
        <f>'PolyU Score Calculation'!X19</f>
        <v>7</v>
      </c>
      <c r="BC109" s="251">
        <f>'PolyU Score Calculation'!Y19</f>
        <v>10</v>
      </c>
      <c r="BD109" s="251">
        <f>'PolyU Score Calculation'!Z19</f>
        <v>10</v>
      </c>
      <c r="BE109" s="251">
        <f>'PolyU Score Calculation'!AA19</f>
        <v>7</v>
      </c>
      <c r="BF109" s="251">
        <f>'PolyU Score Calculation'!AB19</f>
        <v>10</v>
      </c>
      <c r="BG109" s="251">
        <f>'PolyU Score Calculation'!AC19</f>
        <v>10</v>
      </c>
      <c r="BH109" s="251">
        <f>'PolyU Score Calculation'!AD19</f>
        <v>5</v>
      </c>
      <c r="BI109" s="251">
        <f>'PolyU Score Calculation'!AE19</f>
        <v>5</v>
      </c>
      <c r="BJ109" s="251">
        <f>'PolyU Score Calculation'!AF19</f>
        <v>3.00000000001</v>
      </c>
      <c r="BK109" s="251">
        <f>'PolyU Score Calculation'!AG19</f>
        <v>4.00000000002</v>
      </c>
      <c r="BL109" s="251">
        <f>'PolyU Score Calculation'!AH19</f>
        <v>4.00000000003</v>
      </c>
      <c r="BM109" s="251">
        <f>'PolyU Score Calculation'!AI19</f>
        <v>4.00000000004</v>
      </c>
      <c r="BN109" s="251">
        <f>'PolyU Score Calculation'!AJ19</f>
        <v>3.00000000005</v>
      </c>
      <c r="BO109" s="251">
        <f>'PolyU Score Calculation'!AK19</f>
        <v>4.00000000006</v>
      </c>
      <c r="BP109" s="251">
        <f>'PolyU Score Calculation'!AL19</f>
        <v>4.00000000007</v>
      </c>
      <c r="BQ109" s="251">
        <f>'PolyU Score Calculation'!AM19</f>
        <v>7.9999999999999995E-11</v>
      </c>
      <c r="BR109" s="251">
        <f>'PolyU Score Calculation'!AN19</f>
        <v>21.000000000069999</v>
      </c>
      <c r="BS109" s="251">
        <f>'PolyU Score Calculation'!AO19</f>
        <v>40.000000000200004</v>
      </c>
      <c r="BT109" s="251">
        <f>'PolyU Score Calculation'!AP19</f>
        <v>40.000000000299998</v>
      </c>
      <c r="BU109" s="251">
        <f>'PolyU Score Calculation'!AQ19</f>
        <v>28.00000000028</v>
      </c>
      <c r="BV109" s="251">
        <f>'PolyU Score Calculation'!AR19</f>
        <v>30.000000000500002</v>
      </c>
      <c r="BW109" s="251">
        <f>'PolyU Score Calculation'!AS19</f>
        <v>40.000000000599996</v>
      </c>
      <c r="BX109" s="251">
        <f>'PolyU Score Calculation'!AT19</f>
        <v>20.000000000349999</v>
      </c>
      <c r="BY109" s="251">
        <f>'PolyU Score Calculation'!AU19</f>
        <v>3.9999999999999996E-10</v>
      </c>
      <c r="BZ109" s="251" t="b">
        <f>'PolyU Score Calculation'!AV19</f>
        <v>0</v>
      </c>
      <c r="CA109" s="251" t="b">
        <f>'PolyU Score Calculation'!AW19</f>
        <v>1</v>
      </c>
      <c r="CB109" s="251" t="b">
        <f>'PolyU Score Calculation'!AX19</f>
        <v>1</v>
      </c>
      <c r="CC109" s="251" t="b">
        <f>'PolyU Score Calculation'!AY19</f>
        <v>1</v>
      </c>
      <c r="CD109" s="251" t="b">
        <f>'PolyU Score Calculation'!AZ19</f>
        <v>1</v>
      </c>
      <c r="CE109" s="251" t="b">
        <f>'PolyU Score Calculation'!BA19</f>
        <v>1</v>
      </c>
      <c r="CF109" s="251" t="b">
        <f>'PolyU Score Calculation'!BB19</f>
        <v>0</v>
      </c>
      <c r="CG109" s="251" t="b">
        <f>'PolyU Score Calculation'!BC19</f>
        <v>0</v>
      </c>
      <c r="CH109" s="251">
        <f>'PolyU Score Calculation'!BD19</f>
        <v>7</v>
      </c>
      <c r="CI109" s="251">
        <f>'PolyU Score Calculation'!BE19</f>
        <v>10</v>
      </c>
      <c r="CJ109" s="251">
        <f>'PolyU Score Calculation'!BF19</f>
        <v>10</v>
      </c>
      <c r="CK109" s="251">
        <f>'PolyU Score Calculation'!BG19</f>
        <v>7</v>
      </c>
      <c r="CL109" s="251">
        <f>'PolyU Score Calculation'!BH19</f>
        <v>10</v>
      </c>
      <c r="CM109" s="251">
        <f>'PolyU Score Calculation'!BI19</f>
        <v>10</v>
      </c>
      <c r="CN109" s="251">
        <f>'PolyU Score Calculation'!BJ19</f>
        <v>5</v>
      </c>
      <c r="CO109" s="251">
        <f>'PolyU Score Calculation'!BK19</f>
        <v>5</v>
      </c>
      <c r="CP109" s="251">
        <f>'PolyU Score Calculation'!BL19</f>
        <v>4.00000000001</v>
      </c>
      <c r="CQ109" s="251">
        <f>'PolyU Score Calculation'!BM19</f>
        <v>4.00000000002</v>
      </c>
      <c r="CR109" s="251">
        <f>'PolyU Score Calculation'!BN19</f>
        <v>4.00000000003</v>
      </c>
      <c r="CS109" s="251">
        <f>'PolyU Score Calculation'!BO19</f>
        <v>5.50000000004</v>
      </c>
      <c r="CT109" s="251">
        <f>'PolyU Score Calculation'!BP19</f>
        <v>5.0000000000000002E-11</v>
      </c>
      <c r="CU109" s="251">
        <f>'PolyU Score Calculation'!BQ19</f>
        <v>4.00000000006</v>
      </c>
      <c r="CV109" s="251">
        <f>'PolyU Score Calculation'!BR19</f>
        <v>4.00000000007</v>
      </c>
      <c r="CW109" s="251">
        <f>'PolyU Score Calculation'!BS19</f>
        <v>7.9999999999999995E-11</v>
      </c>
      <c r="CX109" s="251">
        <f>'PolyU Score Calculation'!BT19</f>
        <v>28.000000000069999</v>
      </c>
      <c r="CY109" s="251">
        <f>'PolyU Score Calculation'!BU19</f>
        <v>40.000000000200004</v>
      </c>
      <c r="CZ109" s="251">
        <f>'PolyU Score Calculation'!BV19</f>
        <v>40.000000000299998</v>
      </c>
      <c r="DA109" s="251">
        <f>'PolyU Score Calculation'!BW19</f>
        <v>38.500000000279996</v>
      </c>
      <c r="DB109" s="251">
        <f>'PolyU Score Calculation'!BX19</f>
        <v>5.0000000000000003E-10</v>
      </c>
      <c r="DC109" s="251">
        <f>'PolyU Score Calculation'!BY19</f>
        <v>40.000000000599996</v>
      </c>
      <c r="DD109" s="251">
        <f>'PolyU Score Calculation'!BZ19</f>
        <v>20.000000000349999</v>
      </c>
      <c r="DE109" s="251">
        <f>'PolyU Score Calculation'!CA19</f>
        <v>3.9999999999999996E-10</v>
      </c>
      <c r="DF109" s="251" t="b">
        <f>'PolyU Score Calculation'!CB19</f>
        <v>1</v>
      </c>
      <c r="DG109" s="251" t="b">
        <f>'PolyU Score Calculation'!CC19</f>
        <v>1</v>
      </c>
      <c r="DH109" s="251" t="b">
        <f>'PolyU Score Calculation'!CD19</f>
        <v>1</v>
      </c>
      <c r="DI109" s="251" t="b">
        <f>'PolyU Score Calculation'!CE19</f>
        <v>1</v>
      </c>
      <c r="DJ109" s="251" t="b">
        <f>'PolyU Score Calculation'!CF19</f>
        <v>0</v>
      </c>
      <c r="DK109" s="251" t="b">
        <f>'PolyU Score Calculation'!CG19</f>
        <v>1</v>
      </c>
      <c r="DL109" s="251" t="b">
        <f>'PolyU Score Calculation'!CH19</f>
        <v>0</v>
      </c>
      <c r="DM109" s="251" t="b">
        <f>'PolyU Score Calculation'!CI19</f>
        <v>0</v>
      </c>
    </row>
    <row r="110" spans="1:117" s="251" customFormat="1" x14ac:dyDescent="0.3">
      <c r="A110" s="251" t="str">
        <f>'PolyU Score Calculation'!A20</f>
        <v>JS3120-3</v>
      </c>
      <c r="B110" s="251" t="s">
        <v>2246</v>
      </c>
      <c r="C110" s="251" t="str">
        <f>IF('PolyU Score Calculation'!B20=0,"",'PolyU Score Calculation'!B20)</f>
        <v/>
      </c>
      <c r="D110" s="251" t="str">
        <f>IF('PolyU Score Calculation'!C20=0,"",'PolyU Score Calculation'!C20)</f>
        <v/>
      </c>
      <c r="E110" s="251" t="str">
        <f>IF('PolyU Score Calculation'!E20=0,"",'PolyU Score Calculation'!E20)</f>
        <v/>
      </c>
      <c r="F110" s="251" t="s">
        <v>1978</v>
      </c>
      <c r="G110" s="251">
        <f>'PolyU Score Calculation'!W20</f>
        <v>157.00000000144999</v>
      </c>
      <c r="H110" s="251">
        <f>'PolyU Score Calculation'!V20</f>
        <v>151.00000000188001</v>
      </c>
      <c r="I110" s="251" t="s">
        <v>3034</v>
      </c>
      <c r="J110" s="251" t="s">
        <v>3035</v>
      </c>
      <c r="K110" s="344" t="s">
        <v>3048</v>
      </c>
      <c r="L110" s="344" t="s">
        <v>1970</v>
      </c>
      <c r="M110" s="344" t="s">
        <v>1970</v>
      </c>
      <c r="N110" s="251" t="str">
        <f>'PolyU Score Calculation'!M20</f>
        <v>JS3777</v>
      </c>
      <c r="O110" s="251" t="str">
        <f>'PolyU Score Calculation'!N20</f>
        <v>結構及消防安全工程學(榮譽)工學士學位</v>
      </c>
      <c r="P110" s="251" t="str">
        <f>'PolyU Score Calculation'!O20</f>
        <v>Best 5</v>
      </c>
      <c r="Q110" s="251" t="str">
        <f>'PolyU Score Calculation'!P20</f>
        <v>x10: 英文、數學、M1/2、物理、組合科學(物理)</v>
      </c>
      <c r="R110" s="251" t="str">
        <f>'PolyU Score Calculation'!Q20</f>
        <v>x7: 中文、通識</v>
      </c>
      <c r="S110" s="251" t="str">
        <f>'PolyU Score Calculation'!R20</f>
        <v>x5: 其他科目</v>
      </c>
      <c r="T110" s="251" t="str">
        <f>IF('PolyU Score Calculation'!D20=0,"",'PolyU Score Calculation'!D20)</f>
        <v/>
      </c>
      <c r="U110" s="251" t="s">
        <v>2165</v>
      </c>
      <c r="V110" s="251" t="str">
        <f>IF('PolyU Score Calculation'!T20=0,"",'PolyU Score Calculation'!T20)</f>
        <v/>
      </c>
      <c r="W110" s="251">
        <f>'PolyU Score Calculation'!U20</f>
        <v>18.7</v>
      </c>
      <c r="X110" s="344">
        <f>'A123'!J118</f>
        <v>0</v>
      </c>
      <c r="Y110" s="344" t="str">
        <f>'A123'!K118</f>
        <v>/</v>
      </c>
      <c r="Z110" s="344" t="str">
        <f>'A123'!L118</f>
        <v>新科目</v>
      </c>
      <c r="AB110" s="344" t="str">
        <f>入學要求!X119</f>
        <v>/</v>
      </c>
      <c r="AC110" s="344" t="str">
        <f>入學要求!Y119</f>
        <v>/</v>
      </c>
      <c r="AD110" s="251">
        <f>'PolyU Score Calculation'!E20</f>
        <v>0</v>
      </c>
      <c r="AE110" s="251" t="s">
        <v>1970</v>
      </c>
      <c r="AF110" s="251" t="s">
        <v>1970</v>
      </c>
      <c r="AG110" s="344">
        <f>'PolyU Score Calculation'!I20</f>
        <v>0</v>
      </c>
      <c r="AH110" s="344">
        <f>'PolyU Score Calculation'!J20</f>
        <v>0</v>
      </c>
      <c r="AI110" s="344">
        <f>'PolyU Score Calculation'!K20</f>
        <v>0</v>
      </c>
      <c r="AJ110" s="251" t="s">
        <v>1970</v>
      </c>
      <c r="AK110" s="251" t="s">
        <v>1970</v>
      </c>
      <c r="AL110" s="251" t="s">
        <v>1970</v>
      </c>
      <c r="AM110" s="251" t="s">
        <v>1970</v>
      </c>
      <c r="AN110" s="251" t="str">
        <f t="shared" si="405"/>
        <v>JS3777 結構及消防安全工程學(榮譽)工學士學位</v>
      </c>
      <c r="AO110" s="251" t="s">
        <v>1970</v>
      </c>
      <c r="AP110" s="251" t="s">
        <v>1970</v>
      </c>
      <c r="AQ110" s="344" t="s">
        <v>1970</v>
      </c>
      <c r="AR110" s="344" t="s">
        <v>2150</v>
      </c>
      <c r="AV110" s="344" t="s">
        <v>3728</v>
      </c>
      <c r="AW110" s="344" t="s">
        <v>3726</v>
      </c>
      <c r="AX110" s="344" t="s">
        <v>3729</v>
      </c>
      <c r="AY110" s="344" t="s">
        <v>3730</v>
      </c>
      <c r="AZ110" s="344" t="s">
        <v>3732</v>
      </c>
      <c r="BA110" s="344" t="s">
        <v>3734</v>
      </c>
      <c r="BB110" s="251">
        <f>'PolyU Score Calculation'!X20</f>
        <v>7</v>
      </c>
      <c r="BC110" s="251">
        <f>'PolyU Score Calculation'!Y20</f>
        <v>10</v>
      </c>
      <c r="BD110" s="251">
        <f>'PolyU Score Calculation'!Z20</f>
        <v>10</v>
      </c>
      <c r="BE110" s="251">
        <f>'PolyU Score Calculation'!AA20</f>
        <v>7</v>
      </c>
      <c r="BF110" s="251">
        <f>'PolyU Score Calculation'!AB20</f>
        <v>10</v>
      </c>
      <c r="BG110" s="251">
        <f>'PolyU Score Calculation'!AC20</f>
        <v>10</v>
      </c>
      <c r="BH110" s="251">
        <f>'PolyU Score Calculation'!AD20</f>
        <v>5</v>
      </c>
      <c r="BI110" s="251">
        <f>'PolyU Score Calculation'!AE20</f>
        <v>5</v>
      </c>
      <c r="BJ110" s="251">
        <f>'PolyU Score Calculation'!AF20</f>
        <v>3.00000000001</v>
      </c>
      <c r="BK110" s="251">
        <f>'PolyU Score Calculation'!AG20</f>
        <v>3.00000000002</v>
      </c>
      <c r="BL110" s="251">
        <f>'PolyU Score Calculation'!AH20</f>
        <v>4.00000000003</v>
      </c>
      <c r="BM110" s="251">
        <f>'PolyU Score Calculation'!AI20</f>
        <v>3.00000000004</v>
      </c>
      <c r="BN110" s="251">
        <f>'PolyU Score Calculation'!AJ20</f>
        <v>3.00000000005</v>
      </c>
      <c r="BO110" s="251">
        <f>'PolyU Score Calculation'!AK20</f>
        <v>3.00000000006</v>
      </c>
      <c r="BP110" s="251">
        <f>'PolyU Score Calculation'!AL20</f>
        <v>3.00000000007</v>
      </c>
      <c r="BQ110" s="251">
        <f>'PolyU Score Calculation'!AM20</f>
        <v>7.9999999999999995E-11</v>
      </c>
      <c r="BR110" s="251">
        <f>'PolyU Score Calculation'!AN20</f>
        <v>21.000000000069999</v>
      </c>
      <c r="BS110" s="251">
        <f>'PolyU Score Calculation'!AO20</f>
        <v>30.0000000002</v>
      </c>
      <c r="BT110" s="251">
        <f>'PolyU Score Calculation'!AP20</f>
        <v>40.000000000299998</v>
      </c>
      <c r="BU110" s="251">
        <f>'PolyU Score Calculation'!AQ20</f>
        <v>21.00000000028</v>
      </c>
      <c r="BV110" s="251">
        <f>'PolyU Score Calculation'!AR20</f>
        <v>30.000000000500002</v>
      </c>
      <c r="BW110" s="251">
        <f>'PolyU Score Calculation'!AS20</f>
        <v>30.0000000006</v>
      </c>
      <c r="BX110" s="251">
        <f>'PolyU Score Calculation'!AT20</f>
        <v>15.000000000349999</v>
      </c>
      <c r="BY110" s="251">
        <f>'PolyU Score Calculation'!AU20</f>
        <v>3.9999999999999996E-10</v>
      </c>
      <c r="BZ110" s="251" t="b">
        <f>'PolyU Score Calculation'!AV20</f>
        <v>0</v>
      </c>
      <c r="CA110" s="251" t="b">
        <f>'PolyU Score Calculation'!AW20</f>
        <v>1</v>
      </c>
      <c r="CB110" s="251" t="b">
        <f>'PolyU Score Calculation'!AX20</f>
        <v>1</v>
      </c>
      <c r="CC110" s="251" t="b">
        <f>'PolyU Score Calculation'!AY20</f>
        <v>1</v>
      </c>
      <c r="CD110" s="251" t="b">
        <f>'PolyU Score Calculation'!AZ20</f>
        <v>1</v>
      </c>
      <c r="CE110" s="251" t="b">
        <f>'PolyU Score Calculation'!BA20</f>
        <v>1</v>
      </c>
      <c r="CF110" s="251" t="b">
        <f>'PolyU Score Calculation'!BB20</f>
        <v>0</v>
      </c>
      <c r="CG110" s="251" t="b">
        <f>'PolyU Score Calculation'!BC20</f>
        <v>0</v>
      </c>
      <c r="CH110" s="251">
        <f>'PolyU Score Calculation'!BD20</f>
        <v>7</v>
      </c>
      <c r="CI110" s="251">
        <f>'PolyU Score Calculation'!BE20</f>
        <v>10</v>
      </c>
      <c r="CJ110" s="251">
        <f>'PolyU Score Calculation'!BF20</f>
        <v>10</v>
      </c>
      <c r="CK110" s="251">
        <f>'PolyU Score Calculation'!BG20</f>
        <v>7</v>
      </c>
      <c r="CL110" s="251">
        <f>'PolyU Score Calculation'!BH20</f>
        <v>10</v>
      </c>
      <c r="CM110" s="251">
        <f>'PolyU Score Calculation'!BI20</f>
        <v>10</v>
      </c>
      <c r="CN110" s="251">
        <f>'PolyU Score Calculation'!BJ20</f>
        <v>5</v>
      </c>
      <c r="CO110" s="251">
        <f>'PolyU Score Calculation'!BK20</f>
        <v>5</v>
      </c>
      <c r="CP110" s="251">
        <f>'PolyU Score Calculation'!BL20</f>
        <v>3.00000000001</v>
      </c>
      <c r="CQ110" s="251">
        <f>'PolyU Score Calculation'!BM20</f>
        <v>3.00000000002</v>
      </c>
      <c r="CR110" s="251">
        <f>'PolyU Score Calculation'!BN20</f>
        <v>5.50000000003</v>
      </c>
      <c r="CS110" s="251">
        <f>'PolyU Score Calculation'!BO20</f>
        <v>3.00000000004</v>
      </c>
      <c r="CT110" s="251">
        <f>'PolyU Score Calculation'!BP20</f>
        <v>2.00000000005</v>
      </c>
      <c r="CU110" s="251">
        <f>'PolyU Score Calculation'!BQ20</f>
        <v>3.00000000006</v>
      </c>
      <c r="CV110" s="251">
        <f>'PolyU Score Calculation'!BR20</f>
        <v>3.00000000007</v>
      </c>
      <c r="CW110" s="251">
        <f>'PolyU Score Calculation'!BS20</f>
        <v>7.9999999999999995E-11</v>
      </c>
      <c r="CX110" s="251">
        <f>'PolyU Score Calculation'!BT20</f>
        <v>21.000000000069999</v>
      </c>
      <c r="CY110" s="251">
        <f>'PolyU Score Calculation'!BU20</f>
        <v>30.0000000002</v>
      </c>
      <c r="CZ110" s="251">
        <f>'PolyU Score Calculation'!BV20</f>
        <v>55.000000000299998</v>
      </c>
      <c r="DA110" s="251">
        <f>'PolyU Score Calculation'!BW20</f>
        <v>21.00000000028</v>
      </c>
      <c r="DB110" s="251">
        <f>'PolyU Score Calculation'!BX20</f>
        <v>20.000000000500002</v>
      </c>
      <c r="DC110" s="251">
        <f>'PolyU Score Calculation'!BY20</f>
        <v>30.0000000006</v>
      </c>
      <c r="DD110" s="251">
        <f>'PolyU Score Calculation'!BZ20</f>
        <v>15.000000000349999</v>
      </c>
      <c r="DE110" s="251">
        <f>'PolyU Score Calculation'!CA20</f>
        <v>3.9999999999999996E-10</v>
      </c>
      <c r="DF110" s="251" t="b">
        <f>'PolyU Score Calculation'!CB20</f>
        <v>1</v>
      </c>
      <c r="DG110" s="251" t="b">
        <f>'PolyU Score Calculation'!CC20</f>
        <v>1</v>
      </c>
      <c r="DH110" s="251" t="b">
        <f>'PolyU Score Calculation'!CD20</f>
        <v>1</v>
      </c>
      <c r="DI110" s="251" t="b">
        <f>'PolyU Score Calculation'!CE20</f>
        <v>1</v>
      </c>
      <c r="DJ110" s="251" t="b">
        <f>'PolyU Score Calculation'!CF20</f>
        <v>0</v>
      </c>
      <c r="DK110" s="251" t="b">
        <f>'PolyU Score Calculation'!CG20</f>
        <v>1</v>
      </c>
      <c r="DL110" s="251" t="b">
        <f>'PolyU Score Calculation'!CH20</f>
        <v>0</v>
      </c>
      <c r="DM110" s="251" t="b">
        <f>'PolyU Score Calculation'!CI20</f>
        <v>0</v>
      </c>
    </row>
    <row r="111" spans="1:117" s="251" customFormat="1" x14ac:dyDescent="0.3">
      <c r="A111" s="251" t="str">
        <f>'PolyU Score Calculation'!A21</f>
        <v>JS3130</v>
      </c>
      <c r="B111" s="251" t="s">
        <v>2246</v>
      </c>
      <c r="C111" s="251" t="str">
        <f>IF('PolyU Score Calculation'!B21=0,"",'PolyU Score Calculation'!B21)</f>
        <v>建築及環境學院</v>
      </c>
      <c r="D111" s="251" t="str">
        <f>IF('PolyU Score Calculation'!C21=0,"",'PolyU Score Calculation'!C21)</f>
        <v>空間數據科學及智慧城市(榮譽)理學士組合課程 - 土地測量及地理資訊學(榮譽)理學士</v>
      </c>
      <c r="E111" s="251" t="str">
        <f>IF('PolyU Score Calculation'!E21=0,"",'PolyU Score Calculation'!E21)</f>
        <v>Best 5</v>
      </c>
      <c r="F111" s="251" t="s">
        <v>1978</v>
      </c>
      <c r="G111" s="251">
        <f>'PolyU Score Calculation'!W21</f>
        <v>184.00000000145002</v>
      </c>
      <c r="H111" s="251">
        <f>'PolyU Score Calculation'!V21</f>
        <v>181.00000000144999</v>
      </c>
      <c r="I111" s="251" t="s">
        <v>3034</v>
      </c>
      <c r="J111" s="251" t="s">
        <v>3035</v>
      </c>
      <c r="K111" s="344" t="s">
        <v>3048</v>
      </c>
      <c r="L111" s="344" t="s">
        <v>1970</v>
      </c>
      <c r="M111" s="344" t="s">
        <v>1970</v>
      </c>
      <c r="N111" s="251" t="str">
        <f>'PolyU Score Calculation'!M21</f>
        <v>JS3387</v>
      </c>
      <c r="O111" s="251" t="str">
        <f>'PolyU Score Calculation'!N21</f>
        <v>土地測量及地理資訊學(榮譽)理學士學位</v>
      </c>
      <c r="P111" s="251" t="str">
        <f>'PolyU Score Calculation'!O21</f>
        <v>Best 5</v>
      </c>
      <c r="Q111" s="251" t="str">
        <f>'PolyU Score Calculation'!P21</f>
        <v>x10: 英文、數學、M1/2、物理、組合科學(物理)、地理、ICT、綜合科學</v>
      </c>
      <c r="R111" s="251" t="str">
        <f>'PolyU Score Calculation'!Q21</f>
        <v>x7: 中文、通識</v>
      </c>
      <c r="S111" s="251" t="str">
        <f>'PolyU Score Calculation'!R21</f>
        <v>x5: 其他科目</v>
      </c>
      <c r="T111" s="251" t="str">
        <f>IF('PolyU Score Calculation'!D21=0,"",'PolyU Score Calculation'!D21)</f>
        <v>LAND SURV &amp; GEO-INFO</v>
      </c>
      <c r="U111" s="251" t="s">
        <v>2165</v>
      </c>
      <c r="V111" s="251">
        <f>IF('PolyU Score Calculation'!T21=0,"",'PolyU Score Calculation'!T21)</f>
        <v>21.5</v>
      </c>
      <c r="W111" s="251">
        <f>'PolyU Score Calculation'!U21</f>
        <v>21.5</v>
      </c>
      <c r="X111" s="344">
        <f>'A123'!J119</f>
        <v>39</v>
      </c>
      <c r="Y111" s="344" t="str">
        <f>'A123'!K119</f>
        <v>/</v>
      </c>
      <c r="Z111" s="344" t="str">
        <f>'A123'!L119</f>
        <v>新科目</v>
      </c>
      <c r="AA111" s="251" t="s">
        <v>2165</v>
      </c>
      <c r="AB111" s="344" t="str">
        <f>入學要求!X120</f>
        <v>/</v>
      </c>
      <c r="AC111" s="344" t="str">
        <f>入學要求!Y120</f>
        <v>/</v>
      </c>
      <c r="AD111" s="251" t="str">
        <f>'PolyU Score Calculation'!E21</f>
        <v>Best 5</v>
      </c>
      <c r="AE111" s="251" t="s">
        <v>1970</v>
      </c>
      <c r="AF111" s="251" t="s">
        <v>1970</v>
      </c>
      <c r="AG111" s="344" t="str">
        <f>'PolyU Score Calculation'!I21</f>
        <v>x10: 英文、數學、M1/2、物理、組合科學(物理)、地理、ICT、綜合科學</v>
      </c>
      <c r="AH111" s="344" t="str">
        <f>'PolyU Score Calculation'!J21</f>
        <v>x7: 中文、通識</v>
      </c>
      <c r="AI111" s="344" t="str">
        <f>'PolyU Score Calculation'!K21</f>
        <v>x5: 其他科目</v>
      </c>
      <c r="AJ111" s="251" t="s">
        <v>1970</v>
      </c>
      <c r="AK111" s="251" t="s">
        <v>1970</v>
      </c>
      <c r="AL111" s="251" t="s">
        <v>1970</v>
      </c>
      <c r="AM111" s="251" t="s">
        <v>3043</v>
      </c>
      <c r="AN111" s="251" t="str">
        <f t="shared" si="405"/>
        <v>JS3387 土地測量及地理資訊學(榮譽)理學士學位</v>
      </c>
      <c r="AO111" s="251" t="s">
        <v>1970</v>
      </c>
      <c r="AP111" s="251" t="s">
        <v>1970</v>
      </c>
      <c r="AQ111" s="344" t="s">
        <v>1970</v>
      </c>
      <c r="AR111" s="344" t="s">
        <v>2150</v>
      </c>
      <c r="AS111" s="251" t="s">
        <v>3610</v>
      </c>
      <c r="AT111" s="251" t="s">
        <v>1970</v>
      </c>
      <c r="AU111" s="251" t="s">
        <v>1978</v>
      </c>
      <c r="AV111" s="344" t="s">
        <v>3728</v>
      </c>
      <c r="AW111" s="344" t="s">
        <v>3726</v>
      </c>
      <c r="AX111" s="344" t="s">
        <v>3729</v>
      </c>
      <c r="AY111" s="344" t="s">
        <v>3730</v>
      </c>
      <c r="AZ111" s="344" t="s">
        <v>3732</v>
      </c>
      <c r="BA111" s="344" t="s">
        <v>3734</v>
      </c>
      <c r="BB111" s="251">
        <f>'PolyU Score Calculation'!X21</f>
        <v>7</v>
      </c>
      <c r="BC111" s="251">
        <f>'PolyU Score Calculation'!Y21</f>
        <v>10</v>
      </c>
      <c r="BD111" s="251">
        <f>'PolyU Score Calculation'!Z21</f>
        <v>10</v>
      </c>
      <c r="BE111" s="251">
        <f>'PolyU Score Calculation'!AA21</f>
        <v>7</v>
      </c>
      <c r="BF111" s="251">
        <f>'PolyU Score Calculation'!AB21</f>
        <v>10</v>
      </c>
      <c r="BG111" s="251">
        <f>'PolyU Score Calculation'!AC21</f>
        <v>10</v>
      </c>
      <c r="BH111" s="251">
        <f>'PolyU Score Calculation'!AD21</f>
        <v>5</v>
      </c>
      <c r="BI111" s="251">
        <f>'PolyU Score Calculation'!AE21</f>
        <v>5</v>
      </c>
      <c r="BJ111" s="251">
        <f>'PolyU Score Calculation'!AF21</f>
        <v>4.00000000001</v>
      </c>
      <c r="BK111" s="251">
        <f>'PolyU Score Calculation'!AG21</f>
        <v>3.00000000002</v>
      </c>
      <c r="BL111" s="251">
        <f>'PolyU Score Calculation'!AH21</f>
        <v>4.00000000003</v>
      </c>
      <c r="BM111" s="251">
        <f>'PolyU Score Calculation'!AI21</f>
        <v>4.00000000004</v>
      </c>
      <c r="BN111" s="251">
        <f>'PolyU Score Calculation'!AJ21</f>
        <v>5.0000000000000002E-11</v>
      </c>
      <c r="BO111" s="251">
        <f>'PolyU Score Calculation'!AK21</f>
        <v>5.50000000006</v>
      </c>
      <c r="BP111" s="251">
        <f>'PolyU Score Calculation'!AL21</f>
        <v>3.00000000007</v>
      </c>
      <c r="BQ111" s="251">
        <f>'PolyU Score Calculation'!AM21</f>
        <v>7.9999999999999995E-11</v>
      </c>
      <c r="BR111" s="251">
        <f>'PolyU Score Calculation'!AN21</f>
        <v>28.000000000069999</v>
      </c>
      <c r="BS111" s="251">
        <f>'PolyU Score Calculation'!AO21</f>
        <v>30.0000000002</v>
      </c>
      <c r="BT111" s="251">
        <f>'PolyU Score Calculation'!AP21</f>
        <v>40.000000000299998</v>
      </c>
      <c r="BU111" s="251">
        <f>'PolyU Score Calculation'!AQ21</f>
        <v>28.00000000028</v>
      </c>
      <c r="BV111" s="251">
        <f>'PolyU Score Calculation'!AR21</f>
        <v>5.0000000000000003E-10</v>
      </c>
      <c r="BW111" s="251">
        <f>'PolyU Score Calculation'!AS21</f>
        <v>55.000000000599996</v>
      </c>
      <c r="BX111" s="251">
        <f>'PolyU Score Calculation'!AT21</f>
        <v>15.000000000349999</v>
      </c>
      <c r="BY111" s="251">
        <f>'PolyU Score Calculation'!AU21</f>
        <v>3.9999999999999996E-10</v>
      </c>
      <c r="BZ111" s="251" t="b">
        <f>'PolyU Score Calculation'!AV21</f>
        <v>1</v>
      </c>
      <c r="CA111" s="251" t="b">
        <f>'PolyU Score Calculation'!AW21</f>
        <v>1</v>
      </c>
      <c r="CB111" s="251" t="b">
        <f>'PolyU Score Calculation'!AX21</f>
        <v>1</v>
      </c>
      <c r="CC111" s="251" t="b">
        <f>'PolyU Score Calculation'!AY21</f>
        <v>1</v>
      </c>
      <c r="CD111" s="251" t="b">
        <f>'PolyU Score Calculation'!AZ21</f>
        <v>0</v>
      </c>
      <c r="CE111" s="251" t="b">
        <f>'PolyU Score Calculation'!BA21</f>
        <v>1</v>
      </c>
      <c r="CF111" s="251" t="b">
        <f>'PolyU Score Calculation'!BB21</f>
        <v>0</v>
      </c>
      <c r="CG111" s="251" t="b">
        <f>'PolyU Score Calculation'!BC21</f>
        <v>0</v>
      </c>
      <c r="CH111" s="251">
        <f>'PolyU Score Calculation'!BD21</f>
        <v>7</v>
      </c>
      <c r="CI111" s="251">
        <f>'PolyU Score Calculation'!BE21</f>
        <v>10</v>
      </c>
      <c r="CJ111" s="251">
        <f>'PolyU Score Calculation'!BF21</f>
        <v>10</v>
      </c>
      <c r="CK111" s="251">
        <f>'PolyU Score Calculation'!BG21</f>
        <v>7</v>
      </c>
      <c r="CL111" s="251">
        <f>'PolyU Score Calculation'!BH21</f>
        <v>10</v>
      </c>
      <c r="CM111" s="251">
        <f>'PolyU Score Calculation'!BI21</f>
        <v>10</v>
      </c>
      <c r="CN111" s="251">
        <f>'PolyU Score Calculation'!BJ21</f>
        <v>5</v>
      </c>
      <c r="CO111" s="251">
        <f>'PolyU Score Calculation'!BK21</f>
        <v>5</v>
      </c>
      <c r="CP111" s="251">
        <f>'PolyU Score Calculation'!BL21</f>
        <v>3.00000000001</v>
      </c>
      <c r="CQ111" s="251">
        <f>'PolyU Score Calculation'!BM21</f>
        <v>5.50000000002</v>
      </c>
      <c r="CR111" s="251">
        <f>'PolyU Score Calculation'!BN21</f>
        <v>4.00000000003</v>
      </c>
      <c r="CS111" s="251">
        <f>'PolyU Score Calculation'!BO21</f>
        <v>4.00000000004</v>
      </c>
      <c r="CT111" s="251">
        <f>'PolyU Score Calculation'!BP21</f>
        <v>5.0000000000000002E-11</v>
      </c>
      <c r="CU111" s="251">
        <f>'PolyU Score Calculation'!BQ21</f>
        <v>4.00000000006</v>
      </c>
      <c r="CV111" s="251">
        <f>'PolyU Score Calculation'!BR21</f>
        <v>4.00000000007</v>
      </c>
      <c r="CW111" s="251">
        <f>'PolyU Score Calculation'!BS21</f>
        <v>3.00000000008</v>
      </c>
      <c r="CX111" s="251">
        <f>'PolyU Score Calculation'!BT21</f>
        <v>21.000000000069999</v>
      </c>
      <c r="CY111" s="251">
        <f>'PolyU Score Calculation'!BU21</f>
        <v>55.000000000200004</v>
      </c>
      <c r="CZ111" s="251">
        <f>'PolyU Score Calculation'!BV21</f>
        <v>40.000000000299998</v>
      </c>
      <c r="DA111" s="251">
        <f>'PolyU Score Calculation'!BW21</f>
        <v>28.00000000028</v>
      </c>
      <c r="DB111" s="251">
        <f>'PolyU Score Calculation'!BX21</f>
        <v>5.0000000000000003E-10</v>
      </c>
      <c r="DC111" s="251">
        <f>'PolyU Score Calculation'!BY21</f>
        <v>40.000000000599996</v>
      </c>
      <c r="DD111" s="251">
        <f>'PolyU Score Calculation'!BZ21</f>
        <v>20.000000000349999</v>
      </c>
      <c r="DE111" s="251">
        <f>'PolyU Score Calculation'!CA21</f>
        <v>15.0000000004</v>
      </c>
      <c r="DF111" s="251" t="b">
        <f>'PolyU Score Calculation'!CB21</f>
        <v>1</v>
      </c>
      <c r="DG111" s="251" t="b">
        <f>'PolyU Score Calculation'!CC21</f>
        <v>1</v>
      </c>
      <c r="DH111" s="251" t="b">
        <f>'PolyU Score Calculation'!CD21</f>
        <v>1</v>
      </c>
      <c r="DI111" s="251" t="b">
        <f>'PolyU Score Calculation'!CE21</f>
        <v>1</v>
      </c>
      <c r="DJ111" s="251" t="b">
        <f>'PolyU Score Calculation'!CF21</f>
        <v>0</v>
      </c>
      <c r="DK111" s="251" t="b">
        <f>'PolyU Score Calculation'!CG21</f>
        <v>1</v>
      </c>
      <c r="DL111" s="251" t="b">
        <f>'PolyU Score Calculation'!CH21</f>
        <v>0</v>
      </c>
      <c r="DM111" s="251" t="b">
        <f>'PolyU Score Calculation'!CI21</f>
        <v>0</v>
      </c>
    </row>
    <row r="112" spans="1:117" s="251" customFormat="1" x14ac:dyDescent="0.3">
      <c r="A112" s="251" t="str">
        <f>'PolyU Score Calculation'!A22</f>
        <v>JS3140</v>
      </c>
      <c r="B112" s="251" t="s">
        <v>2246</v>
      </c>
      <c r="C112" s="251" t="str">
        <f>IF('PolyU Score Calculation'!B22=0,"",'PolyU Score Calculation'!B22)</f>
        <v>工程學院</v>
      </c>
      <c r="D112" s="251" t="str">
        <f>IF('PolyU Score Calculation'!C22=0,"",'PolyU Score Calculation'!C22)</f>
        <v>航空工程學(榮譽)工學士組合課程</v>
      </c>
      <c r="E112" s="251" t="str">
        <f>IF('PolyU Score Calculation'!E22=0,"",'PolyU Score Calculation'!E22)</f>
        <v>Best 5</v>
      </c>
      <c r="F112" s="251" t="s">
        <v>1978</v>
      </c>
      <c r="G112" s="251">
        <f>'PolyU Score Calculation'!W22</f>
        <v>178.50000000187001</v>
      </c>
      <c r="H112" s="251">
        <f>'PolyU Score Calculation'!V22</f>
        <v>181.00000000207999</v>
      </c>
      <c r="I112" s="251" t="s">
        <v>3034</v>
      </c>
      <c r="J112" s="251" t="s">
        <v>3035</v>
      </c>
      <c r="K112" s="344" t="s">
        <v>3048</v>
      </c>
      <c r="L112" s="344" t="s">
        <v>1970</v>
      </c>
      <c r="M112" s="344" t="s">
        <v>1970</v>
      </c>
      <c r="N112" s="251" t="str">
        <f>'PolyU Score Calculation'!M22</f>
        <v>JS3507</v>
      </c>
      <c r="O112" s="251" t="str">
        <f>'PolyU Score Calculation'!N22</f>
        <v>航空工程學(榮譽)工學士學位</v>
      </c>
      <c r="P112" s="251" t="str">
        <f>'PolyU Score Calculation'!O22</f>
        <v>Best 5</v>
      </c>
      <c r="Q112" s="251" t="str">
        <f>'PolyU Score Calculation'!P22</f>
        <v>x10: 英文、數學、M1/2、生物、化學、物理、組合科學、ICT</v>
      </c>
      <c r="R112" s="251" t="str">
        <f>'PolyU Score Calculation'!Q22</f>
        <v>x7: 中文、通識</v>
      </c>
      <c r="S112" s="251" t="str">
        <f>'PolyU Score Calculation'!R22</f>
        <v>x5: 其他科目</v>
      </c>
      <c r="T112" s="251" t="str">
        <f>IF('PolyU Score Calculation'!D22=0,"",'PolyU Score Calculation'!D22)</f>
        <v>AVIATION ENGG</v>
      </c>
      <c r="U112" s="251" t="s">
        <v>2165</v>
      </c>
      <c r="V112" s="251">
        <f>IF('PolyU Score Calculation'!T22=0,"",'PolyU Score Calculation'!T22)</f>
        <v>20.2</v>
      </c>
      <c r="W112" s="251">
        <f>'PolyU Score Calculation'!U22</f>
        <v>20.2</v>
      </c>
      <c r="X112" s="344">
        <f>'A123'!J120</f>
        <v>56</v>
      </c>
      <c r="Y112" s="344" t="str">
        <f>'A123'!K120</f>
        <v>/</v>
      </c>
      <c r="Z112" s="344" t="str">
        <f>'A123'!L120</f>
        <v>新科目</v>
      </c>
      <c r="AA112" s="251" t="s">
        <v>2165</v>
      </c>
      <c r="AB112" s="344" t="str">
        <f>入學要求!X121</f>
        <v>/</v>
      </c>
      <c r="AC112" s="344" t="str">
        <f>入學要求!Y121</f>
        <v>/</v>
      </c>
      <c r="AD112" s="251" t="str">
        <f>'PolyU Score Calculation'!E22</f>
        <v>Best 5</v>
      </c>
      <c r="AE112" s="251" t="s">
        <v>1970</v>
      </c>
      <c r="AF112" s="251" t="s">
        <v>1970</v>
      </c>
      <c r="AG112" s="344" t="str">
        <f>'PolyU Score Calculation'!I22</f>
        <v>x10: 英文、數學、M1/2、化學、物理、組合科學(物理、化學)、ICT</v>
      </c>
      <c r="AH112" s="344" t="str">
        <f>'PolyU Score Calculation'!J22</f>
        <v>x7: 中文、通識</v>
      </c>
      <c r="AI112" s="344" t="str">
        <f>'PolyU Score Calculation'!K22</f>
        <v>x5: 其他科目</v>
      </c>
      <c r="AJ112" s="251" t="s">
        <v>1970</v>
      </c>
      <c r="AK112" s="251" t="s">
        <v>1970</v>
      </c>
      <c r="AL112" s="251" t="s">
        <v>1970</v>
      </c>
      <c r="AM112" s="251" t="s">
        <v>3043</v>
      </c>
      <c r="AN112" s="251" t="str">
        <f t="shared" si="405"/>
        <v>JS3507 航空工程學(榮譽)工學士學位</v>
      </c>
      <c r="AO112" s="251" t="s">
        <v>1970</v>
      </c>
      <c r="AP112" s="251" t="s">
        <v>1970</v>
      </c>
      <c r="AQ112" s="344" t="s">
        <v>1970</v>
      </c>
      <c r="AR112" s="344" t="s">
        <v>2150</v>
      </c>
      <c r="AS112" s="251" t="s">
        <v>3608</v>
      </c>
      <c r="AT112" s="251" t="s">
        <v>1970</v>
      </c>
      <c r="AU112" s="251" t="s">
        <v>1970</v>
      </c>
      <c r="AV112" s="344" t="s">
        <v>3728</v>
      </c>
      <c r="AW112" s="344" t="s">
        <v>3726</v>
      </c>
      <c r="AX112" s="344" t="s">
        <v>3729</v>
      </c>
      <c r="AY112" s="344" t="s">
        <v>3730</v>
      </c>
      <c r="AZ112" s="344" t="s">
        <v>3732</v>
      </c>
      <c r="BA112" s="344" t="s">
        <v>3734</v>
      </c>
      <c r="BB112" s="251">
        <f>'PolyU Score Calculation'!X22</f>
        <v>7</v>
      </c>
      <c r="BC112" s="251">
        <f>'PolyU Score Calculation'!Y22</f>
        <v>10</v>
      </c>
      <c r="BD112" s="251">
        <f>'PolyU Score Calculation'!Z22</f>
        <v>10</v>
      </c>
      <c r="BE112" s="251">
        <f>'PolyU Score Calculation'!AA22</f>
        <v>7</v>
      </c>
      <c r="BF112" s="251">
        <f>'PolyU Score Calculation'!AB22</f>
        <v>10</v>
      </c>
      <c r="BG112" s="251">
        <f>'PolyU Score Calculation'!AC22</f>
        <v>10</v>
      </c>
      <c r="BH112" s="251">
        <f>'PolyU Score Calculation'!AD22</f>
        <v>10</v>
      </c>
      <c r="BI112" s="251">
        <f>'PolyU Score Calculation'!AE22</f>
        <v>10</v>
      </c>
      <c r="BJ112" s="251">
        <f>'PolyU Score Calculation'!AF22</f>
        <v>3.00000000001</v>
      </c>
      <c r="BK112" s="251">
        <f>'PolyU Score Calculation'!AG22</f>
        <v>4.00000000002</v>
      </c>
      <c r="BL112" s="251">
        <f>'PolyU Score Calculation'!AH22</f>
        <v>4.00000000003</v>
      </c>
      <c r="BM112" s="251">
        <f>'PolyU Score Calculation'!AI22</f>
        <v>3.00000000004</v>
      </c>
      <c r="BN112" s="251">
        <f>'PolyU Score Calculation'!AJ22</f>
        <v>5.0000000000000002E-11</v>
      </c>
      <c r="BO112" s="251">
        <f>'PolyU Score Calculation'!AK22</f>
        <v>4.00000000006</v>
      </c>
      <c r="BP112" s="251">
        <f>'PolyU Score Calculation'!AL22</f>
        <v>4.00000000007</v>
      </c>
      <c r="BQ112" s="251">
        <f>'PolyU Score Calculation'!AM22</f>
        <v>7.9999999999999995E-11</v>
      </c>
      <c r="BR112" s="251">
        <f>'PolyU Score Calculation'!AN22</f>
        <v>21.000000000069999</v>
      </c>
      <c r="BS112" s="251">
        <f>'PolyU Score Calculation'!AO22</f>
        <v>40.000000000200004</v>
      </c>
      <c r="BT112" s="251">
        <f>'PolyU Score Calculation'!AP22</f>
        <v>40.000000000299998</v>
      </c>
      <c r="BU112" s="251">
        <f>'PolyU Score Calculation'!AQ22</f>
        <v>21.00000000028</v>
      </c>
      <c r="BV112" s="251">
        <f>'PolyU Score Calculation'!AR22</f>
        <v>5.0000000000000003E-10</v>
      </c>
      <c r="BW112" s="251">
        <f>'PolyU Score Calculation'!AS22</f>
        <v>40.000000000599996</v>
      </c>
      <c r="BX112" s="251">
        <f>'PolyU Score Calculation'!AT22</f>
        <v>40.000000000699998</v>
      </c>
      <c r="BY112" s="251">
        <f>'PolyU Score Calculation'!AU22</f>
        <v>7.9999999999999993E-10</v>
      </c>
      <c r="BZ112" s="251" t="b">
        <f>'PolyU Score Calculation'!AV22</f>
        <v>0</v>
      </c>
      <c r="CA112" s="251" t="b">
        <f>'PolyU Score Calculation'!AW22</f>
        <v>1</v>
      </c>
      <c r="CB112" s="251" t="b">
        <f>'PolyU Score Calculation'!AX22</f>
        <v>1</v>
      </c>
      <c r="CC112" s="251" t="b">
        <f>'PolyU Score Calculation'!AY22</f>
        <v>1</v>
      </c>
      <c r="CD112" s="251" t="b">
        <f>'PolyU Score Calculation'!AZ22</f>
        <v>0</v>
      </c>
      <c r="CE112" s="251" t="b">
        <f>'PolyU Score Calculation'!BA22</f>
        <v>1</v>
      </c>
      <c r="CF112" s="251" t="b">
        <f>'PolyU Score Calculation'!BB22</f>
        <v>1</v>
      </c>
      <c r="CG112" s="251" t="b">
        <f>'PolyU Score Calculation'!BC22</f>
        <v>0</v>
      </c>
      <c r="CH112" s="251">
        <f>'PolyU Score Calculation'!BD22</f>
        <v>7</v>
      </c>
      <c r="CI112" s="251">
        <f>'PolyU Score Calculation'!BE22</f>
        <v>10</v>
      </c>
      <c r="CJ112" s="251">
        <f>'PolyU Score Calculation'!BF22</f>
        <v>10</v>
      </c>
      <c r="CK112" s="251">
        <f>'PolyU Score Calculation'!BG22</f>
        <v>7</v>
      </c>
      <c r="CL112" s="251">
        <f>'PolyU Score Calculation'!BH22</f>
        <v>10</v>
      </c>
      <c r="CM112" s="251">
        <f>'PolyU Score Calculation'!BI22</f>
        <v>10</v>
      </c>
      <c r="CN112" s="251">
        <f>'PolyU Score Calculation'!BJ22</f>
        <v>10</v>
      </c>
      <c r="CO112" s="251">
        <f>'PolyU Score Calculation'!BK22</f>
        <v>10</v>
      </c>
      <c r="CP112" s="251">
        <f>'PolyU Score Calculation'!BL22</f>
        <v>5.50000000001</v>
      </c>
      <c r="CQ112" s="251">
        <f>'PolyU Score Calculation'!BM22</f>
        <v>3.00000000002</v>
      </c>
      <c r="CR112" s="251">
        <f>'PolyU Score Calculation'!BN22</f>
        <v>4.00000000003</v>
      </c>
      <c r="CS112" s="251">
        <f>'PolyU Score Calculation'!BO22</f>
        <v>4.00000000004</v>
      </c>
      <c r="CT112" s="251">
        <f>'PolyU Score Calculation'!BP22</f>
        <v>5.0000000000000002E-11</v>
      </c>
      <c r="CU112" s="251">
        <f>'PolyU Score Calculation'!BQ22</f>
        <v>4.00000000006</v>
      </c>
      <c r="CV112" s="251">
        <f>'PolyU Score Calculation'!BR22</f>
        <v>3.00000000007</v>
      </c>
      <c r="CW112" s="251">
        <f>'PolyU Score Calculation'!BS22</f>
        <v>7.9999999999999995E-11</v>
      </c>
      <c r="CX112" s="251">
        <f>'PolyU Score Calculation'!BT22</f>
        <v>38.500000000070003</v>
      </c>
      <c r="CY112" s="251">
        <f>'PolyU Score Calculation'!BU22</f>
        <v>30.0000000002</v>
      </c>
      <c r="CZ112" s="251">
        <f>'PolyU Score Calculation'!BV22</f>
        <v>40.000000000299998</v>
      </c>
      <c r="DA112" s="251">
        <f>'PolyU Score Calculation'!BW22</f>
        <v>28.00000000028</v>
      </c>
      <c r="DB112" s="251">
        <f>'PolyU Score Calculation'!BX22</f>
        <v>5.0000000000000003E-10</v>
      </c>
      <c r="DC112" s="251">
        <f>'PolyU Score Calculation'!BY22</f>
        <v>40.000000000599996</v>
      </c>
      <c r="DD112" s="251">
        <f>'PolyU Score Calculation'!BZ22</f>
        <v>30.000000000699998</v>
      </c>
      <c r="DE112" s="251">
        <f>'PolyU Score Calculation'!CA22</f>
        <v>7.9999999999999993E-10</v>
      </c>
      <c r="DF112" s="251" t="b">
        <f>'PolyU Score Calculation'!CB22</f>
        <v>1</v>
      </c>
      <c r="DG112" s="251" t="b">
        <f>'PolyU Score Calculation'!CC22</f>
        <v>1</v>
      </c>
      <c r="DH112" s="251" t="b">
        <f>'PolyU Score Calculation'!CD22</f>
        <v>1</v>
      </c>
      <c r="DI112" s="251" t="b">
        <f>'PolyU Score Calculation'!CE22</f>
        <v>0</v>
      </c>
      <c r="DJ112" s="251" t="b">
        <f>'PolyU Score Calculation'!CF22</f>
        <v>0</v>
      </c>
      <c r="DK112" s="251" t="b">
        <f>'PolyU Score Calculation'!CG22</f>
        <v>1</v>
      </c>
      <c r="DL112" s="251" t="b">
        <f>'PolyU Score Calculation'!CH22</f>
        <v>1</v>
      </c>
      <c r="DM112" s="251" t="b">
        <f>'PolyU Score Calculation'!CI22</f>
        <v>0</v>
      </c>
    </row>
    <row r="113" spans="1:117" s="251" customFormat="1" x14ac:dyDescent="0.3">
      <c r="A113" s="251" t="str">
        <f>'PolyU Score Calculation'!A23</f>
        <v>JS3150</v>
      </c>
      <c r="B113" s="251" t="s">
        <v>2246</v>
      </c>
      <c r="C113" s="251" t="str">
        <f>IF('PolyU Score Calculation'!B23=0,"",'PolyU Score Calculation'!B23)</f>
        <v>工程學院</v>
      </c>
      <c r="D113" s="251" t="str">
        <f>IF('PolyU Score Calculation'!C23=0,"",'PolyU Score Calculation'!C23)</f>
        <v>生物醫學工程(榮譽)理學士組合課程</v>
      </c>
      <c r="E113" s="251" t="str">
        <f>IF('PolyU Score Calculation'!E23=0,"",'PolyU Score Calculation'!E23)</f>
        <v>Best 5</v>
      </c>
      <c r="F113" s="251" t="s">
        <v>1978</v>
      </c>
      <c r="G113" s="251">
        <f>'PolyU Score Calculation'!W23</f>
        <v>243.50000000253999</v>
      </c>
      <c r="H113" s="251">
        <f>'PolyU Score Calculation'!V23</f>
        <v>200.00000000289998</v>
      </c>
      <c r="I113" s="251" t="s">
        <v>3034</v>
      </c>
      <c r="J113" s="251" t="s">
        <v>3035</v>
      </c>
      <c r="K113" s="344" t="s">
        <v>3048</v>
      </c>
      <c r="L113" s="344" t="s">
        <v>1970</v>
      </c>
      <c r="M113" s="344" t="s">
        <v>1970</v>
      </c>
      <c r="N113" s="251" t="str">
        <f>'PolyU Score Calculation'!M23</f>
        <v>JS3600</v>
      </c>
      <c r="O113" s="251" t="str">
        <f>'PolyU Score Calculation'!N23</f>
        <v>生物醫學工程(榮譽)理學士學位</v>
      </c>
      <c r="P113" s="251" t="str">
        <f>'PolyU Score Calculation'!O23</f>
        <v>Best 5</v>
      </c>
      <c r="Q113" s="251" t="str">
        <f>'PolyU Score Calculation'!P23</f>
        <v>x10: 數學、M1/2、生物、化學、物理、組合科學</v>
      </c>
      <c r="R113" s="251" t="str">
        <f>'PolyU Score Calculation'!Q23</f>
        <v>x7: 中文、英文、通識</v>
      </c>
      <c r="S113" s="251" t="str">
        <f>'PolyU Score Calculation'!R23</f>
        <v>x5: 其他科目</v>
      </c>
      <c r="T113" s="251" t="str">
        <f>IF('PolyU Score Calculation'!D23=0,"",'PolyU Score Calculation'!D23)</f>
        <v>BIOMEDICAL ENGG</v>
      </c>
      <c r="U113" s="251" t="s">
        <v>2165</v>
      </c>
      <c r="V113" s="251">
        <f>IF('PolyU Score Calculation'!T23=0,"",'PolyU Score Calculation'!T23)</f>
        <v>23.6</v>
      </c>
      <c r="W113" s="251">
        <f>'PolyU Score Calculation'!U23</f>
        <v>23.6</v>
      </c>
      <c r="X113" s="344">
        <f>'A123'!J121</f>
        <v>24</v>
      </c>
      <c r="Y113" s="344" t="str">
        <f>'A123'!K121</f>
        <v>/</v>
      </c>
      <c r="Z113" s="344" t="str">
        <f>'A123'!L121</f>
        <v>新科目</v>
      </c>
      <c r="AA113" s="251" t="s">
        <v>2165</v>
      </c>
      <c r="AB113" s="344" t="str">
        <f>入學要求!X122</f>
        <v>/</v>
      </c>
      <c r="AC113" s="344" t="str">
        <f>入學要求!Y122</f>
        <v>/</v>
      </c>
      <c r="AD113" s="251" t="str">
        <f>'PolyU Score Calculation'!E23</f>
        <v>Best 5</v>
      </c>
      <c r="AE113" s="251" t="s">
        <v>1970</v>
      </c>
      <c r="AF113" s="251" t="s">
        <v>1970</v>
      </c>
      <c r="AG113" s="344" t="str">
        <f>'PolyU Score Calculation'!I23</f>
        <v>x10: 數學、M1/2、生物、化學、物理、組合科學</v>
      </c>
      <c r="AH113" s="344" t="str">
        <f>'PolyU Score Calculation'!J23</f>
        <v>x7: 中文、英文、通識</v>
      </c>
      <c r="AI113" s="344" t="str">
        <f>'PolyU Score Calculation'!K23</f>
        <v>x5: 其他科目</v>
      </c>
      <c r="AJ113" s="251" t="s">
        <v>1970</v>
      </c>
      <c r="AK113" s="251" t="s">
        <v>1970</v>
      </c>
      <c r="AL113" s="251" t="s">
        <v>1970</v>
      </c>
      <c r="AM113" s="251" t="s">
        <v>3043</v>
      </c>
      <c r="AN113" s="251" t="str">
        <f t="shared" si="405"/>
        <v>JS3600 生物醫學工程(榮譽)理學士學位</v>
      </c>
      <c r="AO113" s="251" t="s">
        <v>1970</v>
      </c>
      <c r="AP113" s="251" t="s">
        <v>1970</v>
      </c>
      <c r="AQ113" s="344" t="s">
        <v>1970</v>
      </c>
      <c r="AR113" s="344" t="s">
        <v>2150</v>
      </c>
      <c r="AS113" s="251" t="s">
        <v>3608</v>
      </c>
      <c r="AT113" s="251" t="s">
        <v>1970</v>
      </c>
      <c r="AU113" s="251" t="s">
        <v>1970</v>
      </c>
      <c r="AV113" s="344" t="s">
        <v>3728</v>
      </c>
      <c r="AW113" s="344" t="s">
        <v>3726</v>
      </c>
      <c r="AX113" s="344" t="s">
        <v>3729</v>
      </c>
      <c r="AY113" s="344" t="s">
        <v>3730</v>
      </c>
      <c r="AZ113" s="344" t="s">
        <v>3732</v>
      </c>
      <c r="BA113" s="344" t="s">
        <v>3734</v>
      </c>
      <c r="BB113" s="251">
        <f>'PolyU Score Calculation'!X23</f>
        <v>7</v>
      </c>
      <c r="BC113" s="251">
        <f>'PolyU Score Calculation'!Y23</f>
        <v>7</v>
      </c>
      <c r="BD113" s="251">
        <f>'PolyU Score Calculation'!Z23</f>
        <v>10</v>
      </c>
      <c r="BE113" s="251">
        <f>'PolyU Score Calculation'!AA23</f>
        <v>7</v>
      </c>
      <c r="BF113" s="251">
        <f>'PolyU Score Calculation'!AB23</f>
        <v>10</v>
      </c>
      <c r="BG113" s="251">
        <f>'PolyU Score Calculation'!AC23</f>
        <v>10</v>
      </c>
      <c r="BH113" s="251">
        <f>'PolyU Score Calculation'!AD23</f>
        <v>10</v>
      </c>
      <c r="BI113" s="251">
        <f>'PolyU Score Calculation'!AE23</f>
        <v>10</v>
      </c>
      <c r="BJ113" s="251">
        <f>'PolyU Score Calculation'!AF23</f>
        <v>4.00000000001</v>
      </c>
      <c r="BK113" s="251">
        <f>'PolyU Score Calculation'!AG23</f>
        <v>4.00000000002</v>
      </c>
      <c r="BL113" s="251">
        <f>'PolyU Score Calculation'!AH23</f>
        <v>4.00000000003</v>
      </c>
      <c r="BM113" s="251">
        <f>'PolyU Score Calculation'!AI23</f>
        <v>5.50000000004</v>
      </c>
      <c r="BN113" s="251">
        <f>'PolyU Score Calculation'!AJ23</f>
        <v>4.00000000005</v>
      </c>
      <c r="BO113" s="251">
        <f>'PolyU Score Calculation'!AK23</f>
        <v>4.00000000006</v>
      </c>
      <c r="BP113" s="251">
        <f>'PolyU Score Calculation'!AL23</f>
        <v>4.00000000007</v>
      </c>
      <c r="BQ113" s="251">
        <f>'PolyU Score Calculation'!AM23</f>
        <v>4.00000000008</v>
      </c>
      <c r="BR113" s="251">
        <f>'PolyU Score Calculation'!AN23</f>
        <v>28.000000000069999</v>
      </c>
      <c r="BS113" s="251">
        <f>'PolyU Score Calculation'!AO23</f>
        <v>28.000000000139998</v>
      </c>
      <c r="BT113" s="251">
        <f>'PolyU Score Calculation'!AP23</f>
        <v>40.000000000299998</v>
      </c>
      <c r="BU113" s="251">
        <f>'PolyU Score Calculation'!AQ23</f>
        <v>38.500000000279996</v>
      </c>
      <c r="BV113" s="251">
        <f>'PolyU Score Calculation'!AR23</f>
        <v>40.000000000500002</v>
      </c>
      <c r="BW113" s="251">
        <f>'PolyU Score Calculation'!AS23</f>
        <v>40.000000000599996</v>
      </c>
      <c r="BX113" s="251">
        <f>'PolyU Score Calculation'!AT23</f>
        <v>40.000000000699998</v>
      </c>
      <c r="BY113" s="251">
        <f>'PolyU Score Calculation'!AU23</f>
        <v>40.0000000008</v>
      </c>
      <c r="BZ113" s="251" t="b">
        <f>'PolyU Score Calculation'!AV23</f>
        <v>0</v>
      </c>
      <c r="CA113" s="251" t="b">
        <f>'PolyU Score Calculation'!AW23</f>
        <v>0</v>
      </c>
      <c r="CB113" s="251" t="b">
        <f>'PolyU Score Calculation'!AX23</f>
        <v>1</v>
      </c>
      <c r="CC113" s="251" t="b">
        <f>'PolyU Score Calculation'!AY23</f>
        <v>0</v>
      </c>
      <c r="CD113" s="251" t="b">
        <f>'PolyU Score Calculation'!AZ23</f>
        <v>1</v>
      </c>
      <c r="CE113" s="251" t="b">
        <f>'PolyU Score Calculation'!BA23</f>
        <v>1</v>
      </c>
      <c r="CF113" s="251" t="b">
        <f>'PolyU Score Calculation'!BB23</f>
        <v>1</v>
      </c>
      <c r="CG113" s="251" t="b">
        <f>'PolyU Score Calculation'!BC23</f>
        <v>1</v>
      </c>
      <c r="CH113" s="251">
        <f>'PolyU Score Calculation'!BD23</f>
        <v>7</v>
      </c>
      <c r="CI113" s="251">
        <f>'PolyU Score Calculation'!BE23</f>
        <v>7</v>
      </c>
      <c r="CJ113" s="251">
        <f>'PolyU Score Calculation'!BF23</f>
        <v>10</v>
      </c>
      <c r="CK113" s="251">
        <f>'PolyU Score Calculation'!BG23</f>
        <v>7</v>
      </c>
      <c r="CL113" s="251">
        <f>'PolyU Score Calculation'!BH23</f>
        <v>10</v>
      </c>
      <c r="CM113" s="251">
        <f>'PolyU Score Calculation'!BI23</f>
        <v>10</v>
      </c>
      <c r="CN113" s="251">
        <f>'PolyU Score Calculation'!BJ23</f>
        <v>10</v>
      </c>
      <c r="CO113" s="251">
        <f>'PolyU Score Calculation'!BK23</f>
        <v>10</v>
      </c>
      <c r="CP113" s="251">
        <f>'PolyU Score Calculation'!BL23</f>
        <v>5.50000000001</v>
      </c>
      <c r="CQ113" s="251">
        <f>'PolyU Score Calculation'!BM23</f>
        <v>5.50000000002</v>
      </c>
      <c r="CR113" s="251">
        <f>'PolyU Score Calculation'!BN23</f>
        <v>5.50000000003</v>
      </c>
      <c r="CS113" s="251">
        <f>'PolyU Score Calculation'!BO23</f>
        <v>4.00000000004</v>
      </c>
      <c r="CT113" s="251">
        <f>'PolyU Score Calculation'!BP23</f>
        <v>5.0000000000000002E-11</v>
      </c>
      <c r="CU113" s="251">
        <f>'PolyU Score Calculation'!BQ23</f>
        <v>5.50000000006</v>
      </c>
      <c r="CV113" s="251">
        <f>'PolyU Score Calculation'!BR23</f>
        <v>5.50000000007</v>
      </c>
      <c r="CW113" s="251">
        <f>'PolyU Score Calculation'!BS23</f>
        <v>4.00000000008</v>
      </c>
      <c r="CX113" s="251">
        <f>'PolyU Score Calculation'!BT23</f>
        <v>38.500000000070003</v>
      </c>
      <c r="CY113" s="251">
        <f>'PolyU Score Calculation'!BU23</f>
        <v>38.500000000139998</v>
      </c>
      <c r="CZ113" s="251">
        <f>'PolyU Score Calculation'!BV23</f>
        <v>55.000000000299998</v>
      </c>
      <c r="DA113" s="251">
        <f>'PolyU Score Calculation'!BW23</f>
        <v>28.00000000028</v>
      </c>
      <c r="DB113" s="251">
        <f>'PolyU Score Calculation'!BX23</f>
        <v>5.0000000000000003E-10</v>
      </c>
      <c r="DC113" s="251">
        <f>'PolyU Score Calculation'!BY23</f>
        <v>55.000000000599996</v>
      </c>
      <c r="DD113" s="251">
        <f>'PolyU Score Calculation'!BZ23</f>
        <v>55.000000000699998</v>
      </c>
      <c r="DE113" s="251">
        <f>'PolyU Score Calculation'!CA23</f>
        <v>40.0000000008</v>
      </c>
      <c r="DF113" s="251" t="b">
        <f>'PolyU Score Calculation'!CB23</f>
        <v>0</v>
      </c>
      <c r="DG113" s="251" t="b">
        <f>'PolyU Score Calculation'!CC23</f>
        <v>1</v>
      </c>
      <c r="DH113" s="251" t="b">
        <f>'PolyU Score Calculation'!CD23</f>
        <v>1</v>
      </c>
      <c r="DI113" s="251" t="b">
        <f>'PolyU Score Calculation'!CE23</f>
        <v>0</v>
      </c>
      <c r="DJ113" s="251" t="b">
        <f>'PolyU Score Calculation'!CF23</f>
        <v>0</v>
      </c>
      <c r="DK113" s="251" t="b">
        <f>'PolyU Score Calculation'!CG23</f>
        <v>1</v>
      </c>
      <c r="DL113" s="251" t="b">
        <f>'PolyU Score Calculation'!CH23</f>
        <v>1</v>
      </c>
      <c r="DM113" s="251" t="b">
        <f>'PolyU Score Calculation'!CI23</f>
        <v>1</v>
      </c>
    </row>
    <row r="114" spans="1:117" s="251" customFormat="1" x14ac:dyDescent="0.3">
      <c r="A114" s="251" t="str">
        <f>'PolyU Score Calculation'!A24</f>
        <v>JS3170</v>
      </c>
      <c r="B114" s="251" t="s">
        <v>2246</v>
      </c>
      <c r="C114" s="251" t="str">
        <f>IF('PolyU Score Calculation'!B24=0,"",'PolyU Score Calculation'!B24)</f>
        <v>工程學院</v>
      </c>
      <c r="D114" s="251" t="str">
        <f>IF('PolyU Score Calculation'!C24=0,"",'PolyU Score Calculation'!C24)</f>
        <v>電機工程學(榮譽)工學士組合課程</v>
      </c>
      <c r="E114" s="251" t="str">
        <f>IF('PolyU Score Calculation'!E24=0,"",'PolyU Score Calculation'!E24)</f>
        <v>Best 5</v>
      </c>
      <c r="F114" s="251" t="s">
        <v>1978</v>
      </c>
      <c r="G114" s="251">
        <f>'PolyU Score Calculation'!W24</f>
        <v>168.00000000207999</v>
      </c>
      <c r="H114" s="251">
        <f>'PolyU Score Calculation'!V24</f>
        <v>161.00000000207999</v>
      </c>
      <c r="I114" s="251" t="s">
        <v>3034</v>
      </c>
      <c r="J114" s="251" t="s">
        <v>3035</v>
      </c>
      <c r="K114" s="344" t="s">
        <v>3048</v>
      </c>
      <c r="L114" s="344" t="s">
        <v>1970</v>
      </c>
      <c r="M114" s="344" t="s">
        <v>1970</v>
      </c>
      <c r="N114" s="251" t="str">
        <f>'PolyU Score Calculation'!M24</f>
        <v>JS3351</v>
      </c>
      <c r="O114" s="251" t="str">
        <f>'PolyU Score Calculation'!N24</f>
        <v>運輸系統工程學(榮譽)工學士學位</v>
      </c>
      <c r="P114" s="251" t="str">
        <f>'PolyU Score Calculation'!O24</f>
        <v>Best 5</v>
      </c>
      <c r="Q114" s="251" t="str">
        <f>'PolyU Score Calculation'!P24</f>
        <v>x10: 英文、數學、M1/2、生物、化學、物理、組合科學、ICT</v>
      </c>
      <c r="R114" s="251" t="str">
        <f>'PolyU Score Calculation'!Q24</f>
        <v>x7: 中文、通識</v>
      </c>
      <c r="S114" s="251" t="str">
        <f>'PolyU Score Calculation'!R24</f>
        <v>x5: 其他科目</v>
      </c>
      <c r="T114" s="251" t="str">
        <f>IF('PolyU Score Calculation'!D24=0,"",'PolyU Score Calculation'!D24)</f>
        <v>ELECTRICAL ENGG</v>
      </c>
      <c r="U114" s="251" t="s">
        <v>2165</v>
      </c>
      <c r="V114" s="251">
        <f>IF('PolyU Score Calculation'!T24=0,"",'PolyU Score Calculation'!T24)</f>
        <v>19.5</v>
      </c>
      <c r="W114" s="251">
        <f>'PolyU Score Calculation'!U24</f>
        <v>18.2</v>
      </c>
      <c r="X114" s="344">
        <f>'A123'!J122</f>
        <v>61</v>
      </c>
      <c r="Y114" s="344" t="str">
        <f>'A123'!K122</f>
        <v>/</v>
      </c>
      <c r="Z114" s="344" t="str">
        <f>'A123'!L122</f>
        <v>新科目</v>
      </c>
      <c r="AA114" s="251" t="s">
        <v>2165</v>
      </c>
      <c r="AB114" s="344" t="str">
        <f>入學要求!X123</f>
        <v>/</v>
      </c>
      <c r="AC114" s="344" t="str">
        <f>入學要求!Y123</f>
        <v>/</v>
      </c>
      <c r="AD114" s="251" t="str">
        <f>'PolyU Score Calculation'!E24</f>
        <v>Best 5</v>
      </c>
      <c r="AE114" s="251" t="s">
        <v>1970</v>
      </c>
      <c r="AF114" s="251" t="s">
        <v>1970</v>
      </c>
      <c r="AG114" s="344" t="str">
        <f>'PolyU Score Calculation'!I24</f>
        <v>x10: 英文、數學、M1/2、生物、化學、物理、組合科學、ICT</v>
      </c>
      <c r="AH114" s="344" t="str">
        <f>'PolyU Score Calculation'!J24</f>
        <v>x7: 中文、通識</v>
      </c>
      <c r="AI114" s="344" t="str">
        <f>'PolyU Score Calculation'!K24</f>
        <v>x5: 其他科目</v>
      </c>
      <c r="AJ114" s="251" t="s">
        <v>1970</v>
      </c>
      <c r="AK114" s="251" t="s">
        <v>1970</v>
      </c>
      <c r="AL114" s="251" t="s">
        <v>1970</v>
      </c>
      <c r="AM114" s="251" t="s">
        <v>3043</v>
      </c>
      <c r="AN114" s="251" t="str">
        <f t="shared" si="405"/>
        <v>JS3351 運輸系統工程學(榮譽)工學士學位</v>
      </c>
      <c r="AO114" s="251" t="str">
        <f>AN115</f>
        <v>JS3715 電機工程學(榮譽)工學士學位</v>
      </c>
      <c r="AP114" s="251" t="s">
        <v>1970</v>
      </c>
      <c r="AQ114" s="344" t="s">
        <v>1970</v>
      </c>
      <c r="AR114" s="344" t="s">
        <v>2150</v>
      </c>
      <c r="AS114" s="251" t="s">
        <v>3620</v>
      </c>
      <c r="AT114" s="251" t="s">
        <v>3632</v>
      </c>
      <c r="AU114" s="251" t="s">
        <v>3634</v>
      </c>
      <c r="AV114" s="344" t="s">
        <v>3728</v>
      </c>
      <c r="AW114" s="344" t="s">
        <v>3726</v>
      </c>
      <c r="AX114" s="344" t="s">
        <v>3729</v>
      </c>
      <c r="AY114" s="344" t="s">
        <v>3730</v>
      </c>
      <c r="AZ114" s="344" t="s">
        <v>3732</v>
      </c>
      <c r="BA114" s="344" t="s">
        <v>3734</v>
      </c>
      <c r="BB114" s="251">
        <f>'PolyU Score Calculation'!X24</f>
        <v>7</v>
      </c>
      <c r="BC114" s="251">
        <f>'PolyU Score Calculation'!Y24</f>
        <v>10</v>
      </c>
      <c r="BD114" s="251">
        <f>'PolyU Score Calculation'!Z24</f>
        <v>10</v>
      </c>
      <c r="BE114" s="251">
        <f>'PolyU Score Calculation'!AA24</f>
        <v>7</v>
      </c>
      <c r="BF114" s="251">
        <f>'PolyU Score Calculation'!AB24</f>
        <v>10</v>
      </c>
      <c r="BG114" s="251">
        <f>'PolyU Score Calculation'!AC24</f>
        <v>10</v>
      </c>
      <c r="BH114" s="251">
        <f>'PolyU Score Calculation'!AD24</f>
        <v>10</v>
      </c>
      <c r="BI114" s="251">
        <f>'PolyU Score Calculation'!AE24</f>
        <v>10</v>
      </c>
      <c r="BJ114" s="251">
        <f>'PolyU Score Calculation'!AF24</f>
        <v>3.00000000001</v>
      </c>
      <c r="BK114" s="251">
        <f>'PolyU Score Calculation'!AG24</f>
        <v>3.00000000002</v>
      </c>
      <c r="BL114" s="251">
        <f>'PolyU Score Calculation'!AH24</f>
        <v>4.00000000003</v>
      </c>
      <c r="BM114" s="251">
        <f>'PolyU Score Calculation'!AI24</f>
        <v>3.00000000004</v>
      </c>
      <c r="BN114" s="251">
        <f>'PolyU Score Calculation'!AJ24</f>
        <v>5.0000000000000002E-11</v>
      </c>
      <c r="BO114" s="251">
        <f>'PolyU Score Calculation'!AK24</f>
        <v>4.00000000006</v>
      </c>
      <c r="BP114" s="251">
        <f>'PolyU Score Calculation'!AL24</f>
        <v>3.00000000007</v>
      </c>
      <c r="BQ114" s="251">
        <f>'PolyU Score Calculation'!AM24</f>
        <v>7.9999999999999995E-11</v>
      </c>
      <c r="BR114" s="251">
        <f>'PolyU Score Calculation'!AN24</f>
        <v>21.000000000069999</v>
      </c>
      <c r="BS114" s="251">
        <f>'PolyU Score Calculation'!AO24</f>
        <v>30.0000000002</v>
      </c>
      <c r="BT114" s="251">
        <f>'PolyU Score Calculation'!AP24</f>
        <v>40.000000000299998</v>
      </c>
      <c r="BU114" s="251">
        <f>'PolyU Score Calculation'!AQ24</f>
        <v>21.00000000028</v>
      </c>
      <c r="BV114" s="251">
        <f>'PolyU Score Calculation'!AR24</f>
        <v>5.0000000000000003E-10</v>
      </c>
      <c r="BW114" s="251">
        <f>'PolyU Score Calculation'!AS24</f>
        <v>40.000000000599996</v>
      </c>
      <c r="BX114" s="251">
        <f>'PolyU Score Calculation'!AT24</f>
        <v>30.000000000699998</v>
      </c>
      <c r="BY114" s="251">
        <f>'PolyU Score Calculation'!AU24</f>
        <v>7.9999999999999993E-10</v>
      </c>
      <c r="BZ114" s="251" t="b">
        <f>'PolyU Score Calculation'!AV24</f>
        <v>0</v>
      </c>
      <c r="CA114" s="251" t="b">
        <f>'PolyU Score Calculation'!AW24</f>
        <v>1</v>
      </c>
      <c r="CB114" s="251" t="b">
        <f>'PolyU Score Calculation'!AX24</f>
        <v>1</v>
      </c>
      <c r="CC114" s="251" t="b">
        <f>'PolyU Score Calculation'!AY24</f>
        <v>1</v>
      </c>
      <c r="CD114" s="251" t="b">
        <f>'PolyU Score Calculation'!AZ24</f>
        <v>0</v>
      </c>
      <c r="CE114" s="251" t="b">
        <f>'PolyU Score Calculation'!BA24</f>
        <v>1</v>
      </c>
      <c r="CF114" s="251" t="b">
        <f>'PolyU Score Calculation'!BB24</f>
        <v>1</v>
      </c>
      <c r="CG114" s="251" t="b">
        <f>'PolyU Score Calculation'!BC24</f>
        <v>0</v>
      </c>
      <c r="CH114" s="251">
        <f>'PolyU Score Calculation'!BD24</f>
        <v>7</v>
      </c>
      <c r="CI114" s="251">
        <f>'PolyU Score Calculation'!BE24</f>
        <v>10</v>
      </c>
      <c r="CJ114" s="251">
        <f>'PolyU Score Calculation'!BF24</f>
        <v>10</v>
      </c>
      <c r="CK114" s="251">
        <f>'PolyU Score Calculation'!BG24</f>
        <v>7</v>
      </c>
      <c r="CL114" s="251">
        <f>'PolyU Score Calculation'!BH24</f>
        <v>10</v>
      </c>
      <c r="CM114" s="251">
        <f>'PolyU Score Calculation'!BI24</f>
        <v>10</v>
      </c>
      <c r="CN114" s="251">
        <f>'PolyU Score Calculation'!BJ24</f>
        <v>10</v>
      </c>
      <c r="CO114" s="251">
        <f>'PolyU Score Calculation'!BK24</f>
        <v>10</v>
      </c>
      <c r="CP114" s="251">
        <f>'PolyU Score Calculation'!BL24</f>
        <v>3.00000000001</v>
      </c>
      <c r="CQ114" s="251">
        <f>'PolyU Score Calculation'!BM24</f>
        <v>4.00000000002</v>
      </c>
      <c r="CR114" s="251">
        <f>'PolyU Score Calculation'!BN24</f>
        <v>3.00000000003</v>
      </c>
      <c r="CS114" s="251">
        <f>'PolyU Score Calculation'!BO24</f>
        <v>4.00000000004</v>
      </c>
      <c r="CT114" s="251">
        <f>'PolyU Score Calculation'!BP24</f>
        <v>5.0000000000000002E-11</v>
      </c>
      <c r="CU114" s="251">
        <f>'PolyU Score Calculation'!BQ24</f>
        <v>4.00000000006</v>
      </c>
      <c r="CV114" s="251">
        <f>'PolyU Score Calculation'!BR24</f>
        <v>3.00000000007</v>
      </c>
      <c r="CW114" s="251">
        <f>'PolyU Score Calculation'!BS24</f>
        <v>7.9999999999999995E-11</v>
      </c>
      <c r="CX114" s="251">
        <f>'PolyU Score Calculation'!BT24</f>
        <v>21.000000000069999</v>
      </c>
      <c r="CY114" s="251">
        <f>'PolyU Score Calculation'!BU24</f>
        <v>40.000000000200004</v>
      </c>
      <c r="CZ114" s="251">
        <f>'PolyU Score Calculation'!BV24</f>
        <v>30.000000000299998</v>
      </c>
      <c r="DA114" s="251">
        <f>'PolyU Score Calculation'!BW24</f>
        <v>28.00000000028</v>
      </c>
      <c r="DB114" s="251">
        <f>'PolyU Score Calculation'!BX24</f>
        <v>5.0000000000000003E-10</v>
      </c>
      <c r="DC114" s="251">
        <f>'PolyU Score Calculation'!BY24</f>
        <v>40.000000000599996</v>
      </c>
      <c r="DD114" s="251">
        <f>'PolyU Score Calculation'!BZ24</f>
        <v>30.000000000699998</v>
      </c>
      <c r="DE114" s="251">
        <f>'PolyU Score Calculation'!CA24</f>
        <v>7.9999999999999993E-10</v>
      </c>
      <c r="DF114" s="251" t="b">
        <f>'PolyU Score Calculation'!CB24</f>
        <v>0</v>
      </c>
      <c r="DG114" s="251" t="b">
        <f>'PolyU Score Calculation'!CC24</f>
        <v>1</v>
      </c>
      <c r="DH114" s="251" t="b">
        <f>'PolyU Score Calculation'!CD24</f>
        <v>1</v>
      </c>
      <c r="DI114" s="251" t="b">
        <f>'PolyU Score Calculation'!CE24</f>
        <v>1</v>
      </c>
      <c r="DJ114" s="251" t="b">
        <f>'PolyU Score Calculation'!CF24</f>
        <v>0</v>
      </c>
      <c r="DK114" s="251" t="b">
        <f>'PolyU Score Calculation'!CG24</f>
        <v>1</v>
      </c>
      <c r="DL114" s="251" t="b">
        <f>'PolyU Score Calculation'!CH24</f>
        <v>1</v>
      </c>
      <c r="DM114" s="251" t="b">
        <f>'PolyU Score Calculation'!CI24</f>
        <v>0</v>
      </c>
    </row>
    <row r="115" spans="1:117" s="251" customFormat="1" x14ac:dyDescent="0.3">
      <c r="A115" s="251" t="str">
        <f>'PolyU Score Calculation'!A25</f>
        <v>JS3170-2</v>
      </c>
      <c r="B115" s="251" t="s">
        <v>2246</v>
      </c>
      <c r="C115" s="251" t="str">
        <f>IF('PolyU Score Calculation'!B25=0,"",'PolyU Score Calculation'!B25)</f>
        <v/>
      </c>
      <c r="D115" s="251" t="str">
        <f>IF('PolyU Score Calculation'!C25=0,"",'PolyU Score Calculation'!C25)</f>
        <v/>
      </c>
      <c r="E115" s="251" t="str">
        <f>IF('PolyU Score Calculation'!E25=0,"",'PolyU Score Calculation'!E25)</f>
        <v/>
      </c>
      <c r="F115" s="251" t="s">
        <v>1978</v>
      </c>
      <c r="G115" s="251">
        <f>'PolyU Score Calculation'!W25</f>
        <v>183.00000000187001</v>
      </c>
      <c r="H115" s="251">
        <f>'PolyU Score Calculation'!V25</f>
        <v>168.50000000187001</v>
      </c>
      <c r="I115" s="251" t="s">
        <v>3034</v>
      </c>
      <c r="J115" s="251" t="s">
        <v>3035</v>
      </c>
      <c r="K115" s="344" t="s">
        <v>3048</v>
      </c>
      <c r="L115" s="344" t="s">
        <v>1970</v>
      </c>
      <c r="M115" s="344" t="s">
        <v>1970</v>
      </c>
      <c r="N115" s="251" t="str">
        <f>'PolyU Score Calculation'!M25</f>
        <v>JS3715</v>
      </c>
      <c r="O115" s="251" t="str">
        <f>'PolyU Score Calculation'!N25</f>
        <v>電機工程學(榮譽)工學士學位</v>
      </c>
      <c r="P115" s="251" t="str">
        <f>'PolyU Score Calculation'!O25</f>
        <v>Best 5</v>
      </c>
      <c r="Q115" s="251" t="str">
        <f>'PolyU Score Calculation'!P25</f>
        <v>x10: 英文、數學、M1/2、生物、化學、物理、組合科學、ICT</v>
      </c>
      <c r="R115" s="251" t="str">
        <f>'PolyU Score Calculation'!Q25</f>
        <v>x7: 中文、通識</v>
      </c>
      <c r="S115" s="251" t="str">
        <f>'PolyU Score Calculation'!R25</f>
        <v>x5: 其他科目</v>
      </c>
      <c r="T115" s="251" t="str">
        <f>IF('PolyU Score Calculation'!D25=0,"",'PolyU Score Calculation'!D25)</f>
        <v/>
      </c>
      <c r="U115" s="251" t="s">
        <v>2165</v>
      </c>
      <c r="V115" s="251" t="str">
        <f>IF('PolyU Score Calculation'!T25=0,"",'PolyU Score Calculation'!T25)</f>
        <v/>
      </c>
      <c r="W115" s="251">
        <f>'PolyU Score Calculation'!U25</f>
        <v>20.2</v>
      </c>
      <c r="X115" s="344">
        <f>'A123'!J123</f>
        <v>0</v>
      </c>
      <c r="Y115" s="344" t="str">
        <f>'A123'!K123</f>
        <v>/</v>
      </c>
      <c r="Z115" s="344" t="str">
        <f>'A123'!L123</f>
        <v>新科目</v>
      </c>
      <c r="AB115" s="344" t="str">
        <f>入學要求!X124</f>
        <v>/</v>
      </c>
      <c r="AC115" s="344" t="str">
        <f>入學要求!Y124</f>
        <v>/</v>
      </c>
      <c r="AD115" s="251">
        <f>'PolyU Score Calculation'!E25</f>
        <v>0</v>
      </c>
      <c r="AE115" s="251" t="s">
        <v>1970</v>
      </c>
      <c r="AF115" s="251" t="s">
        <v>1970</v>
      </c>
      <c r="AG115" s="344">
        <f>'PolyU Score Calculation'!I25</f>
        <v>0</v>
      </c>
      <c r="AH115" s="344">
        <f>'PolyU Score Calculation'!J25</f>
        <v>0</v>
      </c>
      <c r="AI115" s="344">
        <f>'PolyU Score Calculation'!K25</f>
        <v>0</v>
      </c>
      <c r="AJ115" s="251" t="s">
        <v>1970</v>
      </c>
      <c r="AK115" s="251" t="s">
        <v>1970</v>
      </c>
      <c r="AL115" s="251" t="s">
        <v>1970</v>
      </c>
      <c r="AM115" s="251" t="s">
        <v>1970</v>
      </c>
      <c r="AN115" s="251" t="str">
        <f t="shared" si="405"/>
        <v>JS3715 電機工程學(榮譽)工學士學位</v>
      </c>
      <c r="AO115" s="251" t="s">
        <v>1970</v>
      </c>
      <c r="AP115" s="251" t="s">
        <v>1970</v>
      </c>
      <c r="AQ115" s="344" t="s">
        <v>1970</v>
      </c>
      <c r="AR115" s="344" t="s">
        <v>2150</v>
      </c>
      <c r="AV115" s="344" t="s">
        <v>3728</v>
      </c>
      <c r="AW115" s="344" t="s">
        <v>3726</v>
      </c>
      <c r="AX115" s="344" t="s">
        <v>3729</v>
      </c>
      <c r="AY115" s="344" t="s">
        <v>3730</v>
      </c>
      <c r="AZ115" s="344" t="s">
        <v>3732</v>
      </c>
      <c r="BA115" s="344" t="s">
        <v>3734</v>
      </c>
      <c r="BB115" s="251">
        <f>'PolyU Score Calculation'!X25</f>
        <v>7</v>
      </c>
      <c r="BC115" s="251">
        <f>'PolyU Score Calculation'!Y25</f>
        <v>10</v>
      </c>
      <c r="BD115" s="251">
        <f>'PolyU Score Calculation'!Z25</f>
        <v>10</v>
      </c>
      <c r="BE115" s="251">
        <f>'PolyU Score Calculation'!AA25</f>
        <v>7</v>
      </c>
      <c r="BF115" s="251">
        <f>'PolyU Score Calculation'!AB25</f>
        <v>10</v>
      </c>
      <c r="BG115" s="251">
        <f>'PolyU Score Calculation'!AC25</f>
        <v>10</v>
      </c>
      <c r="BH115" s="251">
        <f>'PolyU Score Calculation'!AD25</f>
        <v>10</v>
      </c>
      <c r="BI115" s="251">
        <f>'PolyU Score Calculation'!AE25</f>
        <v>10</v>
      </c>
      <c r="BJ115" s="251">
        <f>'PolyU Score Calculation'!AF25</f>
        <v>5.50000000001</v>
      </c>
      <c r="BK115" s="251">
        <f>'PolyU Score Calculation'!AG25</f>
        <v>3.00000000002</v>
      </c>
      <c r="BL115" s="251">
        <f>'PolyU Score Calculation'!AH25</f>
        <v>4.00000000003</v>
      </c>
      <c r="BM115" s="251">
        <f>'PolyU Score Calculation'!AI25</f>
        <v>4.00000000004</v>
      </c>
      <c r="BN115" s="251">
        <f>'PolyU Score Calculation'!AJ25</f>
        <v>2.00000000005</v>
      </c>
      <c r="BO115" s="251">
        <f>'PolyU Score Calculation'!AK25</f>
        <v>3.00000000006</v>
      </c>
      <c r="BP115" s="251">
        <f>'PolyU Score Calculation'!AL25</f>
        <v>3.00000000007</v>
      </c>
      <c r="BQ115" s="251">
        <f>'PolyU Score Calculation'!AM25</f>
        <v>7.9999999999999995E-11</v>
      </c>
      <c r="BR115" s="251">
        <f>'PolyU Score Calculation'!AN25</f>
        <v>38.500000000070003</v>
      </c>
      <c r="BS115" s="251">
        <f>'PolyU Score Calculation'!AO25</f>
        <v>30.0000000002</v>
      </c>
      <c r="BT115" s="251">
        <f>'PolyU Score Calculation'!AP25</f>
        <v>40.000000000299998</v>
      </c>
      <c r="BU115" s="251">
        <f>'PolyU Score Calculation'!AQ25</f>
        <v>28.00000000028</v>
      </c>
      <c r="BV115" s="251">
        <f>'PolyU Score Calculation'!AR25</f>
        <v>20.000000000500002</v>
      </c>
      <c r="BW115" s="251">
        <f>'PolyU Score Calculation'!AS25</f>
        <v>30.0000000006</v>
      </c>
      <c r="BX115" s="251">
        <f>'PolyU Score Calculation'!AT25</f>
        <v>30.000000000699998</v>
      </c>
      <c r="BY115" s="251">
        <f>'PolyU Score Calculation'!AU25</f>
        <v>7.9999999999999993E-10</v>
      </c>
      <c r="BZ115" s="251" t="b">
        <f>'PolyU Score Calculation'!AV25</f>
        <v>1</v>
      </c>
      <c r="CA115" s="251" t="b">
        <f>'PolyU Score Calculation'!AW25</f>
        <v>1</v>
      </c>
      <c r="CB115" s="251" t="b">
        <f>'PolyU Score Calculation'!AX25</f>
        <v>1</v>
      </c>
      <c r="CC115" s="251" t="b">
        <f>'PolyU Score Calculation'!AY25</f>
        <v>0</v>
      </c>
      <c r="CD115" s="251" t="b">
        <f>'PolyU Score Calculation'!AZ25</f>
        <v>0</v>
      </c>
      <c r="CE115" s="251" t="b">
        <f>'PolyU Score Calculation'!BA25</f>
        <v>1</v>
      </c>
      <c r="CF115" s="251" t="b">
        <f>'PolyU Score Calculation'!BB25</f>
        <v>1</v>
      </c>
      <c r="CG115" s="251" t="b">
        <f>'PolyU Score Calculation'!BC25</f>
        <v>0</v>
      </c>
      <c r="CH115" s="251">
        <f>'PolyU Score Calculation'!BD25</f>
        <v>7</v>
      </c>
      <c r="CI115" s="251">
        <f>'PolyU Score Calculation'!BE25</f>
        <v>10</v>
      </c>
      <c r="CJ115" s="251">
        <f>'PolyU Score Calculation'!BF25</f>
        <v>10</v>
      </c>
      <c r="CK115" s="251">
        <f>'PolyU Score Calculation'!BG25</f>
        <v>7</v>
      </c>
      <c r="CL115" s="251">
        <f>'PolyU Score Calculation'!BH25</f>
        <v>10</v>
      </c>
      <c r="CM115" s="251">
        <f>'PolyU Score Calculation'!BI25</f>
        <v>10</v>
      </c>
      <c r="CN115" s="251">
        <f>'PolyU Score Calculation'!BJ25</f>
        <v>10</v>
      </c>
      <c r="CO115" s="251">
        <f>'PolyU Score Calculation'!BK25</f>
        <v>10</v>
      </c>
      <c r="CP115" s="251">
        <f>'PolyU Score Calculation'!BL25</f>
        <v>4.00000000001</v>
      </c>
      <c r="CQ115" s="251">
        <f>'PolyU Score Calculation'!BM25</f>
        <v>3.00000000002</v>
      </c>
      <c r="CR115" s="251">
        <f>'PolyU Score Calculation'!BN25</f>
        <v>4.00000000003</v>
      </c>
      <c r="CS115" s="251">
        <f>'PolyU Score Calculation'!BO25</f>
        <v>3.00000000004</v>
      </c>
      <c r="CT115" s="251">
        <f>'PolyU Score Calculation'!BP25</f>
        <v>5.0000000000000002E-11</v>
      </c>
      <c r="CU115" s="251">
        <f>'PolyU Score Calculation'!BQ25</f>
        <v>5.50000000006</v>
      </c>
      <c r="CV115" s="251">
        <f>'PolyU Score Calculation'!BR25</f>
        <v>3.00000000007</v>
      </c>
      <c r="CW115" s="251">
        <f>'PolyU Score Calculation'!BS25</f>
        <v>7.9999999999999995E-11</v>
      </c>
      <c r="CX115" s="251">
        <f>'PolyU Score Calculation'!BT25</f>
        <v>28.000000000069999</v>
      </c>
      <c r="CY115" s="251">
        <f>'PolyU Score Calculation'!BU25</f>
        <v>30.0000000002</v>
      </c>
      <c r="CZ115" s="251">
        <f>'PolyU Score Calculation'!BV25</f>
        <v>40.000000000299998</v>
      </c>
      <c r="DA115" s="251">
        <f>'PolyU Score Calculation'!BW25</f>
        <v>21.00000000028</v>
      </c>
      <c r="DB115" s="251">
        <f>'PolyU Score Calculation'!BX25</f>
        <v>5.0000000000000003E-10</v>
      </c>
      <c r="DC115" s="251">
        <f>'PolyU Score Calculation'!BY25</f>
        <v>55.000000000599996</v>
      </c>
      <c r="DD115" s="251">
        <f>'PolyU Score Calculation'!BZ25</f>
        <v>30.000000000699998</v>
      </c>
      <c r="DE115" s="251">
        <f>'PolyU Score Calculation'!CA25</f>
        <v>7.9999999999999993E-10</v>
      </c>
      <c r="DF115" s="251" t="b">
        <f>'PolyU Score Calculation'!CB25</f>
        <v>1</v>
      </c>
      <c r="DG115" s="251" t="b">
        <f>'PolyU Score Calculation'!CC25</f>
        <v>1</v>
      </c>
      <c r="DH115" s="251" t="b">
        <f>'PolyU Score Calculation'!CD25</f>
        <v>1</v>
      </c>
      <c r="DI115" s="251" t="b">
        <f>'PolyU Score Calculation'!CE25</f>
        <v>0</v>
      </c>
      <c r="DJ115" s="251" t="b">
        <f>'PolyU Score Calculation'!CF25</f>
        <v>0</v>
      </c>
      <c r="DK115" s="251" t="b">
        <f>'PolyU Score Calculation'!CG25</f>
        <v>1</v>
      </c>
      <c r="DL115" s="251" t="b">
        <f>'PolyU Score Calculation'!CH25</f>
        <v>1</v>
      </c>
      <c r="DM115" s="251" t="b">
        <f>'PolyU Score Calculation'!CI25</f>
        <v>0</v>
      </c>
    </row>
    <row r="116" spans="1:117" s="251" customFormat="1" x14ac:dyDescent="0.3">
      <c r="A116" s="251" t="str">
        <f>'PolyU Score Calculation'!A26</f>
        <v>JS3180</v>
      </c>
      <c r="B116" s="251" t="s">
        <v>2246</v>
      </c>
      <c r="C116" s="251" t="str">
        <f>IF('PolyU Score Calculation'!B26=0,"",'PolyU Score Calculation'!B26)</f>
        <v>工程學院</v>
      </c>
      <c r="D116" s="251" t="str">
        <f>IF('PolyU Score Calculation'!C26=0,"",'PolyU Score Calculation'!C26)</f>
        <v>資訊及人工智能工程學(榮譽)工學士/理學士組合課程</v>
      </c>
      <c r="E116" s="251" t="str">
        <f>IF('PolyU Score Calculation'!E26=0,"",'PolyU Score Calculation'!E26)</f>
        <v>Best 5</v>
      </c>
      <c r="F116" s="251" t="s">
        <v>1978</v>
      </c>
      <c r="G116" s="251">
        <f>'PolyU Score Calculation'!W26</f>
        <v>180.00000000229997</v>
      </c>
      <c r="H116" s="251">
        <f>'PolyU Score Calculation'!V26</f>
        <v>171.00000000207999</v>
      </c>
      <c r="I116" s="251" t="s">
        <v>3034</v>
      </c>
      <c r="J116" s="251" t="s">
        <v>3035</v>
      </c>
      <c r="K116" s="344" t="s">
        <v>3048</v>
      </c>
      <c r="L116" s="344" t="s">
        <v>1970</v>
      </c>
      <c r="M116" s="344" t="s">
        <v>1970</v>
      </c>
      <c r="N116" s="251" t="str">
        <f>'PolyU Score Calculation'!M26</f>
        <v>JS3519</v>
      </c>
      <c r="O116" s="251" t="str">
        <f>'PolyU Score Calculation'!N26</f>
        <v>互聯網及多媒體科技(榮譽)理學士學位</v>
      </c>
      <c r="P116" s="251" t="str">
        <f>'PolyU Score Calculation'!O26</f>
        <v>Best 5</v>
      </c>
      <c r="Q116" s="251" t="str">
        <f>'PolyU Score Calculation'!P26</f>
        <v>x10: 英文、數學、M1/2、生物、化學、物理、組合科學、ICT</v>
      </c>
      <c r="R116" s="251" t="str">
        <f>'PolyU Score Calculation'!Q26</f>
        <v>x7: 中文、通識</v>
      </c>
      <c r="S116" s="251" t="str">
        <f>'PolyU Score Calculation'!R26</f>
        <v>x5: 其他科目</v>
      </c>
      <c r="T116" s="251" t="str">
        <f>IF('PolyU Score Calculation'!D26=0,"",'PolyU Score Calculation'!D26)</f>
        <v>INFO &amp; AI ENGG</v>
      </c>
      <c r="U116" s="251" t="s">
        <v>2165</v>
      </c>
      <c r="V116" s="251">
        <f>IF('PolyU Score Calculation'!T26=0,"",'PolyU Score Calculation'!T26)</f>
        <v>19.7</v>
      </c>
      <c r="W116" s="251">
        <f>'PolyU Score Calculation'!U26</f>
        <v>20.3</v>
      </c>
      <c r="X116" s="344">
        <f>'A123'!J124</f>
        <v>68</v>
      </c>
      <c r="Y116" s="344" t="str">
        <f>'A123'!K124</f>
        <v>/</v>
      </c>
      <c r="Z116" s="344" t="str">
        <f>'A123'!L124</f>
        <v>新科目</v>
      </c>
      <c r="AA116" s="251" t="s">
        <v>2165</v>
      </c>
      <c r="AB116" s="344" t="str">
        <f>入學要求!X125</f>
        <v>/</v>
      </c>
      <c r="AC116" s="344" t="str">
        <f>入學要求!Y125</f>
        <v>/</v>
      </c>
      <c r="AD116" s="251" t="str">
        <f>'PolyU Score Calculation'!E26</f>
        <v>Best 5</v>
      </c>
      <c r="AE116" s="251" t="s">
        <v>1970</v>
      </c>
      <c r="AF116" s="251" t="s">
        <v>1970</v>
      </c>
      <c r="AG116" s="344" t="str">
        <f>'PolyU Score Calculation'!I26</f>
        <v>x10: 英文、數學、M1/2、生物、化學、物理、組合科學、ICT</v>
      </c>
      <c r="AH116" s="344" t="str">
        <f>'PolyU Score Calculation'!J26</f>
        <v>x7: 中文、通識</v>
      </c>
      <c r="AI116" s="344" t="str">
        <f>'PolyU Score Calculation'!K26</f>
        <v>x5: 其他科目</v>
      </c>
      <c r="AJ116" s="251" t="s">
        <v>1970</v>
      </c>
      <c r="AK116" s="251" t="s">
        <v>1970</v>
      </c>
      <c r="AL116" s="251" t="s">
        <v>1970</v>
      </c>
      <c r="AM116" s="251" t="s">
        <v>3043</v>
      </c>
      <c r="AN116" s="251" t="str">
        <f t="shared" si="405"/>
        <v>JS3519 互聯網及多媒體科技(榮譽)理學士學位</v>
      </c>
      <c r="AO116" s="251" t="str">
        <f>AN117</f>
        <v>JS3703 電子及資訊工程學(榮譽)工學士學位</v>
      </c>
      <c r="AP116" s="251" t="s">
        <v>1970</v>
      </c>
      <c r="AQ116" s="344" t="s">
        <v>1970</v>
      </c>
      <c r="AR116" s="344" t="s">
        <v>2150</v>
      </c>
      <c r="AS116" s="251" t="s">
        <v>3620</v>
      </c>
      <c r="AT116" s="251" t="s">
        <v>3638</v>
      </c>
      <c r="AU116" s="251" t="s">
        <v>3635</v>
      </c>
      <c r="AV116" s="344" t="s">
        <v>3728</v>
      </c>
      <c r="AW116" s="344" t="s">
        <v>3726</v>
      </c>
      <c r="AX116" s="344" t="s">
        <v>3729</v>
      </c>
      <c r="AY116" s="344" t="s">
        <v>3730</v>
      </c>
      <c r="AZ116" s="344" t="s">
        <v>3732</v>
      </c>
      <c r="BA116" s="344" t="s">
        <v>3734</v>
      </c>
      <c r="BB116" s="251">
        <f>'PolyU Score Calculation'!X26</f>
        <v>7</v>
      </c>
      <c r="BC116" s="251">
        <f>'PolyU Score Calculation'!Y26</f>
        <v>10</v>
      </c>
      <c r="BD116" s="251">
        <f>'PolyU Score Calculation'!Z26</f>
        <v>10</v>
      </c>
      <c r="BE116" s="251">
        <f>'PolyU Score Calculation'!AA26</f>
        <v>7</v>
      </c>
      <c r="BF116" s="251">
        <f>'PolyU Score Calculation'!AB26</f>
        <v>10</v>
      </c>
      <c r="BG116" s="251">
        <f>'PolyU Score Calculation'!AC26</f>
        <v>10</v>
      </c>
      <c r="BH116" s="251">
        <f>'PolyU Score Calculation'!AD26</f>
        <v>10</v>
      </c>
      <c r="BI116" s="251">
        <f>'PolyU Score Calculation'!AE26</f>
        <v>10</v>
      </c>
      <c r="BJ116" s="251">
        <f>'PolyU Score Calculation'!AF26</f>
        <v>3.00000000001</v>
      </c>
      <c r="BK116" s="251">
        <f>'PolyU Score Calculation'!AG26</f>
        <v>4.00000000002</v>
      </c>
      <c r="BL116" s="251">
        <f>'PolyU Score Calculation'!AH26</f>
        <v>4.00000000003</v>
      </c>
      <c r="BM116" s="251">
        <f>'PolyU Score Calculation'!AI26</f>
        <v>3.00000000004</v>
      </c>
      <c r="BN116" s="251">
        <f>'PolyU Score Calculation'!AJ26</f>
        <v>5.0000000000000002E-11</v>
      </c>
      <c r="BO116" s="251">
        <f>'PolyU Score Calculation'!AK26</f>
        <v>4.00000000006</v>
      </c>
      <c r="BP116" s="251">
        <f>'PolyU Score Calculation'!AL26</f>
        <v>3.00000000007</v>
      </c>
      <c r="BQ116" s="251">
        <f>'PolyU Score Calculation'!AM26</f>
        <v>7.9999999999999995E-11</v>
      </c>
      <c r="BR116" s="251">
        <f>'PolyU Score Calculation'!AN26</f>
        <v>21.000000000069999</v>
      </c>
      <c r="BS116" s="251">
        <f>'PolyU Score Calculation'!AO26</f>
        <v>40.000000000200004</v>
      </c>
      <c r="BT116" s="251">
        <f>'PolyU Score Calculation'!AP26</f>
        <v>40.000000000299998</v>
      </c>
      <c r="BU116" s="251">
        <f>'PolyU Score Calculation'!AQ26</f>
        <v>21.00000000028</v>
      </c>
      <c r="BV116" s="251">
        <f>'PolyU Score Calculation'!AR26</f>
        <v>5.0000000000000003E-10</v>
      </c>
      <c r="BW116" s="251">
        <f>'PolyU Score Calculation'!AS26</f>
        <v>40.000000000599996</v>
      </c>
      <c r="BX116" s="251">
        <f>'PolyU Score Calculation'!AT26</f>
        <v>30.000000000699998</v>
      </c>
      <c r="BY116" s="251">
        <f>'PolyU Score Calculation'!AU26</f>
        <v>7.9999999999999993E-10</v>
      </c>
      <c r="BZ116" s="251" t="b">
        <f>'PolyU Score Calculation'!AV26</f>
        <v>0</v>
      </c>
      <c r="CA116" s="251" t="b">
        <f>'PolyU Score Calculation'!AW26</f>
        <v>1</v>
      </c>
      <c r="CB116" s="251" t="b">
        <f>'PolyU Score Calculation'!AX26</f>
        <v>1</v>
      </c>
      <c r="CC116" s="251" t="b">
        <f>'PolyU Score Calculation'!AY26</f>
        <v>1</v>
      </c>
      <c r="CD116" s="251" t="b">
        <f>'PolyU Score Calculation'!AZ26</f>
        <v>0</v>
      </c>
      <c r="CE116" s="251" t="b">
        <f>'PolyU Score Calculation'!BA26</f>
        <v>1</v>
      </c>
      <c r="CF116" s="251" t="b">
        <f>'PolyU Score Calculation'!BB26</f>
        <v>1</v>
      </c>
      <c r="CG116" s="251" t="b">
        <f>'PolyU Score Calculation'!BC26</f>
        <v>0</v>
      </c>
      <c r="CH116" s="251">
        <f>'PolyU Score Calculation'!BD26</f>
        <v>7</v>
      </c>
      <c r="CI116" s="251">
        <f>'PolyU Score Calculation'!BE26</f>
        <v>10</v>
      </c>
      <c r="CJ116" s="251">
        <f>'PolyU Score Calculation'!BF26</f>
        <v>10</v>
      </c>
      <c r="CK116" s="251">
        <f>'PolyU Score Calculation'!BG26</f>
        <v>7</v>
      </c>
      <c r="CL116" s="251">
        <f>'PolyU Score Calculation'!BH26</f>
        <v>10</v>
      </c>
      <c r="CM116" s="251">
        <f>'PolyU Score Calculation'!BI26</f>
        <v>10</v>
      </c>
      <c r="CN116" s="251">
        <f>'PolyU Score Calculation'!BJ26</f>
        <v>10</v>
      </c>
      <c r="CO116" s="251">
        <f>'PolyU Score Calculation'!BK26</f>
        <v>10</v>
      </c>
      <c r="CP116" s="251">
        <f>'PolyU Score Calculation'!BL26</f>
        <v>3.00000000001</v>
      </c>
      <c r="CQ116" s="251">
        <f>'PolyU Score Calculation'!BM26</f>
        <v>3.00000000002</v>
      </c>
      <c r="CR116" s="251">
        <f>'PolyU Score Calculation'!BN26</f>
        <v>4.00000000003</v>
      </c>
      <c r="CS116" s="251">
        <f>'PolyU Score Calculation'!BO26</f>
        <v>4.00000000004</v>
      </c>
      <c r="CT116" s="251">
        <f>'PolyU Score Calculation'!BP26</f>
        <v>3.00000000005</v>
      </c>
      <c r="CU116" s="251">
        <f>'PolyU Score Calculation'!BQ26</f>
        <v>4.00000000006</v>
      </c>
      <c r="CV116" s="251">
        <f>'PolyU Score Calculation'!BR26</f>
        <v>4.00000000007</v>
      </c>
      <c r="CW116" s="251">
        <f>'PolyU Score Calculation'!BS26</f>
        <v>7.9999999999999995E-11</v>
      </c>
      <c r="CX116" s="251">
        <f>'PolyU Score Calculation'!BT26</f>
        <v>21.000000000069999</v>
      </c>
      <c r="CY116" s="251">
        <f>'PolyU Score Calculation'!BU26</f>
        <v>30.0000000002</v>
      </c>
      <c r="CZ116" s="251">
        <f>'PolyU Score Calculation'!BV26</f>
        <v>40.000000000299998</v>
      </c>
      <c r="DA116" s="251">
        <f>'PolyU Score Calculation'!BW26</f>
        <v>28.00000000028</v>
      </c>
      <c r="DB116" s="251">
        <f>'PolyU Score Calculation'!BX26</f>
        <v>30.000000000500002</v>
      </c>
      <c r="DC116" s="251">
        <f>'PolyU Score Calculation'!BY26</f>
        <v>40.000000000599996</v>
      </c>
      <c r="DD116" s="251">
        <f>'PolyU Score Calculation'!BZ26</f>
        <v>40.000000000699998</v>
      </c>
      <c r="DE116" s="251">
        <f>'PolyU Score Calculation'!CA26</f>
        <v>7.9999999999999993E-10</v>
      </c>
      <c r="DF116" s="251" t="b">
        <f>'PolyU Score Calculation'!CB26</f>
        <v>0</v>
      </c>
      <c r="DG116" s="251" t="b">
        <f>'PolyU Score Calculation'!CC26</f>
        <v>1</v>
      </c>
      <c r="DH116" s="251" t="b">
        <f>'PolyU Score Calculation'!CD26</f>
        <v>1</v>
      </c>
      <c r="DI116" s="251" t="b">
        <f>'PolyU Score Calculation'!CE26</f>
        <v>0</v>
      </c>
      <c r="DJ116" s="251" t="b">
        <f>'PolyU Score Calculation'!CF26</f>
        <v>1</v>
      </c>
      <c r="DK116" s="251" t="b">
        <f>'PolyU Score Calculation'!CG26</f>
        <v>1</v>
      </c>
      <c r="DL116" s="251" t="b">
        <f>'PolyU Score Calculation'!CH26</f>
        <v>1</v>
      </c>
      <c r="DM116" s="251" t="b">
        <f>'PolyU Score Calculation'!CI26</f>
        <v>0</v>
      </c>
    </row>
    <row r="117" spans="1:117" s="251" customFormat="1" x14ac:dyDescent="0.3">
      <c r="A117" s="251" t="str">
        <f>'PolyU Score Calculation'!A27</f>
        <v>JS3180-2</v>
      </c>
      <c r="B117" s="251" t="s">
        <v>2246</v>
      </c>
      <c r="C117" s="251" t="str">
        <f>IF('PolyU Score Calculation'!B27=0,"",'PolyU Score Calculation'!B27)</f>
        <v/>
      </c>
      <c r="D117" s="251" t="str">
        <f>IF('PolyU Score Calculation'!C27=0,"",'PolyU Score Calculation'!C27)</f>
        <v/>
      </c>
      <c r="E117" s="251" t="str">
        <f>IF('PolyU Score Calculation'!E27=0,"",'PolyU Score Calculation'!E27)</f>
        <v/>
      </c>
      <c r="F117" s="251" t="s">
        <v>1978</v>
      </c>
      <c r="G117" s="251">
        <f>'PolyU Score Calculation'!W27</f>
        <v>190.00000000260002</v>
      </c>
      <c r="H117" s="251">
        <f>'PolyU Score Calculation'!V27</f>
        <v>190.00000000260002</v>
      </c>
      <c r="I117" s="251" t="s">
        <v>3034</v>
      </c>
      <c r="J117" s="251" t="s">
        <v>3035</v>
      </c>
      <c r="K117" s="344" t="s">
        <v>3048</v>
      </c>
      <c r="L117" s="344" t="s">
        <v>1970</v>
      </c>
      <c r="M117" s="344" t="s">
        <v>1970</v>
      </c>
      <c r="N117" s="251" t="str">
        <f>'PolyU Score Calculation'!M27</f>
        <v>JS3703</v>
      </c>
      <c r="O117" s="251" t="str">
        <f>'PolyU Score Calculation'!N27</f>
        <v>電子及資訊工程學(榮譽)工學士學位</v>
      </c>
      <c r="P117" s="251" t="str">
        <f>'PolyU Score Calculation'!O27</f>
        <v>Best 5</v>
      </c>
      <c r="Q117" s="251" t="str">
        <f>'PolyU Score Calculation'!P27</f>
        <v>x10: 英文、數學、M1/2、生物、化學、物理、組合科學、ICT</v>
      </c>
      <c r="R117" s="251" t="str">
        <f>'PolyU Score Calculation'!Q27</f>
        <v>x7: 中文、通識</v>
      </c>
      <c r="S117" s="251" t="str">
        <f>'PolyU Score Calculation'!R27</f>
        <v>x5: 其他科目</v>
      </c>
      <c r="T117" s="251" t="str">
        <f>IF('PolyU Score Calculation'!D27=0,"",'PolyU Score Calculation'!D27)</f>
        <v/>
      </c>
      <c r="U117" s="251" t="s">
        <v>2165</v>
      </c>
      <c r="V117" s="251" t="str">
        <f>IF('PolyU Score Calculation'!T27=0,"",'PolyU Score Calculation'!T27)</f>
        <v/>
      </c>
      <c r="W117" s="251">
        <f>'PolyU Score Calculation'!U27</f>
        <v>19.100000000000001</v>
      </c>
      <c r="X117" s="344">
        <f>'A123'!J125</f>
        <v>0</v>
      </c>
      <c r="Y117" s="344" t="str">
        <f>'A123'!K125</f>
        <v>/</v>
      </c>
      <c r="Z117" s="344" t="str">
        <f>'A123'!L125</f>
        <v>新科目</v>
      </c>
      <c r="AB117" s="344" t="str">
        <f>入學要求!X126</f>
        <v>/</v>
      </c>
      <c r="AC117" s="344" t="str">
        <f>入學要求!Y126</f>
        <v>/</v>
      </c>
      <c r="AD117" s="251">
        <f>'PolyU Score Calculation'!E27</f>
        <v>0</v>
      </c>
      <c r="AE117" s="251" t="s">
        <v>1970</v>
      </c>
      <c r="AF117" s="251" t="s">
        <v>1970</v>
      </c>
      <c r="AG117" s="344">
        <f>'PolyU Score Calculation'!I27</f>
        <v>0</v>
      </c>
      <c r="AH117" s="344">
        <f>'PolyU Score Calculation'!J27</f>
        <v>0</v>
      </c>
      <c r="AI117" s="344">
        <f>'PolyU Score Calculation'!K27</f>
        <v>0</v>
      </c>
      <c r="AJ117" s="251" t="s">
        <v>1970</v>
      </c>
      <c r="AK117" s="251" t="s">
        <v>1970</v>
      </c>
      <c r="AL117" s="251" t="s">
        <v>1970</v>
      </c>
      <c r="AM117" s="251" t="s">
        <v>1970</v>
      </c>
      <c r="AN117" s="251" t="str">
        <f t="shared" si="405"/>
        <v>JS3703 電子及資訊工程學(榮譽)工學士學位</v>
      </c>
      <c r="AO117" s="251" t="s">
        <v>1970</v>
      </c>
      <c r="AP117" s="251" t="s">
        <v>1970</v>
      </c>
      <c r="AQ117" s="344" t="s">
        <v>1970</v>
      </c>
      <c r="AR117" s="344" t="s">
        <v>2150</v>
      </c>
      <c r="AV117" s="344" t="s">
        <v>3728</v>
      </c>
      <c r="AW117" s="344" t="s">
        <v>3726</v>
      </c>
      <c r="AX117" s="344" t="s">
        <v>3729</v>
      </c>
      <c r="AY117" s="344" t="s">
        <v>3730</v>
      </c>
      <c r="AZ117" s="344" t="s">
        <v>3732</v>
      </c>
      <c r="BA117" s="344" t="s">
        <v>3734</v>
      </c>
      <c r="BB117" s="251">
        <f>'PolyU Score Calculation'!X27</f>
        <v>7</v>
      </c>
      <c r="BC117" s="251">
        <f>'PolyU Score Calculation'!Y27</f>
        <v>10</v>
      </c>
      <c r="BD117" s="251">
        <f>'PolyU Score Calculation'!Z27</f>
        <v>10</v>
      </c>
      <c r="BE117" s="251">
        <f>'PolyU Score Calculation'!AA27</f>
        <v>7</v>
      </c>
      <c r="BF117" s="251">
        <f>'PolyU Score Calculation'!AB27</f>
        <v>10</v>
      </c>
      <c r="BG117" s="251">
        <f>'PolyU Score Calculation'!AC27</f>
        <v>10</v>
      </c>
      <c r="BH117" s="251">
        <f>'PolyU Score Calculation'!AD27</f>
        <v>10</v>
      </c>
      <c r="BI117" s="251">
        <f>'PolyU Score Calculation'!AE27</f>
        <v>10</v>
      </c>
      <c r="BJ117" s="251">
        <f>'PolyU Score Calculation'!AF27</f>
        <v>3.00000000001</v>
      </c>
      <c r="BK117" s="251">
        <f>'PolyU Score Calculation'!AG27</f>
        <v>3.00000000002</v>
      </c>
      <c r="BL117" s="251">
        <f>'PolyU Score Calculation'!AH27</f>
        <v>4.00000000003</v>
      </c>
      <c r="BM117" s="251">
        <f>'PolyU Score Calculation'!AI27</f>
        <v>3.00000000004</v>
      </c>
      <c r="BN117" s="251">
        <f>'PolyU Score Calculation'!AJ27</f>
        <v>5.0000000000000002E-11</v>
      </c>
      <c r="BO117" s="251">
        <f>'PolyU Score Calculation'!AK27</f>
        <v>4.00000000006</v>
      </c>
      <c r="BP117" s="251">
        <f>'PolyU Score Calculation'!AL27</f>
        <v>4.00000000007</v>
      </c>
      <c r="BQ117" s="251">
        <f>'PolyU Score Calculation'!AM27</f>
        <v>4.00000000008</v>
      </c>
      <c r="BR117" s="251">
        <f>'PolyU Score Calculation'!AN27</f>
        <v>21.000000000069999</v>
      </c>
      <c r="BS117" s="251">
        <f>'PolyU Score Calculation'!AO27</f>
        <v>30.0000000002</v>
      </c>
      <c r="BT117" s="251">
        <f>'PolyU Score Calculation'!AP27</f>
        <v>40.000000000299998</v>
      </c>
      <c r="BU117" s="251">
        <f>'PolyU Score Calculation'!AQ27</f>
        <v>21.00000000028</v>
      </c>
      <c r="BV117" s="251">
        <f>'PolyU Score Calculation'!AR27</f>
        <v>5.0000000000000003E-10</v>
      </c>
      <c r="BW117" s="251">
        <f>'PolyU Score Calculation'!AS27</f>
        <v>40.000000000599996</v>
      </c>
      <c r="BX117" s="251">
        <f>'PolyU Score Calculation'!AT27</f>
        <v>40.000000000699998</v>
      </c>
      <c r="BY117" s="251">
        <f>'PolyU Score Calculation'!AU27</f>
        <v>40.0000000008</v>
      </c>
      <c r="BZ117" s="251" t="b">
        <f>'PolyU Score Calculation'!AV27</f>
        <v>0</v>
      </c>
      <c r="CA117" s="251" t="b">
        <f>'PolyU Score Calculation'!AW27</f>
        <v>1</v>
      </c>
      <c r="CB117" s="251" t="b">
        <f>'PolyU Score Calculation'!AX27</f>
        <v>1</v>
      </c>
      <c r="CC117" s="251" t="b">
        <f>'PolyU Score Calculation'!AY27</f>
        <v>0</v>
      </c>
      <c r="CD117" s="251" t="b">
        <f>'PolyU Score Calculation'!AZ27</f>
        <v>0</v>
      </c>
      <c r="CE117" s="251" t="b">
        <f>'PolyU Score Calculation'!BA27</f>
        <v>1</v>
      </c>
      <c r="CF117" s="251" t="b">
        <f>'PolyU Score Calculation'!BB27</f>
        <v>1</v>
      </c>
      <c r="CG117" s="251" t="b">
        <f>'PolyU Score Calculation'!BC27</f>
        <v>1</v>
      </c>
      <c r="CH117" s="251">
        <f>'PolyU Score Calculation'!BD27</f>
        <v>7</v>
      </c>
      <c r="CI117" s="251">
        <f>'PolyU Score Calculation'!BE27</f>
        <v>10</v>
      </c>
      <c r="CJ117" s="251">
        <f>'PolyU Score Calculation'!BF27</f>
        <v>10</v>
      </c>
      <c r="CK117" s="251">
        <f>'PolyU Score Calculation'!BG27</f>
        <v>7</v>
      </c>
      <c r="CL117" s="251">
        <f>'PolyU Score Calculation'!BH27</f>
        <v>10</v>
      </c>
      <c r="CM117" s="251">
        <f>'PolyU Score Calculation'!BI27</f>
        <v>10</v>
      </c>
      <c r="CN117" s="251">
        <f>'PolyU Score Calculation'!BJ27</f>
        <v>10</v>
      </c>
      <c r="CO117" s="251">
        <f>'PolyU Score Calculation'!BK27</f>
        <v>10</v>
      </c>
      <c r="CP117" s="251">
        <f>'PolyU Score Calculation'!BL27</f>
        <v>4.00000000001</v>
      </c>
      <c r="CQ117" s="251">
        <f>'PolyU Score Calculation'!BM27</f>
        <v>3.00000000002</v>
      </c>
      <c r="CR117" s="251">
        <f>'PolyU Score Calculation'!BN27</f>
        <v>4.00000000003</v>
      </c>
      <c r="CS117" s="251">
        <f>'PolyU Score Calculation'!BO27</f>
        <v>3.00000000004</v>
      </c>
      <c r="CT117" s="251">
        <f>'PolyU Score Calculation'!BP27</f>
        <v>5.0000000000000002E-11</v>
      </c>
      <c r="CU117" s="251">
        <f>'PolyU Score Calculation'!BQ27</f>
        <v>4.00000000006</v>
      </c>
      <c r="CV117" s="251">
        <f>'PolyU Score Calculation'!BR27</f>
        <v>4.00000000007</v>
      </c>
      <c r="CW117" s="251">
        <f>'PolyU Score Calculation'!BS27</f>
        <v>4.00000000008</v>
      </c>
      <c r="CX117" s="251">
        <f>'PolyU Score Calculation'!BT27</f>
        <v>28.000000000069999</v>
      </c>
      <c r="CY117" s="251">
        <f>'PolyU Score Calculation'!BU27</f>
        <v>30.0000000002</v>
      </c>
      <c r="CZ117" s="251">
        <f>'PolyU Score Calculation'!BV27</f>
        <v>40.000000000299998</v>
      </c>
      <c r="DA117" s="251">
        <f>'PolyU Score Calculation'!BW27</f>
        <v>21.00000000028</v>
      </c>
      <c r="DB117" s="251">
        <f>'PolyU Score Calculation'!BX27</f>
        <v>5.0000000000000003E-10</v>
      </c>
      <c r="DC117" s="251">
        <f>'PolyU Score Calculation'!BY27</f>
        <v>40.000000000599996</v>
      </c>
      <c r="DD117" s="251">
        <f>'PolyU Score Calculation'!BZ27</f>
        <v>40.000000000699998</v>
      </c>
      <c r="DE117" s="251">
        <f>'PolyU Score Calculation'!CA27</f>
        <v>40.0000000008</v>
      </c>
      <c r="DF117" s="251" t="b">
        <f>'PolyU Score Calculation'!CB27</f>
        <v>0</v>
      </c>
      <c r="DG117" s="251" t="b">
        <f>'PolyU Score Calculation'!CC27</f>
        <v>1</v>
      </c>
      <c r="DH117" s="251" t="b">
        <f>'PolyU Score Calculation'!CD27</f>
        <v>1</v>
      </c>
      <c r="DI117" s="251" t="b">
        <f>'PolyU Score Calculation'!CE27</f>
        <v>0</v>
      </c>
      <c r="DJ117" s="251" t="b">
        <f>'PolyU Score Calculation'!CF27</f>
        <v>0</v>
      </c>
      <c r="DK117" s="251" t="b">
        <f>'PolyU Score Calculation'!CG27</f>
        <v>1</v>
      </c>
      <c r="DL117" s="251" t="b">
        <f>'PolyU Score Calculation'!CH27</f>
        <v>1</v>
      </c>
      <c r="DM117" s="251" t="b">
        <f>'PolyU Score Calculation'!CI27</f>
        <v>1</v>
      </c>
    </row>
    <row r="118" spans="1:117" s="251" customFormat="1" x14ac:dyDescent="0.3">
      <c r="A118" s="251" t="str">
        <f>'PolyU Score Calculation'!A28</f>
        <v>JS3868</v>
      </c>
      <c r="B118" s="251" t="s">
        <v>2246</v>
      </c>
      <c r="C118" s="251" t="str">
        <f>IF('PolyU Score Calculation'!B28=0,"",'PolyU Score Calculation'!B28)</f>
        <v>工程學院</v>
      </c>
      <c r="D118" s="251" t="str">
        <f>IF('PolyU Score Calculation'!C28=0,"",'PolyU Score Calculation'!C28)</f>
        <v>電子計算及人工智能(榮譽)理學士組合課程</v>
      </c>
      <c r="E118" s="251" t="str">
        <f>IF('PolyU Score Calculation'!E28=0,"",'PolyU Score Calculation'!E28)</f>
        <v>Best 5</v>
      </c>
      <c r="F118" s="251" t="s">
        <v>1978</v>
      </c>
      <c r="G118" s="251">
        <f>'PolyU Score Calculation'!W28</f>
        <v>180.00000000260002</v>
      </c>
      <c r="H118" s="251">
        <f>'PolyU Score Calculation'!V28</f>
        <v>173.00000000207999</v>
      </c>
      <c r="I118" s="251" t="s">
        <v>3034</v>
      </c>
      <c r="J118" s="251" t="s">
        <v>3035</v>
      </c>
      <c r="K118" s="344" t="s">
        <v>3048</v>
      </c>
      <c r="L118" s="344" t="s">
        <v>1970</v>
      </c>
      <c r="M118" s="344" t="s">
        <v>1970</v>
      </c>
      <c r="N118" s="251" t="str">
        <f>'PolyU Score Calculation'!M28</f>
        <v>JS3868</v>
      </c>
      <c r="O118" s="251" t="str">
        <f>'PolyU Score Calculation'!N28</f>
        <v>電子計算(榮譽)理學士學位組合課程</v>
      </c>
      <c r="P118" s="251" t="str">
        <f>'PolyU Score Calculation'!O28</f>
        <v>Best 5</v>
      </c>
      <c r="Q118" s="251" t="str">
        <f>'PolyU Score Calculation'!P28</f>
        <v>x10: 英文、數學、M1/2、生物、化學、物理、BAFS、組合科學、經濟、ICT</v>
      </c>
      <c r="R118" s="251" t="str">
        <f>'PolyU Score Calculation'!Q28</f>
        <v>x7: 中文、通識</v>
      </c>
      <c r="S118" s="251" t="str">
        <f>'PolyU Score Calculation'!R28</f>
        <v>x5: 其他科目</v>
      </c>
      <c r="T118" s="251" t="str">
        <f>IF('PolyU Score Calculation'!D28=0,"",'PolyU Score Calculation'!D28)</f>
        <v>COMPUTING &amp; AI</v>
      </c>
      <c r="U118" s="251" t="s">
        <v>2165</v>
      </c>
      <c r="V118" s="251">
        <f>IF('PolyU Score Calculation'!T28=0,"",'PolyU Score Calculation'!T28)</f>
        <v>19.8</v>
      </c>
      <c r="W118" s="251">
        <f>'PolyU Score Calculation'!U28</f>
        <v>19.8</v>
      </c>
      <c r="X118" s="344">
        <f>'A123'!J126</f>
        <v>113</v>
      </c>
      <c r="Y118" s="344">
        <f>'A123'!K126</f>
        <v>94</v>
      </c>
      <c r="Z118" s="344">
        <f>'A123'!L126</f>
        <v>6.3170731707317076</v>
      </c>
      <c r="AA118" s="251" t="s">
        <v>2165</v>
      </c>
      <c r="AB118" s="344" t="str">
        <f>入學要求!X127</f>
        <v>/</v>
      </c>
      <c r="AC118" s="344" t="str">
        <f>入學要求!Y127</f>
        <v>/</v>
      </c>
      <c r="AD118" s="251" t="str">
        <f>'PolyU Score Calculation'!E28</f>
        <v>Best 5</v>
      </c>
      <c r="AE118" s="251" t="s">
        <v>1970</v>
      </c>
      <c r="AF118" s="251" t="s">
        <v>1970</v>
      </c>
      <c r="AG118" s="344" t="str">
        <f>'PolyU Score Calculation'!I28</f>
        <v>x10: 英文、數學、M1/2、生物、化學、物理、BAFS、組合科學、經濟、ICT</v>
      </c>
      <c r="AH118" s="344" t="str">
        <f>'PolyU Score Calculation'!J28</f>
        <v>x7: 中文、通識</v>
      </c>
      <c r="AI118" s="344" t="str">
        <f>'PolyU Score Calculation'!K28</f>
        <v>x5: 其他科目</v>
      </c>
      <c r="AJ118" s="251" t="s">
        <v>1970</v>
      </c>
      <c r="AK118" s="251" t="s">
        <v>1970</v>
      </c>
      <c r="AL118" s="251" t="s">
        <v>1970</v>
      </c>
      <c r="AM118" s="251" t="s">
        <v>3043</v>
      </c>
      <c r="AN118" s="251" t="str">
        <f t="shared" si="405"/>
        <v>JS3868 電子計算(榮譽)理學士學位組合課程</v>
      </c>
      <c r="AO118" s="251" t="s">
        <v>1970</v>
      </c>
      <c r="AP118" s="251" t="s">
        <v>1970</v>
      </c>
      <c r="AQ118" s="344" t="s">
        <v>1970</v>
      </c>
      <c r="AR118" s="344" t="s">
        <v>2150</v>
      </c>
      <c r="AS118" s="251" t="s">
        <v>3603</v>
      </c>
      <c r="AT118" s="251" t="s">
        <v>3637</v>
      </c>
      <c r="AU118" s="251" t="s">
        <v>1970</v>
      </c>
      <c r="AV118" s="344" t="s">
        <v>3728</v>
      </c>
      <c r="AW118" s="344" t="s">
        <v>3726</v>
      </c>
      <c r="AX118" s="344" t="s">
        <v>3729</v>
      </c>
      <c r="AY118" s="344" t="s">
        <v>3730</v>
      </c>
      <c r="AZ118" s="344" t="s">
        <v>3732</v>
      </c>
      <c r="BA118" s="344" t="s">
        <v>3734</v>
      </c>
      <c r="BB118" s="251">
        <f>'PolyU Score Calculation'!X28</f>
        <v>7</v>
      </c>
      <c r="BC118" s="251">
        <f>'PolyU Score Calculation'!Y28</f>
        <v>10</v>
      </c>
      <c r="BD118" s="251">
        <f>'PolyU Score Calculation'!Z28</f>
        <v>10</v>
      </c>
      <c r="BE118" s="251">
        <f>'PolyU Score Calculation'!AA28</f>
        <v>7</v>
      </c>
      <c r="BF118" s="251">
        <f>'PolyU Score Calculation'!AB28</f>
        <v>10</v>
      </c>
      <c r="BG118" s="251">
        <f>'PolyU Score Calculation'!AC28</f>
        <v>10</v>
      </c>
      <c r="BH118" s="251">
        <f>'PolyU Score Calculation'!AD28</f>
        <v>10</v>
      </c>
      <c r="BI118" s="251">
        <f>'PolyU Score Calculation'!AE28</f>
        <v>10</v>
      </c>
      <c r="BJ118" s="251">
        <f>'PolyU Score Calculation'!AF28</f>
        <v>3.00000000001</v>
      </c>
      <c r="BK118" s="251">
        <f>'PolyU Score Calculation'!AG28</f>
        <v>3.00000000002</v>
      </c>
      <c r="BL118" s="251">
        <f>'PolyU Score Calculation'!AH28</f>
        <v>5.50000000003</v>
      </c>
      <c r="BM118" s="251">
        <f>'PolyU Score Calculation'!AI28</f>
        <v>4.00000000004</v>
      </c>
      <c r="BN118" s="251">
        <f>'PolyU Score Calculation'!AJ28</f>
        <v>5.0000000000000002E-11</v>
      </c>
      <c r="BO118" s="251">
        <f>'PolyU Score Calculation'!AK28</f>
        <v>3.00000000006</v>
      </c>
      <c r="BP118" s="251">
        <f>'PolyU Score Calculation'!AL28</f>
        <v>3.00000000007</v>
      </c>
      <c r="BQ118" s="251">
        <f>'PolyU Score Calculation'!AM28</f>
        <v>7.9999999999999995E-11</v>
      </c>
      <c r="BR118" s="251">
        <f>'PolyU Score Calculation'!AN28</f>
        <v>21.000000000069999</v>
      </c>
      <c r="BS118" s="251">
        <f>'PolyU Score Calculation'!AO28</f>
        <v>30.0000000002</v>
      </c>
      <c r="BT118" s="251">
        <f>'PolyU Score Calculation'!AP28</f>
        <v>55.000000000299998</v>
      </c>
      <c r="BU118" s="251">
        <f>'PolyU Score Calculation'!AQ28</f>
        <v>28.00000000028</v>
      </c>
      <c r="BV118" s="251">
        <f>'PolyU Score Calculation'!AR28</f>
        <v>5.0000000000000003E-10</v>
      </c>
      <c r="BW118" s="251">
        <f>'PolyU Score Calculation'!AS28</f>
        <v>30.0000000006</v>
      </c>
      <c r="BX118" s="251">
        <f>'PolyU Score Calculation'!AT28</f>
        <v>30.000000000699998</v>
      </c>
      <c r="BY118" s="251">
        <f>'PolyU Score Calculation'!AU28</f>
        <v>7.9999999999999993E-10</v>
      </c>
      <c r="BZ118" s="251" t="b">
        <f>'PolyU Score Calculation'!AV28</f>
        <v>0</v>
      </c>
      <c r="CA118" s="251" t="b">
        <f>'PolyU Score Calculation'!AW28</f>
        <v>1</v>
      </c>
      <c r="CB118" s="251" t="b">
        <f>'PolyU Score Calculation'!AX28</f>
        <v>1</v>
      </c>
      <c r="CC118" s="251" t="b">
        <f>'PolyU Score Calculation'!AY28</f>
        <v>1</v>
      </c>
      <c r="CD118" s="251" t="b">
        <f>'PolyU Score Calculation'!AZ28</f>
        <v>0</v>
      </c>
      <c r="CE118" s="251" t="b">
        <f>'PolyU Score Calculation'!BA28</f>
        <v>1</v>
      </c>
      <c r="CF118" s="251" t="b">
        <f>'PolyU Score Calculation'!BB28</f>
        <v>1</v>
      </c>
      <c r="CG118" s="251" t="b">
        <f>'PolyU Score Calculation'!BC28</f>
        <v>0</v>
      </c>
      <c r="CH118" s="251">
        <f>'PolyU Score Calculation'!BD28</f>
        <v>7</v>
      </c>
      <c r="CI118" s="251">
        <f>'PolyU Score Calculation'!BE28</f>
        <v>10</v>
      </c>
      <c r="CJ118" s="251">
        <f>'PolyU Score Calculation'!BF28</f>
        <v>10</v>
      </c>
      <c r="CK118" s="251">
        <f>'PolyU Score Calculation'!BG28</f>
        <v>7</v>
      </c>
      <c r="CL118" s="251">
        <f>'PolyU Score Calculation'!BH28</f>
        <v>10</v>
      </c>
      <c r="CM118" s="251">
        <f>'PolyU Score Calculation'!BI28</f>
        <v>10</v>
      </c>
      <c r="CN118" s="251">
        <f>'PolyU Score Calculation'!BJ28</f>
        <v>10</v>
      </c>
      <c r="CO118" s="251">
        <f>'PolyU Score Calculation'!BK28</f>
        <v>10</v>
      </c>
      <c r="CP118" s="251">
        <f>'PolyU Score Calculation'!BL28</f>
        <v>4.00000000001</v>
      </c>
      <c r="CQ118" s="251">
        <f>'PolyU Score Calculation'!BM28</f>
        <v>4.00000000002</v>
      </c>
      <c r="CR118" s="251">
        <f>'PolyU Score Calculation'!BN28</f>
        <v>4.00000000003</v>
      </c>
      <c r="CS118" s="251">
        <f>'PolyU Score Calculation'!BO28</f>
        <v>3.00000000004</v>
      </c>
      <c r="CT118" s="251">
        <f>'PolyU Score Calculation'!BP28</f>
        <v>5.0000000000000002E-11</v>
      </c>
      <c r="CU118" s="251">
        <f>'PolyU Score Calculation'!BQ28</f>
        <v>4.00000000006</v>
      </c>
      <c r="CV118" s="251">
        <f>'PolyU Score Calculation'!BR28</f>
        <v>3.00000000007</v>
      </c>
      <c r="CW118" s="251">
        <f>'PolyU Score Calculation'!BS28</f>
        <v>3.00000000008</v>
      </c>
      <c r="CX118" s="251">
        <f>'PolyU Score Calculation'!BT28</f>
        <v>28.000000000069999</v>
      </c>
      <c r="CY118" s="251">
        <f>'PolyU Score Calculation'!BU28</f>
        <v>40.000000000200004</v>
      </c>
      <c r="CZ118" s="251">
        <f>'PolyU Score Calculation'!BV28</f>
        <v>40.000000000299998</v>
      </c>
      <c r="DA118" s="251">
        <f>'PolyU Score Calculation'!BW28</f>
        <v>21.00000000028</v>
      </c>
      <c r="DB118" s="251">
        <f>'PolyU Score Calculation'!BX28</f>
        <v>5.0000000000000003E-10</v>
      </c>
      <c r="DC118" s="251">
        <f>'PolyU Score Calculation'!BY28</f>
        <v>40.000000000599996</v>
      </c>
      <c r="DD118" s="251">
        <f>'PolyU Score Calculation'!BZ28</f>
        <v>30.000000000699998</v>
      </c>
      <c r="DE118" s="251">
        <f>'PolyU Score Calculation'!CA28</f>
        <v>30.0000000008</v>
      </c>
      <c r="DF118" s="251" t="b">
        <f>'PolyU Score Calculation'!CB28</f>
        <v>0</v>
      </c>
      <c r="DG118" s="251" t="b">
        <f>'PolyU Score Calculation'!CC28</f>
        <v>1</v>
      </c>
      <c r="DH118" s="251" t="b">
        <f>'PolyU Score Calculation'!CD28</f>
        <v>1</v>
      </c>
      <c r="DI118" s="251" t="b">
        <f>'PolyU Score Calculation'!CE28</f>
        <v>0</v>
      </c>
      <c r="DJ118" s="251" t="b">
        <f>'PolyU Score Calculation'!CF28</f>
        <v>0</v>
      </c>
      <c r="DK118" s="251" t="b">
        <f>'PolyU Score Calculation'!CG28</f>
        <v>1</v>
      </c>
      <c r="DL118" s="251" t="b">
        <f>'PolyU Score Calculation'!CH28</f>
        <v>1</v>
      </c>
      <c r="DM118" s="251" t="b">
        <f>'PolyU Score Calculation'!CI28</f>
        <v>1</v>
      </c>
    </row>
    <row r="119" spans="1:117" s="251" customFormat="1" x14ac:dyDescent="0.3">
      <c r="A119" s="251" t="str">
        <f>'PolyU Score Calculation'!A29</f>
        <v>JS3571</v>
      </c>
      <c r="B119" s="251" t="s">
        <v>2246</v>
      </c>
      <c r="C119" s="251" t="str">
        <f>IF('PolyU Score Calculation'!B29=0,"",'PolyU Score Calculation'!B29)</f>
        <v>工程學院</v>
      </c>
      <c r="D119" s="251" t="str">
        <f>IF('PolyU Score Calculation'!C29=0,"",'PolyU Score Calculation'!C29)</f>
        <v>物流及企業工程(榮譽)理學士組合課程</v>
      </c>
      <c r="E119" s="251" t="str">
        <f>IF('PolyU Score Calculation'!E29=0,"",'PolyU Score Calculation'!E29)</f>
        <v>Best 5</v>
      </c>
      <c r="F119" s="251" t="s">
        <v>1978</v>
      </c>
      <c r="G119" s="251">
        <f>'PolyU Score Calculation'!W29</f>
        <v>144.00000000120002</v>
      </c>
      <c r="H119" s="251">
        <f>'PolyU Score Calculation'!V29</f>
        <v>132.00000000115</v>
      </c>
      <c r="I119" s="251" t="s">
        <v>3034</v>
      </c>
      <c r="J119" s="251" t="s">
        <v>3035</v>
      </c>
      <c r="K119" s="344" t="s">
        <v>3048</v>
      </c>
      <c r="L119" s="344" t="s">
        <v>1970</v>
      </c>
      <c r="M119" s="344" t="s">
        <v>1970</v>
      </c>
      <c r="N119" s="251" t="str">
        <f>'PolyU Score Calculation'!M29</f>
        <v>JS3571</v>
      </c>
      <c r="O119" s="251" t="str">
        <f>'PolyU Score Calculation'!N29</f>
        <v>物流及企業工程(榮譽)理學士學位組合課程</v>
      </c>
      <c r="P119" s="251" t="str">
        <f>'PolyU Score Calculation'!O29</f>
        <v>Best 5</v>
      </c>
      <c r="Q119" s="251" t="str">
        <f>'PolyU Score Calculation'!P29</f>
        <v>x10: 英文、數學</v>
      </c>
      <c r="R119" s="251" t="str">
        <f>'PolyU Score Calculation'!Q29</f>
        <v>x7: 中文、通識</v>
      </c>
      <c r="S119" s="251" t="str">
        <f>'PolyU Score Calculation'!R29</f>
        <v>x5: 其他科目</v>
      </c>
      <c r="T119" s="251" t="str">
        <f>IF('PolyU Score Calculation'!D29=0,"",'PolyU Score Calculation'!D29)</f>
        <v>LOG &amp; ENTERPRISE ENGG</v>
      </c>
      <c r="U119" s="251" t="s">
        <v>2165</v>
      </c>
      <c r="V119" s="251">
        <f>IF('PolyU Score Calculation'!T29=0,"",'PolyU Score Calculation'!T29)</f>
        <v>18.899999999999999</v>
      </c>
      <c r="W119" s="251">
        <f>'PolyU Score Calculation'!U29</f>
        <v>18.899999999999999</v>
      </c>
      <c r="X119" s="344">
        <f>'A123'!J127</f>
        <v>49</v>
      </c>
      <c r="Y119" s="344">
        <f>'A123'!K127</f>
        <v>39</v>
      </c>
      <c r="Z119" s="344">
        <f>'A123'!L127</f>
        <v>7.5161290322580649</v>
      </c>
      <c r="AA119" s="251" t="s">
        <v>2165</v>
      </c>
      <c r="AB119" s="344" t="str">
        <f>入學要求!X128</f>
        <v>/</v>
      </c>
      <c r="AC119" s="344" t="str">
        <f>入學要求!Y128</f>
        <v>/</v>
      </c>
      <c r="AD119" s="251" t="str">
        <f>'PolyU Score Calculation'!E29</f>
        <v>Best 5</v>
      </c>
      <c r="AE119" s="251" t="s">
        <v>1970</v>
      </c>
      <c r="AF119" s="251" t="s">
        <v>1970</v>
      </c>
      <c r="AG119" s="344" t="str">
        <f>'PolyU Score Calculation'!I29</f>
        <v>x10: 英文、數學</v>
      </c>
      <c r="AH119" s="344" t="str">
        <f>'PolyU Score Calculation'!J29</f>
        <v>x7: 中文、通識</v>
      </c>
      <c r="AI119" s="344" t="str">
        <f>'PolyU Score Calculation'!K29</f>
        <v>x5: 其他科目</v>
      </c>
      <c r="AJ119" s="251" t="s">
        <v>1970</v>
      </c>
      <c r="AK119" s="251" t="s">
        <v>1970</v>
      </c>
      <c r="AL119" s="251" t="s">
        <v>1970</v>
      </c>
      <c r="AM119" s="251" t="s">
        <v>3043</v>
      </c>
      <c r="AN119" s="251" t="str">
        <f t="shared" si="405"/>
        <v>JS3571 物流及企業工程(榮譽)理學士學位組合課程</v>
      </c>
      <c r="AO119" s="251" t="s">
        <v>1970</v>
      </c>
      <c r="AP119" s="251" t="s">
        <v>1970</v>
      </c>
      <c r="AQ119" s="344" t="s">
        <v>1970</v>
      </c>
      <c r="AR119" s="344" t="s">
        <v>2150</v>
      </c>
      <c r="AS119" s="251" t="s">
        <v>3608</v>
      </c>
      <c r="AT119" s="251" t="s">
        <v>1970</v>
      </c>
      <c r="AU119" s="251" t="s">
        <v>1970</v>
      </c>
      <c r="AV119" s="344" t="s">
        <v>3728</v>
      </c>
      <c r="AW119" s="344" t="s">
        <v>3726</v>
      </c>
      <c r="AX119" s="344" t="s">
        <v>3729</v>
      </c>
      <c r="AY119" s="344" t="s">
        <v>3730</v>
      </c>
      <c r="AZ119" s="344" t="s">
        <v>3732</v>
      </c>
      <c r="BA119" s="344" t="s">
        <v>3734</v>
      </c>
      <c r="BB119" s="251">
        <f>'PolyU Score Calculation'!X29</f>
        <v>7</v>
      </c>
      <c r="BC119" s="251">
        <f>'PolyU Score Calculation'!Y29</f>
        <v>10</v>
      </c>
      <c r="BD119" s="251">
        <f>'PolyU Score Calculation'!Z29</f>
        <v>10</v>
      </c>
      <c r="BE119" s="251">
        <f>'PolyU Score Calculation'!AA29</f>
        <v>7</v>
      </c>
      <c r="BF119" s="251">
        <f>'PolyU Score Calculation'!AB29</f>
        <v>5</v>
      </c>
      <c r="BG119" s="251">
        <f>'PolyU Score Calculation'!AC29</f>
        <v>5</v>
      </c>
      <c r="BH119" s="251">
        <f>'PolyU Score Calculation'!AD29</f>
        <v>5</v>
      </c>
      <c r="BI119" s="251">
        <f>'PolyU Score Calculation'!AE29</f>
        <v>5</v>
      </c>
      <c r="BJ119" s="251">
        <f>'PolyU Score Calculation'!AF29</f>
        <v>3.00000000001</v>
      </c>
      <c r="BK119" s="251">
        <f>'PolyU Score Calculation'!AG29</f>
        <v>3.00000000002</v>
      </c>
      <c r="BL119" s="251">
        <f>'PolyU Score Calculation'!AH29</f>
        <v>4.00000000003</v>
      </c>
      <c r="BM119" s="251">
        <f>'PolyU Score Calculation'!AI29</f>
        <v>3.00000000004</v>
      </c>
      <c r="BN119" s="251">
        <f>'PolyU Score Calculation'!AJ29</f>
        <v>4.00000000005</v>
      </c>
      <c r="BO119" s="251">
        <f>'PolyU Score Calculation'!AK29</f>
        <v>4.00000000006</v>
      </c>
      <c r="BP119" s="251">
        <f>'PolyU Score Calculation'!AL29</f>
        <v>2.00000000007</v>
      </c>
      <c r="BQ119" s="251">
        <f>'PolyU Score Calculation'!AM29</f>
        <v>7.9999999999999995E-11</v>
      </c>
      <c r="BR119" s="251">
        <f>'PolyU Score Calculation'!AN29</f>
        <v>21.000000000069999</v>
      </c>
      <c r="BS119" s="251">
        <f>'PolyU Score Calculation'!AO29</f>
        <v>30.0000000002</v>
      </c>
      <c r="BT119" s="251">
        <f>'PolyU Score Calculation'!AP29</f>
        <v>40.000000000299998</v>
      </c>
      <c r="BU119" s="251">
        <f>'PolyU Score Calculation'!AQ29</f>
        <v>21.00000000028</v>
      </c>
      <c r="BV119" s="251">
        <f>'PolyU Score Calculation'!AR29</f>
        <v>20.000000000250001</v>
      </c>
      <c r="BW119" s="251">
        <f>'PolyU Score Calculation'!AS29</f>
        <v>20.000000000299998</v>
      </c>
      <c r="BX119" s="251">
        <f>'PolyU Score Calculation'!AT29</f>
        <v>10.000000000349999</v>
      </c>
      <c r="BY119" s="251">
        <f>'PolyU Score Calculation'!AU29</f>
        <v>3.9999999999999996E-10</v>
      </c>
      <c r="BZ119" s="251" t="b">
        <f>'PolyU Score Calculation'!AV29</f>
        <v>1</v>
      </c>
      <c r="CA119" s="251" t="b">
        <f>'PolyU Score Calculation'!AW29</f>
        <v>1</v>
      </c>
      <c r="CB119" s="251" t="b">
        <f>'PolyU Score Calculation'!AX29</f>
        <v>1</v>
      </c>
      <c r="CC119" s="251" t="b">
        <f>'PolyU Score Calculation'!AY29</f>
        <v>1</v>
      </c>
      <c r="CD119" s="251" t="b">
        <f>'PolyU Score Calculation'!AZ29</f>
        <v>0</v>
      </c>
      <c r="CE119" s="251" t="b">
        <f>'PolyU Score Calculation'!BA29</f>
        <v>1</v>
      </c>
      <c r="CF119" s="251" t="b">
        <f>'PolyU Score Calculation'!BB29</f>
        <v>0</v>
      </c>
      <c r="CG119" s="251" t="b">
        <f>'PolyU Score Calculation'!BC29</f>
        <v>0</v>
      </c>
      <c r="CH119" s="251">
        <f>'PolyU Score Calculation'!BD29</f>
        <v>7</v>
      </c>
      <c r="CI119" s="251">
        <f>'PolyU Score Calculation'!BE29</f>
        <v>10</v>
      </c>
      <c r="CJ119" s="251">
        <f>'PolyU Score Calculation'!BF29</f>
        <v>10</v>
      </c>
      <c r="CK119" s="251">
        <f>'PolyU Score Calculation'!BG29</f>
        <v>7</v>
      </c>
      <c r="CL119" s="251">
        <f>'PolyU Score Calculation'!BH29</f>
        <v>5</v>
      </c>
      <c r="CM119" s="251">
        <f>'PolyU Score Calculation'!BI29</f>
        <v>5</v>
      </c>
      <c r="CN119" s="251">
        <f>'PolyU Score Calculation'!BJ29</f>
        <v>5</v>
      </c>
      <c r="CO119" s="251">
        <f>'PolyU Score Calculation'!BK29</f>
        <v>5</v>
      </c>
      <c r="CP119" s="251">
        <f>'PolyU Score Calculation'!BL29</f>
        <v>4.00000000001</v>
      </c>
      <c r="CQ119" s="251">
        <f>'PolyU Score Calculation'!BM29</f>
        <v>4.00000000002</v>
      </c>
      <c r="CR119" s="251">
        <f>'PolyU Score Calculation'!BN29</f>
        <v>4.00000000003</v>
      </c>
      <c r="CS119" s="251">
        <f>'PolyU Score Calculation'!BO29</f>
        <v>3.00000000004</v>
      </c>
      <c r="CT119" s="251">
        <f>'PolyU Score Calculation'!BP29</f>
        <v>5.0000000000000002E-11</v>
      </c>
      <c r="CU119" s="251">
        <f>'PolyU Score Calculation'!BQ29</f>
        <v>3.00000000006</v>
      </c>
      <c r="CV119" s="251">
        <f>'PolyU Score Calculation'!BR29</f>
        <v>3.00000000007</v>
      </c>
      <c r="CW119" s="251">
        <f>'PolyU Score Calculation'!BS29</f>
        <v>7.9999999999999995E-11</v>
      </c>
      <c r="CX119" s="251">
        <f>'PolyU Score Calculation'!BT29</f>
        <v>28.000000000069999</v>
      </c>
      <c r="CY119" s="251">
        <f>'PolyU Score Calculation'!BU29</f>
        <v>40.000000000200004</v>
      </c>
      <c r="CZ119" s="251">
        <f>'PolyU Score Calculation'!BV29</f>
        <v>40.000000000299998</v>
      </c>
      <c r="DA119" s="251">
        <f>'PolyU Score Calculation'!BW29</f>
        <v>21.00000000028</v>
      </c>
      <c r="DB119" s="251">
        <f>'PolyU Score Calculation'!BX29</f>
        <v>2.5000000000000002E-10</v>
      </c>
      <c r="DC119" s="251">
        <f>'PolyU Score Calculation'!BY29</f>
        <v>15.0000000003</v>
      </c>
      <c r="DD119" s="251">
        <f>'PolyU Score Calculation'!BZ29</f>
        <v>15.000000000349999</v>
      </c>
      <c r="DE119" s="251">
        <f>'PolyU Score Calculation'!CA29</f>
        <v>3.9999999999999996E-10</v>
      </c>
      <c r="DF119" s="251" t="b">
        <f>'PolyU Score Calculation'!CB29</f>
        <v>1</v>
      </c>
      <c r="DG119" s="251" t="b">
        <f>'PolyU Score Calculation'!CC29</f>
        <v>1</v>
      </c>
      <c r="DH119" s="251" t="b">
        <f>'PolyU Score Calculation'!CD29</f>
        <v>1</v>
      </c>
      <c r="DI119" s="251" t="b">
        <f>'PolyU Score Calculation'!CE29</f>
        <v>1</v>
      </c>
      <c r="DJ119" s="251" t="b">
        <f>'PolyU Score Calculation'!CF29</f>
        <v>0</v>
      </c>
      <c r="DK119" s="251" t="b">
        <f>'PolyU Score Calculation'!CG29</f>
        <v>0</v>
      </c>
      <c r="DL119" s="251" t="b">
        <f>'PolyU Score Calculation'!CH29</f>
        <v>1</v>
      </c>
      <c r="DM119" s="251" t="b">
        <f>'PolyU Score Calculation'!CI29</f>
        <v>0</v>
      </c>
    </row>
    <row r="120" spans="1:117" s="251" customFormat="1" x14ac:dyDescent="0.3">
      <c r="A120" s="251" t="str">
        <f>'PolyU Score Calculation'!A30</f>
        <v>JS3557</v>
      </c>
      <c r="B120" s="251" t="s">
        <v>2246</v>
      </c>
      <c r="C120" s="251" t="str">
        <f>IF('PolyU Score Calculation'!B30=0,"",'PolyU Score Calculation'!B30)</f>
        <v>工程學院</v>
      </c>
      <c r="D120" s="251" t="str">
        <f>IF('PolyU Score Calculation'!C30=0,"",'PolyU Score Calculation'!C30)</f>
        <v>產品及工業工程(榮譽)工學士組合課程</v>
      </c>
      <c r="E120" s="251" t="str">
        <f>IF('PolyU Score Calculation'!E30=0,"",'PolyU Score Calculation'!E30)</f>
        <v>Best 5</v>
      </c>
      <c r="F120" s="251" t="s">
        <v>1978</v>
      </c>
      <c r="G120" s="251">
        <f>'PolyU Score Calculation'!W30</f>
        <v>144.00000000120002</v>
      </c>
      <c r="H120" s="251">
        <f>'PolyU Score Calculation'!V30</f>
        <v>134.00000000119999</v>
      </c>
      <c r="I120" s="251" t="s">
        <v>3034</v>
      </c>
      <c r="J120" s="251" t="s">
        <v>3035</v>
      </c>
      <c r="K120" s="344" t="s">
        <v>3048</v>
      </c>
      <c r="L120" s="344" t="s">
        <v>1970</v>
      </c>
      <c r="M120" s="344" t="s">
        <v>1970</v>
      </c>
      <c r="N120" s="251" t="str">
        <f>'PolyU Score Calculation'!M30</f>
        <v>JS3557</v>
      </c>
      <c r="O120" s="251" t="str">
        <f>'PolyU Score Calculation'!N30</f>
        <v>產品及工業工程(榮譽)工學士學位組合課程</v>
      </c>
      <c r="P120" s="251" t="str">
        <f>'PolyU Score Calculation'!O30</f>
        <v>Best 5</v>
      </c>
      <c r="Q120" s="251" t="str">
        <f>'PolyU Score Calculation'!P30</f>
        <v>x10: 英文、數學</v>
      </c>
      <c r="R120" s="251" t="str">
        <f>'PolyU Score Calculation'!Q30</f>
        <v>x7: 中文、通識</v>
      </c>
      <c r="S120" s="251" t="str">
        <f>'PolyU Score Calculation'!R30</f>
        <v>x5: 其他科目</v>
      </c>
      <c r="T120" s="251" t="str">
        <f>IF('PolyU Score Calculation'!D30=0,"",'PolyU Score Calculation'!D30)</f>
        <v>PROD &amp; INDUSTRIAL ENGG</v>
      </c>
      <c r="U120" s="251" t="s">
        <v>2165</v>
      </c>
      <c r="V120" s="251">
        <f>IF('PolyU Score Calculation'!T30=0,"",'PolyU Score Calculation'!T30)</f>
        <v>18.7</v>
      </c>
      <c r="W120" s="251">
        <f>'PolyU Score Calculation'!U30</f>
        <v>18.7</v>
      </c>
      <c r="X120" s="344">
        <f>'A123'!J128</f>
        <v>53</v>
      </c>
      <c r="Y120" s="344">
        <f>'A123'!K128</f>
        <v>42</v>
      </c>
      <c r="Z120" s="344">
        <f>'A123'!L128</f>
        <v>8.125</v>
      </c>
      <c r="AA120" s="251" t="s">
        <v>2165</v>
      </c>
      <c r="AB120" s="344" t="str">
        <f>入學要求!X129</f>
        <v>/</v>
      </c>
      <c r="AC120" s="344" t="str">
        <f>入學要求!Y129</f>
        <v>/</v>
      </c>
      <c r="AD120" s="251" t="str">
        <f>'PolyU Score Calculation'!E30</f>
        <v>Best 5</v>
      </c>
      <c r="AE120" s="251" t="s">
        <v>1970</v>
      </c>
      <c r="AF120" s="251" t="s">
        <v>1970</v>
      </c>
      <c r="AG120" s="344" t="str">
        <f>'PolyU Score Calculation'!I30</f>
        <v>x10: 英文、數學</v>
      </c>
      <c r="AH120" s="344" t="str">
        <f>'PolyU Score Calculation'!J30</f>
        <v>x7: 中文、通識</v>
      </c>
      <c r="AI120" s="344" t="str">
        <f>'PolyU Score Calculation'!K30</f>
        <v>x5: 其他科目</v>
      </c>
      <c r="AJ120" s="251" t="s">
        <v>1970</v>
      </c>
      <c r="AK120" s="251" t="s">
        <v>1970</v>
      </c>
      <c r="AL120" s="251" t="s">
        <v>1970</v>
      </c>
      <c r="AM120" s="251" t="s">
        <v>3043</v>
      </c>
      <c r="AN120" s="251" t="str">
        <f t="shared" si="405"/>
        <v>JS3557 產品及工業工程(榮譽)工學士學位組合課程</v>
      </c>
      <c r="AO120" s="251" t="s">
        <v>1970</v>
      </c>
      <c r="AP120" s="251" t="s">
        <v>1970</v>
      </c>
      <c r="AQ120" s="344" t="s">
        <v>1970</v>
      </c>
      <c r="AR120" s="344" t="s">
        <v>2150</v>
      </c>
      <c r="AS120" s="251" t="s">
        <v>3608</v>
      </c>
      <c r="AT120" s="251" t="s">
        <v>1970</v>
      </c>
      <c r="AU120" s="251" t="s">
        <v>1970</v>
      </c>
      <c r="AV120" s="344" t="s">
        <v>3728</v>
      </c>
      <c r="AW120" s="344" t="s">
        <v>3726</v>
      </c>
      <c r="AX120" s="344" t="s">
        <v>3729</v>
      </c>
      <c r="AY120" s="344" t="s">
        <v>3730</v>
      </c>
      <c r="AZ120" s="344" t="s">
        <v>3732</v>
      </c>
      <c r="BA120" s="344" t="s">
        <v>3734</v>
      </c>
      <c r="BB120" s="251">
        <f>'PolyU Score Calculation'!X30</f>
        <v>7</v>
      </c>
      <c r="BC120" s="251">
        <f>'PolyU Score Calculation'!Y30</f>
        <v>10</v>
      </c>
      <c r="BD120" s="251">
        <f>'PolyU Score Calculation'!Z30</f>
        <v>10</v>
      </c>
      <c r="BE120" s="251">
        <f>'PolyU Score Calculation'!AA30</f>
        <v>7</v>
      </c>
      <c r="BF120" s="251">
        <f>'PolyU Score Calculation'!AB30</f>
        <v>5</v>
      </c>
      <c r="BG120" s="251">
        <f>'PolyU Score Calculation'!AC30</f>
        <v>5</v>
      </c>
      <c r="BH120" s="251">
        <f>'PolyU Score Calculation'!AD30</f>
        <v>5</v>
      </c>
      <c r="BI120" s="251">
        <f>'PolyU Score Calculation'!AE30</f>
        <v>5</v>
      </c>
      <c r="BJ120" s="251">
        <f>'PolyU Score Calculation'!AF30</f>
        <v>4.00000000001</v>
      </c>
      <c r="BK120" s="251">
        <f>'PolyU Score Calculation'!AG30</f>
        <v>3.00000000002</v>
      </c>
      <c r="BL120" s="251">
        <f>'PolyU Score Calculation'!AH30</f>
        <v>4.00000000003</v>
      </c>
      <c r="BM120" s="251">
        <f>'PolyU Score Calculation'!AI30</f>
        <v>3.00000000004</v>
      </c>
      <c r="BN120" s="251">
        <f>'PolyU Score Calculation'!AJ30</f>
        <v>3.00000000005</v>
      </c>
      <c r="BO120" s="251">
        <f>'PolyU Score Calculation'!AK30</f>
        <v>3.00000000006</v>
      </c>
      <c r="BP120" s="251">
        <f>'PolyU Score Calculation'!AL30</f>
        <v>3.00000000007</v>
      </c>
      <c r="BQ120" s="251">
        <f>'PolyU Score Calculation'!AM30</f>
        <v>7.9999999999999995E-11</v>
      </c>
      <c r="BR120" s="251">
        <f>'PolyU Score Calculation'!AN30</f>
        <v>28.000000000069999</v>
      </c>
      <c r="BS120" s="251">
        <f>'PolyU Score Calculation'!AO30</f>
        <v>30.0000000002</v>
      </c>
      <c r="BT120" s="251">
        <f>'PolyU Score Calculation'!AP30</f>
        <v>40.000000000299998</v>
      </c>
      <c r="BU120" s="251">
        <f>'PolyU Score Calculation'!AQ30</f>
        <v>21.00000000028</v>
      </c>
      <c r="BV120" s="251">
        <f>'PolyU Score Calculation'!AR30</f>
        <v>15.000000000250001</v>
      </c>
      <c r="BW120" s="251">
        <f>'PolyU Score Calculation'!AS30</f>
        <v>15.0000000003</v>
      </c>
      <c r="BX120" s="251">
        <f>'PolyU Score Calculation'!AT30</f>
        <v>15.000000000349999</v>
      </c>
      <c r="BY120" s="251">
        <f>'PolyU Score Calculation'!AU30</f>
        <v>3.9999999999999996E-10</v>
      </c>
      <c r="BZ120" s="251" t="b">
        <f>'PolyU Score Calculation'!AV30</f>
        <v>1</v>
      </c>
      <c r="CA120" s="251" t="b">
        <f>'PolyU Score Calculation'!AW30</f>
        <v>1</v>
      </c>
      <c r="CB120" s="251" t="b">
        <f>'PolyU Score Calculation'!AX30</f>
        <v>1</v>
      </c>
      <c r="CC120" s="251" t="b">
        <f>'PolyU Score Calculation'!AY30</f>
        <v>1</v>
      </c>
      <c r="CD120" s="251" t="b">
        <f>'PolyU Score Calculation'!AZ30</f>
        <v>0</v>
      </c>
      <c r="CE120" s="251" t="b">
        <f>'PolyU Score Calculation'!BA30</f>
        <v>0</v>
      </c>
      <c r="CF120" s="251" t="b">
        <f>'PolyU Score Calculation'!BB30</f>
        <v>1</v>
      </c>
      <c r="CG120" s="251" t="b">
        <f>'PolyU Score Calculation'!BC30</f>
        <v>0</v>
      </c>
      <c r="CH120" s="251">
        <f>'PolyU Score Calculation'!BD30</f>
        <v>7</v>
      </c>
      <c r="CI120" s="251">
        <f>'PolyU Score Calculation'!BE30</f>
        <v>10</v>
      </c>
      <c r="CJ120" s="251">
        <f>'PolyU Score Calculation'!BF30</f>
        <v>10</v>
      </c>
      <c r="CK120" s="251">
        <f>'PolyU Score Calculation'!BG30</f>
        <v>7</v>
      </c>
      <c r="CL120" s="251">
        <f>'PolyU Score Calculation'!BH30</f>
        <v>5</v>
      </c>
      <c r="CM120" s="251">
        <f>'PolyU Score Calculation'!BI30</f>
        <v>5</v>
      </c>
      <c r="CN120" s="251">
        <f>'PolyU Score Calculation'!BJ30</f>
        <v>5</v>
      </c>
      <c r="CO120" s="251">
        <f>'PolyU Score Calculation'!BK30</f>
        <v>5</v>
      </c>
      <c r="CP120" s="251">
        <f>'PolyU Score Calculation'!BL30</f>
        <v>3.00000000001</v>
      </c>
      <c r="CQ120" s="251">
        <f>'PolyU Score Calculation'!BM30</f>
        <v>4.00000000002</v>
      </c>
      <c r="CR120" s="251">
        <f>'PolyU Score Calculation'!BN30</f>
        <v>4.00000000003</v>
      </c>
      <c r="CS120" s="251">
        <f>'PolyU Score Calculation'!BO30</f>
        <v>4.00000000004</v>
      </c>
      <c r="CT120" s="251">
        <f>'PolyU Score Calculation'!BP30</f>
        <v>5.0000000000000002E-11</v>
      </c>
      <c r="CU120" s="251">
        <f>'PolyU Score Calculation'!BQ30</f>
        <v>3.00000000006</v>
      </c>
      <c r="CV120" s="251">
        <f>'PolyU Score Calculation'!BR30</f>
        <v>3.00000000007</v>
      </c>
      <c r="CW120" s="251">
        <f>'PolyU Score Calculation'!BS30</f>
        <v>7.9999999999999995E-11</v>
      </c>
      <c r="CX120" s="251">
        <f>'PolyU Score Calculation'!BT30</f>
        <v>21.000000000069999</v>
      </c>
      <c r="CY120" s="251">
        <f>'PolyU Score Calculation'!BU30</f>
        <v>40.000000000200004</v>
      </c>
      <c r="CZ120" s="251">
        <f>'PolyU Score Calculation'!BV30</f>
        <v>40.000000000299998</v>
      </c>
      <c r="DA120" s="251">
        <f>'PolyU Score Calculation'!BW30</f>
        <v>28.00000000028</v>
      </c>
      <c r="DB120" s="251">
        <f>'PolyU Score Calculation'!BX30</f>
        <v>2.5000000000000002E-10</v>
      </c>
      <c r="DC120" s="251">
        <f>'PolyU Score Calculation'!BY30</f>
        <v>15.0000000003</v>
      </c>
      <c r="DD120" s="251">
        <f>'PolyU Score Calculation'!BZ30</f>
        <v>15.000000000349999</v>
      </c>
      <c r="DE120" s="251">
        <f>'PolyU Score Calculation'!CA30</f>
        <v>3.9999999999999996E-10</v>
      </c>
      <c r="DF120" s="251" t="b">
        <f>'PolyU Score Calculation'!CB30</f>
        <v>1</v>
      </c>
      <c r="DG120" s="251" t="b">
        <f>'PolyU Score Calculation'!CC30</f>
        <v>1</v>
      </c>
      <c r="DH120" s="251" t="b">
        <f>'PolyU Score Calculation'!CD30</f>
        <v>1</v>
      </c>
      <c r="DI120" s="251" t="b">
        <f>'PolyU Score Calculation'!CE30</f>
        <v>1</v>
      </c>
      <c r="DJ120" s="251" t="b">
        <f>'PolyU Score Calculation'!CF30</f>
        <v>0</v>
      </c>
      <c r="DK120" s="251" t="b">
        <f>'PolyU Score Calculation'!CG30</f>
        <v>0</v>
      </c>
      <c r="DL120" s="251" t="b">
        <f>'PolyU Score Calculation'!CH30</f>
        <v>1</v>
      </c>
      <c r="DM120" s="251" t="b">
        <f>'PolyU Score Calculation'!CI30</f>
        <v>0</v>
      </c>
    </row>
    <row r="121" spans="1:117" s="251" customFormat="1" x14ac:dyDescent="0.3">
      <c r="A121" s="251" t="str">
        <f>'PolyU Score Calculation'!A31</f>
        <v>JS3741</v>
      </c>
      <c r="B121" s="251" t="s">
        <v>2246</v>
      </c>
      <c r="C121" s="251" t="str">
        <f>IF('PolyU Score Calculation'!B31=0,"",'PolyU Score Calculation'!B31)</f>
        <v>工程學院</v>
      </c>
      <c r="D121" s="251" t="str">
        <f>IF('PolyU Score Calculation'!C31=0,"",'PolyU Score Calculation'!C31)</f>
        <v>機械工程學(榮譽)工學士組合課程</v>
      </c>
      <c r="E121" s="251" t="str">
        <f>IF('PolyU Score Calculation'!E31=0,"",'PolyU Score Calculation'!E31)</f>
        <v>Best 5</v>
      </c>
      <c r="F121" s="251" t="s">
        <v>1978</v>
      </c>
      <c r="G121" s="251">
        <f>'PolyU Score Calculation'!W31</f>
        <v>178.00000000207999</v>
      </c>
      <c r="H121" s="251">
        <f>'PolyU Score Calculation'!V31</f>
        <v>170.00000000260002</v>
      </c>
      <c r="I121" s="251" t="s">
        <v>3034</v>
      </c>
      <c r="J121" s="251" t="s">
        <v>3035</v>
      </c>
      <c r="K121" s="344" t="s">
        <v>3048</v>
      </c>
      <c r="L121" s="344" t="s">
        <v>1970</v>
      </c>
      <c r="M121" s="344" t="s">
        <v>1970</v>
      </c>
      <c r="N121" s="251" t="str">
        <f>'PolyU Score Calculation'!M31</f>
        <v>JS3741</v>
      </c>
      <c r="O121" s="251" t="str">
        <f>'PolyU Score Calculation'!N31</f>
        <v>機械工程(榮譽)工學士學位組合課程</v>
      </c>
      <c r="P121" s="251" t="str">
        <f>'PolyU Score Calculation'!O31</f>
        <v>Best 5</v>
      </c>
      <c r="Q121" s="251" t="str">
        <f>'PolyU Score Calculation'!P31</f>
        <v>x10: 英文、數學、M1/2、生物、化學、物理、組合科學、ICT</v>
      </c>
      <c r="R121" s="251" t="str">
        <f>'PolyU Score Calculation'!Q31</f>
        <v>x7: 中文、通識</v>
      </c>
      <c r="S121" s="251" t="str">
        <f>'PolyU Score Calculation'!R31</f>
        <v>x5: 其他科目</v>
      </c>
      <c r="T121" s="251" t="str">
        <f>IF('PolyU Score Calculation'!D31=0,"",'PolyU Score Calculation'!D31)</f>
        <v>MECHANICAL ENGG</v>
      </c>
      <c r="U121" s="251" t="s">
        <v>2165</v>
      </c>
      <c r="V121" s="251">
        <f>IF('PolyU Score Calculation'!T31=0,"",'PolyU Score Calculation'!T31)</f>
        <v>19.7</v>
      </c>
      <c r="W121" s="251">
        <f>'PolyU Score Calculation'!U31</f>
        <v>19.7</v>
      </c>
      <c r="X121" s="344">
        <f>'A123'!J129</f>
        <v>60</v>
      </c>
      <c r="Y121" s="344">
        <f>'A123'!K129</f>
        <v>48</v>
      </c>
      <c r="Z121" s="344">
        <f>'A123'!L129</f>
        <v>9.9090909090909083</v>
      </c>
      <c r="AA121" s="251" t="s">
        <v>2165</v>
      </c>
      <c r="AB121" s="344" t="str">
        <f>入學要求!X130</f>
        <v>/</v>
      </c>
      <c r="AC121" s="344" t="str">
        <f>入學要求!Y130</f>
        <v>/</v>
      </c>
      <c r="AD121" s="251" t="str">
        <f>'PolyU Score Calculation'!E31</f>
        <v>Best 5</v>
      </c>
      <c r="AE121" s="251" t="s">
        <v>1970</v>
      </c>
      <c r="AF121" s="251" t="s">
        <v>1970</v>
      </c>
      <c r="AG121" s="344" t="str">
        <f>'PolyU Score Calculation'!I31</f>
        <v>x10: 英文、數學、M1/2、生物、化學、物理、組合科學、ICT</v>
      </c>
      <c r="AH121" s="344" t="str">
        <f>'PolyU Score Calculation'!J31</f>
        <v>x7: 中文、通識</v>
      </c>
      <c r="AI121" s="344" t="str">
        <f>'PolyU Score Calculation'!K31</f>
        <v>x5: 其他科目</v>
      </c>
      <c r="AJ121" s="251" t="s">
        <v>1970</v>
      </c>
      <c r="AK121" s="251" t="s">
        <v>1970</v>
      </c>
      <c r="AL121" s="251" t="s">
        <v>1970</v>
      </c>
      <c r="AM121" s="251" t="s">
        <v>3043</v>
      </c>
      <c r="AN121" s="251" t="str">
        <f t="shared" si="405"/>
        <v>JS3741 機械工程(榮譽)工學士學位組合課程</v>
      </c>
      <c r="AO121" s="251" t="s">
        <v>1970</v>
      </c>
      <c r="AP121" s="251" t="s">
        <v>1970</v>
      </c>
      <c r="AQ121" s="344" t="s">
        <v>1970</v>
      </c>
      <c r="AR121" s="344" t="s">
        <v>2150</v>
      </c>
      <c r="AS121" s="251" t="s">
        <v>3608</v>
      </c>
      <c r="AT121" s="251" t="s">
        <v>1970</v>
      </c>
      <c r="AU121" s="251" t="s">
        <v>1970</v>
      </c>
      <c r="AV121" s="344" t="s">
        <v>3728</v>
      </c>
      <c r="AW121" s="344" t="s">
        <v>3726</v>
      </c>
      <c r="AX121" s="344" t="s">
        <v>3729</v>
      </c>
      <c r="AY121" s="344" t="s">
        <v>3730</v>
      </c>
      <c r="AZ121" s="344" t="s">
        <v>3732</v>
      </c>
      <c r="BA121" s="344" t="s">
        <v>3734</v>
      </c>
      <c r="BB121" s="251">
        <f>'PolyU Score Calculation'!X31</f>
        <v>7</v>
      </c>
      <c r="BC121" s="251">
        <f>'PolyU Score Calculation'!Y31</f>
        <v>10</v>
      </c>
      <c r="BD121" s="251">
        <f>'PolyU Score Calculation'!Z31</f>
        <v>10</v>
      </c>
      <c r="BE121" s="251">
        <f>'PolyU Score Calculation'!AA31</f>
        <v>7</v>
      </c>
      <c r="BF121" s="251">
        <f>'PolyU Score Calculation'!AB31</f>
        <v>10</v>
      </c>
      <c r="BG121" s="251">
        <f>'PolyU Score Calculation'!AC31</f>
        <v>10</v>
      </c>
      <c r="BH121" s="251">
        <f>'PolyU Score Calculation'!AD31</f>
        <v>10</v>
      </c>
      <c r="BI121" s="251">
        <f>'PolyU Score Calculation'!AE31</f>
        <v>10</v>
      </c>
      <c r="BJ121" s="251">
        <f>'PolyU Score Calculation'!AF31</f>
        <v>3.00000000001</v>
      </c>
      <c r="BK121" s="251">
        <f>'PolyU Score Calculation'!AG31</f>
        <v>3.00000000002</v>
      </c>
      <c r="BL121" s="251">
        <f>'PolyU Score Calculation'!AH31</f>
        <v>4.00000000003</v>
      </c>
      <c r="BM121" s="251">
        <f>'PolyU Score Calculation'!AI31</f>
        <v>4.00000000004</v>
      </c>
      <c r="BN121" s="251">
        <f>'PolyU Score Calculation'!AJ31</f>
        <v>5.0000000000000002E-11</v>
      </c>
      <c r="BO121" s="251">
        <f>'PolyU Score Calculation'!AK31</f>
        <v>4.00000000006</v>
      </c>
      <c r="BP121" s="251">
        <f>'PolyU Score Calculation'!AL31</f>
        <v>3.00000000007</v>
      </c>
      <c r="BQ121" s="251">
        <f>'PolyU Score Calculation'!AM31</f>
        <v>3.00000000008</v>
      </c>
      <c r="BR121" s="251">
        <f>'PolyU Score Calculation'!AN31</f>
        <v>21.000000000069999</v>
      </c>
      <c r="BS121" s="251">
        <f>'PolyU Score Calculation'!AO31</f>
        <v>30.0000000002</v>
      </c>
      <c r="BT121" s="251">
        <f>'PolyU Score Calculation'!AP31</f>
        <v>40.000000000299998</v>
      </c>
      <c r="BU121" s="251">
        <f>'PolyU Score Calculation'!AQ31</f>
        <v>28.00000000028</v>
      </c>
      <c r="BV121" s="251">
        <f>'PolyU Score Calculation'!AR31</f>
        <v>5.0000000000000003E-10</v>
      </c>
      <c r="BW121" s="251">
        <f>'PolyU Score Calculation'!AS31</f>
        <v>40.000000000599996</v>
      </c>
      <c r="BX121" s="251">
        <f>'PolyU Score Calculation'!AT31</f>
        <v>30.000000000699998</v>
      </c>
      <c r="BY121" s="251">
        <f>'PolyU Score Calculation'!AU31</f>
        <v>30.0000000008</v>
      </c>
      <c r="BZ121" s="251" t="b">
        <f>'PolyU Score Calculation'!AV31</f>
        <v>0</v>
      </c>
      <c r="CA121" s="251" t="b">
        <f>'PolyU Score Calculation'!AW31</f>
        <v>1</v>
      </c>
      <c r="CB121" s="251" t="b">
        <f>'PolyU Score Calculation'!AX31</f>
        <v>1</v>
      </c>
      <c r="CC121" s="251" t="b">
        <f>'PolyU Score Calculation'!AY31</f>
        <v>0</v>
      </c>
      <c r="CD121" s="251" t="b">
        <f>'PolyU Score Calculation'!AZ31</f>
        <v>0</v>
      </c>
      <c r="CE121" s="251" t="b">
        <f>'PolyU Score Calculation'!BA31</f>
        <v>1</v>
      </c>
      <c r="CF121" s="251" t="b">
        <f>'PolyU Score Calculation'!BB31</f>
        <v>1</v>
      </c>
      <c r="CG121" s="251" t="b">
        <f>'PolyU Score Calculation'!BC31</f>
        <v>1</v>
      </c>
      <c r="CH121" s="251">
        <f>'PolyU Score Calculation'!BD31</f>
        <v>7</v>
      </c>
      <c r="CI121" s="251">
        <f>'PolyU Score Calculation'!BE31</f>
        <v>10</v>
      </c>
      <c r="CJ121" s="251">
        <f>'PolyU Score Calculation'!BF31</f>
        <v>10</v>
      </c>
      <c r="CK121" s="251">
        <f>'PolyU Score Calculation'!BG31</f>
        <v>7</v>
      </c>
      <c r="CL121" s="251">
        <f>'PolyU Score Calculation'!BH31</f>
        <v>10</v>
      </c>
      <c r="CM121" s="251">
        <f>'PolyU Score Calculation'!BI31</f>
        <v>10</v>
      </c>
      <c r="CN121" s="251">
        <f>'PolyU Score Calculation'!BJ31</f>
        <v>10</v>
      </c>
      <c r="CO121" s="251">
        <f>'PolyU Score Calculation'!BK31</f>
        <v>10</v>
      </c>
      <c r="CP121" s="251">
        <f>'PolyU Score Calculation'!BL31</f>
        <v>3.00000000001</v>
      </c>
      <c r="CQ121" s="251">
        <f>'PolyU Score Calculation'!BM31</f>
        <v>3.00000000002</v>
      </c>
      <c r="CR121" s="251">
        <f>'PolyU Score Calculation'!BN31</f>
        <v>4.00000000003</v>
      </c>
      <c r="CS121" s="251">
        <f>'PolyU Score Calculation'!BO31</f>
        <v>4.00000000004</v>
      </c>
      <c r="CT121" s="251">
        <f>'PolyU Score Calculation'!BP31</f>
        <v>2.00000000005</v>
      </c>
      <c r="CU121" s="251">
        <f>'PolyU Score Calculation'!BQ31</f>
        <v>4.00000000006</v>
      </c>
      <c r="CV121" s="251">
        <f>'PolyU Score Calculation'!BR31</f>
        <v>4.00000000007</v>
      </c>
      <c r="CW121" s="251">
        <f>'PolyU Score Calculation'!BS31</f>
        <v>7.9999999999999995E-11</v>
      </c>
      <c r="CX121" s="251">
        <f>'PolyU Score Calculation'!BT31</f>
        <v>21.000000000069999</v>
      </c>
      <c r="CY121" s="251">
        <f>'PolyU Score Calculation'!BU31</f>
        <v>30.0000000002</v>
      </c>
      <c r="CZ121" s="251">
        <f>'PolyU Score Calculation'!BV31</f>
        <v>40.000000000299998</v>
      </c>
      <c r="DA121" s="251">
        <f>'PolyU Score Calculation'!BW31</f>
        <v>28.00000000028</v>
      </c>
      <c r="DB121" s="251">
        <f>'PolyU Score Calculation'!BX31</f>
        <v>20.000000000500002</v>
      </c>
      <c r="DC121" s="251">
        <f>'PolyU Score Calculation'!BY31</f>
        <v>40.000000000599996</v>
      </c>
      <c r="DD121" s="251">
        <f>'PolyU Score Calculation'!BZ31</f>
        <v>40.000000000699998</v>
      </c>
      <c r="DE121" s="251">
        <f>'PolyU Score Calculation'!CA31</f>
        <v>7.9999999999999993E-10</v>
      </c>
      <c r="DF121" s="251" t="b">
        <f>'PolyU Score Calculation'!CB31</f>
        <v>0</v>
      </c>
      <c r="DG121" s="251" t="b">
        <f>'PolyU Score Calculation'!CC31</f>
        <v>1</v>
      </c>
      <c r="DH121" s="251" t="b">
        <f>'PolyU Score Calculation'!CD31</f>
        <v>1</v>
      </c>
      <c r="DI121" s="251" t="b">
        <f>'PolyU Score Calculation'!CE31</f>
        <v>1</v>
      </c>
      <c r="DJ121" s="251" t="b">
        <f>'PolyU Score Calculation'!CF31</f>
        <v>0</v>
      </c>
      <c r="DK121" s="251" t="b">
        <f>'PolyU Score Calculation'!CG31</f>
        <v>1</v>
      </c>
      <c r="DL121" s="251" t="b">
        <f>'PolyU Score Calculation'!CH31</f>
        <v>1</v>
      </c>
      <c r="DM121" s="251" t="b">
        <f>'PolyU Score Calculation'!CI31</f>
        <v>0</v>
      </c>
    </row>
    <row r="122" spans="1:117" s="251" customFormat="1" x14ac:dyDescent="0.3">
      <c r="A122" s="251" t="str">
        <f>'PolyU Score Calculation'!A32</f>
        <v>JS3230</v>
      </c>
      <c r="B122" s="251" t="s">
        <v>2246</v>
      </c>
      <c r="C122" s="251" t="str">
        <f>IF('PolyU Score Calculation'!B32=0,"",'PolyU Score Calculation'!B32)</f>
        <v>人文學院</v>
      </c>
      <c r="D122" s="251" t="str">
        <f>IF('PolyU Score Calculation'!C32=0,"",'PolyU Score Calculation'!C32)</f>
        <v>語言學及翻譯學(榮譽)文學士組合課程</v>
      </c>
      <c r="E122" s="251" t="str">
        <f>IF('PolyU Score Calculation'!E32=0,"",'PolyU Score Calculation'!E32)</f>
        <v>中英Best3</v>
      </c>
      <c r="F122" s="251" t="s">
        <v>1978</v>
      </c>
      <c r="G122" s="251">
        <f>'PolyU Score Calculation'!W32</f>
        <v>166.50000000109</v>
      </c>
      <c r="H122" s="251">
        <f>'PolyU Score Calculation'!V32</f>
        <v>149.00000000109</v>
      </c>
      <c r="I122" s="251" t="s">
        <v>3034</v>
      </c>
      <c r="J122" s="251" t="s">
        <v>3035</v>
      </c>
      <c r="K122" s="344" t="s">
        <v>3048</v>
      </c>
      <c r="L122" s="344" t="s">
        <v>1970</v>
      </c>
      <c r="M122" s="344" t="s">
        <v>1970</v>
      </c>
      <c r="N122" s="251" t="str">
        <f>'PolyU Score Calculation'!M32</f>
        <v>JS3818</v>
      </c>
      <c r="O122" s="251" t="str">
        <f>'PolyU Score Calculation'!N32</f>
        <v>語言學及翻譯學(榮譽)文學士學位</v>
      </c>
      <c r="P122" s="251" t="str">
        <f>'PolyU Score Calculation'!O32</f>
        <v>中英Best3</v>
      </c>
      <c r="Q122" s="251" t="str">
        <f>'PolyU Score Calculation'!P32</f>
        <v>x10: 中文、英文</v>
      </c>
      <c r="R122" s="251" t="str">
        <f>'PolyU Score Calculation'!Q32</f>
        <v>x7: 數學、通識</v>
      </c>
      <c r="S122" s="251" t="str">
        <f>'PolyU Score Calculation'!R32</f>
        <v>x5: 其他科目</v>
      </c>
      <c r="T122" s="251" t="str">
        <f>IF('PolyU Score Calculation'!D32=0,"",'PolyU Score Calculation'!D32)</f>
        <v>LINGUISTICS &amp; TRANSLAT</v>
      </c>
      <c r="U122" s="251" t="s">
        <v>2165</v>
      </c>
      <c r="V122" s="251">
        <f>IF('PolyU Score Calculation'!T32=0,"",'PolyU Score Calculation'!T32)</f>
        <v>21.2</v>
      </c>
      <c r="W122" s="251">
        <f>'PolyU Score Calculation'!U32</f>
        <v>21.2</v>
      </c>
      <c r="X122" s="344">
        <f>'A123'!J130</f>
        <v>37</v>
      </c>
      <c r="Y122" s="344" t="str">
        <f>'A123'!K130</f>
        <v>/</v>
      </c>
      <c r="Z122" s="344" t="str">
        <f>'A123'!L130</f>
        <v>新科目</v>
      </c>
      <c r="AA122" s="251" t="s">
        <v>2165</v>
      </c>
      <c r="AB122" s="344" t="str">
        <f>入學要求!X131</f>
        <v>/</v>
      </c>
      <c r="AC122" s="344" t="str">
        <f>入學要求!Y131</f>
        <v>/</v>
      </c>
      <c r="AD122" s="251" t="str">
        <f>'PolyU Score Calculation'!E32</f>
        <v>中英Best3</v>
      </c>
      <c r="AE122" s="251" t="s">
        <v>1970</v>
      </c>
      <c r="AF122" s="251" t="s">
        <v>1970</v>
      </c>
      <c r="AG122" s="344" t="str">
        <f>'PolyU Score Calculation'!I32</f>
        <v>x10: 中文、英文</v>
      </c>
      <c r="AH122" s="344" t="str">
        <f>'PolyU Score Calculation'!J32</f>
        <v>x7: 數學、通識</v>
      </c>
      <c r="AI122" s="344" t="str">
        <f>'PolyU Score Calculation'!K32</f>
        <v>x5: 其他科目</v>
      </c>
      <c r="AJ122" s="251" t="s">
        <v>1970</v>
      </c>
      <c r="AK122" s="251" t="s">
        <v>1970</v>
      </c>
      <c r="AL122" s="251" t="s">
        <v>1970</v>
      </c>
      <c r="AM122" s="251" t="s">
        <v>3043</v>
      </c>
      <c r="AN122" s="251" t="str">
        <f t="shared" si="405"/>
        <v>JS3818 語言學及翻譯學(榮譽)文學士學位</v>
      </c>
      <c r="AO122" s="251" t="s">
        <v>1970</v>
      </c>
      <c r="AP122" s="251" t="s">
        <v>1970</v>
      </c>
      <c r="AQ122" s="344" t="s">
        <v>1970</v>
      </c>
      <c r="AR122" s="344" t="s">
        <v>2150</v>
      </c>
      <c r="AS122" s="251" t="s">
        <v>3610</v>
      </c>
      <c r="AT122" s="251" t="s">
        <v>1970</v>
      </c>
      <c r="AU122" s="251" t="s">
        <v>3636</v>
      </c>
      <c r="AV122" s="344" t="s">
        <v>3728</v>
      </c>
      <c r="AW122" s="344" t="s">
        <v>3726</v>
      </c>
      <c r="AX122" s="344" t="s">
        <v>3729</v>
      </c>
      <c r="AY122" s="344" t="s">
        <v>3730</v>
      </c>
      <c r="AZ122" s="344" t="s">
        <v>3732</v>
      </c>
      <c r="BA122" s="344" t="s">
        <v>3734</v>
      </c>
      <c r="BB122" s="251">
        <f>'PolyU Score Calculation'!X32</f>
        <v>10</v>
      </c>
      <c r="BC122" s="251">
        <f>'PolyU Score Calculation'!Y32</f>
        <v>10</v>
      </c>
      <c r="BD122" s="251">
        <f>'PolyU Score Calculation'!Z32</f>
        <v>7</v>
      </c>
      <c r="BE122" s="251">
        <f>'PolyU Score Calculation'!AA32</f>
        <v>7</v>
      </c>
      <c r="BF122" s="251">
        <f>'PolyU Score Calculation'!AB32</f>
        <v>5</v>
      </c>
      <c r="BG122" s="251">
        <f>'PolyU Score Calculation'!AC32</f>
        <v>5</v>
      </c>
      <c r="BH122" s="251">
        <f>'PolyU Score Calculation'!AD32</f>
        <v>5</v>
      </c>
      <c r="BI122" s="251">
        <f>'PolyU Score Calculation'!AE32</f>
        <v>5</v>
      </c>
      <c r="BJ122" s="251">
        <f>'PolyU Score Calculation'!AF32</f>
        <v>4.00000000001</v>
      </c>
      <c r="BK122" s="251">
        <f>'PolyU Score Calculation'!AG32</f>
        <v>4.00000000002</v>
      </c>
      <c r="BL122" s="251">
        <f>'PolyU Score Calculation'!AH32</f>
        <v>4.00000000003</v>
      </c>
      <c r="BM122" s="251">
        <f>'PolyU Score Calculation'!AI32</f>
        <v>3.00000000004</v>
      </c>
      <c r="BN122" s="251">
        <f>'PolyU Score Calculation'!AJ32</f>
        <v>4.00000000005</v>
      </c>
      <c r="BO122" s="251">
        <f>'PolyU Score Calculation'!AK32</f>
        <v>4.00000000006</v>
      </c>
      <c r="BP122" s="251">
        <f>'PolyU Score Calculation'!AL32</f>
        <v>3.00000000007</v>
      </c>
      <c r="BQ122" s="251">
        <f>'PolyU Score Calculation'!AM32</f>
        <v>7.9999999999999995E-11</v>
      </c>
      <c r="BR122" s="251">
        <f>'PolyU Score Calculation'!AN32</f>
        <v>40.000000000100002</v>
      </c>
      <c r="BS122" s="251">
        <f>'PolyU Score Calculation'!AO32</f>
        <v>40.000000000200004</v>
      </c>
      <c r="BT122" s="251">
        <f>'PolyU Score Calculation'!AP32</f>
        <v>28.000000000210001</v>
      </c>
      <c r="BU122" s="251">
        <f>'PolyU Score Calculation'!AQ32</f>
        <v>21.00000000028</v>
      </c>
      <c r="BV122" s="251">
        <f>'PolyU Score Calculation'!AR32</f>
        <v>20.000000000250001</v>
      </c>
      <c r="BW122" s="251">
        <f>'PolyU Score Calculation'!AS32</f>
        <v>20.000000000299998</v>
      </c>
      <c r="BX122" s="251">
        <f>'PolyU Score Calculation'!AT32</f>
        <v>15.000000000349999</v>
      </c>
      <c r="BY122" s="251">
        <f>'PolyU Score Calculation'!AU32</f>
        <v>3.9999999999999996E-10</v>
      </c>
      <c r="BZ122" s="251" t="b">
        <f>'PolyU Score Calculation'!AV32</f>
        <v>1</v>
      </c>
      <c r="CA122" s="251" t="b">
        <f>'PolyU Score Calculation'!AW32</f>
        <v>1</v>
      </c>
      <c r="CB122" s="251" t="b">
        <f>'PolyU Score Calculation'!AX32</f>
        <v>1</v>
      </c>
      <c r="CC122" s="251" t="b">
        <f>'PolyU Score Calculation'!AY32</f>
        <v>1</v>
      </c>
      <c r="CD122" s="251" t="b">
        <f>'PolyU Score Calculation'!AZ32</f>
        <v>0</v>
      </c>
      <c r="CE122" s="251" t="b">
        <f>'PolyU Score Calculation'!BA32</f>
        <v>1</v>
      </c>
      <c r="CF122" s="251" t="b">
        <f>'PolyU Score Calculation'!BB32</f>
        <v>0</v>
      </c>
      <c r="CG122" s="251" t="b">
        <f>'PolyU Score Calculation'!BC32</f>
        <v>0</v>
      </c>
      <c r="CH122" s="251">
        <f>'PolyU Score Calculation'!BD32</f>
        <v>10</v>
      </c>
      <c r="CI122" s="251">
        <f>'PolyU Score Calculation'!BE32</f>
        <v>10</v>
      </c>
      <c r="CJ122" s="251">
        <f>'PolyU Score Calculation'!BF32</f>
        <v>7</v>
      </c>
      <c r="CK122" s="251">
        <f>'PolyU Score Calculation'!BG32</f>
        <v>7</v>
      </c>
      <c r="CL122" s="251">
        <f>'PolyU Score Calculation'!BH32</f>
        <v>5</v>
      </c>
      <c r="CM122" s="251">
        <f>'PolyU Score Calculation'!BI32</f>
        <v>5</v>
      </c>
      <c r="CN122" s="251">
        <f>'PolyU Score Calculation'!BJ32</f>
        <v>5</v>
      </c>
      <c r="CO122" s="251">
        <f>'PolyU Score Calculation'!BK32</f>
        <v>5</v>
      </c>
      <c r="CP122" s="251">
        <f>'PolyU Score Calculation'!BL32</f>
        <v>4.00000000001</v>
      </c>
      <c r="CQ122" s="251">
        <f>'PolyU Score Calculation'!BM32</f>
        <v>4.00000000002</v>
      </c>
      <c r="CR122" s="251">
        <f>'PolyU Score Calculation'!BN32</f>
        <v>4.00000000003</v>
      </c>
      <c r="CS122" s="251">
        <f>'PolyU Score Calculation'!BO32</f>
        <v>5.50000000004</v>
      </c>
      <c r="CT122" s="251">
        <f>'PolyU Score Calculation'!BP32</f>
        <v>5.0000000000000002E-11</v>
      </c>
      <c r="CU122" s="251">
        <f>'PolyU Score Calculation'!BQ32</f>
        <v>4.00000000006</v>
      </c>
      <c r="CV122" s="251">
        <f>'PolyU Score Calculation'!BR32</f>
        <v>3.00000000007</v>
      </c>
      <c r="CW122" s="251">
        <f>'PolyU Score Calculation'!BS32</f>
        <v>7.9999999999999995E-11</v>
      </c>
      <c r="CX122" s="251">
        <f>'PolyU Score Calculation'!BT32</f>
        <v>40.000000000100002</v>
      </c>
      <c r="CY122" s="251">
        <f>'PolyU Score Calculation'!BU32</f>
        <v>40.000000000200004</v>
      </c>
      <c r="CZ122" s="251">
        <f>'PolyU Score Calculation'!BV32</f>
        <v>28.000000000210001</v>
      </c>
      <c r="DA122" s="251">
        <f>'PolyU Score Calculation'!BW32</f>
        <v>38.500000000279996</v>
      </c>
      <c r="DB122" s="251">
        <f>'PolyU Score Calculation'!BX32</f>
        <v>2.5000000000000002E-10</v>
      </c>
      <c r="DC122" s="251">
        <f>'PolyU Score Calculation'!BY32</f>
        <v>20.000000000299998</v>
      </c>
      <c r="DD122" s="251">
        <f>'PolyU Score Calculation'!BZ32</f>
        <v>15.000000000349999</v>
      </c>
      <c r="DE122" s="251">
        <f>'PolyU Score Calculation'!CA32</f>
        <v>3.9999999999999996E-10</v>
      </c>
      <c r="DF122" s="251" t="b">
        <f>'PolyU Score Calculation'!CB32</f>
        <v>1</v>
      </c>
      <c r="DG122" s="251" t="b">
        <f>'PolyU Score Calculation'!CC32</f>
        <v>1</v>
      </c>
      <c r="DH122" s="251" t="b">
        <f>'PolyU Score Calculation'!CD32</f>
        <v>1</v>
      </c>
      <c r="DI122" s="251" t="b">
        <f>'PolyU Score Calculation'!CE32</f>
        <v>1</v>
      </c>
      <c r="DJ122" s="251" t="b">
        <f>'PolyU Score Calculation'!CF32</f>
        <v>0</v>
      </c>
      <c r="DK122" s="251" t="b">
        <f>'PolyU Score Calculation'!CG32</f>
        <v>1</v>
      </c>
      <c r="DL122" s="251" t="b">
        <f>'PolyU Score Calculation'!CH32</f>
        <v>0</v>
      </c>
      <c r="DM122" s="251" t="b">
        <f>'PolyU Score Calculation'!CI32</f>
        <v>0</v>
      </c>
    </row>
    <row r="123" spans="1:117" s="251" customFormat="1" x14ac:dyDescent="0.3">
      <c r="A123" s="251" t="str">
        <f>'PolyU Score Calculation'!A33</f>
        <v>JS3240</v>
      </c>
      <c r="B123" s="251" t="s">
        <v>2246</v>
      </c>
      <c r="C123" s="251" t="str">
        <f>IF('PolyU Score Calculation'!B33=0,"",'PolyU Score Calculation'!B33)</f>
        <v>人文學院</v>
      </c>
      <c r="D123" s="251" t="str">
        <f>IF('PolyU Score Calculation'!C33=0,"",'PolyU Score Calculation'!C33)</f>
        <v>英文及應用語言學(榮譽)文學士組合課程</v>
      </c>
      <c r="E123" s="251" t="str">
        <f>IF('PolyU Score Calculation'!E33=0,"",'PolyU Score Calculation'!E33)</f>
        <v>中英Best3</v>
      </c>
      <c r="F123" s="251" t="s">
        <v>1978</v>
      </c>
      <c r="G123" s="251">
        <f>'PolyU Score Calculation'!W33</f>
        <v>139.50000000109</v>
      </c>
      <c r="H123" s="251">
        <f>'PolyU Score Calculation'!V33</f>
        <v>149.00000000109</v>
      </c>
      <c r="I123" s="251" t="s">
        <v>3034</v>
      </c>
      <c r="J123" s="251" t="s">
        <v>3035</v>
      </c>
      <c r="K123" s="344" t="s">
        <v>3048</v>
      </c>
      <c r="L123" s="344" t="s">
        <v>1970</v>
      </c>
      <c r="M123" s="344" t="s">
        <v>1970</v>
      </c>
      <c r="N123" s="251" t="str">
        <f>'PolyU Score Calculation'!M33</f>
        <v>JS3832</v>
      </c>
      <c r="O123" s="251" t="str">
        <f>'PolyU Score Calculation'!N33</f>
        <v>英文及應用語言學(榮譽)文學士學位</v>
      </c>
      <c r="P123" s="251" t="str">
        <f>'PolyU Score Calculation'!O33</f>
        <v>中英Best3</v>
      </c>
      <c r="Q123" s="251" t="str">
        <f>'PolyU Score Calculation'!P33</f>
        <v>x10: 中文、英文</v>
      </c>
      <c r="R123" s="251" t="str">
        <f>'PolyU Score Calculation'!Q33</f>
        <v>x7: 數學、通識</v>
      </c>
      <c r="S123" s="251" t="str">
        <f>'PolyU Score Calculation'!R33</f>
        <v>x5: 其他科目</v>
      </c>
      <c r="T123" s="251" t="str">
        <f>IF('PolyU Score Calculation'!D33=0,"",'PolyU Score Calculation'!D33)</f>
        <v>ENGL &amp; APP LINGUISTICS</v>
      </c>
      <c r="U123" s="251" t="s">
        <v>2165</v>
      </c>
      <c r="V123" s="251">
        <f>IF('PolyU Score Calculation'!T33=0,"",'PolyU Score Calculation'!T33)</f>
        <v>20.100000000000001</v>
      </c>
      <c r="W123" s="251">
        <f>'PolyU Score Calculation'!U33</f>
        <v>20.100000000000001</v>
      </c>
      <c r="X123" s="344">
        <f>'A123'!J131</f>
        <v>41</v>
      </c>
      <c r="Y123" s="344" t="str">
        <f>'A123'!K131</f>
        <v>/</v>
      </c>
      <c r="Z123" s="344" t="str">
        <f>'A123'!L131</f>
        <v>新科目</v>
      </c>
      <c r="AA123" s="251" t="s">
        <v>2165</v>
      </c>
      <c r="AB123" s="344" t="str">
        <f>入學要求!X132</f>
        <v>/</v>
      </c>
      <c r="AC123" s="344" t="str">
        <f>入學要求!Y132</f>
        <v>/</v>
      </c>
      <c r="AD123" s="251" t="str">
        <f>'PolyU Score Calculation'!E33</f>
        <v>中英Best3</v>
      </c>
      <c r="AE123" s="251" t="s">
        <v>1970</v>
      </c>
      <c r="AF123" s="251" t="s">
        <v>1970</v>
      </c>
      <c r="AG123" s="344" t="str">
        <f>'PolyU Score Calculation'!I33</f>
        <v>x10: 中文、英文</v>
      </c>
      <c r="AH123" s="344" t="str">
        <f>'PolyU Score Calculation'!J33</f>
        <v>x7: 數學、通識</v>
      </c>
      <c r="AI123" s="344" t="str">
        <f>'PolyU Score Calculation'!K33</f>
        <v>x5: 其他科目</v>
      </c>
      <c r="AJ123" s="251" t="s">
        <v>1970</v>
      </c>
      <c r="AK123" s="251" t="s">
        <v>1970</v>
      </c>
      <c r="AL123" s="251" t="s">
        <v>1970</v>
      </c>
      <c r="AM123" s="251" t="s">
        <v>3043</v>
      </c>
      <c r="AN123" s="251" t="str">
        <f t="shared" si="405"/>
        <v>JS3832 英文及應用語言學(榮譽)文學士學位</v>
      </c>
      <c r="AO123" s="251" t="s">
        <v>1970</v>
      </c>
      <c r="AP123" s="251" t="s">
        <v>1970</v>
      </c>
      <c r="AQ123" s="344" t="s">
        <v>1970</v>
      </c>
      <c r="AR123" s="344" t="s">
        <v>2150</v>
      </c>
      <c r="AS123" s="251" t="s">
        <v>3610</v>
      </c>
      <c r="AT123" s="251" t="s">
        <v>1970</v>
      </c>
      <c r="AU123" s="251" t="s">
        <v>3636</v>
      </c>
      <c r="AV123" s="344" t="s">
        <v>3728</v>
      </c>
      <c r="AW123" s="344" t="s">
        <v>3726</v>
      </c>
      <c r="AX123" s="344" t="s">
        <v>3729</v>
      </c>
      <c r="AY123" s="344" t="s">
        <v>3730</v>
      </c>
      <c r="AZ123" s="344" t="s">
        <v>3732</v>
      </c>
      <c r="BA123" s="344" t="s">
        <v>3734</v>
      </c>
      <c r="BB123" s="251">
        <f>'PolyU Score Calculation'!X33</f>
        <v>10</v>
      </c>
      <c r="BC123" s="251">
        <f>'PolyU Score Calculation'!Y33</f>
        <v>10</v>
      </c>
      <c r="BD123" s="251">
        <f>'PolyU Score Calculation'!Z33</f>
        <v>7</v>
      </c>
      <c r="BE123" s="251">
        <f>'PolyU Score Calculation'!AA33</f>
        <v>7</v>
      </c>
      <c r="BF123" s="251">
        <f>'PolyU Score Calculation'!AB33</f>
        <v>5</v>
      </c>
      <c r="BG123" s="251">
        <f>'PolyU Score Calculation'!AC33</f>
        <v>5</v>
      </c>
      <c r="BH123" s="251">
        <f>'PolyU Score Calculation'!AD33</f>
        <v>5</v>
      </c>
      <c r="BI123" s="251">
        <f>'PolyU Score Calculation'!AE33</f>
        <v>5</v>
      </c>
      <c r="BJ123" s="251">
        <f>'PolyU Score Calculation'!AF33</f>
        <v>4.00000000001</v>
      </c>
      <c r="BK123" s="251">
        <f>'PolyU Score Calculation'!AG33</f>
        <v>4.00000000002</v>
      </c>
      <c r="BL123" s="251">
        <f>'PolyU Score Calculation'!AH33</f>
        <v>4.00000000003</v>
      </c>
      <c r="BM123" s="251">
        <f>'PolyU Score Calculation'!AI33</f>
        <v>3.00000000004</v>
      </c>
      <c r="BN123" s="251">
        <f>'PolyU Score Calculation'!AJ33</f>
        <v>5.0000000000000002E-11</v>
      </c>
      <c r="BO123" s="251">
        <f>'PolyU Score Calculation'!AK33</f>
        <v>4.00000000006</v>
      </c>
      <c r="BP123" s="251">
        <f>'PolyU Score Calculation'!AL33</f>
        <v>3.00000000007</v>
      </c>
      <c r="BQ123" s="251">
        <f>'PolyU Score Calculation'!AM33</f>
        <v>7.9999999999999995E-11</v>
      </c>
      <c r="BR123" s="251">
        <f>'PolyU Score Calculation'!AN33</f>
        <v>40.000000000100002</v>
      </c>
      <c r="BS123" s="251">
        <f>'PolyU Score Calculation'!AO33</f>
        <v>40.000000000200004</v>
      </c>
      <c r="BT123" s="251">
        <f>'PolyU Score Calculation'!AP33</f>
        <v>28.000000000210001</v>
      </c>
      <c r="BU123" s="251">
        <f>'PolyU Score Calculation'!AQ33</f>
        <v>21.00000000028</v>
      </c>
      <c r="BV123" s="251">
        <f>'PolyU Score Calculation'!AR33</f>
        <v>2.5000000000000002E-10</v>
      </c>
      <c r="BW123" s="251">
        <f>'PolyU Score Calculation'!AS33</f>
        <v>20.000000000299998</v>
      </c>
      <c r="BX123" s="251">
        <f>'PolyU Score Calculation'!AT33</f>
        <v>15.000000000349999</v>
      </c>
      <c r="BY123" s="251">
        <f>'PolyU Score Calculation'!AU33</f>
        <v>3.9999999999999996E-10</v>
      </c>
      <c r="BZ123" s="251" t="b">
        <f>'PolyU Score Calculation'!AV33</f>
        <v>1</v>
      </c>
      <c r="CA123" s="251" t="b">
        <f>'PolyU Score Calculation'!AW33</f>
        <v>1</v>
      </c>
      <c r="CB123" s="251" t="b">
        <f>'PolyU Score Calculation'!AX33</f>
        <v>1</v>
      </c>
      <c r="CC123" s="251" t="b">
        <f>'PolyU Score Calculation'!AY33</f>
        <v>1</v>
      </c>
      <c r="CD123" s="251" t="b">
        <f>'PolyU Score Calculation'!AZ33</f>
        <v>0</v>
      </c>
      <c r="CE123" s="251" t="b">
        <f>'PolyU Score Calculation'!BA33</f>
        <v>1</v>
      </c>
      <c r="CF123" s="251" t="b">
        <f>'PolyU Score Calculation'!BB33</f>
        <v>0</v>
      </c>
      <c r="CG123" s="251" t="b">
        <f>'PolyU Score Calculation'!BC33</f>
        <v>0</v>
      </c>
      <c r="CH123" s="251">
        <f>'PolyU Score Calculation'!BD33</f>
        <v>10</v>
      </c>
      <c r="CI123" s="251">
        <f>'PolyU Score Calculation'!BE33</f>
        <v>10</v>
      </c>
      <c r="CJ123" s="251">
        <f>'PolyU Score Calculation'!BF33</f>
        <v>7</v>
      </c>
      <c r="CK123" s="251">
        <f>'PolyU Score Calculation'!BG33</f>
        <v>7</v>
      </c>
      <c r="CL123" s="251">
        <f>'PolyU Score Calculation'!BH33</f>
        <v>5</v>
      </c>
      <c r="CM123" s="251">
        <f>'PolyU Score Calculation'!BI33</f>
        <v>5</v>
      </c>
      <c r="CN123" s="251">
        <f>'PolyU Score Calculation'!BJ33</f>
        <v>5</v>
      </c>
      <c r="CO123" s="251">
        <f>'PolyU Score Calculation'!BK33</f>
        <v>5</v>
      </c>
      <c r="CP123" s="251">
        <f>'PolyU Score Calculation'!BL33</f>
        <v>3.00000000001</v>
      </c>
      <c r="CQ123" s="251">
        <f>'PolyU Score Calculation'!BM33</f>
        <v>4.00000000002</v>
      </c>
      <c r="CR123" s="251">
        <f>'PolyU Score Calculation'!BN33</f>
        <v>3.00000000003</v>
      </c>
      <c r="CS123" s="251">
        <f>'PolyU Score Calculation'!BO33</f>
        <v>3.00000000004</v>
      </c>
      <c r="CT123" s="251">
        <f>'PolyU Score Calculation'!BP33</f>
        <v>5.0000000000000002E-11</v>
      </c>
      <c r="CU123" s="251">
        <f>'PolyU Score Calculation'!BQ33</f>
        <v>5.50000000006</v>
      </c>
      <c r="CV123" s="251">
        <f>'PolyU Score Calculation'!BR33</f>
        <v>4.00000000007</v>
      </c>
      <c r="CW123" s="251">
        <f>'PolyU Score Calculation'!BS33</f>
        <v>7.9999999999999995E-11</v>
      </c>
      <c r="CX123" s="251">
        <f>'PolyU Score Calculation'!BT33</f>
        <v>30.000000000100002</v>
      </c>
      <c r="CY123" s="251">
        <f>'PolyU Score Calculation'!BU33</f>
        <v>40.000000000200004</v>
      </c>
      <c r="CZ123" s="251">
        <f>'PolyU Score Calculation'!BV33</f>
        <v>21.000000000210001</v>
      </c>
      <c r="DA123" s="251">
        <f>'PolyU Score Calculation'!BW33</f>
        <v>21.00000000028</v>
      </c>
      <c r="DB123" s="251">
        <f>'PolyU Score Calculation'!BX33</f>
        <v>2.5000000000000002E-10</v>
      </c>
      <c r="DC123" s="251">
        <f>'PolyU Score Calculation'!BY33</f>
        <v>27.500000000299998</v>
      </c>
      <c r="DD123" s="251">
        <f>'PolyU Score Calculation'!BZ33</f>
        <v>20.000000000349999</v>
      </c>
      <c r="DE123" s="251">
        <f>'PolyU Score Calculation'!CA33</f>
        <v>3.9999999999999996E-10</v>
      </c>
      <c r="DF123" s="251" t="b">
        <f>'PolyU Score Calculation'!CB33</f>
        <v>1</v>
      </c>
      <c r="DG123" s="251" t="b">
        <f>'PolyU Score Calculation'!CC33</f>
        <v>1</v>
      </c>
      <c r="DH123" s="251" t="b">
        <f>'PolyU Score Calculation'!CD33</f>
        <v>1</v>
      </c>
      <c r="DI123" s="251" t="b">
        <f>'PolyU Score Calculation'!CE33</f>
        <v>1</v>
      </c>
      <c r="DJ123" s="251" t="b">
        <f>'PolyU Score Calculation'!CF33</f>
        <v>0</v>
      </c>
      <c r="DK123" s="251" t="b">
        <f>'PolyU Score Calculation'!CG33</f>
        <v>1</v>
      </c>
      <c r="DL123" s="251" t="b">
        <f>'PolyU Score Calculation'!CH33</f>
        <v>0</v>
      </c>
      <c r="DM123" s="251" t="b">
        <f>'PolyU Score Calculation'!CI33</f>
        <v>0</v>
      </c>
    </row>
    <row r="124" spans="1:117" s="251" customFormat="1" x14ac:dyDescent="0.3">
      <c r="A124" s="251" t="str">
        <f>'PolyU Score Calculation'!A34</f>
        <v>JS3310</v>
      </c>
      <c r="B124" s="251" t="s">
        <v>2246</v>
      </c>
      <c r="C124" s="251" t="str">
        <f>IF('PolyU Score Calculation'!B34=0,"",'PolyU Score Calculation'!B34)</f>
        <v>酒店及旅遊業管理學院</v>
      </c>
      <c r="D124" s="251" t="str">
        <f>IF('PolyU Score Calculation'!C34=0,"",'PolyU Score Calculation'!C34)</f>
        <v>酒店及旅遊管理(榮譽)理學士組合課程</v>
      </c>
      <c r="E124" s="251" t="str">
        <f>IF('PolyU Score Calculation'!E34=0,"",'PolyU Score Calculation'!E34)</f>
        <v>Best 5</v>
      </c>
      <c r="F124" s="251" t="s">
        <v>1978</v>
      </c>
      <c r="G124" s="251">
        <f>'PolyU Score Calculation'!W34</f>
        <v>147.50000000106002</v>
      </c>
      <c r="H124" s="251">
        <f>'PolyU Score Calculation'!V34</f>
        <v>140.50000000106002</v>
      </c>
      <c r="I124" s="251" t="s">
        <v>3034</v>
      </c>
      <c r="J124" s="251" t="s">
        <v>3035</v>
      </c>
      <c r="K124" s="344" t="s">
        <v>3048</v>
      </c>
      <c r="L124" s="344" t="s">
        <v>1970</v>
      </c>
      <c r="M124" s="344" t="s">
        <v>1970</v>
      </c>
      <c r="N124" s="251" t="str">
        <f>'PolyU Score Calculation'!M34</f>
        <v>JS3820</v>
      </c>
      <c r="O124" s="251" t="str">
        <f>'PolyU Score Calculation'!N34</f>
        <v>旅遊業及會展管理(榮譽)理學士學位</v>
      </c>
      <c r="P124" s="251" t="str">
        <f>'PolyU Score Calculation'!O34</f>
        <v>Best 5</v>
      </c>
      <c r="Q124" s="251" t="str">
        <f>'PolyU Score Calculation'!P34</f>
        <v>x10: 英文</v>
      </c>
      <c r="R124" s="251" t="str">
        <f>'PolyU Score Calculation'!Q34</f>
        <v>x7: 中文、數學、通識</v>
      </c>
      <c r="S124" s="251" t="str">
        <f>'PolyU Score Calculation'!R34</f>
        <v>x5: 其他科目</v>
      </c>
      <c r="T124" s="251" t="str">
        <f>IF('PolyU Score Calculation'!D34=0,"",'PolyU Score Calculation'!D34)</f>
        <v>HOTEL &amp; TOURISM MGT</v>
      </c>
      <c r="U124" s="251" t="s">
        <v>2165</v>
      </c>
      <c r="V124" s="251">
        <f>IF('PolyU Score Calculation'!T34=0,"",'PolyU Score Calculation'!T34)</f>
        <v>21.5</v>
      </c>
      <c r="W124" s="251">
        <f>'PolyU Score Calculation'!U34</f>
        <v>21.1</v>
      </c>
      <c r="X124" s="344">
        <f>'A123'!J132</f>
        <v>84</v>
      </c>
      <c r="Y124" s="344" t="str">
        <f>'A123'!K132</f>
        <v>/</v>
      </c>
      <c r="Z124" s="344" t="str">
        <f>'A123'!L132</f>
        <v>新科目</v>
      </c>
      <c r="AA124" s="251" t="s">
        <v>2165</v>
      </c>
      <c r="AB124" s="344" t="str">
        <f>入學要求!X133</f>
        <v>/</v>
      </c>
      <c r="AC124" s="344" t="str">
        <f>入學要求!Y133</f>
        <v>/</v>
      </c>
      <c r="AD124" s="251" t="str">
        <f>'PolyU Score Calculation'!E34</f>
        <v>Best 5</v>
      </c>
      <c r="AE124" s="251" t="s">
        <v>1970</v>
      </c>
      <c r="AF124" s="251" t="s">
        <v>1970</v>
      </c>
      <c r="AG124" s="344" t="str">
        <f>'PolyU Score Calculation'!I34</f>
        <v>x10: 英文</v>
      </c>
      <c r="AH124" s="344" t="str">
        <f>'PolyU Score Calculation'!J34</f>
        <v>x7: 中文、數學、通識</v>
      </c>
      <c r="AI124" s="344" t="str">
        <f>'PolyU Score Calculation'!K34</f>
        <v>x5: 其他科目</v>
      </c>
      <c r="AJ124" s="251" t="s">
        <v>1970</v>
      </c>
      <c r="AK124" s="251" t="s">
        <v>1970</v>
      </c>
      <c r="AL124" s="251" t="s">
        <v>1970</v>
      </c>
      <c r="AM124" s="251" t="s">
        <v>3043</v>
      </c>
      <c r="AN124" s="251" t="str">
        <f t="shared" si="405"/>
        <v>JS3820 旅遊業及會展管理(榮譽)理學士學位</v>
      </c>
      <c r="AO124" s="251" t="str">
        <f>AN125</f>
        <v>JS3882 酒店業管理(榮譽)理學士學位</v>
      </c>
      <c r="AP124" s="251" t="s">
        <v>1970</v>
      </c>
      <c r="AQ124" s="344" t="s">
        <v>1970</v>
      </c>
      <c r="AR124" s="344" t="s">
        <v>2150</v>
      </c>
      <c r="AS124" s="251" t="s">
        <v>3610</v>
      </c>
      <c r="AT124" s="251" t="s">
        <v>1970</v>
      </c>
      <c r="AV124" s="344" t="s">
        <v>3728</v>
      </c>
      <c r="AW124" s="344" t="s">
        <v>3726</v>
      </c>
      <c r="AX124" s="344" t="s">
        <v>3729</v>
      </c>
      <c r="AY124" s="344" t="s">
        <v>3730</v>
      </c>
      <c r="AZ124" s="344" t="s">
        <v>3732</v>
      </c>
      <c r="BA124" s="344" t="s">
        <v>3734</v>
      </c>
      <c r="BB124" s="251">
        <f>'PolyU Score Calculation'!X34</f>
        <v>7</v>
      </c>
      <c r="BC124" s="251">
        <f>'PolyU Score Calculation'!Y34</f>
        <v>10</v>
      </c>
      <c r="BD124" s="251">
        <f>'PolyU Score Calculation'!Z34</f>
        <v>7</v>
      </c>
      <c r="BE124" s="251">
        <f>'PolyU Score Calculation'!AA34</f>
        <v>7</v>
      </c>
      <c r="BF124" s="251">
        <f>'PolyU Score Calculation'!AB34</f>
        <v>5</v>
      </c>
      <c r="BG124" s="251">
        <f>'PolyU Score Calculation'!AC34</f>
        <v>5</v>
      </c>
      <c r="BH124" s="251">
        <f>'PolyU Score Calculation'!AD34</f>
        <v>5</v>
      </c>
      <c r="BI124" s="251">
        <f>'PolyU Score Calculation'!AE34</f>
        <v>5</v>
      </c>
      <c r="BJ124" s="251">
        <f>'PolyU Score Calculation'!AF34</f>
        <v>5.50000000001</v>
      </c>
      <c r="BK124" s="251">
        <f>'PolyU Score Calculation'!AG34</f>
        <v>4.00000000002</v>
      </c>
      <c r="BL124" s="251">
        <f>'PolyU Score Calculation'!AH34</f>
        <v>3.00000000003</v>
      </c>
      <c r="BM124" s="251">
        <f>'PolyU Score Calculation'!AI34</f>
        <v>3.00000000004</v>
      </c>
      <c r="BN124" s="251">
        <f>'PolyU Score Calculation'!AJ34</f>
        <v>5.0000000000000002E-11</v>
      </c>
      <c r="BO124" s="251">
        <f>'PolyU Score Calculation'!AK34</f>
        <v>4.00000000006</v>
      </c>
      <c r="BP124" s="251">
        <f>'PolyU Score Calculation'!AL34</f>
        <v>3.00000000007</v>
      </c>
      <c r="BQ124" s="251">
        <f>'PolyU Score Calculation'!AM34</f>
        <v>7.9999999999999995E-11</v>
      </c>
      <c r="BR124" s="251">
        <f>'PolyU Score Calculation'!AN34</f>
        <v>38.500000000070003</v>
      </c>
      <c r="BS124" s="251">
        <f>'PolyU Score Calculation'!AO34</f>
        <v>40.000000000200004</v>
      </c>
      <c r="BT124" s="251">
        <f>'PolyU Score Calculation'!AP34</f>
        <v>21.000000000210001</v>
      </c>
      <c r="BU124" s="251">
        <f>'PolyU Score Calculation'!AQ34</f>
        <v>21.00000000028</v>
      </c>
      <c r="BV124" s="251">
        <f>'PolyU Score Calculation'!AR34</f>
        <v>2.5000000000000002E-10</v>
      </c>
      <c r="BW124" s="251">
        <f>'PolyU Score Calculation'!AS34</f>
        <v>20.000000000299998</v>
      </c>
      <c r="BX124" s="251">
        <f>'PolyU Score Calculation'!AT34</f>
        <v>15.000000000349999</v>
      </c>
      <c r="BY124" s="251">
        <f>'PolyU Score Calculation'!AU34</f>
        <v>3.9999999999999996E-10</v>
      </c>
      <c r="BZ124" s="251" t="b">
        <f>'PolyU Score Calculation'!AV34</f>
        <v>1</v>
      </c>
      <c r="CA124" s="251" t="b">
        <f>'PolyU Score Calculation'!AW34</f>
        <v>1</v>
      </c>
      <c r="CB124" s="251" t="b">
        <f>'PolyU Score Calculation'!AX34</f>
        <v>1</v>
      </c>
      <c r="CC124" s="251" t="b">
        <f>'PolyU Score Calculation'!AY34</f>
        <v>1</v>
      </c>
      <c r="CD124" s="251" t="b">
        <f>'PolyU Score Calculation'!AZ34</f>
        <v>0</v>
      </c>
      <c r="CE124" s="251" t="b">
        <f>'PolyU Score Calculation'!BA34</f>
        <v>1</v>
      </c>
      <c r="CF124" s="251" t="b">
        <f>'PolyU Score Calculation'!BB34</f>
        <v>0</v>
      </c>
      <c r="CG124" s="251" t="b">
        <f>'PolyU Score Calculation'!BC34</f>
        <v>0</v>
      </c>
      <c r="CH124" s="251">
        <f>'PolyU Score Calculation'!BD34</f>
        <v>7</v>
      </c>
      <c r="CI124" s="251">
        <f>'PolyU Score Calculation'!BE34</f>
        <v>10</v>
      </c>
      <c r="CJ124" s="251">
        <f>'PolyU Score Calculation'!BF34</f>
        <v>7</v>
      </c>
      <c r="CK124" s="251">
        <f>'PolyU Score Calculation'!BG34</f>
        <v>7</v>
      </c>
      <c r="CL124" s="251">
        <f>'PolyU Score Calculation'!BH34</f>
        <v>5</v>
      </c>
      <c r="CM124" s="251">
        <f>'PolyU Score Calculation'!BI34</f>
        <v>5</v>
      </c>
      <c r="CN124" s="251">
        <f>'PolyU Score Calculation'!BJ34</f>
        <v>5</v>
      </c>
      <c r="CO124" s="251">
        <f>'PolyU Score Calculation'!BK34</f>
        <v>5</v>
      </c>
      <c r="CP124" s="251">
        <f>'PolyU Score Calculation'!BL34</f>
        <v>5.50000000001</v>
      </c>
      <c r="CQ124" s="251">
        <f>'PolyU Score Calculation'!BM34</f>
        <v>4.00000000002</v>
      </c>
      <c r="CR124" s="251">
        <f>'PolyU Score Calculation'!BN34</f>
        <v>4.00000000003</v>
      </c>
      <c r="CS124" s="251">
        <f>'PolyU Score Calculation'!BO34</f>
        <v>3.00000000004</v>
      </c>
      <c r="CT124" s="251">
        <f>'PolyU Score Calculation'!BP34</f>
        <v>5.0000000000000002E-11</v>
      </c>
      <c r="CU124" s="251">
        <f>'PolyU Score Calculation'!BQ34</f>
        <v>4.00000000006</v>
      </c>
      <c r="CV124" s="251">
        <f>'PolyU Score Calculation'!BR34</f>
        <v>3.00000000007</v>
      </c>
      <c r="CW124" s="251">
        <f>'PolyU Score Calculation'!BS34</f>
        <v>7.9999999999999995E-11</v>
      </c>
      <c r="CX124" s="251">
        <f>'PolyU Score Calculation'!BT34</f>
        <v>38.500000000070003</v>
      </c>
      <c r="CY124" s="251">
        <f>'PolyU Score Calculation'!BU34</f>
        <v>40.000000000200004</v>
      </c>
      <c r="CZ124" s="251">
        <f>'PolyU Score Calculation'!BV34</f>
        <v>28.000000000210001</v>
      </c>
      <c r="DA124" s="251">
        <f>'PolyU Score Calculation'!BW34</f>
        <v>21.00000000028</v>
      </c>
      <c r="DB124" s="251">
        <f>'PolyU Score Calculation'!BX34</f>
        <v>2.5000000000000002E-10</v>
      </c>
      <c r="DC124" s="251">
        <f>'PolyU Score Calculation'!BY34</f>
        <v>20.000000000299998</v>
      </c>
      <c r="DD124" s="251">
        <f>'PolyU Score Calculation'!BZ34</f>
        <v>15.000000000349999</v>
      </c>
      <c r="DE124" s="251">
        <f>'PolyU Score Calculation'!CA34</f>
        <v>3.9999999999999996E-10</v>
      </c>
      <c r="DF124" s="251" t="b">
        <f>'PolyU Score Calculation'!CB34</f>
        <v>1</v>
      </c>
      <c r="DG124" s="251" t="b">
        <f>'PolyU Score Calculation'!CC34</f>
        <v>1</v>
      </c>
      <c r="DH124" s="251" t="b">
        <f>'PolyU Score Calculation'!CD34</f>
        <v>1</v>
      </c>
      <c r="DI124" s="251" t="b">
        <f>'PolyU Score Calculation'!CE34</f>
        <v>1</v>
      </c>
      <c r="DJ124" s="251" t="b">
        <f>'PolyU Score Calculation'!CF34</f>
        <v>0</v>
      </c>
      <c r="DK124" s="251" t="b">
        <f>'PolyU Score Calculation'!CG34</f>
        <v>1</v>
      </c>
      <c r="DL124" s="251" t="b">
        <f>'PolyU Score Calculation'!CH34</f>
        <v>0</v>
      </c>
      <c r="DM124" s="251" t="b">
        <f>'PolyU Score Calculation'!CI34</f>
        <v>0</v>
      </c>
    </row>
    <row r="125" spans="1:117" s="251" customFormat="1" x14ac:dyDescent="0.3">
      <c r="A125" s="251" t="str">
        <f>'PolyU Score Calculation'!A35</f>
        <v>JS3310-2</v>
      </c>
      <c r="B125" s="251" t="s">
        <v>2246</v>
      </c>
      <c r="C125" s="251" t="str">
        <f>IF('PolyU Score Calculation'!B35=0,"",'PolyU Score Calculation'!B35)</f>
        <v/>
      </c>
      <c r="D125" s="251" t="str">
        <f>IF('PolyU Score Calculation'!C35=0,"",'PolyU Score Calculation'!C35)</f>
        <v/>
      </c>
      <c r="E125" s="251" t="str">
        <f>IF('PolyU Score Calculation'!E35=0,"",'PolyU Score Calculation'!E35)</f>
        <v/>
      </c>
      <c r="F125" s="251" t="s">
        <v>1978</v>
      </c>
      <c r="G125" s="251">
        <f>'PolyU Score Calculation'!W35</f>
        <v>147.50000000111001</v>
      </c>
      <c r="H125" s="251">
        <f>'PolyU Score Calculation'!V35</f>
        <v>144.50000000106002</v>
      </c>
      <c r="I125" s="251" t="s">
        <v>3034</v>
      </c>
      <c r="J125" s="251" t="s">
        <v>3035</v>
      </c>
      <c r="K125" s="344" t="s">
        <v>3048</v>
      </c>
      <c r="L125" s="344" t="s">
        <v>1970</v>
      </c>
      <c r="M125" s="344" t="s">
        <v>1970</v>
      </c>
      <c r="N125" s="251" t="str">
        <f>'PolyU Score Calculation'!M35</f>
        <v>JS3882</v>
      </c>
      <c r="O125" s="251" t="str">
        <f>'PolyU Score Calculation'!N35</f>
        <v>酒店業管理(榮譽)理學士學位</v>
      </c>
      <c r="P125" s="251" t="str">
        <f>'PolyU Score Calculation'!O35</f>
        <v>Best 5</v>
      </c>
      <c r="Q125" s="251" t="str">
        <f>'PolyU Score Calculation'!P35</f>
        <v>x10: 英文</v>
      </c>
      <c r="R125" s="251" t="str">
        <f>'PolyU Score Calculation'!Q35</f>
        <v>x7: 中文、數學、通識</v>
      </c>
      <c r="S125" s="251" t="str">
        <f>'PolyU Score Calculation'!R35</f>
        <v>x5: 其他科目</v>
      </c>
      <c r="T125" s="251" t="str">
        <f>IF('PolyU Score Calculation'!D35=0,"",'PolyU Score Calculation'!D35)</f>
        <v/>
      </c>
      <c r="U125" s="251" t="s">
        <v>2165</v>
      </c>
      <c r="V125" s="251" t="str">
        <f>IF('PolyU Score Calculation'!T35=0,"",'PolyU Score Calculation'!T35)</f>
        <v/>
      </c>
      <c r="W125" s="251">
        <f>'PolyU Score Calculation'!U35</f>
        <v>21.8</v>
      </c>
      <c r="X125" s="344">
        <f>'A123'!J133</f>
        <v>0</v>
      </c>
      <c r="Y125" s="344" t="str">
        <f>'A123'!K133</f>
        <v>/</v>
      </c>
      <c r="Z125" s="344" t="str">
        <f>'A123'!L133</f>
        <v>新科目</v>
      </c>
      <c r="AB125" s="344" t="str">
        <f>入學要求!X134</f>
        <v>/</v>
      </c>
      <c r="AC125" s="344" t="str">
        <f>入學要求!Y134</f>
        <v>/</v>
      </c>
      <c r="AD125" s="251">
        <f>'PolyU Score Calculation'!E35</f>
        <v>0</v>
      </c>
      <c r="AE125" s="251" t="s">
        <v>1970</v>
      </c>
      <c r="AF125" s="251" t="s">
        <v>1970</v>
      </c>
      <c r="AG125" s="344">
        <f>'PolyU Score Calculation'!I35</f>
        <v>0</v>
      </c>
      <c r="AH125" s="344">
        <f>'PolyU Score Calculation'!J35</f>
        <v>0</v>
      </c>
      <c r="AI125" s="344">
        <f>'PolyU Score Calculation'!K35</f>
        <v>0</v>
      </c>
      <c r="AJ125" s="251" t="s">
        <v>1970</v>
      </c>
      <c r="AK125" s="251" t="s">
        <v>1970</v>
      </c>
      <c r="AL125" s="251" t="s">
        <v>1970</v>
      </c>
      <c r="AM125" s="251" t="s">
        <v>1970</v>
      </c>
      <c r="AN125" s="251" t="str">
        <f t="shared" si="405"/>
        <v>JS3882 酒店業管理(榮譽)理學士學位</v>
      </c>
      <c r="AO125" s="251" t="s">
        <v>1970</v>
      </c>
      <c r="AP125" s="251" t="s">
        <v>1970</v>
      </c>
      <c r="AQ125" s="344" t="s">
        <v>1970</v>
      </c>
      <c r="AR125" s="344" t="s">
        <v>2150</v>
      </c>
      <c r="AV125" s="344" t="s">
        <v>3728</v>
      </c>
      <c r="AW125" s="344" t="s">
        <v>3726</v>
      </c>
      <c r="AX125" s="344" t="s">
        <v>3729</v>
      </c>
      <c r="AY125" s="344" t="s">
        <v>3730</v>
      </c>
      <c r="AZ125" s="344" t="s">
        <v>3732</v>
      </c>
      <c r="BA125" s="344" t="s">
        <v>3734</v>
      </c>
      <c r="BB125" s="251">
        <f>'PolyU Score Calculation'!X35</f>
        <v>7</v>
      </c>
      <c r="BC125" s="251">
        <f>'PolyU Score Calculation'!Y35</f>
        <v>10</v>
      </c>
      <c r="BD125" s="251">
        <f>'PolyU Score Calculation'!Z35</f>
        <v>7</v>
      </c>
      <c r="BE125" s="251">
        <f>'PolyU Score Calculation'!AA35</f>
        <v>7</v>
      </c>
      <c r="BF125" s="251">
        <f>'PolyU Score Calculation'!AB35</f>
        <v>5</v>
      </c>
      <c r="BG125" s="251">
        <f>'PolyU Score Calculation'!AC35</f>
        <v>5</v>
      </c>
      <c r="BH125" s="251">
        <f>'PolyU Score Calculation'!AD35</f>
        <v>5</v>
      </c>
      <c r="BI125" s="251">
        <f>'PolyU Score Calculation'!AE35</f>
        <v>5</v>
      </c>
      <c r="BJ125" s="251">
        <f>'PolyU Score Calculation'!AF35</f>
        <v>4.00000000001</v>
      </c>
      <c r="BK125" s="251">
        <f>'PolyU Score Calculation'!AG35</f>
        <v>4.00000000002</v>
      </c>
      <c r="BL125" s="251">
        <f>'PolyU Score Calculation'!AH35</f>
        <v>4.00000000003</v>
      </c>
      <c r="BM125" s="251">
        <f>'PolyU Score Calculation'!AI35</f>
        <v>3.00000000004</v>
      </c>
      <c r="BN125" s="251">
        <f>'PolyU Score Calculation'!AJ35</f>
        <v>5.0000000000000002E-11</v>
      </c>
      <c r="BO125" s="251">
        <f>'PolyU Score Calculation'!AK35</f>
        <v>5.50000000006</v>
      </c>
      <c r="BP125" s="251">
        <f>'PolyU Score Calculation'!AL35</f>
        <v>3.00000000007</v>
      </c>
      <c r="BQ125" s="251">
        <f>'PolyU Score Calculation'!AM35</f>
        <v>7.9999999999999995E-11</v>
      </c>
      <c r="BR125" s="251">
        <f>'PolyU Score Calculation'!AN35</f>
        <v>28.000000000069999</v>
      </c>
      <c r="BS125" s="251">
        <f>'PolyU Score Calculation'!AO35</f>
        <v>40.000000000200004</v>
      </c>
      <c r="BT125" s="251">
        <f>'PolyU Score Calculation'!AP35</f>
        <v>28.000000000210001</v>
      </c>
      <c r="BU125" s="251">
        <f>'PolyU Score Calculation'!AQ35</f>
        <v>21.00000000028</v>
      </c>
      <c r="BV125" s="251">
        <f>'PolyU Score Calculation'!AR35</f>
        <v>2.5000000000000002E-10</v>
      </c>
      <c r="BW125" s="251">
        <f>'PolyU Score Calculation'!AS35</f>
        <v>27.500000000299998</v>
      </c>
      <c r="BX125" s="251">
        <f>'PolyU Score Calculation'!AT35</f>
        <v>15.000000000349999</v>
      </c>
      <c r="BY125" s="251">
        <f>'PolyU Score Calculation'!AU35</f>
        <v>3.9999999999999996E-10</v>
      </c>
      <c r="BZ125" s="251" t="b">
        <f>'PolyU Score Calculation'!AV35</f>
        <v>1</v>
      </c>
      <c r="CA125" s="251" t="b">
        <f>'PolyU Score Calculation'!AW35</f>
        <v>1</v>
      </c>
      <c r="CB125" s="251" t="b">
        <f>'PolyU Score Calculation'!AX35</f>
        <v>1</v>
      </c>
      <c r="CC125" s="251" t="b">
        <f>'PolyU Score Calculation'!AY35</f>
        <v>1</v>
      </c>
      <c r="CD125" s="251" t="b">
        <f>'PolyU Score Calculation'!AZ35</f>
        <v>0</v>
      </c>
      <c r="CE125" s="251" t="b">
        <f>'PolyU Score Calculation'!BA35</f>
        <v>1</v>
      </c>
      <c r="CF125" s="251" t="b">
        <f>'PolyU Score Calculation'!BB35</f>
        <v>0</v>
      </c>
      <c r="CG125" s="251" t="b">
        <f>'PolyU Score Calculation'!BC35</f>
        <v>0</v>
      </c>
      <c r="CH125" s="251">
        <f>'PolyU Score Calculation'!BD35</f>
        <v>7</v>
      </c>
      <c r="CI125" s="251">
        <f>'PolyU Score Calculation'!BE35</f>
        <v>10</v>
      </c>
      <c r="CJ125" s="251">
        <f>'PolyU Score Calculation'!BF35</f>
        <v>7</v>
      </c>
      <c r="CK125" s="251">
        <f>'PolyU Score Calculation'!BG35</f>
        <v>7</v>
      </c>
      <c r="CL125" s="251">
        <f>'PolyU Score Calculation'!BH35</f>
        <v>5</v>
      </c>
      <c r="CM125" s="251">
        <f>'PolyU Score Calculation'!BI35</f>
        <v>5</v>
      </c>
      <c r="CN125" s="251">
        <f>'PolyU Score Calculation'!BJ35</f>
        <v>5</v>
      </c>
      <c r="CO125" s="251">
        <f>'PolyU Score Calculation'!BK35</f>
        <v>5</v>
      </c>
      <c r="CP125" s="251">
        <f>'PolyU Score Calculation'!BL35</f>
        <v>4.00000000001</v>
      </c>
      <c r="CQ125" s="251">
        <f>'PolyU Score Calculation'!BM35</f>
        <v>4.00000000002</v>
      </c>
      <c r="CR125" s="251">
        <f>'PolyU Score Calculation'!BN35</f>
        <v>3.00000000003</v>
      </c>
      <c r="CS125" s="251">
        <f>'PolyU Score Calculation'!BO35</f>
        <v>5.50000000004</v>
      </c>
      <c r="CT125" s="251">
        <f>'PolyU Score Calculation'!BP35</f>
        <v>5.0000000000000002E-11</v>
      </c>
      <c r="CU125" s="251">
        <f>'PolyU Score Calculation'!BQ35</f>
        <v>4.00000000006</v>
      </c>
      <c r="CV125" s="251">
        <f>'PolyU Score Calculation'!BR35</f>
        <v>4.00000000007</v>
      </c>
      <c r="CW125" s="251">
        <f>'PolyU Score Calculation'!BS35</f>
        <v>7.9999999999999995E-11</v>
      </c>
      <c r="CX125" s="251">
        <f>'PolyU Score Calculation'!BT35</f>
        <v>28.000000000069999</v>
      </c>
      <c r="CY125" s="251">
        <f>'PolyU Score Calculation'!BU35</f>
        <v>40.000000000200004</v>
      </c>
      <c r="CZ125" s="251">
        <f>'PolyU Score Calculation'!BV35</f>
        <v>21.000000000210001</v>
      </c>
      <c r="DA125" s="251">
        <f>'PolyU Score Calculation'!BW35</f>
        <v>38.500000000279996</v>
      </c>
      <c r="DB125" s="251">
        <f>'PolyU Score Calculation'!BX35</f>
        <v>2.5000000000000002E-10</v>
      </c>
      <c r="DC125" s="251">
        <f>'PolyU Score Calculation'!BY35</f>
        <v>20.000000000299998</v>
      </c>
      <c r="DD125" s="251">
        <f>'PolyU Score Calculation'!BZ35</f>
        <v>20.000000000349999</v>
      </c>
      <c r="DE125" s="251">
        <f>'PolyU Score Calculation'!CA35</f>
        <v>3.9999999999999996E-10</v>
      </c>
      <c r="DF125" s="251" t="b">
        <f>'PolyU Score Calculation'!CB35</f>
        <v>1</v>
      </c>
      <c r="DG125" s="251" t="b">
        <f>'PolyU Score Calculation'!CC35</f>
        <v>1</v>
      </c>
      <c r="DH125" s="251" t="b">
        <f>'PolyU Score Calculation'!CD35</f>
        <v>1</v>
      </c>
      <c r="DI125" s="251" t="b">
        <f>'PolyU Score Calculation'!CE35</f>
        <v>1</v>
      </c>
      <c r="DJ125" s="251" t="b">
        <f>'PolyU Score Calculation'!CF35</f>
        <v>0</v>
      </c>
      <c r="DK125" s="251" t="b">
        <f>'PolyU Score Calculation'!CG35</f>
        <v>0</v>
      </c>
      <c r="DL125" s="251" t="b">
        <f>'PolyU Score Calculation'!CH35</f>
        <v>1</v>
      </c>
      <c r="DM125" s="251" t="b">
        <f>'PolyU Score Calculation'!CI35</f>
        <v>0</v>
      </c>
    </row>
    <row r="126" spans="1:117" s="251" customFormat="1" x14ac:dyDescent="0.3">
      <c r="A126" s="251" t="str">
        <f>'PolyU Score Calculation'!A36</f>
        <v>JS3492</v>
      </c>
      <c r="B126" s="251" t="s">
        <v>2246</v>
      </c>
      <c r="C126" s="251" t="str">
        <f>IF('PolyU Score Calculation'!B36=0,"",'PolyU Score Calculation'!B36)</f>
        <v>時裝及紡織學院</v>
      </c>
      <c r="D126" s="251" t="str">
        <f>IF('PolyU Score Calculation'!C36=0,"",'PolyU Score Calculation'!C36)</f>
        <v>服裝及紡織(榮譽)文學士組合課程</v>
      </c>
      <c r="E126" s="251" t="str">
        <f>IF('PolyU Score Calculation'!E36=0,"",'PolyU Score Calculation'!E36)</f>
        <v>Best 5</v>
      </c>
      <c r="F126" s="251" t="s">
        <v>1978</v>
      </c>
      <c r="G126" s="251">
        <f>'PolyU Score Calculation'!W36</f>
        <v>176.00000000199</v>
      </c>
      <c r="H126" s="251">
        <f>'PolyU Score Calculation'!V36</f>
        <v>166.00000000178002</v>
      </c>
      <c r="I126" s="251" t="s">
        <v>3034</v>
      </c>
      <c r="J126" s="251" t="s">
        <v>3035</v>
      </c>
      <c r="K126" s="344" t="s">
        <v>3048</v>
      </c>
      <c r="L126" s="344" t="s">
        <v>1970</v>
      </c>
      <c r="M126" s="344" t="s">
        <v>1970</v>
      </c>
      <c r="N126" s="251" t="str">
        <f>'PolyU Score Calculation'!M36</f>
        <v>JS3492</v>
      </c>
      <c r="O126" s="251" t="str">
        <f>'PolyU Score Calculation'!N36</f>
        <v>服裝及紡織(榮譽)文學士學位組合課程</v>
      </c>
      <c r="P126" s="251" t="str">
        <f>'PolyU Score Calculation'!O36</f>
        <v>Best 5</v>
      </c>
      <c r="Q126" s="251" t="str">
        <f>'PolyU Score Calculation'!P36</f>
        <v>x10: 英文、化學、組合科學(化學)、DAT、視藝藝術</v>
      </c>
      <c r="R126" s="251" t="str">
        <f>'PolyU Score Calculation'!Q36</f>
        <v>x7: 中文、數學、通識</v>
      </c>
      <c r="S126" s="251" t="str">
        <f>'PolyU Score Calculation'!R36</f>
        <v>x5: 其他科目</v>
      </c>
      <c r="T126" s="251" t="str">
        <f>IF('PolyU Score Calculation'!D36=0,"",'PolyU Score Calculation'!D36)</f>
        <v>FASHION &amp; TEXTILES</v>
      </c>
      <c r="U126" s="251" t="s">
        <v>2165</v>
      </c>
      <c r="V126" s="251">
        <f>IF('PolyU Score Calculation'!T36=0,"",'PolyU Score Calculation'!T36)</f>
        <v>20.399999999999999</v>
      </c>
      <c r="W126" s="251">
        <f>'PolyU Score Calculation'!U36</f>
        <v>20.399999999999999</v>
      </c>
      <c r="X126" s="344">
        <f>'A123'!J134</f>
        <v>93</v>
      </c>
      <c r="Y126" s="344">
        <f>'A123'!K134</f>
        <v>82</v>
      </c>
      <c r="Z126" s="344">
        <f>'A123'!L134</f>
        <v>7.3947368421052628</v>
      </c>
      <c r="AA126" s="251" t="s">
        <v>2165</v>
      </c>
      <c r="AB126" s="344" t="str">
        <f>入學要求!X135</f>
        <v>/</v>
      </c>
      <c r="AC126" s="344" t="str">
        <f>入學要求!Y135</f>
        <v>/</v>
      </c>
      <c r="AD126" s="251" t="str">
        <f>'PolyU Score Calculation'!E36</f>
        <v>Best 5</v>
      </c>
      <c r="AE126" s="251" t="s">
        <v>1970</v>
      </c>
      <c r="AF126" s="251" t="s">
        <v>1970</v>
      </c>
      <c r="AG126" s="344" t="str">
        <f>'PolyU Score Calculation'!I36</f>
        <v>x10: 英文、化學、組合科學(化學)、DAT、視覺藝術</v>
      </c>
      <c r="AH126" s="344" t="str">
        <f>'PolyU Score Calculation'!J36</f>
        <v>x7: 中文、數學、通識</v>
      </c>
      <c r="AI126" s="344" t="str">
        <f>'PolyU Score Calculation'!K36</f>
        <v>x5: 其他科目</v>
      </c>
      <c r="AJ126" s="251" t="s">
        <v>1970</v>
      </c>
      <c r="AK126" s="251" t="s">
        <v>1970</v>
      </c>
      <c r="AL126" s="251" t="s">
        <v>1970</v>
      </c>
      <c r="AM126" s="251" t="s">
        <v>3043</v>
      </c>
      <c r="AN126" s="251" t="str">
        <f t="shared" si="405"/>
        <v>JS3492 服裝及紡織(榮譽)文學士學位組合課程</v>
      </c>
      <c r="AO126" s="251" t="s">
        <v>1970</v>
      </c>
      <c r="AP126" s="251" t="s">
        <v>1970</v>
      </c>
      <c r="AQ126" s="344" t="s">
        <v>1970</v>
      </c>
      <c r="AR126" s="344" t="s">
        <v>2150</v>
      </c>
      <c r="AS126" s="251" t="s">
        <v>3608</v>
      </c>
      <c r="AT126" s="251" t="s">
        <v>1970</v>
      </c>
      <c r="AU126" s="251" t="s">
        <v>1970</v>
      </c>
      <c r="AV126" s="344" t="s">
        <v>3728</v>
      </c>
      <c r="AW126" s="344" t="s">
        <v>3726</v>
      </c>
      <c r="AX126" s="344" t="s">
        <v>3729</v>
      </c>
      <c r="AY126" s="344" t="s">
        <v>3730</v>
      </c>
      <c r="AZ126" s="344" t="s">
        <v>3732</v>
      </c>
      <c r="BA126" s="344" t="s">
        <v>3734</v>
      </c>
      <c r="BB126" s="251">
        <f>'PolyU Score Calculation'!X36</f>
        <v>7</v>
      </c>
      <c r="BC126" s="251">
        <f>'PolyU Score Calculation'!Y36</f>
        <v>10</v>
      </c>
      <c r="BD126" s="251">
        <f>'PolyU Score Calculation'!Z36</f>
        <v>7</v>
      </c>
      <c r="BE126" s="251">
        <f>'PolyU Score Calculation'!AA36</f>
        <v>7</v>
      </c>
      <c r="BF126" s="251">
        <f>'PolyU Score Calculation'!AB36</f>
        <v>5</v>
      </c>
      <c r="BG126" s="251">
        <f>'PolyU Score Calculation'!AC36</f>
        <v>10</v>
      </c>
      <c r="BH126" s="251">
        <f>'PolyU Score Calculation'!AD36</f>
        <v>10</v>
      </c>
      <c r="BI126" s="251">
        <f>'PolyU Score Calculation'!AE36</f>
        <v>10</v>
      </c>
      <c r="BJ126" s="251">
        <f>'PolyU Score Calculation'!AF36</f>
        <v>4.00000000001</v>
      </c>
      <c r="BK126" s="251">
        <f>'PolyU Score Calculation'!AG36</f>
        <v>4.00000000002</v>
      </c>
      <c r="BL126" s="251">
        <f>'PolyU Score Calculation'!AH36</f>
        <v>4.00000000003</v>
      </c>
      <c r="BM126" s="251">
        <f>'PolyU Score Calculation'!AI36</f>
        <v>3.00000000004</v>
      </c>
      <c r="BN126" s="251">
        <f>'PolyU Score Calculation'!AJ36</f>
        <v>2.00000000005</v>
      </c>
      <c r="BO126" s="251">
        <f>'PolyU Score Calculation'!AK36</f>
        <v>4.00000000006</v>
      </c>
      <c r="BP126" s="251">
        <f>'PolyU Score Calculation'!AL36</f>
        <v>3.00000000007</v>
      </c>
      <c r="BQ126" s="251">
        <f>'PolyU Score Calculation'!AM36</f>
        <v>7.9999999999999995E-11</v>
      </c>
      <c r="BR126" s="251">
        <f>'PolyU Score Calculation'!AN36</f>
        <v>28.000000000069999</v>
      </c>
      <c r="BS126" s="251">
        <f>'PolyU Score Calculation'!AO36</f>
        <v>40.000000000200004</v>
      </c>
      <c r="BT126" s="251">
        <f>'PolyU Score Calculation'!AP36</f>
        <v>28.000000000210001</v>
      </c>
      <c r="BU126" s="251">
        <f>'PolyU Score Calculation'!AQ36</f>
        <v>21.00000000028</v>
      </c>
      <c r="BV126" s="251">
        <f>'PolyU Score Calculation'!AR36</f>
        <v>10.000000000250001</v>
      </c>
      <c r="BW126" s="251">
        <f>'PolyU Score Calculation'!AS36</f>
        <v>40.000000000599996</v>
      </c>
      <c r="BX126" s="251">
        <f>'PolyU Score Calculation'!AT36</f>
        <v>30.000000000699998</v>
      </c>
      <c r="BY126" s="251">
        <f>'PolyU Score Calculation'!AU36</f>
        <v>7.9999999999999993E-10</v>
      </c>
      <c r="BZ126" s="251" t="b">
        <f>'PolyU Score Calculation'!AV36</f>
        <v>1</v>
      </c>
      <c r="CA126" s="251" t="b">
        <f>'PolyU Score Calculation'!AW36</f>
        <v>1</v>
      </c>
      <c r="CB126" s="251" t="b">
        <f>'PolyU Score Calculation'!AX36</f>
        <v>1</v>
      </c>
      <c r="CC126" s="251" t="b">
        <f>'PolyU Score Calculation'!AY36</f>
        <v>0</v>
      </c>
      <c r="CD126" s="251" t="b">
        <f>'PolyU Score Calculation'!AZ36</f>
        <v>0</v>
      </c>
      <c r="CE126" s="251" t="b">
        <f>'PolyU Score Calculation'!BA36</f>
        <v>1</v>
      </c>
      <c r="CF126" s="251" t="b">
        <f>'PolyU Score Calculation'!BB36</f>
        <v>1</v>
      </c>
      <c r="CG126" s="251" t="b">
        <f>'PolyU Score Calculation'!BC36</f>
        <v>0</v>
      </c>
      <c r="CH126" s="251">
        <f>'PolyU Score Calculation'!BD36</f>
        <v>7</v>
      </c>
      <c r="CI126" s="251">
        <f>'PolyU Score Calculation'!BE36</f>
        <v>10</v>
      </c>
      <c r="CJ126" s="251">
        <f>'PolyU Score Calculation'!BF36</f>
        <v>7</v>
      </c>
      <c r="CK126" s="251">
        <f>'PolyU Score Calculation'!BG36</f>
        <v>7</v>
      </c>
      <c r="CL126" s="251">
        <f>'PolyU Score Calculation'!BH36</f>
        <v>5</v>
      </c>
      <c r="CM126" s="251">
        <f>'PolyU Score Calculation'!BI36</f>
        <v>10</v>
      </c>
      <c r="CN126" s="251">
        <f>'PolyU Score Calculation'!BJ36</f>
        <v>10</v>
      </c>
      <c r="CO126" s="251">
        <f>'PolyU Score Calculation'!BK36</f>
        <v>10</v>
      </c>
      <c r="CP126" s="251">
        <f>'PolyU Score Calculation'!BL36</f>
        <v>4.00000000001</v>
      </c>
      <c r="CQ126" s="251">
        <f>'PolyU Score Calculation'!BM36</f>
        <v>4.00000000002</v>
      </c>
      <c r="CR126" s="251">
        <f>'PolyU Score Calculation'!BN36</f>
        <v>4.00000000003</v>
      </c>
      <c r="CS126" s="251">
        <f>'PolyU Score Calculation'!BO36</f>
        <v>4.00000000004</v>
      </c>
      <c r="CT126" s="251">
        <f>'PolyU Score Calculation'!BP36</f>
        <v>5.0000000000000002E-11</v>
      </c>
      <c r="CU126" s="251">
        <f>'PolyU Score Calculation'!BQ36</f>
        <v>4.00000000006</v>
      </c>
      <c r="CV126" s="251">
        <f>'PolyU Score Calculation'!BR36</f>
        <v>4.00000000007</v>
      </c>
      <c r="CW126" s="251">
        <f>'PolyU Score Calculation'!BS36</f>
        <v>7.9999999999999995E-11</v>
      </c>
      <c r="CX126" s="251">
        <f>'PolyU Score Calculation'!BT36</f>
        <v>28.000000000069999</v>
      </c>
      <c r="CY126" s="251">
        <f>'PolyU Score Calculation'!BU36</f>
        <v>40.000000000200004</v>
      </c>
      <c r="CZ126" s="251">
        <f>'PolyU Score Calculation'!BV36</f>
        <v>28.000000000210001</v>
      </c>
      <c r="DA126" s="251">
        <f>'PolyU Score Calculation'!BW36</f>
        <v>28.00000000028</v>
      </c>
      <c r="DB126" s="251">
        <f>'PolyU Score Calculation'!BX36</f>
        <v>2.5000000000000002E-10</v>
      </c>
      <c r="DC126" s="251">
        <f>'PolyU Score Calculation'!BY36</f>
        <v>40.000000000599996</v>
      </c>
      <c r="DD126" s="251">
        <f>'PolyU Score Calculation'!BZ36</f>
        <v>40.000000000699998</v>
      </c>
      <c r="DE126" s="251">
        <f>'PolyU Score Calculation'!CA36</f>
        <v>7.9999999999999993E-10</v>
      </c>
      <c r="DF126" s="251" t="b">
        <f>'PolyU Score Calculation'!CB36</f>
        <v>0</v>
      </c>
      <c r="DG126" s="251" t="b">
        <f>'PolyU Score Calculation'!CC36</f>
        <v>1</v>
      </c>
      <c r="DH126" s="251" t="b">
        <f>'PolyU Score Calculation'!CD36</f>
        <v>1</v>
      </c>
      <c r="DI126" s="251" t="b">
        <f>'PolyU Score Calculation'!CE36</f>
        <v>1</v>
      </c>
      <c r="DJ126" s="251" t="b">
        <f>'PolyU Score Calculation'!CF36</f>
        <v>0</v>
      </c>
      <c r="DK126" s="251" t="b">
        <f>'PolyU Score Calculation'!CG36</f>
        <v>1</v>
      </c>
      <c r="DL126" s="251" t="b">
        <f>'PolyU Score Calculation'!CH36</f>
        <v>1</v>
      </c>
      <c r="DM126" s="251" t="b">
        <f>'PolyU Score Calculation'!CI36</f>
        <v>0</v>
      </c>
    </row>
    <row r="127" spans="1:117" s="251" customFormat="1" x14ac:dyDescent="0.3">
      <c r="A127" s="251" t="str">
        <f>'PolyU Score Calculation'!A37</f>
        <v>JS3569</v>
      </c>
      <c r="B127" s="251" t="s">
        <v>2246</v>
      </c>
      <c r="C127" s="251" t="str">
        <f>IF('PolyU Score Calculation'!B37=0,"",'PolyU Score Calculation'!B37)</f>
        <v>設計學院</v>
      </c>
      <c r="D127" s="251" t="str">
        <f>IF('PolyU Score Calculation'!C37=0,"",'PolyU Score Calculation'!C37)</f>
        <v>設計學(榮譽)文學士組合課程</v>
      </c>
      <c r="E127" s="251" t="str">
        <f>IF('PolyU Score Calculation'!E37=0,"",'PolyU Score Calculation'!E37)</f>
        <v>Best 5</v>
      </c>
      <c r="F127" s="251" t="s">
        <v>1978</v>
      </c>
      <c r="G127" s="251">
        <f>'PolyU Score Calculation'!W37</f>
        <v>200.00000000219998</v>
      </c>
      <c r="H127" s="251">
        <f>'PolyU Score Calculation'!V37</f>
        <v>215.00000000160003</v>
      </c>
      <c r="I127" s="251" t="s">
        <v>3034</v>
      </c>
      <c r="J127" s="251" t="s">
        <v>3035</v>
      </c>
      <c r="K127" s="344" t="s">
        <v>3048</v>
      </c>
      <c r="L127" s="344" t="s">
        <v>1970</v>
      </c>
      <c r="M127" s="344" t="s">
        <v>1970</v>
      </c>
      <c r="N127" s="251" t="str">
        <f>'PolyU Score Calculation'!M37</f>
        <v>JS3569</v>
      </c>
      <c r="O127" s="251" t="str">
        <f>'PolyU Score Calculation'!N37</f>
        <v>設計學(榮譽)文學士學位組合課程</v>
      </c>
      <c r="P127" s="251" t="str">
        <f>'PolyU Score Calculation'!O37</f>
        <v>Best 5</v>
      </c>
      <c r="Q127" s="251" t="str">
        <f>'PolyU Score Calculation'!P37</f>
        <v>x10: 中文、英文、數學、通識、DAT、視覺藝術</v>
      </c>
      <c r="R127" s="251" t="str">
        <f>'PolyU Score Calculation'!Q37</f>
        <v>/</v>
      </c>
      <c r="S127" s="251" t="str">
        <f>'PolyU Score Calculation'!R37</f>
        <v>x5: 其他科目</v>
      </c>
      <c r="T127" s="251" t="str">
        <f>IF('PolyU Score Calculation'!D37=0,"",'PolyU Score Calculation'!D37)</f>
        <v>DESIGN</v>
      </c>
      <c r="U127" s="251" t="s">
        <v>2165</v>
      </c>
      <c r="V127" s="251">
        <f>IF('PolyU Score Calculation'!T37=0,"",'PolyU Score Calculation'!T37)</f>
        <v>22.2</v>
      </c>
      <c r="W127" s="251">
        <f>'PolyU Score Calculation'!U37</f>
        <v>22.2</v>
      </c>
      <c r="X127" s="344">
        <f>'A123'!J135</f>
        <v>81</v>
      </c>
      <c r="Y127" s="344">
        <f>'A123'!K135</f>
        <v>72</v>
      </c>
      <c r="Z127" s="344">
        <f>'A123'!L135</f>
        <v>14.930555555555555</v>
      </c>
      <c r="AA127" s="251" t="s">
        <v>2165</v>
      </c>
      <c r="AB127" s="344" t="str">
        <f>入學要求!X136</f>
        <v>/</v>
      </c>
      <c r="AC127" s="344" t="str">
        <f>入學要求!Y136</f>
        <v>/</v>
      </c>
      <c r="AD127" s="251" t="str">
        <f>'PolyU Score Calculation'!E37</f>
        <v>Best 5</v>
      </c>
      <c r="AE127" s="251" t="s">
        <v>1970</v>
      </c>
      <c r="AF127" s="251" t="s">
        <v>1970</v>
      </c>
      <c r="AG127" s="344" t="str">
        <f>'PolyU Score Calculation'!I37</f>
        <v>x10: 中文、英文、數學、通識、DAT、視覺藝術</v>
      </c>
      <c r="AH127" s="344" t="str">
        <f>'PolyU Score Calculation'!J37</f>
        <v>/</v>
      </c>
      <c r="AI127" s="344" t="str">
        <f>'PolyU Score Calculation'!K37</f>
        <v>x5: 其他科目</v>
      </c>
      <c r="AJ127" s="251" t="s">
        <v>1970</v>
      </c>
      <c r="AK127" s="251" t="s">
        <v>1970</v>
      </c>
      <c r="AL127" s="251" t="s">
        <v>1970</v>
      </c>
      <c r="AM127" s="251" t="s">
        <v>3043</v>
      </c>
      <c r="AN127" s="251" t="str">
        <f t="shared" si="405"/>
        <v>JS3569 設計學(榮譽)文學士學位組合課程</v>
      </c>
      <c r="AO127" s="251" t="s">
        <v>1970</v>
      </c>
      <c r="AP127" s="251" t="s">
        <v>1970</v>
      </c>
      <c r="AQ127" s="344" t="s">
        <v>1970</v>
      </c>
      <c r="AR127" s="428" t="s">
        <v>2150</v>
      </c>
      <c r="AV127" s="344" t="s">
        <v>3728</v>
      </c>
      <c r="AW127" s="344" t="s">
        <v>3726</v>
      </c>
      <c r="AX127" s="344" t="s">
        <v>3729</v>
      </c>
      <c r="AY127" s="344" t="s">
        <v>3730</v>
      </c>
      <c r="AZ127" s="344" t="s">
        <v>3732</v>
      </c>
      <c r="BA127" s="344" t="s">
        <v>3734</v>
      </c>
      <c r="BB127" s="251">
        <f>'PolyU Score Calculation'!X37</f>
        <v>10</v>
      </c>
      <c r="BC127" s="251">
        <f>'PolyU Score Calculation'!Y37</f>
        <v>10</v>
      </c>
      <c r="BD127" s="251">
        <f>'PolyU Score Calculation'!Z37</f>
        <v>10</v>
      </c>
      <c r="BE127" s="251">
        <f>'PolyU Score Calculation'!AA37</f>
        <v>10</v>
      </c>
      <c r="BF127" s="251">
        <f>'PolyU Score Calculation'!AB37</f>
        <v>5</v>
      </c>
      <c r="BG127" s="251">
        <f>'PolyU Score Calculation'!AC37</f>
        <v>10</v>
      </c>
      <c r="BH127" s="251">
        <f>'PolyU Score Calculation'!AD37</f>
        <v>10</v>
      </c>
      <c r="BI127" s="251">
        <f>'PolyU Score Calculation'!AE37</f>
        <v>5</v>
      </c>
      <c r="BJ127" s="251">
        <f>'PolyU Score Calculation'!AF37</f>
        <v>5.50000000001</v>
      </c>
      <c r="BK127" s="251">
        <f>'PolyU Score Calculation'!AG37</f>
        <v>4.00000000002</v>
      </c>
      <c r="BL127" s="251">
        <f>'PolyU Score Calculation'!AH37</f>
        <v>4.00000000003</v>
      </c>
      <c r="BM127" s="251">
        <f>'PolyU Score Calculation'!AI37</f>
        <v>4.00000000004</v>
      </c>
      <c r="BN127" s="251">
        <f>'PolyU Score Calculation'!AJ37</f>
        <v>5.0000000000000002E-11</v>
      </c>
      <c r="BO127" s="251">
        <f>'PolyU Score Calculation'!AK37</f>
        <v>4.00000000006</v>
      </c>
      <c r="BP127" s="251">
        <f>'PolyU Score Calculation'!AL37</f>
        <v>3.00000000007</v>
      </c>
      <c r="BQ127" s="251">
        <f>'PolyU Score Calculation'!AM37</f>
        <v>7.9999999999999995E-11</v>
      </c>
      <c r="BR127" s="251">
        <f>'PolyU Score Calculation'!AN37</f>
        <v>55.000000000100002</v>
      </c>
      <c r="BS127" s="251">
        <f>'PolyU Score Calculation'!AO37</f>
        <v>40.000000000200004</v>
      </c>
      <c r="BT127" s="251">
        <f>'PolyU Score Calculation'!AP37</f>
        <v>40.000000000299998</v>
      </c>
      <c r="BU127" s="251">
        <f>'PolyU Score Calculation'!AQ37</f>
        <v>40.0000000004</v>
      </c>
      <c r="BV127" s="251">
        <f>'PolyU Score Calculation'!AR37</f>
        <v>2.5000000000000002E-10</v>
      </c>
      <c r="BW127" s="251">
        <f>'PolyU Score Calculation'!AS37</f>
        <v>40.000000000599996</v>
      </c>
      <c r="BX127" s="251">
        <f>'PolyU Score Calculation'!AT37</f>
        <v>30.000000000699998</v>
      </c>
      <c r="BY127" s="251">
        <f>'PolyU Score Calculation'!AU37</f>
        <v>3.9999999999999996E-10</v>
      </c>
      <c r="BZ127" s="251" t="b">
        <f>'PolyU Score Calculation'!AV37</f>
        <v>1</v>
      </c>
      <c r="CA127" s="251" t="b">
        <f>'PolyU Score Calculation'!AW37</f>
        <v>1</v>
      </c>
      <c r="CB127" s="251" t="b">
        <f>'PolyU Score Calculation'!AX37</f>
        <v>1</v>
      </c>
      <c r="CC127" s="251" t="b">
        <f>'PolyU Score Calculation'!AY37</f>
        <v>1</v>
      </c>
      <c r="CD127" s="251" t="b">
        <f>'PolyU Score Calculation'!AZ37</f>
        <v>0</v>
      </c>
      <c r="CE127" s="251" t="b">
        <f>'PolyU Score Calculation'!BA37</f>
        <v>1</v>
      </c>
      <c r="CF127" s="251" t="b">
        <f>'PolyU Score Calculation'!BB37</f>
        <v>0</v>
      </c>
      <c r="CG127" s="251" t="b">
        <f>'PolyU Score Calculation'!BC37</f>
        <v>0</v>
      </c>
      <c r="CH127" s="251">
        <f>'PolyU Score Calculation'!BD37</f>
        <v>10</v>
      </c>
      <c r="CI127" s="251">
        <f>'PolyU Score Calculation'!BE37</f>
        <v>10</v>
      </c>
      <c r="CJ127" s="251">
        <f>'PolyU Score Calculation'!BF37</f>
        <v>10</v>
      </c>
      <c r="CK127" s="251">
        <f>'PolyU Score Calculation'!BG37</f>
        <v>10</v>
      </c>
      <c r="CL127" s="251">
        <f>'PolyU Score Calculation'!BH37</f>
        <v>5</v>
      </c>
      <c r="CM127" s="251">
        <f>'PolyU Score Calculation'!BI37</f>
        <v>10</v>
      </c>
      <c r="CN127" s="251">
        <f>'PolyU Score Calculation'!BJ37</f>
        <v>10</v>
      </c>
      <c r="CO127" s="251">
        <f>'PolyU Score Calculation'!BK37</f>
        <v>5</v>
      </c>
      <c r="CP127" s="251">
        <f>'PolyU Score Calculation'!BL37</f>
        <v>4.00000000001</v>
      </c>
      <c r="CQ127" s="251">
        <f>'PolyU Score Calculation'!BM37</f>
        <v>4.00000000002</v>
      </c>
      <c r="CR127" s="251">
        <f>'PolyU Score Calculation'!BN37</f>
        <v>4.00000000003</v>
      </c>
      <c r="CS127" s="251">
        <f>'PolyU Score Calculation'!BO37</f>
        <v>4.00000000004</v>
      </c>
      <c r="CT127" s="251">
        <f>'PolyU Score Calculation'!BP37</f>
        <v>5.0000000000000002E-11</v>
      </c>
      <c r="CU127" s="251">
        <f>'PolyU Score Calculation'!BQ37</f>
        <v>4.00000000006</v>
      </c>
      <c r="CV127" s="251">
        <f>'PolyU Score Calculation'!BR37</f>
        <v>4.00000000007</v>
      </c>
      <c r="CW127" s="251">
        <f>'PolyU Score Calculation'!BS37</f>
        <v>3.00000000008</v>
      </c>
      <c r="CX127" s="251">
        <f>'PolyU Score Calculation'!BT37</f>
        <v>40.000000000100002</v>
      </c>
      <c r="CY127" s="251">
        <f>'PolyU Score Calculation'!BU37</f>
        <v>40.000000000200004</v>
      </c>
      <c r="CZ127" s="251">
        <f>'PolyU Score Calculation'!BV37</f>
        <v>40.000000000299998</v>
      </c>
      <c r="DA127" s="251">
        <f>'PolyU Score Calculation'!BW37</f>
        <v>40.0000000004</v>
      </c>
      <c r="DB127" s="251">
        <f>'PolyU Score Calculation'!BX37</f>
        <v>2.5000000000000002E-10</v>
      </c>
      <c r="DC127" s="251">
        <f>'PolyU Score Calculation'!BY37</f>
        <v>40.000000000599996</v>
      </c>
      <c r="DD127" s="251">
        <f>'PolyU Score Calculation'!BZ37</f>
        <v>40.000000000699998</v>
      </c>
      <c r="DE127" s="251">
        <f>'PolyU Score Calculation'!CA37</f>
        <v>15.0000000004</v>
      </c>
      <c r="DF127" s="251" t="b">
        <f>'PolyU Score Calculation'!CB37</f>
        <v>0</v>
      </c>
      <c r="DG127" s="251" t="b">
        <f>'PolyU Score Calculation'!CC37</f>
        <v>1</v>
      </c>
      <c r="DH127" s="251" t="b">
        <f>'PolyU Score Calculation'!CD37</f>
        <v>1</v>
      </c>
      <c r="DI127" s="251" t="b">
        <f>'PolyU Score Calculation'!CE37</f>
        <v>1</v>
      </c>
      <c r="DJ127" s="251" t="b">
        <f>'PolyU Score Calculation'!CF37</f>
        <v>0</v>
      </c>
      <c r="DK127" s="251" t="b">
        <f>'PolyU Score Calculation'!CG37</f>
        <v>1</v>
      </c>
      <c r="DL127" s="251" t="b">
        <f>'PolyU Score Calculation'!CH37</f>
        <v>1</v>
      </c>
      <c r="DM127" s="251" t="b">
        <f>'PolyU Score Calculation'!CI37</f>
        <v>0</v>
      </c>
    </row>
    <row r="128" spans="1:117" s="251" customFormat="1" x14ac:dyDescent="0.3">
      <c r="A128" s="251" t="str">
        <f>'PolyU Score Calculation'!A38</f>
        <v>JS3250</v>
      </c>
      <c r="B128" s="251" t="s">
        <v>2246</v>
      </c>
      <c r="C128" s="251" t="str">
        <f>IF('PolyU Score Calculation'!B38=0,"",'PolyU Score Calculation'!B38)</f>
        <v>醫療及社會科學院</v>
      </c>
      <c r="D128" s="251" t="str">
        <f>IF('PolyU Score Calculation'!C38=0,"",'PolyU Score Calculation'!C38)</f>
        <v>應用社會科學(榮譽)文學士組合課程</v>
      </c>
      <c r="E128" s="251" t="str">
        <f>IF('PolyU Score Calculation'!E38=0,"",'PolyU Score Calculation'!E38)</f>
        <v>4C2X</v>
      </c>
      <c r="F128" s="251" t="s">
        <v>1978</v>
      </c>
      <c r="G128" s="251">
        <f>'PolyU Score Calculation'!W38</f>
        <v>176.50000000135003</v>
      </c>
      <c r="H128" s="251">
        <f>'PolyU Score Calculation'!V38</f>
        <v>166.50000000134997</v>
      </c>
      <c r="I128" s="251" t="s">
        <v>3034</v>
      </c>
      <c r="J128" s="251" t="s">
        <v>3035</v>
      </c>
      <c r="K128" s="344" t="s">
        <v>3048</v>
      </c>
      <c r="L128" s="344" t="s">
        <v>1970</v>
      </c>
      <c r="M128" s="344" t="s">
        <v>1970</v>
      </c>
      <c r="N128" s="251" t="str">
        <f>'PolyU Score Calculation'!M38</f>
        <v>JS3662</v>
      </c>
      <c r="O128" s="251" t="str">
        <f>'PolyU Score Calculation'!N38</f>
        <v>社會工作(榮譽)文學士學位</v>
      </c>
      <c r="P128" s="251" t="str">
        <f>'PolyU Score Calculation'!O38</f>
        <v>4C2X</v>
      </c>
      <c r="Q128" s="251">
        <f>'PolyU Score Calculation'!P38</f>
        <v>0</v>
      </c>
      <c r="R128" s="251" t="str">
        <f>'PolyU Score Calculation'!Q38</f>
        <v>x7: 中文、英文、數學、通識</v>
      </c>
      <c r="S128" s="251" t="str">
        <f>'PolyU Score Calculation'!R38</f>
        <v>x5: 其他科目</v>
      </c>
      <c r="T128" s="251" t="str">
        <f>IF('PolyU Score Calculation'!D38=0,"",'PolyU Score Calculation'!D38)</f>
        <v>APPLIED SOC SCI</v>
      </c>
      <c r="U128" s="251" t="s">
        <v>2165</v>
      </c>
      <c r="V128" s="251">
        <f>IF('PolyU Score Calculation'!T38=0,"",'PolyU Score Calculation'!T38)</f>
        <v>26.2</v>
      </c>
      <c r="W128" s="251">
        <f>'PolyU Score Calculation'!U38</f>
        <v>28</v>
      </c>
      <c r="X128" s="344">
        <f>'A123'!J136</f>
        <v>47</v>
      </c>
      <c r="Y128" s="344" t="str">
        <f>'A123'!K136</f>
        <v>/</v>
      </c>
      <c r="Z128" s="344" t="str">
        <f>'A123'!L136</f>
        <v>新科目</v>
      </c>
      <c r="AA128" s="251" t="s">
        <v>2165</v>
      </c>
      <c r="AB128" s="344" t="str">
        <f>入學要求!X137</f>
        <v>/</v>
      </c>
      <c r="AC128" s="344" t="str">
        <f>入學要求!Y137</f>
        <v>/</v>
      </c>
      <c r="AD128" s="251" t="str">
        <f>'PolyU Score Calculation'!E38</f>
        <v>4C2X</v>
      </c>
      <c r="AE128" s="251" t="s">
        <v>1970</v>
      </c>
      <c r="AF128" s="251" t="s">
        <v>1970</v>
      </c>
      <c r="AG128" s="344">
        <f>'PolyU Score Calculation'!I38</f>
        <v>0</v>
      </c>
      <c r="AH128" s="344" t="str">
        <f>'PolyU Score Calculation'!J38</f>
        <v>x7: 中文、英文、數學、通識</v>
      </c>
      <c r="AI128" s="344" t="str">
        <f>'PolyU Score Calculation'!K38</f>
        <v>x5: 其他科目</v>
      </c>
      <c r="AJ128" s="251" t="s">
        <v>1970</v>
      </c>
      <c r="AK128" s="251" t="s">
        <v>1970</v>
      </c>
      <c r="AL128" s="251" t="s">
        <v>1970</v>
      </c>
      <c r="AM128" s="251" t="s">
        <v>3043</v>
      </c>
      <c r="AN128" s="251" t="str">
        <f t="shared" si="405"/>
        <v>JS3662 社會工作(榮譽)文學士學位</v>
      </c>
      <c r="AO128" s="251" t="str">
        <f>AN129</f>
        <v>JS3765 社會政策及社會創業(榮譽)文學士學位</v>
      </c>
      <c r="AP128" s="251" t="s">
        <v>1970</v>
      </c>
      <c r="AQ128" s="344" t="s">
        <v>1970</v>
      </c>
      <c r="AR128" s="428" t="s">
        <v>2150</v>
      </c>
      <c r="AS128" s="251" t="s">
        <v>3610</v>
      </c>
      <c r="AT128" s="251" t="s">
        <v>1970</v>
      </c>
      <c r="AU128" s="251" t="s">
        <v>3639</v>
      </c>
      <c r="AV128" s="344" t="s">
        <v>3728</v>
      </c>
      <c r="AW128" s="344" t="s">
        <v>3726</v>
      </c>
      <c r="AX128" s="344" t="s">
        <v>3729</v>
      </c>
      <c r="AY128" s="344" t="s">
        <v>3730</v>
      </c>
      <c r="AZ128" s="344" t="s">
        <v>3732</v>
      </c>
      <c r="BA128" s="344" t="s">
        <v>3734</v>
      </c>
      <c r="BB128" s="251">
        <f>'PolyU Score Calculation'!X38</f>
        <v>7</v>
      </c>
      <c r="BC128" s="251">
        <f>'PolyU Score Calculation'!Y38</f>
        <v>7</v>
      </c>
      <c r="BD128" s="251">
        <f>'PolyU Score Calculation'!Z38</f>
        <v>7</v>
      </c>
      <c r="BE128" s="251">
        <f>'PolyU Score Calculation'!AA38</f>
        <v>7</v>
      </c>
      <c r="BF128" s="251">
        <f>'PolyU Score Calculation'!AB38</f>
        <v>5</v>
      </c>
      <c r="BG128" s="251">
        <f>'PolyU Score Calculation'!AC38</f>
        <v>5</v>
      </c>
      <c r="BH128" s="251">
        <f>'PolyU Score Calculation'!AD38</f>
        <v>5</v>
      </c>
      <c r="BI128" s="251">
        <f>'PolyU Score Calculation'!AE38</f>
        <v>5</v>
      </c>
      <c r="BJ128" s="251">
        <f>'PolyU Score Calculation'!AF38</f>
        <v>3.00000000001</v>
      </c>
      <c r="BK128" s="251">
        <f>'PolyU Score Calculation'!AG38</f>
        <v>4.00000000002</v>
      </c>
      <c r="BL128" s="251">
        <f>'PolyU Score Calculation'!AH38</f>
        <v>7.00000000003</v>
      </c>
      <c r="BM128" s="251">
        <f>'PolyU Score Calculation'!AI38</f>
        <v>3.00000000004</v>
      </c>
      <c r="BN128" s="251">
        <f>'PolyU Score Calculation'!AJ38</f>
        <v>5.0000000000000002E-11</v>
      </c>
      <c r="BO128" s="251">
        <f>'PolyU Score Calculation'!AK38</f>
        <v>5.50000000006</v>
      </c>
      <c r="BP128" s="251">
        <f>'PolyU Score Calculation'!AL38</f>
        <v>4.00000000007</v>
      </c>
      <c r="BQ128" s="251">
        <f>'PolyU Score Calculation'!AM38</f>
        <v>7.9999999999999995E-11</v>
      </c>
      <c r="BR128" s="251">
        <f>'PolyU Score Calculation'!AN38</f>
        <v>21.000000000069999</v>
      </c>
      <c r="BS128" s="251">
        <f>'PolyU Score Calculation'!AO38</f>
        <v>28.000000000139998</v>
      </c>
      <c r="BT128" s="251">
        <f>'PolyU Score Calculation'!AP38</f>
        <v>49.000000000210001</v>
      </c>
      <c r="BU128" s="251">
        <f>'PolyU Score Calculation'!AQ38</f>
        <v>21.00000000028</v>
      </c>
      <c r="BV128" s="251">
        <f>'PolyU Score Calculation'!AR38</f>
        <v>2.5000000000000002E-10</v>
      </c>
      <c r="BW128" s="251">
        <f>'PolyU Score Calculation'!AS38</f>
        <v>27.500000000299998</v>
      </c>
      <c r="BX128" s="251">
        <f>'PolyU Score Calculation'!AT38</f>
        <v>20.000000000349999</v>
      </c>
      <c r="BY128" s="251">
        <f>'PolyU Score Calculation'!AU38</f>
        <v>3.9999999999999996E-10</v>
      </c>
      <c r="BZ128" s="251" t="b">
        <f>'PolyU Score Calculation'!AV38</f>
        <v>1</v>
      </c>
      <c r="CA128" s="251" t="b">
        <f>'PolyU Score Calculation'!AW38</f>
        <v>1</v>
      </c>
      <c r="CB128" s="251" t="b">
        <f>'PolyU Score Calculation'!AX38</f>
        <v>1</v>
      </c>
      <c r="CC128" s="251" t="b">
        <f>'PolyU Score Calculation'!AY38</f>
        <v>1</v>
      </c>
      <c r="CD128" s="251" t="b">
        <f>'PolyU Score Calculation'!AZ38</f>
        <v>0</v>
      </c>
      <c r="CE128" s="251" t="b">
        <f>'PolyU Score Calculation'!BA38</f>
        <v>1</v>
      </c>
      <c r="CF128" s="251" t="b">
        <f>'PolyU Score Calculation'!BB38</f>
        <v>1</v>
      </c>
      <c r="CG128" s="251" t="b">
        <f>'PolyU Score Calculation'!BC38</f>
        <v>0</v>
      </c>
      <c r="CH128" s="251">
        <f>'PolyU Score Calculation'!BD38</f>
        <v>7</v>
      </c>
      <c r="CI128" s="251">
        <f>'PolyU Score Calculation'!BE38</f>
        <v>7</v>
      </c>
      <c r="CJ128" s="251">
        <f>'PolyU Score Calculation'!BF38</f>
        <v>7</v>
      </c>
      <c r="CK128" s="251">
        <f>'PolyU Score Calculation'!BG38</f>
        <v>7</v>
      </c>
      <c r="CL128" s="251">
        <f>'PolyU Score Calculation'!BH38</f>
        <v>5</v>
      </c>
      <c r="CM128" s="251">
        <f>'PolyU Score Calculation'!BI38</f>
        <v>5</v>
      </c>
      <c r="CN128" s="251">
        <f>'PolyU Score Calculation'!BJ38</f>
        <v>5</v>
      </c>
      <c r="CO128" s="251">
        <f>'PolyU Score Calculation'!BK38</f>
        <v>5</v>
      </c>
      <c r="CP128" s="251">
        <f>'PolyU Score Calculation'!BL38</f>
        <v>7.00000000001</v>
      </c>
      <c r="CQ128" s="251">
        <f>'PolyU Score Calculation'!BM38</f>
        <v>3.00000000002</v>
      </c>
      <c r="CR128" s="251">
        <f>'PolyU Score Calculation'!BN38</f>
        <v>4.00000000003</v>
      </c>
      <c r="CS128" s="251">
        <f>'PolyU Score Calculation'!BO38</f>
        <v>5.50000000004</v>
      </c>
      <c r="CT128" s="251">
        <f>'PolyU Score Calculation'!BP38</f>
        <v>5.0000000000000002E-11</v>
      </c>
      <c r="CU128" s="251">
        <f>'PolyU Score Calculation'!BQ38</f>
        <v>4.00000000006</v>
      </c>
      <c r="CV128" s="251">
        <f>'PolyU Score Calculation'!BR38</f>
        <v>4.00000000007</v>
      </c>
      <c r="CW128" s="251">
        <f>'PolyU Score Calculation'!BS38</f>
        <v>7.9999999999999995E-11</v>
      </c>
      <c r="CX128" s="251">
        <f>'PolyU Score Calculation'!BT38</f>
        <v>49.000000000070003</v>
      </c>
      <c r="CY128" s="251">
        <f>'PolyU Score Calculation'!BU38</f>
        <v>21.000000000139998</v>
      </c>
      <c r="CZ128" s="251">
        <f>'PolyU Score Calculation'!BV38</f>
        <v>28.000000000210001</v>
      </c>
      <c r="DA128" s="251">
        <f>'PolyU Score Calculation'!BW38</f>
        <v>38.500000000279996</v>
      </c>
      <c r="DB128" s="251">
        <f>'PolyU Score Calculation'!BX38</f>
        <v>2.5000000000000002E-10</v>
      </c>
      <c r="DC128" s="251">
        <f>'PolyU Score Calculation'!BY38</f>
        <v>20.000000000299998</v>
      </c>
      <c r="DD128" s="251">
        <f>'PolyU Score Calculation'!BZ38</f>
        <v>20.000000000349999</v>
      </c>
      <c r="DE128" s="251">
        <f>'PolyU Score Calculation'!CA38</f>
        <v>3.9999999999999996E-10</v>
      </c>
      <c r="DF128" s="251" t="b">
        <f>'PolyU Score Calculation'!CB38</f>
        <v>1</v>
      </c>
      <c r="DG128" s="251" t="b">
        <f>'PolyU Score Calculation'!CC38</f>
        <v>1</v>
      </c>
      <c r="DH128" s="251" t="b">
        <f>'PolyU Score Calculation'!CD38</f>
        <v>1</v>
      </c>
      <c r="DI128" s="251" t="b">
        <f>'PolyU Score Calculation'!CE38</f>
        <v>1</v>
      </c>
      <c r="DJ128" s="251" t="b">
        <f>'PolyU Score Calculation'!CF38</f>
        <v>0</v>
      </c>
      <c r="DK128" s="251" t="b">
        <f>'PolyU Score Calculation'!CG38</f>
        <v>1</v>
      </c>
      <c r="DL128" s="251" t="b">
        <f>'PolyU Score Calculation'!CH38</f>
        <v>1</v>
      </c>
      <c r="DM128" s="251" t="b">
        <f>'PolyU Score Calculation'!CI38</f>
        <v>0</v>
      </c>
    </row>
    <row r="129" spans="1:149" s="251" customFormat="1" x14ac:dyDescent="0.3">
      <c r="A129" s="251" t="str">
        <f>'PolyU Score Calculation'!A39</f>
        <v>JS3250-2</v>
      </c>
      <c r="B129" s="251" t="s">
        <v>2246</v>
      </c>
      <c r="C129" s="251" t="str">
        <f>IF('PolyU Score Calculation'!B39=0,"",'PolyU Score Calculation'!B39)</f>
        <v/>
      </c>
      <c r="D129" s="251" t="str">
        <f>IF('PolyU Score Calculation'!C39=0,"",'PolyU Score Calculation'!C39)</f>
        <v/>
      </c>
      <c r="E129" s="251" t="str">
        <f>IF('PolyU Score Calculation'!E39=0,"",'PolyU Score Calculation'!E39)</f>
        <v/>
      </c>
      <c r="F129" s="251" t="s">
        <v>1978</v>
      </c>
      <c r="G129" s="251">
        <f>'PolyU Score Calculation'!W39</f>
        <v>133.00000000134997</v>
      </c>
      <c r="H129" s="251">
        <f>'PolyU Score Calculation'!V39</f>
        <v>131.00000000134997</v>
      </c>
      <c r="I129" s="251" t="s">
        <v>3034</v>
      </c>
      <c r="J129" s="251" t="s">
        <v>3035</v>
      </c>
      <c r="K129" s="344" t="s">
        <v>3048</v>
      </c>
      <c r="L129" s="344" t="s">
        <v>1970</v>
      </c>
      <c r="M129" s="344" t="s">
        <v>1970</v>
      </c>
      <c r="N129" s="251" t="str">
        <f>'PolyU Score Calculation'!M39</f>
        <v>JS3765</v>
      </c>
      <c r="O129" s="251" t="str">
        <f>'PolyU Score Calculation'!N39</f>
        <v>社會政策及社會創業(榮譽)文學士學位</v>
      </c>
      <c r="P129" s="251" t="str">
        <f>'PolyU Score Calculation'!O39</f>
        <v>4C2X</v>
      </c>
      <c r="Q129" s="251">
        <f>'PolyU Score Calculation'!P39</f>
        <v>0</v>
      </c>
      <c r="R129" s="251" t="str">
        <f>'PolyU Score Calculation'!Q39</f>
        <v>x7: 中文、英文、數學、通識</v>
      </c>
      <c r="S129" s="251" t="str">
        <f>'PolyU Score Calculation'!R39</f>
        <v>x5: 其他科目</v>
      </c>
      <c r="T129" s="251" t="str">
        <f>IF('PolyU Score Calculation'!D39=0,"",'PolyU Score Calculation'!D39)</f>
        <v/>
      </c>
      <c r="U129" s="251" t="s">
        <v>2165</v>
      </c>
      <c r="V129" s="251" t="str">
        <f>IF('PolyU Score Calculation'!T39=0,"",'PolyU Score Calculation'!T39)</f>
        <v/>
      </c>
      <c r="W129" s="251">
        <f>'PolyU Score Calculation'!U39</f>
        <v>22</v>
      </c>
      <c r="X129" s="344">
        <f>'A123'!J137</f>
        <v>0</v>
      </c>
      <c r="Y129" s="344" t="str">
        <f>'A123'!K137</f>
        <v>/</v>
      </c>
      <c r="Z129" s="344" t="str">
        <f>'A123'!L137</f>
        <v>新科目</v>
      </c>
      <c r="AB129" s="344" t="str">
        <f>入學要求!X138</f>
        <v>/</v>
      </c>
      <c r="AC129" s="344" t="str">
        <f>入學要求!Y138</f>
        <v>/</v>
      </c>
      <c r="AD129" s="251">
        <f>'PolyU Score Calculation'!E39</f>
        <v>0</v>
      </c>
      <c r="AE129" s="251" t="s">
        <v>1970</v>
      </c>
      <c r="AF129" s="251" t="s">
        <v>1970</v>
      </c>
      <c r="AG129" s="344">
        <f>'PolyU Score Calculation'!I39</f>
        <v>0</v>
      </c>
      <c r="AH129" s="344">
        <f>'PolyU Score Calculation'!J39</f>
        <v>0</v>
      </c>
      <c r="AI129" s="344">
        <f>'PolyU Score Calculation'!K39</f>
        <v>0</v>
      </c>
      <c r="AJ129" s="251" t="s">
        <v>1970</v>
      </c>
      <c r="AK129" s="251" t="s">
        <v>1970</v>
      </c>
      <c r="AL129" s="251" t="s">
        <v>1970</v>
      </c>
      <c r="AM129" s="251" t="s">
        <v>1970</v>
      </c>
      <c r="AN129" s="251" t="str">
        <f t="shared" si="405"/>
        <v>JS3765 社會政策及社會創業(榮譽)文學士學位</v>
      </c>
      <c r="AO129" s="251" t="s">
        <v>1970</v>
      </c>
      <c r="AP129" s="251" t="s">
        <v>1970</v>
      </c>
      <c r="AQ129" s="344" t="s">
        <v>1970</v>
      </c>
      <c r="AR129" s="428" t="s">
        <v>2150</v>
      </c>
      <c r="AV129" s="344" t="s">
        <v>3728</v>
      </c>
      <c r="AW129" s="344" t="s">
        <v>3726</v>
      </c>
      <c r="AX129" s="344" t="s">
        <v>3729</v>
      </c>
      <c r="AY129" s="344" t="s">
        <v>3730</v>
      </c>
      <c r="AZ129" s="344" t="s">
        <v>3732</v>
      </c>
      <c r="BA129" s="344" t="s">
        <v>3734</v>
      </c>
      <c r="BB129" s="251">
        <f>'PolyU Score Calculation'!X39</f>
        <v>7</v>
      </c>
      <c r="BC129" s="251">
        <f>'PolyU Score Calculation'!Y39</f>
        <v>7</v>
      </c>
      <c r="BD129" s="251">
        <f>'PolyU Score Calculation'!Z39</f>
        <v>7</v>
      </c>
      <c r="BE129" s="251">
        <f>'PolyU Score Calculation'!AA39</f>
        <v>7</v>
      </c>
      <c r="BF129" s="251">
        <f>'PolyU Score Calculation'!AB39</f>
        <v>5</v>
      </c>
      <c r="BG129" s="251">
        <f>'PolyU Score Calculation'!AC39</f>
        <v>5</v>
      </c>
      <c r="BH129" s="251">
        <f>'PolyU Score Calculation'!AD39</f>
        <v>5</v>
      </c>
      <c r="BI129" s="251">
        <f>'PolyU Score Calculation'!AE39</f>
        <v>5</v>
      </c>
      <c r="BJ129" s="251">
        <f>'PolyU Score Calculation'!AF39</f>
        <v>3.00000000001</v>
      </c>
      <c r="BK129" s="251">
        <f>'PolyU Score Calculation'!AG39</f>
        <v>3.00000000002</v>
      </c>
      <c r="BL129" s="251">
        <f>'PolyU Score Calculation'!AH39</f>
        <v>4.00000000003</v>
      </c>
      <c r="BM129" s="251">
        <f>'PolyU Score Calculation'!AI39</f>
        <v>3.00000000004</v>
      </c>
      <c r="BN129" s="251">
        <f>'PolyU Score Calculation'!AJ39</f>
        <v>5.0000000000000002E-11</v>
      </c>
      <c r="BO129" s="251">
        <f>'PolyU Score Calculation'!AK39</f>
        <v>4.00000000006</v>
      </c>
      <c r="BP129" s="251">
        <f>'PolyU Score Calculation'!AL39</f>
        <v>4.00000000007</v>
      </c>
      <c r="BQ129" s="251">
        <f>'PolyU Score Calculation'!AM39</f>
        <v>7.9999999999999995E-11</v>
      </c>
      <c r="BR129" s="251">
        <f>'PolyU Score Calculation'!AN39</f>
        <v>21.000000000069999</v>
      </c>
      <c r="BS129" s="251">
        <f>'PolyU Score Calculation'!AO39</f>
        <v>21.000000000139998</v>
      </c>
      <c r="BT129" s="251">
        <f>'PolyU Score Calculation'!AP39</f>
        <v>28.000000000210001</v>
      </c>
      <c r="BU129" s="251">
        <f>'PolyU Score Calculation'!AQ39</f>
        <v>21.00000000028</v>
      </c>
      <c r="BV129" s="251">
        <f>'PolyU Score Calculation'!AR39</f>
        <v>2.5000000000000002E-10</v>
      </c>
      <c r="BW129" s="251">
        <f>'PolyU Score Calculation'!AS39</f>
        <v>20.000000000299998</v>
      </c>
      <c r="BX129" s="251">
        <f>'PolyU Score Calculation'!AT39</f>
        <v>20.000000000349999</v>
      </c>
      <c r="BY129" s="251">
        <f>'PolyU Score Calculation'!AU39</f>
        <v>3.9999999999999996E-10</v>
      </c>
      <c r="BZ129" s="251" t="b">
        <f>'PolyU Score Calculation'!AV39</f>
        <v>1</v>
      </c>
      <c r="CA129" s="251" t="b">
        <f>'PolyU Score Calculation'!AW39</f>
        <v>1</v>
      </c>
      <c r="CB129" s="251" t="b">
        <f>'PolyU Score Calculation'!AX39</f>
        <v>1</v>
      </c>
      <c r="CC129" s="251" t="b">
        <f>'PolyU Score Calculation'!AY39</f>
        <v>1</v>
      </c>
      <c r="CD129" s="251" t="b">
        <f>'PolyU Score Calculation'!AZ39</f>
        <v>0</v>
      </c>
      <c r="CE129" s="251" t="b">
        <f>'PolyU Score Calculation'!BA39</f>
        <v>1</v>
      </c>
      <c r="CF129" s="251" t="b">
        <f>'PolyU Score Calculation'!BB39</f>
        <v>1</v>
      </c>
      <c r="CG129" s="251" t="b">
        <f>'PolyU Score Calculation'!BC39</f>
        <v>0</v>
      </c>
      <c r="CH129" s="251">
        <f>'PolyU Score Calculation'!BD39</f>
        <v>7</v>
      </c>
      <c r="CI129" s="251">
        <f>'PolyU Score Calculation'!BE39</f>
        <v>7</v>
      </c>
      <c r="CJ129" s="251">
        <f>'PolyU Score Calculation'!BF39</f>
        <v>7</v>
      </c>
      <c r="CK129" s="251">
        <f>'PolyU Score Calculation'!BG39</f>
        <v>7</v>
      </c>
      <c r="CL129" s="251">
        <f>'PolyU Score Calculation'!BH39</f>
        <v>5</v>
      </c>
      <c r="CM129" s="251">
        <f>'PolyU Score Calculation'!BI39</f>
        <v>5</v>
      </c>
      <c r="CN129" s="251">
        <f>'PolyU Score Calculation'!BJ39</f>
        <v>5</v>
      </c>
      <c r="CO129" s="251">
        <f>'PolyU Score Calculation'!BK39</f>
        <v>5</v>
      </c>
      <c r="CP129" s="251">
        <f>'PolyU Score Calculation'!BL39</f>
        <v>4.00000000001</v>
      </c>
      <c r="CQ129" s="251">
        <f>'PolyU Score Calculation'!BM39</f>
        <v>3.00000000002</v>
      </c>
      <c r="CR129" s="251">
        <f>'PolyU Score Calculation'!BN39</f>
        <v>3.00000000003</v>
      </c>
      <c r="CS129" s="251">
        <f>'PolyU Score Calculation'!BO39</f>
        <v>4.00000000004</v>
      </c>
      <c r="CT129" s="251">
        <f>'PolyU Score Calculation'!BP39</f>
        <v>5.0000000000000002E-11</v>
      </c>
      <c r="CU129" s="251">
        <f>'PolyU Score Calculation'!BQ39</f>
        <v>4.00000000006</v>
      </c>
      <c r="CV129" s="251">
        <f>'PolyU Score Calculation'!BR39</f>
        <v>3.00000000007</v>
      </c>
      <c r="CW129" s="251">
        <f>'PolyU Score Calculation'!BS39</f>
        <v>7.9999999999999995E-11</v>
      </c>
      <c r="CX129" s="251">
        <f>'PolyU Score Calculation'!BT39</f>
        <v>28.000000000069999</v>
      </c>
      <c r="CY129" s="251">
        <f>'PolyU Score Calculation'!BU39</f>
        <v>21.000000000139998</v>
      </c>
      <c r="CZ129" s="251">
        <f>'PolyU Score Calculation'!BV39</f>
        <v>21.000000000210001</v>
      </c>
      <c r="DA129" s="251">
        <f>'PolyU Score Calculation'!BW39</f>
        <v>28.00000000028</v>
      </c>
      <c r="DB129" s="251">
        <f>'PolyU Score Calculation'!BX39</f>
        <v>2.5000000000000002E-10</v>
      </c>
      <c r="DC129" s="251">
        <f>'PolyU Score Calculation'!BY39</f>
        <v>20.000000000299998</v>
      </c>
      <c r="DD129" s="251">
        <f>'PolyU Score Calculation'!BZ39</f>
        <v>15.000000000349999</v>
      </c>
      <c r="DE129" s="251">
        <f>'PolyU Score Calculation'!CA39</f>
        <v>3.9999999999999996E-10</v>
      </c>
      <c r="DF129" s="251" t="b">
        <f>'PolyU Score Calculation'!CB39</f>
        <v>1</v>
      </c>
      <c r="DG129" s="251" t="b">
        <f>'PolyU Score Calculation'!CC39</f>
        <v>1</v>
      </c>
      <c r="DH129" s="251" t="b">
        <f>'PolyU Score Calculation'!CD39</f>
        <v>1</v>
      </c>
      <c r="DI129" s="251" t="b">
        <f>'PolyU Score Calculation'!CE39</f>
        <v>1</v>
      </c>
      <c r="DJ129" s="251" t="b">
        <f>'PolyU Score Calculation'!CF39</f>
        <v>0</v>
      </c>
      <c r="DK129" s="251" t="b">
        <f>'PolyU Score Calculation'!CG39</f>
        <v>1</v>
      </c>
      <c r="DL129" s="251" t="b">
        <f>'PolyU Score Calculation'!CH39</f>
        <v>1</v>
      </c>
      <c r="DM129" s="251" t="b">
        <f>'PolyU Score Calculation'!CI39</f>
        <v>0</v>
      </c>
    </row>
    <row r="130" spans="1:149" s="251" customFormat="1" x14ac:dyDescent="0.3">
      <c r="A130" s="251" t="str">
        <f>'PolyU Score Calculation'!A40</f>
        <v>JS3290</v>
      </c>
      <c r="B130" s="251" t="s">
        <v>2246</v>
      </c>
      <c r="C130" s="251" t="str">
        <f>IF('PolyU Score Calculation'!B40=0,"",'PolyU Score Calculation'!B40)</f>
        <v>醫療及社會科學院</v>
      </c>
      <c r="D130" s="251" t="str">
        <f>IF('PolyU Score Calculation'!C40=0,"",'PolyU Score Calculation'!C40)</f>
        <v>眼科視光學(榮譽)理學士組合課程</v>
      </c>
      <c r="E130" s="251" t="str">
        <f>IF('PolyU Score Calculation'!E40=0,"",'PolyU Score Calculation'!E40)</f>
        <v>Best 6</v>
      </c>
      <c r="F130" s="251" t="s">
        <v>1978</v>
      </c>
      <c r="G130" s="251">
        <f>'PolyU Score Calculation'!W40</f>
        <v>324.00000000297007</v>
      </c>
      <c r="H130" s="251">
        <f>'PolyU Score Calculation'!V40</f>
        <v>317.00000000214993</v>
      </c>
      <c r="I130" s="251" t="s">
        <v>3034</v>
      </c>
      <c r="J130" s="251" t="s">
        <v>3035</v>
      </c>
      <c r="K130" s="344" t="s">
        <v>3048</v>
      </c>
      <c r="L130" s="344" t="s">
        <v>1970</v>
      </c>
      <c r="M130" s="344" t="s">
        <v>1970</v>
      </c>
      <c r="N130" s="251" t="str">
        <f>'PolyU Score Calculation'!M40</f>
        <v>JS3650</v>
      </c>
      <c r="O130" s="251" t="str">
        <f>'PolyU Score Calculation'!N40</f>
        <v>眼科視光學(榮譽)理學士學位</v>
      </c>
      <c r="P130" s="251" t="str">
        <f>'PolyU Score Calculation'!O40</f>
        <v>Best 6</v>
      </c>
      <c r="Q130" s="251" t="str">
        <f>'PolyU Score Calculation'!P40</f>
        <v>x10: 英文、數學、M1/2、生物、化學、物理、組合科學</v>
      </c>
      <c r="R130" s="251" t="str">
        <f>'PolyU Score Calculation'!Q40</f>
        <v>x7: 中文、通識</v>
      </c>
      <c r="S130" s="251" t="str">
        <f>'PolyU Score Calculation'!R40</f>
        <v>x5: 其他科目</v>
      </c>
      <c r="T130" s="251" t="str">
        <f>IF('PolyU Score Calculation'!D40=0,"",'PolyU Score Calculation'!D40)</f>
        <v>OPTOMETRY</v>
      </c>
      <c r="U130" s="251" t="s">
        <v>2165</v>
      </c>
      <c r="V130" s="251">
        <f>IF('PolyU Score Calculation'!T40=0,"",'PolyU Score Calculation'!T40)</f>
        <v>35.299999999999997</v>
      </c>
      <c r="W130" s="251">
        <f>'PolyU Score Calculation'!U40</f>
        <v>35.299999999999997</v>
      </c>
      <c r="X130" s="344">
        <f>'A123'!J138</f>
        <v>53</v>
      </c>
      <c r="Y130" s="344" t="str">
        <f>'A123'!K138</f>
        <v>/</v>
      </c>
      <c r="Z130" s="344" t="str">
        <f>'A123'!L138</f>
        <v>新科目</v>
      </c>
      <c r="AA130" s="251" t="s">
        <v>2165</v>
      </c>
      <c r="AB130" s="344" t="str">
        <f>入學要求!X139</f>
        <v>/</v>
      </c>
      <c r="AC130" s="344" t="str">
        <f>入學要求!Y139</f>
        <v>/</v>
      </c>
      <c r="AD130" s="251" t="str">
        <f>'PolyU Score Calculation'!E40</f>
        <v>Best 6</v>
      </c>
      <c r="AE130" s="251" t="s">
        <v>1970</v>
      </c>
      <c r="AF130" s="251" t="s">
        <v>1970</v>
      </c>
      <c r="AG130" s="344" t="str">
        <f>'PolyU Score Calculation'!I40</f>
        <v>x10: 英文、數學、M1/2、生物、化學、物理、組合科學</v>
      </c>
      <c r="AH130" s="344" t="str">
        <f>'PolyU Score Calculation'!J40</f>
        <v>x7: 中文、通識</v>
      </c>
      <c r="AI130" s="344" t="str">
        <f>'PolyU Score Calculation'!K40</f>
        <v>x5: 其他科目</v>
      </c>
      <c r="AJ130" s="251" t="s">
        <v>1970</v>
      </c>
      <c r="AK130" s="251" t="s">
        <v>1970</v>
      </c>
      <c r="AL130" s="251" t="s">
        <v>1970</v>
      </c>
      <c r="AM130" s="251" t="s">
        <v>3043</v>
      </c>
      <c r="AN130" s="251" t="str">
        <f t="shared" si="405"/>
        <v>JS3650 眼科視光學(榮譽)理學士學位</v>
      </c>
      <c r="AO130" s="251" t="s">
        <v>1970</v>
      </c>
      <c r="AP130" s="251" t="s">
        <v>1970</v>
      </c>
      <c r="AQ130" s="344" t="s">
        <v>1970</v>
      </c>
      <c r="AR130" s="428" t="s">
        <v>2150</v>
      </c>
      <c r="AS130" s="251" t="s">
        <v>3608</v>
      </c>
      <c r="AT130" s="251" t="s">
        <v>1970</v>
      </c>
      <c r="AU130" s="251" t="s">
        <v>1970</v>
      </c>
      <c r="AV130" s="344" t="s">
        <v>3728</v>
      </c>
      <c r="AW130" s="344" t="s">
        <v>3726</v>
      </c>
      <c r="AX130" s="344" t="s">
        <v>3729</v>
      </c>
      <c r="AY130" s="344" t="s">
        <v>3730</v>
      </c>
      <c r="AZ130" s="344" t="s">
        <v>3732</v>
      </c>
      <c r="BA130" s="344" t="s">
        <v>3734</v>
      </c>
      <c r="BB130" s="251">
        <f>'PolyU Score Calculation'!X40</f>
        <v>7</v>
      </c>
      <c r="BC130" s="251">
        <f>'PolyU Score Calculation'!Y40</f>
        <v>10</v>
      </c>
      <c r="BD130" s="251">
        <f>'PolyU Score Calculation'!Z40</f>
        <v>10</v>
      </c>
      <c r="BE130" s="251">
        <f>'PolyU Score Calculation'!AA40</f>
        <v>7</v>
      </c>
      <c r="BF130" s="251">
        <f>'PolyU Score Calculation'!AB40</f>
        <v>10</v>
      </c>
      <c r="BG130" s="251">
        <f>'PolyU Score Calculation'!AC40</f>
        <v>10</v>
      </c>
      <c r="BH130" s="251">
        <f>'PolyU Score Calculation'!AD40</f>
        <v>10</v>
      </c>
      <c r="BI130" s="251">
        <f>'PolyU Score Calculation'!AE40</f>
        <v>10</v>
      </c>
      <c r="BJ130" s="251">
        <f>'PolyU Score Calculation'!AF40</f>
        <v>5.50000000001</v>
      </c>
      <c r="BK130" s="251">
        <f>'PolyU Score Calculation'!AG40</f>
        <v>3.00000000002</v>
      </c>
      <c r="BL130" s="251">
        <f>'PolyU Score Calculation'!AH40</f>
        <v>8.5000000000299991</v>
      </c>
      <c r="BM130" s="251">
        <f>'PolyU Score Calculation'!AI40</f>
        <v>5.50000000004</v>
      </c>
      <c r="BN130" s="251">
        <f>'PolyU Score Calculation'!AJ40</f>
        <v>5.0000000000000002E-11</v>
      </c>
      <c r="BO130" s="251">
        <f>'PolyU Score Calculation'!AK40</f>
        <v>7.00000000006</v>
      </c>
      <c r="BP130" s="251">
        <f>'PolyU Score Calculation'!AL40</f>
        <v>5.50000000007</v>
      </c>
      <c r="BQ130" s="251">
        <f>'PolyU Score Calculation'!AM40</f>
        <v>7.9999999999999995E-11</v>
      </c>
      <c r="BR130" s="251">
        <f>'PolyU Score Calculation'!AN40</f>
        <v>38.500000000070003</v>
      </c>
      <c r="BS130" s="251">
        <f>'PolyU Score Calculation'!AO40</f>
        <v>30.0000000002</v>
      </c>
      <c r="BT130" s="251">
        <f>'PolyU Score Calculation'!AP40</f>
        <v>85.000000000299991</v>
      </c>
      <c r="BU130" s="251">
        <f>'PolyU Score Calculation'!AQ40</f>
        <v>38.500000000279996</v>
      </c>
      <c r="BV130" s="251">
        <f>'PolyU Score Calculation'!AR40</f>
        <v>5.0000000000000003E-10</v>
      </c>
      <c r="BW130" s="251">
        <f>'PolyU Score Calculation'!AS40</f>
        <v>70.000000000599996</v>
      </c>
      <c r="BX130" s="251">
        <f>'PolyU Score Calculation'!AT40</f>
        <v>55.000000000699998</v>
      </c>
      <c r="BY130" s="251">
        <f>'PolyU Score Calculation'!AU40</f>
        <v>7.9999999999999993E-10</v>
      </c>
      <c r="BZ130" s="251" t="b">
        <f>'PolyU Score Calculation'!AV40</f>
        <v>1</v>
      </c>
      <c r="CA130" s="251" t="b">
        <f>'PolyU Score Calculation'!AW40</f>
        <v>1</v>
      </c>
      <c r="CB130" s="251" t="b">
        <f>'PolyU Score Calculation'!AX40</f>
        <v>1</v>
      </c>
      <c r="CC130" s="251" t="b">
        <f>'PolyU Score Calculation'!AY40</f>
        <v>1</v>
      </c>
      <c r="CD130" s="251" t="b">
        <f>'PolyU Score Calculation'!AZ40</f>
        <v>0</v>
      </c>
      <c r="CE130" s="251" t="b">
        <f>'PolyU Score Calculation'!BA40</f>
        <v>1</v>
      </c>
      <c r="CF130" s="251" t="b">
        <f>'PolyU Score Calculation'!BB40</f>
        <v>1</v>
      </c>
      <c r="CG130" s="251" t="b">
        <f>'PolyU Score Calculation'!BC40</f>
        <v>0</v>
      </c>
      <c r="CH130" s="251">
        <f>'PolyU Score Calculation'!BD40</f>
        <v>7</v>
      </c>
      <c r="CI130" s="251">
        <f>'PolyU Score Calculation'!BE40</f>
        <v>10</v>
      </c>
      <c r="CJ130" s="251">
        <f>'PolyU Score Calculation'!BF40</f>
        <v>10</v>
      </c>
      <c r="CK130" s="251">
        <f>'PolyU Score Calculation'!BG40</f>
        <v>7</v>
      </c>
      <c r="CL130" s="251">
        <f>'PolyU Score Calculation'!BH40</f>
        <v>10</v>
      </c>
      <c r="CM130" s="251">
        <f>'PolyU Score Calculation'!BI40</f>
        <v>10</v>
      </c>
      <c r="CN130" s="251">
        <f>'PolyU Score Calculation'!BJ40</f>
        <v>10</v>
      </c>
      <c r="CO130" s="251">
        <f>'PolyU Score Calculation'!BK40</f>
        <v>10</v>
      </c>
      <c r="CP130" s="251">
        <f>'PolyU Score Calculation'!BL40</f>
        <v>7.00000000001</v>
      </c>
      <c r="CQ130" s="251">
        <f>'PolyU Score Calculation'!BM40</f>
        <v>4.00000000002</v>
      </c>
      <c r="CR130" s="251">
        <f>'PolyU Score Calculation'!BN40</f>
        <v>7.00000000003</v>
      </c>
      <c r="CS130" s="251">
        <f>'PolyU Score Calculation'!BO40</f>
        <v>5.50000000004</v>
      </c>
      <c r="CT130" s="251">
        <f>'PolyU Score Calculation'!BP40</f>
        <v>5.50000000005</v>
      </c>
      <c r="CU130" s="251">
        <f>'PolyU Score Calculation'!BQ40</f>
        <v>5.50000000006</v>
      </c>
      <c r="CV130" s="251">
        <f>'PolyU Score Calculation'!BR40</f>
        <v>5.50000000007</v>
      </c>
      <c r="CW130" s="251">
        <f>'PolyU Score Calculation'!BS40</f>
        <v>4.00000000008</v>
      </c>
      <c r="CX130" s="251">
        <f>'PolyU Score Calculation'!BT40</f>
        <v>49.000000000070003</v>
      </c>
      <c r="CY130" s="251">
        <f>'PolyU Score Calculation'!BU40</f>
        <v>40.000000000200004</v>
      </c>
      <c r="CZ130" s="251">
        <f>'PolyU Score Calculation'!BV40</f>
        <v>70.000000000300005</v>
      </c>
      <c r="DA130" s="251">
        <f>'PolyU Score Calculation'!BW40</f>
        <v>38.500000000279996</v>
      </c>
      <c r="DB130" s="251">
        <f>'PolyU Score Calculation'!BX40</f>
        <v>55.000000000500002</v>
      </c>
      <c r="DC130" s="251">
        <f>'PolyU Score Calculation'!BY40</f>
        <v>55.000000000599996</v>
      </c>
      <c r="DD130" s="251">
        <f>'PolyU Score Calculation'!BZ40</f>
        <v>55.000000000699998</v>
      </c>
      <c r="DE130" s="251">
        <f>'PolyU Score Calculation'!CA40</f>
        <v>40.0000000008</v>
      </c>
      <c r="DF130" s="251" t="b">
        <f>'PolyU Score Calculation'!CB40</f>
        <v>1</v>
      </c>
      <c r="DG130" s="251" t="b">
        <f>'PolyU Score Calculation'!CC40</f>
        <v>0</v>
      </c>
      <c r="DH130" s="251" t="b">
        <f>'PolyU Score Calculation'!CD40</f>
        <v>1</v>
      </c>
      <c r="DI130" s="251" t="b">
        <f>'PolyU Score Calculation'!CE40</f>
        <v>0</v>
      </c>
      <c r="DJ130" s="251" t="b">
        <f>'PolyU Score Calculation'!CF40</f>
        <v>1</v>
      </c>
      <c r="DK130" s="251" t="b">
        <f>'PolyU Score Calculation'!CG40</f>
        <v>1</v>
      </c>
      <c r="DL130" s="251" t="b">
        <f>'PolyU Score Calculation'!CH40</f>
        <v>1</v>
      </c>
      <c r="DM130" s="251" t="b">
        <f>'PolyU Score Calculation'!CI40</f>
        <v>1</v>
      </c>
    </row>
    <row r="131" spans="1:149" s="251" customFormat="1" x14ac:dyDescent="0.3">
      <c r="A131" s="251" t="str">
        <f>'PolyU Score Calculation'!A41</f>
        <v>JS3337</v>
      </c>
      <c r="B131" s="251" t="s">
        <v>2246</v>
      </c>
      <c r="C131" s="251" t="str">
        <f>IF('PolyU Score Calculation'!B41=0,"",'PolyU Score Calculation'!B41)</f>
        <v>醫療及社會科學院</v>
      </c>
      <c r="D131" s="251" t="str">
        <f>IF('PolyU Score Calculation'!C41=0,"",'PolyU Score Calculation'!C41)</f>
        <v>護理學(榮譽)理學士組合課程 - 精神健康護理學(榮譽)理學士</v>
      </c>
      <c r="E131" s="251" t="str">
        <f>IF('PolyU Score Calculation'!E41=0,"",'PolyU Score Calculation'!E41)</f>
        <v>4C2X</v>
      </c>
      <c r="F131" s="251" t="s">
        <v>1978</v>
      </c>
      <c r="G131" s="251">
        <f>'PolyU Score Calculation'!W41</f>
        <v>250.00000000195001</v>
      </c>
      <c r="H131" s="251">
        <f>'PolyU Score Calculation'!V41</f>
        <v>235.00000000200004</v>
      </c>
      <c r="I131" s="251" t="s">
        <v>3034</v>
      </c>
      <c r="J131" s="251" t="s">
        <v>3035</v>
      </c>
      <c r="K131" s="344" t="s">
        <v>3048</v>
      </c>
      <c r="L131" s="344" t="s">
        <v>1970</v>
      </c>
      <c r="M131" s="344" t="s">
        <v>1970</v>
      </c>
      <c r="N131" s="251" t="str">
        <f>'PolyU Score Calculation'!M41</f>
        <v>JS3337</v>
      </c>
      <c r="O131" s="251" t="str">
        <f>'PolyU Score Calculation'!N41</f>
        <v>精神健康護理學(榮譽)理學士學位</v>
      </c>
      <c r="P131" s="251" t="str">
        <f>'PolyU Score Calculation'!O41</f>
        <v>4C2X</v>
      </c>
      <c r="Q131" s="251" t="str">
        <f>'PolyU Score Calculation'!P41</f>
        <v>x10: 中文、英文、數學、通識、生物、組合科學(生物)</v>
      </c>
      <c r="R131" s="251" t="str">
        <f>'PolyU Score Calculation'!Q41</f>
        <v>/</v>
      </c>
      <c r="S131" s="251" t="str">
        <f>'PolyU Score Calculation'!R41</f>
        <v>x5: 其他科目</v>
      </c>
      <c r="T131" s="251" t="str">
        <f>IF('PolyU Score Calculation'!D41=0,"",'PolyU Score Calculation'!D41)</f>
        <v>MENTAL HEALTH NURSING</v>
      </c>
      <c r="U131" s="251" t="s">
        <v>2165</v>
      </c>
      <c r="V131" s="251">
        <f>IF('PolyU Score Calculation'!T41=0,"",'PolyU Score Calculation'!T41)</f>
        <v>27</v>
      </c>
      <c r="W131" s="251">
        <f>'PolyU Score Calculation'!U41</f>
        <v>27</v>
      </c>
      <c r="X131" s="344">
        <f>'A123'!J139</f>
        <v>70</v>
      </c>
      <c r="Y131" s="344">
        <f>'A123'!K139</f>
        <v>71</v>
      </c>
      <c r="Z131" s="344">
        <f>'A123'!L139</f>
        <v>4.3582089552238807</v>
      </c>
      <c r="AA131" s="251" t="s">
        <v>2165</v>
      </c>
      <c r="AB131" s="344" t="str">
        <f>入學要求!X140</f>
        <v>/</v>
      </c>
      <c r="AC131" s="344" t="str">
        <f>入學要求!Y140</f>
        <v>/</v>
      </c>
      <c r="AD131" s="251" t="str">
        <f>'PolyU Score Calculation'!E41</f>
        <v>4C2X</v>
      </c>
      <c r="AE131" s="251" t="s">
        <v>1970</v>
      </c>
      <c r="AF131" s="251" t="s">
        <v>1970</v>
      </c>
      <c r="AG131" s="344" t="str">
        <f>'PolyU Score Calculation'!I41</f>
        <v>x10: 中文、英文、數學、通識、生物、組合科學(生物)</v>
      </c>
      <c r="AH131" s="344" t="str">
        <f>'PolyU Score Calculation'!J41</f>
        <v>/</v>
      </c>
      <c r="AI131" s="344" t="str">
        <f>'PolyU Score Calculation'!K41</f>
        <v>x5: 其他科目</v>
      </c>
      <c r="AJ131" s="251" t="s">
        <v>1970</v>
      </c>
      <c r="AK131" s="251" t="s">
        <v>1970</v>
      </c>
      <c r="AL131" s="251" t="s">
        <v>1970</v>
      </c>
      <c r="AM131" s="251" t="s">
        <v>3043</v>
      </c>
      <c r="AN131" s="251" t="str">
        <f t="shared" si="405"/>
        <v>JS3337 精神健康護理學(榮譽)理學士學位</v>
      </c>
      <c r="AO131" s="251" t="s">
        <v>1970</v>
      </c>
      <c r="AP131" s="251" t="s">
        <v>1970</v>
      </c>
      <c r="AQ131" s="344" t="s">
        <v>1970</v>
      </c>
      <c r="AR131" s="428" t="s">
        <v>2150</v>
      </c>
      <c r="AS131" s="251" t="s">
        <v>3608</v>
      </c>
      <c r="AT131" s="251" t="s">
        <v>1970</v>
      </c>
      <c r="AU131" s="251" t="s">
        <v>1970</v>
      </c>
      <c r="AV131" s="344" t="s">
        <v>3728</v>
      </c>
      <c r="AW131" s="344" t="s">
        <v>3726</v>
      </c>
      <c r="AX131" s="344" t="s">
        <v>3729</v>
      </c>
      <c r="AY131" s="344" t="s">
        <v>3730</v>
      </c>
      <c r="AZ131" s="344" t="s">
        <v>3732</v>
      </c>
      <c r="BA131" s="344" t="s">
        <v>3734</v>
      </c>
      <c r="BB131" s="251">
        <f>'PolyU Score Calculation'!X41</f>
        <v>10</v>
      </c>
      <c r="BC131" s="251">
        <f>'PolyU Score Calculation'!Y41</f>
        <v>10</v>
      </c>
      <c r="BD131" s="251">
        <f>'PolyU Score Calculation'!Z41</f>
        <v>10</v>
      </c>
      <c r="BE131" s="251">
        <f>'PolyU Score Calculation'!AA41</f>
        <v>10</v>
      </c>
      <c r="BF131" s="251">
        <f>'PolyU Score Calculation'!AB41</f>
        <v>5</v>
      </c>
      <c r="BG131" s="251">
        <f>'PolyU Score Calculation'!AC41</f>
        <v>10</v>
      </c>
      <c r="BH131" s="251">
        <f>'PolyU Score Calculation'!AD41</f>
        <v>5</v>
      </c>
      <c r="BI131" s="251">
        <f>'PolyU Score Calculation'!AE41</f>
        <v>5</v>
      </c>
      <c r="BJ131" s="251">
        <f>'PolyU Score Calculation'!AF41</f>
        <v>5.50000000001</v>
      </c>
      <c r="BK131" s="251">
        <f>'PolyU Score Calculation'!AG41</f>
        <v>4.00000000002</v>
      </c>
      <c r="BL131" s="251">
        <f>'PolyU Score Calculation'!AH41</f>
        <v>4.00000000003</v>
      </c>
      <c r="BM131" s="251">
        <f>'PolyU Score Calculation'!AI41</f>
        <v>4.00000000004</v>
      </c>
      <c r="BN131" s="251">
        <f>'PolyU Score Calculation'!AJ41</f>
        <v>5.0000000000000002E-11</v>
      </c>
      <c r="BO131" s="251">
        <f>'PolyU Score Calculation'!AK41</f>
        <v>4.00000000006</v>
      </c>
      <c r="BP131" s="251">
        <f>'PolyU Score Calculation'!AL41</f>
        <v>4.00000000007</v>
      </c>
      <c r="BQ131" s="251">
        <f>'PolyU Score Calculation'!AM41</f>
        <v>4.00000000008</v>
      </c>
      <c r="BR131" s="251">
        <f>'PolyU Score Calculation'!AN41</f>
        <v>55.000000000100002</v>
      </c>
      <c r="BS131" s="251">
        <f>'PolyU Score Calculation'!AO41</f>
        <v>40.000000000200004</v>
      </c>
      <c r="BT131" s="251">
        <f>'PolyU Score Calculation'!AP41</f>
        <v>40.000000000299998</v>
      </c>
      <c r="BU131" s="251">
        <f>'PolyU Score Calculation'!AQ41</f>
        <v>40.0000000004</v>
      </c>
      <c r="BV131" s="251">
        <f>'PolyU Score Calculation'!AR41</f>
        <v>2.5000000000000002E-10</v>
      </c>
      <c r="BW131" s="251">
        <f>'PolyU Score Calculation'!AS41</f>
        <v>40.000000000599996</v>
      </c>
      <c r="BX131" s="251">
        <f>'PolyU Score Calculation'!AT41</f>
        <v>20.000000000349999</v>
      </c>
      <c r="BY131" s="251">
        <f>'PolyU Score Calculation'!AU41</f>
        <v>20.0000000004</v>
      </c>
      <c r="BZ131" s="251" t="b">
        <f>'PolyU Score Calculation'!AV41</f>
        <v>1</v>
      </c>
      <c r="CA131" s="251" t="b">
        <f>'PolyU Score Calculation'!AW41</f>
        <v>1</v>
      </c>
      <c r="CB131" s="251" t="b">
        <f>'PolyU Score Calculation'!AX41</f>
        <v>1</v>
      </c>
      <c r="CC131" s="251" t="b">
        <f>'PolyU Score Calculation'!AY41</f>
        <v>1</v>
      </c>
      <c r="CD131" s="251" t="b">
        <f>'PolyU Score Calculation'!AZ41</f>
        <v>0</v>
      </c>
      <c r="CE131" s="251" t="b">
        <f>'PolyU Score Calculation'!BA41</f>
        <v>1</v>
      </c>
      <c r="CF131" s="251" t="b">
        <f>'PolyU Score Calculation'!BB41</f>
        <v>0</v>
      </c>
      <c r="CG131" s="251" t="b">
        <f>'PolyU Score Calculation'!BC41</f>
        <v>1</v>
      </c>
      <c r="CH131" s="251">
        <f>'PolyU Score Calculation'!BD41</f>
        <v>10</v>
      </c>
      <c r="CI131" s="251">
        <f>'PolyU Score Calculation'!BE41</f>
        <v>10</v>
      </c>
      <c r="CJ131" s="251">
        <f>'PolyU Score Calculation'!BF41</f>
        <v>10</v>
      </c>
      <c r="CK131" s="251">
        <f>'PolyU Score Calculation'!BG41</f>
        <v>10</v>
      </c>
      <c r="CL131" s="251">
        <f>'PolyU Score Calculation'!BH41</f>
        <v>5</v>
      </c>
      <c r="CM131" s="251">
        <f>'PolyU Score Calculation'!BI41</f>
        <v>10</v>
      </c>
      <c r="CN131" s="251">
        <f>'PolyU Score Calculation'!BJ41</f>
        <v>5</v>
      </c>
      <c r="CO131" s="251">
        <f>'PolyU Score Calculation'!BK41</f>
        <v>5</v>
      </c>
      <c r="CP131" s="251">
        <f>'PolyU Score Calculation'!BL41</f>
        <v>5.50000000001</v>
      </c>
      <c r="CQ131" s="251">
        <f>'PolyU Score Calculation'!BM41</f>
        <v>4.00000000002</v>
      </c>
      <c r="CR131" s="251">
        <f>'PolyU Score Calculation'!BN41</f>
        <v>5.50000000003</v>
      </c>
      <c r="CS131" s="251">
        <f>'PolyU Score Calculation'!BO41</f>
        <v>4.00000000004</v>
      </c>
      <c r="CT131" s="251">
        <f>'PolyU Score Calculation'!BP41</f>
        <v>5.0000000000000002E-11</v>
      </c>
      <c r="CU131" s="251">
        <f>'PolyU Score Calculation'!BQ41</f>
        <v>4.00000000006</v>
      </c>
      <c r="CV131" s="251">
        <f>'PolyU Score Calculation'!BR41</f>
        <v>4.00000000007</v>
      </c>
      <c r="CW131" s="251">
        <f>'PolyU Score Calculation'!BS41</f>
        <v>3.00000000008</v>
      </c>
      <c r="CX131" s="251">
        <f>'PolyU Score Calculation'!BT41</f>
        <v>55.000000000100002</v>
      </c>
      <c r="CY131" s="251">
        <f>'PolyU Score Calculation'!BU41</f>
        <v>40.000000000200004</v>
      </c>
      <c r="CZ131" s="251">
        <f>'PolyU Score Calculation'!BV41</f>
        <v>55.000000000299998</v>
      </c>
      <c r="DA131" s="251">
        <f>'PolyU Score Calculation'!BW41</f>
        <v>40.0000000004</v>
      </c>
      <c r="DB131" s="251">
        <f>'PolyU Score Calculation'!BX41</f>
        <v>2.5000000000000002E-10</v>
      </c>
      <c r="DC131" s="251">
        <f>'PolyU Score Calculation'!BY41</f>
        <v>40.000000000599996</v>
      </c>
      <c r="DD131" s="251">
        <f>'PolyU Score Calculation'!BZ41</f>
        <v>20.000000000349999</v>
      </c>
      <c r="DE131" s="251">
        <f>'PolyU Score Calculation'!CA41</f>
        <v>15.0000000004</v>
      </c>
      <c r="DF131" s="251" t="b">
        <f>'PolyU Score Calculation'!CB41</f>
        <v>1</v>
      </c>
      <c r="DG131" s="251" t="b">
        <f>'PolyU Score Calculation'!CC41</f>
        <v>1</v>
      </c>
      <c r="DH131" s="251" t="b">
        <f>'PolyU Score Calculation'!CD41</f>
        <v>1</v>
      </c>
      <c r="DI131" s="251" t="b">
        <f>'PolyU Score Calculation'!CE41</f>
        <v>1</v>
      </c>
      <c r="DJ131" s="251" t="b">
        <f>'PolyU Score Calculation'!CF41</f>
        <v>0</v>
      </c>
      <c r="DK131" s="251" t="b">
        <f>'PolyU Score Calculation'!CG41</f>
        <v>1</v>
      </c>
      <c r="DL131" s="251" t="b">
        <f>'PolyU Score Calculation'!CH41</f>
        <v>1</v>
      </c>
      <c r="DM131" s="251" t="b">
        <f>'PolyU Score Calculation'!CI41</f>
        <v>0</v>
      </c>
    </row>
    <row r="132" spans="1:149" s="251" customFormat="1" x14ac:dyDescent="0.3">
      <c r="A132" s="251" t="str">
        <f>'PolyU Score Calculation'!A42</f>
        <v>JS3478</v>
      </c>
      <c r="B132" s="251" t="s">
        <v>2246</v>
      </c>
      <c r="C132" s="251" t="str">
        <f>IF('PolyU Score Calculation'!B42=0,"",'PolyU Score Calculation'!B42)</f>
        <v>醫療及社會科學院</v>
      </c>
      <c r="D132" s="251" t="str">
        <f>IF('PolyU Score Calculation'!C42=0,"",'PolyU Score Calculation'!C42)</f>
        <v>醫療化驗科學及放射學(榮譽)理學士組合課程 - 醫療化驗科學(榮譽)理學士</v>
      </c>
      <c r="E132" s="251" t="str">
        <f>IF('PolyU Score Calculation'!E42=0,"",'PolyU Score Calculation'!E42)</f>
        <v>Best 6</v>
      </c>
      <c r="F132" s="251" t="s">
        <v>1978</v>
      </c>
      <c r="G132" s="251">
        <f>'PolyU Score Calculation'!W42</f>
        <v>323.00000000258001</v>
      </c>
      <c r="H132" s="251">
        <f>'PolyU Score Calculation'!V42</f>
        <v>312.00000000215005</v>
      </c>
      <c r="I132" s="251" t="s">
        <v>3034</v>
      </c>
      <c r="J132" s="251" t="s">
        <v>3035</v>
      </c>
      <c r="K132" s="344" t="s">
        <v>3048</v>
      </c>
      <c r="L132" s="344" t="s">
        <v>1970</v>
      </c>
      <c r="M132" s="344" t="s">
        <v>1970</v>
      </c>
      <c r="N132" s="251" t="str">
        <f>'PolyU Score Calculation'!M42</f>
        <v>JS3478</v>
      </c>
      <c r="O132" s="251" t="str">
        <f>'PolyU Score Calculation'!N42</f>
        <v>醫療化驗科學(榮譽)理學士學位</v>
      </c>
      <c r="P132" s="251" t="str">
        <f>'PolyU Score Calculation'!O42</f>
        <v>Best 6</v>
      </c>
      <c r="Q132" s="251" t="str">
        <f>'PolyU Score Calculation'!P42</f>
        <v>x10: 英文、數學、M1/2、生物、化學、組合科學(生物、化學)</v>
      </c>
      <c r="R132" s="251" t="str">
        <f>'PolyU Score Calculation'!Q42</f>
        <v>x7: 中文、通識</v>
      </c>
      <c r="S132" s="251" t="str">
        <f>'PolyU Score Calculation'!R42</f>
        <v>x5: 其他科目</v>
      </c>
      <c r="T132" s="251" t="str">
        <f>IF('PolyU Score Calculation'!D42=0,"",'PolyU Score Calculation'!D42)</f>
        <v>MED LAB SCI</v>
      </c>
      <c r="U132" s="251" t="s">
        <v>2165</v>
      </c>
      <c r="V132" s="251">
        <f>IF('PolyU Score Calculation'!T42=0,"",'PolyU Score Calculation'!T42)</f>
        <v>36.299999999999997</v>
      </c>
      <c r="W132" s="251">
        <f>'PolyU Score Calculation'!U42</f>
        <v>36.299999999999997</v>
      </c>
      <c r="X132" s="344">
        <f>'A123'!J140</f>
        <v>60</v>
      </c>
      <c r="Y132" s="344">
        <f>'A123'!K140</f>
        <v>54</v>
      </c>
      <c r="Z132" s="344">
        <f>'A123'!L140</f>
        <v>4.1730769230769234</v>
      </c>
      <c r="AA132" s="251" t="s">
        <v>2165</v>
      </c>
      <c r="AB132" s="344" t="str">
        <f>入學要求!X141</f>
        <v>/</v>
      </c>
      <c r="AC132" s="344" t="str">
        <f>入學要求!Y141</f>
        <v>/</v>
      </c>
      <c r="AD132" s="251" t="str">
        <f>'PolyU Score Calculation'!E42</f>
        <v>Best 6</v>
      </c>
      <c r="AE132" s="251" t="s">
        <v>1970</v>
      </c>
      <c r="AF132" s="251" t="s">
        <v>1970</v>
      </c>
      <c r="AG132" s="344" t="str">
        <f>'PolyU Score Calculation'!I42</f>
        <v>x10: 英文、數學、M1/2、生物、化學、組合科學(生物、化學)</v>
      </c>
      <c r="AH132" s="344" t="str">
        <f>'PolyU Score Calculation'!J42</f>
        <v>x7: 中文、通識</v>
      </c>
      <c r="AI132" s="344" t="str">
        <f>'PolyU Score Calculation'!K42</f>
        <v>x5: 其他科目</v>
      </c>
      <c r="AJ132" s="251" t="s">
        <v>1970</v>
      </c>
      <c r="AK132" s="251" t="s">
        <v>1970</v>
      </c>
      <c r="AL132" s="251" t="s">
        <v>1970</v>
      </c>
      <c r="AM132" s="251" t="s">
        <v>3043</v>
      </c>
      <c r="AN132" s="251" t="str">
        <f t="shared" si="405"/>
        <v>JS3478 醫療化驗科學(榮譽)理學士學位</v>
      </c>
      <c r="AO132" s="251" t="s">
        <v>1970</v>
      </c>
      <c r="AP132" s="251" t="s">
        <v>1970</v>
      </c>
      <c r="AQ132" s="344" t="s">
        <v>1970</v>
      </c>
      <c r="AR132" s="428" t="s">
        <v>2150</v>
      </c>
      <c r="AS132" s="251" t="s">
        <v>3608</v>
      </c>
      <c r="AT132" s="251" t="s">
        <v>1970</v>
      </c>
      <c r="AU132" s="251" t="s">
        <v>1970</v>
      </c>
      <c r="AV132" s="344" t="s">
        <v>3728</v>
      </c>
      <c r="AW132" s="344" t="s">
        <v>3726</v>
      </c>
      <c r="AX132" s="344" t="s">
        <v>3729</v>
      </c>
      <c r="AY132" s="344" t="s">
        <v>3730</v>
      </c>
      <c r="AZ132" s="344" t="s">
        <v>3732</v>
      </c>
      <c r="BA132" s="344" t="s">
        <v>3734</v>
      </c>
      <c r="BB132" s="251">
        <f>'PolyU Score Calculation'!X42</f>
        <v>7</v>
      </c>
      <c r="BC132" s="251">
        <f>'PolyU Score Calculation'!Y42</f>
        <v>10</v>
      </c>
      <c r="BD132" s="251">
        <f>'PolyU Score Calculation'!Z42</f>
        <v>10</v>
      </c>
      <c r="BE132" s="251">
        <f>'PolyU Score Calculation'!AA42</f>
        <v>7</v>
      </c>
      <c r="BF132" s="251">
        <f>'PolyU Score Calculation'!AB42</f>
        <v>10</v>
      </c>
      <c r="BG132" s="251">
        <f>'PolyU Score Calculation'!AC42</f>
        <v>10</v>
      </c>
      <c r="BH132" s="251">
        <f>'PolyU Score Calculation'!AD42</f>
        <v>10</v>
      </c>
      <c r="BI132" s="251">
        <f>'PolyU Score Calculation'!AE42</f>
        <v>5</v>
      </c>
      <c r="BJ132" s="251">
        <f>'PolyU Score Calculation'!AF42</f>
        <v>7.00000000001</v>
      </c>
      <c r="BK132" s="251">
        <f>'PolyU Score Calculation'!AG42</f>
        <v>5.50000000002</v>
      </c>
      <c r="BL132" s="251">
        <f>'PolyU Score Calculation'!AH42</f>
        <v>7.00000000003</v>
      </c>
      <c r="BM132" s="251">
        <f>'PolyU Score Calculation'!AI42</f>
        <v>4.00000000004</v>
      </c>
      <c r="BN132" s="251">
        <f>'PolyU Score Calculation'!AJ42</f>
        <v>5.0000000000000002E-11</v>
      </c>
      <c r="BO132" s="251">
        <f>'PolyU Score Calculation'!AK42</f>
        <v>5.50000000006</v>
      </c>
      <c r="BP132" s="251">
        <f>'PolyU Score Calculation'!AL42</f>
        <v>5.50000000007</v>
      </c>
      <c r="BQ132" s="251">
        <f>'PolyU Score Calculation'!AM42</f>
        <v>5.50000000008</v>
      </c>
      <c r="BR132" s="251">
        <f>'PolyU Score Calculation'!AN42</f>
        <v>49.000000000070003</v>
      </c>
      <c r="BS132" s="251">
        <f>'PolyU Score Calculation'!AO42</f>
        <v>55.000000000200004</v>
      </c>
      <c r="BT132" s="251">
        <f>'PolyU Score Calculation'!AP42</f>
        <v>70.000000000300005</v>
      </c>
      <c r="BU132" s="251">
        <f>'PolyU Score Calculation'!AQ42</f>
        <v>28.00000000028</v>
      </c>
      <c r="BV132" s="251">
        <f>'PolyU Score Calculation'!AR42</f>
        <v>5.0000000000000003E-10</v>
      </c>
      <c r="BW132" s="251">
        <f>'PolyU Score Calculation'!AS42</f>
        <v>55.000000000599996</v>
      </c>
      <c r="BX132" s="251">
        <f>'PolyU Score Calculation'!AT42</f>
        <v>55.000000000699998</v>
      </c>
      <c r="BY132" s="251">
        <f>'PolyU Score Calculation'!AU42</f>
        <v>27.5000000004</v>
      </c>
      <c r="BZ132" s="251" t="b">
        <f>'PolyU Score Calculation'!AV42</f>
        <v>1</v>
      </c>
      <c r="CA132" s="251" t="b">
        <f>'PolyU Score Calculation'!AW42</f>
        <v>1</v>
      </c>
      <c r="CB132" s="251" t="b">
        <f>'PolyU Score Calculation'!AX42</f>
        <v>1</v>
      </c>
      <c r="CC132" s="251" t="b">
        <f>'PolyU Score Calculation'!AY42</f>
        <v>1</v>
      </c>
      <c r="CD132" s="251" t="b">
        <f>'PolyU Score Calculation'!AZ42</f>
        <v>0</v>
      </c>
      <c r="CE132" s="251" t="b">
        <f>'PolyU Score Calculation'!BA42</f>
        <v>1</v>
      </c>
      <c r="CF132" s="251" t="b">
        <f>'PolyU Score Calculation'!BB42</f>
        <v>1</v>
      </c>
      <c r="CG132" s="251" t="b">
        <f>'PolyU Score Calculation'!BC42</f>
        <v>0</v>
      </c>
      <c r="CH132" s="251">
        <f>'PolyU Score Calculation'!BD42</f>
        <v>7</v>
      </c>
      <c r="CI132" s="251">
        <f>'PolyU Score Calculation'!BE42</f>
        <v>10</v>
      </c>
      <c r="CJ132" s="251">
        <f>'PolyU Score Calculation'!BF42</f>
        <v>10</v>
      </c>
      <c r="CK132" s="251">
        <f>'PolyU Score Calculation'!BG42</f>
        <v>7</v>
      </c>
      <c r="CL132" s="251">
        <f>'PolyU Score Calculation'!BH42</f>
        <v>10</v>
      </c>
      <c r="CM132" s="251">
        <f>'PolyU Score Calculation'!BI42</f>
        <v>10</v>
      </c>
      <c r="CN132" s="251">
        <f>'PolyU Score Calculation'!BJ42</f>
        <v>10</v>
      </c>
      <c r="CO132" s="251">
        <f>'PolyU Score Calculation'!BK42</f>
        <v>5</v>
      </c>
      <c r="CP132" s="251">
        <f>'PolyU Score Calculation'!BL42</f>
        <v>4.00000000001</v>
      </c>
      <c r="CQ132" s="251">
        <f>'PolyU Score Calculation'!BM42</f>
        <v>7.00000000002</v>
      </c>
      <c r="CR132" s="251">
        <f>'PolyU Score Calculation'!BN42</f>
        <v>7.00000000003</v>
      </c>
      <c r="CS132" s="251">
        <f>'PolyU Score Calculation'!BO42</f>
        <v>4.00000000004</v>
      </c>
      <c r="CT132" s="251">
        <f>'PolyU Score Calculation'!BP42</f>
        <v>3.00000000005</v>
      </c>
      <c r="CU132" s="251">
        <f>'PolyU Score Calculation'!BQ42</f>
        <v>7.00000000006</v>
      </c>
      <c r="CV132" s="251">
        <f>'PolyU Score Calculation'!BR42</f>
        <v>5.50000000007</v>
      </c>
      <c r="CW132" s="251">
        <f>'PolyU Score Calculation'!BS42</f>
        <v>5.50000000008</v>
      </c>
      <c r="CX132" s="251">
        <f>'PolyU Score Calculation'!BT42</f>
        <v>28.000000000069999</v>
      </c>
      <c r="CY132" s="251">
        <f>'PolyU Score Calculation'!BU42</f>
        <v>70.000000000200004</v>
      </c>
      <c r="CZ132" s="251">
        <f>'PolyU Score Calculation'!BV42</f>
        <v>70.000000000300005</v>
      </c>
      <c r="DA132" s="251">
        <f>'PolyU Score Calculation'!BW42</f>
        <v>28.00000000028</v>
      </c>
      <c r="DB132" s="251">
        <f>'PolyU Score Calculation'!BX42</f>
        <v>30.000000000500002</v>
      </c>
      <c r="DC132" s="251">
        <f>'PolyU Score Calculation'!BY42</f>
        <v>70.000000000599996</v>
      </c>
      <c r="DD132" s="251">
        <f>'PolyU Score Calculation'!BZ42</f>
        <v>55.000000000699998</v>
      </c>
      <c r="DE132" s="251">
        <f>'PolyU Score Calculation'!CA42</f>
        <v>27.5000000004</v>
      </c>
      <c r="DF132" s="251" t="b">
        <f>'PolyU Score Calculation'!CB42</f>
        <v>0</v>
      </c>
      <c r="DG132" s="251" t="b">
        <f>'PolyU Score Calculation'!CC42</f>
        <v>1</v>
      </c>
      <c r="DH132" s="251" t="b">
        <f>'PolyU Score Calculation'!CD42</f>
        <v>1</v>
      </c>
      <c r="DI132" s="251" t="b">
        <f>'PolyU Score Calculation'!CE42</f>
        <v>1</v>
      </c>
      <c r="DJ132" s="251" t="b">
        <f>'PolyU Score Calculation'!CF42</f>
        <v>1</v>
      </c>
      <c r="DK132" s="251" t="b">
        <f>'PolyU Score Calculation'!CG42</f>
        <v>1</v>
      </c>
      <c r="DL132" s="251" t="b">
        <f>'PolyU Score Calculation'!CH42</f>
        <v>1</v>
      </c>
      <c r="DM132" s="251" t="b">
        <f>'PolyU Score Calculation'!CI42</f>
        <v>0</v>
      </c>
    </row>
    <row r="133" spans="1:149" s="251" customFormat="1" x14ac:dyDescent="0.3">
      <c r="A133" s="251" t="str">
        <f>'PolyU Score Calculation'!A43</f>
        <v>JS3612</v>
      </c>
      <c r="B133" s="251" t="s">
        <v>2246</v>
      </c>
      <c r="C133" s="251" t="str">
        <f>IF('PolyU Score Calculation'!B43=0,"",'PolyU Score Calculation'!B43)</f>
        <v>醫療及社會科學院</v>
      </c>
      <c r="D133" s="251" t="str">
        <f>IF('PolyU Score Calculation'!C43=0,"",'PolyU Score Calculation'!C43)</f>
        <v>醫療化驗科學及放射學(榮譽)理學士組合課程 - 放射學(榮譽)理學士</v>
      </c>
      <c r="E133" s="251" t="str">
        <f>IF('PolyU Score Calculation'!E43=0,"",'PolyU Score Calculation'!E43)</f>
        <v>Best 6</v>
      </c>
      <c r="F133" s="251" t="s">
        <v>1978</v>
      </c>
      <c r="G133" s="251">
        <f>'PolyU Score Calculation'!W43</f>
        <v>360.00000000270006</v>
      </c>
      <c r="H133" s="251">
        <f>'PolyU Score Calculation'!V43</f>
        <v>345.00000000270006</v>
      </c>
      <c r="I133" s="251" t="s">
        <v>3034</v>
      </c>
      <c r="J133" s="251" t="s">
        <v>3035</v>
      </c>
      <c r="K133" s="344" t="s">
        <v>3048</v>
      </c>
      <c r="L133" s="344" t="s">
        <v>1970</v>
      </c>
      <c r="M133" s="344" t="s">
        <v>1970</v>
      </c>
      <c r="N133" s="251" t="str">
        <f>'PolyU Score Calculation'!M43</f>
        <v>JS3612</v>
      </c>
      <c r="O133" s="251" t="str">
        <f>'PolyU Score Calculation'!N43</f>
        <v>放射學(榮譽)理學士學位</v>
      </c>
      <c r="P133" s="251" t="str">
        <f>'PolyU Score Calculation'!O43</f>
        <v>Best 6</v>
      </c>
      <c r="Q133" s="251" t="str">
        <f>'PolyU Score Calculation'!P43</f>
        <v>x10: 中文、英文、數學、生物、化學、物理、組合科學</v>
      </c>
      <c r="R133" s="251" t="str">
        <f>'PolyU Score Calculation'!Q43</f>
        <v>x7: 通識</v>
      </c>
      <c r="S133" s="251" t="str">
        <f>'PolyU Score Calculation'!R43</f>
        <v>x5: 其他科目</v>
      </c>
      <c r="T133" s="251" t="str">
        <f>IF('PolyU Score Calculation'!D43=0,"",'PolyU Score Calculation'!D43)</f>
        <v>RADIOGRAPHY</v>
      </c>
      <c r="U133" s="251" t="s">
        <v>2165</v>
      </c>
      <c r="V133" s="251">
        <f>IF('PolyU Score Calculation'!T43=0,"",'PolyU Score Calculation'!T43)</f>
        <v>38.4</v>
      </c>
      <c r="W133" s="251">
        <f>'PolyU Score Calculation'!U43</f>
        <v>38.4</v>
      </c>
      <c r="X133" s="344">
        <f>'A123'!J141</f>
        <v>115</v>
      </c>
      <c r="Y133" s="344">
        <f>'A123'!K141</f>
        <v>104</v>
      </c>
      <c r="Z133" s="344">
        <f>'A123'!L141</f>
        <v>5.9019607843137258</v>
      </c>
      <c r="AA133" s="251" t="s">
        <v>2165</v>
      </c>
      <c r="AB133" s="344" t="str">
        <f>入學要求!X142</f>
        <v>/</v>
      </c>
      <c r="AC133" s="344" t="str">
        <f>入學要求!Y142</f>
        <v>/</v>
      </c>
      <c r="AD133" s="251" t="str">
        <f>'PolyU Score Calculation'!E43</f>
        <v>Best 6</v>
      </c>
      <c r="AE133" s="251" t="s">
        <v>1970</v>
      </c>
      <c r="AF133" s="251" t="s">
        <v>1970</v>
      </c>
      <c r="AG133" s="344" t="str">
        <f>'PolyU Score Calculation'!I43</f>
        <v>x10: 中文、英文、數學、生物、化學、物理、組合科學</v>
      </c>
      <c r="AH133" s="344" t="str">
        <f>'PolyU Score Calculation'!J43</f>
        <v>x7: 通識</v>
      </c>
      <c r="AI133" s="344" t="str">
        <f>'PolyU Score Calculation'!K43</f>
        <v>x5: 其他科目</v>
      </c>
      <c r="AJ133" s="251" t="s">
        <v>1970</v>
      </c>
      <c r="AK133" s="251" t="s">
        <v>1970</v>
      </c>
      <c r="AL133" s="251" t="s">
        <v>1970</v>
      </c>
      <c r="AM133" s="251" t="s">
        <v>3043</v>
      </c>
      <c r="AN133" s="251" t="str">
        <f t="shared" si="405"/>
        <v>JS3612 放射學(榮譽)理學士學位</v>
      </c>
      <c r="AO133" s="251" t="s">
        <v>1970</v>
      </c>
      <c r="AP133" s="251" t="s">
        <v>1970</v>
      </c>
      <c r="AQ133" s="344" t="s">
        <v>1970</v>
      </c>
      <c r="AR133" s="428" t="s">
        <v>2150</v>
      </c>
      <c r="AS133" s="251" t="s">
        <v>3608</v>
      </c>
      <c r="AT133" s="251" t="s">
        <v>1970</v>
      </c>
      <c r="AU133" s="251" t="s">
        <v>1970</v>
      </c>
      <c r="AV133" s="344" t="s">
        <v>3728</v>
      </c>
      <c r="AW133" s="344" t="s">
        <v>3726</v>
      </c>
      <c r="AX133" s="344" t="s">
        <v>3729</v>
      </c>
      <c r="AY133" s="344" t="s">
        <v>3730</v>
      </c>
      <c r="AZ133" s="344" t="s">
        <v>3732</v>
      </c>
      <c r="BA133" s="344" t="s">
        <v>3734</v>
      </c>
      <c r="BB133" s="251">
        <f>'PolyU Score Calculation'!X43</f>
        <v>10</v>
      </c>
      <c r="BC133" s="251">
        <f>'PolyU Score Calculation'!Y43</f>
        <v>10</v>
      </c>
      <c r="BD133" s="251">
        <f>'PolyU Score Calculation'!Z43</f>
        <v>10</v>
      </c>
      <c r="BE133" s="251">
        <f>'PolyU Score Calculation'!AA43</f>
        <v>7</v>
      </c>
      <c r="BF133" s="251">
        <f>'PolyU Score Calculation'!AB43</f>
        <v>5</v>
      </c>
      <c r="BG133" s="251">
        <f>'PolyU Score Calculation'!AC43</f>
        <v>10</v>
      </c>
      <c r="BH133" s="251">
        <f>'PolyU Score Calculation'!AD43</f>
        <v>10</v>
      </c>
      <c r="BI133" s="251">
        <f>'PolyU Score Calculation'!AE43</f>
        <v>10</v>
      </c>
      <c r="BJ133" s="251">
        <f>'PolyU Score Calculation'!AF43</f>
        <v>7.00000000001</v>
      </c>
      <c r="BK133" s="251">
        <f>'PolyU Score Calculation'!AG43</f>
        <v>5.50000000002</v>
      </c>
      <c r="BL133" s="251">
        <f>'PolyU Score Calculation'!AH43</f>
        <v>7.00000000003</v>
      </c>
      <c r="BM133" s="251">
        <f>'PolyU Score Calculation'!AI43</f>
        <v>4.00000000004</v>
      </c>
      <c r="BN133" s="251">
        <f>'PolyU Score Calculation'!AJ43</f>
        <v>5.0000000000000002E-11</v>
      </c>
      <c r="BO133" s="251">
        <f>'PolyU Score Calculation'!AK43</f>
        <v>7.00000000006</v>
      </c>
      <c r="BP133" s="251">
        <f>'PolyU Score Calculation'!AL43</f>
        <v>4.00000000007</v>
      </c>
      <c r="BQ133" s="251">
        <f>'PolyU Score Calculation'!AM43</f>
        <v>4.00000000008</v>
      </c>
      <c r="BR133" s="251">
        <f>'PolyU Score Calculation'!AN43</f>
        <v>70.000000000100002</v>
      </c>
      <c r="BS133" s="251">
        <f>'PolyU Score Calculation'!AO43</f>
        <v>55.000000000200004</v>
      </c>
      <c r="BT133" s="251">
        <f>'PolyU Score Calculation'!AP43</f>
        <v>70.000000000300005</v>
      </c>
      <c r="BU133" s="251">
        <f>'PolyU Score Calculation'!AQ43</f>
        <v>28.00000000028</v>
      </c>
      <c r="BV133" s="251">
        <f>'PolyU Score Calculation'!AR43</f>
        <v>2.5000000000000002E-10</v>
      </c>
      <c r="BW133" s="251">
        <f>'PolyU Score Calculation'!AS43</f>
        <v>70.000000000599996</v>
      </c>
      <c r="BX133" s="251">
        <f>'PolyU Score Calculation'!AT43</f>
        <v>40.000000000699998</v>
      </c>
      <c r="BY133" s="251">
        <f>'PolyU Score Calculation'!AU43</f>
        <v>40.0000000008</v>
      </c>
      <c r="BZ133" s="251" t="b">
        <f>'PolyU Score Calculation'!AV43</f>
        <v>1</v>
      </c>
      <c r="CA133" s="251" t="b">
        <f>'PolyU Score Calculation'!AW43</f>
        <v>1</v>
      </c>
      <c r="CB133" s="251" t="b">
        <f>'PolyU Score Calculation'!AX43</f>
        <v>1</v>
      </c>
      <c r="CC133" s="251" t="b">
        <f>'PolyU Score Calculation'!AY43</f>
        <v>0</v>
      </c>
      <c r="CD133" s="251" t="b">
        <f>'PolyU Score Calculation'!AZ43</f>
        <v>0</v>
      </c>
      <c r="CE133" s="251" t="b">
        <f>'PolyU Score Calculation'!BA43</f>
        <v>1</v>
      </c>
      <c r="CF133" s="251" t="b">
        <f>'PolyU Score Calculation'!BB43</f>
        <v>1</v>
      </c>
      <c r="CG133" s="251" t="b">
        <f>'PolyU Score Calculation'!BC43</f>
        <v>1</v>
      </c>
      <c r="CH133" s="251">
        <f>'PolyU Score Calculation'!BD43</f>
        <v>10</v>
      </c>
      <c r="CI133" s="251">
        <f>'PolyU Score Calculation'!BE43</f>
        <v>10</v>
      </c>
      <c r="CJ133" s="251">
        <f>'PolyU Score Calculation'!BF43</f>
        <v>10</v>
      </c>
      <c r="CK133" s="251">
        <f>'PolyU Score Calculation'!BG43</f>
        <v>7</v>
      </c>
      <c r="CL133" s="251">
        <f>'PolyU Score Calculation'!BH43</f>
        <v>5</v>
      </c>
      <c r="CM133" s="251">
        <f>'PolyU Score Calculation'!BI43</f>
        <v>10</v>
      </c>
      <c r="CN133" s="251">
        <f>'PolyU Score Calculation'!BJ43</f>
        <v>10</v>
      </c>
      <c r="CO133" s="251">
        <f>'PolyU Score Calculation'!BK43</f>
        <v>10</v>
      </c>
      <c r="CP133" s="251">
        <f>'PolyU Score Calculation'!BL43</f>
        <v>5.50000000001</v>
      </c>
      <c r="CQ133" s="251">
        <f>'PolyU Score Calculation'!BM43</f>
        <v>5.50000000002</v>
      </c>
      <c r="CR133" s="251">
        <f>'PolyU Score Calculation'!BN43</f>
        <v>7.00000000003</v>
      </c>
      <c r="CS133" s="251">
        <f>'PolyU Score Calculation'!BO43</f>
        <v>5.50000000004</v>
      </c>
      <c r="CT133" s="251">
        <f>'PolyU Score Calculation'!BP43</f>
        <v>5.0000000000000002E-11</v>
      </c>
      <c r="CU133" s="251">
        <f>'PolyU Score Calculation'!BQ43</f>
        <v>7.00000000006</v>
      </c>
      <c r="CV133" s="251">
        <f>'PolyU Score Calculation'!BR43</f>
        <v>7.00000000007</v>
      </c>
      <c r="CW133" s="251">
        <f>'PolyU Score Calculation'!BS43</f>
        <v>4.00000000008</v>
      </c>
      <c r="CX133" s="251">
        <f>'PolyU Score Calculation'!BT43</f>
        <v>55.000000000100002</v>
      </c>
      <c r="CY133" s="251">
        <f>'PolyU Score Calculation'!BU43</f>
        <v>55.000000000200004</v>
      </c>
      <c r="CZ133" s="251">
        <f>'PolyU Score Calculation'!BV43</f>
        <v>70.000000000300005</v>
      </c>
      <c r="DA133" s="251">
        <f>'PolyU Score Calculation'!BW43</f>
        <v>38.500000000279996</v>
      </c>
      <c r="DB133" s="251">
        <f>'PolyU Score Calculation'!BX43</f>
        <v>2.5000000000000002E-10</v>
      </c>
      <c r="DC133" s="251">
        <f>'PolyU Score Calculation'!BY43</f>
        <v>70.000000000599996</v>
      </c>
      <c r="DD133" s="251">
        <f>'PolyU Score Calculation'!BZ43</f>
        <v>70.000000000699998</v>
      </c>
      <c r="DE133" s="251">
        <f>'PolyU Score Calculation'!CA43</f>
        <v>40.0000000008</v>
      </c>
      <c r="DF133" s="251" t="b">
        <f>'PolyU Score Calculation'!CB43</f>
        <v>1</v>
      </c>
      <c r="DG133" s="251" t="b">
        <f>'PolyU Score Calculation'!CC43</f>
        <v>1</v>
      </c>
      <c r="DH133" s="251" t="b">
        <f>'PolyU Score Calculation'!CD43</f>
        <v>1</v>
      </c>
      <c r="DI133" s="251" t="b">
        <f>'PolyU Score Calculation'!CE43</f>
        <v>0</v>
      </c>
      <c r="DJ133" s="251" t="b">
        <f>'PolyU Score Calculation'!CF43</f>
        <v>0</v>
      </c>
      <c r="DK133" s="251" t="b">
        <f>'PolyU Score Calculation'!CG43</f>
        <v>1</v>
      </c>
      <c r="DL133" s="251" t="b">
        <f>'PolyU Score Calculation'!CH43</f>
        <v>1</v>
      </c>
      <c r="DM133" s="251" t="b">
        <f>'PolyU Score Calculation'!CI43</f>
        <v>1</v>
      </c>
    </row>
    <row r="134" spans="1:149" s="251" customFormat="1" x14ac:dyDescent="0.3">
      <c r="A134" s="251" t="str">
        <f>'PolyU Score Calculation'!A44</f>
        <v>JS3624</v>
      </c>
      <c r="B134" s="251" t="s">
        <v>2246</v>
      </c>
      <c r="C134" s="251" t="str">
        <f>IF('PolyU Score Calculation'!B44=0,"",'PolyU Score Calculation'!B44)</f>
        <v>醫療及社會科學院</v>
      </c>
      <c r="D134" s="251" t="str">
        <f>IF('PolyU Score Calculation'!C44=0,"",'PolyU Score Calculation'!C44)</f>
        <v>康復治療科學(榮譽)理學士組合課程 - 職業治療學(榮譽)理學士</v>
      </c>
      <c r="E134" s="251" t="str">
        <f>IF('PolyU Score Calculation'!E44=0,"",'PolyU Score Calculation'!E44)</f>
        <v>Best 6</v>
      </c>
      <c r="F134" s="251" t="s">
        <v>1978</v>
      </c>
      <c r="G134" s="251">
        <f>'PolyU Score Calculation'!W44</f>
        <v>333.00000000209002</v>
      </c>
      <c r="H134" s="251">
        <f>'PolyU Score Calculation'!V44</f>
        <v>322.50000000209002</v>
      </c>
      <c r="I134" s="251" t="s">
        <v>3034</v>
      </c>
      <c r="J134" s="251" t="s">
        <v>3035</v>
      </c>
      <c r="K134" s="344" t="s">
        <v>3048</v>
      </c>
      <c r="L134" s="344" t="s">
        <v>1970</v>
      </c>
      <c r="M134" s="344" t="s">
        <v>1970</v>
      </c>
      <c r="N134" s="251" t="str">
        <f>'PolyU Score Calculation'!M44</f>
        <v>JS3624</v>
      </c>
      <c r="O134" s="251" t="str">
        <f>'PolyU Score Calculation'!N44</f>
        <v>職業治療學(榮譽)理學士學位</v>
      </c>
      <c r="P134" s="251" t="str">
        <f>'PolyU Score Calculation'!O44</f>
        <v>Best 6</v>
      </c>
      <c r="Q134" s="251" t="str">
        <f>'PolyU Score Calculation'!P44</f>
        <v>x10: 中文、英文、生物、物理、組合科學</v>
      </c>
      <c r="R134" s="251" t="str">
        <f>'PolyU Score Calculation'!Q44</f>
        <v>x7: 數學、通識</v>
      </c>
      <c r="S134" s="251" t="str">
        <f>'PolyU Score Calculation'!R44</f>
        <v>x5: 其他科目</v>
      </c>
      <c r="T134" s="251" t="str">
        <f>IF('PolyU Score Calculation'!D44=0,"",'PolyU Score Calculation'!D44)</f>
        <v>OCCUPATIONAL THERAPY</v>
      </c>
      <c r="U134" s="251" t="s">
        <v>2165</v>
      </c>
      <c r="V134" s="251">
        <f>IF('PolyU Score Calculation'!T44=0,"",'PolyU Score Calculation'!T44)</f>
        <v>37.799999999999997</v>
      </c>
      <c r="W134" s="251">
        <f>'PolyU Score Calculation'!U44</f>
        <v>37.799999999999997</v>
      </c>
      <c r="X134" s="344">
        <f>'A123'!J142</f>
        <v>100</v>
      </c>
      <c r="Y134" s="344">
        <f>'A123'!K142</f>
        <v>98</v>
      </c>
      <c r="Z134" s="344">
        <f>'A123'!L142</f>
        <v>3.28125</v>
      </c>
      <c r="AA134" s="251" t="s">
        <v>2165</v>
      </c>
      <c r="AB134" s="344" t="str">
        <f>入學要求!X143</f>
        <v>/</v>
      </c>
      <c r="AC134" s="344" t="str">
        <f>入學要求!Y143</f>
        <v>/</v>
      </c>
      <c r="AD134" s="251" t="str">
        <f>'PolyU Score Calculation'!E44</f>
        <v>Best 6</v>
      </c>
      <c r="AE134" s="251" t="s">
        <v>1970</v>
      </c>
      <c r="AF134" s="251" t="s">
        <v>1970</v>
      </c>
      <c r="AG134" s="344" t="str">
        <f>'PolyU Score Calculation'!I44</f>
        <v>x10: 中文、英文、生物、物理、組合科學</v>
      </c>
      <c r="AH134" s="344" t="str">
        <f>'PolyU Score Calculation'!J44</f>
        <v>x7: 數學、通識</v>
      </c>
      <c r="AI134" s="344" t="str">
        <f>'PolyU Score Calculation'!K44</f>
        <v>x5: 其他科目</v>
      </c>
      <c r="AJ134" s="251" t="s">
        <v>1970</v>
      </c>
      <c r="AK134" s="251" t="s">
        <v>1970</v>
      </c>
      <c r="AL134" s="251" t="s">
        <v>1970</v>
      </c>
      <c r="AM134" s="251" t="s">
        <v>3043</v>
      </c>
      <c r="AN134" s="251" t="str">
        <f t="shared" si="405"/>
        <v>JS3624 職業治療學(榮譽)理學士學位</v>
      </c>
      <c r="AO134" s="251" t="s">
        <v>1970</v>
      </c>
      <c r="AP134" s="251" t="s">
        <v>1970</v>
      </c>
      <c r="AQ134" s="344" t="s">
        <v>1970</v>
      </c>
      <c r="AR134" s="428" t="s">
        <v>2150</v>
      </c>
      <c r="AS134" s="251" t="s">
        <v>3610</v>
      </c>
      <c r="AT134" s="251" t="s">
        <v>1970</v>
      </c>
      <c r="AV134" s="344" t="s">
        <v>3728</v>
      </c>
      <c r="AW134" s="344" t="s">
        <v>3726</v>
      </c>
      <c r="AX134" s="344" t="s">
        <v>3729</v>
      </c>
      <c r="AY134" s="344" t="s">
        <v>3730</v>
      </c>
      <c r="AZ134" s="344" t="s">
        <v>3732</v>
      </c>
      <c r="BA134" s="344" t="s">
        <v>3734</v>
      </c>
      <c r="BB134" s="251">
        <f>'PolyU Score Calculation'!X44</f>
        <v>10</v>
      </c>
      <c r="BC134" s="251">
        <f>'PolyU Score Calculation'!Y44</f>
        <v>10</v>
      </c>
      <c r="BD134" s="251">
        <f>'PolyU Score Calculation'!Z44</f>
        <v>7</v>
      </c>
      <c r="BE134" s="251">
        <f>'PolyU Score Calculation'!AA44</f>
        <v>7</v>
      </c>
      <c r="BF134" s="251">
        <f>'PolyU Score Calculation'!AB44</f>
        <v>5</v>
      </c>
      <c r="BG134" s="251">
        <f>'PolyU Score Calculation'!AC44</f>
        <v>10</v>
      </c>
      <c r="BH134" s="251">
        <f>'PolyU Score Calculation'!AD44</f>
        <v>10</v>
      </c>
      <c r="BI134" s="251">
        <f>'PolyU Score Calculation'!AE44</f>
        <v>5</v>
      </c>
      <c r="BJ134" s="251">
        <f>'PolyU Score Calculation'!AF44</f>
        <v>7.00000000001</v>
      </c>
      <c r="BK134" s="251">
        <f>'PolyU Score Calculation'!AG44</f>
        <v>5.50000000002</v>
      </c>
      <c r="BL134" s="251">
        <f>'PolyU Score Calculation'!AH44</f>
        <v>5.50000000003</v>
      </c>
      <c r="BM134" s="251">
        <f>'PolyU Score Calculation'!AI44</f>
        <v>7.00000000004</v>
      </c>
      <c r="BN134" s="251">
        <f>'PolyU Score Calculation'!AJ44</f>
        <v>5.0000000000000002E-11</v>
      </c>
      <c r="BO134" s="251">
        <f>'PolyU Score Calculation'!AK44</f>
        <v>5.50000000006</v>
      </c>
      <c r="BP134" s="251">
        <f>'PolyU Score Calculation'!AL44</f>
        <v>5.50000000007</v>
      </c>
      <c r="BQ134" s="251">
        <f>'PolyU Score Calculation'!AM44</f>
        <v>5.50000000008</v>
      </c>
      <c r="BR134" s="251">
        <f>'PolyU Score Calculation'!AN44</f>
        <v>70.000000000100002</v>
      </c>
      <c r="BS134" s="251">
        <f>'PolyU Score Calculation'!AO44</f>
        <v>55.000000000200004</v>
      </c>
      <c r="BT134" s="251">
        <f>'PolyU Score Calculation'!AP44</f>
        <v>38.500000000210001</v>
      </c>
      <c r="BU134" s="251">
        <f>'PolyU Score Calculation'!AQ44</f>
        <v>49.000000000279996</v>
      </c>
      <c r="BV134" s="251">
        <f>'PolyU Score Calculation'!AR44</f>
        <v>2.5000000000000002E-10</v>
      </c>
      <c r="BW134" s="251">
        <f>'PolyU Score Calculation'!AS44</f>
        <v>55.000000000599996</v>
      </c>
      <c r="BX134" s="251">
        <f>'PolyU Score Calculation'!AT44</f>
        <v>55.000000000699998</v>
      </c>
      <c r="BY134" s="251">
        <f>'PolyU Score Calculation'!AU44</f>
        <v>27.5000000004</v>
      </c>
      <c r="BZ134" s="251" t="b">
        <f>'PolyU Score Calculation'!AV44</f>
        <v>1</v>
      </c>
      <c r="CA134" s="251" t="b">
        <f>'PolyU Score Calculation'!AW44</f>
        <v>1</v>
      </c>
      <c r="CB134" s="251" t="b">
        <f>'PolyU Score Calculation'!AX44</f>
        <v>1</v>
      </c>
      <c r="CC134" s="251" t="b">
        <f>'PolyU Score Calculation'!AY44</f>
        <v>1</v>
      </c>
      <c r="CD134" s="251" t="b">
        <f>'PolyU Score Calculation'!AZ44</f>
        <v>0</v>
      </c>
      <c r="CE134" s="251" t="b">
        <f>'PolyU Score Calculation'!BA44</f>
        <v>1</v>
      </c>
      <c r="CF134" s="251" t="b">
        <f>'PolyU Score Calculation'!BB44</f>
        <v>1</v>
      </c>
      <c r="CG134" s="251" t="b">
        <f>'PolyU Score Calculation'!BC44</f>
        <v>0</v>
      </c>
      <c r="CH134" s="251">
        <f>'PolyU Score Calculation'!BD44</f>
        <v>10</v>
      </c>
      <c r="CI134" s="251">
        <f>'PolyU Score Calculation'!BE44</f>
        <v>10</v>
      </c>
      <c r="CJ134" s="251">
        <f>'PolyU Score Calculation'!BF44</f>
        <v>7</v>
      </c>
      <c r="CK134" s="251">
        <f>'PolyU Score Calculation'!BG44</f>
        <v>7</v>
      </c>
      <c r="CL134" s="251">
        <f>'PolyU Score Calculation'!BH44</f>
        <v>5</v>
      </c>
      <c r="CM134" s="251">
        <f>'PolyU Score Calculation'!BI44</f>
        <v>10</v>
      </c>
      <c r="CN134" s="251">
        <f>'PolyU Score Calculation'!BJ44</f>
        <v>10</v>
      </c>
      <c r="CO134" s="251">
        <f>'PolyU Score Calculation'!BK44</f>
        <v>5</v>
      </c>
      <c r="CP134" s="251">
        <f>'PolyU Score Calculation'!BL44</f>
        <v>5.50000000001</v>
      </c>
      <c r="CQ134" s="251">
        <f>'PolyU Score Calculation'!BM44</f>
        <v>5.50000000002</v>
      </c>
      <c r="CR134" s="251">
        <f>'PolyU Score Calculation'!BN44</f>
        <v>7.00000000003</v>
      </c>
      <c r="CS134" s="251">
        <f>'PolyU Score Calculation'!BO44</f>
        <v>7.00000000004</v>
      </c>
      <c r="CT134" s="251">
        <f>'PolyU Score Calculation'!BP44</f>
        <v>5.0000000000000002E-11</v>
      </c>
      <c r="CU134" s="251">
        <f>'PolyU Score Calculation'!BQ44</f>
        <v>7.00000000006</v>
      </c>
      <c r="CV134" s="251">
        <f>'PolyU Score Calculation'!BR44</f>
        <v>5.50000000007</v>
      </c>
      <c r="CW134" s="251">
        <f>'PolyU Score Calculation'!BS44</f>
        <v>4.00000000008</v>
      </c>
      <c r="CX134" s="251">
        <f>'PolyU Score Calculation'!BT44</f>
        <v>55.000000000100002</v>
      </c>
      <c r="CY134" s="251">
        <f>'PolyU Score Calculation'!BU44</f>
        <v>55.000000000200004</v>
      </c>
      <c r="CZ134" s="251">
        <f>'PolyU Score Calculation'!BV44</f>
        <v>49.000000000210001</v>
      </c>
      <c r="DA134" s="251">
        <f>'PolyU Score Calculation'!BW44</f>
        <v>49.000000000279996</v>
      </c>
      <c r="DB134" s="251">
        <f>'PolyU Score Calculation'!BX44</f>
        <v>2.5000000000000002E-10</v>
      </c>
      <c r="DC134" s="251">
        <f>'PolyU Score Calculation'!BY44</f>
        <v>70.000000000599996</v>
      </c>
      <c r="DD134" s="251">
        <f>'PolyU Score Calculation'!BZ44</f>
        <v>55.000000000699998</v>
      </c>
      <c r="DE134" s="251">
        <f>'PolyU Score Calculation'!CA44</f>
        <v>20.0000000004</v>
      </c>
      <c r="DF134" s="251" t="b">
        <f>'PolyU Score Calculation'!CB44</f>
        <v>1</v>
      </c>
      <c r="DG134" s="251" t="b">
        <f>'PolyU Score Calculation'!CC44</f>
        <v>1</v>
      </c>
      <c r="DH134" s="251" t="b">
        <f>'PolyU Score Calculation'!CD44</f>
        <v>1</v>
      </c>
      <c r="DI134" s="251" t="b">
        <f>'PolyU Score Calculation'!CE44</f>
        <v>1</v>
      </c>
      <c r="DJ134" s="251" t="b">
        <f>'PolyU Score Calculation'!CF44</f>
        <v>0</v>
      </c>
      <c r="DK134" s="251" t="b">
        <f>'PolyU Score Calculation'!CG44</f>
        <v>1</v>
      </c>
      <c r="DL134" s="251" t="b">
        <f>'PolyU Score Calculation'!CH44</f>
        <v>1</v>
      </c>
      <c r="DM134" s="251" t="b">
        <f>'PolyU Score Calculation'!CI44</f>
        <v>0</v>
      </c>
    </row>
    <row r="135" spans="1:149" s="251" customFormat="1" x14ac:dyDescent="0.3">
      <c r="A135" s="251" t="str">
        <f>'PolyU Score Calculation'!A45</f>
        <v>JS3636</v>
      </c>
      <c r="B135" s="251" t="s">
        <v>2246</v>
      </c>
      <c r="C135" s="251" t="str">
        <f>IF('PolyU Score Calculation'!B45=0,"",'PolyU Score Calculation'!B45)</f>
        <v>醫療及社會科學院</v>
      </c>
      <c r="D135" s="251" t="str">
        <f>IF('PolyU Score Calculation'!C45=0,"",'PolyU Score Calculation'!C45)</f>
        <v>康復治療科學(榮譽)理學士組合課程 - 物理治療學(榮譽)理學士</v>
      </c>
      <c r="E135" s="251" t="str">
        <f>IF('PolyU Score Calculation'!E45=0,"",'PolyU Score Calculation'!E45)</f>
        <v>Best 6</v>
      </c>
      <c r="F135" s="251" t="s">
        <v>1978</v>
      </c>
      <c r="G135" s="251">
        <f>'PolyU Score Calculation'!W45</f>
        <v>372.00000000209002</v>
      </c>
      <c r="H135" s="251">
        <f>'PolyU Score Calculation'!V45</f>
        <v>348.00000000209002</v>
      </c>
      <c r="I135" s="251" t="s">
        <v>3034</v>
      </c>
      <c r="J135" s="251" t="s">
        <v>3035</v>
      </c>
      <c r="K135" s="344" t="s">
        <v>3048</v>
      </c>
      <c r="L135" s="344" t="s">
        <v>1970</v>
      </c>
      <c r="M135" s="344" t="s">
        <v>1970</v>
      </c>
      <c r="N135" s="251" t="str">
        <f>'PolyU Score Calculation'!M45</f>
        <v>JS3636</v>
      </c>
      <c r="O135" s="251" t="str">
        <f>'PolyU Score Calculation'!N45</f>
        <v>物理治療學(榮譽)理學士學位</v>
      </c>
      <c r="P135" s="251" t="str">
        <f>'PolyU Score Calculation'!O45</f>
        <v>Best 6</v>
      </c>
      <c r="Q135" s="251" t="str">
        <f>'PolyU Score Calculation'!P45</f>
        <v>x10: 中文、英文、生物、物理、組合科學(物理、生物)</v>
      </c>
      <c r="R135" s="251" t="str">
        <f>'PolyU Score Calculation'!Q45</f>
        <v>x7: 數學、通識</v>
      </c>
      <c r="S135" s="251" t="str">
        <f>'PolyU Score Calculation'!R45</f>
        <v>x5: 其他科目</v>
      </c>
      <c r="T135" s="251" t="str">
        <f>IF('PolyU Score Calculation'!D45=0,"",'PolyU Score Calculation'!D45)</f>
        <v>PHYSIOTHERAPY</v>
      </c>
      <c r="U135" s="251" t="s">
        <v>2165</v>
      </c>
      <c r="V135" s="251">
        <f>IF('PolyU Score Calculation'!T45=0,"",'PolyU Score Calculation'!T45)</f>
        <v>39.9</v>
      </c>
      <c r="W135" s="251">
        <f>'PolyU Score Calculation'!U45</f>
        <v>39.9</v>
      </c>
      <c r="X135" s="344">
        <f>'A123'!J143</f>
        <v>150</v>
      </c>
      <c r="Y135" s="344">
        <f>'A123'!K143</f>
        <v>156</v>
      </c>
      <c r="Z135" s="344">
        <f>'A123'!L143</f>
        <v>4.0584415584415581</v>
      </c>
      <c r="AA135" s="251" t="s">
        <v>2165</v>
      </c>
      <c r="AB135" s="344" t="str">
        <f>入學要求!X144</f>
        <v>/</v>
      </c>
      <c r="AC135" s="344" t="str">
        <f>入學要求!Y144</f>
        <v>/</v>
      </c>
      <c r="AD135" s="251" t="str">
        <f>'PolyU Score Calculation'!E45</f>
        <v>Best 6</v>
      </c>
      <c r="AE135" s="251" t="s">
        <v>1970</v>
      </c>
      <c r="AF135" s="251" t="s">
        <v>1970</v>
      </c>
      <c r="AG135" s="344" t="str">
        <f>'PolyU Score Calculation'!I45</f>
        <v>x10: 中文、英文、生物、物理、組合科學(物理、生物)</v>
      </c>
      <c r="AH135" s="344" t="str">
        <f>'PolyU Score Calculation'!J45</f>
        <v>x7: 數學、通識</v>
      </c>
      <c r="AI135" s="344" t="str">
        <f>'PolyU Score Calculation'!K45</f>
        <v>x5: 其他科目</v>
      </c>
      <c r="AJ135" s="251" t="s">
        <v>1970</v>
      </c>
      <c r="AK135" s="251" t="s">
        <v>1970</v>
      </c>
      <c r="AL135" s="251" t="s">
        <v>1970</v>
      </c>
      <c r="AM135" s="251" t="s">
        <v>3043</v>
      </c>
      <c r="AN135" s="251" t="str">
        <f t="shared" si="405"/>
        <v>JS3636 物理治療學(榮譽)理學士學位</v>
      </c>
      <c r="AO135" s="251" t="s">
        <v>1970</v>
      </c>
      <c r="AP135" s="251" t="s">
        <v>1970</v>
      </c>
      <c r="AQ135" s="344" t="s">
        <v>1970</v>
      </c>
      <c r="AR135" s="428" t="s">
        <v>2150</v>
      </c>
      <c r="AS135" s="251" t="s">
        <v>3610</v>
      </c>
      <c r="AT135" s="251" t="s">
        <v>1970</v>
      </c>
      <c r="AV135" s="344" t="s">
        <v>3728</v>
      </c>
      <c r="AW135" s="344" t="s">
        <v>3726</v>
      </c>
      <c r="AX135" s="344" t="s">
        <v>3729</v>
      </c>
      <c r="AY135" s="344" t="s">
        <v>3730</v>
      </c>
      <c r="AZ135" s="344" t="s">
        <v>3732</v>
      </c>
      <c r="BA135" s="344" t="s">
        <v>3734</v>
      </c>
      <c r="BB135" s="251">
        <f>'PolyU Score Calculation'!X45</f>
        <v>10</v>
      </c>
      <c r="BC135" s="251">
        <f>'PolyU Score Calculation'!Y45</f>
        <v>10</v>
      </c>
      <c r="BD135" s="251">
        <f>'PolyU Score Calculation'!Z45</f>
        <v>7</v>
      </c>
      <c r="BE135" s="251">
        <f>'PolyU Score Calculation'!AA45</f>
        <v>7</v>
      </c>
      <c r="BF135" s="251">
        <f>'PolyU Score Calculation'!AB45</f>
        <v>5</v>
      </c>
      <c r="BG135" s="251">
        <f>'PolyU Score Calculation'!AC45</f>
        <v>10</v>
      </c>
      <c r="BH135" s="251">
        <f>'PolyU Score Calculation'!AD45</f>
        <v>10</v>
      </c>
      <c r="BI135" s="251">
        <f>'PolyU Score Calculation'!AE45</f>
        <v>5</v>
      </c>
      <c r="BJ135" s="251">
        <f>'PolyU Score Calculation'!AF45</f>
        <v>5.50000000001</v>
      </c>
      <c r="BK135" s="251">
        <f>'PolyU Score Calculation'!AG45</f>
        <v>5.50000000002</v>
      </c>
      <c r="BL135" s="251">
        <f>'PolyU Score Calculation'!AH45</f>
        <v>5.50000000003</v>
      </c>
      <c r="BM135" s="251">
        <f>'PolyU Score Calculation'!AI45</f>
        <v>8.50000000004</v>
      </c>
      <c r="BN135" s="251">
        <f>'PolyU Score Calculation'!AJ45</f>
        <v>5.0000000000000002E-11</v>
      </c>
      <c r="BO135" s="251">
        <f>'PolyU Score Calculation'!AK45</f>
        <v>7.00000000006</v>
      </c>
      <c r="BP135" s="251">
        <f>'PolyU Score Calculation'!AL45</f>
        <v>7.00000000007</v>
      </c>
      <c r="BQ135" s="251">
        <f>'PolyU Score Calculation'!AM45</f>
        <v>7.9999999999999995E-11</v>
      </c>
      <c r="BR135" s="251">
        <f>'PolyU Score Calculation'!AN45</f>
        <v>55.000000000100002</v>
      </c>
      <c r="BS135" s="251">
        <f>'PolyU Score Calculation'!AO45</f>
        <v>55.000000000200004</v>
      </c>
      <c r="BT135" s="251">
        <f>'PolyU Score Calculation'!AP45</f>
        <v>38.500000000210001</v>
      </c>
      <c r="BU135" s="251">
        <f>'PolyU Score Calculation'!AQ45</f>
        <v>59.500000000279996</v>
      </c>
      <c r="BV135" s="251">
        <f>'PolyU Score Calculation'!AR45</f>
        <v>2.5000000000000002E-10</v>
      </c>
      <c r="BW135" s="251">
        <f>'PolyU Score Calculation'!AS45</f>
        <v>70.000000000599996</v>
      </c>
      <c r="BX135" s="251">
        <f>'PolyU Score Calculation'!AT45</f>
        <v>70.000000000699998</v>
      </c>
      <c r="BY135" s="251">
        <f>'PolyU Score Calculation'!AU45</f>
        <v>3.9999999999999996E-10</v>
      </c>
      <c r="BZ135" s="251" t="b">
        <f>'PolyU Score Calculation'!AV45</f>
        <v>1</v>
      </c>
      <c r="CA135" s="251" t="b">
        <f>'PolyU Score Calculation'!AW45</f>
        <v>1</v>
      </c>
      <c r="CB135" s="251" t="b">
        <f>'PolyU Score Calculation'!AX45</f>
        <v>1</v>
      </c>
      <c r="CC135" s="251" t="b">
        <f>'PolyU Score Calculation'!AY45</f>
        <v>1</v>
      </c>
      <c r="CD135" s="251" t="b">
        <f>'PolyU Score Calculation'!AZ45</f>
        <v>0</v>
      </c>
      <c r="CE135" s="251" t="b">
        <f>'PolyU Score Calculation'!BA45</f>
        <v>1</v>
      </c>
      <c r="CF135" s="251" t="b">
        <f>'PolyU Score Calculation'!BB45</f>
        <v>1</v>
      </c>
      <c r="CG135" s="251" t="b">
        <f>'PolyU Score Calculation'!BC45</f>
        <v>0</v>
      </c>
      <c r="CH135" s="251">
        <f>'PolyU Score Calculation'!BD45</f>
        <v>10</v>
      </c>
      <c r="CI135" s="251">
        <f>'PolyU Score Calculation'!BE45</f>
        <v>10</v>
      </c>
      <c r="CJ135" s="251">
        <f>'PolyU Score Calculation'!BF45</f>
        <v>7</v>
      </c>
      <c r="CK135" s="251">
        <f>'PolyU Score Calculation'!BG45</f>
        <v>7</v>
      </c>
      <c r="CL135" s="251">
        <f>'PolyU Score Calculation'!BH45</f>
        <v>5</v>
      </c>
      <c r="CM135" s="251">
        <f>'PolyU Score Calculation'!BI45</f>
        <v>10</v>
      </c>
      <c r="CN135" s="251">
        <f>'PolyU Score Calculation'!BJ45</f>
        <v>10</v>
      </c>
      <c r="CO135" s="251">
        <f>'PolyU Score Calculation'!BK45</f>
        <v>5</v>
      </c>
      <c r="CP135" s="251">
        <f>'PolyU Score Calculation'!BL45</f>
        <v>8.5000000000099991</v>
      </c>
      <c r="CQ135" s="251">
        <f>'PolyU Score Calculation'!BM45</f>
        <v>7.00000000002</v>
      </c>
      <c r="CR135" s="251">
        <f>'PolyU Score Calculation'!BN45</f>
        <v>5.50000000003</v>
      </c>
      <c r="CS135" s="251">
        <f>'PolyU Score Calculation'!BO45</f>
        <v>5.50000000004</v>
      </c>
      <c r="CT135" s="251">
        <f>'PolyU Score Calculation'!BP45</f>
        <v>5.50000000005</v>
      </c>
      <c r="CU135" s="251">
        <f>'PolyU Score Calculation'!BQ45</f>
        <v>7.00000000006</v>
      </c>
      <c r="CV135" s="251">
        <f>'PolyU Score Calculation'!BR45</f>
        <v>7.00000000007</v>
      </c>
      <c r="CW135" s="251">
        <f>'PolyU Score Calculation'!BS45</f>
        <v>5.50000000008</v>
      </c>
      <c r="CX135" s="251">
        <f>'PolyU Score Calculation'!BT45</f>
        <v>85.000000000099988</v>
      </c>
      <c r="CY135" s="251">
        <f>'PolyU Score Calculation'!BU45</f>
        <v>70.000000000200004</v>
      </c>
      <c r="CZ135" s="251">
        <f>'PolyU Score Calculation'!BV45</f>
        <v>38.500000000210001</v>
      </c>
      <c r="DA135" s="251">
        <f>'PolyU Score Calculation'!BW45</f>
        <v>38.500000000279996</v>
      </c>
      <c r="DB135" s="251">
        <f>'PolyU Score Calculation'!BX45</f>
        <v>27.500000000250001</v>
      </c>
      <c r="DC135" s="251">
        <f>'PolyU Score Calculation'!BY45</f>
        <v>70.000000000599996</v>
      </c>
      <c r="DD135" s="251">
        <f>'PolyU Score Calculation'!BZ45</f>
        <v>70.000000000699998</v>
      </c>
      <c r="DE135" s="251">
        <f>'PolyU Score Calculation'!CA45</f>
        <v>27.5000000004</v>
      </c>
      <c r="DF135" s="251" t="b">
        <f>'PolyU Score Calculation'!CB45</f>
        <v>1</v>
      </c>
      <c r="DG135" s="251" t="b">
        <f>'PolyU Score Calculation'!CC45</f>
        <v>1</v>
      </c>
      <c r="DH135" s="251" t="b">
        <f>'PolyU Score Calculation'!CD45</f>
        <v>1</v>
      </c>
      <c r="DI135" s="251" t="b">
        <f>'PolyU Score Calculation'!CE45</f>
        <v>1</v>
      </c>
      <c r="DJ135" s="251" t="b">
        <f>'PolyU Score Calculation'!CF45</f>
        <v>0</v>
      </c>
      <c r="DK135" s="251" t="b">
        <f>'PolyU Score Calculation'!CG45</f>
        <v>1</v>
      </c>
      <c r="DL135" s="251" t="b">
        <f>'PolyU Score Calculation'!CH45</f>
        <v>1</v>
      </c>
      <c r="DM135" s="251" t="b">
        <f>'PolyU Score Calculation'!CI45</f>
        <v>0</v>
      </c>
    </row>
    <row r="136" spans="1:149" s="251" customFormat="1" x14ac:dyDescent="0.3">
      <c r="A136" s="251" t="str">
        <f>'PolyU Score Calculation'!A46</f>
        <v>JS3648</v>
      </c>
      <c r="B136" s="251" t="s">
        <v>2246</v>
      </c>
      <c r="C136" s="251" t="str">
        <f>IF('PolyU Score Calculation'!B46=0,"",'PolyU Score Calculation'!B46)</f>
        <v>醫療及社會科學院</v>
      </c>
      <c r="D136" s="251" t="str">
        <f>IF('PolyU Score Calculation'!C46=0,"",'PolyU Score Calculation'!C46)</f>
        <v>護理學(榮譽)理學士組合課程 - 護理學(榮譽)理學士</v>
      </c>
      <c r="E136" s="251" t="str">
        <f>IF('PolyU Score Calculation'!E46=0,"",'PolyU Score Calculation'!E46)</f>
        <v>4C2X</v>
      </c>
      <c r="F136" s="251" t="s">
        <v>1978</v>
      </c>
      <c r="G136" s="251">
        <f>'PolyU Score Calculation'!W46</f>
        <v>265.00000000200004</v>
      </c>
      <c r="H136" s="251">
        <f>'PolyU Score Calculation'!V46</f>
        <v>265.00000000195001</v>
      </c>
      <c r="I136" s="251" t="s">
        <v>3034</v>
      </c>
      <c r="J136" s="251" t="s">
        <v>3035</v>
      </c>
      <c r="K136" s="344" t="s">
        <v>3048</v>
      </c>
      <c r="L136" s="344" t="s">
        <v>1970</v>
      </c>
      <c r="M136" s="344" t="s">
        <v>1970</v>
      </c>
      <c r="N136" s="251" t="str">
        <f>'PolyU Score Calculation'!M46</f>
        <v>JS3648</v>
      </c>
      <c r="O136" s="251" t="str">
        <f>'PolyU Score Calculation'!N46</f>
        <v>護理學(榮譽)理學士學位</v>
      </c>
      <c r="P136" s="251" t="str">
        <f>'PolyU Score Calculation'!O46</f>
        <v>4C2X</v>
      </c>
      <c r="Q136" s="251" t="str">
        <f>'PolyU Score Calculation'!P46</f>
        <v>x10: 中文、英文、數學、通識、生物、組合科學(生物)</v>
      </c>
      <c r="R136" s="251" t="str">
        <f>'PolyU Score Calculation'!Q46</f>
        <v>/</v>
      </c>
      <c r="S136" s="251" t="str">
        <f>'PolyU Score Calculation'!R46</f>
        <v>x5: 其他科目</v>
      </c>
      <c r="T136" s="251" t="str">
        <f>IF('PolyU Score Calculation'!D46=0,"",'PolyU Score Calculation'!D46)</f>
        <v>NURSING</v>
      </c>
      <c r="U136" s="251" t="s">
        <v>2165</v>
      </c>
      <c r="V136" s="251">
        <f>IF('PolyU Score Calculation'!T46=0,"",'PolyU Score Calculation'!T46)</f>
        <v>29.5</v>
      </c>
      <c r="W136" s="251">
        <f>'PolyU Score Calculation'!U46</f>
        <v>29.5</v>
      </c>
      <c r="X136" s="344">
        <f>'A123'!J144</f>
        <v>193</v>
      </c>
      <c r="Y136" s="344">
        <f>'A123'!K144</f>
        <v>172</v>
      </c>
      <c r="Z136" s="344">
        <f>'A123'!L144</f>
        <v>5.875</v>
      </c>
      <c r="AA136" s="251" t="s">
        <v>2165</v>
      </c>
      <c r="AB136" s="344" t="str">
        <f>入學要求!X145</f>
        <v>/</v>
      </c>
      <c r="AC136" s="344" t="str">
        <f>入學要求!Y145</f>
        <v>/</v>
      </c>
      <c r="AD136" s="251" t="str">
        <f>'PolyU Score Calculation'!E46</f>
        <v>4C2X</v>
      </c>
      <c r="AE136" s="251" t="s">
        <v>1970</v>
      </c>
      <c r="AF136" s="251" t="s">
        <v>1970</v>
      </c>
      <c r="AG136" s="344" t="str">
        <f>'PolyU Score Calculation'!I46</f>
        <v>x10: 中文、英文、數學、通識、生物、組合科學(生物)</v>
      </c>
      <c r="AH136" s="344" t="str">
        <f>'PolyU Score Calculation'!J46</f>
        <v>/</v>
      </c>
      <c r="AI136" s="344" t="str">
        <f>'PolyU Score Calculation'!K46</f>
        <v>x5: 其他科目</v>
      </c>
      <c r="AJ136" s="251" t="s">
        <v>1970</v>
      </c>
      <c r="AK136" s="251" t="s">
        <v>1970</v>
      </c>
      <c r="AL136" s="251" t="s">
        <v>1970</v>
      </c>
      <c r="AM136" s="251" t="s">
        <v>3043</v>
      </c>
      <c r="AN136" s="251" t="str">
        <f t="shared" si="405"/>
        <v>JS3648 護理學(榮譽)理學士學位</v>
      </c>
      <c r="AO136" s="251" t="s">
        <v>1970</v>
      </c>
      <c r="AP136" s="251" t="s">
        <v>1970</v>
      </c>
      <c r="AQ136" s="344" t="s">
        <v>1970</v>
      </c>
      <c r="AR136" s="428" t="s">
        <v>2150</v>
      </c>
      <c r="AS136" s="251" t="s">
        <v>3608</v>
      </c>
      <c r="AT136" s="251" t="s">
        <v>1970</v>
      </c>
      <c r="AU136" s="251" t="s">
        <v>1970</v>
      </c>
      <c r="AV136" s="344" t="s">
        <v>3728</v>
      </c>
      <c r="AW136" s="344" t="s">
        <v>3726</v>
      </c>
      <c r="AX136" s="344" t="s">
        <v>3729</v>
      </c>
      <c r="AY136" s="344" t="s">
        <v>3730</v>
      </c>
      <c r="AZ136" s="344" t="s">
        <v>3732</v>
      </c>
      <c r="BA136" s="344" t="s">
        <v>3734</v>
      </c>
      <c r="BB136" s="251">
        <f>'PolyU Score Calculation'!X46</f>
        <v>10</v>
      </c>
      <c r="BC136" s="251">
        <f>'PolyU Score Calculation'!Y46</f>
        <v>10</v>
      </c>
      <c r="BD136" s="251">
        <f>'PolyU Score Calculation'!Z46</f>
        <v>10</v>
      </c>
      <c r="BE136" s="251">
        <f>'PolyU Score Calculation'!AA46</f>
        <v>10</v>
      </c>
      <c r="BF136" s="251">
        <f>'PolyU Score Calculation'!AB46</f>
        <v>5</v>
      </c>
      <c r="BG136" s="251">
        <f>'PolyU Score Calculation'!AC46</f>
        <v>10</v>
      </c>
      <c r="BH136" s="251">
        <f>'PolyU Score Calculation'!AD46</f>
        <v>5</v>
      </c>
      <c r="BI136" s="251">
        <f>'PolyU Score Calculation'!AE46</f>
        <v>5</v>
      </c>
      <c r="BJ136" s="251">
        <f>'PolyU Score Calculation'!AF46</f>
        <v>7.00000000001</v>
      </c>
      <c r="BK136" s="251">
        <f>'PolyU Score Calculation'!AG46</f>
        <v>3.00000000002</v>
      </c>
      <c r="BL136" s="251">
        <f>'PolyU Score Calculation'!AH46</f>
        <v>5.50000000003</v>
      </c>
      <c r="BM136" s="251">
        <f>'PolyU Score Calculation'!AI46</f>
        <v>5.50000000004</v>
      </c>
      <c r="BN136" s="251">
        <f>'PolyU Score Calculation'!AJ46</f>
        <v>3.00000000005</v>
      </c>
      <c r="BO136" s="251">
        <f>'PolyU Score Calculation'!AK46</f>
        <v>4.00000000006</v>
      </c>
      <c r="BP136" s="251">
        <f>'PolyU Score Calculation'!AL46</f>
        <v>3.00000000007</v>
      </c>
      <c r="BQ136" s="251">
        <f>'PolyU Score Calculation'!AM46</f>
        <v>7.9999999999999995E-11</v>
      </c>
      <c r="BR136" s="251">
        <f>'PolyU Score Calculation'!AN46</f>
        <v>70.000000000100002</v>
      </c>
      <c r="BS136" s="251">
        <f>'PolyU Score Calculation'!AO46</f>
        <v>30.0000000002</v>
      </c>
      <c r="BT136" s="251">
        <f>'PolyU Score Calculation'!AP46</f>
        <v>55.000000000299998</v>
      </c>
      <c r="BU136" s="251">
        <f>'PolyU Score Calculation'!AQ46</f>
        <v>55.0000000004</v>
      </c>
      <c r="BV136" s="251">
        <f>'PolyU Score Calculation'!AR46</f>
        <v>15.000000000250001</v>
      </c>
      <c r="BW136" s="251">
        <f>'PolyU Score Calculation'!AS46</f>
        <v>40.000000000599996</v>
      </c>
      <c r="BX136" s="251">
        <f>'PolyU Score Calculation'!AT46</f>
        <v>15.000000000349999</v>
      </c>
      <c r="BY136" s="251">
        <f>'PolyU Score Calculation'!AU46</f>
        <v>3.9999999999999996E-10</v>
      </c>
      <c r="BZ136" s="251" t="b">
        <f>'PolyU Score Calculation'!AV46</f>
        <v>1</v>
      </c>
      <c r="CA136" s="251" t="b">
        <f>'PolyU Score Calculation'!AW46</f>
        <v>1</v>
      </c>
      <c r="CB136" s="251" t="b">
        <f>'PolyU Score Calculation'!AX46</f>
        <v>1</v>
      </c>
      <c r="CC136" s="251" t="b">
        <f>'PolyU Score Calculation'!AY46</f>
        <v>1</v>
      </c>
      <c r="CD136" s="251" t="b">
        <f>'PolyU Score Calculation'!AZ46</f>
        <v>0</v>
      </c>
      <c r="CE136" s="251" t="b">
        <f>'PolyU Score Calculation'!BA46</f>
        <v>1</v>
      </c>
      <c r="CF136" s="251" t="b">
        <f>'PolyU Score Calculation'!BB46</f>
        <v>1</v>
      </c>
      <c r="CG136" s="251" t="b">
        <f>'PolyU Score Calculation'!BC46</f>
        <v>0</v>
      </c>
      <c r="CH136" s="251">
        <f>'PolyU Score Calculation'!BD46</f>
        <v>10</v>
      </c>
      <c r="CI136" s="251">
        <f>'PolyU Score Calculation'!BE46</f>
        <v>10</v>
      </c>
      <c r="CJ136" s="251">
        <f>'PolyU Score Calculation'!BF46</f>
        <v>10</v>
      </c>
      <c r="CK136" s="251">
        <f>'PolyU Score Calculation'!BG46</f>
        <v>10</v>
      </c>
      <c r="CL136" s="251">
        <f>'PolyU Score Calculation'!BH46</f>
        <v>5</v>
      </c>
      <c r="CM136" s="251">
        <f>'PolyU Score Calculation'!BI46</f>
        <v>10</v>
      </c>
      <c r="CN136" s="251">
        <f>'PolyU Score Calculation'!BJ46</f>
        <v>5</v>
      </c>
      <c r="CO136" s="251">
        <f>'PolyU Score Calculation'!BK46</f>
        <v>5</v>
      </c>
      <c r="CP136" s="251">
        <f>'PolyU Score Calculation'!BL46</f>
        <v>4.00000000001</v>
      </c>
      <c r="CQ136" s="251">
        <f>'PolyU Score Calculation'!BM46</f>
        <v>5.50000000002</v>
      </c>
      <c r="CR136" s="251">
        <f>'PolyU Score Calculation'!BN46</f>
        <v>5.50000000003</v>
      </c>
      <c r="CS136" s="251">
        <f>'PolyU Score Calculation'!BO46</f>
        <v>4.00000000004</v>
      </c>
      <c r="CT136" s="251">
        <f>'PolyU Score Calculation'!BP46</f>
        <v>5.0000000000000002E-11</v>
      </c>
      <c r="CU136" s="251">
        <f>'PolyU Score Calculation'!BQ46</f>
        <v>5.50000000006</v>
      </c>
      <c r="CV136" s="251">
        <f>'PolyU Score Calculation'!BR46</f>
        <v>4.00000000007</v>
      </c>
      <c r="CW136" s="251">
        <f>'PolyU Score Calculation'!BS46</f>
        <v>4.00000000008</v>
      </c>
      <c r="CX136" s="251">
        <f>'PolyU Score Calculation'!BT46</f>
        <v>40.000000000100002</v>
      </c>
      <c r="CY136" s="251">
        <f>'PolyU Score Calculation'!BU46</f>
        <v>55.000000000200004</v>
      </c>
      <c r="CZ136" s="251">
        <f>'PolyU Score Calculation'!BV46</f>
        <v>55.000000000299998</v>
      </c>
      <c r="DA136" s="251">
        <f>'PolyU Score Calculation'!BW46</f>
        <v>40.0000000004</v>
      </c>
      <c r="DB136" s="251">
        <f>'PolyU Score Calculation'!BX46</f>
        <v>2.5000000000000002E-10</v>
      </c>
      <c r="DC136" s="251">
        <f>'PolyU Score Calculation'!BY46</f>
        <v>55.000000000599996</v>
      </c>
      <c r="DD136" s="251">
        <f>'PolyU Score Calculation'!BZ46</f>
        <v>20.000000000349999</v>
      </c>
      <c r="DE136" s="251">
        <f>'PolyU Score Calculation'!CA46</f>
        <v>20.0000000004</v>
      </c>
      <c r="DF136" s="251" t="b">
        <f>'PolyU Score Calculation'!CB46</f>
        <v>1</v>
      </c>
      <c r="DG136" s="251" t="b">
        <f>'PolyU Score Calculation'!CC46</f>
        <v>1</v>
      </c>
      <c r="DH136" s="251" t="b">
        <f>'PolyU Score Calculation'!CD46</f>
        <v>1</v>
      </c>
      <c r="DI136" s="251" t="b">
        <f>'PolyU Score Calculation'!CE46</f>
        <v>1</v>
      </c>
      <c r="DJ136" s="251" t="b">
        <f>'PolyU Score Calculation'!CF46</f>
        <v>0</v>
      </c>
      <c r="DK136" s="251" t="b">
        <f>'PolyU Score Calculation'!CG46</f>
        <v>1</v>
      </c>
      <c r="DL136" s="251" t="b">
        <f>'PolyU Score Calculation'!CH46</f>
        <v>0</v>
      </c>
      <c r="DM136" s="251" t="b">
        <f>'PolyU Score Calculation'!CI46</f>
        <v>1</v>
      </c>
    </row>
    <row r="137" spans="1:149" s="344" customFormat="1" x14ac:dyDescent="0.3">
      <c r="X137" s="344">
        <f>'A123'!J145</f>
        <v>0</v>
      </c>
      <c r="Y137" s="344">
        <f>'A123'!K145</f>
        <v>0</v>
      </c>
      <c r="Z137" s="344">
        <f>'A123'!L145</f>
        <v>0</v>
      </c>
      <c r="AR137" s="428"/>
    </row>
    <row r="138" spans="1:149" s="251" customFormat="1" x14ac:dyDescent="0.3">
      <c r="Q138" s="282"/>
      <c r="R138" s="282"/>
      <c r="S138" s="282"/>
      <c r="T138" s="282"/>
      <c r="X138" s="344" t="str">
        <f>'A123'!J146</f>
        <v>學額</v>
      </c>
      <c r="Y138" s="344" t="str">
        <f>'A123'!K146</f>
        <v>取錄人數</v>
      </c>
      <c r="Z138" s="344" t="str">
        <f>'A123'!L146</f>
        <v>BandA競爭人數</v>
      </c>
      <c r="AB138" s="344"/>
      <c r="AC138" s="344"/>
      <c r="AQ138" s="344"/>
      <c r="AR138" s="428"/>
      <c r="AV138" s="344"/>
      <c r="AW138" s="344"/>
      <c r="AX138" s="344"/>
      <c r="AY138" s="344"/>
      <c r="AZ138" s="344"/>
      <c r="BA138" s="344"/>
    </row>
    <row r="139" spans="1:149" s="251" customFormat="1" x14ac:dyDescent="0.3">
      <c r="A139" s="251" t="s">
        <v>748</v>
      </c>
      <c r="B139" s="251" t="s">
        <v>2247</v>
      </c>
      <c r="C139" s="251" t="s">
        <v>2180</v>
      </c>
      <c r="D139" s="251" t="s">
        <v>751</v>
      </c>
      <c r="E139" s="251" t="s">
        <v>2171</v>
      </c>
      <c r="F139" s="344">
        <f>SUMIF(EL139:ES139,TRUE,ED139:EK139)</f>
        <v>24.500000000209997</v>
      </c>
      <c r="G139" s="344">
        <f t="shared" ref="G139:G150" si="406">SUMIF(DF139:DM139,TRUE,CX139:DE139)</f>
        <v>24.000000000209997</v>
      </c>
      <c r="H139" s="344">
        <f t="shared" ref="H139:H150" si="407">SUMIF(BZ139:CG139,TRUE,BR139:BY139)</f>
        <v>23.000000000290001</v>
      </c>
      <c r="I139" s="251" t="s">
        <v>1970</v>
      </c>
      <c r="J139" s="251" t="s">
        <v>1970</v>
      </c>
      <c r="K139" s="251" t="s">
        <v>1970</v>
      </c>
      <c r="L139" s="251" t="s">
        <v>1970</v>
      </c>
      <c r="M139" s="251" t="s">
        <v>1970</v>
      </c>
      <c r="N139" s="251" t="s">
        <v>1978</v>
      </c>
      <c r="O139" s="344" t="s">
        <v>1978</v>
      </c>
      <c r="P139" s="344" t="s">
        <v>1978</v>
      </c>
      <c r="Q139" s="344" t="s">
        <v>1978</v>
      </c>
      <c r="R139" s="344" t="s">
        <v>1978</v>
      </c>
      <c r="S139" s="344" t="s">
        <v>1978</v>
      </c>
      <c r="T139" s="251" t="s">
        <v>749</v>
      </c>
      <c r="U139" s="251" t="s">
        <v>2165</v>
      </c>
      <c r="V139" s="251" t="s">
        <v>1970</v>
      </c>
      <c r="W139" s="251" t="s">
        <v>1970</v>
      </c>
      <c r="X139" s="344">
        <f>'A123'!J147</f>
        <v>18</v>
      </c>
      <c r="Y139" s="344">
        <f>'A123'!K147</f>
        <v>22</v>
      </c>
      <c r="Z139" s="344">
        <f>'A123'!L147</f>
        <v>11.363636363636363</v>
      </c>
      <c r="AA139" s="251" t="s">
        <v>2165</v>
      </c>
      <c r="AB139" s="344" t="str">
        <f>入學要求!X148</f>
        <v>/</v>
      </c>
      <c r="AC139" s="344" t="str">
        <f>入學要求!Y148</f>
        <v>/</v>
      </c>
      <c r="AD139" s="344" t="s">
        <v>2171</v>
      </c>
      <c r="AE139" s="344" t="s">
        <v>1970</v>
      </c>
      <c r="AF139" s="344" t="s">
        <v>1970</v>
      </c>
      <c r="AG139" s="344" t="s">
        <v>1970</v>
      </c>
      <c r="AH139" s="344" t="s">
        <v>1970</v>
      </c>
      <c r="AI139" s="344" t="s">
        <v>1970</v>
      </c>
      <c r="AJ139" s="344" t="s">
        <v>1970</v>
      </c>
      <c r="AK139" s="251" t="s">
        <v>1970</v>
      </c>
      <c r="AL139" s="251" t="s">
        <v>1970</v>
      </c>
      <c r="AM139" s="251" t="s">
        <v>1970</v>
      </c>
      <c r="AN139" s="251" t="s">
        <v>1970</v>
      </c>
      <c r="AO139" s="251" t="s">
        <v>1970</v>
      </c>
      <c r="AP139" s="251" t="s">
        <v>1970</v>
      </c>
      <c r="AQ139" s="344" t="s">
        <v>1970</v>
      </c>
      <c r="AR139" s="428" t="s">
        <v>2150</v>
      </c>
      <c r="AS139" s="251" t="s">
        <v>3608</v>
      </c>
      <c r="AT139" s="251" t="s">
        <v>1970</v>
      </c>
      <c r="AU139" s="251" t="s">
        <v>1970</v>
      </c>
      <c r="AV139" s="344" t="s">
        <v>3735</v>
      </c>
      <c r="AW139" s="344" t="s">
        <v>3736</v>
      </c>
      <c r="AX139" s="344" t="s">
        <v>2512</v>
      </c>
      <c r="AY139" s="344" t="s">
        <v>3722</v>
      </c>
      <c r="AZ139" s="344" t="s">
        <v>3737</v>
      </c>
      <c r="BA139" s="381" t="s">
        <v>3725</v>
      </c>
      <c r="BB139" s="251">
        <v>1</v>
      </c>
      <c r="BC139" s="344">
        <v>1</v>
      </c>
      <c r="BD139" s="344">
        <v>1</v>
      </c>
      <c r="BE139" s="344">
        <v>1</v>
      </c>
      <c r="BF139" s="344">
        <v>1</v>
      </c>
      <c r="BG139" s="344">
        <v>1</v>
      </c>
      <c r="BH139" s="344">
        <v>1</v>
      </c>
      <c r="BI139" s="344">
        <v>1</v>
      </c>
      <c r="BJ139" s="251">
        <v>4.00000000001</v>
      </c>
      <c r="BK139" s="251">
        <v>3.00000000002</v>
      </c>
      <c r="BL139" s="251">
        <v>5.50000000003</v>
      </c>
      <c r="BM139" s="251">
        <v>3.00000000004</v>
      </c>
      <c r="BN139" s="251">
        <v>5.50000000005</v>
      </c>
      <c r="BO139" s="251">
        <v>4.00000000006</v>
      </c>
      <c r="BP139" s="251">
        <v>4.00000000007</v>
      </c>
      <c r="BQ139" s="251">
        <v>4.00000000008</v>
      </c>
      <c r="BR139" s="344">
        <f t="shared" ref="BR139:BY154" si="408">BB139*BJ139</f>
        <v>4.00000000001</v>
      </c>
      <c r="BS139" s="344">
        <f t="shared" si="408"/>
        <v>3.00000000002</v>
      </c>
      <c r="BT139" s="344">
        <f t="shared" si="408"/>
        <v>5.50000000003</v>
      </c>
      <c r="BU139" s="344">
        <f t="shared" si="408"/>
        <v>3.00000000004</v>
      </c>
      <c r="BV139" s="344">
        <f t="shared" si="408"/>
        <v>5.50000000005</v>
      </c>
      <c r="BW139" s="344">
        <f t="shared" si="408"/>
        <v>4.00000000006</v>
      </c>
      <c r="BX139" s="344">
        <f t="shared" si="408"/>
        <v>4.00000000007</v>
      </c>
      <c r="BY139" s="344">
        <f t="shared" si="408"/>
        <v>4.00000000008</v>
      </c>
      <c r="BZ139" s="251" t="b">
        <f t="shared" ref="BZ139:BZ150" si="409">IF($E139="4C2X",TRUE,IF($E139="Best 5",IF(BR139&gt;LARGE($BR139:$BY139,6),TRUE),IF($E139="Best 6",IF(BR139&gt;LARGE($BR139:$BY139,7),TRUE))))</f>
        <v>0</v>
      </c>
      <c r="CA139" s="344" t="b">
        <f t="shared" ref="CA139:CA150" si="410">IF($E139="4C2X",TRUE,IF($E139="Best 5",IF(BS139&gt;LARGE($BR139:$BY139,6),TRUE),IF($E139="Best 6",IF(BS139&gt;LARGE($BR139:$BY139,7),TRUE))))</f>
        <v>0</v>
      </c>
      <c r="CB139" s="344" t="b">
        <f t="shared" ref="CB139:CB150" si="411">IF($E139="4C2X",TRUE,IF($E139="Best 5",IF(BT139&gt;LARGE($BR139:$BY139,6),TRUE),IF($E139="Best 6",IF(BT139&gt;LARGE($BR139:$BY139,7),TRUE))))</f>
        <v>1</v>
      </c>
      <c r="CC139" s="344" t="b">
        <f t="shared" ref="CC139:CC150" si="412">IF($E139="4C2X",TRUE,IF($E139="Best 5",IF(BU139&gt;LARGE($BR139:$BY139,6),TRUE),IF($E139="Best 6",IF(BU139&gt;LARGE($BR139:$BY139,7),TRUE))))</f>
        <v>0</v>
      </c>
      <c r="CD139" s="251" t="b">
        <f t="shared" ref="CD139:CD150" si="413">IF($E139="4C2X",IF(BV139&gt;LARGE($BV139:$BY139,3),TRUE),IF($E139="Best 5",IF(BV139&gt;LARGE($BR139:$BY139,6),TRUE),IF($E139="Best 6",IF(BV139&gt;LARGE($BR139:$BY139,7),TRUE))))</f>
        <v>1</v>
      </c>
      <c r="CE139" s="344" t="b">
        <f t="shared" ref="CE139:CE150" si="414">IF($E139="4C2X",IF(BW139&gt;LARGE($BV139:$BY139,3),TRUE),IF($E139="Best 5",IF(BW139&gt;LARGE($BR139:$BY139,6),TRUE),IF($E139="Best 6",IF(BW139&gt;LARGE($BR139:$BY139,7),TRUE))))</f>
        <v>1</v>
      </c>
      <c r="CF139" s="344" t="b">
        <f t="shared" ref="CF139:CF150" si="415">IF($E139="4C2X",IF(BX139&gt;LARGE($BV139:$BY139,3),TRUE),IF($E139="Best 5",IF(BX139&gt;LARGE($BR139:$BY139,6),TRUE),IF($E139="Best 6",IF(BX139&gt;LARGE($BR139:$BY139,7),TRUE))))</f>
        <v>1</v>
      </c>
      <c r="CG139" s="344" t="b">
        <f t="shared" ref="CG139:CG150" si="416">IF($E139="4C2X",IF(BY139&gt;LARGE($BV139:$BY139,3),TRUE),IF($E139="Best 5",IF(BY139&gt;LARGE($BR139:$BY139,6),TRUE),IF($E139="Best 6",IF(BY139&gt;LARGE($BR139:$BY139,7),TRUE))))</f>
        <v>1</v>
      </c>
      <c r="CH139" s="344">
        <v>1</v>
      </c>
      <c r="CI139" s="344">
        <v>1</v>
      </c>
      <c r="CJ139" s="344">
        <v>1</v>
      </c>
      <c r="CK139" s="344">
        <v>1</v>
      </c>
      <c r="CL139" s="344">
        <v>1</v>
      </c>
      <c r="CM139" s="344">
        <v>1</v>
      </c>
      <c r="CN139" s="344">
        <v>1</v>
      </c>
      <c r="CO139" s="344">
        <v>1</v>
      </c>
      <c r="CP139" s="251">
        <v>7.00000000001</v>
      </c>
      <c r="CQ139" s="251">
        <v>3.00000000002</v>
      </c>
      <c r="CR139" s="251">
        <v>3.00000000003</v>
      </c>
      <c r="CS139" s="251">
        <v>5.50000000004</v>
      </c>
      <c r="CT139" s="251">
        <v>5.0000000000000002E-11</v>
      </c>
      <c r="CU139" s="251">
        <v>5.50000000006</v>
      </c>
      <c r="CV139" s="251">
        <v>3.00000000007</v>
      </c>
      <c r="CW139" s="251">
        <v>2.00000000008</v>
      </c>
      <c r="CX139" s="344">
        <f>CP139*CH139</f>
        <v>7.00000000001</v>
      </c>
      <c r="CY139" s="344">
        <f t="shared" ref="CY139:CY202" si="417">CQ139*CI139</f>
        <v>3.00000000002</v>
      </c>
      <c r="CZ139" s="344">
        <f t="shared" ref="CZ139:CZ202" si="418">CR139*CJ139</f>
        <v>3.00000000003</v>
      </c>
      <c r="DA139" s="344">
        <f t="shared" ref="DA139:DA202" si="419">CS139*CK139</f>
        <v>5.50000000004</v>
      </c>
      <c r="DB139" s="344">
        <f t="shared" ref="DB139:DB202" si="420">CT139*CL139</f>
        <v>5.0000000000000002E-11</v>
      </c>
      <c r="DC139" s="344">
        <f t="shared" ref="DC139:DC202" si="421">CU139*CM139</f>
        <v>5.50000000006</v>
      </c>
      <c r="DD139" s="344">
        <f t="shared" ref="DD139:DD202" si="422">CV139*CN139</f>
        <v>3.00000000007</v>
      </c>
      <c r="DE139" s="344">
        <f t="shared" ref="DE139:DE202" si="423">CW139*CO139</f>
        <v>2.00000000008</v>
      </c>
      <c r="DF139" s="344" t="b">
        <f t="shared" ref="DF139:DF150" si="424">IF($E139="4C2X",TRUE,IF($E139="Best 5",IF(CX139&gt;LARGE($CX139:$DE139,6),TRUE),IF($E139="Best 6",IF(CX139&gt;LARGE($CX139:$DE139,7),TRUE))))</f>
        <v>1</v>
      </c>
      <c r="DG139" s="344" t="b">
        <f t="shared" ref="DG139:DG150" si="425">IF($E139="4C2X",TRUE,IF($E139="Best 5",IF(CY139&gt;LARGE($CX139:$DE139,6),TRUE),IF($E139="Best 6",IF(CY139&gt;LARGE($CX139:$DE139,7),TRUE))))</f>
        <v>0</v>
      </c>
      <c r="DH139" s="344" t="b">
        <f t="shared" ref="DH139:DH150" si="426">IF($E139="4C2X",TRUE,IF($E139="Best 5",IF(CZ139&gt;LARGE($CX139:$DE139,6),TRUE),IF($E139="Best 6",IF(CZ139&gt;LARGE($CX139:$DE139,7),TRUE))))</f>
        <v>1</v>
      </c>
      <c r="DI139" s="344" t="b">
        <f t="shared" ref="DI139:DI150" si="427">IF($E139="4C2X",TRUE,IF($E139="Best 5",IF(DA139&gt;LARGE($CX139:$DE139,6),TRUE),IF($E139="Best 6",IF(DA139&gt;LARGE($CX139:$DE139,7),TRUE))))</f>
        <v>1</v>
      </c>
      <c r="DJ139" s="344" t="b">
        <f t="shared" ref="DJ139:DJ178" si="428">IF($E139="4C2X",IF(DB139&gt;LARGE($DB139:$DE139,3),TRUE),IF($E139="Best 5",IF(DB139&gt;LARGE($CX139:$DE139,6),TRUE),IF($E139="Best 6",IF(DB139&gt;LARGE($CX139:$DE139,7),TRUE))))</f>
        <v>0</v>
      </c>
      <c r="DK139" s="344" t="b">
        <f t="shared" ref="DK139:DK178" si="429">IF($E139="4C2X",IF(DC139&gt;LARGE($DB139:$DE139,3),TRUE),IF($E139="Best 5",IF(DC139&gt;LARGE($CX139:$DE139,6),TRUE),IF($E139="Best 6",IF(DC139&gt;LARGE($CX139:$DE139,7),TRUE))))</f>
        <v>1</v>
      </c>
      <c r="DL139" s="344" t="b">
        <f t="shared" ref="DL139:DL178" si="430">IF($E139="4C2X",IF(DD139&gt;LARGE($DB139:$DE139,3),TRUE),IF($E139="Best 5",IF(DD139&gt;LARGE($CX139:$DE139,6),TRUE),IF($E139="Best 6",IF(DD139&gt;LARGE($CX139:$DE139,7),TRUE))))</f>
        <v>1</v>
      </c>
      <c r="DM139" s="344" t="b">
        <f t="shared" ref="DM139:DM178" si="431">IF($E139="4C2X",IF(DE139&gt;LARGE($DB139:$DE139,3),TRUE),IF($E139="Best 5",IF(DE139&gt;LARGE($CX139:$DE139,6),TRUE),IF($E139="Best 6",IF(DE139&gt;LARGE($CX139:$DE139,7),TRUE))))</f>
        <v>0</v>
      </c>
      <c r="DN139" s="344">
        <v>1</v>
      </c>
      <c r="DO139" s="344">
        <v>1</v>
      </c>
      <c r="DP139" s="344">
        <v>1</v>
      </c>
      <c r="DQ139" s="344">
        <v>1</v>
      </c>
      <c r="DR139" s="344">
        <v>1</v>
      </c>
      <c r="DS139" s="344">
        <v>1</v>
      </c>
      <c r="DT139" s="344">
        <v>1</v>
      </c>
      <c r="DU139" s="344">
        <v>1</v>
      </c>
      <c r="DV139" s="251">
        <v>7.00000000001</v>
      </c>
      <c r="DW139" s="251">
        <v>3.00000000002</v>
      </c>
      <c r="DX139" s="251">
        <v>4.00000000003</v>
      </c>
      <c r="DY139" s="251">
        <v>4.00000000004</v>
      </c>
      <c r="DZ139" s="251">
        <v>5.0000000000000002E-11</v>
      </c>
      <c r="EA139" s="251">
        <v>5.50000000006</v>
      </c>
      <c r="EB139" s="251">
        <v>4.00000000007</v>
      </c>
      <c r="EC139" s="251">
        <v>7.9999999999999995E-11</v>
      </c>
      <c r="ED139" s="251">
        <f>DV139*DN139</f>
        <v>7.00000000001</v>
      </c>
      <c r="EE139" s="344">
        <f t="shared" ref="EE139:EK139" si="432">DW139*DO139</f>
        <v>3.00000000002</v>
      </c>
      <c r="EF139" s="344">
        <f t="shared" si="432"/>
        <v>4.00000000003</v>
      </c>
      <c r="EG139" s="344">
        <f t="shared" si="432"/>
        <v>4.00000000004</v>
      </c>
      <c r="EH139" s="344">
        <f t="shared" si="432"/>
        <v>5.0000000000000002E-11</v>
      </c>
      <c r="EI139" s="344">
        <f t="shared" si="432"/>
        <v>5.50000000006</v>
      </c>
      <c r="EJ139" s="344">
        <f t="shared" si="432"/>
        <v>4.00000000007</v>
      </c>
      <c r="EK139" s="344">
        <f t="shared" si="432"/>
        <v>7.9999999999999995E-11</v>
      </c>
      <c r="EL139" s="344" t="b">
        <f t="shared" ref="EL139:EL178" si="433">IF($E139="4C2X",TRUE,IF($E139="Best 5",IF(ED139&gt;LARGE($ED139:$EK139,6),TRUE),IF($E139="Best 6",IF(ED139&gt;LARGE($ED139:$EK139,7),TRUE))))</f>
        <v>1</v>
      </c>
      <c r="EM139" s="344" t="b">
        <f t="shared" ref="EM139:EM178" si="434">IF($E139="4C2X",TRUE,IF($E139="Best 5",IF(EE139&gt;LARGE($ED139:$EK139,6),TRUE),IF($E139="Best 6",IF(EE139&gt;LARGE($ED139:$EK139,7),TRUE))))</f>
        <v>0</v>
      </c>
      <c r="EN139" s="344" t="b">
        <f t="shared" ref="EN139:EN178" si="435">IF($E139="4C2X",TRUE,IF($E139="Best 5",IF(EF139&gt;LARGE($ED139:$EK139,6),TRUE),IF($E139="Best 6",IF(EF139&gt;LARGE($ED139:$EK139,7),TRUE))))</f>
        <v>1</v>
      </c>
      <c r="EO139" s="344" t="b">
        <f t="shared" ref="EO139:EO178" si="436">IF($E139="4C2X",TRUE,IF($E139="Best 5",IF(EG139&gt;LARGE($ED139:$EK139,6),TRUE),IF($E139="Best 6",IF(EG139&gt;LARGE($ED139:$EK139,7),TRUE))))</f>
        <v>1</v>
      </c>
      <c r="EP139" s="344" t="b">
        <f t="shared" ref="EP139:EP178" si="437">IF($E139="4C2X",IF(EH139&gt;LARGE($EH139:$EK139,3),TRUE),IF($E139="Best 5",IF(EH139&gt;LARGE($ED139:$EK139,6),TRUE),IF($E139="Best 6",IF(EH139&gt;LARGE($ED139:$EK139,7),TRUE))))</f>
        <v>0</v>
      </c>
      <c r="EQ139" s="344" t="b">
        <f t="shared" ref="EQ139:EQ178" si="438">IF($E139="4C2X",IF(EI139&gt;LARGE($EH139:$EK139,3),TRUE),IF($E139="Best 5",IF(EI139&gt;LARGE($ED139:$EK139,6),TRUE),IF($E139="Best 6",IF(EI139&gt;LARGE($ED139:$EK139,7),TRUE))))</f>
        <v>1</v>
      </c>
      <c r="ER139" s="344" t="b">
        <f t="shared" ref="ER139:ER178" si="439">IF($E139="4C2X",IF(EJ139&gt;LARGE($EH139:$EK139,3),TRUE),IF($E139="Best 5",IF(EJ139&gt;LARGE($ED139:$EK139,6),TRUE),IF($E139="Best 6",IF(EJ139&gt;LARGE($ED139:$EK139,7),TRUE))))</f>
        <v>1</v>
      </c>
      <c r="ES139" s="344" t="b">
        <f t="shared" ref="ES139:ES178" si="440">IF($E139="4C2X",IF(EK139&gt;LARGE($EH139:$EK139,3),TRUE),IF($E139="Best 5",IF(EK139&gt;LARGE($ED139:$EK139,6),TRUE),IF($E139="Best 6",IF(EK139&gt;LARGE($ED139:$EK139,7),TRUE))))</f>
        <v>0</v>
      </c>
    </row>
    <row r="140" spans="1:149" s="251" customFormat="1" x14ac:dyDescent="0.3">
      <c r="A140" s="251" t="s">
        <v>753</v>
      </c>
      <c r="B140" s="251" t="s">
        <v>2247</v>
      </c>
      <c r="C140" s="251" t="s">
        <v>2180</v>
      </c>
      <c r="D140" s="251" t="s">
        <v>756</v>
      </c>
      <c r="E140" s="251" t="s">
        <v>2171</v>
      </c>
      <c r="F140" s="344">
        <f t="shared" ref="F140:F203" si="441">SUMIF(EL140:ES140,TRUE,ED140:EK140)</f>
        <v>35.250000000215003</v>
      </c>
      <c r="G140" s="344">
        <f t="shared" si="406"/>
        <v>32.500000000205006</v>
      </c>
      <c r="H140" s="344">
        <f t="shared" si="407"/>
        <v>31.000000000215</v>
      </c>
      <c r="I140" s="251" t="s">
        <v>1970</v>
      </c>
      <c r="J140" s="251" t="s">
        <v>1970</v>
      </c>
      <c r="K140" s="251" t="s">
        <v>3060</v>
      </c>
      <c r="L140" s="251" t="s">
        <v>3061</v>
      </c>
      <c r="M140" s="251" t="s">
        <v>1970</v>
      </c>
      <c r="N140" s="344" t="s">
        <v>1978</v>
      </c>
      <c r="O140" s="344" t="s">
        <v>1978</v>
      </c>
      <c r="P140" s="344" t="s">
        <v>1978</v>
      </c>
      <c r="Q140" s="344" t="s">
        <v>1978</v>
      </c>
      <c r="R140" s="344" t="s">
        <v>1978</v>
      </c>
      <c r="S140" s="344" t="s">
        <v>1978</v>
      </c>
      <c r="T140" s="251" t="s">
        <v>754</v>
      </c>
      <c r="U140" s="251" t="s">
        <v>2165</v>
      </c>
      <c r="V140" s="251" t="s">
        <v>1970</v>
      </c>
      <c r="W140" s="251" t="s">
        <v>1970</v>
      </c>
      <c r="X140" s="344">
        <f>'A123'!J148</f>
        <v>79</v>
      </c>
      <c r="Y140" s="344">
        <f>'A123'!K148</f>
        <v>81</v>
      </c>
      <c r="Z140" s="344">
        <f>'A123'!L148</f>
        <v>4.9135802469135799</v>
      </c>
      <c r="AA140" s="344" t="s">
        <v>2165</v>
      </c>
      <c r="AB140" s="344" t="str">
        <f>入學要求!X149</f>
        <v>/</v>
      </c>
      <c r="AC140" s="344" t="str">
        <f>入學要求!Y149</f>
        <v>/</v>
      </c>
      <c r="AD140" s="351" t="s">
        <v>2171</v>
      </c>
      <c r="AE140" s="344" t="s">
        <v>1970</v>
      </c>
      <c r="AF140" s="344" t="s">
        <v>1970</v>
      </c>
      <c r="AG140" s="344" t="s">
        <v>3060</v>
      </c>
      <c r="AH140" s="344" t="s">
        <v>3061</v>
      </c>
      <c r="AI140" s="344" t="s">
        <v>1970</v>
      </c>
      <c r="AJ140" s="344" t="s">
        <v>1970</v>
      </c>
      <c r="AK140" s="251" t="s">
        <v>1970</v>
      </c>
      <c r="AL140" s="251" t="s">
        <v>1970</v>
      </c>
      <c r="AM140" s="251" t="s">
        <v>1970</v>
      </c>
      <c r="AN140" s="251" t="s">
        <v>1970</v>
      </c>
      <c r="AO140" s="251" t="s">
        <v>1970</v>
      </c>
      <c r="AP140" s="251" t="s">
        <v>1970</v>
      </c>
      <c r="AQ140" s="344" t="s">
        <v>1970</v>
      </c>
      <c r="AR140" s="428" t="s">
        <v>2150</v>
      </c>
      <c r="AS140" s="251" t="s">
        <v>3608</v>
      </c>
      <c r="AT140" s="251" t="s">
        <v>1970</v>
      </c>
      <c r="AU140" s="251" t="s">
        <v>1970</v>
      </c>
      <c r="AV140" s="344" t="s">
        <v>3735</v>
      </c>
      <c r="AW140" s="344" t="s">
        <v>3736</v>
      </c>
      <c r="AX140" s="344" t="s">
        <v>2512</v>
      </c>
      <c r="AY140" s="344" t="s">
        <v>3722</v>
      </c>
      <c r="AZ140" s="344" t="s">
        <v>3737</v>
      </c>
      <c r="BA140" s="381" t="s">
        <v>3725</v>
      </c>
      <c r="BB140" s="251">
        <v>1.5</v>
      </c>
      <c r="BC140" s="344">
        <v>1</v>
      </c>
      <c r="BD140" s="344">
        <v>1</v>
      </c>
      <c r="BE140" s="344">
        <v>1</v>
      </c>
      <c r="BF140" s="344">
        <v>1</v>
      </c>
      <c r="BG140" s="344">
        <v>1</v>
      </c>
      <c r="BH140" s="344">
        <v>1</v>
      </c>
      <c r="BI140" s="344">
        <v>1</v>
      </c>
      <c r="BJ140" s="251">
        <v>7.00000000001</v>
      </c>
      <c r="BK140" s="251">
        <v>4.00000000002</v>
      </c>
      <c r="BL140" s="251">
        <v>5.50000000003</v>
      </c>
      <c r="BM140" s="251">
        <v>4.00000000004</v>
      </c>
      <c r="BN140" s="251">
        <v>5.0000000000000002E-11</v>
      </c>
      <c r="BO140" s="251">
        <v>7.00000000006</v>
      </c>
      <c r="BP140" s="251">
        <v>4.00000000007</v>
      </c>
      <c r="BQ140" s="251">
        <v>7.9999999999999995E-11</v>
      </c>
      <c r="BR140" s="344">
        <f t="shared" si="408"/>
        <v>10.500000000015</v>
      </c>
      <c r="BS140" s="344">
        <f t="shared" ref="BS140:BS203" si="442">BC140*BK140</f>
        <v>4.00000000002</v>
      </c>
      <c r="BT140" s="344">
        <f t="shared" ref="BT140:BT203" si="443">BD140*BL140</f>
        <v>5.50000000003</v>
      </c>
      <c r="BU140" s="344">
        <f t="shared" ref="BU140:BU203" si="444">BE140*BM140</f>
        <v>4.00000000004</v>
      </c>
      <c r="BV140" s="344">
        <f t="shared" ref="BV140:BV203" si="445">BF140*BN140</f>
        <v>5.0000000000000002E-11</v>
      </c>
      <c r="BW140" s="344">
        <f t="shared" ref="BW140:BW203" si="446">BG140*BO140</f>
        <v>7.00000000006</v>
      </c>
      <c r="BX140" s="344">
        <f t="shared" ref="BX140:BX203" si="447">BH140*BP140</f>
        <v>4.00000000007</v>
      </c>
      <c r="BY140" s="344">
        <f t="shared" ref="BY140:BY203" si="448">BI140*BQ140</f>
        <v>7.9999999999999995E-11</v>
      </c>
      <c r="BZ140" s="344" t="b">
        <f t="shared" si="409"/>
        <v>1</v>
      </c>
      <c r="CA140" s="344" t="b">
        <f t="shared" si="410"/>
        <v>0</v>
      </c>
      <c r="CB140" s="344" t="b">
        <f t="shared" si="411"/>
        <v>1</v>
      </c>
      <c r="CC140" s="344" t="b">
        <f t="shared" si="412"/>
        <v>1</v>
      </c>
      <c r="CD140" s="344" t="b">
        <f t="shared" si="413"/>
        <v>0</v>
      </c>
      <c r="CE140" s="344" t="b">
        <f t="shared" si="414"/>
        <v>1</v>
      </c>
      <c r="CF140" s="344" t="b">
        <f t="shared" si="415"/>
        <v>1</v>
      </c>
      <c r="CG140" s="344" t="b">
        <f t="shared" si="416"/>
        <v>0</v>
      </c>
      <c r="CH140" s="344">
        <v>1.5</v>
      </c>
      <c r="CI140" s="344">
        <v>1</v>
      </c>
      <c r="CJ140" s="344">
        <v>1</v>
      </c>
      <c r="CK140" s="344">
        <v>1</v>
      </c>
      <c r="CL140" s="344">
        <v>1</v>
      </c>
      <c r="CM140" s="344">
        <v>1</v>
      </c>
      <c r="CN140" s="344">
        <v>1</v>
      </c>
      <c r="CO140" s="344">
        <v>1</v>
      </c>
      <c r="CP140" s="251">
        <v>7.00000000001</v>
      </c>
      <c r="CQ140" s="251">
        <v>5.50000000002</v>
      </c>
      <c r="CR140" s="251">
        <v>4.00000000003</v>
      </c>
      <c r="CS140" s="251">
        <v>4.00000000004</v>
      </c>
      <c r="CT140" s="251">
        <v>5.0000000000000002E-11</v>
      </c>
      <c r="CU140" s="251">
        <v>8.50000000006</v>
      </c>
      <c r="CV140" s="251">
        <v>4.00000000007</v>
      </c>
      <c r="CW140" s="251">
        <v>7.9999999999999995E-11</v>
      </c>
      <c r="CX140" s="344">
        <f t="shared" ref="CX140:CX203" si="449">CP140*CH140</f>
        <v>10.500000000015</v>
      </c>
      <c r="CY140" s="344">
        <f t="shared" si="417"/>
        <v>5.50000000002</v>
      </c>
      <c r="CZ140" s="344">
        <f t="shared" si="418"/>
        <v>4.00000000003</v>
      </c>
      <c r="DA140" s="344">
        <f t="shared" si="419"/>
        <v>4.00000000004</v>
      </c>
      <c r="DB140" s="344">
        <f t="shared" si="420"/>
        <v>5.0000000000000002E-11</v>
      </c>
      <c r="DC140" s="344">
        <f t="shared" si="421"/>
        <v>8.50000000006</v>
      </c>
      <c r="DD140" s="344">
        <f t="shared" si="422"/>
        <v>4.00000000007</v>
      </c>
      <c r="DE140" s="344">
        <f t="shared" si="423"/>
        <v>7.9999999999999995E-11</v>
      </c>
      <c r="DF140" s="344" t="b">
        <f t="shared" si="424"/>
        <v>1</v>
      </c>
      <c r="DG140" s="344" t="b">
        <f t="shared" si="425"/>
        <v>1</v>
      </c>
      <c r="DH140" s="344" t="b">
        <f t="shared" si="426"/>
        <v>0</v>
      </c>
      <c r="DI140" s="344" t="b">
        <f t="shared" si="427"/>
        <v>1</v>
      </c>
      <c r="DJ140" s="344" t="b">
        <f t="shared" si="428"/>
        <v>0</v>
      </c>
      <c r="DK140" s="344" t="b">
        <f t="shared" si="429"/>
        <v>1</v>
      </c>
      <c r="DL140" s="344" t="b">
        <f t="shared" si="430"/>
        <v>1</v>
      </c>
      <c r="DM140" s="344" t="b">
        <f t="shared" si="431"/>
        <v>0</v>
      </c>
      <c r="DN140" s="344">
        <v>1.5</v>
      </c>
      <c r="DO140" s="344">
        <v>1</v>
      </c>
      <c r="DP140" s="344">
        <v>1</v>
      </c>
      <c r="DQ140" s="344">
        <v>1</v>
      </c>
      <c r="DR140" s="344">
        <v>1</v>
      </c>
      <c r="DS140" s="344">
        <v>1</v>
      </c>
      <c r="DT140" s="344">
        <v>1</v>
      </c>
      <c r="DU140" s="344">
        <v>1</v>
      </c>
      <c r="DV140" s="251">
        <v>8.5000000000099991</v>
      </c>
      <c r="DW140" s="251">
        <v>3.00000000002</v>
      </c>
      <c r="DX140" s="251">
        <v>3.00000000003</v>
      </c>
      <c r="DY140" s="251">
        <v>8.50000000004</v>
      </c>
      <c r="DZ140" s="251">
        <v>5.0000000000000002E-11</v>
      </c>
      <c r="EA140" s="251">
        <v>5.50000000006</v>
      </c>
      <c r="EB140" s="251">
        <v>5.50000000007</v>
      </c>
      <c r="EC140" s="251">
        <v>7.9999999999999995E-11</v>
      </c>
      <c r="ED140" s="344">
        <f t="shared" ref="ED140:ED203" si="450">DV140*DN140</f>
        <v>12.750000000015</v>
      </c>
      <c r="EE140" s="344">
        <f t="shared" ref="EE140:EE203" si="451">DW140*DO140</f>
        <v>3.00000000002</v>
      </c>
      <c r="EF140" s="344">
        <f t="shared" ref="EF140:EF203" si="452">DX140*DP140</f>
        <v>3.00000000003</v>
      </c>
      <c r="EG140" s="344">
        <f t="shared" ref="EG140:EG203" si="453">DY140*DQ140</f>
        <v>8.50000000004</v>
      </c>
      <c r="EH140" s="344">
        <f t="shared" ref="EH140:EH203" si="454">DZ140*DR140</f>
        <v>5.0000000000000002E-11</v>
      </c>
      <c r="EI140" s="344">
        <f t="shared" ref="EI140:EI203" si="455">EA140*DS140</f>
        <v>5.50000000006</v>
      </c>
      <c r="EJ140" s="344">
        <f t="shared" ref="EJ140:EJ203" si="456">EB140*DT140</f>
        <v>5.50000000007</v>
      </c>
      <c r="EK140" s="344">
        <f t="shared" ref="EK140:EK203" si="457">EC140*DU140</f>
        <v>7.9999999999999995E-11</v>
      </c>
      <c r="EL140" s="344" t="b">
        <f t="shared" si="433"/>
        <v>1</v>
      </c>
      <c r="EM140" s="344" t="b">
        <f t="shared" si="434"/>
        <v>0</v>
      </c>
      <c r="EN140" s="344" t="b">
        <f t="shared" si="435"/>
        <v>1</v>
      </c>
      <c r="EO140" s="344" t="b">
        <f t="shared" si="436"/>
        <v>1</v>
      </c>
      <c r="EP140" s="344" t="b">
        <f t="shared" si="437"/>
        <v>0</v>
      </c>
      <c r="EQ140" s="344" t="b">
        <f t="shared" si="438"/>
        <v>1</v>
      </c>
      <c r="ER140" s="344" t="b">
        <f t="shared" si="439"/>
        <v>1</v>
      </c>
      <c r="ES140" s="344" t="b">
        <f t="shared" si="440"/>
        <v>0</v>
      </c>
    </row>
    <row r="141" spans="1:149" s="251" customFormat="1" x14ac:dyDescent="0.3">
      <c r="A141" s="251" t="s">
        <v>758</v>
      </c>
      <c r="B141" s="251" t="s">
        <v>2247</v>
      </c>
      <c r="C141" s="251" t="s">
        <v>2180</v>
      </c>
      <c r="D141" s="251" t="s">
        <v>761</v>
      </c>
      <c r="E141" s="251" t="s">
        <v>1977</v>
      </c>
      <c r="F141" s="344">
        <f t="shared" si="441"/>
        <v>26.000000000220002</v>
      </c>
      <c r="G141" s="344">
        <f t="shared" si="406"/>
        <v>25.000000000209997</v>
      </c>
      <c r="H141" s="344">
        <f t="shared" si="407"/>
        <v>24.5000000002</v>
      </c>
      <c r="I141" s="251" t="s">
        <v>1970</v>
      </c>
      <c r="J141" s="251" t="s">
        <v>1970</v>
      </c>
      <c r="K141" s="251" t="s">
        <v>1970</v>
      </c>
      <c r="L141" s="251" t="s">
        <v>1970</v>
      </c>
      <c r="M141" s="251" t="s">
        <v>1970</v>
      </c>
      <c r="N141" s="344" t="s">
        <v>1978</v>
      </c>
      <c r="O141" s="344" t="s">
        <v>1978</v>
      </c>
      <c r="P141" s="344" t="s">
        <v>1978</v>
      </c>
      <c r="Q141" s="344" t="s">
        <v>1978</v>
      </c>
      <c r="R141" s="344" t="s">
        <v>1978</v>
      </c>
      <c r="S141" s="344" t="s">
        <v>1978</v>
      </c>
      <c r="T141" s="251" t="s">
        <v>759</v>
      </c>
      <c r="U141" s="251" t="s">
        <v>2165</v>
      </c>
      <c r="V141" s="251" t="s">
        <v>1970</v>
      </c>
      <c r="W141" s="251" t="s">
        <v>1970</v>
      </c>
      <c r="X141" s="344">
        <f>'A123'!J149</f>
        <v>17</v>
      </c>
      <c r="Y141" s="344">
        <f>'A123'!K149</f>
        <v>14</v>
      </c>
      <c r="Z141" s="344">
        <f>'A123'!L149</f>
        <v>13.357142857142858</v>
      </c>
      <c r="AA141" s="344" t="s">
        <v>2165</v>
      </c>
      <c r="AB141" s="344" t="str">
        <f>入學要求!X150</f>
        <v>/</v>
      </c>
      <c r="AC141" s="344" t="str">
        <f>入學要求!Y150</f>
        <v>/</v>
      </c>
      <c r="AD141" s="344" t="s">
        <v>1977</v>
      </c>
      <c r="AE141" s="344" t="s">
        <v>1970</v>
      </c>
      <c r="AF141" s="344" t="s">
        <v>1970</v>
      </c>
      <c r="AG141" s="344" t="s">
        <v>1970</v>
      </c>
      <c r="AH141" s="344" t="s">
        <v>1970</v>
      </c>
      <c r="AI141" s="344" t="s">
        <v>1970</v>
      </c>
      <c r="AJ141" s="344" t="s">
        <v>1970</v>
      </c>
      <c r="AK141" s="251" t="s">
        <v>1970</v>
      </c>
      <c r="AL141" s="251" t="s">
        <v>1970</v>
      </c>
      <c r="AM141" s="251" t="s">
        <v>1970</v>
      </c>
      <c r="AN141" s="251" t="s">
        <v>1970</v>
      </c>
      <c r="AO141" s="251" t="s">
        <v>1970</v>
      </c>
      <c r="AP141" s="251" t="s">
        <v>1970</v>
      </c>
      <c r="AQ141" s="344" t="s">
        <v>1970</v>
      </c>
      <c r="AR141" s="428" t="s">
        <v>2150</v>
      </c>
      <c r="AS141" s="251" t="s">
        <v>3610</v>
      </c>
      <c r="AT141" s="251" t="s">
        <v>1970</v>
      </c>
      <c r="AU141" s="251" t="s">
        <v>3646</v>
      </c>
      <c r="AV141" s="344" t="s">
        <v>3735</v>
      </c>
      <c r="AW141" s="344" t="s">
        <v>3736</v>
      </c>
      <c r="AX141" s="344" t="s">
        <v>3738</v>
      </c>
      <c r="AY141" s="344" t="s">
        <v>3722</v>
      </c>
      <c r="AZ141" s="344" t="s">
        <v>3737</v>
      </c>
      <c r="BA141" s="381" t="s">
        <v>3725</v>
      </c>
      <c r="BB141" s="251">
        <v>1</v>
      </c>
      <c r="BC141" s="251">
        <v>1</v>
      </c>
      <c r="BD141" s="344">
        <v>1</v>
      </c>
      <c r="BE141" s="344">
        <v>1</v>
      </c>
      <c r="BF141" s="344">
        <v>1</v>
      </c>
      <c r="BG141" s="344">
        <v>1</v>
      </c>
      <c r="BH141" s="344">
        <v>1</v>
      </c>
      <c r="BI141" s="344">
        <v>1</v>
      </c>
      <c r="BJ141" s="251">
        <v>4.00000000001</v>
      </c>
      <c r="BK141" s="251">
        <v>4.00000000002</v>
      </c>
      <c r="BL141" s="251">
        <v>3.00000000003</v>
      </c>
      <c r="BM141" s="251">
        <v>4.00000000004</v>
      </c>
      <c r="BN141" s="251">
        <v>5.0000000000000002E-11</v>
      </c>
      <c r="BO141" s="251">
        <v>7.00000000006</v>
      </c>
      <c r="BP141" s="251">
        <v>5.50000000007</v>
      </c>
      <c r="BQ141" s="251">
        <v>7.9999999999999995E-11</v>
      </c>
      <c r="BR141" s="344">
        <f t="shared" si="408"/>
        <v>4.00000000001</v>
      </c>
      <c r="BS141" s="344">
        <f t="shared" si="442"/>
        <v>4.00000000002</v>
      </c>
      <c r="BT141" s="344">
        <f t="shared" si="443"/>
        <v>3.00000000003</v>
      </c>
      <c r="BU141" s="344">
        <f t="shared" si="444"/>
        <v>4.00000000004</v>
      </c>
      <c r="BV141" s="344">
        <f t="shared" si="445"/>
        <v>5.0000000000000002E-11</v>
      </c>
      <c r="BW141" s="344">
        <f t="shared" si="446"/>
        <v>7.00000000006</v>
      </c>
      <c r="BX141" s="344">
        <f t="shared" si="447"/>
        <v>5.50000000007</v>
      </c>
      <c r="BY141" s="344">
        <f t="shared" si="448"/>
        <v>7.9999999999999995E-11</v>
      </c>
      <c r="BZ141" s="344" t="b">
        <f t="shared" si="409"/>
        <v>1</v>
      </c>
      <c r="CA141" s="344" t="b">
        <f t="shared" si="410"/>
        <v>1</v>
      </c>
      <c r="CB141" s="344" t="b">
        <f t="shared" si="411"/>
        <v>0</v>
      </c>
      <c r="CC141" s="344" t="b">
        <f t="shared" si="412"/>
        <v>1</v>
      </c>
      <c r="CD141" s="344" t="b">
        <f t="shared" si="413"/>
        <v>0</v>
      </c>
      <c r="CE141" s="344" t="b">
        <f t="shared" si="414"/>
        <v>1</v>
      </c>
      <c r="CF141" s="344" t="b">
        <f t="shared" si="415"/>
        <v>1</v>
      </c>
      <c r="CG141" s="344" t="b">
        <f t="shared" si="416"/>
        <v>0</v>
      </c>
      <c r="CH141" s="344">
        <v>1</v>
      </c>
      <c r="CI141" s="344">
        <v>1</v>
      </c>
      <c r="CJ141" s="344">
        <v>1</v>
      </c>
      <c r="CK141" s="344">
        <v>1</v>
      </c>
      <c r="CL141" s="344">
        <v>1</v>
      </c>
      <c r="CM141" s="344">
        <v>1</v>
      </c>
      <c r="CN141" s="344">
        <v>1</v>
      </c>
      <c r="CO141" s="344">
        <v>1</v>
      </c>
      <c r="CP141" s="251">
        <v>7.00000000001</v>
      </c>
      <c r="CQ141" s="251">
        <v>3.00000000002</v>
      </c>
      <c r="CR141" s="251">
        <v>4.00000000003</v>
      </c>
      <c r="CS141" s="251">
        <v>5.50000000004</v>
      </c>
      <c r="CT141" s="251">
        <v>5.0000000000000002E-11</v>
      </c>
      <c r="CU141" s="251">
        <v>5.50000000006</v>
      </c>
      <c r="CV141" s="251">
        <v>3.00000000007</v>
      </c>
      <c r="CW141" s="251">
        <v>7.9999999999999995E-11</v>
      </c>
      <c r="CX141" s="344">
        <f t="shared" si="449"/>
        <v>7.00000000001</v>
      </c>
      <c r="CY141" s="344">
        <f t="shared" si="417"/>
        <v>3.00000000002</v>
      </c>
      <c r="CZ141" s="344">
        <f t="shared" si="418"/>
        <v>4.00000000003</v>
      </c>
      <c r="DA141" s="344">
        <f t="shared" si="419"/>
        <v>5.50000000004</v>
      </c>
      <c r="DB141" s="344">
        <f t="shared" si="420"/>
        <v>5.0000000000000002E-11</v>
      </c>
      <c r="DC141" s="344">
        <f t="shared" si="421"/>
        <v>5.50000000006</v>
      </c>
      <c r="DD141" s="344">
        <f t="shared" si="422"/>
        <v>3.00000000007</v>
      </c>
      <c r="DE141" s="344">
        <f t="shared" si="423"/>
        <v>7.9999999999999995E-11</v>
      </c>
      <c r="DF141" s="344" t="b">
        <f t="shared" si="424"/>
        <v>1</v>
      </c>
      <c r="DG141" s="344" t="b">
        <f t="shared" si="425"/>
        <v>0</v>
      </c>
      <c r="DH141" s="344" t="b">
        <f t="shared" si="426"/>
        <v>1</v>
      </c>
      <c r="DI141" s="344" t="b">
        <f t="shared" si="427"/>
        <v>1</v>
      </c>
      <c r="DJ141" s="344" t="b">
        <f t="shared" si="428"/>
        <v>0</v>
      </c>
      <c r="DK141" s="344" t="b">
        <f t="shared" si="429"/>
        <v>1</v>
      </c>
      <c r="DL141" s="344" t="b">
        <f t="shared" si="430"/>
        <v>1</v>
      </c>
      <c r="DM141" s="344" t="b">
        <f t="shared" si="431"/>
        <v>0</v>
      </c>
      <c r="DN141" s="344">
        <v>1</v>
      </c>
      <c r="DO141" s="344">
        <v>1</v>
      </c>
      <c r="DP141" s="344">
        <v>1</v>
      </c>
      <c r="DQ141" s="344">
        <v>1</v>
      </c>
      <c r="DR141" s="344">
        <v>1</v>
      </c>
      <c r="DS141" s="344">
        <v>1</v>
      </c>
      <c r="DT141" s="344">
        <v>1</v>
      </c>
      <c r="DU141" s="344">
        <v>1</v>
      </c>
      <c r="DV141" s="251">
        <v>5.50000000001</v>
      </c>
      <c r="DW141" s="251">
        <v>4.00000000002</v>
      </c>
      <c r="DX141" s="251">
        <v>7.00000000003</v>
      </c>
      <c r="DY141" s="251">
        <v>4.00000000004</v>
      </c>
      <c r="DZ141" s="251">
        <v>5.50000000005</v>
      </c>
      <c r="EA141" s="251">
        <v>4.00000000006</v>
      </c>
      <c r="EB141" s="251">
        <v>4.00000000007</v>
      </c>
      <c r="EC141" s="251">
        <v>7.9999999999999995E-11</v>
      </c>
      <c r="ED141" s="344">
        <f t="shared" si="450"/>
        <v>5.50000000001</v>
      </c>
      <c r="EE141" s="344">
        <f t="shared" si="451"/>
        <v>4.00000000002</v>
      </c>
      <c r="EF141" s="344">
        <f t="shared" si="452"/>
        <v>7.00000000003</v>
      </c>
      <c r="EG141" s="344">
        <f t="shared" si="453"/>
        <v>4.00000000004</v>
      </c>
      <c r="EH141" s="344">
        <f t="shared" si="454"/>
        <v>5.50000000005</v>
      </c>
      <c r="EI141" s="344">
        <f t="shared" si="455"/>
        <v>4.00000000006</v>
      </c>
      <c r="EJ141" s="344">
        <f t="shared" si="456"/>
        <v>4.00000000007</v>
      </c>
      <c r="EK141" s="344">
        <f t="shared" si="457"/>
        <v>7.9999999999999995E-11</v>
      </c>
      <c r="EL141" s="344" t="b">
        <f t="shared" si="433"/>
        <v>1</v>
      </c>
      <c r="EM141" s="344" t="b">
        <f t="shared" si="434"/>
        <v>0</v>
      </c>
      <c r="EN141" s="344" t="b">
        <f t="shared" si="435"/>
        <v>1</v>
      </c>
      <c r="EO141" s="344" t="b">
        <f t="shared" si="436"/>
        <v>0</v>
      </c>
      <c r="EP141" s="344" t="b">
        <f t="shared" si="437"/>
        <v>1</v>
      </c>
      <c r="EQ141" s="344" t="b">
        <f t="shared" si="438"/>
        <v>1</v>
      </c>
      <c r="ER141" s="344" t="b">
        <f t="shared" si="439"/>
        <v>1</v>
      </c>
      <c r="ES141" s="344" t="b">
        <f t="shared" si="440"/>
        <v>0</v>
      </c>
    </row>
    <row r="142" spans="1:149" s="251" customFormat="1" x14ac:dyDescent="0.3">
      <c r="A142" s="251" t="s">
        <v>762</v>
      </c>
      <c r="B142" s="251" t="s">
        <v>2247</v>
      </c>
      <c r="C142" s="251" t="s">
        <v>2180</v>
      </c>
      <c r="D142" s="251" t="s">
        <v>765</v>
      </c>
      <c r="E142" s="251" t="s">
        <v>1977</v>
      </c>
      <c r="F142" s="344">
        <f t="shared" si="441"/>
        <v>26.000000000220002</v>
      </c>
      <c r="G142" s="344">
        <f t="shared" si="406"/>
        <v>24.5000000002</v>
      </c>
      <c r="H142" s="344">
        <f t="shared" si="407"/>
        <v>24.500000000209997</v>
      </c>
      <c r="I142" s="251" t="s">
        <v>1970</v>
      </c>
      <c r="J142" s="251" t="s">
        <v>1970</v>
      </c>
      <c r="K142" s="251" t="s">
        <v>1970</v>
      </c>
      <c r="L142" s="251" t="s">
        <v>1970</v>
      </c>
      <c r="M142" s="251" t="s">
        <v>1970</v>
      </c>
      <c r="N142" s="344" t="s">
        <v>1978</v>
      </c>
      <c r="O142" s="344" t="s">
        <v>1978</v>
      </c>
      <c r="P142" s="344" t="s">
        <v>1978</v>
      </c>
      <c r="Q142" s="344" t="s">
        <v>1978</v>
      </c>
      <c r="R142" s="344" t="s">
        <v>1978</v>
      </c>
      <c r="S142" s="344" t="s">
        <v>1978</v>
      </c>
      <c r="T142" s="251" t="s">
        <v>763</v>
      </c>
      <c r="U142" s="251" t="s">
        <v>2165</v>
      </c>
      <c r="V142" s="251" t="s">
        <v>1970</v>
      </c>
      <c r="W142" s="251" t="s">
        <v>1970</v>
      </c>
      <c r="X142" s="344">
        <f>'A123'!J150</f>
        <v>20</v>
      </c>
      <c r="Y142" s="344">
        <f>'A123'!K150</f>
        <v>21</v>
      </c>
      <c r="Z142" s="344">
        <f>'A123'!L150</f>
        <v>7.3809523809523814</v>
      </c>
      <c r="AA142" s="344" t="s">
        <v>2165</v>
      </c>
      <c r="AB142" s="344" t="str">
        <f>入學要求!X151</f>
        <v>/</v>
      </c>
      <c r="AC142" s="344" t="str">
        <f>入學要求!Y151</f>
        <v>/</v>
      </c>
      <c r="AD142" s="344" t="s">
        <v>1977</v>
      </c>
      <c r="AE142" s="344" t="s">
        <v>1970</v>
      </c>
      <c r="AF142" s="344" t="s">
        <v>1970</v>
      </c>
      <c r="AG142" s="344" t="s">
        <v>1970</v>
      </c>
      <c r="AH142" s="344" t="s">
        <v>1970</v>
      </c>
      <c r="AI142" s="344" t="s">
        <v>1970</v>
      </c>
      <c r="AJ142" s="344" t="s">
        <v>1970</v>
      </c>
      <c r="AK142" s="251" t="s">
        <v>1970</v>
      </c>
      <c r="AL142" s="251" t="s">
        <v>1970</v>
      </c>
      <c r="AM142" s="251" t="s">
        <v>1970</v>
      </c>
      <c r="AN142" s="251" t="s">
        <v>1970</v>
      </c>
      <c r="AO142" s="251" t="s">
        <v>1970</v>
      </c>
      <c r="AP142" s="251" t="s">
        <v>1970</v>
      </c>
      <c r="AQ142" s="344" t="s">
        <v>1970</v>
      </c>
      <c r="AR142" s="428" t="s">
        <v>2150</v>
      </c>
      <c r="AS142" s="251" t="s">
        <v>3603</v>
      </c>
      <c r="AU142" s="251" t="s">
        <v>1970</v>
      </c>
      <c r="AV142" s="344" t="s">
        <v>3735</v>
      </c>
      <c r="AW142" s="344" t="s">
        <v>3736</v>
      </c>
      <c r="AX142" s="344" t="s">
        <v>3739</v>
      </c>
      <c r="AY142" s="344" t="s">
        <v>3722</v>
      </c>
      <c r="AZ142" s="344" t="s">
        <v>3737</v>
      </c>
      <c r="BA142" s="381" t="s">
        <v>3725</v>
      </c>
      <c r="BB142" s="344">
        <v>1</v>
      </c>
      <c r="BC142" s="344">
        <v>1</v>
      </c>
      <c r="BD142" s="344">
        <v>1</v>
      </c>
      <c r="BE142" s="344">
        <v>1</v>
      </c>
      <c r="BF142" s="344">
        <v>1</v>
      </c>
      <c r="BG142" s="344">
        <v>1</v>
      </c>
      <c r="BH142" s="344">
        <v>1</v>
      </c>
      <c r="BI142" s="344">
        <v>1</v>
      </c>
      <c r="BJ142" s="251">
        <v>8.5000000000099991</v>
      </c>
      <c r="BK142" s="251">
        <v>3.00000000002</v>
      </c>
      <c r="BL142" s="251">
        <v>4.00000000003</v>
      </c>
      <c r="BM142" s="251">
        <v>4.00000000004</v>
      </c>
      <c r="BN142" s="251">
        <v>5.0000000000000002E-11</v>
      </c>
      <c r="BO142" s="251">
        <v>4.00000000006</v>
      </c>
      <c r="BP142" s="251">
        <v>4.00000000007</v>
      </c>
      <c r="BQ142" s="251">
        <v>7.9999999999999995E-11</v>
      </c>
      <c r="BR142" s="344">
        <f t="shared" si="408"/>
        <v>8.5000000000099991</v>
      </c>
      <c r="BS142" s="344">
        <f t="shared" si="442"/>
        <v>3.00000000002</v>
      </c>
      <c r="BT142" s="344">
        <f t="shared" si="443"/>
        <v>4.00000000003</v>
      </c>
      <c r="BU142" s="344">
        <f t="shared" si="444"/>
        <v>4.00000000004</v>
      </c>
      <c r="BV142" s="344">
        <f t="shared" si="445"/>
        <v>5.0000000000000002E-11</v>
      </c>
      <c r="BW142" s="344">
        <f t="shared" si="446"/>
        <v>4.00000000006</v>
      </c>
      <c r="BX142" s="344">
        <f t="shared" si="447"/>
        <v>4.00000000007</v>
      </c>
      <c r="BY142" s="344">
        <f t="shared" si="448"/>
        <v>7.9999999999999995E-11</v>
      </c>
      <c r="BZ142" s="344" t="b">
        <f t="shared" si="409"/>
        <v>1</v>
      </c>
      <c r="CA142" s="344" t="b">
        <f t="shared" si="410"/>
        <v>0</v>
      </c>
      <c r="CB142" s="344" t="b">
        <f t="shared" si="411"/>
        <v>1</v>
      </c>
      <c r="CC142" s="344" t="b">
        <f t="shared" si="412"/>
        <v>1</v>
      </c>
      <c r="CD142" s="344" t="b">
        <f t="shared" si="413"/>
        <v>0</v>
      </c>
      <c r="CE142" s="344" t="b">
        <f t="shared" si="414"/>
        <v>1</v>
      </c>
      <c r="CF142" s="344" t="b">
        <f t="shared" si="415"/>
        <v>1</v>
      </c>
      <c r="CG142" s="344" t="b">
        <f t="shared" si="416"/>
        <v>0</v>
      </c>
      <c r="CH142" s="344">
        <v>1</v>
      </c>
      <c r="CI142" s="344">
        <v>1</v>
      </c>
      <c r="CJ142" s="344">
        <v>1</v>
      </c>
      <c r="CK142" s="344">
        <v>1</v>
      </c>
      <c r="CL142" s="344">
        <v>1</v>
      </c>
      <c r="CM142" s="344">
        <v>1</v>
      </c>
      <c r="CN142" s="344">
        <v>1</v>
      </c>
      <c r="CO142" s="344">
        <v>1</v>
      </c>
      <c r="CP142" s="251">
        <v>5.50000000001</v>
      </c>
      <c r="CQ142" s="251">
        <v>5.50000000002</v>
      </c>
      <c r="CR142" s="251">
        <v>4.00000000003</v>
      </c>
      <c r="CS142" s="251">
        <v>4.00000000004</v>
      </c>
      <c r="CT142" s="251">
        <v>3.00000000005</v>
      </c>
      <c r="CU142" s="251">
        <v>5.50000000006</v>
      </c>
      <c r="CV142" s="251">
        <v>4.00000000007</v>
      </c>
      <c r="CW142" s="251">
        <v>3.00000000008</v>
      </c>
      <c r="CX142" s="344">
        <f t="shared" si="449"/>
        <v>5.50000000001</v>
      </c>
      <c r="CY142" s="344">
        <f t="shared" si="417"/>
        <v>5.50000000002</v>
      </c>
      <c r="CZ142" s="344">
        <f t="shared" si="418"/>
        <v>4.00000000003</v>
      </c>
      <c r="DA142" s="344">
        <f t="shared" si="419"/>
        <v>4.00000000004</v>
      </c>
      <c r="DB142" s="344">
        <f t="shared" si="420"/>
        <v>3.00000000005</v>
      </c>
      <c r="DC142" s="344">
        <f t="shared" si="421"/>
        <v>5.50000000006</v>
      </c>
      <c r="DD142" s="344">
        <f t="shared" si="422"/>
        <v>4.00000000007</v>
      </c>
      <c r="DE142" s="344">
        <f t="shared" si="423"/>
        <v>3.00000000008</v>
      </c>
      <c r="DF142" s="344" t="b">
        <f t="shared" si="424"/>
        <v>1</v>
      </c>
      <c r="DG142" s="344" t="b">
        <f t="shared" si="425"/>
        <v>1</v>
      </c>
      <c r="DH142" s="344" t="b">
        <f t="shared" si="426"/>
        <v>0</v>
      </c>
      <c r="DI142" s="344" t="b">
        <f t="shared" si="427"/>
        <v>1</v>
      </c>
      <c r="DJ142" s="344" t="b">
        <f t="shared" si="428"/>
        <v>0</v>
      </c>
      <c r="DK142" s="344" t="b">
        <f t="shared" si="429"/>
        <v>1</v>
      </c>
      <c r="DL142" s="344" t="b">
        <f t="shared" si="430"/>
        <v>1</v>
      </c>
      <c r="DM142" s="344" t="b">
        <f t="shared" si="431"/>
        <v>0</v>
      </c>
      <c r="DN142" s="344">
        <v>1</v>
      </c>
      <c r="DO142" s="344">
        <v>1</v>
      </c>
      <c r="DP142" s="344">
        <v>1</v>
      </c>
      <c r="DQ142" s="344">
        <v>1</v>
      </c>
      <c r="DR142" s="344">
        <v>1</v>
      </c>
      <c r="DS142" s="344">
        <v>1</v>
      </c>
      <c r="DT142" s="344">
        <v>1</v>
      </c>
      <c r="DU142" s="344">
        <v>1</v>
      </c>
      <c r="DV142" s="251">
        <v>5.50000000001</v>
      </c>
      <c r="DW142" s="251">
        <v>4.00000000002</v>
      </c>
      <c r="DX142" s="251">
        <v>7.00000000003</v>
      </c>
      <c r="DY142" s="251">
        <v>4.00000000004</v>
      </c>
      <c r="DZ142" s="251">
        <v>5.50000000005</v>
      </c>
      <c r="EA142" s="251">
        <v>4.00000000006</v>
      </c>
      <c r="EB142" s="251">
        <v>4.00000000007</v>
      </c>
      <c r="EC142" s="251">
        <v>7.9999999999999995E-11</v>
      </c>
      <c r="ED142" s="344">
        <f t="shared" si="450"/>
        <v>5.50000000001</v>
      </c>
      <c r="EE142" s="344">
        <f t="shared" si="451"/>
        <v>4.00000000002</v>
      </c>
      <c r="EF142" s="344">
        <f t="shared" si="452"/>
        <v>7.00000000003</v>
      </c>
      <c r="EG142" s="344">
        <f t="shared" si="453"/>
        <v>4.00000000004</v>
      </c>
      <c r="EH142" s="344">
        <f t="shared" si="454"/>
        <v>5.50000000005</v>
      </c>
      <c r="EI142" s="344">
        <f t="shared" si="455"/>
        <v>4.00000000006</v>
      </c>
      <c r="EJ142" s="344">
        <f t="shared" si="456"/>
        <v>4.00000000007</v>
      </c>
      <c r="EK142" s="344">
        <f t="shared" si="457"/>
        <v>7.9999999999999995E-11</v>
      </c>
      <c r="EL142" s="344" t="b">
        <f t="shared" si="433"/>
        <v>1</v>
      </c>
      <c r="EM142" s="344" t="b">
        <f t="shared" si="434"/>
        <v>0</v>
      </c>
      <c r="EN142" s="344" t="b">
        <f t="shared" si="435"/>
        <v>1</v>
      </c>
      <c r="EO142" s="344" t="b">
        <f t="shared" si="436"/>
        <v>0</v>
      </c>
      <c r="EP142" s="344" t="b">
        <f t="shared" si="437"/>
        <v>1</v>
      </c>
      <c r="EQ142" s="344" t="b">
        <f t="shared" si="438"/>
        <v>1</v>
      </c>
      <c r="ER142" s="344" t="b">
        <f t="shared" si="439"/>
        <v>1</v>
      </c>
      <c r="ES142" s="344" t="b">
        <f t="shared" si="440"/>
        <v>0</v>
      </c>
    </row>
    <row r="143" spans="1:149" s="251" customFormat="1" x14ac:dyDescent="0.3">
      <c r="A143" s="251" t="s">
        <v>767</v>
      </c>
      <c r="B143" s="251" t="s">
        <v>2247</v>
      </c>
      <c r="C143" s="251" t="s">
        <v>2180</v>
      </c>
      <c r="D143" s="251" t="s">
        <v>770</v>
      </c>
      <c r="E143" s="251" t="s">
        <v>1977</v>
      </c>
      <c r="F143" s="344">
        <f t="shared" si="441"/>
        <v>28.000000000229999</v>
      </c>
      <c r="G143" s="344">
        <f t="shared" si="406"/>
        <v>26.500000000209997</v>
      </c>
      <c r="H143" s="344">
        <f t="shared" si="407"/>
        <v>25.500000000250001</v>
      </c>
      <c r="I143" s="251" t="s">
        <v>3062</v>
      </c>
      <c r="J143" s="251" t="s">
        <v>1970</v>
      </c>
      <c r="K143" s="251" t="s">
        <v>2685</v>
      </c>
      <c r="L143" s="251" t="s">
        <v>1970</v>
      </c>
      <c r="M143" s="251" t="s">
        <v>1970</v>
      </c>
      <c r="N143" s="344" t="s">
        <v>1978</v>
      </c>
      <c r="O143" s="344" t="s">
        <v>1978</v>
      </c>
      <c r="P143" s="344" t="s">
        <v>1978</v>
      </c>
      <c r="Q143" s="344" t="s">
        <v>1978</v>
      </c>
      <c r="R143" s="344" t="s">
        <v>1978</v>
      </c>
      <c r="S143" s="344" t="s">
        <v>1978</v>
      </c>
      <c r="T143" s="251" t="s">
        <v>768</v>
      </c>
      <c r="U143" s="251" t="s">
        <v>2165</v>
      </c>
      <c r="V143" s="251" t="s">
        <v>1970</v>
      </c>
      <c r="W143" s="251" t="s">
        <v>1970</v>
      </c>
      <c r="X143" s="344">
        <f>'A123'!J151</f>
        <v>55</v>
      </c>
      <c r="Y143" s="344">
        <f>'A123'!K151</f>
        <v>52</v>
      </c>
      <c r="Z143" s="344">
        <f>'A123'!L151</f>
        <v>4.75</v>
      </c>
      <c r="AA143" s="344" t="s">
        <v>2165</v>
      </c>
      <c r="AB143" s="344" t="str">
        <f>入學要求!X152</f>
        <v>/</v>
      </c>
      <c r="AC143" s="344" t="str">
        <f>入學要求!Y152</f>
        <v>/</v>
      </c>
      <c r="AD143" s="351" t="s">
        <v>1977</v>
      </c>
      <c r="AE143" s="344" t="s">
        <v>3062</v>
      </c>
      <c r="AF143" s="344" t="s">
        <v>1970</v>
      </c>
      <c r="AG143" s="344" t="s">
        <v>2685</v>
      </c>
      <c r="AH143" s="344" t="s">
        <v>1970</v>
      </c>
      <c r="AI143" s="344" t="s">
        <v>1970</v>
      </c>
      <c r="AJ143" s="344" t="s">
        <v>1970</v>
      </c>
      <c r="AK143" s="251" t="s">
        <v>1970</v>
      </c>
      <c r="AL143" s="251" t="s">
        <v>1970</v>
      </c>
      <c r="AM143" s="251" t="s">
        <v>1970</v>
      </c>
      <c r="AN143" s="251" t="s">
        <v>1970</v>
      </c>
      <c r="AO143" s="251" t="s">
        <v>1970</v>
      </c>
      <c r="AP143" s="251" t="s">
        <v>1970</v>
      </c>
      <c r="AQ143" s="344" t="s">
        <v>1970</v>
      </c>
      <c r="AR143" s="428" t="s">
        <v>2150</v>
      </c>
      <c r="AS143" s="251" t="s">
        <v>3620</v>
      </c>
      <c r="AT143" s="251" t="s">
        <v>3647</v>
      </c>
      <c r="AU143" s="251" t="s">
        <v>3646</v>
      </c>
      <c r="AV143" s="344" t="s">
        <v>3735</v>
      </c>
      <c r="AW143" s="344" t="s">
        <v>3736</v>
      </c>
      <c r="AX143" s="344" t="s">
        <v>3740</v>
      </c>
      <c r="AY143" s="344" t="s">
        <v>3722</v>
      </c>
      <c r="AZ143" s="344" t="s">
        <v>3737</v>
      </c>
      <c r="BA143" s="381" t="s">
        <v>3725</v>
      </c>
      <c r="BB143" s="344">
        <v>1</v>
      </c>
      <c r="BC143" s="344">
        <v>1.5</v>
      </c>
      <c r="BD143" s="344">
        <v>1</v>
      </c>
      <c r="BE143" s="344">
        <v>1</v>
      </c>
      <c r="BF143" s="344">
        <v>1</v>
      </c>
      <c r="BG143" s="344">
        <v>1</v>
      </c>
      <c r="BH143" s="344">
        <v>1</v>
      </c>
      <c r="BI143" s="344">
        <v>1</v>
      </c>
      <c r="BJ143" s="251">
        <v>4.00000000001</v>
      </c>
      <c r="BK143" s="251">
        <v>7.00000000002</v>
      </c>
      <c r="BL143" s="251">
        <v>3.00000000003</v>
      </c>
      <c r="BM143" s="251">
        <v>3.00000000004</v>
      </c>
      <c r="BN143" s="251">
        <v>5.0000000000000002E-11</v>
      </c>
      <c r="BO143" s="251">
        <v>4.00000000006</v>
      </c>
      <c r="BP143" s="251">
        <v>4.00000000007</v>
      </c>
      <c r="BQ143" s="251">
        <v>3.00000000008</v>
      </c>
      <c r="BR143" s="344">
        <f t="shared" si="408"/>
        <v>4.00000000001</v>
      </c>
      <c r="BS143" s="344">
        <f t="shared" si="442"/>
        <v>10.500000000029999</v>
      </c>
      <c r="BT143" s="344">
        <f t="shared" si="443"/>
        <v>3.00000000003</v>
      </c>
      <c r="BU143" s="344">
        <f t="shared" si="444"/>
        <v>3.00000000004</v>
      </c>
      <c r="BV143" s="344">
        <f t="shared" si="445"/>
        <v>5.0000000000000002E-11</v>
      </c>
      <c r="BW143" s="344">
        <f t="shared" si="446"/>
        <v>4.00000000006</v>
      </c>
      <c r="BX143" s="344">
        <f t="shared" si="447"/>
        <v>4.00000000007</v>
      </c>
      <c r="BY143" s="344">
        <f t="shared" si="448"/>
        <v>3.00000000008</v>
      </c>
      <c r="BZ143" s="344" t="b">
        <f t="shared" si="409"/>
        <v>1</v>
      </c>
      <c r="CA143" s="344" t="b">
        <f t="shared" si="410"/>
        <v>1</v>
      </c>
      <c r="CB143" s="344" t="b">
        <f t="shared" si="411"/>
        <v>0</v>
      </c>
      <c r="CC143" s="344" t="b">
        <f t="shared" si="412"/>
        <v>0</v>
      </c>
      <c r="CD143" s="344" t="b">
        <f t="shared" si="413"/>
        <v>0</v>
      </c>
      <c r="CE143" s="344" t="b">
        <f t="shared" si="414"/>
        <v>1</v>
      </c>
      <c r="CF143" s="344" t="b">
        <f t="shared" si="415"/>
        <v>1</v>
      </c>
      <c r="CG143" s="344" t="b">
        <f t="shared" si="416"/>
        <v>1</v>
      </c>
      <c r="CH143" s="344">
        <v>1</v>
      </c>
      <c r="CI143" s="344">
        <v>1.5</v>
      </c>
      <c r="CJ143" s="344">
        <v>1</v>
      </c>
      <c r="CK143" s="344">
        <v>1</v>
      </c>
      <c r="CL143" s="344">
        <v>1</v>
      </c>
      <c r="CM143" s="344">
        <v>1</v>
      </c>
      <c r="CN143" s="344">
        <v>1</v>
      </c>
      <c r="CO143" s="344">
        <v>1</v>
      </c>
      <c r="CP143" s="251">
        <v>4.00000000001</v>
      </c>
      <c r="CQ143" s="251">
        <v>7.00000000002</v>
      </c>
      <c r="CR143" s="251">
        <v>3.00000000003</v>
      </c>
      <c r="CS143" s="251">
        <v>4.00000000004</v>
      </c>
      <c r="CT143" s="251">
        <v>5.0000000000000002E-11</v>
      </c>
      <c r="CU143" s="251">
        <v>4.00000000006</v>
      </c>
      <c r="CV143" s="251">
        <v>4.00000000007</v>
      </c>
      <c r="CW143" s="251">
        <v>7.9999999999999995E-11</v>
      </c>
      <c r="CX143" s="344">
        <f t="shared" si="449"/>
        <v>4.00000000001</v>
      </c>
      <c r="CY143" s="344">
        <f t="shared" si="417"/>
        <v>10.500000000029999</v>
      </c>
      <c r="CZ143" s="344">
        <f t="shared" si="418"/>
        <v>3.00000000003</v>
      </c>
      <c r="DA143" s="344">
        <f t="shared" si="419"/>
        <v>4.00000000004</v>
      </c>
      <c r="DB143" s="344">
        <f t="shared" si="420"/>
        <v>5.0000000000000002E-11</v>
      </c>
      <c r="DC143" s="344">
        <f t="shared" si="421"/>
        <v>4.00000000006</v>
      </c>
      <c r="DD143" s="344">
        <f t="shared" si="422"/>
        <v>4.00000000007</v>
      </c>
      <c r="DE143" s="344">
        <f t="shared" si="423"/>
        <v>7.9999999999999995E-11</v>
      </c>
      <c r="DF143" s="344" t="b">
        <f t="shared" si="424"/>
        <v>1</v>
      </c>
      <c r="DG143" s="344" t="b">
        <f t="shared" si="425"/>
        <v>1</v>
      </c>
      <c r="DH143" s="344" t="b">
        <f t="shared" si="426"/>
        <v>0</v>
      </c>
      <c r="DI143" s="344" t="b">
        <f t="shared" si="427"/>
        <v>1</v>
      </c>
      <c r="DJ143" s="344" t="b">
        <f t="shared" si="428"/>
        <v>0</v>
      </c>
      <c r="DK143" s="344" t="b">
        <f t="shared" si="429"/>
        <v>1</v>
      </c>
      <c r="DL143" s="344" t="b">
        <f t="shared" si="430"/>
        <v>1</v>
      </c>
      <c r="DM143" s="344" t="b">
        <f t="shared" si="431"/>
        <v>0</v>
      </c>
      <c r="DN143" s="344">
        <v>1</v>
      </c>
      <c r="DO143" s="344">
        <v>1.5</v>
      </c>
      <c r="DP143" s="344">
        <v>1</v>
      </c>
      <c r="DQ143" s="344">
        <v>1</v>
      </c>
      <c r="DR143" s="344">
        <v>1</v>
      </c>
      <c r="DS143" s="344">
        <v>1</v>
      </c>
      <c r="DT143" s="344">
        <v>1</v>
      </c>
      <c r="DU143" s="344">
        <v>1</v>
      </c>
      <c r="DV143" s="251">
        <v>4.00000000001</v>
      </c>
      <c r="DW143" s="251">
        <v>7.00000000002</v>
      </c>
      <c r="DX143" s="251">
        <v>4.00000000003</v>
      </c>
      <c r="DY143" s="251">
        <v>4.00000000004</v>
      </c>
      <c r="DZ143" s="251">
        <v>5.0000000000000002E-11</v>
      </c>
      <c r="EA143" s="251">
        <v>5.50000000006</v>
      </c>
      <c r="EB143" s="251">
        <v>4.00000000007</v>
      </c>
      <c r="EC143" s="251">
        <v>7.9999999999999995E-11</v>
      </c>
      <c r="ED143" s="344">
        <f t="shared" si="450"/>
        <v>4.00000000001</v>
      </c>
      <c r="EE143" s="344">
        <f t="shared" si="451"/>
        <v>10.500000000029999</v>
      </c>
      <c r="EF143" s="344">
        <f t="shared" si="452"/>
        <v>4.00000000003</v>
      </c>
      <c r="EG143" s="344">
        <f t="shared" si="453"/>
        <v>4.00000000004</v>
      </c>
      <c r="EH143" s="344">
        <f t="shared" si="454"/>
        <v>5.0000000000000002E-11</v>
      </c>
      <c r="EI143" s="344">
        <f t="shared" si="455"/>
        <v>5.50000000006</v>
      </c>
      <c r="EJ143" s="344">
        <f t="shared" si="456"/>
        <v>4.00000000007</v>
      </c>
      <c r="EK143" s="344">
        <f t="shared" si="457"/>
        <v>7.9999999999999995E-11</v>
      </c>
      <c r="EL143" s="344" t="b">
        <f t="shared" si="433"/>
        <v>0</v>
      </c>
      <c r="EM143" s="344" t="b">
        <f t="shared" si="434"/>
        <v>1</v>
      </c>
      <c r="EN143" s="344" t="b">
        <f t="shared" si="435"/>
        <v>1</v>
      </c>
      <c r="EO143" s="344" t="b">
        <f t="shared" si="436"/>
        <v>1</v>
      </c>
      <c r="EP143" s="344" t="b">
        <f t="shared" si="437"/>
        <v>0</v>
      </c>
      <c r="EQ143" s="344" t="b">
        <f t="shared" si="438"/>
        <v>1</v>
      </c>
      <c r="ER143" s="344" t="b">
        <f t="shared" si="439"/>
        <v>1</v>
      </c>
      <c r="ES143" s="344" t="b">
        <f t="shared" si="440"/>
        <v>0</v>
      </c>
    </row>
    <row r="144" spans="1:149" s="251" customFormat="1" x14ac:dyDescent="0.3">
      <c r="A144" s="251" t="s">
        <v>771</v>
      </c>
      <c r="B144" s="251" t="s">
        <v>2247</v>
      </c>
      <c r="C144" s="251" t="s">
        <v>2180</v>
      </c>
      <c r="D144" s="251" t="s">
        <v>774</v>
      </c>
      <c r="E144" s="251" t="s">
        <v>1977</v>
      </c>
      <c r="F144" s="344">
        <f t="shared" si="441"/>
        <v>30.50000000016</v>
      </c>
      <c r="G144" s="344">
        <f t="shared" si="406"/>
        <v>25.000000000220002</v>
      </c>
      <c r="H144" s="344">
        <f t="shared" si="407"/>
        <v>23.000000000220002</v>
      </c>
      <c r="I144" s="251" t="s">
        <v>3063</v>
      </c>
      <c r="J144" s="251" t="s">
        <v>1970</v>
      </c>
      <c r="K144" s="251" t="s">
        <v>1970</v>
      </c>
      <c r="L144" s="251" t="s">
        <v>1970</v>
      </c>
      <c r="M144" s="251" t="s">
        <v>1970</v>
      </c>
      <c r="N144" s="344" t="s">
        <v>1978</v>
      </c>
      <c r="O144" s="344" t="s">
        <v>1978</v>
      </c>
      <c r="P144" s="344" t="s">
        <v>1978</v>
      </c>
      <c r="Q144" s="344" t="s">
        <v>1978</v>
      </c>
      <c r="R144" s="344" t="s">
        <v>1978</v>
      </c>
      <c r="S144" s="344" t="s">
        <v>1978</v>
      </c>
      <c r="T144" s="251" t="s">
        <v>772</v>
      </c>
      <c r="U144" s="251" t="s">
        <v>2165</v>
      </c>
      <c r="V144" s="251" t="s">
        <v>1970</v>
      </c>
      <c r="W144" s="251" t="s">
        <v>1970</v>
      </c>
      <c r="X144" s="344">
        <f>'A123'!J152</f>
        <v>19</v>
      </c>
      <c r="Y144" s="344">
        <f>'A123'!K152</f>
        <v>20</v>
      </c>
      <c r="Z144" s="344">
        <f>'A123'!L152</f>
        <v>15.45</v>
      </c>
      <c r="AA144" s="344" t="s">
        <v>2165</v>
      </c>
      <c r="AB144" s="344" t="str">
        <f>入學要求!X153</f>
        <v>/</v>
      </c>
      <c r="AC144" s="344" t="str">
        <f>入學要求!Y153</f>
        <v>/</v>
      </c>
      <c r="AD144" s="344" t="s">
        <v>1977</v>
      </c>
      <c r="AE144" s="344" t="s">
        <v>3063</v>
      </c>
      <c r="AF144" s="344" t="s">
        <v>1970</v>
      </c>
      <c r="AG144" s="344" t="s">
        <v>1970</v>
      </c>
      <c r="AH144" s="344" t="s">
        <v>1970</v>
      </c>
      <c r="AI144" s="344" t="s">
        <v>1970</v>
      </c>
      <c r="AJ144" s="344" t="s">
        <v>1970</v>
      </c>
      <c r="AK144" s="251" t="s">
        <v>1970</v>
      </c>
      <c r="AL144" s="251" t="s">
        <v>1970</v>
      </c>
      <c r="AM144" s="251" t="s">
        <v>1970</v>
      </c>
      <c r="AN144" s="251" t="s">
        <v>1970</v>
      </c>
      <c r="AO144" s="251" t="s">
        <v>1970</v>
      </c>
      <c r="AP144" s="251" t="s">
        <v>1970</v>
      </c>
      <c r="AQ144" s="344" t="s">
        <v>1970</v>
      </c>
      <c r="AR144" s="428" t="s">
        <v>2150</v>
      </c>
      <c r="AS144" s="251" t="s">
        <v>3610</v>
      </c>
      <c r="AT144" s="251" t="s">
        <v>1970</v>
      </c>
      <c r="AU144" s="251" t="s">
        <v>3646</v>
      </c>
      <c r="AV144" s="344" t="s">
        <v>3735</v>
      </c>
      <c r="AW144" s="344" t="s">
        <v>3736</v>
      </c>
      <c r="AX144" s="344" t="s">
        <v>3741</v>
      </c>
      <c r="AY144" s="344" t="s">
        <v>3722</v>
      </c>
      <c r="AZ144" s="344" t="s">
        <v>3737</v>
      </c>
      <c r="BA144" s="381" t="s">
        <v>3725</v>
      </c>
      <c r="BB144" s="344">
        <v>1</v>
      </c>
      <c r="BC144" s="344">
        <v>1</v>
      </c>
      <c r="BD144" s="344">
        <v>1</v>
      </c>
      <c r="BE144" s="344">
        <v>1</v>
      </c>
      <c r="BF144" s="344">
        <v>1</v>
      </c>
      <c r="BG144" s="344">
        <v>1</v>
      </c>
      <c r="BH144" s="344">
        <v>1</v>
      </c>
      <c r="BI144" s="344">
        <v>1</v>
      </c>
      <c r="BJ144" s="251">
        <v>4.00000000001</v>
      </c>
      <c r="BK144" s="251">
        <v>5.50000000002</v>
      </c>
      <c r="BL144" s="251">
        <v>4.00000000003</v>
      </c>
      <c r="BM144" s="251">
        <v>4.00000000004</v>
      </c>
      <c r="BN144" s="251">
        <v>5.0000000000000002E-11</v>
      </c>
      <c r="BO144" s="251">
        <v>5.50000000006</v>
      </c>
      <c r="BP144" s="251">
        <v>4.00000000007</v>
      </c>
      <c r="BQ144" s="251">
        <v>7.9999999999999995E-11</v>
      </c>
      <c r="BR144" s="344">
        <f t="shared" si="408"/>
        <v>4.00000000001</v>
      </c>
      <c r="BS144" s="344">
        <f t="shared" si="442"/>
        <v>5.50000000002</v>
      </c>
      <c r="BT144" s="344">
        <f t="shared" si="443"/>
        <v>4.00000000003</v>
      </c>
      <c r="BU144" s="344">
        <f t="shared" si="444"/>
        <v>4.00000000004</v>
      </c>
      <c r="BV144" s="344">
        <f t="shared" si="445"/>
        <v>5.0000000000000002E-11</v>
      </c>
      <c r="BW144" s="344">
        <f t="shared" si="446"/>
        <v>5.50000000006</v>
      </c>
      <c r="BX144" s="344">
        <f t="shared" si="447"/>
        <v>4.00000000007</v>
      </c>
      <c r="BY144" s="344">
        <f t="shared" si="448"/>
        <v>7.9999999999999995E-11</v>
      </c>
      <c r="BZ144" s="344" t="b">
        <f t="shared" si="409"/>
        <v>0</v>
      </c>
      <c r="CA144" s="344" t="b">
        <f t="shared" si="410"/>
        <v>1</v>
      </c>
      <c r="CB144" s="344" t="b">
        <f t="shared" si="411"/>
        <v>1</v>
      </c>
      <c r="CC144" s="344" t="b">
        <f t="shared" si="412"/>
        <v>1</v>
      </c>
      <c r="CD144" s="344" t="b">
        <f t="shared" si="413"/>
        <v>0</v>
      </c>
      <c r="CE144" s="344" t="b">
        <f t="shared" si="414"/>
        <v>1</v>
      </c>
      <c r="CF144" s="344" t="b">
        <f t="shared" si="415"/>
        <v>1</v>
      </c>
      <c r="CG144" s="344" t="b">
        <f t="shared" si="416"/>
        <v>0</v>
      </c>
      <c r="CH144" s="344">
        <v>1</v>
      </c>
      <c r="CI144" s="344">
        <v>1</v>
      </c>
      <c r="CJ144" s="344">
        <v>1</v>
      </c>
      <c r="CK144" s="344">
        <v>1</v>
      </c>
      <c r="CL144" s="344">
        <v>1</v>
      </c>
      <c r="CM144" s="344">
        <v>1</v>
      </c>
      <c r="CN144" s="344">
        <v>1</v>
      </c>
      <c r="CO144" s="344">
        <v>1</v>
      </c>
      <c r="CP144" s="251">
        <v>3.00000000001</v>
      </c>
      <c r="CQ144" s="251">
        <v>4.00000000002</v>
      </c>
      <c r="CR144" s="251">
        <v>3.00000000003</v>
      </c>
      <c r="CS144" s="251">
        <v>5.50000000004</v>
      </c>
      <c r="CT144" s="251">
        <v>5.0000000000000002E-11</v>
      </c>
      <c r="CU144" s="251">
        <v>8.50000000006</v>
      </c>
      <c r="CV144" s="251">
        <v>4.00000000007</v>
      </c>
      <c r="CW144" s="251">
        <v>7.9999999999999995E-11</v>
      </c>
      <c r="CX144" s="344">
        <f t="shared" si="449"/>
        <v>3.00000000001</v>
      </c>
      <c r="CY144" s="344">
        <f t="shared" si="417"/>
        <v>4.00000000002</v>
      </c>
      <c r="CZ144" s="344">
        <f t="shared" si="418"/>
        <v>3.00000000003</v>
      </c>
      <c r="DA144" s="344">
        <f t="shared" si="419"/>
        <v>5.50000000004</v>
      </c>
      <c r="DB144" s="344">
        <f t="shared" si="420"/>
        <v>5.0000000000000002E-11</v>
      </c>
      <c r="DC144" s="344">
        <f t="shared" si="421"/>
        <v>8.50000000006</v>
      </c>
      <c r="DD144" s="344">
        <f t="shared" si="422"/>
        <v>4.00000000007</v>
      </c>
      <c r="DE144" s="344">
        <f t="shared" si="423"/>
        <v>7.9999999999999995E-11</v>
      </c>
      <c r="DF144" s="344" t="b">
        <f t="shared" si="424"/>
        <v>0</v>
      </c>
      <c r="DG144" s="344" t="b">
        <f t="shared" si="425"/>
        <v>1</v>
      </c>
      <c r="DH144" s="344" t="b">
        <f t="shared" si="426"/>
        <v>1</v>
      </c>
      <c r="DI144" s="344" t="b">
        <f t="shared" si="427"/>
        <v>1</v>
      </c>
      <c r="DJ144" s="344" t="b">
        <f t="shared" si="428"/>
        <v>0</v>
      </c>
      <c r="DK144" s="344" t="b">
        <f t="shared" si="429"/>
        <v>1</v>
      </c>
      <c r="DL144" s="344" t="b">
        <f t="shared" si="430"/>
        <v>1</v>
      </c>
      <c r="DM144" s="344" t="b">
        <f t="shared" si="431"/>
        <v>0</v>
      </c>
      <c r="DN144" s="344">
        <v>1</v>
      </c>
      <c r="DO144" s="344">
        <v>1</v>
      </c>
      <c r="DP144" s="344">
        <v>1</v>
      </c>
      <c r="DQ144" s="344">
        <v>1</v>
      </c>
      <c r="DR144" s="344">
        <v>1</v>
      </c>
      <c r="DS144" s="344">
        <v>1</v>
      </c>
      <c r="DT144" s="344">
        <v>1</v>
      </c>
      <c r="DU144" s="344">
        <v>1</v>
      </c>
      <c r="DV144" s="251">
        <v>8.5000000000099991</v>
      </c>
      <c r="DW144" s="251">
        <v>4.00000000002</v>
      </c>
      <c r="DX144" s="251">
        <v>4.00000000003</v>
      </c>
      <c r="DY144" s="251">
        <v>5.50000000004</v>
      </c>
      <c r="DZ144" s="251">
        <v>3.00000000005</v>
      </c>
      <c r="EA144" s="251">
        <v>8.50000000006</v>
      </c>
      <c r="EB144" s="251">
        <v>3.00000000007</v>
      </c>
      <c r="EC144" s="251">
        <v>7.9999999999999995E-11</v>
      </c>
      <c r="ED144" s="344">
        <f t="shared" si="450"/>
        <v>8.5000000000099991</v>
      </c>
      <c r="EE144" s="344">
        <f t="shared" si="451"/>
        <v>4.00000000002</v>
      </c>
      <c r="EF144" s="344">
        <f t="shared" si="452"/>
        <v>4.00000000003</v>
      </c>
      <c r="EG144" s="344">
        <f t="shared" si="453"/>
        <v>5.50000000004</v>
      </c>
      <c r="EH144" s="344">
        <f t="shared" si="454"/>
        <v>3.00000000005</v>
      </c>
      <c r="EI144" s="344">
        <f t="shared" si="455"/>
        <v>8.50000000006</v>
      </c>
      <c r="EJ144" s="344">
        <f t="shared" si="456"/>
        <v>3.00000000007</v>
      </c>
      <c r="EK144" s="344">
        <f t="shared" si="457"/>
        <v>7.9999999999999995E-11</v>
      </c>
      <c r="EL144" s="344" t="b">
        <f t="shared" si="433"/>
        <v>1</v>
      </c>
      <c r="EM144" s="344" t="b">
        <f t="shared" si="434"/>
        <v>1</v>
      </c>
      <c r="EN144" s="344" t="b">
        <f t="shared" si="435"/>
        <v>1</v>
      </c>
      <c r="EO144" s="344" t="b">
        <f t="shared" si="436"/>
        <v>1</v>
      </c>
      <c r="EP144" s="344" t="b">
        <f t="shared" si="437"/>
        <v>0</v>
      </c>
      <c r="EQ144" s="344" t="b">
        <f t="shared" si="438"/>
        <v>1</v>
      </c>
      <c r="ER144" s="344" t="b">
        <f t="shared" si="439"/>
        <v>0</v>
      </c>
      <c r="ES144" s="344" t="b">
        <f t="shared" si="440"/>
        <v>0</v>
      </c>
    </row>
    <row r="145" spans="1:149" s="251" customFormat="1" x14ac:dyDescent="0.3">
      <c r="A145" s="251" t="s">
        <v>776</v>
      </c>
      <c r="B145" s="251" t="s">
        <v>2247</v>
      </c>
      <c r="C145" s="251" t="s">
        <v>2180</v>
      </c>
      <c r="D145" s="251" t="s">
        <v>779</v>
      </c>
      <c r="E145" s="251" t="s">
        <v>1977</v>
      </c>
      <c r="F145" s="344">
        <f t="shared" si="441"/>
        <v>29.000000000209997</v>
      </c>
      <c r="G145" s="344">
        <f t="shared" si="406"/>
        <v>27.500000000220002</v>
      </c>
      <c r="H145" s="344">
        <f t="shared" si="407"/>
        <v>26.000000000209997</v>
      </c>
      <c r="I145" s="251" t="s">
        <v>1970</v>
      </c>
      <c r="J145" s="251" t="s">
        <v>1970</v>
      </c>
      <c r="K145" s="251" t="s">
        <v>1970</v>
      </c>
      <c r="L145" s="251" t="s">
        <v>1970</v>
      </c>
      <c r="M145" s="251" t="s">
        <v>1970</v>
      </c>
      <c r="N145" s="344" t="s">
        <v>1978</v>
      </c>
      <c r="O145" s="344" t="s">
        <v>1978</v>
      </c>
      <c r="P145" s="344" t="s">
        <v>1978</v>
      </c>
      <c r="Q145" s="344" t="s">
        <v>1978</v>
      </c>
      <c r="R145" s="344" t="s">
        <v>1978</v>
      </c>
      <c r="S145" s="344" t="s">
        <v>1978</v>
      </c>
      <c r="T145" s="251" t="s">
        <v>777</v>
      </c>
      <c r="U145" s="251" t="s">
        <v>2165</v>
      </c>
      <c r="V145" s="251" t="s">
        <v>1970</v>
      </c>
      <c r="W145" s="251" t="s">
        <v>1970</v>
      </c>
      <c r="X145" s="344">
        <f>'A123'!J153</f>
        <v>48</v>
      </c>
      <c r="Y145" s="344">
        <f>'A123'!K153</f>
        <v>49</v>
      </c>
      <c r="Z145" s="344">
        <f>'A123'!L153</f>
        <v>10.36734693877551</v>
      </c>
      <c r="AA145" s="344" t="s">
        <v>2165</v>
      </c>
      <c r="AB145" s="344" t="str">
        <f>入學要求!X154</f>
        <v>/</v>
      </c>
      <c r="AC145" s="344" t="str">
        <f>入學要求!Y154</f>
        <v>/</v>
      </c>
      <c r="AD145" s="344" t="s">
        <v>1977</v>
      </c>
      <c r="AE145" s="344" t="s">
        <v>1970</v>
      </c>
      <c r="AF145" s="344" t="s">
        <v>1970</v>
      </c>
      <c r="AG145" s="344" t="s">
        <v>1970</v>
      </c>
      <c r="AH145" s="344" t="s">
        <v>1970</v>
      </c>
      <c r="AI145" s="344" t="s">
        <v>1970</v>
      </c>
      <c r="AJ145" s="344" t="s">
        <v>1970</v>
      </c>
      <c r="AK145" s="251" t="s">
        <v>1970</v>
      </c>
      <c r="AL145" s="251" t="s">
        <v>1970</v>
      </c>
      <c r="AM145" s="251" t="s">
        <v>1970</v>
      </c>
      <c r="AN145" s="251" t="s">
        <v>1970</v>
      </c>
      <c r="AO145" s="251" t="s">
        <v>1970</v>
      </c>
      <c r="AP145" s="251" t="s">
        <v>1970</v>
      </c>
      <c r="AQ145" s="344" t="s">
        <v>1970</v>
      </c>
      <c r="AR145" s="428" t="s">
        <v>2150</v>
      </c>
      <c r="AS145" s="251" t="s">
        <v>3608</v>
      </c>
      <c r="AT145" s="251" t="s">
        <v>1970</v>
      </c>
      <c r="AU145" s="251" t="s">
        <v>1970</v>
      </c>
      <c r="AV145" s="344" t="s">
        <v>3735</v>
      </c>
      <c r="AW145" s="344" t="s">
        <v>3736</v>
      </c>
      <c r="AX145" s="344" t="s">
        <v>3742</v>
      </c>
      <c r="AY145" s="344" t="s">
        <v>3722</v>
      </c>
      <c r="AZ145" s="344" t="s">
        <v>3737</v>
      </c>
      <c r="BA145" s="381" t="s">
        <v>3725</v>
      </c>
      <c r="BB145" s="344">
        <v>1</v>
      </c>
      <c r="BC145" s="344">
        <v>1</v>
      </c>
      <c r="BD145" s="344">
        <v>1</v>
      </c>
      <c r="BE145" s="344">
        <v>1</v>
      </c>
      <c r="BF145" s="344">
        <v>1</v>
      </c>
      <c r="BG145" s="344">
        <v>1</v>
      </c>
      <c r="BH145" s="344">
        <v>1</v>
      </c>
      <c r="BI145" s="344">
        <v>1</v>
      </c>
      <c r="BJ145" s="251">
        <v>4.00000000001</v>
      </c>
      <c r="BK145" s="251">
        <v>3.00000000002</v>
      </c>
      <c r="BL145" s="251">
        <v>4.00000000003</v>
      </c>
      <c r="BM145" s="251">
        <v>5.50000000004</v>
      </c>
      <c r="BN145" s="251">
        <v>5.0000000000000002E-11</v>
      </c>
      <c r="BO145" s="251">
        <v>8.50000000006</v>
      </c>
      <c r="BP145" s="251">
        <v>4.00000000007</v>
      </c>
      <c r="BQ145" s="251">
        <v>7.9999999999999995E-11</v>
      </c>
      <c r="BR145" s="344">
        <f t="shared" si="408"/>
        <v>4.00000000001</v>
      </c>
      <c r="BS145" s="344">
        <f t="shared" si="442"/>
        <v>3.00000000002</v>
      </c>
      <c r="BT145" s="344">
        <f t="shared" si="443"/>
        <v>4.00000000003</v>
      </c>
      <c r="BU145" s="344">
        <f t="shared" si="444"/>
        <v>5.50000000004</v>
      </c>
      <c r="BV145" s="344">
        <f t="shared" si="445"/>
        <v>5.0000000000000002E-11</v>
      </c>
      <c r="BW145" s="344">
        <f t="shared" si="446"/>
        <v>8.50000000006</v>
      </c>
      <c r="BX145" s="344">
        <f t="shared" si="447"/>
        <v>4.00000000007</v>
      </c>
      <c r="BY145" s="344">
        <f t="shared" si="448"/>
        <v>7.9999999999999995E-11</v>
      </c>
      <c r="BZ145" s="344" t="b">
        <f t="shared" si="409"/>
        <v>1</v>
      </c>
      <c r="CA145" s="344" t="b">
        <f t="shared" si="410"/>
        <v>0</v>
      </c>
      <c r="CB145" s="344" t="b">
        <f t="shared" si="411"/>
        <v>1</v>
      </c>
      <c r="CC145" s="344" t="b">
        <f t="shared" si="412"/>
        <v>1</v>
      </c>
      <c r="CD145" s="344" t="b">
        <f t="shared" si="413"/>
        <v>0</v>
      </c>
      <c r="CE145" s="344" t="b">
        <f t="shared" si="414"/>
        <v>1</v>
      </c>
      <c r="CF145" s="344" t="b">
        <f t="shared" si="415"/>
        <v>1</v>
      </c>
      <c r="CG145" s="344" t="b">
        <f t="shared" si="416"/>
        <v>0</v>
      </c>
      <c r="CH145" s="344">
        <v>1</v>
      </c>
      <c r="CI145" s="344">
        <v>1</v>
      </c>
      <c r="CJ145" s="344">
        <v>1</v>
      </c>
      <c r="CK145" s="344">
        <v>1</v>
      </c>
      <c r="CL145" s="344">
        <v>1</v>
      </c>
      <c r="CM145" s="344">
        <v>1</v>
      </c>
      <c r="CN145" s="344">
        <v>1</v>
      </c>
      <c r="CO145" s="344">
        <v>1</v>
      </c>
      <c r="CP145" s="251">
        <v>3.00000000001</v>
      </c>
      <c r="CQ145" s="251">
        <v>4.00000000002</v>
      </c>
      <c r="CR145" s="251">
        <v>4.00000000003</v>
      </c>
      <c r="CS145" s="251">
        <v>5.50000000004</v>
      </c>
      <c r="CT145" s="251">
        <v>5.0000000000000002E-11</v>
      </c>
      <c r="CU145" s="251">
        <v>7.00000000006</v>
      </c>
      <c r="CV145" s="251">
        <v>7.00000000007</v>
      </c>
      <c r="CW145" s="251">
        <v>7.9999999999999995E-11</v>
      </c>
      <c r="CX145" s="344">
        <f t="shared" si="449"/>
        <v>3.00000000001</v>
      </c>
      <c r="CY145" s="344">
        <f t="shared" si="417"/>
        <v>4.00000000002</v>
      </c>
      <c r="CZ145" s="344">
        <f t="shared" si="418"/>
        <v>4.00000000003</v>
      </c>
      <c r="DA145" s="344">
        <f t="shared" si="419"/>
        <v>5.50000000004</v>
      </c>
      <c r="DB145" s="344">
        <f t="shared" si="420"/>
        <v>5.0000000000000002E-11</v>
      </c>
      <c r="DC145" s="344">
        <f t="shared" si="421"/>
        <v>7.00000000006</v>
      </c>
      <c r="DD145" s="344">
        <f t="shared" si="422"/>
        <v>7.00000000007</v>
      </c>
      <c r="DE145" s="344">
        <f t="shared" si="423"/>
        <v>7.9999999999999995E-11</v>
      </c>
      <c r="DF145" s="344" t="b">
        <f t="shared" si="424"/>
        <v>0</v>
      </c>
      <c r="DG145" s="344" t="b">
        <f t="shared" si="425"/>
        <v>1</v>
      </c>
      <c r="DH145" s="344" t="b">
        <f t="shared" si="426"/>
        <v>1</v>
      </c>
      <c r="DI145" s="344" t="b">
        <f t="shared" si="427"/>
        <v>1</v>
      </c>
      <c r="DJ145" s="344" t="b">
        <f t="shared" si="428"/>
        <v>0</v>
      </c>
      <c r="DK145" s="344" t="b">
        <f t="shared" si="429"/>
        <v>1</v>
      </c>
      <c r="DL145" s="344" t="b">
        <f t="shared" si="430"/>
        <v>1</v>
      </c>
      <c r="DM145" s="344" t="b">
        <f t="shared" si="431"/>
        <v>0</v>
      </c>
      <c r="DN145" s="344">
        <v>1</v>
      </c>
      <c r="DO145" s="344">
        <v>1</v>
      </c>
      <c r="DP145" s="344">
        <v>1</v>
      </c>
      <c r="DQ145" s="344">
        <v>1</v>
      </c>
      <c r="DR145" s="344">
        <v>1</v>
      </c>
      <c r="DS145" s="344">
        <v>1</v>
      </c>
      <c r="DT145" s="344">
        <v>1</v>
      </c>
      <c r="DU145" s="344">
        <v>1</v>
      </c>
      <c r="DV145" s="251">
        <v>4.00000000001</v>
      </c>
      <c r="DW145" s="251">
        <v>3.00000000002</v>
      </c>
      <c r="DX145" s="251">
        <v>4.00000000003</v>
      </c>
      <c r="DY145" s="251">
        <v>4.00000000004</v>
      </c>
      <c r="DZ145" s="251">
        <v>5.0000000000000002E-11</v>
      </c>
      <c r="EA145" s="251">
        <v>8.50000000006</v>
      </c>
      <c r="EB145" s="251">
        <v>8.5000000000699991</v>
      </c>
      <c r="EC145" s="251">
        <v>7.9999999999999995E-11</v>
      </c>
      <c r="ED145" s="344">
        <f t="shared" si="450"/>
        <v>4.00000000001</v>
      </c>
      <c r="EE145" s="344">
        <f t="shared" si="451"/>
        <v>3.00000000002</v>
      </c>
      <c r="EF145" s="344">
        <f t="shared" si="452"/>
        <v>4.00000000003</v>
      </c>
      <c r="EG145" s="344">
        <f t="shared" si="453"/>
        <v>4.00000000004</v>
      </c>
      <c r="EH145" s="344">
        <f t="shared" si="454"/>
        <v>5.0000000000000002E-11</v>
      </c>
      <c r="EI145" s="344">
        <f t="shared" si="455"/>
        <v>8.50000000006</v>
      </c>
      <c r="EJ145" s="344">
        <f t="shared" si="456"/>
        <v>8.5000000000699991</v>
      </c>
      <c r="EK145" s="344">
        <f t="shared" si="457"/>
        <v>7.9999999999999995E-11</v>
      </c>
      <c r="EL145" s="344" t="b">
        <f t="shared" si="433"/>
        <v>1</v>
      </c>
      <c r="EM145" s="344" t="b">
        <f t="shared" si="434"/>
        <v>0</v>
      </c>
      <c r="EN145" s="344" t="b">
        <f t="shared" si="435"/>
        <v>1</v>
      </c>
      <c r="EO145" s="344" t="b">
        <f t="shared" si="436"/>
        <v>1</v>
      </c>
      <c r="EP145" s="344" t="b">
        <f t="shared" si="437"/>
        <v>0</v>
      </c>
      <c r="EQ145" s="344" t="b">
        <f t="shared" si="438"/>
        <v>1</v>
      </c>
      <c r="ER145" s="344" t="b">
        <f t="shared" si="439"/>
        <v>1</v>
      </c>
      <c r="ES145" s="344" t="b">
        <f t="shared" si="440"/>
        <v>0</v>
      </c>
    </row>
    <row r="146" spans="1:149" s="251" customFormat="1" x14ac:dyDescent="0.3">
      <c r="A146" s="251" t="s">
        <v>781</v>
      </c>
      <c r="B146" s="251" t="s">
        <v>2247</v>
      </c>
      <c r="C146" s="251" t="s">
        <v>2180</v>
      </c>
      <c r="D146" s="251" t="s">
        <v>784</v>
      </c>
      <c r="E146" s="251" t="s">
        <v>1977</v>
      </c>
      <c r="F146" s="344">
        <f t="shared" si="441"/>
        <v>29.500000000209997</v>
      </c>
      <c r="G146" s="344">
        <f t="shared" si="406"/>
        <v>26.000000000260002</v>
      </c>
      <c r="H146" s="344">
        <f t="shared" si="407"/>
        <v>24.500000000209997</v>
      </c>
      <c r="I146" s="251" t="s">
        <v>1970</v>
      </c>
      <c r="J146" s="251" t="s">
        <v>1970</v>
      </c>
      <c r="K146" s="251" t="s">
        <v>1970</v>
      </c>
      <c r="L146" s="251" t="s">
        <v>1970</v>
      </c>
      <c r="M146" s="251" t="s">
        <v>1970</v>
      </c>
      <c r="N146" s="344" t="s">
        <v>1978</v>
      </c>
      <c r="O146" s="344" t="s">
        <v>1978</v>
      </c>
      <c r="P146" s="344" t="s">
        <v>1978</v>
      </c>
      <c r="Q146" s="344" t="s">
        <v>1978</v>
      </c>
      <c r="R146" s="344" t="s">
        <v>1978</v>
      </c>
      <c r="S146" s="344" t="s">
        <v>1978</v>
      </c>
      <c r="T146" s="251" t="s">
        <v>782</v>
      </c>
      <c r="U146" s="251" t="s">
        <v>2165</v>
      </c>
      <c r="V146" s="251" t="s">
        <v>1970</v>
      </c>
      <c r="W146" s="251" t="s">
        <v>1970</v>
      </c>
      <c r="X146" s="344">
        <f>'A123'!J154</f>
        <v>22</v>
      </c>
      <c r="Y146" s="344">
        <f>'A123'!K154</f>
        <v>22</v>
      </c>
      <c r="Z146" s="344">
        <f>'A123'!L154</f>
        <v>26.5</v>
      </c>
      <c r="AA146" s="344" t="s">
        <v>2165</v>
      </c>
      <c r="AB146" s="344" t="str">
        <f>入學要求!X155</f>
        <v>/</v>
      </c>
      <c r="AC146" s="344" t="str">
        <f>入學要求!Y155</f>
        <v>/</v>
      </c>
      <c r="AD146" s="344" t="s">
        <v>1977</v>
      </c>
      <c r="AE146" s="344" t="s">
        <v>1970</v>
      </c>
      <c r="AF146" s="344" t="s">
        <v>1970</v>
      </c>
      <c r="AG146" s="344" t="s">
        <v>1970</v>
      </c>
      <c r="AH146" s="344" t="s">
        <v>1970</v>
      </c>
      <c r="AI146" s="344" t="s">
        <v>1970</v>
      </c>
      <c r="AJ146" s="344" t="s">
        <v>1970</v>
      </c>
      <c r="AK146" s="251" t="s">
        <v>1970</v>
      </c>
      <c r="AL146" s="251" t="s">
        <v>1970</v>
      </c>
      <c r="AM146" s="251" t="s">
        <v>1970</v>
      </c>
      <c r="AN146" s="251" t="s">
        <v>1970</v>
      </c>
      <c r="AO146" s="251" t="s">
        <v>1970</v>
      </c>
      <c r="AP146" s="251" t="s">
        <v>1970</v>
      </c>
      <c r="AQ146" s="344" t="s">
        <v>1970</v>
      </c>
      <c r="AR146" s="428" t="s">
        <v>2150</v>
      </c>
      <c r="AS146" s="251" t="s">
        <v>3610</v>
      </c>
      <c r="AT146" s="251" t="s">
        <v>1970</v>
      </c>
      <c r="AU146" s="251" t="s">
        <v>3646</v>
      </c>
      <c r="AV146" s="344" t="s">
        <v>3735</v>
      </c>
      <c r="AW146" s="344" t="s">
        <v>3736</v>
      </c>
      <c r="AX146" s="344" t="s">
        <v>3743</v>
      </c>
      <c r="AY146" s="344" t="s">
        <v>3722</v>
      </c>
      <c r="AZ146" s="344" t="s">
        <v>3737</v>
      </c>
      <c r="BA146" s="381" t="s">
        <v>3725</v>
      </c>
      <c r="BB146" s="344">
        <v>1</v>
      </c>
      <c r="BC146" s="344">
        <v>1</v>
      </c>
      <c r="BD146" s="344">
        <v>1</v>
      </c>
      <c r="BE146" s="344">
        <v>1</v>
      </c>
      <c r="BF146" s="344">
        <v>1</v>
      </c>
      <c r="BG146" s="344">
        <v>1</v>
      </c>
      <c r="BH146" s="344">
        <v>1</v>
      </c>
      <c r="BI146" s="344">
        <v>1</v>
      </c>
      <c r="BJ146" s="251">
        <v>7.00000000001</v>
      </c>
      <c r="BK146" s="251">
        <v>4.00000000002</v>
      </c>
      <c r="BL146" s="251">
        <v>4.00000000003</v>
      </c>
      <c r="BM146" s="251">
        <v>4.00000000004</v>
      </c>
      <c r="BN146" s="251">
        <v>5.0000000000000002E-11</v>
      </c>
      <c r="BO146" s="251">
        <v>5.50000000006</v>
      </c>
      <c r="BP146" s="251">
        <v>4.00000000007</v>
      </c>
      <c r="BQ146" s="251">
        <v>7.9999999999999995E-11</v>
      </c>
      <c r="BR146" s="344">
        <f t="shared" si="408"/>
        <v>7.00000000001</v>
      </c>
      <c r="BS146" s="344">
        <f t="shared" si="442"/>
        <v>4.00000000002</v>
      </c>
      <c r="BT146" s="344">
        <f t="shared" si="443"/>
        <v>4.00000000003</v>
      </c>
      <c r="BU146" s="344">
        <f t="shared" si="444"/>
        <v>4.00000000004</v>
      </c>
      <c r="BV146" s="344">
        <f t="shared" si="445"/>
        <v>5.0000000000000002E-11</v>
      </c>
      <c r="BW146" s="344">
        <f t="shared" si="446"/>
        <v>5.50000000006</v>
      </c>
      <c r="BX146" s="344">
        <f t="shared" si="447"/>
        <v>4.00000000007</v>
      </c>
      <c r="BY146" s="344">
        <f t="shared" si="448"/>
        <v>7.9999999999999995E-11</v>
      </c>
      <c r="BZ146" s="344" t="b">
        <f t="shared" si="409"/>
        <v>1</v>
      </c>
      <c r="CA146" s="344" t="b">
        <f t="shared" si="410"/>
        <v>0</v>
      </c>
      <c r="CB146" s="344" t="b">
        <f t="shared" si="411"/>
        <v>1</v>
      </c>
      <c r="CC146" s="344" t="b">
        <f t="shared" si="412"/>
        <v>1</v>
      </c>
      <c r="CD146" s="344" t="b">
        <f t="shared" si="413"/>
        <v>0</v>
      </c>
      <c r="CE146" s="344" t="b">
        <f t="shared" si="414"/>
        <v>1</v>
      </c>
      <c r="CF146" s="344" t="b">
        <f t="shared" si="415"/>
        <v>1</v>
      </c>
      <c r="CG146" s="344" t="b">
        <f t="shared" si="416"/>
        <v>0</v>
      </c>
      <c r="CH146" s="344">
        <v>1</v>
      </c>
      <c r="CI146" s="344">
        <v>1</v>
      </c>
      <c r="CJ146" s="344">
        <v>1</v>
      </c>
      <c r="CK146" s="344">
        <v>1</v>
      </c>
      <c r="CL146" s="344">
        <v>1</v>
      </c>
      <c r="CM146" s="344">
        <v>1</v>
      </c>
      <c r="CN146" s="344">
        <v>1</v>
      </c>
      <c r="CO146" s="344">
        <v>1</v>
      </c>
      <c r="CP146" s="251">
        <v>5.50000000001</v>
      </c>
      <c r="CQ146" s="251">
        <v>4.00000000002</v>
      </c>
      <c r="CR146" s="251">
        <v>4.00000000003</v>
      </c>
      <c r="CS146" s="251">
        <v>4.00000000004</v>
      </c>
      <c r="CT146" s="251">
        <v>5.0000000000000002E-11</v>
      </c>
      <c r="CU146" s="251">
        <v>5.50000000006</v>
      </c>
      <c r="CV146" s="251">
        <v>5.50000000007</v>
      </c>
      <c r="CW146" s="251">
        <v>5.50000000008</v>
      </c>
      <c r="CX146" s="344">
        <f t="shared" si="449"/>
        <v>5.50000000001</v>
      </c>
      <c r="CY146" s="344">
        <f t="shared" si="417"/>
        <v>4.00000000002</v>
      </c>
      <c r="CZ146" s="344">
        <f t="shared" si="418"/>
        <v>4.00000000003</v>
      </c>
      <c r="DA146" s="344">
        <f t="shared" si="419"/>
        <v>4.00000000004</v>
      </c>
      <c r="DB146" s="344">
        <f t="shared" si="420"/>
        <v>5.0000000000000002E-11</v>
      </c>
      <c r="DC146" s="344">
        <f t="shared" si="421"/>
        <v>5.50000000006</v>
      </c>
      <c r="DD146" s="344">
        <f t="shared" si="422"/>
        <v>5.50000000007</v>
      </c>
      <c r="DE146" s="344">
        <f t="shared" si="423"/>
        <v>5.50000000008</v>
      </c>
      <c r="DF146" s="344" t="b">
        <f t="shared" si="424"/>
        <v>1</v>
      </c>
      <c r="DG146" s="344" t="b">
        <f t="shared" si="425"/>
        <v>0</v>
      </c>
      <c r="DH146" s="344" t="b">
        <f t="shared" si="426"/>
        <v>0</v>
      </c>
      <c r="DI146" s="344" t="b">
        <f t="shared" si="427"/>
        <v>1</v>
      </c>
      <c r="DJ146" s="344" t="b">
        <f t="shared" si="428"/>
        <v>0</v>
      </c>
      <c r="DK146" s="344" t="b">
        <f t="shared" si="429"/>
        <v>1</v>
      </c>
      <c r="DL146" s="344" t="b">
        <f t="shared" si="430"/>
        <v>1</v>
      </c>
      <c r="DM146" s="344" t="b">
        <f t="shared" si="431"/>
        <v>1</v>
      </c>
      <c r="DN146" s="344">
        <v>1</v>
      </c>
      <c r="DO146" s="344">
        <v>1</v>
      </c>
      <c r="DP146" s="344">
        <v>1</v>
      </c>
      <c r="DQ146" s="344">
        <v>1</v>
      </c>
      <c r="DR146" s="344">
        <v>1</v>
      </c>
      <c r="DS146" s="344">
        <v>1</v>
      </c>
      <c r="DT146" s="344">
        <v>1</v>
      </c>
      <c r="DU146" s="344">
        <v>1</v>
      </c>
      <c r="DV146" s="251">
        <v>7.00000000001</v>
      </c>
      <c r="DW146" s="251">
        <v>3.00000000002</v>
      </c>
      <c r="DX146" s="251">
        <v>3.00000000003</v>
      </c>
      <c r="DY146" s="251">
        <v>4.00000000004</v>
      </c>
      <c r="DZ146" s="251">
        <v>5.0000000000000002E-11</v>
      </c>
      <c r="EA146" s="251">
        <v>8.50000000006</v>
      </c>
      <c r="EB146" s="251">
        <v>7.00000000007</v>
      </c>
      <c r="EC146" s="251">
        <v>7.9999999999999995E-11</v>
      </c>
      <c r="ED146" s="344">
        <f t="shared" si="450"/>
        <v>7.00000000001</v>
      </c>
      <c r="EE146" s="344">
        <f t="shared" si="451"/>
        <v>3.00000000002</v>
      </c>
      <c r="EF146" s="344">
        <f t="shared" si="452"/>
        <v>3.00000000003</v>
      </c>
      <c r="EG146" s="344">
        <f t="shared" si="453"/>
        <v>4.00000000004</v>
      </c>
      <c r="EH146" s="344">
        <f t="shared" si="454"/>
        <v>5.0000000000000002E-11</v>
      </c>
      <c r="EI146" s="344">
        <f t="shared" si="455"/>
        <v>8.50000000006</v>
      </c>
      <c r="EJ146" s="344">
        <f t="shared" si="456"/>
        <v>7.00000000007</v>
      </c>
      <c r="EK146" s="344">
        <f t="shared" si="457"/>
        <v>7.9999999999999995E-11</v>
      </c>
      <c r="EL146" s="344" t="b">
        <f t="shared" si="433"/>
        <v>1</v>
      </c>
      <c r="EM146" s="344" t="b">
        <f t="shared" si="434"/>
        <v>0</v>
      </c>
      <c r="EN146" s="344" t="b">
        <f t="shared" si="435"/>
        <v>1</v>
      </c>
      <c r="EO146" s="344" t="b">
        <f t="shared" si="436"/>
        <v>1</v>
      </c>
      <c r="EP146" s="344" t="b">
        <f t="shared" si="437"/>
        <v>0</v>
      </c>
      <c r="EQ146" s="344" t="b">
        <f t="shared" si="438"/>
        <v>1</v>
      </c>
      <c r="ER146" s="344" t="b">
        <f t="shared" si="439"/>
        <v>1</v>
      </c>
      <c r="ES146" s="344" t="b">
        <f t="shared" si="440"/>
        <v>0</v>
      </c>
    </row>
    <row r="147" spans="1:149" s="251" customFormat="1" x14ac:dyDescent="0.3">
      <c r="A147" s="251" t="s">
        <v>785</v>
      </c>
      <c r="B147" s="251" t="s">
        <v>2247</v>
      </c>
      <c r="C147" s="251" t="s">
        <v>2180</v>
      </c>
      <c r="D147" s="251" t="s">
        <v>788</v>
      </c>
      <c r="E147" s="251" t="s">
        <v>1977</v>
      </c>
      <c r="F147" s="344">
        <f t="shared" si="441"/>
        <v>27.5000000002</v>
      </c>
      <c r="G147" s="344">
        <f t="shared" si="406"/>
        <v>26.0000000002</v>
      </c>
      <c r="H147" s="344">
        <f t="shared" si="407"/>
        <v>23.00000000024</v>
      </c>
      <c r="I147" s="251" t="s">
        <v>1970</v>
      </c>
      <c r="J147" s="251" t="s">
        <v>1970</v>
      </c>
      <c r="K147" s="251" t="s">
        <v>1970</v>
      </c>
      <c r="L147" s="251" t="s">
        <v>1970</v>
      </c>
      <c r="M147" s="251" t="s">
        <v>1970</v>
      </c>
      <c r="N147" s="344" t="s">
        <v>1978</v>
      </c>
      <c r="O147" s="344" t="s">
        <v>1978</v>
      </c>
      <c r="P147" s="344" t="s">
        <v>1978</v>
      </c>
      <c r="Q147" s="344" t="s">
        <v>1978</v>
      </c>
      <c r="R147" s="344" t="s">
        <v>1978</v>
      </c>
      <c r="S147" s="344" t="s">
        <v>1978</v>
      </c>
      <c r="T147" s="251" t="s">
        <v>786</v>
      </c>
      <c r="U147" s="251" t="s">
        <v>2165</v>
      </c>
      <c r="V147" s="251" t="s">
        <v>1970</v>
      </c>
      <c r="W147" s="251" t="s">
        <v>1970</v>
      </c>
      <c r="X147" s="344">
        <f>'A123'!J155</f>
        <v>22</v>
      </c>
      <c r="Y147" s="344">
        <f>'A123'!K155</f>
        <v>20</v>
      </c>
      <c r="Z147" s="344">
        <f>'A123'!L155</f>
        <v>6.75</v>
      </c>
      <c r="AA147" s="344" t="s">
        <v>2165</v>
      </c>
      <c r="AB147" s="344" t="str">
        <f>入學要求!X156</f>
        <v>/</v>
      </c>
      <c r="AC147" s="344" t="str">
        <f>入學要求!Y156</f>
        <v>/</v>
      </c>
      <c r="AD147" s="344" t="s">
        <v>1977</v>
      </c>
      <c r="AE147" s="344" t="s">
        <v>1970</v>
      </c>
      <c r="AF147" s="344" t="s">
        <v>1970</v>
      </c>
      <c r="AG147" s="344" t="s">
        <v>1970</v>
      </c>
      <c r="AH147" s="344" t="s">
        <v>1970</v>
      </c>
      <c r="AI147" s="344" t="s">
        <v>1970</v>
      </c>
      <c r="AJ147" s="344" t="s">
        <v>1970</v>
      </c>
      <c r="AK147" s="251" t="s">
        <v>1970</v>
      </c>
      <c r="AL147" s="251" t="s">
        <v>1970</v>
      </c>
      <c r="AM147" s="251" t="s">
        <v>1970</v>
      </c>
      <c r="AN147" s="251" t="s">
        <v>1970</v>
      </c>
      <c r="AO147" s="251" t="s">
        <v>1970</v>
      </c>
      <c r="AP147" s="251" t="s">
        <v>1970</v>
      </c>
      <c r="AQ147" s="344" t="s">
        <v>1970</v>
      </c>
      <c r="AR147" s="428" t="s">
        <v>2150</v>
      </c>
      <c r="AS147" s="251" t="s">
        <v>3608</v>
      </c>
      <c r="AT147" s="251" t="s">
        <v>1970</v>
      </c>
      <c r="AU147" s="251" t="s">
        <v>1970</v>
      </c>
      <c r="AV147" s="344" t="s">
        <v>3735</v>
      </c>
      <c r="AW147" s="344" t="s">
        <v>3736</v>
      </c>
      <c r="AX147" s="344" t="s">
        <v>3744</v>
      </c>
      <c r="AY147" s="344" t="s">
        <v>3722</v>
      </c>
      <c r="AZ147" s="344" t="s">
        <v>3737</v>
      </c>
      <c r="BA147" s="381" t="s">
        <v>3725</v>
      </c>
      <c r="BB147" s="344">
        <v>1</v>
      </c>
      <c r="BC147" s="344">
        <v>1</v>
      </c>
      <c r="BD147" s="344">
        <v>1</v>
      </c>
      <c r="BE147" s="344">
        <v>1</v>
      </c>
      <c r="BF147" s="344">
        <v>1</v>
      </c>
      <c r="BG147" s="344">
        <v>1</v>
      </c>
      <c r="BH147" s="344">
        <v>1</v>
      </c>
      <c r="BI147" s="344">
        <v>1</v>
      </c>
      <c r="BJ147" s="251">
        <v>5.50000000001</v>
      </c>
      <c r="BK147" s="251">
        <v>5.50000000002</v>
      </c>
      <c r="BL147" s="251">
        <v>4.00000000003</v>
      </c>
      <c r="BM147" s="251">
        <v>4.00000000004</v>
      </c>
      <c r="BN147" s="251">
        <v>5.0000000000000002E-11</v>
      </c>
      <c r="BO147" s="251">
        <v>4.00000000006</v>
      </c>
      <c r="BP147" s="251">
        <v>4.00000000007</v>
      </c>
      <c r="BQ147" s="251">
        <v>4.00000000008</v>
      </c>
      <c r="BR147" s="344">
        <f t="shared" si="408"/>
        <v>5.50000000001</v>
      </c>
      <c r="BS147" s="344">
        <f t="shared" si="442"/>
        <v>5.50000000002</v>
      </c>
      <c r="BT147" s="344">
        <f t="shared" si="443"/>
        <v>4.00000000003</v>
      </c>
      <c r="BU147" s="344">
        <f t="shared" si="444"/>
        <v>4.00000000004</v>
      </c>
      <c r="BV147" s="344">
        <f t="shared" si="445"/>
        <v>5.0000000000000002E-11</v>
      </c>
      <c r="BW147" s="344">
        <f t="shared" si="446"/>
        <v>4.00000000006</v>
      </c>
      <c r="BX147" s="344">
        <f t="shared" si="447"/>
        <v>4.00000000007</v>
      </c>
      <c r="BY147" s="344">
        <f t="shared" si="448"/>
        <v>4.00000000008</v>
      </c>
      <c r="BZ147" s="344" t="b">
        <f t="shared" si="409"/>
        <v>1</v>
      </c>
      <c r="CA147" s="344" t="b">
        <f t="shared" si="410"/>
        <v>1</v>
      </c>
      <c r="CB147" s="344" t="b">
        <f t="shared" si="411"/>
        <v>0</v>
      </c>
      <c r="CC147" s="344" t="b">
        <f t="shared" si="412"/>
        <v>0</v>
      </c>
      <c r="CD147" s="344" t="b">
        <f t="shared" si="413"/>
        <v>0</v>
      </c>
      <c r="CE147" s="344" t="b">
        <f t="shared" si="414"/>
        <v>1</v>
      </c>
      <c r="CF147" s="344" t="b">
        <f t="shared" si="415"/>
        <v>1</v>
      </c>
      <c r="CG147" s="344" t="b">
        <f t="shared" si="416"/>
        <v>1</v>
      </c>
      <c r="CH147" s="344">
        <v>1</v>
      </c>
      <c r="CI147" s="344">
        <v>1</v>
      </c>
      <c r="CJ147" s="344">
        <v>1</v>
      </c>
      <c r="CK147" s="344">
        <v>1</v>
      </c>
      <c r="CL147" s="344">
        <v>1</v>
      </c>
      <c r="CM147" s="344">
        <v>1</v>
      </c>
      <c r="CN147" s="344">
        <v>1</v>
      </c>
      <c r="CO147" s="344">
        <v>1</v>
      </c>
      <c r="CP147" s="251">
        <v>5.50000000001</v>
      </c>
      <c r="CQ147" s="251">
        <v>5.50000000002</v>
      </c>
      <c r="CR147" s="251">
        <v>4.00000000003</v>
      </c>
      <c r="CS147" s="251">
        <v>4.00000000004</v>
      </c>
      <c r="CT147" s="251">
        <v>5.0000000000000002E-11</v>
      </c>
      <c r="CU147" s="251">
        <v>7.00000000006</v>
      </c>
      <c r="CV147" s="251">
        <v>4.00000000007</v>
      </c>
      <c r="CW147" s="251">
        <v>7.9999999999999995E-11</v>
      </c>
      <c r="CX147" s="344">
        <f t="shared" si="449"/>
        <v>5.50000000001</v>
      </c>
      <c r="CY147" s="344">
        <f t="shared" si="417"/>
        <v>5.50000000002</v>
      </c>
      <c r="CZ147" s="344">
        <f t="shared" si="418"/>
        <v>4.00000000003</v>
      </c>
      <c r="DA147" s="344">
        <f t="shared" si="419"/>
        <v>4.00000000004</v>
      </c>
      <c r="DB147" s="344">
        <f t="shared" si="420"/>
        <v>5.0000000000000002E-11</v>
      </c>
      <c r="DC147" s="344">
        <f t="shared" si="421"/>
        <v>7.00000000006</v>
      </c>
      <c r="DD147" s="344">
        <f t="shared" si="422"/>
        <v>4.00000000007</v>
      </c>
      <c r="DE147" s="344">
        <f t="shared" si="423"/>
        <v>7.9999999999999995E-11</v>
      </c>
      <c r="DF147" s="344" t="b">
        <f t="shared" si="424"/>
        <v>1</v>
      </c>
      <c r="DG147" s="344" t="b">
        <f t="shared" si="425"/>
        <v>1</v>
      </c>
      <c r="DH147" s="344" t="b">
        <f t="shared" si="426"/>
        <v>0</v>
      </c>
      <c r="DI147" s="344" t="b">
        <f t="shared" si="427"/>
        <v>1</v>
      </c>
      <c r="DJ147" s="344" t="b">
        <f t="shared" si="428"/>
        <v>0</v>
      </c>
      <c r="DK147" s="344" t="b">
        <f t="shared" si="429"/>
        <v>1</v>
      </c>
      <c r="DL147" s="344" t="b">
        <f t="shared" si="430"/>
        <v>1</v>
      </c>
      <c r="DM147" s="344" t="b">
        <f t="shared" si="431"/>
        <v>0</v>
      </c>
      <c r="DN147" s="344">
        <v>1</v>
      </c>
      <c r="DO147" s="344">
        <v>1</v>
      </c>
      <c r="DP147" s="344">
        <v>1</v>
      </c>
      <c r="DQ147" s="344">
        <v>1</v>
      </c>
      <c r="DR147" s="344">
        <v>1</v>
      </c>
      <c r="DS147" s="344">
        <v>1</v>
      </c>
      <c r="DT147" s="344">
        <v>1</v>
      </c>
      <c r="DU147" s="344">
        <v>1</v>
      </c>
      <c r="DV147" s="251">
        <v>7.00000000001</v>
      </c>
      <c r="DW147" s="251">
        <v>7.00000000002</v>
      </c>
      <c r="DX147" s="251">
        <v>3.00000000003</v>
      </c>
      <c r="DY147" s="251">
        <v>5.50000000004</v>
      </c>
      <c r="DZ147" s="251">
        <v>5.0000000000000002E-11</v>
      </c>
      <c r="EA147" s="251">
        <v>4.00000000006</v>
      </c>
      <c r="EB147" s="251">
        <v>4.00000000007</v>
      </c>
      <c r="EC147" s="251">
        <v>7.9999999999999995E-11</v>
      </c>
      <c r="ED147" s="344">
        <f t="shared" si="450"/>
        <v>7.00000000001</v>
      </c>
      <c r="EE147" s="344">
        <f t="shared" si="451"/>
        <v>7.00000000002</v>
      </c>
      <c r="EF147" s="344">
        <f t="shared" si="452"/>
        <v>3.00000000003</v>
      </c>
      <c r="EG147" s="344">
        <f t="shared" si="453"/>
        <v>5.50000000004</v>
      </c>
      <c r="EH147" s="344">
        <f t="shared" si="454"/>
        <v>5.0000000000000002E-11</v>
      </c>
      <c r="EI147" s="344">
        <f t="shared" si="455"/>
        <v>4.00000000006</v>
      </c>
      <c r="EJ147" s="344">
        <f t="shared" si="456"/>
        <v>4.00000000007</v>
      </c>
      <c r="EK147" s="344">
        <f t="shared" si="457"/>
        <v>7.9999999999999995E-11</v>
      </c>
      <c r="EL147" s="344" t="b">
        <f t="shared" si="433"/>
        <v>1</v>
      </c>
      <c r="EM147" s="344" t="b">
        <f t="shared" si="434"/>
        <v>1</v>
      </c>
      <c r="EN147" s="344" t="b">
        <f t="shared" si="435"/>
        <v>0</v>
      </c>
      <c r="EO147" s="344" t="b">
        <f t="shared" si="436"/>
        <v>1</v>
      </c>
      <c r="EP147" s="344" t="b">
        <f t="shared" si="437"/>
        <v>0</v>
      </c>
      <c r="EQ147" s="344" t="b">
        <f t="shared" si="438"/>
        <v>1</v>
      </c>
      <c r="ER147" s="344" t="b">
        <f t="shared" si="439"/>
        <v>1</v>
      </c>
      <c r="ES147" s="344" t="b">
        <f t="shared" si="440"/>
        <v>0</v>
      </c>
    </row>
    <row r="148" spans="1:149" s="251" customFormat="1" x14ac:dyDescent="0.3">
      <c r="A148" s="251" t="s">
        <v>790</v>
      </c>
      <c r="B148" s="251" t="s">
        <v>2247</v>
      </c>
      <c r="C148" s="251" t="s">
        <v>2180</v>
      </c>
      <c r="D148" s="251" t="s">
        <v>793</v>
      </c>
      <c r="E148" s="251" t="s">
        <v>1977</v>
      </c>
      <c r="F148" s="344">
        <f t="shared" si="441"/>
        <v>27.500000000220002</v>
      </c>
      <c r="G148" s="344">
        <f t="shared" si="406"/>
        <v>23.000000000260002</v>
      </c>
      <c r="H148" s="344">
        <f t="shared" si="407"/>
        <v>20.00000000016</v>
      </c>
      <c r="I148" s="251" t="s">
        <v>3064</v>
      </c>
      <c r="J148" s="251" t="s">
        <v>1970</v>
      </c>
      <c r="K148" s="251" t="s">
        <v>1970</v>
      </c>
      <c r="L148" s="251" t="s">
        <v>1970</v>
      </c>
      <c r="M148" s="251" t="s">
        <v>1970</v>
      </c>
      <c r="N148" s="344" t="s">
        <v>1978</v>
      </c>
      <c r="O148" s="344" t="s">
        <v>1978</v>
      </c>
      <c r="P148" s="344" t="s">
        <v>1978</v>
      </c>
      <c r="Q148" s="344" t="s">
        <v>1978</v>
      </c>
      <c r="R148" s="344" t="s">
        <v>1978</v>
      </c>
      <c r="S148" s="344" t="s">
        <v>1978</v>
      </c>
      <c r="T148" s="251" t="s">
        <v>791</v>
      </c>
      <c r="U148" s="251" t="s">
        <v>2165</v>
      </c>
      <c r="V148" s="251" t="s">
        <v>1970</v>
      </c>
      <c r="W148" s="251" t="s">
        <v>1970</v>
      </c>
      <c r="X148" s="344">
        <f>'A123'!J156</f>
        <v>27</v>
      </c>
      <c r="Y148" s="344">
        <f>'A123'!K156</f>
        <v>31</v>
      </c>
      <c r="Z148" s="344">
        <f>'A123'!L156</f>
        <v>6.161290322580645</v>
      </c>
      <c r="AA148" s="344" t="s">
        <v>2165</v>
      </c>
      <c r="AB148" s="344" t="str">
        <f>入學要求!X157</f>
        <v>申請人應於某種樂器/聲樂考獲8級或以上。</v>
      </c>
      <c r="AC148" s="344" t="str">
        <f>入學要求!Y157</f>
        <v>/</v>
      </c>
      <c r="AD148" s="344" t="s">
        <v>1977</v>
      </c>
      <c r="AE148" s="344" t="s">
        <v>3064</v>
      </c>
      <c r="AF148" s="344" t="s">
        <v>1970</v>
      </c>
      <c r="AG148" s="344" t="s">
        <v>1970</v>
      </c>
      <c r="AH148" s="344" t="s">
        <v>1970</v>
      </c>
      <c r="AI148" s="344" t="s">
        <v>1970</v>
      </c>
      <c r="AJ148" s="344" t="s">
        <v>1970</v>
      </c>
      <c r="AK148" s="251" t="s">
        <v>1970</v>
      </c>
      <c r="AL148" s="251" t="s">
        <v>1970</v>
      </c>
      <c r="AM148" s="251" t="s">
        <v>1970</v>
      </c>
      <c r="AN148" s="251" t="s">
        <v>1970</v>
      </c>
      <c r="AO148" s="251" t="s">
        <v>1970</v>
      </c>
      <c r="AP148" s="251" t="s">
        <v>1970</v>
      </c>
      <c r="AQ148" s="344" t="s">
        <v>1970</v>
      </c>
      <c r="AR148" s="428" t="s">
        <v>2150</v>
      </c>
      <c r="AS148" s="251" t="s">
        <v>3603</v>
      </c>
      <c r="AT148" s="251" t="s">
        <v>3648</v>
      </c>
      <c r="AU148" s="251" t="s">
        <v>1970</v>
      </c>
      <c r="AV148" s="344" t="s">
        <v>3735</v>
      </c>
      <c r="AW148" s="344" t="s">
        <v>3736</v>
      </c>
      <c r="AX148" s="344" t="s">
        <v>3745</v>
      </c>
      <c r="AY148" s="344" t="s">
        <v>3722</v>
      </c>
      <c r="AZ148" s="344" t="s">
        <v>3737</v>
      </c>
      <c r="BA148" s="381" t="s">
        <v>3725</v>
      </c>
      <c r="BB148" s="344">
        <v>1</v>
      </c>
      <c r="BC148" s="344">
        <v>1</v>
      </c>
      <c r="BD148" s="344">
        <v>1</v>
      </c>
      <c r="BE148" s="344">
        <v>1</v>
      </c>
      <c r="BF148" s="344">
        <v>1</v>
      </c>
      <c r="BG148" s="344">
        <v>1</v>
      </c>
      <c r="BH148" s="344">
        <v>1</v>
      </c>
      <c r="BI148" s="344">
        <v>1</v>
      </c>
      <c r="BJ148" s="251">
        <v>4.00000000001</v>
      </c>
      <c r="BK148" s="251">
        <v>4.00000000002</v>
      </c>
      <c r="BL148" s="251">
        <v>4.00000000003</v>
      </c>
      <c r="BM148" s="251">
        <v>4.00000000004</v>
      </c>
      <c r="BN148" s="251">
        <v>5.0000000000000002E-11</v>
      </c>
      <c r="BO148" s="251">
        <v>4.00000000006</v>
      </c>
      <c r="BP148" s="251">
        <v>3.00000000007</v>
      </c>
      <c r="BQ148" s="251">
        <v>7.9999999999999995E-11</v>
      </c>
      <c r="BR148" s="344">
        <f t="shared" si="408"/>
        <v>4.00000000001</v>
      </c>
      <c r="BS148" s="344">
        <f t="shared" si="442"/>
        <v>4.00000000002</v>
      </c>
      <c r="BT148" s="344">
        <f t="shared" si="443"/>
        <v>4.00000000003</v>
      </c>
      <c r="BU148" s="344">
        <f t="shared" si="444"/>
        <v>4.00000000004</v>
      </c>
      <c r="BV148" s="344">
        <f t="shared" si="445"/>
        <v>5.0000000000000002E-11</v>
      </c>
      <c r="BW148" s="344">
        <f t="shared" si="446"/>
        <v>4.00000000006</v>
      </c>
      <c r="BX148" s="344">
        <f t="shared" si="447"/>
        <v>3.00000000007</v>
      </c>
      <c r="BY148" s="344">
        <f t="shared" si="448"/>
        <v>7.9999999999999995E-11</v>
      </c>
      <c r="BZ148" s="344" t="b">
        <f t="shared" si="409"/>
        <v>1</v>
      </c>
      <c r="CA148" s="344" t="b">
        <f t="shared" si="410"/>
        <v>1</v>
      </c>
      <c r="CB148" s="344" t="b">
        <f t="shared" si="411"/>
        <v>1</v>
      </c>
      <c r="CC148" s="344" t="b">
        <f t="shared" si="412"/>
        <v>1</v>
      </c>
      <c r="CD148" s="344" t="b">
        <f t="shared" si="413"/>
        <v>0</v>
      </c>
      <c r="CE148" s="344" t="b">
        <f t="shared" si="414"/>
        <v>1</v>
      </c>
      <c r="CF148" s="344" t="b">
        <f t="shared" si="415"/>
        <v>0</v>
      </c>
      <c r="CG148" s="344" t="b">
        <f t="shared" si="416"/>
        <v>0</v>
      </c>
      <c r="CH148" s="344">
        <v>1</v>
      </c>
      <c r="CI148" s="344">
        <v>1</v>
      </c>
      <c r="CJ148" s="344">
        <v>1</v>
      </c>
      <c r="CK148" s="344">
        <v>1</v>
      </c>
      <c r="CL148" s="344">
        <v>1</v>
      </c>
      <c r="CM148" s="344">
        <v>1</v>
      </c>
      <c r="CN148" s="344">
        <v>1</v>
      </c>
      <c r="CO148" s="344">
        <v>1</v>
      </c>
      <c r="CP148" s="251">
        <v>7.00000000001</v>
      </c>
      <c r="CQ148" s="251">
        <v>4.00000000002</v>
      </c>
      <c r="CR148" s="251">
        <v>4.00000000003</v>
      </c>
      <c r="CS148" s="251">
        <v>4.00000000004</v>
      </c>
      <c r="CT148" s="251">
        <v>5.0000000000000002E-11</v>
      </c>
      <c r="CU148" s="251">
        <v>4.00000000006</v>
      </c>
      <c r="CV148" s="251">
        <v>4.00000000007</v>
      </c>
      <c r="CW148" s="251">
        <v>4.00000000008</v>
      </c>
      <c r="CX148" s="344">
        <f t="shared" si="449"/>
        <v>7.00000000001</v>
      </c>
      <c r="CY148" s="344">
        <f t="shared" si="417"/>
        <v>4.00000000002</v>
      </c>
      <c r="CZ148" s="344">
        <f t="shared" si="418"/>
        <v>4.00000000003</v>
      </c>
      <c r="DA148" s="344">
        <f t="shared" si="419"/>
        <v>4.00000000004</v>
      </c>
      <c r="DB148" s="344">
        <f t="shared" si="420"/>
        <v>5.0000000000000002E-11</v>
      </c>
      <c r="DC148" s="344">
        <f t="shared" si="421"/>
        <v>4.00000000006</v>
      </c>
      <c r="DD148" s="344">
        <f t="shared" si="422"/>
        <v>4.00000000007</v>
      </c>
      <c r="DE148" s="344">
        <f t="shared" si="423"/>
        <v>4.00000000008</v>
      </c>
      <c r="DF148" s="344" t="b">
        <f t="shared" si="424"/>
        <v>1</v>
      </c>
      <c r="DG148" s="344" t="b">
        <f t="shared" si="425"/>
        <v>0</v>
      </c>
      <c r="DH148" s="344" t="b">
        <f t="shared" si="426"/>
        <v>0</v>
      </c>
      <c r="DI148" s="344" t="b">
        <f t="shared" si="427"/>
        <v>1</v>
      </c>
      <c r="DJ148" s="344" t="b">
        <f t="shared" si="428"/>
        <v>0</v>
      </c>
      <c r="DK148" s="344" t="b">
        <f t="shared" si="429"/>
        <v>1</v>
      </c>
      <c r="DL148" s="344" t="b">
        <f t="shared" si="430"/>
        <v>1</v>
      </c>
      <c r="DM148" s="344" t="b">
        <f t="shared" si="431"/>
        <v>1</v>
      </c>
      <c r="DN148" s="344">
        <v>1</v>
      </c>
      <c r="DO148" s="344">
        <v>1</v>
      </c>
      <c r="DP148" s="344">
        <v>1</v>
      </c>
      <c r="DQ148" s="344">
        <v>1</v>
      </c>
      <c r="DR148" s="344">
        <v>1</v>
      </c>
      <c r="DS148" s="344">
        <v>1</v>
      </c>
      <c r="DT148" s="344">
        <v>1</v>
      </c>
      <c r="DU148" s="344">
        <v>1</v>
      </c>
      <c r="DV148" s="251">
        <v>4.00000000001</v>
      </c>
      <c r="DW148" s="251">
        <v>5.50000000002</v>
      </c>
      <c r="DX148" s="251">
        <v>4.00000000003</v>
      </c>
      <c r="DY148" s="251">
        <v>7.00000000004</v>
      </c>
      <c r="DZ148" s="251">
        <v>5.0000000000000002E-11</v>
      </c>
      <c r="EA148" s="251">
        <v>7.00000000006</v>
      </c>
      <c r="EB148" s="251">
        <v>4.00000000007</v>
      </c>
      <c r="EC148" s="251">
        <v>7.9999999999999995E-11</v>
      </c>
      <c r="ED148" s="344">
        <f t="shared" si="450"/>
        <v>4.00000000001</v>
      </c>
      <c r="EE148" s="344">
        <f t="shared" si="451"/>
        <v>5.50000000002</v>
      </c>
      <c r="EF148" s="344">
        <f t="shared" si="452"/>
        <v>4.00000000003</v>
      </c>
      <c r="EG148" s="344">
        <f t="shared" si="453"/>
        <v>7.00000000004</v>
      </c>
      <c r="EH148" s="344">
        <f t="shared" si="454"/>
        <v>5.0000000000000002E-11</v>
      </c>
      <c r="EI148" s="344">
        <f t="shared" si="455"/>
        <v>7.00000000006</v>
      </c>
      <c r="EJ148" s="344">
        <f t="shared" si="456"/>
        <v>4.00000000007</v>
      </c>
      <c r="EK148" s="344">
        <f t="shared" si="457"/>
        <v>7.9999999999999995E-11</v>
      </c>
      <c r="EL148" s="344" t="b">
        <f t="shared" si="433"/>
        <v>0</v>
      </c>
      <c r="EM148" s="344" t="b">
        <f t="shared" si="434"/>
        <v>1</v>
      </c>
      <c r="EN148" s="344" t="b">
        <f t="shared" si="435"/>
        <v>1</v>
      </c>
      <c r="EO148" s="344" t="b">
        <f t="shared" si="436"/>
        <v>1</v>
      </c>
      <c r="EP148" s="344" t="b">
        <f t="shared" si="437"/>
        <v>0</v>
      </c>
      <c r="EQ148" s="344" t="b">
        <f t="shared" si="438"/>
        <v>1</v>
      </c>
      <c r="ER148" s="344" t="b">
        <f t="shared" si="439"/>
        <v>1</v>
      </c>
      <c r="ES148" s="344" t="b">
        <f t="shared" si="440"/>
        <v>0</v>
      </c>
    </row>
    <row r="149" spans="1:149" s="251" customFormat="1" x14ac:dyDescent="0.3">
      <c r="A149" s="251" t="s">
        <v>795</v>
      </c>
      <c r="B149" s="251" t="s">
        <v>2247</v>
      </c>
      <c r="C149" s="251" t="s">
        <v>2180</v>
      </c>
      <c r="D149" s="251" t="s">
        <v>798</v>
      </c>
      <c r="E149" s="251" t="s">
        <v>1977</v>
      </c>
      <c r="F149" s="344">
        <f t="shared" si="441"/>
        <v>26.000000000250001</v>
      </c>
      <c r="G149" s="344">
        <f t="shared" si="406"/>
        <v>26.000000000209997</v>
      </c>
      <c r="H149" s="344">
        <f t="shared" si="407"/>
        <v>23.500000000209997</v>
      </c>
      <c r="I149" s="251" t="s">
        <v>2911</v>
      </c>
      <c r="J149" s="251" t="s">
        <v>1970</v>
      </c>
      <c r="K149" s="251" t="s">
        <v>1970</v>
      </c>
      <c r="L149" s="251" t="s">
        <v>1970</v>
      </c>
      <c r="M149" s="251" t="s">
        <v>1970</v>
      </c>
      <c r="N149" s="344" t="s">
        <v>1978</v>
      </c>
      <c r="O149" s="344" t="s">
        <v>1978</v>
      </c>
      <c r="P149" s="344" t="s">
        <v>1978</v>
      </c>
      <c r="Q149" s="344" t="s">
        <v>1978</v>
      </c>
      <c r="R149" s="344" t="s">
        <v>1978</v>
      </c>
      <c r="S149" s="344" t="s">
        <v>1978</v>
      </c>
      <c r="T149" s="251" t="s">
        <v>796</v>
      </c>
      <c r="U149" s="251" t="s">
        <v>2165</v>
      </c>
      <c r="V149" s="251" t="s">
        <v>1970</v>
      </c>
      <c r="W149" s="251" t="s">
        <v>1970</v>
      </c>
      <c r="X149" s="344">
        <f>'A123'!J157</f>
        <v>19</v>
      </c>
      <c r="Y149" s="344">
        <f>'A123'!K157</f>
        <v>22</v>
      </c>
      <c r="Z149" s="344">
        <f>'A123'!L157</f>
        <v>13.818181818181818</v>
      </c>
      <c r="AA149" s="344" t="s">
        <v>2165</v>
      </c>
      <c r="AB149" s="344" t="str">
        <f>入學要求!X158</f>
        <v>/</v>
      </c>
      <c r="AC149" s="344" t="str">
        <f>入學要求!Y158</f>
        <v>/</v>
      </c>
      <c r="AD149" s="344" t="s">
        <v>1977</v>
      </c>
      <c r="AE149" s="344" t="s">
        <v>2911</v>
      </c>
      <c r="AF149" s="344" t="s">
        <v>1970</v>
      </c>
      <c r="AG149" s="344" t="s">
        <v>1970</v>
      </c>
      <c r="AH149" s="344" t="s">
        <v>1970</v>
      </c>
      <c r="AI149" s="344" t="s">
        <v>1970</v>
      </c>
      <c r="AJ149" s="344" t="s">
        <v>1970</v>
      </c>
      <c r="AK149" s="251" t="s">
        <v>1970</v>
      </c>
      <c r="AL149" s="251" t="s">
        <v>1970</v>
      </c>
      <c r="AM149" s="251" t="s">
        <v>1970</v>
      </c>
      <c r="AN149" s="251" t="s">
        <v>1970</v>
      </c>
      <c r="AO149" s="251" t="s">
        <v>1970</v>
      </c>
      <c r="AP149" s="251" t="s">
        <v>1970</v>
      </c>
      <c r="AQ149" s="344" t="s">
        <v>1970</v>
      </c>
      <c r="AR149" s="428" t="s">
        <v>2150</v>
      </c>
      <c r="AS149" s="251" t="s">
        <v>3610</v>
      </c>
      <c r="AT149" s="251" t="s">
        <v>1970</v>
      </c>
      <c r="AU149" s="251" t="s">
        <v>3646</v>
      </c>
      <c r="AV149" s="344" t="s">
        <v>3735</v>
      </c>
      <c r="AW149" s="344" t="s">
        <v>3736</v>
      </c>
      <c r="AX149" s="344" t="s">
        <v>3746</v>
      </c>
      <c r="AY149" s="344" t="s">
        <v>3722</v>
      </c>
      <c r="AZ149" s="344" t="s">
        <v>3737</v>
      </c>
      <c r="BA149" s="381" t="s">
        <v>3725</v>
      </c>
      <c r="BB149" s="344">
        <v>1</v>
      </c>
      <c r="BC149" s="344">
        <v>1</v>
      </c>
      <c r="BD149" s="344">
        <v>1</v>
      </c>
      <c r="BE149" s="344">
        <v>1</v>
      </c>
      <c r="BF149" s="344">
        <v>1</v>
      </c>
      <c r="BG149" s="344">
        <v>1</v>
      </c>
      <c r="BH149" s="344">
        <v>1</v>
      </c>
      <c r="BI149" s="344">
        <v>1</v>
      </c>
      <c r="BJ149" s="251">
        <v>5.50000000001</v>
      </c>
      <c r="BK149" s="251">
        <v>3.00000000002</v>
      </c>
      <c r="BL149" s="251">
        <v>4.00000000003</v>
      </c>
      <c r="BM149" s="251">
        <v>4.00000000004</v>
      </c>
      <c r="BN149" s="251">
        <v>5.0000000000000002E-11</v>
      </c>
      <c r="BO149" s="251">
        <v>7.00000000006</v>
      </c>
      <c r="BP149" s="251">
        <v>3.00000000007</v>
      </c>
      <c r="BQ149" s="251">
        <v>7.9999999999999995E-11</v>
      </c>
      <c r="BR149" s="344">
        <f t="shared" si="408"/>
        <v>5.50000000001</v>
      </c>
      <c r="BS149" s="344">
        <f t="shared" si="442"/>
        <v>3.00000000002</v>
      </c>
      <c r="BT149" s="344">
        <f t="shared" si="443"/>
        <v>4.00000000003</v>
      </c>
      <c r="BU149" s="344">
        <f t="shared" si="444"/>
        <v>4.00000000004</v>
      </c>
      <c r="BV149" s="344">
        <f t="shared" si="445"/>
        <v>5.0000000000000002E-11</v>
      </c>
      <c r="BW149" s="344">
        <f t="shared" si="446"/>
        <v>7.00000000006</v>
      </c>
      <c r="BX149" s="344">
        <f t="shared" si="447"/>
        <v>3.00000000007</v>
      </c>
      <c r="BY149" s="344">
        <f t="shared" si="448"/>
        <v>7.9999999999999995E-11</v>
      </c>
      <c r="BZ149" s="344" t="b">
        <f t="shared" si="409"/>
        <v>1</v>
      </c>
      <c r="CA149" s="344" t="b">
        <f t="shared" si="410"/>
        <v>0</v>
      </c>
      <c r="CB149" s="344" t="b">
        <f t="shared" si="411"/>
        <v>1</v>
      </c>
      <c r="CC149" s="344" t="b">
        <f t="shared" si="412"/>
        <v>1</v>
      </c>
      <c r="CD149" s="344" t="b">
        <f t="shared" si="413"/>
        <v>0</v>
      </c>
      <c r="CE149" s="344" t="b">
        <f t="shared" si="414"/>
        <v>1</v>
      </c>
      <c r="CF149" s="344" t="b">
        <f t="shared" si="415"/>
        <v>1</v>
      </c>
      <c r="CG149" s="344" t="b">
        <f t="shared" si="416"/>
        <v>0</v>
      </c>
      <c r="CH149" s="344">
        <v>1</v>
      </c>
      <c r="CI149" s="344">
        <v>1</v>
      </c>
      <c r="CJ149" s="344">
        <v>1</v>
      </c>
      <c r="CK149" s="344">
        <v>1</v>
      </c>
      <c r="CL149" s="344">
        <v>1</v>
      </c>
      <c r="CM149" s="344">
        <v>1</v>
      </c>
      <c r="CN149" s="344">
        <v>1</v>
      </c>
      <c r="CO149" s="344">
        <v>1</v>
      </c>
      <c r="CP149" s="251">
        <v>8.5000000000099991</v>
      </c>
      <c r="CQ149" s="251">
        <v>3.00000000002</v>
      </c>
      <c r="CR149" s="251">
        <v>4.00000000003</v>
      </c>
      <c r="CS149" s="251">
        <v>5.50000000004</v>
      </c>
      <c r="CT149" s="251">
        <v>5.0000000000000002E-11</v>
      </c>
      <c r="CU149" s="251">
        <v>4.00000000006</v>
      </c>
      <c r="CV149" s="251">
        <v>4.00000000007</v>
      </c>
      <c r="CW149" s="251">
        <v>7.9999999999999995E-11</v>
      </c>
      <c r="CX149" s="344">
        <f t="shared" si="449"/>
        <v>8.5000000000099991</v>
      </c>
      <c r="CY149" s="344">
        <f t="shared" si="417"/>
        <v>3.00000000002</v>
      </c>
      <c r="CZ149" s="344">
        <f t="shared" si="418"/>
        <v>4.00000000003</v>
      </c>
      <c r="DA149" s="344">
        <f t="shared" si="419"/>
        <v>5.50000000004</v>
      </c>
      <c r="DB149" s="344">
        <f t="shared" si="420"/>
        <v>5.0000000000000002E-11</v>
      </c>
      <c r="DC149" s="344">
        <f t="shared" si="421"/>
        <v>4.00000000006</v>
      </c>
      <c r="DD149" s="344">
        <f t="shared" si="422"/>
        <v>4.00000000007</v>
      </c>
      <c r="DE149" s="344">
        <f t="shared" si="423"/>
        <v>7.9999999999999995E-11</v>
      </c>
      <c r="DF149" s="344" t="b">
        <f t="shared" si="424"/>
        <v>1</v>
      </c>
      <c r="DG149" s="344" t="b">
        <f t="shared" si="425"/>
        <v>0</v>
      </c>
      <c r="DH149" s="344" t="b">
        <f t="shared" si="426"/>
        <v>1</v>
      </c>
      <c r="DI149" s="344" t="b">
        <f t="shared" si="427"/>
        <v>1</v>
      </c>
      <c r="DJ149" s="344" t="b">
        <f t="shared" si="428"/>
        <v>0</v>
      </c>
      <c r="DK149" s="344" t="b">
        <f t="shared" si="429"/>
        <v>1</v>
      </c>
      <c r="DL149" s="344" t="b">
        <f t="shared" si="430"/>
        <v>1</v>
      </c>
      <c r="DM149" s="344" t="b">
        <f t="shared" si="431"/>
        <v>0</v>
      </c>
      <c r="DN149" s="344">
        <v>1</v>
      </c>
      <c r="DO149" s="344">
        <v>1</v>
      </c>
      <c r="DP149" s="344">
        <v>1</v>
      </c>
      <c r="DQ149" s="344">
        <v>1</v>
      </c>
      <c r="DR149" s="344">
        <v>1</v>
      </c>
      <c r="DS149" s="344">
        <v>1</v>
      </c>
      <c r="DT149" s="344">
        <v>1</v>
      </c>
      <c r="DU149" s="344">
        <v>1</v>
      </c>
      <c r="DV149" s="251">
        <v>5.50000000001</v>
      </c>
      <c r="DW149" s="251">
        <v>4.00000000002</v>
      </c>
      <c r="DX149" s="251">
        <v>5.50000000003</v>
      </c>
      <c r="DY149" s="251">
        <v>4.00000000004</v>
      </c>
      <c r="DZ149" s="251">
        <v>5.0000000000000002E-11</v>
      </c>
      <c r="EA149" s="251">
        <v>7.00000000006</v>
      </c>
      <c r="EB149" s="251">
        <v>4.00000000007</v>
      </c>
      <c r="EC149" s="251">
        <v>4.00000000008</v>
      </c>
      <c r="ED149" s="344">
        <f t="shared" si="450"/>
        <v>5.50000000001</v>
      </c>
      <c r="EE149" s="344">
        <f t="shared" si="451"/>
        <v>4.00000000002</v>
      </c>
      <c r="EF149" s="344">
        <f t="shared" si="452"/>
        <v>5.50000000003</v>
      </c>
      <c r="EG149" s="344">
        <f t="shared" si="453"/>
        <v>4.00000000004</v>
      </c>
      <c r="EH149" s="344">
        <f t="shared" si="454"/>
        <v>5.0000000000000002E-11</v>
      </c>
      <c r="EI149" s="344">
        <f t="shared" si="455"/>
        <v>7.00000000006</v>
      </c>
      <c r="EJ149" s="344">
        <f t="shared" si="456"/>
        <v>4.00000000007</v>
      </c>
      <c r="EK149" s="344">
        <f t="shared" si="457"/>
        <v>4.00000000008</v>
      </c>
      <c r="EL149" s="344" t="b">
        <f t="shared" si="433"/>
        <v>1</v>
      </c>
      <c r="EM149" s="344" t="b">
        <f t="shared" si="434"/>
        <v>0</v>
      </c>
      <c r="EN149" s="344" t="b">
        <f t="shared" si="435"/>
        <v>1</v>
      </c>
      <c r="EO149" s="344" t="b">
        <f t="shared" si="436"/>
        <v>0</v>
      </c>
      <c r="EP149" s="344" t="b">
        <f t="shared" si="437"/>
        <v>0</v>
      </c>
      <c r="EQ149" s="344" t="b">
        <f t="shared" si="438"/>
        <v>1</v>
      </c>
      <c r="ER149" s="344" t="b">
        <f t="shared" si="439"/>
        <v>1</v>
      </c>
      <c r="ES149" s="344" t="b">
        <f t="shared" si="440"/>
        <v>1</v>
      </c>
    </row>
    <row r="150" spans="1:149" s="251" customFormat="1" x14ac:dyDescent="0.3">
      <c r="A150" s="251" t="s">
        <v>800</v>
      </c>
      <c r="B150" s="251" t="s">
        <v>2247</v>
      </c>
      <c r="C150" s="251" t="s">
        <v>2180</v>
      </c>
      <c r="D150" s="251" t="s">
        <v>803</v>
      </c>
      <c r="E150" s="251" t="s">
        <v>1977</v>
      </c>
      <c r="F150" s="344">
        <f t="shared" si="441"/>
        <v>22.0000000002</v>
      </c>
      <c r="G150" s="344">
        <f t="shared" si="406"/>
        <v>21.500000000209997</v>
      </c>
      <c r="H150" s="344">
        <f t="shared" si="407"/>
        <v>21.50000000016</v>
      </c>
      <c r="I150" s="251" t="s">
        <v>1970</v>
      </c>
      <c r="J150" s="251" t="s">
        <v>1970</v>
      </c>
      <c r="K150" s="251" t="s">
        <v>1970</v>
      </c>
      <c r="L150" s="251" t="s">
        <v>1970</v>
      </c>
      <c r="M150" s="251" t="s">
        <v>1970</v>
      </c>
      <c r="N150" s="344" t="s">
        <v>1978</v>
      </c>
      <c r="O150" s="344" t="s">
        <v>1978</v>
      </c>
      <c r="P150" s="344" t="s">
        <v>1978</v>
      </c>
      <c r="Q150" s="344" t="s">
        <v>1978</v>
      </c>
      <c r="R150" s="344" t="s">
        <v>1978</v>
      </c>
      <c r="S150" s="344" t="s">
        <v>1978</v>
      </c>
      <c r="T150" s="251" t="s">
        <v>801</v>
      </c>
      <c r="U150" s="251" t="s">
        <v>2165</v>
      </c>
      <c r="V150" s="251" t="s">
        <v>1970</v>
      </c>
      <c r="W150" s="251" t="s">
        <v>1970</v>
      </c>
      <c r="X150" s="344" t="str">
        <f>'A123'!J158</f>
        <v>18*</v>
      </c>
      <c r="Y150" s="344">
        <f>'A123'!K158</f>
        <v>17</v>
      </c>
      <c r="Z150" s="344">
        <f>'A123'!L158</f>
        <v>9.1764705882352935</v>
      </c>
      <c r="AA150" s="344" t="s">
        <v>2165</v>
      </c>
      <c r="AB150" s="344" t="str">
        <f>入學要求!X159</f>
        <v>/</v>
      </c>
      <c r="AC150" s="344" t="str">
        <f>入學要求!Y159</f>
        <v>/</v>
      </c>
      <c r="AD150" s="344" t="s">
        <v>1977</v>
      </c>
      <c r="AE150" s="344" t="s">
        <v>1970</v>
      </c>
      <c r="AF150" s="344" t="s">
        <v>1970</v>
      </c>
      <c r="AG150" s="344" t="s">
        <v>1970</v>
      </c>
      <c r="AH150" s="344" t="s">
        <v>1970</v>
      </c>
      <c r="AI150" s="344" t="s">
        <v>1970</v>
      </c>
      <c r="AJ150" s="344" t="s">
        <v>1970</v>
      </c>
      <c r="AK150" s="251" t="s">
        <v>1970</v>
      </c>
      <c r="AL150" s="251" t="s">
        <v>1970</v>
      </c>
      <c r="AM150" s="251" t="s">
        <v>1970</v>
      </c>
      <c r="AN150" s="251" t="s">
        <v>1970</v>
      </c>
      <c r="AO150" s="251" t="s">
        <v>1970</v>
      </c>
      <c r="AP150" s="251" t="s">
        <v>1970</v>
      </c>
      <c r="AQ150" s="344" t="s">
        <v>1970</v>
      </c>
      <c r="AR150" s="428" t="s">
        <v>2150</v>
      </c>
      <c r="AS150" s="251" t="s">
        <v>3610</v>
      </c>
      <c r="AT150" s="251" t="s">
        <v>1970</v>
      </c>
      <c r="AU150" s="251" t="s">
        <v>3646</v>
      </c>
      <c r="AV150" s="344" t="s">
        <v>3735</v>
      </c>
      <c r="AW150" s="344" t="s">
        <v>3736</v>
      </c>
      <c r="AX150" s="344" t="s">
        <v>3747</v>
      </c>
      <c r="AY150" s="344" t="s">
        <v>3722</v>
      </c>
      <c r="AZ150" s="344" t="s">
        <v>3737</v>
      </c>
      <c r="BA150" s="381" t="s">
        <v>3725</v>
      </c>
      <c r="BB150" s="344">
        <v>1</v>
      </c>
      <c r="BC150" s="344">
        <v>1</v>
      </c>
      <c r="BD150" s="344">
        <v>1</v>
      </c>
      <c r="BE150" s="344">
        <v>1</v>
      </c>
      <c r="BF150" s="344">
        <v>1</v>
      </c>
      <c r="BG150" s="344">
        <v>1</v>
      </c>
      <c r="BH150" s="344">
        <v>1</v>
      </c>
      <c r="BI150" s="344">
        <v>1</v>
      </c>
      <c r="BJ150" s="251">
        <v>5.50000000001</v>
      </c>
      <c r="BK150" s="251">
        <v>4.00000000002</v>
      </c>
      <c r="BL150" s="251">
        <v>4.00000000003</v>
      </c>
      <c r="BM150" s="251">
        <v>4.00000000004</v>
      </c>
      <c r="BN150" s="251">
        <v>5.0000000000000002E-11</v>
      </c>
      <c r="BO150" s="251">
        <v>4.00000000006</v>
      </c>
      <c r="BP150" s="251">
        <v>3.00000000007</v>
      </c>
      <c r="BQ150" s="251">
        <v>7.9999999999999995E-11</v>
      </c>
      <c r="BR150" s="344">
        <f t="shared" si="408"/>
        <v>5.50000000001</v>
      </c>
      <c r="BS150" s="344">
        <f t="shared" si="442"/>
        <v>4.00000000002</v>
      </c>
      <c r="BT150" s="344">
        <f t="shared" si="443"/>
        <v>4.00000000003</v>
      </c>
      <c r="BU150" s="344">
        <f t="shared" si="444"/>
        <v>4.00000000004</v>
      </c>
      <c r="BV150" s="344">
        <f t="shared" si="445"/>
        <v>5.0000000000000002E-11</v>
      </c>
      <c r="BW150" s="344">
        <f t="shared" si="446"/>
        <v>4.00000000006</v>
      </c>
      <c r="BX150" s="344">
        <f t="shared" si="447"/>
        <v>3.00000000007</v>
      </c>
      <c r="BY150" s="344">
        <f t="shared" si="448"/>
        <v>7.9999999999999995E-11</v>
      </c>
      <c r="BZ150" s="344" t="b">
        <f t="shared" si="409"/>
        <v>1</v>
      </c>
      <c r="CA150" s="344" t="b">
        <f t="shared" si="410"/>
        <v>1</v>
      </c>
      <c r="CB150" s="344" t="b">
        <f t="shared" si="411"/>
        <v>1</v>
      </c>
      <c r="CC150" s="344" t="b">
        <f t="shared" si="412"/>
        <v>1</v>
      </c>
      <c r="CD150" s="344" t="b">
        <f t="shared" si="413"/>
        <v>0</v>
      </c>
      <c r="CE150" s="344" t="b">
        <f t="shared" si="414"/>
        <v>1</v>
      </c>
      <c r="CF150" s="344" t="b">
        <f t="shared" si="415"/>
        <v>0</v>
      </c>
      <c r="CG150" s="344" t="b">
        <f t="shared" si="416"/>
        <v>0</v>
      </c>
      <c r="CH150" s="344">
        <v>1</v>
      </c>
      <c r="CI150" s="344">
        <v>1</v>
      </c>
      <c r="CJ150" s="344">
        <v>1</v>
      </c>
      <c r="CK150" s="344">
        <v>1</v>
      </c>
      <c r="CL150" s="344">
        <v>1</v>
      </c>
      <c r="CM150" s="344">
        <v>1</v>
      </c>
      <c r="CN150" s="344">
        <v>1</v>
      </c>
      <c r="CO150" s="344">
        <v>1</v>
      </c>
      <c r="CP150" s="251">
        <v>5.50000000001</v>
      </c>
      <c r="CQ150" s="251">
        <v>4.00000000002</v>
      </c>
      <c r="CR150" s="251">
        <v>4.00000000003</v>
      </c>
      <c r="CS150" s="251">
        <v>4.00000000004</v>
      </c>
      <c r="CT150" s="251">
        <v>5.0000000000000002E-11</v>
      </c>
      <c r="CU150" s="251">
        <v>4.00000000006</v>
      </c>
      <c r="CV150" s="251">
        <v>4.00000000007</v>
      </c>
      <c r="CW150" s="251">
        <v>7.9999999999999995E-11</v>
      </c>
      <c r="CX150" s="344">
        <f t="shared" si="449"/>
        <v>5.50000000001</v>
      </c>
      <c r="CY150" s="344">
        <f t="shared" si="417"/>
        <v>4.00000000002</v>
      </c>
      <c r="CZ150" s="344">
        <f t="shared" si="418"/>
        <v>4.00000000003</v>
      </c>
      <c r="DA150" s="344">
        <f t="shared" si="419"/>
        <v>4.00000000004</v>
      </c>
      <c r="DB150" s="344">
        <f t="shared" si="420"/>
        <v>5.0000000000000002E-11</v>
      </c>
      <c r="DC150" s="344">
        <f t="shared" si="421"/>
        <v>4.00000000006</v>
      </c>
      <c r="DD150" s="344">
        <f t="shared" si="422"/>
        <v>4.00000000007</v>
      </c>
      <c r="DE150" s="344">
        <f t="shared" si="423"/>
        <v>7.9999999999999995E-11</v>
      </c>
      <c r="DF150" s="344" t="b">
        <f t="shared" si="424"/>
        <v>1</v>
      </c>
      <c r="DG150" s="344" t="b">
        <f t="shared" si="425"/>
        <v>0</v>
      </c>
      <c r="DH150" s="344" t="b">
        <f t="shared" si="426"/>
        <v>1</v>
      </c>
      <c r="DI150" s="344" t="b">
        <f t="shared" si="427"/>
        <v>1</v>
      </c>
      <c r="DJ150" s="344" t="b">
        <f t="shared" si="428"/>
        <v>0</v>
      </c>
      <c r="DK150" s="344" t="b">
        <f t="shared" si="429"/>
        <v>1</v>
      </c>
      <c r="DL150" s="344" t="b">
        <f t="shared" si="430"/>
        <v>1</v>
      </c>
      <c r="DM150" s="344" t="b">
        <f t="shared" si="431"/>
        <v>0</v>
      </c>
      <c r="DN150" s="344">
        <v>1</v>
      </c>
      <c r="DO150" s="344">
        <v>1</v>
      </c>
      <c r="DP150" s="344">
        <v>1</v>
      </c>
      <c r="DQ150" s="344">
        <v>1</v>
      </c>
      <c r="DR150" s="344">
        <v>1</v>
      </c>
      <c r="DS150" s="344">
        <v>1</v>
      </c>
      <c r="DT150" s="344">
        <v>1</v>
      </c>
      <c r="DU150" s="344">
        <v>1</v>
      </c>
      <c r="DV150" s="251">
        <v>5.50000000001</v>
      </c>
      <c r="DW150" s="251">
        <v>5.50000000002</v>
      </c>
      <c r="DX150" s="251">
        <v>3.00000000003</v>
      </c>
      <c r="DY150" s="251">
        <v>4.00000000004</v>
      </c>
      <c r="DZ150" s="251">
        <v>5.0000000000000002E-11</v>
      </c>
      <c r="EA150" s="251">
        <v>4.00000000006</v>
      </c>
      <c r="EB150" s="251">
        <v>3.00000000007</v>
      </c>
      <c r="EC150" s="251">
        <v>7.9999999999999995E-11</v>
      </c>
      <c r="ED150" s="344">
        <f t="shared" si="450"/>
        <v>5.50000000001</v>
      </c>
      <c r="EE150" s="344">
        <f t="shared" si="451"/>
        <v>5.50000000002</v>
      </c>
      <c r="EF150" s="344">
        <f t="shared" si="452"/>
        <v>3.00000000003</v>
      </c>
      <c r="EG150" s="344">
        <f t="shared" si="453"/>
        <v>4.00000000004</v>
      </c>
      <c r="EH150" s="344">
        <f t="shared" si="454"/>
        <v>5.0000000000000002E-11</v>
      </c>
      <c r="EI150" s="344">
        <f t="shared" si="455"/>
        <v>4.00000000006</v>
      </c>
      <c r="EJ150" s="344">
        <f t="shared" si="456"/>
        <v>3.00000000007</v>
      </c>
      <c r="EK150" s="344">
        <f t="shared" si="457"/>
        <v>7.9999999999999995E-11</v>
      </c>
      <c r="EL150" s="344" t="b">
        <f t="shared" si="433"/>
        <v>1</v>
      </c>
      <c r="EM150" s="344" t="b">
        <f t="shared" si="434"/>
        <v>1</v>
      </c>
      <c r="EN150" s="344" t="b">
        <f t="shared" si="435"/>
        <v>0</v>
      </c>
      <c r="EO150" s="344" t="b">
        <f t="shared" si="436"/>
        <v>1</v>
      </c>
      <c r="EP150" s="344" t="b">
        <f t="shared" si="437"/>
        <v>0</v>
      </c>
      <c r="EQ150" s="344" t="b">
        <f t="shared" si="438"/>
        <v>1</v>
      </c>
      <c r="ER150" s="344" t="b">
        <f t="shared" si="439"/>
        <v>1</v>
      </c>
      <c r="ES150" s="344" t="b">
        <f t="shared" si="440"/>
        <v>0</v>
      </c>
    </row>
    <row r="151" spans="1:149" s="251" customFormat="1" x14ac:dyDescent="0.3">
      <c r="A151" s="251" t="s">
        <v>805</v>
      </c>
      <c r="B151" s="251" t="s">
        <v>2247</v>
      </c>
      <c r="C151" s="251" t="s">
        <v>2180</v>
      </c>
      <c r="D151" s="251" t="s">
        <v>808</v>
      </c>
      <c r="E151" s="251" t="s">
        <v>1977</v>
      </c>
      <c r="F151" s="344" t="s">
        <v>1970</v>
      </c>
      <c r="G151" s="344" t="s">
        <v>1978</v>
      </c>
      <c r="H151" s="344" t="s">
        <v>1978</v>
      </c>
      <c r="I151" s="251" t="s">
        <v>1970</v>
      </c>
      <c r="J151" s="251" t="s">
        <v>1970</v>
      </c>
      <c r="K151" s="251" t="s">
        <v>1970</v>
      </c>
      <c r="L151" s="251" t="s">
        <v>1970</v>
      </c>
      <c r="M151" s="251" t="s">
        <v>1970</v>
      </c>
      <c r="N151" s="344" t="s">
        <v>1978</v>
      </c>
      <c r="O151" s="344" t="s">
        <v>1978</v>
      </c>
      <c r="P151" s="344" t="s">
        <v>1978</v>
      </c>
      <c r="Q151" s="344" t="s">
        <v>1978</v>
      </c>
      <c r="R151" s="344" t="s">
        <v>1978</v>
      </c>
      <c r="S151" s="344" t="s">
        <v>1978</v>
      </c>
      <c r="T151" s="251" t="s">
        <v>806</v>
      </c>
      <c r="U151" s="251" t="s">
        <v>2165</v>
      </c>
      <c r="V151" s="251" t="s">
        <v>1970</v>
      </c>
      <c r="W151" s="251" t="s">
        <v>1970</v>
      </c>
      <c r="X151" s="344" t="str">
        <f>'A123'!J159</f>
        <v>18*</v>
      </c>
      <c r="Y151" s="344">
        <f>'A123'!K159</f>
        <v>1</v>
      </c>
      <c r="Z151" s="344">
        <f>'A123'!L159</f>
        <v>37</v>
      </c>
      <c r="AA151" s="344" t="s">
        <v>2165</v>
      </c>
      <c r="AB151" s="344" t="str">
        <f>入學要求!X160</f>
        <v>/</v>
      </c>
      <c r="AC151" s="344" t="str">
        <f>入學要求!Y160</f>
        <v>/</v>
      </c>
      <c r="AD151" s="344" t="s">
        <v>1977</v>
      </c>
      <c r="AE151" s="344" t="s">
        <v>1970</v>
      </c>
      <c r="AF151" s="344" t="s">
        <v>1970</v>
      </c>
      <c r="AG151" s="344" t="s">
        <v>1970</v>
      </c>
      <c r="AH151" s="344" t="s">
        <v>1970</v>
      </c>
      <c r="AI151" s="344" t="s">
        <v>1970</v>
      </c>
      <c r="AJ151" s="344" t="s">
        <v>1970</v>
      </c>
      <c r="AK151" s="251" t="s">
        <v>1970</v>
      </c>
      <c r="AL151" s="251" t="s">
        <v>1970</v>
      </c>
      <c r="AM151" s="251" t="s">
        <v>1970</v>
      </c>
      <c r="AN151" s="251" t="s">
        <v>1970</v>
      </c>
      <c r="AO151" s="251" t="s">
        <v>1970</v>
      </c>
      <c r="AP151" s="251" t="s">
        <v>1970</v>
      </c>
      <c r="AQ151" s="344" t="s">
        <v>1970</v>
      </c>
      <c r="AR151" s="428" t="s">
        <v>2150</v>
      </c>
      <c r="AS151" s="251" t="s">
        <v>3610</v>
      </c>
      <c r="AT151" s="251" t="s">
        <v>1970</v>
      </c>
      <c r="AU151" s="251" t="s">
        <v>3646</v>
      </c>
      <c r="AV151" s="344" t="s">
        <v>3735</v>
      </c>
      <c r="AW151" s="344" t="s">
        <v>3736</v>
      </c>
      <c r="AX151" s="344" t="s">
        <v>3748</v>
      </c>
      <c r="AY151" s="344" t="s">
        <v>3722</v>
      </c>
      <c r="AZ151" s="344" t="s">
        <v>3737</v>
      </c>
      <c r="BA151" s="381" t="s">
        <v>3725</v>
      </c>
      <c r="BB151" s="344" t="s">
        <v>1970</v>
      </c>
      <c r="BC151" s="344" t="s">
        <v>1970</v>
      </c>
      <c r="BD151" s="344" t="s">
        <v>1970</v>
      </c>
      <c r="BE151" s="344" t="s">
        <v>1970</v>
      </c>
      <c r="BF151" s="344" t="s">
        <v>1970</v>
      </c>
      <c r="BG151" s="344" t="s">
        <v>1970</v>
      </c>
      <c r="BH151" s="344" t="s">
        <v>1970</v>
      </c>
      <c r="BI151" s="344" t="s">
        <v>1970</v>
      </c>
      <c r="BJ151" s="344" t="s">
        <v>1970</v>
      </c>
      <c r="BK151" s="344" t="s">
        <v>1970</v>
      </c>
      <c r="BL151" s="344" t="s">
        <v>1970</v>
      </c>
      <c r="BM151" s="344" t="s">
        <v>1970</v>
      </c>
      <c r="BN151" s="344" t="s">
        <v>1970</v>
      </c>
      <c r="BO151" s="344" t="s">
        <v>1970</v>
      </c>
      <c r="BP151" s="344" t="s">
        <v>1970</v>
      </c>
      <c r="BQ151" s="344" t="s">
        <v>1970</v>
      </c>
      <c r="BR151" s="344" t="s">
        <v>1970</v>
      </c>
      <c r="BS151" s="344" t="s">
        <v>1970</v>
      </c>
      <c r="BT151" s="344" t="s">
        <v>1970</v>
      </c>
      <c r="BU151" s="344" t="s">
        <v>1970</v>
      </c>
      <c r="BV151" s="344" t="s">
        <v>1970</v>
      </c>
      <c r="BW151" s="344" t="s">
        <v>1970</v>
      </c>
      <c r="BX151" s="344" t="s">
        <v>1970</v>
      </c>
      <c r="BY151" s="344" t="s">
        <v>1970</v>
      </c>
      <c r="BZ151" s="344" t="s">
        <v>1970</v>
      </c>
      <c r="CA151" s="344" t="s">
        <v>1970</v>
      </c>
      <c r="CB151" s="344" t="s">
        <v>1970</v>
      </c>
      <c r="CC151" s="344" t="s">
        <v>1970</v>
      </c>
      <c r="CD151" s="344" t="s">
        <v>1970</v>
      </c>
      <c r="CE151" s="344" t="s">
        <v>1970</v>
      </c>
      <c r="CF151" s="344" t="s">
        <v>1970</v>
      </c>
      <c r="CG151" s="344" t="s">
        <v>1970</v>
      </c>
      <c r="CH151" s="344" t="s">
        <v>1970</v>
      </c>
      <c r="CI151" s="344" t="s">
        <v>1970</v>
      </c>
      <c r="CJ151" s="344" t="s">
        <v>1970</v>
      </c>
      <c r="CK151" s="344" t="s">
        <v>1970</v>
      </c>
      <c r="CL151" s="344" t="s">
        <v>1970</v>
      </c>
      <c r="CM151" s="344" t="s">
        <v>1970</v>
      </c>
      <c r="CN151" s="344" t="s">
        <v>1970</v>
      </c>
      <c r="CO151" s="344" t="s">
        <v>1970</v>
      </c>
      <c r="CP151" s="251" t="e">
        <v>#VALUE!</v>
      </c>
      <c r="CQ151" s="251" t="e">
        <v>#VALUE!</v>
      </c>
      <c r="CR151" s="251" t="e">
        <v>#VALUE!</v>
      </c>
      <c r="CS151" s="251" t="e">
        <v>#VALUE!</v>
      </c>
      <c r="CT151" s="251" t="e">
        <v>#VALUE!</v>
      </c>
      <c r="CU151" s="251" t="e">
        <v>#VALUE!</v>
      </c>
      <c r="CV151" s="251" t="e">
        <v>#VALUE!</v>
      </c>
      <c r="CW151" s="251" t="e">
        <v>#VALUE!</v>
      </c>
      <c r="CX151" s="344" t="e">
        <f t="shared" si="449"/>
        <v>#VALUE!</v>
      </c>
      <c r="CY151" s="344" t="e">
        <f t="shared" si="417"/>
        <v>#VALUE!</v>
      </c>
      <c r="CZ151" s="344" t="e">
        <f t="shared" si="418"/>
        <v>#VALUE!</v>
      </c>
      <c r="DA151" s="344" t="e">
        <f t="shared" si="419"/>
        <v>#VALUE!</v>
      </c>
      <c r="DB151" s="344" t="e">
        <f t="shared" si="420"/>
        <v>#VALUE!</v>
      </c>
      <c r="DC151" s="344" t="e">
        <f t="shared" si="421"/>
        <v>#VALUE!</v>
      </c>
      <c r="DD151" s="344" t="e">
        <f t="shared" si="422"/>
        <v>#VALUE!</v>
      </c>
      <c r="DE151" s="344" t="e">
        <f t="shared" si="423"/>
        <v>#VALUE!</v>
      </c>
      <c r="DF151" s="344" t="s">
        <v>1970</v>
      </c>
      <c r="DG151" s="344" t="s">
        <v>1970</v>
      </c>
      <c r="DH151" s="344" t="s">
        <v>1970</v>
      </c>
      <c r="DI151" s="344" t="s">
        <v>1970</v>
      </c>
      <c r="DJ151" s="344" t="e">
        <f t="shared" si="428"/>
        <v>#VALUE!</v>
      </c>
      <c r="DK151" s="344" t="e">
        <f t="shared" si="429"/>
        <v>#VALUE!</v>
      </c>
      <c r="DL151" s="344" t="e">
        <f t="shared" si="430"/>
        <v>#VALUE!</v>
      </c>
      <c r="DM151" s="344" t="e">
        <f t="shared" si="431"/>
        <v>#VALUE!</v>
      </c>
      <c r="DN151" s="344" t="s">
        <v>1970</v>
      </c>
      <c r="DO151" s="344" t="s">
        <v>1970</v>
      </c>
      <c r="DP151" s="344" t="s">
        <v>1970</v>
      </c>
      <c r="DQ151" s="344" t="s">
        <v>1970</v>
      </c>
      <c r="DR151" s="344" t="s">
        <v>1970</v>
      </c>
      <c r="DS151" s="344" t="s">
        <v>1970</v>
      </c>
      <c r="DT151" s="344" t="s">
        <v>1970</v>
      </c>
      <c r="DU151" s="344" t="s">
        <v>1970</v>
      </c>
      <c r="DV151" s="251" t="e">
        <v>#VALUE!</v>
      </c>
      <c r="DW151" s="251" t="e">
        <v>#VALUE!</v>
      </c>
      <c r="DX151" s="251" t="e">
        <v>#VALUE!</v>
      </c>
      <c r="DY151" s="251" t="e">
        <v>#VALUE!</v>
      </c>
      <c r="DZ151" s="251" t="e">
        <v>#VALUE!</v>
      </c>
      <c r="EA151" s="251" t="e">
        <v>#VALUE!</v>
      </c>
      <c r="EB151" s="251" t="e">
        <v>#VALUE!</v>
      </c>
      <c r="EC151" s="251" t="e">
        <v>#VALUE!</v>
      </c>
      <c r="ED151" s="344" t="e">
        <f t="shared" si="450"/>
        <v>#VALUE!</v>
      </c>
      <c r="EE151" s="344" t="e">
        <f t="shared" si="451"/>
        <v>#VALUE!</v>
      </c>
      <c r="EF151" s="344" t="e">
        <f t="shared" si="452"/>
        <v>#VALUE!</v>
      </c>
      <c r="EG151" s="344" t="e">
        <f t="shared" si="453"/>
        <v>#VALUE!</v>
      </c>
      <c r="EH151" s="344" t="e">
        <f t="shared" si="454"/>
        <v>#VALUE!</v>
      </c>
      <c r="EI151" s="344" t="e">
        <f t="shared" si="455"/>
        <v>#VALUE!</v>
      </c>
      <c r="EJ151" s="344" t="e">
        <f t="shared" si="456"/>
        <v>#VALUE!</v>
      </c>
      <c r="EK151" s="344" t="e">
        <f t="shared" si="457"/>
        <v>#VALUE!</v>
      </c>
      <c r="EL151" s="344" t="e">
        <f t="shared" si="433"/>
        <v>#VALUE!</v>
      </c>
      <c r="EM151" s="344" t="e">
        <f t="shared" si="434"/>
        <v>#VALUE!</v>
      </c>
      <c r="EN151" s="344" t="e">
        <f t="shared" si="435"/>
        <v>#VALUE!</v>
      </c>
      <c r="EO151" s="344" t="e">
        <f t="shared" si="436"/>
        <v>#VALUE!</v>
      </c>
      <c r="EP151" s="344" t="e">
        <f t="shared" si="437"/>
        <v>#VALUE!</v>
      </c>
      <c r="EQ151" s="344" t="e">
        <f t="shared" si="438"/>
        <v>#VALUE!</v>
      </c>
      <c r="ER151" s="344" t="e">
        <f t="shared" si="439"/>
        <v>#VALUE!</v>
      </c>
      <c r="ES151" s="344" t="e">
        <f t="shared" si="440"/>
        <v>#VALUE!</v>
      </c>
    </row>
    <row r="152" spans="1:149" s="251" customFormat="1" x14ac:dyDescent="0.3">
      <c r="A152" s="251" t="s">
        <v>810</v>
      </c>
      <c r="B152" s="251" t="s">
        <v>2247</v>
      </c>
      <c r="C152" s="251" t="s">
        <v>2180</v>
      </c>
      <c r="D152" s="251" t="s">
        <v>813</v>
      </c>
      <c r="E152" s="251" t="s">
        <v>1977</v>
      </c>
      <c r="F152" s="344">
        <f t="shared" si="441"/>
        <v>32.000000000189999</v>
      </c>
      <c r="G152" s="344">
        <f t="shared" ref="G152:G167" si="458">SUMIF(DF152:DM152,TRUE,CX152:DE152)</f>
        <v>26.000000000259998</v>
      </c>
      <c r="H152" s="344">
        <f t="shared" ref="H152:H167" si="459">SUMIF(BZ152:CG152,TRUE,BR152:BY152)</f>
        <v>24.5000000002</v>
      </c>
      <c r="I152" s="251" t="s">
        <v>1970</v>
      </c>
      <c r="J152" s="251" t="s">
        <v>1970</v>
      </c>
      <c r="K152" s="251" t="s">
        <v>1970</v>
      </c>
      <c r="L152" s="251" t="s">
        <v>1970</v>
      </c>
      <c r="M152" s="251" t="s">
        <v>1970</v>
      </c>
      <c r="N152" s="344" t="s">
        <v>1978</v>
      </c>
      <c r="O152" s="344" t="s">
        <v>1978</v>
      </c>
      <c r="P152" s="344" t="s">
        <v>1978</v>
      </c>
      <c r="Q152" s="344" t="s">
        <v>1978</v>
      </c>
      <c r="R152" s="344" t="s">
        <v>1978</v>
      </c>
      <c r="S152" s="344" t="s">
        <v>1978</v>
      </c>
      <c r="T152" s="251" t="s">
        <v>811</v>
      </c>
      <c r="U152" s="251" t="s">
        <v>2165</v>
      </c>
      <c r="V152" s="251" t="s">
        <v>1970</v>
      </c>
      <c r="W152" s="251" t="s">
        <v>1970</v>
      </c>
      <c r="X152" s="344">
        <f>'A123'!J160</f>
        <v>32</v>
      </c>
      <c r="Y152" s="344">
        <f>'A123'!K160</f>
        <v>30</v>
      </c>
      <c r="Z152" s="344">
        <f>'A123'!L160</f>
        <v>5.0999999999999996</v>
      </c>
      <c r="AA152" s="344" t="s">
        <v>2165</v>
      </c>
      <c r="AB152" s="344" t="str">
        <f>入學要求!X161</f>
        <v>/</v>
      </c>
      <c r="AC152" s="344" t="str">
        <f>入學要求!Y161</f>
        <v>/</v>
      </c>
      <c r="AD152" s="344" t="s">
        <v>1977</v>
      </c>
      <c r="AE152" s="344" t="s">
        <v>1970</v>
      </c>
      <c r="AF152" s="344" t="s">
        <v>1970</v>
      </c>
      <c r="AG152" s="344" t="s">
        <v>1970</v>
      </c>
      <c r="AH152" s="344" t="s">
        <v>1970</v>
      </c>
      <c r="AI152" s="344" t="s">
        <v>1970</v>
      </c>
      <c r="AJ152" s="344" t="s">
        <v>1970</v>
      </c>
      <c r="AK152" s="251" t="s">
        <v>1970</v>
      </c>
      <c r="AL152" s="251" t="s">
        <v>1970</v>
      </c>
      <c r="AM152" s="251" t="s">
        <v>1970</v>
      </c>
      <c r="AN152" s="251" t="s">
        <v>1970</v>
      </c>
      <c r="AO152" s="251" t="s">
        <v>1970</v>
      </c>
      <c r="AP152" s="251" t="s">
        <v>1970</v>
      </c>
      <c r="AQ152" s="344" t="s">
        <v>1970</v>
      </c>
      <c r="AR152" s="428" t="s">
        <v>3386</v>
      </c>
      <c r="AS152" s="251" t="s">
        <v>3608</v>
      </c>
      <c r="AT152" s="251" t="s">
        <v>1970</v>
      </c>
      <c r="AU152" s="251" t="s">
        <v>1970</v>
      </c>
      <c r="AV152" s="344" t="s">
        <v>3735</v>
      </c>
      <c r="AW152" s="344" t="s">
        <v>3736</v>
      </c>
      <c r="AX152" s="344" t="s">
        <v>3749</v>
      </c>
      <c r="AY152" s="344" t="s">
        <v>3722</v>
      </c>
      <c r="AZ152" s="344" t="s">
        <v>3737</v>
      </c>
      <c r="BA152" s="381" t="s">
        <v>3725</v>
      </c>
      <c r="BB152" s="344">
        <v>1</v>
      </c>
      <c r="BC152" s="344">
        <v>1</v>
      </c>
      <c r="BD152" s="344">
        <v>1</v>
      </c>
      <c r="BE152" s="344">
        <v>1</v>
      </c>
      <c r="BF152" s="344">
        <v>1</v>
      </c>
      <c r="BG152" s="344">
        <v>1</v>
      </c>
      <c r="BH152" s="344">
        <v>1</v>
      </c>
      <c r="BI152" s="344">
        <v>1</v>
      </c>
      <c r="BJ152" s="251">
        <v>5.50000000001</v>
      </c>
      <c r="BK152" s="251">
        <v>7.00000000002</v>
      </c>
      <c r="BL152" s="251">
        <v>4.00000000003</v>
      </c>
      <c r="BM152" s="251">
        <v>4.00000000004</v>
      </c>
      <c r="BN152" s="251">
        <v>5.0000000000000002E-11</v>
      </c>
      <c r="BO152" s="251">
        <v>4.00000000006</v>
      </c>
      <c r="BP152" s="251">
        <v>4.00000000007</v>
      </c>
      <c r="BQ152" s="251">
        <v>7.9999999999999995E-11</v>
      </c>
      <c r="BR152" s="344">
        <f t="shared" si="408"/>
        <v>5.50000000001</v>
      </c>
      <c r="BS152" s="344">
        <f t="shared" si="442"/>
        <v>7.00000000002</v>
      </c>
      <c r="BT152" s="344">
        <f t="shared" si="443"/>
        <v>4.00000000003</v>
      </c>
      <c r="BU152" s="344">
        <f t="shared" si="444"/>
        <v>4.00000000004</v>
      </c>
      <c r="BV152" s="344">
        <f t="shared" si="445"/>
        <v>5.0000000000000002E-11</v>
      </c>
      <c r="BW152" s="344">
        <f t="shared" si="446"/>
        <v>4.00000000006</v>
      </c>
      <c r="BX152" s="344">
        <f t="shared" si="447"/>
        <v>4.00000000007</v>
      </c>
      <c r="BY152" s="344">
        <f t="shared" si="448"/>
        <v>7.9999999999999995E-11</v>
      </c>
      <c r="BZ152" s="344" t="b">
        <f t="shared" ref="BZ152:CC156" si="460">IF($E152="4C2X",TRUE,IF($E152="Best 5",IF(BR152&gt;LARGE($BR152:$BY152,6),TRUE),IF($E152="Best 6",IF(BR152&gt;LARGE($BR152:$BY152,7),TRUE))))</f>
        <v>1</v>
      </c>
      <c r="CA152" s="344" t="b">
        <f t="shared" si="460"/>
        <v>1</v>
      </c>
      <c r="CB152" s="344" t="b">
        <f t="shared" si="460"/>
        <v>0</v>
      </c>
      <c r="CC152" s="344" t="b">
        <f t="shared" si="460"/>
        <v>1</v>
      </c>
      <c r="CD152" s="344" t="b">
        <f t="shared" ref="CD152:CG156" si="461">IF($E152="4C2X",IF(BV152&gt;LARGE($BV152:$BY152,3),TRUE),IF($E152="Best 5",IF(BV152&gt;LARGE($BR152:$BY152,6),TRUE),IF($E152="Best 6",IF(BV152&gt;LARGE($BR152:$BY152,7),TRUE))))</f>
        <v>0</v>
      </c>
      <c r="CE152" s="344" t="b">
        <f t="shared" si="461"/>
        <v>1</v>
      </c>
      <c r="CF152" s="344" t="b">
        <f t="shared" si="461"/>
        <v>1</v>
      </c>
      <c r="CG152" s="344" t="b">
        <f t="shared" si="461"/>
        <v>0</v>
      </c>
      <c r="CH152" s="344">
        <v>1</v>
      </c>
      <c r="CI152" s="344">
        <v>1</v>
      </c>
      <c r="CJ152" s="344">
        <v>1</v>
      </c>
      <c r="CK152" s="344">
        <v>1</v>
      </c>
      <c r="CL152" s="344">
        <v>1</v>
      </c>
      <c r="CM152" s="344">
        <v>1</v>
      </c>
      <c r="CN152" s="344">
        <v>1</v>
      </c>
      <c r="CO152" s="344">
        <v>1</v>
      </c>
      <c r="CP152" s="251">
        <v>7.00000000001</v>
      </c>
      <c r="CQ152" s="251">
        <v>4.00000000002</v>
      </c>
      <c r="CR152" s="251">
        <v>4.00000000003</v>
      </c>
      <c r="CS152" s="251">
        <v>5.50000000004</v>
      </c>
      <c r="CT152" s="251">
        <v>5.0000000000000002E-11</v>
      </c>
      <c r="CU152" s="251">
        <v>5.50000000006</v>
      </c>
      <c r="CV152" s="251">
        <v>4.00000000007</v>
      </c>
      <c r="CW152" s="251">
        <v>4.00000000008</v>
      </c>
      <c r="CX152" s="344">
        <f t="shared" si="449"/>
        <v>7.00000000001</v>
      </c>
      <c r="CY152" s="344">
        <f t="shared" si="417"/>
        <v>4.00000000002</v>
      </c>
      <c r="CZ152" s="344">
        <f t="shared" si="418"/>
        <v>4.00000000003</v>
      </c>
      <c r="DA152" s="344">
        <f t="shared" si="419"/>
        <v>5.50000000004</v>
      </c>
      <c r="DB152" s="344">
        <f t="shared" si="420"/>
        <v>5.0000000000000002E-11</v>
      </c>
      <c r="DC152" s="344">
        <f t="shared" si="421"/>
        <v>5.50000000006</v>
      </c>
      <c r="DD152" s="344">
        <f t="shared" si="422"/>
        <v>4.00000000007</v>
      </c>
      <c r="DE152" s="344">
        <f t="shared" si="423"/>
        <v>4.00000000008</v>
      </c>
      <c r="DF152" s="344" t="b">
        <f t="shared" ref="DF152:DF178" si="462">IF($E152="4C2X",TRUE,IF($E152="Best 5",IF(CX152&gt;LARGE($CX152:$DE152,6),TRUE),IF($E152="Best 6",IF(CX152&gt;LARGE($CX152:$DE152,7),TRUE))))</f>
        <v>1</v>
      </c>
      <c r="DG152" s="344" t="b">
        <f t="shared" ref="DG152:DG178" si="463">IF($E152="4C2X",TRUE,IF($E152="Best 5",IF(CY152&gt;LARGE($CX152:$DE152,6),TRUE),IF($E152="Best 6",IF(CY152&gt;LARGE($CX152:$DE152,7),TRUE))))</f>
        <v>0</v>
      </c>
      <c r="DH152" s="344" t="b">
        <f t="shared" ref="DH152:DH178" si="464">IF($E152="4C2X",TRUE,IF($E152="Best 5",IF(CZ152&gt;LARGE($CX152:$DE152,6),TRUE),IF($E152="Best 6",IF(CZ152&gt;LARGE($CX152:$DE152,7),TRUE))))</f>
        <v>0</v>
      </c>
      <c r="DI152" s="344" t="b">
        <f t="shared" ref="DI152:DI178" si="465">IF($E152="4C2X",TRUE,IF($E152="Best 5",IF(DA152&gt;LARGE($CX152:$DE152,6),TRUE),IF($E152="Best 6",IF(DA152&gt;LARGE($CX152:$DE152,7),TRUE))))</f>
        <v>1</v>
      </c>
      <c r="DJ152" s="344" t="b">
        <f t="shared" si="428"/>
        <v>0</v>
      </c>
      <c r="DK152" s="344" t="b">
        <f t="shared" si="429"/>
        <v>1</v>
      </c>
      <c r="DL152" s="344" t="b">
        <f t="shared" si="430"/>
        <v>1</v>
      </c>
      <c r="DM152" s="344" t="b">
        <f t="shared" si="431"/>
        <v>1</v>
      </c>
      <c r="DN152" s="344">
        <v>1</v>
      </c>
      <c r="DO152" s="344">
        <v>1</v>
      </c>
      <c r="DP152" s="344">
        <v>1</v>
      </c>
      <c r="DQ152" s="344">
        <v>1</v>
      </c>
      <c r="DR152" s="344">
        <v>1</v>
      </c>
      <c r="DS152" s="344">
        <v>1</v>
      </c>
      <c r="DT152" s="344">
        <v>1</v>
      </c>
      <c r="DU152" s="344">
        <v>1</v>
      </c>
      <c r="DV152" s="251">
        <v>8.5000000000099991</v>
      </c>
      <c r="DW152" s="251">
        <v>7.00000000002</v>
      </c>
      <c r="DX152" s="251">
        <v>5.50000000003</v>
      </c>
      <c r="DY152" s="251">
        <v>4.00000000004</v>
      </c>
      <c r="DZ152" s="251">
        <v>5.0000000000000002E-11</v>
      </c>
      <c r="EA152" s="251">
        <v>5.50000000006</v>
      </c>
      <c r="EB152" s="251">
        <v>5.50000000007</v>
      </c>
      <c r="EC152" s="251">
        <v>4.00000000008</v>
      </c>
      <c r="ED152" s="344">
        <f t="shared" si="450"/>
        <v>8.5000000000099991</v>
      </c>
      <c r="EE152" s="344">
        <f t="shared" si="451"/>
        <v>7.00000000002</v>
      </c>
      <c r="EF152" s="344">
        <f t="shared" si="452"/>
        <v>5.50000000003</v>
      </c>
      <c r="EG152" s="344">
        <f t="shared" si="453"/>
        <v>4.00000000004</v>
      </c>
      <c r="EH152" s="344">
        <f t="shared" si="454"/>
        <v>5.0000000000000002E-11</v>
      </c>
      <c r="EI152" s="344">
        <f t="shared" si="455"/>
        <v>5.50000000006</v>
      </c>
      <c r="EJ152" s="344">
        <f t="shared" si="456"/>
        <v>5.50000000007</v>
      </c>
      <c r="EK152" s="344">
        <f t="shared" si="457"/>
        <v>4.00000000008</v>
      </c>
      <c r="EL152" s="344" t="b">
        <f t="shared" si="433"/>
        <v>1</v>
      </c>
      <c r="EM152" s="344" t="b">
        <f t="shared" si="434"/>
        <v>1</v>
      </c>
      <c r="EN152" s="344" t="b">
        <f t="shared" si="435"/>
        <v>1</v>
      </c>
      <c r="EO152" s="344" t="b">
        <f t="shared" si="436"/>
        <v>0</v>
      </c>
      <c r="EP152" s="344" t="b">
        <f t="shared" si="437"/>
        <v>0</v>
      </c>
      <c r="EQ152" s="344" t="b">
        <f t="shared" si="438"/>
        <v>1</v>
      </c>
      <c r="ER152" s="344" t="b">
        <f t="shared" si="439"/>
        <v>1</v>
      </c>
      <c r="ES152" s="344" t="b">
        <f t="shared" si="440"/>
        <v>0</v>
      </c>
    </row>
    <row r="153" spans="1:149" s="251" customFormat="1" x14ac:dyDescent="0.3">
      <c r="A153" s="251" t="s">
        <v>814</v>
      </c>
      <c r="B153" s="251" t="s">
        <v>2247</v>
      </c>
      <c r="C153" s="251" t="s">
        <v>2180</v>
      </c>
      <c r="D153" s="251" t="s">
        <v>817</v>
      </c>
      <c r="E153" s="251" t="s">
        <v>1977</v>
      </c>
      <c r="F153" s="344">
        <f t="shared" si="441"/>
        <v>22.000000000209997</v>
      </c>
      <c r="G153" s="344">
        <f t="shared" si="458"/>
        <v>21.5000000002</v>
      </c>
      <c r="H153" s="344">
        <f t="shared" si="459"/>
        <v>19.5000000002</v>
      </c>
      <c r="I153" s="251" t="s">
        <v>3065</v>
      </c>
      <c r="J153" s="251" t="s">
        <v>1970</v>
      </c>
      <c r="K153" s="251" t="s">
        <v>1970</v>
      </c>
      <c r="L153" s="251" t="s">
        <v>1970</v>
      </c>
      <c r="M153" s="251" t="s">
        <v>1970</v>
      </c>
      <c r="N153" s="344" t="s">
        <v>1978</v>
      </c>
      <c r="O153" s="344" t="s">
        <v>1978</v>
      </c>
      <c r="P153" s="344" t="s">
        <v>1978</v>
      </c>
      <c r="Q153" s="344" t="s">
        <v>1978</v>
      </c>
      <c r="R153" s="344" t="s">
        <v>1978</v>
      </c>
      <c r="S153" s="344" t="s">
        <v>1978</v>
      </c>
      <c r="T153" s="251" t="s">
        <v>815</v>
      </c>
      <c r="U153" s="251" t="s">
        <v>2165</v>
      </c>
      <c r="V153" s="251" t="s">
        <v>1970</v>
      </c>
      <c r="W153" s="251" t="s">
        <v>1970</v>
      </c>
      <c r="X153" s="344">
        <f>'A123'!J161</f>
        <v>10</v>
      </c>
      <c r="Y153" s="344">
        <f>'A123'!K161</f>
        <v>17</v>
      </c>
      <c r="Z153" s="344">
        <f>'A123'!L161</f>
        <v>6.5882352941176467</v>
      </c>
      <c r="AA153" s="344" t="s">
        <v>2165</v>
      </c>
      <c r="AB153" s="344" t="str">
        <f>入學要求!X162</f>
        <v>/</v>
      </c>
      <c r="AC153" s="344" t="str">
        <f>入學要求!Y162</f>
        <v>/</v>
      </c>
      <c r="AD153" s="373" t="s">
        <v>1977</v>
      </c>
      <c r="AE153" s="344" t="s">
        <v>1970</v>
      </c>
      <c r="AF153" s="344" t="s">
        <v>1970</v>
      </c>
      <c r="AG153" s="344" t="s">
        <v>3115</v>
      </c>
      <c r="AH153" s="344" t="s">
        <v>1970</v>
      </c>
      <c r="AI153" s="344" t="s">
        <v>1970</v>
      </c>
      <c r="AJ153" s="344" t="s">
        <v>1970</v>
      </c>
      <c r="AK153" s="251" t="s">
        <v>1970</v>
      </c>
      <c r="AL153" s="251" t="s">
        <v>1970</v>
      </c>
      <c r="AM153" s="251" t="s">
        <v>1970</v>
      </c>
      <c r="AN153" s="251" t="s">
        <v>1970</v>
      </c>
      <c r="AO153" s="251" t="s">
        <v>1970</v>
      </c>
      <c r="AP153" s="251" t="s">
        <v>1970</v>
      </c>
      <c r="AQ153" s="344" t="s">
        <v>1970</v>
      </c>
      <c r="AR153" s="428" t="s">
        <v>2150</v>
      </c>
      <c r="AS153" s="251" t="s">
        <v>3608</v>
      </c>
      <c r="AT153" s="251" t="s">
        <v>1970</v>
      </c>
      <c r="AU153" s="251" t="s">
        <v>1970</v>
      </c>
      <c r="AV153" s="344" t="s">
        <v>3735</v>
      </c>
      <c r="AW153" s="344" t="s">
        <v>3736</v>
      </c>
      <c r="AX153" s="344" t="s">
        <v>3750</v>
      </c>
      <c r="AY153" s="344" t="s">
        <v>3722</v>
      </c>
      <c r="AZ153" s="344" t="s">
        <v>3737</v>
      </c>
      <c r="BA153" s="381" t="s">
        <v>3725</v>
      </c>
      <c r="BB153" s="344">
        <v>1</v>
      </c>
      <c r="BC153" s="344">
        <v>1</v>
      </c>
      <c r="BD153" s="344">
        <v>1</v>
      </c>
      <c r="BE153" s="344">
        <v>1</v>
      </c>
      <c r="BF153" s="344">
        <v>1</v>
      </c>
      <c r="BG153" s="344">
        <v>1</v>
      </c>
      <c r="BH153" s="344">
        <v>1</v>
      </c>
      <c r="BI153" s="344">
        <v>1</v>
      </c>
      <c r="BJ153" s="251">
        <v>4.00000000001</v>
      </c>
      <c r="BK153" s="251">
        <v>3.00000000002</v>
      </c>
      <c r="BL153" s="251">
        <v>2.00000000003</v>
      </c>
      <c r="BM153" s="251">
        <v>3.00000000004</v>
      </c>
      <c r="BN153" s="251">
        <v>5.0000000000000002E-11</v>
      </c>
      <c r="BO153" s="251">
        <v>5.50000000006</v>
      </c>
      <c r="BP153" s="251">
        <v>4.00000000007</v>
      </c>
      <c r="BQ153" s="251">
        <v>7.9999999999999995E-11</v>
      </c>
      <c r="BR153" s="344">
        <f t="shared" si="408"/>
        <v>4.00000000001</v>
      </c>
      <c r="BS153" s="344">
        <f t="shared" si="442"/>
        <v>3.00000000002</v>
      </c>
      <c r="BT153" s="344">
        <f t="shared" si="443"/>
        <v>2.00000000003</v>
      </c>
      <c r="BU153" s="344">
        <f t="shared" si="444"/>
        <v>3.00000000004</v>
      </c>
      <c r="BV153" s="344">
        <f t="shared" si="445"/>
        <v>5.0000000000000002E-11</v>
      </c>
      <c r="BW153" s="344">
        <f t="shared" si="446"/>
        <v>5.50000000006</v>
      </c>
      <c r="BX153" s="344">
        <f t="shared" si="447"/>
        <v>4.00000000007</v>
      </c>
      <c r="BY153" s="344">
        <f t="shared" si="448"/>
        <v>7.9999999999999995E-11</v>
      </c>
      <c r="BZ153" s="344" t="b">
        <f t="shared" si="460"/>
        <v>1</v>
      </c>
      <c r="CA153" s="344" t="b">
        <f t="shared" si="460"/>
        <v>1</v>
      </c>
      <c r="CB153" s="344" t="b">
        <f t="shared" si="460"/>
        <v>0</v>
      </c>
      <c r="CC153" s="344" t="b">
        <f t="shared" si="460"/>
        <v>1</v>
      </c>
      <c r="CD153" s="344" t="b">
        <f t="shared" si="461"/>
        <v>0</v>
      </c>
      <c r="CE153" s="344" t="b">
        <f t="shared" si="461"/>
        <v>1</v>
      </c>
      <c r="CF153" s="344" t="b">
        <f t="shared" si="461"/>
        <v>1</v>
      </c>
      <c r="CG153" s="344" t="b">
        <f t="shared" si="461"/>
        <v>0</v>
      </c>
      <c r="CH153" s="344">
        <v>1</v>
      </c>
      <c r="CI153" s="344">
        <v>1</v>
      </c>
      <c r="CJ153" s="344">
        <v>1</v>
      </c>
      <c r="CK153" s="344">
        <v>1</v>
      </c>
      <c r="CL153" s="344">
        <v>1</v>
      </c>
      <c r="CM153" s="344">
        <v>1</v>
      </c>
      <c r="CN153" s="344">
        <v>1</v>
      </c>
      <c r="CO153" s="344">
        <v>1</v>
      </c>
      <c r="CP153" s="251">
        <v>5.50000000001</v>
      </c>
      <c r="CQ153" s="251">
        <v>4.00000000002</v>
      </c>
      <c r="CR153" s="251">
        <v>3.00000000003</v>
      </c>
      <c r="CS153" s="251">
        <v>4.00000000004</v>
      </c>
      <c r="CT153" s="251">
        <v>5.0000000000000002E-11</v>
      </c>
      <c r="CU153" s="251">
        <v>4.00000000006</v>
      </c>
      <c r="CV153" s="251">
        <v>4.00000000007</v>
      </c>
      <c r="CW153" s="251">
        <v>7.9999999999999995E-11</v>
      </c>
      <c r="CX153" s="344">
        <f t="shared" si="449"/>
        <v>5.50000000001</v>
      </c>
      <c r="CY153" s="344">
        <f t="shared" si="417"/>
        <v>4.00000000002</v>
      </c>
      <c r="CZ153" s="344">
        <f t="shared" si="418"/>
        <v>3.00000000003</v>
      </c>
      <c r="DA153" s="344">
        <f t="shared" si="419"/>
        <v>4.00000000004</v>
      </c>
      <c r="DB153" s="344">
        <f t="shared" si="420"/>
        <v>5.0000000000000002E-11</v>
      </c>
      <c r="DC153" s="344">
        <f t="shared" si="421"/>
        <v>4.00000000006</v>
      </c>
      <c r="DD153" s="344">
        <f t="shared" si="422"/>
        <v>4.00000000007</v>
      </c>
      <c r="DE153" s="344">
        <f t="shared" si="423"/>
        <v>7.9999999999999995E-11</v>
      </c>
      <c r="DF153" s="344" t="b">
        <f t="shared" si="462"/>
        <v>1</v>
      </c>
      <c r="DG153" s="344" t="b">
        <f t="shared" si="463"/>
        <v>1</v>
      </c>
      <c r="DH153" s="344" t="b">
        <f t="shared" si="464"/>
        <v>0</v>
      </c>
      <c r="DI153" s="344" t="b">
        <f t="shared" si="465"/>
        <v>1</v>
      </c>
      <c r="DJ153" s="344" t="b">
        <f t="shared" si="428"/>
        <v>0</v>
      </c>
      <c r="DK153" s="344" t="b">
        <f t="shared" si="429"/>
        <v>1</v>
      </c>
      <c r="DL153" s="344" t="b">
        <f t="shared" si="430"/>
        <v>1</v>
      </c>
      <c r="DM153" s="344" t="b">
        <f t="shared" si="431"/>
        <v>0</v>
      </c>
      <c r="DN153" s="344">
        <v>1</v>
      </c>
      <c r="DO153" s="344">
        <v>1</v>
      </c>
      <c r="DP153" s="344">
        <v>1</v>
      </c>
      <c r="DQ153" s="344">
        <v>1</v>
      </c>
      <c r="DR153" s="344">
        <v>1</v>
      </c>
      <c r="DS153" s="344">
        <v>1</v>
      </c>
      <c r="DT153" s="344">
        <v>1</v>
      </c>
      <c r="DU153" s="344">
        <v>1</v>
      </c>
      <c r="DV153" s="251">
        <v>7.00000000001</v>
      </c>
      <c r="DW153" s="251">
        <v>3.00000000002</v>
      </c>
      <c r="DX153" s="251">
        <v>3.00000000003</v>
      </c>
      <c r="DY153" s="251">
        <v>4.00000000004</v>
      </c>
      <c r="DZ153" s="251">
        <v>5.0000000000000002E-11</v>
      </c>
      <c r="EA153" s="251">
        <v>4.00000000006</v>
      </c>
      <c r="EB153" s="251">
        <v>4.00000000007</v>
      </c>
      <c r="EC153" s="251">
        <v>7.9999999999999995E-11</v>
      </c>
      <c r="ED153" s="344">
        <f t="shared" si="450"/>
        <v>7.00000000001</v>
      </c>
      <c r="EE153" s="344">
        <f t="shared" si="451"/>
        <v>3.00000000002</v>
      </c>
      <c r="EF153" s="344">
        <f t="shared" si="452"/>
        <v>3.00000000003</v>
      </c>
      <c r="EG153" s="344">
        <f t="shared" si="453"/>
        <v>4.00000000004</v>
      </c>
      <c r="EH153" s="344">
        <f t="shared" si="454"/>
        <v>5.0000000000000002E-11</v>
      </c>
      <c r="EI153" s="344">
        <f t="shared" si="455"/>
        <v>4.00000000006</v>
      </c>
      <c r="EJ153" s="344">
        <f t="shared" si="456"/>
        <v>4.00000000007</v>
      </c>
      <c r="EK153" s="344">
        <f t="shared" si="457"/>
        <v>7.9999999999999995E-11</v>
      </c>
      <c r="EL153" s="344" t="b">
        <f t="shared" si="433"/>
        <v>1</v>
      </c>
      <c r="EM153" s="344" t="b">
        <f t="shared" si="434"/>
        <v>0</v>
      </c>
      <c r="EN153" s="344" t="b">
        <f t="shared" si="435"/>
        <v>1</v>
      </c>
      <c r="EO153" s="344" t="b">
        <f t="shared" si="436"/>
        <v>1</v>
      </c>
      <c r="EP153" s="344" t="b">
        <f t="shared" si="437"/>
        <v>0</v>
      </c>
      <c r="EQ153" s="344" t="b">
        <f t="shared" si="438"/>
        <v>1</v>
      </c>
      <c r="ER153" s="344" t="b">
        <f t="shared" si="439"/>
        <v>1</v>
      </c>
      <c r="ES153" s="344" t="b">
        <f t="shared" si="440"/>
        <v>0</v>
      </c>
    </row>
    <row r="154" spans="1:149" s="251" customFormat="1" x14ac:dyDescent="0.3">
      <c r="A154" s="251" t="s">
        <v>819</v>
      </c>
      <c r="B154" s="251" t="s">
        <v>2247</v>
      </c>
      <c r="C154" s="251" t="s">
        <v>2149</v>
      </c>
      <c r="D154" s="251" t="s">
        <v>822</v>
      </c>
      <c r="E154" s="251" t="s">
        <v>1977</v>
      </c>
      <c r="F154" s="344">
        <f t="shared" si="441"/>
        <v>27.5000000002</v>
      </c>
      <c r="G154" s="344">
        <f t="shared" si="458"/>
        <v>24.500000000229999</v>
      </c>
      <c r="H154" s="344">
        <f t="shared" si="459"/>
        <v>24.5000000002</v>
      </c>
      <c r="I154" s="251" t="s">
        <v>1970</v>
      </c>
      <c r="J154" s="251" t="s">
        <v>1970</v>
      </c>
      <c r="K154" s="251" t="s">
        <v>1970</v>
      </c>
      <c r="L154" s="251" t="s">
        <v>1970</v>
      </c>
      <c r="M154" s="251" t="s">
        <v>1970</v>
      </c>
      <c r="N154" s="344" t="s">
        <v>1978</v>
      </c>
      <c r="O154" s="344" t="s">
        <v>1978</v>
      </c>
      <c r="P154" s="344" t="s">
        <v>1978</v>
      </c>
      <c r="Q154" s="344" t="s">
        <v>1978</v>
      </c>
      <c r="R154" s="344" t="s">
        <v>1978</v>
      </c>
      <c r="S154" s="344" t="s">
        <v>1978</v>
      </c>
      <c r="T154" s="251" t="s">
        <v>820</v>
      </c>
      <c r="U154" s="251" t="s">
        <v>2165</v>
      </c>
      <c r="V154" s="251" t="s">
        <v>1970</v>
      </c>
      <c r="W154" s="251" t="s">
        <v>1970</v>
      </c>
      <c r="X154" s="344">
        <f>'A123'!J162</f>
        <v>222</v>
      </c>
      <c r="Y154" s="344">
        <f>'A123'!K162</f>
        <v>273</v>
      </c>
      <c r="Z154" s="344">
        <f>'A123'!L162</f>
        <v>5</v>
      </c>
      <c r="AA154" s="344" t="s">
        <v>2165</v>
      </c>
      <c r="AB154" s="344" t="str">
        <f>入學要求!X163</f>
        <v>/</v>
      </c>
      <c r="AC154" s="344" t="str">
        <f>入學要求!Y163</f>
        <v>/</v>
      </c>
      <c r="AD154" s="344" t="s">
        <v>1977</v>
      </c>
      <c r="AE154" s="344" t="s">
        <v>1970</v>
      </c>
      <c r="AF154" s="344" t="s">
        <v>1970</v>
      </c>
      <c r="AG154" s="344" t="s">
        <v>1970</v>
      </c>
      <c r="AH154" s="344" t="s">
        <v>1970</v>
      </c>
      <c r="AI154" s="344" t="s">
        <v>1970</v>
      </c>
      <c r="AJ154" s="344" t="s">
        <v>1970</v>
      </c>
      <c r="AK154" s="251" t="s">
        <v>1970</v>
      </c>
      <c r="AL154" s="251" t="s">
        <v>1970</v>
      </c>
      <c r="AM154" s="251" t="s">
        <v>1970</v>
      </c>
      <c r="AN154" s="251" t="s">
        <v>1970</v>
      </c>
      <c r="AO154" s="251" t="s">
        <v>1970</v>
      </c>
      <c r="AP154" s="251" t="s">
        <v>1970</v>
      </c>
      <c r="AQ154" s="344" t="s">
        <v>1970</v>
      </c>
      <c r="AR154" s="428" t="s">
        <v>3386</v>
      </c>
      <c r="AS154" s="251" t="s">
        <v>3620</v>
      </c>
      <c r="AT154" s="251" t="s">
        <v>3649</v>
      </c>
      <c r="AU154" s="251" t="s">
        <v>3646</v>
      </c>
      <c r="AV154" s="344" t="s">
        <v>3735</v>
      </c>
      <c r="AW154" s="344" t="s">
        <v>3736</v>
      </c>
      <c r="AX154" s="344" t="s">
        <v>3751</v>
      </c>
      <c r="AY154" s="344" t="s">
        <v>3722</v>
      </c>
      <c r="AZ154" s="344" t="s">
        <v>3737</v>
      </c>
      <c r="BA154" s="381" t="s">
        <v>3725</v>
      </c>
      <c r="BB154" s="344">
        <v>1</v>
      </c>
      <c r="BC154" s="344">
        <v>1</v>
      </c>
      <c r="BD154" s="344">
        <v>1</v>
      </c>
      <c r="BE154" s="344">
        <v>1</v>
      </c>
      <c r="BF154" s="344">
        <v>1</v>
      </c>
      <c r="BG154" s="344">
        <v>1</v>
      </c>
      <c r="BH154" s="344">
        <v>1</v>
      </c>
      <c r="BI154" s="344">
        <v>1</v>
      </c>
      <c r="BJ154" s="251">
        <v>5.50000000001</v>
      </c>
      <c r="BK154" s="251">
        <v>4.00000000002</v>
      </c>
      <c r="BL154" s="251">
        <v>3.00000000003</v>
      </c>
      <c r="BM154" s="251">
        <v>7.00000000004</v>
      </c>
      <c r="BN154" s="251">
        <v>5.0000000000000002E-11</v>
      </c>
      <c r="BO154" s="251">
        <v>4.00000000006</v>
      </c>
      <c r="BP154" s="251">
        <v>4.00000000007</v>
      </c>
      <c r="BQ154" s="251">
        <v>2.00000000008</v>
      </c>
      <c r="BR154" s="344">
        <f t="shared" si="408"/>
        <v>5.50000000001</v>
      </c>
      <c r="BS154" s="344">
        <f t="shared" si="442"/>
        <v>4.00000000002</v>
      </c>
      <c r="BT154" s="344">
        <f t="shared" si="443"/>
        <v>3.00000000003</v>
      </c>
      <c r="BU154" s="344">
        <f t="shared" si="444"/>
        <v>7.00000000004</v>
      </c>
      <c r="BV154" s="344">
        <f t="shared" si="445"/>
        <v>5.0000000000000002E-11</v>
      </c>
      <c r="BW154" s="344">
        <f t="shared" si="446"/>
        <v>4.00000000006</v>
      </c>
      <c r="BX154" s="344">
        <f t="shared" si="447"/>
        <v>4.00000000007</v>
      </c>
      <c r="BY154" s="344">
        <f t="shared" si="448"/>
        <v>2.00000000008</v>
      </c>
      <c r="BZ154" s="344" t="b">
        <f t="shared" si="460"/>
        <v>1</v>
      </c>
      <c r="CA154" s="344" t="b">
        <f t="shared" si="460"/>
        <v>1</v>
      </c>
      <c r="CB154" s="344" t="b">
        <f t="shared" si="460"/>
        <v>0</v>
      </c>
      <c r="CC154" s="344" t="b">
        <f t="shared" si="460"/>
        <v>1</v>
      </c>
      <c r="CD154" s="344" t="b">
        <f t="shared" si="461"/>
        <v>0</v>
      </c>
      <c r="CE154" s="344" t="b">
        <f t="shared" si="461"/>
        <v>1</v>
      </c>
      <c r="CF154" s="344" t="b">
        <f t="shared" si="461"/>
        <v>1</v>
      </c>
      <c r="CG154" s="344" t="b">
        <f t="shared" si="461"/>
        <v>0</v>
      </c>
      <c r="CH154" s="344">
        <v>1</v>
      </c>
      <c r="CI154" s="344">
        <v>1</v>
      </c>
      <c r="CJ154" s="344">
        <v>1</v>
      </c>
      <c r="CK154" s="344">
        <v>1</v>
      </c>
      <c r="CL154" s="344">
        <v>1</v>
      </c>
      <c r="CM154" s="344">
        <v>1</v>
      </c>
      <c r="CN154" s="344">
        <v>1</v>
      </c>
      <c r="CO154" s="344">
        <v>1</v>
      </c>
      <c r="CP154" s="251">
        <v>4.00000000001</v>
      </c>
      <c r="CQ154" s="251">
        <v>5.50000000002</v>
      </c>
      <c r="CR154" s="251">
        <v>5.50000000003</v>
      </c>
      <c r="CS154" s="251">
        <v>4.00000000004</v>
      </c>
      <c r="CT154" s="251">
        <v>4.00000000005</v>
      </c>
      <c r="CU154" s="251">
        <v>5.50000000006</v>
      </c>
      <c r="CV154" s="251">
        <v>4.00000000007</v>
      </c>
      <c r="CW154" s="251">
        <v>7.9999999999999995E-11</v>
      </c>
      <c r="CX154" s="344">
        <f t="shared" si="449"/>
        <v>4.00000000001</v>
      </c>
      <c r="CY154" s="344">
        <f t="shared" si="417"/>
        <v>5.50000000002</v>
      </c>
      <c r="CZ154" s="344">
        <f t="shared" si="418"/>
        <v>5.50000000003</v>
      </c>
      <c r="DA154" s="344">
        <f t="shared" si="419"/>
        <v>4.00000000004</v>
      </c>
      <c r="DB154" s="344">
        <f t="shared" si="420"/>
        <v>4.00000000005</v>
      </c>
      <c r="DC154" s="344">
        <f t="shared" si="421"/>
        <v>5.50000000006</v>
      </c>
      <c r="DD154" s="344">
        <f t="shared" si="422"/>
        <v>4.00000000007</v>
      </c>
      <c r="DE154" s="344">
        <f t="shared" si="423"/>
        <v>7.9999999999999995E-11</v>
      </c>
      <c r="DF154" s="344" t="b">
        <f t="shared" si="462"/>
        <v>0</v>
      </c>
      <c r="DG154" s="344" t="b">
        <f t="shared" si="463"/>
        <v>1</v>
      </c>
      <c r="DH154" s="344" t="b">
        <f t="shared" si="464"/>
        <v>1</v>
      </c>
      <c r="DI154" s="344" t="b">
        <f t="shared" si="465"/>
        <v>0</v>
      </c>
      <c r="DJ154" s="344" t="b">
        <f t="shared" si="428"/>
        <v>1</v>
      </c>
      <c r="DK154" s="344" t="b">
        <f t="shared" si="429"/>
        <v>1</v>
      </c>
      <c r="DL154" s="344" t="b">
        <f t="shared" si="430"/>
        <v>1</v>
      </c>
      <c r="DM154" s="344" t="b">
        <f t="shared" si="431"/>
        <v>0</v>
      </c>
      <c r="DN154" s="344">
        <v>1</v>
      </c>
      <c r="DO154" s="344">
        <v>1</v>
      </c>
      <c r="DP154" s="344">
        <v>1</v>
      </c>
      <c r="DQ154" s="344">
        <v>1</v>
      </c>
      <c r="DR154" s="344">
        <v>1</v>
      </c>
      <c r="DS154" s="344">
        <v>1</v>
      </c>
      <c r="DT154" s="344">
        <v>1</v>
      </c>
      <c r="DU154" s="344">
        <v>1</v>
      </c>
      <c r="DV154" s="251">
        <v>7.00000000001</v>
      </c>
      <c r="DW154" s="251">
        <v>4.00000000002</v>
      </c>
      <c r="DX154" s="251">
        <v>2.00000000003</v>
      </c>
      <c r="DY154" s="251">
        <v>8.50000000004</v>
      </c>
      <c r="DZ154" s="251">
        <v>5.0000000000000002E-11</v>
      </c>
      <c r="EA154" s="251">
        <v>4.00000000006</v>
      </c>
      <c r="EB154" s="251">
        <v>4.00000000007</v>
      </c>
      <c r="EC154" s="251">
        <v>7.9999999999999995E-11</v>
      </c>
      <c r="ED154" s="344">
        <f t="shared" si="450"/>
        <v>7.00000000001</v>
      </c>
      <c r="EE154" s="344">
        <f t="shared" si="451"/>
        <v>4.00000000002</v>
      </c>
      <c r="EF154" s="344">
        <f t="shared" si="452"/>
        <v>2.00000000003</v>
      </c>
      <c r="EG154" s="344">
        <f t="shared" si="453"/>
        <v>8.50000000004</v>
      </c>
      <c r="EH154" s="344">
        <f t="shared" si="454"/>
        <v>5.0000000000000002E-11</v>
      </c>
      <c r="EI154" s="344">
        <f t="shared" si="455"/>
        <v>4.00000000006</v>
      </c>
      <c r="EJ154" s="344">
        <f t="shared" si="456"/>
        <v>4.00000000007</v>
      </c>
      <c r="EK154" s="344">
        <f t="shared" si="457"/>
        <v>7.9999999999999995E-11</v>
      </c>
      <c r="EL154" s="344" t="b">
        <f t="shared" si="433"/>
        <v>1</v>
      </c>
      <c r="EM154" s="344" t="b">
        <f t="shared" si="434"/>
        <v>1</v>
      </c>
      <c r="EN154" s="344" t="b">
        <f t="shared" si="435"/>
        <v>0</v>
      </c>
      <c r="EO154" s="344" t="b">
        <f t="shared" si="436"/>
        <v>1</v>
      </c>
      <c r="EP154" s="344" t="b">
        <f t="shared" si="437"/>
        <v>0</v>
      </c>
      <c r="EQ154" s="344" t="b">
        <f t="shared" si="438"/>
        <v>1</v>
      </c>
      <c r="ER154" s="344" t="b">
        <f t="shared" si="439"/>
        <v>1</v>
      </c>
      <c r="ES154" s="344" t="b">
        <f t="shared" si="440"/>
        <v>0</v>
      </c>
    </row>
    <row r="155" spans="1:149" s="251" customFormat="1" x14ac:dyDescent="0.3">
      <c r="A155" s="251" t="s">
        <v>824</v>
      </c>
      <c r="B155" s="251" t="s">
        <v>2247</v>
      </c>
      <c r="C155" s="251" t="s">
        <v>2149</v>
      </c>
      <c r="D155" s="251" t="s">
        <v>827</v>
      </c>
      <c r="E155" s="251" t="s">
        <v>1967</v>
      </c>
      <c r="F155" s="344">
        <f t="shared" si="441"/>
        <v>49.500000000210001</v>
      </c>
      <c r="G155" s="344">
        <f t="shared" si="458"/>
        <v>45.000000000230003</v>
      </c>
      <c r="H155" s="344">
        <f t="shared" si="459"/>
        <v>43.500000000249997</v>
      </c>
      <c r="I155" s="251" t="s">
        <v>1970</v>
      </c>
      <c r="J155" s="251" t="s">
        <v>1970</v>
      </c>
      <c r="K155" s="251" t="s">
        <v>1970</v>
      </c>
      <c r="L155" s="251" t="s">
        <v>1970</v>
      </c>
      <c r="M155" s="251" t="s">
        <v>1970</v>
      </c>
      <c r="N155" s="344" t="s">
        <v>1978</v>
      </c>
      <c r="O155" s="344" t="s">
        <v>1978</v>
      </c>
      <c r="P155" s="344" t="s">
        <v>1978</v>
      </c>
      <c r="Q155" s="344" t="s">
        <v>1978</v>
      </c>
      <c r="R155" s="344" t="s">
        <v>1978</v>
      </c>
      <c r="S155" s="344" t="s">
        <v>1978</v>
      </c>
      <c r="T155" s="251" t="s">
        <v>825</v>
      </c>
      <c r="U155" s="251" t="s">
        <v>2165</v>
      </c>
      <c r="V155" s="251" t="s">
        <v>1970</v>
      </c>
      <c r="W155" s="251" t="s">
        <v>1970</v>
      </c>
      <c r="X155" s="344">
        <f>'A123'!J163</f>
        <v>15</v>
      </c>
      <c r="Y155" s="344">
        <f>'A123'!K163</f>
        <v>10</v>
      </c>
      <c r="Z155" s="344">
        <f>'A123'!L163</f>
        <v>4.2</v>
      </c>
      <c r="AA155" s="344" t="s">
        <v>2165</v>
      </c>
      <c r="AB155" s="344" t="str">
        <f>入學要求!X164</f>
        <v>申請人應考獲以下資歷︰</v>
      </c>
      <c r="AC155" s="344" t="str">
        <f>入學要求!Y164</f>
        <v>TOEFL 600分 (紙筆) / 100分 (網上) 或 IELTS 7.0 或 英文母語證明</v>
      </c>
      <c r="AD155" s="344" t="s">
        <v>1967</v>
      </c>
      <c r="AE155" s="344" t="s">
        <v>1970</v>
      </c>
      <c r="AF155" s="344" t="s">
        <v>1970</v>
      </c>
      <c r="AG155" s="344" t="s">
        <v>1970</v>
      </c>
      <c r="AH155" s="344" t="s">
        <v>1970</v>
      </c>
      <c r="AI155" s="344" t="s">
        <v>1970</v>
      </c>
      <c r="AJ155" s="344" t="s">
        <v>1970</v>
      </c>
      <c r="AK155" s="251" t="s">
        <v>1970</v>
      </c>
      <c r="AL155" s="251" t="s">
        <v>1970</v>
      </c>
      <c r="AM155" s="251" t="s">
        <v>1970</v>
      </c>
      <c r="AN155" s="251" t="s">
        <v>1970</v>
      </c>
      <c r="AO155" s="251" t="s">
        <v>1970</v>
      </c>
      <c r="AP155" s="251" t="s">
        <v>1970</v>
      </c>
      <c r="AQ155" s="344" t="s">
        <v>1970</v>
      </c>
      <c r="AR155" s="428" t="s">
        <v>3386</v>
      </c>
      <c r="AS155" s="251" t="s">
        <v>3620</v>
      </c>
      <c r="AT155" s="251" t="s">
        <v>3650</v>
      </c>
      <c r="AU155" s="251" t="s">
        <v>3646</v>
      </c>
      <c r="AV155" s="344" t="s">
        <v>3735</v>
      </c>
      <c r="AW155" s="344" t="s">
        <v>3736</v>
      </c>
      <c r="AX155" s="344" t="s">
        <v>3752</v>
      </c>
      <c r="AY155" s="344" t="s">
        <v>3722</v>
      </c>
      <c r="AZ155" s="344" t="s">
        <v>3737</v>
      </c>
      <c r="BA155" s="381" t="s">
        <v>3725</v>
      </c>
      <c r="BB155" s="344">
        <v>1</v>
      </c>
      <c r="BC155" s="344">
        <v>1</v>
      </c>
      <c r="BD155" s="344">
        <v>1</v>
      </c>
      <c r="BE155" s="344">
        <v>1</v>
      </c>
      <c r="BF155" s="344">
        <v>1</v>
      </c>
      <c r="BG155" s="344">
        <v>1</v>
      </c>
      <c r="BH155" s="344">
        <v>1</v>
      </c>
      <c r="BI155" s="344">
        <v>1</v>
      </c>
      <c r="BJ155" s="251">
        <v>5.50000000001</v>
      </c>
      <c r="BK155" s="251">
        <v>7.00000000002</v>
      </c>
      <c r="BL155" s="251">
        <v>7.00000000003</v>
      </c>
      <c r="BM155" s="251">
        <v>7.00000000004</v>
      </c>
      <c r="BN155" s="251">
        <v>7.00000000005</v>
      </c>
      <c r="BO155" s="251">
        <v>8.50000000006</v>
      </c>
      <c r="BP155" s="251">
        <v>8.5000000000699991</v>
      </c>
      <c r="BQ155" s="251">
        <v>8.50000000008</v>
      </c>
      <c r="BR155" s="344">
        <f t="shared" ref="BR155:BR206" si="466">BB155*BJ155</f>
        <v>5.50000000001</v>
      </c>
      <c r="BS155" s="344">
        <f t="shared" si="442"/>
        <v>7.00000000002</v>
      </c>
      <c r="BT155" s="344">
        <f t="shared" si="443"/>
        <v>7.00000000003</v>
      </c>
      <c r="BU155" s="344">
        <f t="shared" si="444"/>
        <v>7.00000000004</v>
      </c>
      <c r="BV155" s="344">
        <f t="shared" si="445"/>
        <v>7.00000000005</v>
      </c>
      <c r="BW155" s="344">
        <f t="shared" si="446"/>
        <v>8.50000000006</v>
      </c>
      <c r="BX155" s="344">
        <f t="shared" si="447"/>
        <v>8.5000000000699991</v>
      </c>
      <c r="BY155" s="344">
        <f t="shared" si="448"/>
        <v>8.50000000008</v>
      </c>
      <c r="BZ155" s="344" t="b">
        <f t="shared" si="460"/>
        <v>1</v>
      </c>
      <c r="CA155" s="344" t="b">
        <f t="shared" si="460"/>
        <v>1</v>
      </c>
      <c r="CB155" s="344" t="b">
        <f t="shared" si="460"/>
        <v>1</v>
      </c>
      <c r="CC155" s="344" t="b">
        <f t="shared" si="460"/>
        <v>1</v>
      </c>
      <c r="CD155" s="344" t="b">
        <f t="shared" si="461"/>
        <v>0</v>
      </c>
      <c r="CE155" s="344" t="b">
        <f t="shared" si="461"/>
        <v>0</v>
      </c>
      <c r="CF155" s="344" t="b">
        <f t="shared" si="461"/>
        <v>1</v>
      </c>
      <c r="CG155" s="344" t="b">
        <f t="shared" si="461"/>
        <v>1</v>
      </c>
      <c r="CH155" s="344">
        <v>1</v>
      </c>
      <c r="CI155" s="344">
        <v>1</v>
      </c>
      <c r="CJ155" s="344">
        <v>1</v>
      </c>
      <c r="CK155" s="344">
        <v>1</v>
      </c>
      <c r="CL155" s="344">
        <v>1</v>
      </c>
      <c r="CM155" s="344">
        <v>1</v>
      </c>
      <c r="CN155" s="344">
        <v>1</v>
      </c>
      <c r="CO155" s="344">
        <v>1</v>
      </c>
      <c r="CP155" s="251">
        <v>7.00000000001</v>
      </c>
      <c r="CQ155" s="251">
        <v>7.00000000002</v>
      </c>
      <c r="CR155" s="251">
        <v>8.5000000000299991</v>
      </c>
      <c r="CS155" s="251">
        <v>5.50000000004</v>
      </c>
      <c r="CT155" s="251">
        <v>8.5000000000499991</v>
      </c>
      <c r="CU155" s="251">
        <v>8.50000000006</v>
      </c>
      <c r="CV155" s="251">
        <v>8.5000000000699991</v>
      </c>
      <c r="CW155" s="251">
        <v>7.00000000008</v>
      </c>
      <c r="CX155" s="344">
        <f t="shared" si="449"/>
        <v>7.00000000001</v>
      </c>
      <c r="CY155" s="344">
        <f t="shared" si="417"/>
        <v>7.00000000002</v>
      </c>
      <c r="CZ155" s="344">
        <f t="shared" si="418"/>
        <v>8.5000000000299991</v>
      </c>
      <c r="DA155" s="344">
        <f t="shared" si="419"/>
        <v>5.50000000004</v>
      </c>
      <c r="DB155" s="344">
        <f t="shared" si="420"/>
        <v>8.5000000000499991</v>
      </c>
      <c r="DC155" s="344">
        <f t="shared" si="421"/>
        <v>8.50000000006</v>
      </c>
      <c r="DD155" s="344">
        <f t="shared" si="422"/>
        <v>8.5000000000699991</v>
      </c>
      <c r="DE155" s="344">
        <f t="shared" si="423"/>
        <v>7.00000000008</v>
      </c>
      <c r="DF155" s="344" t="b">
        <f t="shared" si="462"/>
        <v>1</v>
      </c>
      <c r="DG155" s="344" t="b">
        <f t="shared" si="463"/>
        <v>1</v>
      </c>
      <c r="DH155" s="344" t="b">
        <f t="shared" si="464"/>
        <v>1</v>
      </c>
      <c r="DI155" s="344" t="b">
        <f t="shared" si="465"/>
        <v>1</v>
      </c>
      <c r="DJ155" s="344" t="b">
        <f t="shared" si="428"/>
        <v>0</v>
      </c>
      <c r="DK155" s="344" t="b">
        <f t="shared" si="429"/>
        <v>1</v>
      </c>
      <c r="DL155" s="344" t="b">
        <f t="shared" si="430"/>
        <v>1</v>
      </c>
      <c r="DM155" s="344" t="b">
        <f t="shared" si="431"/>
        <v>0</v>
      </c>
      <c r="DN155" s="344">
        <v>1</v>
      </c>
      <c r="DO155" s="344">
        <v>1</v>
      </c>
      <c r="DP155" s="344">
        <v>1</v>
      </c>
      <c r="DQ155" s="344">
        <v>1</v>
      </c>
      <c r="DR155" s="344">
        <v>1</v>
      </c>
      <c r="DS155" s="344">
        <v>1</v>
      </c>
      <c r="DT155" s="344">
        <v>1</v>
      </c>
      <c r="DU155" s="344">
        <v>1</v>
      </c>
      <c r="DV155" s="251">
        <v>8.5000000000099991</v>
      </c>
      <c r="DW155" s="251">
        <v>7.00000000002</v>
      </c>
      <c r="DX155" s="251">
        <v>8.5000000000299991</v>
      </c>
      <c r="DY155" s="251">
        <v>8.50000000004</v>
      </c>
      <c r="DZ155" s="251">
        <v>8.5000000000499991</v>
      </c>
      <c r="EA155" s="251">
        <v>8.50000000006</v>
      </c>
      <c r="EB155" s="251">
        <v>7.00000000007</v>
      </c>
      <c r="EC155" s="251">
        <v>7.00000000008</v>
      </c>
      <c r="ED155" s="344">
        <f t="shared" si="450"/>
        <v>8.5000000000099991</v>
      </c>
      <c r="EE155" s="344">
        <f t="shared" si="451"/>
        <v>7.00000000002</v>
      </c>
      <c r="EF155" s="344">
        <f t="shared" si="452"/>
        <v>8.5000000000299991</v>
      </c>
      <c r="EG155" s="344">
        <f t="shared" si="453"/>
        <v>8.50000000004</v>
      </c>
      <c r="EH155" s="344">
        <f t="shared" si="454"/>
        <v>8.5000000000499991</v>
      </c>
      <c r="EI155" s="344">
        <f t="shared" si="455"/>
        <v>8.50000000006</v>
      </c>
      <c r="EJ155" s="344">
        <f t="shared" si="456"/>
        <v>7.00000000007</v>
      </c>
      <c r="EK155" s="344">
        <f t="shared" si="457"/>
        <v>7.00000000008</v>
      </c>
      <c r="EL155" s="344" t="b">
        <f t="shared" si="433"/>
        <v>1</v>
      </c>
      <c r="EM155" s="344" t="b">
        <f t="shared" si="434"/>
        <v>1</v>
      </c>
      <c r="EN155" s="344" t="b">
        <f t="shared" si="435"/>
        <v>1</v>
      </c>
      <c r="EO155" s="344" t="b">
        <f t="shared" si="436"/>
        <v>1</v>
      </c>
      <c r="EP155" s="344" t="b">
        <f t="shared" si="437"/>
        <v>1</v>
      </c>
      <c r="EQ155" s="344" t="b">
        <f t="shared" si="438"/>
        <v>1</v>
      </c>
      <c r="ER155" s="344" t="b">
        <f t="shared" si="439"/>
        <v>0</v>
      </c>
      <c r="ES155" s="344" t="b">
        <f t="shared" si="440"/>
        <v>0</v>
      </c>
    </row>
    <row r="156" spans="1:149" s="251" customFormat="1" x14ac:dyDescent="0.3">
      <c r="A156" s="251" t="s">
        <v>828</v>
      </c>
      <c r="B156" s="251" t="s">
        <v>2247</v>
      </c>
      <c r="C156" s="251" t="s">
        <v>2149</v>
      </c>
      <c r="D156" s="251" t="s">
        <v>831</v>
      </c>
      <c r="E156" s="251" t="s">
        <v>1977</v>
      </c>
      <c r="F156" s="344">
        <f t="shared" si="441"/>
        <v>24.5000000002</v>
      </c>
      <c r="G156" s="344">
        <f t="shared" si="458"/>
        <v>23.000000000209997</v>
      </c>
      <c r="H156" s="344">
        <f t="shared" si="459"/>
        <v>23.000000000220002</v>
      </c>
      <c r="I156" s="251" t="s">
        <v>1970</v>
      </c>
      <c r="J156" s="251" t="s">
        <v>1970</v>
      </c>
      <c r="K156" s="251" t="s">
        <v>1970</v>
      </c>
      <c r="L156" s="251" t="s">
        <v>1970</v>
      </c>
      <c r="M156" s="251" t="s">
        <v>1970</v>
      </c>
      <c r="N156" s="344" t="s">
        <v>1978</v>
      </c>
      <c r="O156" s="344" t="s">
        <v>1978</v>
      </c>
      <c r="P156" s="344" t="s">
        <v>1978</v>
      </c>
      <c r="Q156" s="344" t="s">
        <v>1978</v>
      </c>
      <c r="R156" s="344" t="s">
        <v>1978</v>
      </c>
      <c r="S156" s="344" t="s">
        <v>1978</v>
      </c>
      <c r="T156" s="251" t="s">
        <v>829</v>
      </c>
      <c r="U156" s="251" t="s">
        <v>2165</v>
      </c>
      <c r="V156" s="251" t="s">
        <v>1970</v>
      </c>
      <c r="W156" s="251" t="s">
        <v>1970</v>
      </c>
      <c r="X156" s="344">
        <f>'A123'!J164</f>
        <v>60</v>
      </c>
      <c r="Y156" s="344">
        <f>'A123'!K164</f>
        <v>34</v>
      </c>
      <c r="Z156" s="344">
        <f>'A123'!L164</f>
        <v>11.058823529411764</v>
      </c>
      <c r="AA156" s="344" t="s">
        <v>2165</v>
      </c>
      <c r="AB156" s="344" t="str">
        <f>入學要求!X165</f>
        <v>/</v>
      </c>
      <c r="AC156" s="344" t="str">
        <f>入學要求!Y165</f>
        <v>/</v>
      </c>
      <c r="AD156" s="344" t="s">
        <v>1977</v>
      </c>
      <c r="AE156" s="344" t="s">
        <v>1970</v>
      </c>
      <c r="AF156" s="344" t="s">
        <v>1970</v>
      </c>
      <c r="AG156" s="344" t="s">
        <v>1970</v>
      </c>
      <c r="AH156" s="344" t="s">
        <v>1970</v>
      </c>
      <c r="AI156" s="344" t="s">
        <v>1970</v>
      </c>
      <c r="AJ156" s="344" t="s">
        <v>1970</v>
      </c>
      <c r="AK156" s="251" t="s">
        <v>1970</v>
      </c>
      <c r="AL156" s="251" t="s">
        <v>1970</v>
      </c>
      <c r="AM156" s="251" t="s">
        <v>1970</v>
      </c>
      <c r="AN156" s="251" t="s">
        <v>1970</v>
      </c>
      <c r="AO156" s="251" t="s">
        <v>1970</v>
      </c>
      <c r="AP156" s="251" t="s">
        <v>1970</v>
      </c>
      <c r="AQ156" s="344" t="s">
        <v>1970</v>
      </c>
      <c r="AR156" s="428" t="s">
        <v>3386</v>
      </c>
      <c r="AS156" s="251" t="s">
        <v>3620</v>
      </c>
      <c r="AT156" s="251" t="s">
        <v>3651</v>
      </c>
      <c r="AU156" s="251" t="s">
        <v>3646</v>
      </c>
      <c r="AV156" s="344" t="s">
        <v>3735</v>
      </c>
      <c r="AW156" s="344" t="s">
        <v>3736</v>
      </c>
      <c r="AX156" s="344" t="s">
        <v>3753</v>
      </c>
      <c r="AY156" s="344" t="s">
        <v>3722</v>
      </c>
      <c r="AZ156" s="344" t="s">
        <v>3737</v>
      </c>
      <c r="BA156" s="381" t="s">
        <v>3725</v>
      </c>
      <c r="BB156" s="344">
        <v>1</v>
      </c>
      <c r="BC156" s="344">
        <v>1</v>
      </c>
      <c r="BD156" s="344">
        <v>1</v>
      </c>
      <c r="BE156" s="344">
        <v>1</v>
      </c>
      <c r="BF156" s="344">
        <v>1</v>
      </c>
      <c r="BG156" s="344">
        <v>1</v>
      </c>
      <c r="BH156" s="344">
        <v>1</v>
      </c>
      <c r="BI156" s="344">
        <v>1</v>
      </c>
      <c r="BJ156" s="251">
        <v>4.00000000001</v>
      </c>
      <c r="BK156" s="251">
        <v>4.00000000002</v>
      </c>
      <c r="BL156" s="251">
        <v>4.00000000003</v>
      </c>
      <c r="BM156" s="251">
        <v>7.00000000004</v>
      </c>
      <c r="BN156" s="251">
        <v>5.0000000000000002E-11</v>
      </c>
      <c r="BO156" s="251">
        <v>4.00000000006</v>
      </c>
      <c r="BP156" s="251">
        <v>4.00000000007</v>
      </c>
      <c r="BQ156" s="251">
        <v>7.9999999999999995E-11</v>
      </c>
      <c r="BR156" s="344">
        <f t="shared" si="466"/>
        <v>4.00000000001</v>
      </c>
      <c r="BS156" s="344">
        <f t="shared" si="442"/>
        <v>4.00000000002</v>
      </c>
      <c r="BT156" s="344">
        <f t="shared" si="443"/>
        <v>4.00000000003</v>
      </c>
      <c r="BU156" s="344">
        <f t="shared" si="444"/>
        <v>7.00000000004</v>
      </c>
      <c r="BV156" s="344">
        <f t="shared" si="445"/>
        <v>5.0000000000000002E-11</v>
      </c>
      <c r="BW156" s="344">
        <f t="shared" si="446"/>
        <v>4.00000000006</v>
      </c>
      <c r="BX156" s="344">
        <f t="shared" si="447"/>
        <v>4.00000000007</v>
      </c>
      <c r="BY156" s="344">
        <f t="shared" si="448"/>
        <v>7.9999999999999995E-11</v>
      </c>
      <c r="BZ156" s="344" t="b">
        <f t="shared" si="460"/>
        <v>0</v>
      </c>
      <c r="CA156" s="344" t="b">
        <f t="shared" si="460"/>
        <v>1</v>
      </c>
      <c r="CB156" s="344" t="b">
        <f t="shared" si="460"/>
        <v>1</v>
      </c>
      <c r="CC156" s="344" t="b">
        <f t="shared" si="460"/>
        <v>1</v>
      </c>
      <c r="CD156" s="344" t="b">
        <f t="shared" si="461"/>
        <v>0</v>
      </c>
      <c r="CE156" s="344" t="b">
        <f t="shared" si="461"/>
        <v>1</v>
      </c>
      <c r="CF156" s="344" t="b">
        <f t="shared" si="461"/>
        <v>1</v>
      </c>
      <c r="CG156" s="344" t="b">
        <f t="shared" si="461"/>
        <v>0</v>
      </c>
      <c r="CH156" s="344">
        <v>1</v>
      </c>
      <c r="CI156" s="344">
        <v>1</v>
      </c>
      <c r="CJ156" s="344">
        <v>1</v>
      </c>
      <c r="CK156" s="344">
        <v>1</v>
      </c>
      <c r="CL156" s="344">
        <v>1</v>
      </c>
      <c r="CM156" s="344">
        <v>1</v>
      </c>
      <c r="CN156" s="344">
        <v>1</v>
      </c>
      <c r="CO156" s="344">
        <v>1</v>
      </c>
      <c r="CP156" s="251">
        <v>5.50000000001</v>
      </c>
      <c r="CQ156" s="251">
        <v>4.00000000002</v>
      </c>
      <c r="CR156" s="251">
        <v>4.00000000003</v>
      </c>
      <c r="CS156" s="251">
        <v>5.50000000004</v>
      </c>
      <c r="CT156" s="251">
        <v>5.0000000000000002E-11</v>
      </c>
      <c r="CU156" s="251">
        <v>4.00000000006</v>
      </c>
      <c r="CV156" s="251">
        <v>4.00000000007</v>
      </c>
      <c r="CW156" s="251">
        <v>7.9999999999999995E-11</v>
      </c>
      <c r="CX156" s="344">
        <f t="shared" si="449"/>
        <v>5.50000000001</v>
      </c>
      <c r="CY156" s="344">
        <f t="shared" si="417"/>
        <v>4.00000000002</v>
      </c>
      <c r="CZ156" s="344">
        <f t="shared" si="418"/>
        <v>4.00000000003</v>
      </c>
      <c r="DA156" s="344">
        <f t="shared" si="419"/>
        <v>5.50000000004</v>
      </c>
      <c r="DB156" s="344">
        <f t="shared" si="420"/>
        <v>5.0000000000000002E-11</v>
      </c>
      <c r="DC156" s="344">
        <f t="shared" si="421"/>
        <v>4.00000000006</v>
      </c>
      <c r="DD156" s="344">
        <f t="shared" si="422"/>
        <v>4.00000000007</v>
      </c>
      <c r="DE156" s="344">
        <f t="shared" si="423"/>
        <v>7.9999999999999995E-11</v>
      </c>
      <c r="DF156" s="344" t="b">
        <f t="shared" si="462"/>
        <v>1</v>
      </c>
      <c r="DG156" s="344" t="b">
        <f t="shared" si="463"/>
        <v>0</v>
      </c>
      <c r="DH156" s="344" t="b">
        <f t="shared" si="464"/>
        <v>1</v>
      </c>
      <c r="DI156" s="344" t="b">
        <f t="shared" si="465"/>
        <v>1</v>
      </c>
      <c r="DJ156" s="344" t="b">
        <f t="shared" si="428"/>
        <v>0</v>
      </c>
      <c r="DK156" s="344" t="b">
        <f t="shared" si="429"/>
        <v>1</v>
      </c>
      <c r="DL156" s="344" t="b">
        <f t="shared" si="430"/>
        <v>1</v>
      </c>
      <c r="DM156" s="344" t="b">
        <f t="shared" si="431"/>
        <v>0</v>
      </c>
      <c r="DN156" s="344">
        <v>1</v>
      </c>
      <c r="DO156" s="344">
        <v>1</v>
      </c>
      <c r="DP156" s="344">
        <v>1</v>
      </c>
      <c r="DQ156" s="344">
        <v>1</v>
      </c>
      <c r="DR156" s="344">
        <v>1</v>
      </c>
      <c r="DS156" s="344">
        <v>1</v>
      </c>
      <c r="DT156" s="344">
        <v>1</v>
      </c>
      <c r="DU156" s="344">
        <v>1</v>
      </c>
      <c r="DV156" s="251">
        <v>5.50000000001</v>
      </c>
      <c r="DW156" s="251">
        <v>7.00000000002</v>
      </c>
      <c r="DX156" s="251">
        <v>2.00000000003</v>
      </c>
      <c r="DY156" s="251">
        <v>4.00000000004</v>
      </c>
      <c r="DZ156" s="251">
        <v>5.0000000000000002E-11</v>
      </c>
      <c r="EA156" s="251">
        <v>4.00000000006</v>
      </c>
      <c r="EB156" s="251">
        <v>4.00000000007</v>
      </c>
      <c r="EC156" s="251">
        <v>7.9999999999999995E-11</v>
      </c>
      <c r="ED156" s="344">
        <f t="shared" si="450"/>
        <v>5.50000000001</v>
      </c>
      <c r="EE156" s="344">
        <f t="shared" si="451"/>
        <v>7.00000000002</v>
      </c>
      <c r="EF156" s="344">
        <f t="shared" si="452"/>
        <v>2.00000000003</v>
      </c>
      <c r="EG156" s="344">
        <f t="shared" si="453"/>
        <v>4.00000000004</v>
      </c>
      <c r="EH156" s="344">
        <f t="shared" si="454"/>
        <v>5.0000000000000002E-11</v>
      </c>
      <c r="EI156" s="344">
        <f t="shared" si="455"/>
        <v>4.00000000006</v>
      </c>
      <c r="EJ156" s="344">
        <f t="shared" si="456"/>
        <v>4.00000000007</v>
      </c>
      <c r="EK156" s="344">
        <f t="shared" si="457"/>
        <v>7.9999999999999995E-11</v>
      </c>
      <c r="EL156" s="344" t="b">
        <f t="shared" si="433"/>
        <v>1</v>
      </c>
      <c r="EM156" s="344" t="b">
        <f t="shared" si="434"/>
        <v>1</v>
      </c>
      <c r="EN156" s="344" t="b">
        <f t="shared" si="435"/>
        <v>0</v>
      </c>
      <c r="EO156" s="344" t="b">
        <f t="shared" si="436"/>
        <v>1</v>
      </c>
      <c r="EP156" s="344" t="b">
        <f t="shared" si="437"/>
        <v>0</v>
      </c>
      <c r="EQ156" s="344" t="b">
        <f t="shared" si="438"/>
        <v>1</v>
      </c>
      <c r="ER156" s="344" t="b">
        <f t="shared" si="439"/>
        <v>1</v>
      </c>
      <c r="ES156" s="344" t="b">
        <f t="shared" si="440"/>
        <v>0</v>
      </c>
    </row>
    <row r="157" spans="1:149" s="251" customFormat="1" x14ac:dyDescent="0.3">
      <c r="A157" s="251" t="s">
        <v>833</v>
      </c>
      <c r="B157" s="251" t="s">
        <v>2247</v>
      </c>
      <c r="C157" s="251" t="s">
        <v>2149</v>
      </c>
      <c r="D157" s="251" t="s">
        <v>836</v>
      </c>
      <c r="E157" s="251" t="s">
        <v>1977</v>
      </c>
      <c r="F157" s="344">
        <f t="shared" si="441"/>
        <v>33.500000000290001</v>
      </c>
      <c r="G157" s="344">
        <f t="shared" si="458"/>
        <v>30.500000000250001</v>
      </c>
      <c r="H157" s="344">
        <f t="shared" si="459"/>
        <v>29.000000000229999</v>
      </c>
      <c r="I157" s="251" t="s">
        <v>3067</v>
      </c>
      <c r="J157" s="251" t="s">
        <v>3066</v>
      </c>
      <c r="K157" s="251" t="s">
        <v>1970</v>
      </c>
      <c r="L157" s="251" t="s">
        <v>1970</v>
      </c>
      <c r="M157" s="251" t="s">
        <v>1970</v>
      </c>
      <c r="N157" s="344" t="s">
        <v>1978</v>
      </c>
      <c r="O157" s="344" t="s">
        <v>1978</v>
      </c>
      <c r="P157" s="344" t="s">
        <v>1978</v>
      </c>
      <c r="Q157" s="344" t="s">
        <v>1978</v>
      </c>
      <c r="R157" s="344" t="s">
        <v>1978</v>
      </c>
      <c r="S157" s="344" t="s">
        <v>1978</v>
      </c>
      <c r="T157" s="251" t="s">
        <v>834</v>
      </c>
      <c r="U157" s="251" t="s">
        <v>2165</v>
      </c>
      <c r="V157" s="251" t="s">
        <v>1970</v>
      </c>
      <c r="W157" s="251" t="s">
        <v>1970</v>
      </c>
      <c r="X157" s="344">
        <f>'A123'!J165</f>
        <v>45</v>
      </c>
      <c r="Y157" s="344">
        <f>'A123'!K165</f>
        <v>48</v>
      </c>
      <c r="Z157" s="344">
        <f>'A123'!L165</f>
        <v>2.8958333333333335</v>
      </c>
      <c r="AA157" s="344" t="s">
        <v>2165</v>
      </c>
      <c r="AB157" s="344" t="str">
        <f>入學要求!X166</f>
        <v xml:space="preserve">若同學於 數學科 只考獲Lv.4或以下，M1/2需考獲Lv.5 </v>
      </c>
      <c r="AC157" s="344">
        <f>入學要求!Y166</f>
        <v>0</v>
      </c>
      <c r="AD157" s="344" t="s">
        <v>1977</v>
      </c>
      <c r="AE157" s="344" t="s">
        <v>3067</v>
      </c>
      <c r="AF157" s="344" t="s">
        <v>3066</v>
      </c>
      <c r="AG157" s="344" t="s">
        <v>1970</v>
      </c>
      <c r="AH157" s="344" t="s">
        <v>1970</v>
      </c>
      <c r="AI157" s="344" t="s">
        <v>1970</v>
      </c>
      <c r="AJ157" s="344" t="s">
        <v>1970</v>
      </c>
      <c r="AK157" s="251" t="s">
        <v>1970</v>
      </c>
      <c r="AL157" s="251" t="s">
        <v>1970</v>
      </c>
      <c r="AM157" s="251" t="s">
        <v>1970</v>
      </c>
      <c r="AN157" s="251" t="s">
        <v>1970</v>
      </c>
      <c r="AO157" s="251" t="s">
        <v>1970</v>
      </c>
      <c r="AP157" s="251" t="s">
        <v>1970</v>
      </c>
      <c r="AQ157" s="344" t="s">
        <v>1970</v>
      </c>
      <c r="AR157" s="428" t="s">
        <v>3387</v>
      </c>
      <c r="AS157" s="251" t="s">
        <v>3620</v>
      </c>
      <c r="AT157" s="251" t="s">
        <v>3652</v>
      </c>
      <c r="AU157" s="251" t="s">
        <v>3646</v>
      </c>
      <c r="AV157" s="344" t="s">
        <v>3735</v>
      </c>
      <c r="AW157" s="344" t="s">
        <v>3736</v>
      </c>
      <c r="AX157" s="344" t="s">
        <v>3754</v>
      </c>
      <c r="AY157" s="344" t="s">
        <v>3722</v>
      </c>
      <c r="AZ157" s="344" t="s">
        <v>3737</v>
      </c>
      <c r="BA157" s="381" t="s">
        <v>3725</v>
      </c>
      <c r="BB157" s="344">
        <v>1</v>
      </c>
      <c r="BC157" s="344">
        <v>1</v>
      </c>
      <c r="BD157" s="344">
        <v>1</v>
      </c>
      <c r="BE157" s="344">
        <v>1</v>
      </c>
      <c r="BF157" s="344">
        <v>1</v>
      </c>
      <c r="BG157" s="344">
        <v>1</v>
      </c>
      <c r="BH157" s="344">
        <v>1</v>
      </c>
      <c r="BI157" s="344">
        <v>1</v>
      </c>
      <c r="BJ157" s="251">
        <v>4.00000000001</v>
      </c>
      <c r="BK157" s="251">
        <v>4.00000000002</v>
      </c>
      <c r="BL157" s="251">
        <v>7.00000000003</v>
      </c>
      <c r="BM157" s="251">
        <v>3.00000000004</v>
      </c>
      <c r="BN157" s="251">
        <v>7.00000000005</v>
      </c>
      <c r="BO157" s="251">
        <v>5.50000000006</v>
      </c>
      <c r="BP157" s="251">
        <v>5.50000000007</v>
      </c>
      <c r="BQ157" s="251">
        <v>5.50000000008</v>
      </c>
      <c r="BR157" s="344">
        <f t="shared" si="466"/>
        <v>4.00000000001</v>
      </c>
      <c r="BS157" s="344">
        <f t="shared" si="442"/>
        <v>4.00000000002</v>
      </c>
      <c r="BT157" s="344">
        <f t="shared" si="443"/>
        <v>7.00000000003</v>
      </c>
      <c r="BU157" s="344">
        <f t="shared" si="444"/>
        <v>3.00000000004</v>
      </c>
      <c r="BV157" s="344">
        <f t="shared" si="445"/>
        <v>7.00000000005</v>
      </c>
      <c r="BW157" s="344">
        <f t="shared" si="446"/>
        <v>5.50000000006</v>
      </c>
      <c r="BX157" s="344">
        <f t="shared" si="447"/>
        <v>5.50000000007</v>
      </c>
      <c r="BY157" s="344">
        <f t="shared" si="448"/>
        <v>5.50000000008</v>
      </c>
      <c r="BZ157" s="344" t="b">
        <v>0</v>
      </c>
      <c r="CA157" s="344" t="b">
        <v>1</v>
      </c>
      <c r="CB157" s="344" t="b">
        <v>1</v>
      </c>
      <c r="CC157" s="344" t="b">
        <v>0</v>
      </c>
      <c r="CD157" s="344" t="b">
        <v>1</v>
      </c>
      <c r="CE157" s="344" t="b">
        <v>1</v>
      </c>
      <c r="CF157" s="344" t="b">
        <v>1</v>
      </c>
      <c r="CG157" s="344" t="b">
        <v>0</v>
      </c>
      <c r="CH157" s="344">
        <v>1</v>
      </c>
      <c r="CI157" s="344">
        <v>1</v>
      </c>
      <c r="CJ157" s="344">
        <v>1</v>
      </c>
      <c r="CK157" s="344">
        <v>1</v>
      </c>
      <c r="CL157" s="344">
        <v>1</v>
      </c>
      <c r="CM157" s="344">
        <v>1</v>
      </c>
      <c r="CN157" s="344">
        <v>1</v>
      </c>
      <c r="CO157" s="344">
        <v>1</v>
      </c>
      <c r="CP157" s="251">
        <v>4.00000000001</v>
      </c>
      <c r="CQ157" s="251">
        <v>4.00000000002</v>
      </c>
      <c r="CR157" s="251">
        <v>8.5000000000299991</v>
      </c>
      <c r="CS157" s="251">
        <v>4.00000000004</v>
      </c>
      <c r="CT157" s="251">
        <v>7.00000000005</v>
      </c>
      <c r="CU157" s="251">
        <v>5.50000000006</v>
      </c>
      <c r="CV157" s="251">
        <v>5.50000000007</v>
      </c>
      <c r="CW157" s="251">
        <v>7.9999999999999995E-11</v>
      </c>
      <c r="CX157" s="344">
        <f t="shared" si="449"/>
        <v>4.00000000001</v>
      </c>
      <c r="CY157" s="344">
        <f t="shared" si="417"/>
        <v>4.00000000002</v>
      </c>
      <c r="CZ157" s="344">
        <f t="shared" si="418"/>
        <v>8.5000000000299991</v>
      </c>
      <c r="DA157" s="344">
        <f t="shared" si="419"/>
        <v>4.00000000004</v>
      </c>
      <c r="DB157" s="344">
        <f t="shared" si="420"/>
        <v>7.00000000005</v>
      </c>
      <c r="DC157" s="344">
        <f t="shared" si="421"/>
        <v>5.50000000006</v>
      </c>
      <c r="DD157" s="344">
        <f t="shared" si="422"/>
        <v>5.50000000007</v>
      </c>
      <c r="DE157" s="344">
        <f t="shared" si="423"/>
        <v>7.9999999999999995E-11</v>
      </c>
      <c r="DF157" s="344" t="b">
        <f t="shared" si="462"/>
        <v>0</v>
      </c>
      <c r="DG157" s="344" t="b">
        <f t="shared" si="463"/>
        <v>0</v>
      </c>
      <c r="DH157" s="344" t="b">
        <f t="shared" si="464"/>
        <v>1</v>
      </c>
      <c r="DI157" s="344" t="b">
        <f t="shared" si="465"/>
        <v>1</v>
      </c>
      <c r="DJ157" s="344" t="b">
        <f t="shared" si="428"/>
        <v>1</v>
      </c>
      <c r="DK157" s="344" t="b">
        <f t="shared" si="429"/>
        <v>1</v>
      </c>
      <c r="DL157" s="344" t="b">
        <f t="shared" si="430"/>
        <v>1</v>
      </c>
      <c r="DM157" s="344" t="b">
        <f t="shared" si="431"/>
        <v>0</v>
      </c>
      <c r="DN157" s="344">
        <v>1</v>
      </c>
      <c r="DO157" s="344">
        <v>1</v>
      </c>
      <c r="DP157" s="344">
        <v>1</v>
      </c>
      <c r="DQ157" s="344">
        <v>1</v>
      </c>
      <c r="DR157" s="344">
        <v>1</v>
      </c>
      <c r="DS157" s="344">
        <v>1</v>
      </c>
      <c r="DT157" s="344">
        <v>1</v>
      </c>
      <c r="DU157" s="344">
        <v>1</v>
      </c>
      <c r="DV157" s="251">
        <v>4.00000000001</v>
      </c>
      <c r="DW157" s="251">
        <v>4.00000000002</v>
      </c>
      <c r="DX157" s="251">
        <v>8.5000000000299991</v>
      </c>
      <c r="DY157" s="251">
        <v>4.00000000004</v>
      </c>
      <c r="DZ157" s="251">
        <v>8.5000000000499991</v>
      </c>
      <c r="EA157" s="251">
        <v>5.50000000006</v>
      </c>
      <c r="EB157" s="251">
        <v>5.50000000007</v>
      </c>
      <c r="EC157" s="251">
        <v>5.50000000008</v>
      </c>
      <c r="ED157" s="344">
        <f t="shared" si="450"/>
        <v>4.00000000001</v>
      </c>
      <c r="EE157" s="344">
        <f t="shared" si="451"/>
        <v>4.00000000002</v>
      </c>
      <c r="EF157" s="344">
        <f t="shared" si="452"/>
        <v>8.5000000000299991</v>
      </c>
      <c r="EG157" s="344">
        <f t="shared" si="453"/>
        <v>4.00000000004</v>
      </c>
      <c r="EH157" s="344">
        <f t="shared" si="454"/>
        <v>8.5000000000499991</v>
      </c>
      <c r="EI157" s="344">
        <f t="shared" si="455"/>
        <v>5.50000000006</v>
      </c>
      <c r="EJ157" s="344">
        <f t="shared" si="456"/>
        <v>5.50000000007</v>
      </c>
      <c r="EK157" s="344">
        <f t="shared" si="457"/>
        <v>5.50000000008</v>
      </c>
      <c r="EL157" s="344" t="b">
        <f t="shared" si="433"/>
        <v>0</v>
      </c>
      <c r="EM157" s="344" t="b">
        <f t="shared" si="434"/>
        <v>0</v>
      </c>
      <c r="EN157" s="344" t="b">
        <f t="shared" si="435"/>
        <v>1</v>
      </c>
      <c r="EO157" s="344" t="b">
        <f t="shared" si="436"/>
        <v>0</v>
      </c>
      <c r="EP157" s="344" t="b">
        <f t="shared" si="437"/>
        <v>1</v>
      </c>
      <c r="EQ157" s="344" t="b">
        <f t="shared" si="438"/>
        <v>1</v>
      </c>
      <c r="ER157" s="344" t="b">
        <f t="shared" si="439"/>
        <v>1</v>
      </c>
      <c r="ES157" s="344" t="b">
        <f t="shared" si="440"/>
        <v>1</v>
      </c>
    </row>
    <row r="158" spans="1:149" s="251" customFormat="1" x14ac:dyDescent="0.3">
      <c r="A158" s="251" t="s">
        <v>838</v>
      </c>
      <c r="B158" s="251" t="s">
        <v>2247</v>
      </c>
      <c r="C158" s="251" t="s">
        <v>2149</v>
      </c>
      <c r="D158" s="251" t="s">
        <v>841</v>
      </c>
      <c r="E158" s="251" t="s">
        <v>1977</v>
      </c>
      <c r="F158" s="344">
        <f t="shared" si="441"/>
        <v>28.000000000220002</v>
      </c>
      <c r="G158" s="344">
        <f t="shared" si="458"/>
        <v>26.000000000250001</v>
      </c>
      <c r="H158" s="344">
        <f t="shared" si="459"/>
        <v>25.00000000028</v>
      </c>
      <c r="I158" s="251" t="s">
        <v>1970</v>
      </c>
      <c r="J158" s="251" t="s">
        <v>1970</v>
      </c>
      <c r="K158" s="251" t="s">
        <v>1970</v>
      </c>
      <c r="L158" s="251" t="s">
        <v>1970</v>
      </c>
      <c r="M158" s="251" t="s">
        <v>1970</v>
      </c>
      <c r="N158" s="344" t="s">
        <v>1978</v>
      </c>
      <c r="O158" s="344" t="s">
        <v>1978</v>
      </c>
      <c r="P158" s="344" t="s">
        <v>1978</v>
      </c>
      <c r="Q158" s="344" t="s">
        <v>1978</v>
      </c>
      <c r="R158" s="344" t="s">
        <v>1978</v>
      </c>
      <c r="S158" s="344" t="s">
        <v>1978</v>
      </c>
      <c r="T158" s="251" t="s">
        <v>839</v>
      </c>
      <c r="U158" s="251" t="s">
        <v>2165</v>
      </c>
      <c r="V158" s="251" t="s">
        <v>1970</v>
      </c>
      <c r="W158" s="251" t="s">
        <v>1970</v>
      </c>
      <c r="X158" s="344">
        <f>'A123'!J166</f>
        <v>126</v>
      </c>
      <c r="Y158" s="344">
        <f>'A123'!K166</f>
        <v>141</v>
      </c>
      <c r="Z158" s="344">
        <f>'A123'!L166</f>
        <v>3.3829787234042552</v>
      </c>
      <c r="AA158" s="344" t="s">
        <v>2165</v>
      </c>
      <c r="AB158" s="344" t="str">
        <f>入學要求!X167</f>
        <v>/</v>
      </c>
      <c r="AC158" s="344" t="str">
        <f>入學要求!Y167</f>
        <v>/</v>
      </c>
      <c r="AD158" s="344" t="s">
        <v>1977</v>
      </c>
      <c r="AE158" s="344" t="s">
        <v>1970</v>
      </c>
      <c r="AF158" s="344" t="s">
        <v>1970</v>
      </c>
      <c r="AG158" s="344" t="s">
        <v>1970</v>
      </c>
      <c r="AH158" s="344" t="s">
        <v>1970</v>
      </c>
      <c r="AI158" s="344" t="s">
        <v>1970</v>
      </c>
      <c r="AJ158" s="344" t="s">
        <v>1970</v>
      </c>
      <c r="AK158" s="251" t="s">
        <v>1970</v>
      </c>
      <c r="AL158" s="251" t="s">
        <v>1970</v>
      </c>
      <c r="AM158" s="251" t="s">
        <v>1970</v>
      </c>
      <c r="AN158" s="251" t="s">
        <v>1970</v>
      </c>
      <c r="AO158" s="251" t="s">
        <v>1970</v>
      </c>
      <c r="AP158" s="251" t="s">
        <v>1970</v>
      </c>
      <c r="AQ158" s="344" t="s">
        <v>1970</v>
      </c>
      <c r="AR158" s="428" t="s">
        <v>3386</v>
      </c>
      <c r="AS158" s="251" t="s">
        <v>3603</v>
      </c>
      <c r="AT158" s="251" t="s">
        <v>3653</v>
      </c>
      <c r="AU158" s="251" t="s">
        <v>1970</v>
      </c>
      <c r="AV158" s="344" t="s">
        <v>3735</v>
      </c>
      <c r="AW158" s="344" t="s">
        <v>3736</v>
      </c>
      <c r="AX158" s="344" t="s">
        <v>3755</v>
      </c>
      <c r="AY158" s="344" t="s">
        <v>3722</v>
      </c>
      <c r="AZ158" s="344" t="s">
        <v>3737</v>
      </c>
      <c r="BA158" s="381" t="s">
        <v>3725</v>
      </c>
      <c r="BB158" s="344">
        <v>1</v>
      </c>
      <c r="BC158" s="344">
        <v>1</v>
      </c>
      <c r="BD158" s="344">
        <v>1</v>
      </c>
      <c r="BE158" s="344">
        <v>1</v>
      </c>
      <c r="BF158" s="344">
        <v>1</v>
      </c>
      <c r="BG158" s="344">
        <v>1</v>
      </c>
      <c r="BH158" s="344">
        <v>1</v>
      </c>
      <c r="BI158" s="344">
        <v>1</v>
      </c>
      <c r="BJ158" s="251">
        <v>3.00000000001</v>
      </c>
      <c r="BK158" s="251">
        <v>3.00000000002</v>
      </c>
      <c r="BL158" s="251">
        <v>3.00000000003</v>
      </c>
      <c r="BM158" s="251">
        <v>7.00000000004</v>
      </c>
      <c r="BN158" s="251">
        <v>5.0000000000000002E-11</v>
      </c>
      <c r="BO158" s="251">
        <v>7.00000000006</v>
      </c>
      <c r="BP158" s="251">
        <v>4.00000000007</v>
      </c>
      <c r="BQ158" s="251">
        <v>4.00000000008</v>
      </c>
      <c r="BR158" s="344">
        <f t="shared" si="466"/>
        <v>3.00000000001</v>
      </c>
      <c r="BS158" s="344">
        <f t="shared" si="442"/>
        <v>3.00000000002</v>
      </c>
      <c r="BT158" s="344">
        <f t="shared" si="443"/>
        <v>3.00000000003</v>
      </c>
      <c r="BU158" s="344">
        <f t="shared" si="444"/>
        <v>7.00000000004</v>
      </c>
      <c r="BV158" s="344">
        <f t="shared" si="445"/>
        <v>5.0000000000000002E-11</v>
      </c>
      <c r="BW158" s="344">
        <f t="shared" si="446"/>
        <v>7.00000000006</v>
      </c>
      <c r="BX158" s="344">
        <f t="shared" si="447"/>
        <v>4.00000000007</v>
      </c>
      <c r="BY158" s="344">
        <f t="shared" si="448"/>
        <v>4.00000000008</v>
      </c>
      <c r="BZ158" s="344" t="b">
        <f t="shared" ref="BZ158:CC163" si="467">IF($E158="4C2X",TRUE,IF($E158="Best 5",IF(BR158&gt;LARGE($BR158:$BY158,6),TRUE),IF($E158="Best 6",IF(BR158&gt;LARGE($BR158:$BY158,7),TRUE))))</f>
        <v>0</v>
      </c>
      <c r="CA158" s="344" t="b">
        <f t="shared" si="467"/>
        <v>0</v>
      </c>
      <c r="CB158" s="344" t="b">
        <f t="shared" si="467"/>
        <v>1</v>
      </c>
      <c r="CC158" s="344" t="b">
        <f t="shared" si="467"/>
        <v>1</v>
      </c>
      <c r="CD158" s="344" t="b">
        <f t="shared" ref="CD158:CD178" si="468">IF($E158="4C2X",IF(BV158&gt;LARGE($BV158:$BY158,3),TRUE),IF($E158="Best 5",IF(BV158&gt;LARGE($BR158:$BY158,6),TRUE),IF($E158="Best 6",IF(BV158&gt;LARGE($BR158:$BY158,7),TRUE))))</f>
        <v>0</v>
      </c>
      <c r="CE158" s="344" t="b">
        <f t="shared" ref="CE158:CE178" si="469">IF($E158="4C2X",IF(BW158&gt;LARGE($BV158:$BY158,3),TRUE),IF($E158="Best 5",IF(BW158&gt;LARGE($BR158:$BY158,6),TRUE),IF($E158="Best 6",IF(BW158&gt;LARGE($BR158:$BY158,7),TRUE))))</f>
        <v>1</v>
      </c>
      <c r="CF158" s="344" t="b">
        <f t="shared" ref="CF158:CF178" si="470">IF($E158="4C2X",IF(BX158&gt;LARGE($BV158:$BY158,3),TRUE),IF($E158="Best 5",IF(BX158&gt;LARGE($BR158:$BY158,6),TRUE),IF($E158="Best 6",IF(BX158&gt;LARGE($BR158:$BY158,7),TRUE))))</f>
        <v>1</v>
      </c>
      <c r="CG158" s="344" t="b">
        <f t="shared" ref="CG158:CG178" si="471">IF($E158="4C2X",IF(BY158&gt;LARGE($BV158:$BY158,3),TRUE),IF($E158="Best 5",IF(BY158&gt;LARGE($BR158:$BY158,6),TRUE),IF($E158="Best 6",IF(BY158&gt;LARGE($BR158:$BY158,7),TRUE))))</f>
        <v>1</v>
      </c>
      <c r="CH158" s="344">
        <v>1</v>
      </c>
      <c r="CI158" s="344">
        <v>1</v>
      </c>
      <c r="CJ158" s="344">
        <v>1</v>
      </c>
      <c r="CK158" s="344">
        <v>1</v>
      </c>
      <c r="CL158" s="344">
        <v>1</v>
      </c>
      <c r="CM158" s="344">
        <v>1</v>
      </c>
      <c r="CN158" s="344">
        <v>1</v>
      </c>
      <c r="CO158" s="344">
        <v>1</v>
      </c>
      <c r="CP158" s="251">
        <v>4.00000000001</v>
      </c>
      <c r="CQ158" s="251">
        <v>4.00000000002</v>
      </c>
      <c r="CR158" s="251">
        <v>5.50000000003</v>
      </c>
      <c r="CS158" s="251">
        <v>4.00000000004</v>
      </c>
      <c r="CT158" s="251">
        <v>5.50000000005</v>
      </c>
      <c r="CU158" s="251">
        <v>5.50000000006</v>
      </c>
      <c r="CV158" s="251">
        <v>5.50000000007</v>
      </c>
      <c r="CW158" s="251">
        <v>7.9999999999999995E-11</v>
      </c>
      <c r="CX158" s="344">
        <f t="shared" si="449"/>
        <v>4.00000000001</v>
      </c>
      <c r="CY158" s="344">
        <f t="shared" si="417"/>
        <v>4.00000000002</v>
      </c>
      <c r="CZ158" s="344">
        <f t="shared" si="418"/>
        <v>5.50000000003</v>
      </c>
      <c r="DA158" s="344">
        <f t="shared" si="419"/>
        <v>4.00000000004</v>
      </c>
      <c r="DB158" s="344">
        <f t="shared" si="420"/>
        <v>5.50000000005</v>
      </c>
      <c r="DC158" s="344">
        <f t="shared" si="421"/>
        <v>5.50000000006</v>
      </c>
      <c r="DD158" s="344">
        <f t="shared" si="422"/>
        <v>5.50000000007</v>
      </c>
      <c r="DE158" s="344">
        <f t="shared" si="423"/>
        <v>7.9999999999999995E-11</v>
      </c>
      <c r="DF158" s="344" t="b">
        <f t="shared" si="462"/>
        <v>0</v>
      </c>
      <c r="DG158" s="344" t="b">
        <f t="shared" si="463"/>
        <v>0</v>
      </c>
      <c r="DH158" s="344" t="b">
        <f t="shared" si="464"/>
        <v>1</v>
      </c>
      <c r="DI158" s="344" t="b">
        <f t="shared" si="465"/>
        <v>1</v>
      </c>
      <c r="DJ158" s="344" t="b">
        <f t="shared" si="428"/>
        <v>1</v>
      </c>
      <c r="DK158" s="344" t="b">
        <f t="shared" si="429"/>
        <v>1</v>
      </c>
      <c r="DL158" s="344" t="b">
        <f t="shared" si="430"/>
        <v>1</v>
      </c>
      <c r="DM158" s="344" t="b">
        <f t="shared" si="431"/>
        <v>0</v>
      </c>
      <c r="DN158" s="344">
        <v>1</v>
      </c>
      <c r="DO158" s="344">
        <v>1</v>
      </c>
      <c r="DP158" s="344">
        <v>1</v>
      </c>
      <c r="DQ158" s="344">
        <v>1</v>
      </c>
      <c r="DR158" s="344">
        <v>1</v>
      </c>
      <c r="DS158" s="344">
        <v>1</v>
      </c>
      <c r="DT158" s="344">
        <v>1</v>
      </c>
      <c r="DU158" s="344">
        <v>1</v>
      </c>
      <c r="DV158" s="251">
        <v>3.00000000001</v>
      </c>
      <c r="DW158" s="251">
        <v>3.00000000002</v>
      </c>
      <c r="DX158" s="251">
        <v>7.00000000003</v>
      </c>
      <c r="DY158" s="251">
        <v>7.00000000004</v>
      </c>
      <c r="DZ158" s="251">
        <v>5.0000000000000002E-11</v>
      </c>
      <c r="EA158" s="251">
        <v>5.50000000006</v>
      </c>
      <c r="EB158" s="251">
        <v>5.50000000007</v>
      </c>
      <c r="EC158" s="251">
        <v>7.9999999999999995E-11</v>
      </c>
      <c r="ED158" s="344">
        <f t="shared" si="450"/>
        <v>3.00000000001</v>
      </c>
      <c r="EE158" s="344">
        <f t="shared" si="451"/>
        <v>3.00000000002</v>
      </c>
      <c r="EF158" s="344">
        <f t="shared" si="452"/>
        <v>7.00000000003</v>
      </c>
      <c r="EG158" s="344">
        <f t="shared" si="453"/>
        <v>7.00000000004</v>
      </c>
      <c r="EH158" s="344">
        <f t="shared" si="454"/>
        <v>5.0000000000000002E-11</v>
      </c>
      <c r="EI158" s="344">
        <f t="shared" si="455"/>
        <v>5.50000000006</v>
      </c>
      <c r="EJ158" s="344">
        <f t="shared" si="456"/>
        <v>5.50000000007</v>
      </c>
      <c r="EK158" s="344">
        <f t="shared" si="457"/>
        <v>7.9999999999999995E-11</v>
      </c>
      <c r="EL158" s="344" t="b">
        <f t="shared" si="433"/>
        <v>0</v>
      </c>
      <c r="EM158" s="344" t="b">
        <f t="shared" si="434"/>
        <v>1</v>
      </c>
      <c r="EN158" s="344" t="b">
        <f t="shared" si="435"/>
        <v>1</v>
      </c>
      <c r="EO158" s="344" t="b">
        <f t="shared" si="436"/>
        <v>1</v>
      </c>
      <c r="EP158" s="344" t="b">
        <f t="shared" si="437"/>
        <v>0</v>
      </c>
      <c r="EQ158" s="344" t="b">
        <f t="shared" si="438"/>
        <v>1</v>
      </c>
      <c r="ER158" s="344" t="b">
        <f t="shared" si="439"/>
        <v>1</v>
      </c>
      <c r="ES158" s="344" t="b">
        <f t="shared" si="440"/>
        <v>0</v>
      </c>
    </row>
    <row r="159" spans="1:149" s="251" customFormat="1" x14ac:dyDescent="0.3">
      <c r="A159" s="251" t="s">
        <v>842</v>
      </c>
      <c r="B159" s="251" t="s">
        <v>2247</v>
      </c>
      <c r="C159" s="251" t="s">
        <v>2149</v>
      </c>
      <c r="D159" s="251" t="s">
        <v>845</v>
      </c>
      <c r="E159" s="251" t="s">
        <v>1977</v>
      </c>
      <c r="F159" s="344">
        <f t="shared" si="441"/>
        <v>52.500000000325002</v>
      </c>
      <c r="G159" s="344">
        <f t="shared" si="458"/>
        <v>51.000000000300005</v>
      </c>
      <c r="H159" s="344">
        <f t="shared" si="459"/>
        <v>48.750000000305</v>
      </c>
      <c r="I159" s="251" t="s">
        <v>1970</v>
      </c>
      <c r="J159" s="251" t="s">
        <v>1970</v>
      </c>
      <c r="K159" s="251" t="s">
        <v>2779</v>
      </c>
      <c r="L159" s="251" t="s">
        <v>3079</v>
      </c>
      <c r="M159" s="251" t="s">
        <v>1970</v>
      </c>
      <c r="N159" s="344" t="s">
        <v>1978</v>
      </c>
      <c r="O159" s="344" t="s">
        <v>1978</v>
      </c>
      <c r="P159" s="344" t="s">
        <v>1978</v>
      </c>
      <c r="Q159" s="344" t="s">
        <v>1978</v>
      </c>
      <c r="R159" s="344" t="s">
        <v>1978</v>
      </c>
      <c r="S159" s="344" t="s">
        <v>1978</v>
      </c>
      <c r="T159" s="251" t="s">
        <v>843</v>
      </c>
      <c r="U159" s="251" t="s">
        <v>2165</v>
      </c>
      <c r="V159" s="251" t="s">
        <v>1970</v>
      </c>
      <c r="W159" s="251" t="s">
        <v>1970</v>
      </c>
      <c r="X159" s="344">
        <f>'A123'!J167</f>
        <v>37</v>
      </c>
      <c r="Y159" s="344">
        <f>'A123'!K167</f>
        <v>33</v>
      </c>
      <c r="Z159" s="344">
        <f>'A123'!L167</f>
        <v>4.3939393939393936</v>
      </c>
      <c r="AA159" s="344" t="s">
        <v>2165</v>
      </c>
      <c r="AB159" s="344" t="str">
        <f>入學要求!X168</f>
        <v>/</v>
      </c>
      <c r="AC159" s="344" t="str">
        <f>入學要求!Y168</f>
        <v>/</v>
      </c>
      <c r="AD159" s="351" t="s">
        <v>1977</v>
      </c>
      <c r="AE159" s="344" t="s">
        <v>1970</v>
      </c>
      <c r="AF159" s="344" t="s">
        <v>1970</v>
      </c>
      <c r="AG159" s="344" t="s">
        <v>2779</v>
      </c>
      <c r="AH159" s="344" t="s">
        <v>3079</v>
      </c>
      <c r="AI159" s="344" t="s">
        <v>1970</v>
      </c>
      <c r="AJ159" s="344" t="s">
        <v>1970</v>
      </c>
      <c r="AK159" s="251" t="s">
        <v>1970</v>
      </c>
      <c r="AL159" s="251" t="s">
        <v>1970</v>
      </c>
      <c r="AM159" s="251" t="s">
        <v>1970</v>
      </c>
      <c r="AN159" s="251" t="s">
        <v>1970</v>
      </c>
      <c r="AO159" s="251" t="s">
        <v>1970</v>
      </c>
      <c r="AP159" s="251" t="s">
        <v>1970</v>
      </c>
      <c r="AQ159" s="344" t="s">
        <v>1970</v>
      </c>
      <c r="AR159" s="428" t="s">
        <v>3386</v>
      </c>
      <c r="AS159" s="251" t="s">
        <v>3620</v>
      </c>
      <c r="AT159" s="251" t="s">
        <v>3650</v>
      </c>
      <c r="AU159" s="251" t="s">
        <v>3646</v>
      </c>
      <c r="AV159" s="344" t="s">
        <v>3735</v>
      </c>
      <c r="AW159" s="344" t="s">
        <v>3736</v>
      </c>
      <c r="AX159" s="344" t="s">
        <v>3756</v>
      </c>
      <c r="AY159" s="344" t="s">
        <v>3722</v>
      </c>
      <c r="AZ159" s="344" t="s">
        <v>3737</v>
      </c>
      <c r="BA159" s="381" t="s">
        <v>3725</v>
      </c>
      <c r="BB159" s="251">
        <v>1</v>
      </c>
      <c r="BC159" s="251">
        <v>2</v>
      </c>
      <c r="BD159" s="251">
        <v>2</v>
      </c>
      <c r="BE159" s="251">
        <v>1</v>
      </c>
      <c r="BF159" s="251">
        <v>1.5</v>
      </c>
      <c r="BG159" s="251">
        <v>1</v>
      </c>
      <c r="BH159" s="251">
        <v>1</v>
      </c>
      <c r="BI159" s="251">
        <v>1</v>
      </c>
      <c r="BJ159" s="251">
        <v>4.00000000001</v>
      </c>
      <c r="BK159" s="251">
        <v>4.00000000002</v>
      </c>
      <c r="BL159" s="251">
        <v>7.00000000003</v>
      </c>
      <c r="BM159" s="251">
        <v>4.00000000004</v>
      </c>
      <c r="BN159" s="251">
        <v>8.5000000000499991</v>
      </c>
      <c r="BO159" s="251">
        <v>7.00000000006</v>
      </c>
      <c r="BP159" s="251">
        <v>7.00000000007</v>
      </c>
      <c r="BQ159" s="251">
        <v>5.50000000008</v>
      </c>
      <c r="BR159" s="344">
        <f t="shared" si="466"/>
        <v>4.00000000001</v>
      </c>
      <c r="BS159" s="344">
        <f t="shared" si="442"/>
        <v>8.00000000004</v>
      </c>
      <c r="BT159" s="344">
        <f t="shared" si="443"/>
        <v>14.00000000006</v>
      </c>
      <c r="BU159" s="344">
        <f t="shared" si="444"/>
        <v>4.00000000004</v>
      </c>
      <c r="BV159" s="344">
        <f t="shared" si="445"/>
        <v>12.750000000074998</v>
      </c>
      <c r="BW159" s="344">
        <f t="shared" si="446"/>
        <v>7.00000000006</v>
      </c>
      <c r="BX159" s="344">
        <f t="shared" si="447"/>
        <v>7.00000000007</v>
      </c>
      <c r="BY159" s="344">
        <f t="shared" si="448"/>
        <v>5.50000000008</v>
      </c>
      <c r="BZ159" s="344" t="b">
        <f t="shared" si="467"/>
        <v>0</v>
      </c>
      <c r="CA159" s="344" t="b">
        <f t="shared" si="467"/>
        <v>1</v>
      </c>
      <c r="CB159" s="344" t="b">
        <f t="shared" si="467"/>
        <v>1</v>
      </c>
      <c r="CC159" s="344" t="b">
        <f t="shared" si="467"/>
        <v>0</v>
      </c>
      <c r="CD159" s="344" t="b">
        <f t="shared" si="468"/>
        <v>1</v>
      </c>
      <c r="CE159" s="344" t="b">
        <f t="shared" si="469"/>
        <v>1</v>
      </c>
      <c r="CF159" s="344" t="b">
        <f t="shared" si="470"/>
        <v>1</v>
      </c>
      <c r="CG159" s="344" t="b">
        <f t="shared" si="471"/>
        <v>0</v>
      </c>
      <c r="CH159" s="344">
        <v>1</v>
      </c>
      <c r="CI159" s="344">
        <v>2</v>
      </c>
      <c r="CJ159" s="344">
        <v>2</v>
      </c>
      <c r="CK159" s="344">
        <v>1</v>
      </c>
      <c r="CL159" s="344">
        <v>1</v>
      </c>
      <c r="CM159" s="344">
        <v>1.5</v>
      </c>
      <c r="CN159" s="344">
        <v>1</v>
      </c>
      <c r="CO159" s="344">
        <v>1</v>
      </c>
      <c r="CP159" s="251">
        <v>5.50000000001</v>
      </c>
      <c r="CQ159" s="251">
        <v>4.00000000002</v>
      </c>
      <c r="CR159" s="251">
        <v>8.5000000000299991</v>
      </c>
      <c r="CS159" s="251">
        <v>8.50000000004</v>
      </c>
      <c r="CT159" s="251">
        <v>5.50000000005</v>
      </c>
      <c r="CU159" s="251">
        <v>7.00000000006</v>
      </c>
      <c r="CV159" s="251">
        <v>7.00000000007</v>
      </c>
      <c r="CW159" s="251">
        <v>7.9999999999999995E-11</v>
      </c>
      <c r="CX159" s="344">
        <f t="shared" si="449"/>
        <v>5.50000000001</v>
      </c>
      <c r="CY159" s="344">
        <f t="shared" si="417"/>
        <v>8.00000000004</v>
      </c>
      <c r="CZ159" s="344">
        <f t="shared" si="418"/>
        <v>17.000000000059998</v>
      </c>
      <c r="DA159" s="344">
        <f t="shared" si="419"/>
        <v>8.50000000004</v>
      </c>
      <c r="DB159" s="344">
        <f t="shared" si="420"/>
        <v>5.50000000005</v>
      </c>
      <c r="DC159" s="344">
        <f t="shared" si="421"/>
        <v>10.500000000090001</v>
      </c>
      <c r="DD159" s="344">
        <f t="shared" si="422"/>
        <v>7.00000000007</v>
      </c>
      <c r="DE159" s="344">
        <f t="shared" si="423"/>
        <v>7.9999999999999995E-11</v>
      </c>
      <c r="DF159" s="344" t="b">
        <f t="shared" si="462"/>
        <v>0</v>
      </c>
      <c r="DG159" s="344" t="b">
        <f t="shared" si="463"/>
        <v>1</v>
      </c>
      <c r="DH159" s="344" t="b">
        <f t="shared" si="464"/>
        <v>1</v>
      </c>
      <c r="DI159" s="344" t="b">
        <f t="shared" si="465"/>
        <v>1</v>
      </c>
      <c r="DJ159" s="344" t="b">
        <f t="shared" si="428"/>
        <v>0</v>
      </c>
      <c r="DK159" s="344" t="b">
        <f t="shared" si="429"/>
        <v>1</v>
      </c>
      <c r="DL159" s="344" t="b">
        <f t="shared" si="430"/>
        <v>1</v>
      </c>
      <c r="DM159" s="344" t="b">
        <f t="shared" si="431"/>
        <v>0</v>
      </c>
      <c r="DN159" s="344">
        <v>1</v>
      </c>
      <c r="DO159" s="344">
        <v>2</v>
      </c>
      <c r="DP159" s="344">
        <v>2</v>
      </c>
      <c r="DQ159" s="344">
        <v>1</v>
      </c>
      <c r="DR159" s="344">
        <v>1.5</v>
      </c>
      <c r="DS159" s="344">
        <v>1</v>
      </c>
      <c r="DT159" s="344">
        <v>1</v>
      </c>
      <c r="DU159" s="344">
        <v>1</v>
      </c>
      <c r="DV159" s="251">
        <v>5.50000000001</v>
      </c>
      <c r="DW159" s="251">
        <v>5.50000000002</v>
      </c>
      <c r="DX159" s="251">
        <v>8.5000000000299991</v>
      </c>
      <c r="DY159" s="251">
        <v>5.50000000004</v>
      </c>
      <c r="DZ159" s="251">
        <v>7.00000000005</v>
      </c>
      <c r="EA159" s="251">
        <v>7.00000000006</v>
      </c>
      <c r="EB159" s="251">
        <v>7.00000000007</v>
      </c>
      <c r="EC159" s="251">
        <v>7.00000000008</v>
      </c>
      <c r="ED159" s="344">
        <f t="shared" si="450"/>
        <v>5.50000000001</v>
      </c>
      <c r="EE159" s="344">
        <f t="shared" si="451"/>
        <v>11.00000000004</v>
      </c>
      <c r="EF159" s="344">
        <f t="shared" si="452"/>
        <v>17.000000000059998</v>
      </c>
      <c r="EG159" s="344">
        <f t="shared" si="453"/>
        <v>5.50000000004</v>
      </c>
      <c r="EH159" s="344">
        <f t="shared" si="454"/>
        <v>10.500000000075</v>
      </c>
      <c r="EI159" s="344">
        <f t="shared" si="455"/>
        <v>7.00000000006</v>
      </c>
      <c r="EJ159" s="344">
        <f t="shared" si="456"/>
        <v>7.00000000007</v>
      </c>
      <c r="EK159" s="344">
        <f t="shared" si="457"/>
        <v>7.00000000008</v>
      </c>
      <c r="EL159" s="344" t="b">
        <f t="shared" si="433"/>
        <v>0</v>
      </c>
      <c r="EM159" s="344" t="b">
        <f t="shared" si="434"/>
        <v>1</v>
      </c>
      <c r="EN159" s="344" t="b">
        <f t="shared" si="435"/>
        <v>1</v>
      </c>
      <c r="EO159" s="344" t="b">
        <f t="shared" si="436"/>
        <v>0</v>
      </c>
      <c r="EP159" s="344" t="b">
        <f t="shared" si="437"/>
        <v>1</v>
      </c>
      <c r="EQ159" s="344" t="b">
        <f t="shared" si="438"/>
        <v>0</v>
      </c>
      <c r="ER159" s="344" t="b">
        <f t="shared" si="439"/>
        <v>1</v>
      </c>
      <c r="ES159" s="344" t="b">
        <f t="shared" si="440"/>
        <v>1</v>
      </c>
    </row>
    <row r="160" spans="1:149" s="251" customFormat="1" x14ac:dyDescent="0.3">
      <c r="A160" s="251" t="s">
        <v>848</v>
      </c>
      <c r="B160" s="251" t="s">
        <v>2247</v>
      </c>
      <c r="C160" s="251" t="s">
        <v>2479</v>
      </c>
      <c r="D160" s="251" t="s">
        <v>851</v>
      </c>
      <c r="E160" s="251" t="s">
        <v>1977</v>
      </c>
      <c r="F160" s="344">
        <f t="shared" si="441"/>
        <v>33.500000000260002</v>
      </c>
      <c r="G160" s="344">
        <f t="shared" si="458"/>
        <v>32.000000000210001</v>
      </c>
      <c r="H160" s="344">
        <f t="shared" si="459"/>
        <v>29.000000000239996</v>
      </c>
      <c r="I160" s="251" t="s">
        <v>2182</v>
      </c>
      <c r="J160" s="251" t="s">
        <v>3070</v>
      </c>
      <c r="K160" s="251" t="s">
        <v>1970</v>
      </c>
      <c r="L160" s="251" t="s">
        <v>1970</v>
      </c>
      <c r="M160" s="251" t="s">
        <v>1970</v>
      </c>
      <c r="N160" s="344" t="s">
        <v>1978</v>
      </c>
      <c r="O160" s="344" t="s">
        <v>1978</v>
      </c>
      <c r="P160" s="344" t="s">
        <v>1978</v>
      </c>
      <c r="Q160" s="344" t="s">
        <v>1978</v>
      </c>
      <c r="R160" s="344" t="s">
        <v>1978</v>
      </c>
      <c r="S160" s="344" t="s">
        <v>1978</v>
      </c>
      <c r="T160" s="251" t="s">
        <v>849</v>
      </c>
      <c r="U160" s="251" t="s">
        <v>2165</v>
      </c>
      <c r="V160" s="251" t="s">
        <v>1970</v>
      </c>
      <c r="W160" s="251" t="s">
        <v>1970</v>
      </c>
      <c r="X160" s="344">
        <f>'A123'!J168</f>
        <v>24</v>
      </c>
      <c r="Y160" s="344">
        <f>'A123'!K168</f>
        <v>17</v>
      </c>
      <c r="Z160" s="344">
        <f>'A123'!L168</f>
        <v>2.4705882352941178</v>
      </c>
      <c r="AA160" s="344" t="s">
        <v>2165</v>
      </c>
      <c r="AB160" s="344" t="str">
        <f>入學要求!X169</f>
        <v>/</v>
      </c>
      <c r="AC160" s="344" t="str">
        <f>入學要求!Y169</f>
        <v>/</v>
      </c>
      <c r="AD160" s="351" t="s">
        <v>1977</v>
      </c>
      <c r="AE160" s="344" t="s">
        <v>2182</v>
      </c>
      <c r="AF160" s="344" t="s">
        <v>3070</v>
      </c>
      <c r="AG160" s="344" t="s">
        <v>1970</v>
      </c>
      <c r="AH160" s="344" t="s">
        <v>1970</v>
      </c>
      <c r="AI160" s="344" t="s">
        <v>1970</v>
      </c>
      <c r="AJ160" s="344" t="s">
        <v>1970</v>
      </c>
      <c r="AK160" s="251" t="s">
        <v>1970</v>
      </c>
      <c r="AL160" s="251" t="s">
        <v>1970</v>
      </c>
      <c r="AM160" s="251" t="s">
        <v>1970</v>
      </c>
      <c r="AN160" s="251" t="s">
        <v>1970</v>
      </c>
      <c r="AO160" s="251" t="s">
        <v>1970</v>
      </c>
      <c r="AP160" s="251" t="s">
        <v>1970</v>
      </c>
      <c r="AQ160" s="344" t="s">
        <v>1970</v>
      </c>
      <c r="AR160" s="428" t="s">
        <v>2150</v>
      </c>
      <c r="AS160" s="251" t="s">
        <v>3620</v>
      </c>
      <c r="AT160" s="251" t="s">
        <v>3650</v>
      </c>
      <c r="AU160" s="251" t="s">
        <v>3646</v>
      </c>
      <c r="AV160" s="344" t="s">
        <v>3735</v>
      </c>
      <c r="AW160" s="344" t="s">
        <v>3736</v>
      </c>
      <c r="AX160" s="344" t="s">
        <v>3757</v>
      </c>
      <c r="AY160" s="344" t="s">
        <v>3722</v>
      </c>
      <c r="AZ160" s="344" t="s">
        <v>3737</v>
      </c>
      <c r="BA160" s="381" t="s">
        <v>3725</v>
      </c>
      <c r="BB160" s="251">
        <v>1</v>
      </c>
      <c r="BC160" s="251">
        <v>1</v>
      </c>
      <c r="BD160" s="344">
        <v>1</v>
      </c>
      <c r="BE160" s="344">
        <v>1</v>
      </c>
      <c r="BF160" s="344">
        <v>1</v>
      </c>
      <c r="BG160" s="344">
        <v>1</v>
      </c>
      <c r="BH160" s="344">
        <v>1</v>
      </c>
      <c r="BI160" s="344">
        <v>1</v>
      </c>
      <c r="BJ160" s="251">
        <v>7.00000000001</v>
      </c>
      <c r="BK160" s="251">
        <v>7.00000000002</v>
      </c>
      <c r="BL160" s="251">
        <v>3.00000000003</v>
      </c>
      <c r="BM160" s="251">
        <v>4.00000000004</v>
      </c>
      <c r="BN160" s="251">
        <v>5.0000000000000002E-11</v>
      </c>
      <c r="BO160" s="251">
        <v>5.50000000006</v>
      </c>
      <c r="BP160" s="251">
        <v>5.50000000007</v>
      </c>
      <c r="BQ160" s="251">
        <v>4.00000000008</v>
      </c>
      <c r="BR160" s="344">
        <f t="shared" si="466"/>
        <v>7.00000000001</v>
      </c>
      <c r="BS160" s="344">
        <f t="shared" si="442"/>
        <v>7.00000000002</v>
      </c>
      <c r="BT160" s="344">
        <f t="shared" si="443"/>
        <v>3.00000000003</v>
      </c>
      <c r="BU160" s="344">
        <f t="shared" si="444"/>
        <v>4.00000000004</v>
      </c>
      <c r="BV160" s="344">
        <f t="shared" si="445"/>
        <v>5.0000000000000002E-11</v>
      </c>
      <c r="BW160" s="344">
        <f t="shared" si="446"/>
        <v>5.50000000006</v>
      </c>
      <c r="BX160" s="344">
        <f t="shared" si="447"/>
        <v>5.50000000007</v>
      </c>
      <c r="BY160" s="344">
        <f t="shared" si="448"/>
        <v>4.00000000008</v>
      </c>
      <c r="BZ160" s="344" t="b">
        <f t="shared" si="467"/>
        <v>1</v>
      </c>
      <c r="CA160" s="344" t="b">
        <f t="shared" si="467"/>
        <v>1</v>
      </c>
      <c r="CB160" s="344" t="b">
        <f t="shared" si="467"/>
        <v>0</v>
      </c>
      <c r="CC160" s="344" t="b">
        <f t="shared" si="467"/>
        <v>0</v>
      </c>
      <c r="CD160" s="344" t="b">
        <f t="shared" si="468"/>
        <v>0</v>
      </c>
      <c r="CE160" s="344" t="b">
        <f t="shared" si="469"/>
        <v>1</v>
      </c>
      <c r="CF160" s="344" t="b">
        <f t="shared" si="470"/>
        <v>1</v>
      </c>
      <c r="CG160" s="344" t="b">
        <f t="shared" si="471"/>
        <v>1</v>
      </c>
      <c r="CH160" s="344">
        <v>1</v>
      </c>
      <c r="CI160" s="344">
        <v>1</v>
      </c>
      <c r="CJ160" s="344">
        <v>1</v>
      </c>
      <c r="CK160" s="344">
        <v>1</v>
      </c>
      <c r="CL160" s="344">
        <v>1</v>
      </c>
      <c r="CM160" s="344">
        <v>1</v>
      </c>
      <c r="CN160" s="344">
        <v>1</v>
      </c>
      <c r="CO160" s="344">
        <v>1</v>
      </c>
      <c r="CP160" s="251">
        <v>7.00000000001</v>
      </c>
      <c r="CQ160" s="251">
        <v>5.50000000002</v>
      </c>
      <c r="CR160" s="251">
        <v>7.00000000003</v>
      </c>
      <c r="CS160" s="251">
        <v>5.50000000004</v>
      </c>
      <c r="CT160" s="251">
        <v>5.0000000000000002E-11</v>
      </c>
      <c r="CU160" s="251">
        <v>7.00000000006</v>
      </c>
      <c r="CV160" s="251">
        <v>5.50000000007</v>
      </c>
      <c r="CW160" s="251">
        <v>7.9999999999999995E-11</v>
      </c>
      <c r="CX160" s="344">
        <f t="shared" si="449"/>
        <v>7.00000000001</v>
      </c>
      <c r="CY160" s="344">
        <f t="shared" si="417"/>
        <v>5.50000000002</v>
      </c>
      <c r="CZ160" s="344">
        <f t="shared" si="418"/>
        <v>7.00000000003</v>
      </c>
      <c r="DA160" s="344">
        <f t="shared" si="419"/>
        <v>5.50000000004</v>
      </c>
      <c r="DB160" s="344">
        <f t="shared" si="420"/>
        <v>5.0000000000000002E-11</v>
      </c>
      <c r="DC160" s="344">
        <f t="shared" si="421"/>
        <v>7.00000000006</v>
      </c>
      <c r="DD160" s="344">
        <f t="shared" si="422"/>
        <v>5.50000000007</v>
      </c>
      <c r="DE160" s="344">
        <f t="shared" si="423"/>
        <v>7.9999999999999995E-11</v>
      </c>
      <c r="DF160" s="344" t="b">
        <f t="shared" si="462"/>
        <v>1</v>
      </c>
      <c r="DG160" s="344" t="b">
        <f t="shared" si="463"/>
        <v>0</v>
      </c>
      <c r="DH160" s="344" t="b">
        <f t="shared" si="464"/>
        <v>1</v>
      </c>
      <c r="DI160" s="344" t="b">
        <f t="shared" si="465"/>
        <v>1</v>
      </c>
      <c r="DJ160" s="344" t="b">
        <f t="shared" si="428"/>
        <v>0</v>
      </c>
      <c r="DK160" s="344" t="b">
        <f t="shared" si="429"/>
        <v>1</v>
      </c>
      <c r="DL160" s="344" t="b">
        <f t="shared" si="430"/>
        <v>1</v>
      </c>
      <c r="DM160" s="344" t="b">
        <f t="shared" si="431"/>
        <v>0</v>
      </c>
      <c r="DN160" s="344">
        <v>1</v>
      </c>
      <c r="DO160" s="344">
        <v>1</v>
      </c>
      <c r="DP160" s="344">
        <v>1</v>
      </c>
      <c r="DQ160" s="344">
        <v>1</v>
      </c>
      <c r="DR160" s="344">
        <v>1</v>
      </c>
      <c r="DS160" s="344">
        <v>1</v>
      </c>
      <c r="DT160" s="344">
        <v>1</v>
      </c>
      <c r="DU160" s="344">
        <v>1</v>
      </c>
      <c r="DV160" s="251">
        <v>4.00000000001</v>
      </c>
      <c r="DW160" s="251">
        <v>8.50000000002</v>
      </c>
      <c r="DX160" s="251">
        <v>5.50000000003</v>
      </c>
      <c r="DY160" s="251">
        <v>4.00000000004</v>
      </c>
      <c r="DZ160" s="251">
        <v>5.0000000000000002E-11</v>
      </c>
      <c r="EA160" s="251">
        <v>7.00000000006</v>
      </c>
      <c r="EB160" s="251">
        <v>7.00000000007</v>
      </c>
      <c r="EC160" s="251">
        <v>5.50000000008</v>
      </c>
      <c r="ED160" s="344">
        <f t="shared" si="450"/>
        <v>4.00000000001</v>
      </c>
      <c r="EE160" s="344">
        <f t="shared" si="451"/>
        <v>8.50000000002</v>
      </c>
      <c r="EF160" s="344">
        <f t="shared" si="452"/>
        <v>5.50000000003</v>
      </c>
      <c r="EG160" s="344">
        <f t="shared" si="453"/>
        <v>4.00000000004</v>
      </c>
      <c r="EH160" s="344">
        <f t="shared" si="454"/>
        <v>5.0000000000000002E-11</v>
      </c>
      <c r="EI160" s="344">
        <f t="shared" si="455"/>
        <v>7.00000000006</v>
      </c>
      <c r="EJ160" s="344">
        <f t="shared" si="456"/>
        <v>7.00000000007</v>
      </c>
      <c r="EK160" s="344">
        <f t="shared" si="457"/>
        <v>5.50000000008</v>
      </c>
      <c r="EL160" s="344" t="b">
        <f t="shared" si="433"/>
        <v>0</v>
      </c>
      <c r="EM160" s="344" t="b">
        <f t="shared" si="434"/>
        <v>1</v>
      </c>
      <c r="EN160" s="344" t="b">
        <f t="shared" si="435"/>
        <v>1</v>
      </c>
      <c r="EO160" s="344" t="b">
        <f t="shared" si="436"/>
        <v>0</v>
      </c>
      <c r="EP160" s="344" t="b">
        <f t="shared" si="437"/>
        <v>0</v>
      </c>
      <c r="EQ160" s="344" t="b">
        <f t="shared" si="438"/>
        <v>1</v>
      </c>
      <c r="ER160" s="344" t="b">
        <f t="shared" si="439"/>
        <v>1</v>
      </c>
      <c r="ES160" s="344" t="b">
        <f t="shared" si="440"/>
        <v>1</v>
      </c>
    </row>
    <row r="161" spans="1:149" s="251" customFormat="1" x14ac:dyDescent="0.3">
      <c r="A161" s="251" t="s">
        <v>852</v>
      </c>
      <c r="B161" s="251" t="s">
        <v>2247</v>
      </c>
      <c r="C161" s="251" t="s">
        <v>2480</v>
      </c>
      <c r="D161" s="251" t="s">
        <v>855</v>
      </c>
      <c r="E161" s="251" t="s">
        <v>1967</v>
      </c>
      <c r="F161" s="344">
        <f t="shared" si="441"/>
        <v>54.250000000305</v>
      </c>
      <c r="G161" s="344">
        <f t="shared" si="458"/>
        <v>51.250000000295003</v>
      </c>
      <c r="H161" s="344">
        <f t="shared" si="459"/>
        <v>49.000000000295003</v>
      </c>
      <c r="I161" s="251" t="s">
        <v>1970</v>
      </c>
      <c r="J161" s="251" t="s">
        <v>1970</v>
      </c>
      <c r="K161" s="251" t="s">
        <v>3071</v>
      </c>
      <c r="L161" s="251" t="s">
        <v>2691</v>
      </c>
      <c r="M161" s="251" t="s">
        <v>1970</v>
      </c>
      <c r="N161" s="344" t="s">
        <v>1978</v>
      </c>
      <c r="O161" s="344" t="s">
        <v>1978</v>
      </c>
      <c r="P161" s="344" t="s">
        <v>1978</v>
      </c>
      <c r="Q161" s="344" t="s">
        <v>1978</v>
      </c>
      <c r="R161" s="344" t="s">
        <v>1978</v>
      </c>
      <c r="S161" s="344" t="s">
        <v>1978</v>
      </c>
      <c r="T161" s="251" t="s">
        <v>853</v>
      </c>
      <c r="U161" s="251" t="s">
        <v>2165</v>
      </c>
      <c r="V161" s="251" t="s">
        <v>1970</v>
      </c>
      <c r="W161" s="251" t="s">
        <v>1970</v>
      </c>
      <c r="X161" s="344">
        <f>'A123'!J169</f>
        <v>25</v>
      </c>
      <c r="Y161" s="344">
        <f>'A123'!K169</f>
        <v>19</v>
      </c>
      <c r="Z161" s="344">
        <f>'A123'!L169</f>
        <v>3.1578947368421053</v>
      </c>
      <c r="AA161" s="344" t="s">
        <v>2165</v>
      </c>
      <c r="AB161" s="344" t="str">
        <f>入學要求!X170</f>
        <v>/</v>
      </c>
      <c r="AC161" s="344" t="str">
        <f>入學要求!Y170</f>
        <v>/</v>
      </c>
      <c r="AD161" s="351" t="s">
        <v>1967</v>
      </c>
      <c r="AE161" s="344" t="s">
        <v>1970</v>
      </c>
      <c r="AF161" s="344" t="s">
        <v>1970</v>
      </c>
      <c r="AG161" s="344" t="s">
        <v>3071</v>
      </c>
      <c r="AH161" s="344" t="s">
        <v>2691</v>
      </c>
      <c r="AI161" s="344" t="s">
        <v>1970</v>
      </c>
      <c r="AJ161" s="344" t="s">
        <v>1970</v>
      </c>
      <c r="AK161" s="251" t="s">
        <v>1970</v>
      </c>
      <c r="AL161" s="251" t="s">
        <v>1970</v>
      </c>
      <c r="AM161" s="251" t="s">
        <v>1970</v>
      </c>
      <c r="AN161" s="251" t="s">
        <v>1970</v>
      </c>
      <c r="AO161" s="251" t="s">
        <v>1970</v>
      </c>
      <c r="AP161" s="251" t="s">
        <v>1970</v>
      </c>
      <c r="AQ161" s="344" t="s">
        <v>1970</v>
      </c>
      <c r="AR161" s="428" t="s">
        <v>3386</v>
      </c>
      <c r="AS161" s="251" t="s">
        <v>3620</v>
      </c>
      <c r="AT161" s="251" t="s">
        <v>3651</v>
      </c>
      <c r="AU161" s="251" t="s">
        <v>3646</v>
      </c>
      <c r="AV161" s="344" t="s">
        <v>3735</v>
      </c>
      <c r="AW161" s="344" t="s">
        <v>3736</v>
      </c>
      <c r="AX161" s="344" t="s">
        <v>3758</v>
      </c>
      <c r="AY161" s="344" t="s">
        <v>3722</v>
      </c>
      <c r="AZ161" s="344" t="s">
        <v>3737</v>
      </c>
      <c r="BA161" s="381" t="s">
        <v>3725</v>
      </c>
      <c r="BB161" s="251">
        <v>1.5</v>
      </c>
      <c r="BC161" s="251">
        <v>2</v>
      </c>
      <c r="BD161" s="251">
        <v>1</v>
      </c>
      <c r="BE161" s="251">
        <v>2</v>
      </c>
      <c r="BF161" s="251">
        <v>1</v>
      </c>
      <c r="BG161" s="251">
        <v>1</v>
      </c>
      <c r="BH161" s="251">
        <v>1</v>
      </c>
      <c r="BI161" s="251">
        <v>1</v>
      </c>
      <c r="BJ161" s="251">
        <v>7.00000000001</v>
      </c>
      <c r="BK161" s="251">
        <v>5.50000000002</v>
      </c>
      <c r="BL161" s="251">
        <v>4.00000000003</v>
      </c>
      <c r="BM161" s="251">
        <v>7.00000000004</v>
      </c>
      <c r="BN161" s="251">
        <v>5.0000000000000002E-11</v>
      </c>
      <c r="BO161" s="251">
        <v>5.50000000006</v>
      </c>
      <c r="BP161" s="251">
        <v>4.00000000007</v>
      </c>
      <c r="BQ161" s="251">
        <v>7.9999999999999995E-11</v>
      </c>
      <c r="BR161" s="344">
        <f t="shared" si="466"/>
        <v>10.500000000015</v>
      </c>
      <c r="BS161" s="344">
        <f t="shared" si="442"/>
        <v>11.00000000004</v>
      </c>
      <c r="BT161" s="344">
        <f t="shared" si="443"/>
        <v>4.00000000003</v>
      </c>
      <c r="BU161" s="344">
        <f t="shared" si="444"/>
        <v>14.00000000008</v>
      </c>
      <c r="BV161" s="344">
        <f t="shared" si="445"/>
        <v>5.0000000000000002E-11</v>
      </c>
      <c r="BW161" s="344">
        <f t="shared" si="446"/>
        <v>5.50000000006</v>
      </c>
      <c r="BX161" s="344">
        <f t="shared" si="447"/>
        <v>4.00000000007</v>
      </c>
      <c r="BY161" s="344">
        <f t="shared" si="448"/>
        <v>7.9999999999999995E-11</v>
      </c>
      <c r="BZ161" s="344" t="b">
        <f t="shared" si="467"/>
        <v>1</v>
      </c>
      <c r="CA161" s="344" t="b">
        <f t="shared" si="467"/>
        <v>1</v>
      </c>
      <c r="CB161" s="344" t="b">
        <f t="shared" si="467"/>
        <v>1</v>
      </c>
      <c r="CC161" s="344" t="b">
        <f t="shared" si="467"/>
        <v>1</v>
      </c>
      <c r="CD161" s="344" t="b">
        <f t="shared" si="468"/>
        <v>0</v>
      </c>
      <c r="CE161" s="344" t="b">
        <f t="shared" si="469"/>
        <v>1</v>
      </c>
      <c r="CF161" s="344" t="b">
        <f t="shared" si="470"/>
        <v>1</v>
      </c>
      <c r="CG161" s="344" t="b">
        <f t="shared" si="471"/>
        <v>0</v>
      </c>
      <c r="CH161" s="344">
        <v>1.5</v>
      </c>
      <c r="CI161" s="344">
        <v>2</v>
      </c>
      <c r="CJ161" s="344">
        <v>1</v>
      </c>
      <c r="CK161" s="344">
        <v>2</v>
      </c>
      <c r="CL161" s="344">
        <v>1</v>
      </c>
      <c r="CM161" s="344">
        <v>1</v>
      </c>
      <c r="CN161" s="344">
        <v>1</v>
      </c>
      <c r="CO161" s="344">
        <v>1</v>
      </c>
      <c r="CP161" s="251">
        <v>5.50000000001</v>
      </c>
      <c r="CQ161" s="251">
        <v>7.00000000002</v>
      </c>
      <c r="CR161" s="251">
        <v>7.00000000003</v>
      </c>
      <c r="CS161" s="251">
        <v>5.50000000004</v>
      </c>
      <c r="CT161" s="251">
        <v>5.0000000000000002E-11</v>
      </c>
      <c r="CU161" s="251">
        <v>5.50000000006</v>
      </c>
      <c r="CV161" s="251">
        <v>5.50000000007</v>
      </c>
      <c r="CW161" s="251">
        <v>4.00000000008</v>
      </c>
      <c r="CX161" s="344">
        <f t="shared" si="449"/>
        <v>8.2500000000149996</v>
      </c>
      <c r="CY161" s="344">
        <f t="shared" si="417"/>
        <v>14.00000000004</v>
      </c>
      <c r="CZ161" s="344">
        <f t="shared" si="418"/>
        <v>7.00000000003</v>
      </c>
      <c r="DA161" s="344">
        <f t="shared" si="419"/>
        <v>11.00000000008</v>
      </c>
      <c r="DB161" s="344">
        <f t="shared" si="420"/>
        <v>5.0000000000000002E-11</v>
      </c>
      <c r="DC161" s="344">
        <f t="shared" si="421"/>
        <v>5.50000000006</v>
      </c>
      <c r="DD161" s="344">
        <f t="shared" si="422"/>
        <v>5.50000000007</v>
      </c>
      <c r="DE161" s="344">
        <f t="shared" si="423"/>
        <v>4.00000000008</v>
      </c>
      <c r="DF161" s="344" t="b">
        <f t="shared" si="462"/>
        <v>1</v>
      </c>
      <c r="DG161" s="344" t="b">
        <f t="shared" si="463"/>
        <v>1</v>
      </c>
      <c r="DH161" s="344" t="b">
        <f t="shared" si="464"/>
        <v>1</v>
      </c>
      <c r="DI161" s="344" t="b">
        <f t="shared" si="465"/>
        <v>1</v>
      </c>
      <c r="DJ161" s="344" t="b">
        <f t="shared" si="428"/>
        <v>0</v>
      </c>
      <c r="DK161" s="344" t="b">
        <f t="shared" si="429"/>
        <v>1</v>
      </c>
      <c r="DL161" s="344" t="b">
        <f t="shared" si="430"/>
        <v>1</v>
      </c>
      <c r="DM161" s="344" t="b">
        <f t="shared" si="431"/>
        <v>0</v>
      </c>
      <c r="DN161" s="344">
        <v>1.5</v>
      </c>
      <c r="DO161" s="344">
        <v>2</v>
      </c>
      <c r="DP161" s="344">
        <v>1</v>
      </c>
      <c r="DQ161" s="344">
        <v>2</v>
      </c>
      <c r="DR161" s="344">
        <v>1</v>
      </c>
      <c r="DS161" s="344">
        <v>1</v>
      </c>
      <c r="DT161" s="344">
        <v>1</v>
      </c>
      <c r="DU161" s="344">
        <v>1</v>
      </c>
      <c r="DV161" s="251">
        <v>8.5000000000099991</v>
      </c>
      <c r="DW161" s="251">
        <v>5.50000000002</v>
      </c>
      <c r="DX161" s="251">
        <v>4.00000000003</v>
      </c>
      <c r="DY161" s="251">
        <v>7.00000000004</v>
      </c>
      <c r="DZ161" s="251">
        <v>5.0000000000000002E-11</v>
      </c>
      <c r="EA161" s="251">
        <v>8.50000000006</v>
      </c>
      <c r="EB161" s="251">
        <v>4.00000000007</v>
      </c>
      <c r="EC161" s="251">
        <v>4.00000000008</v>
      </c>
      <c r="ED161" s="344">
        <f t="shared" si="450"/>
        <v>12.750000000015</v>
      </c>
      <c r="EE161" s="344">
        <f t="shared" si="451"/>
        <v>11.00000000004</v>
      </c>
      <c r="EF161" s="344">
        <f t="shared" si="452"/>
        <v>4.00000000003</v>
      </c>
      <c r="EG161" s="344">
        <f t="shared" si="453"/>
        <v>14.00000000008</v>
      </c>
      <c r="EH161" s="344">
        <f t="shared" si="454"/>
        <v>5.0000000000000002E-11</v>
      </c>
      <c r="EI161" s="344">
        <f t="shared" si="455"/>
        <v>8.50000000006</v>
      </c>
      <c r="EJ161" s="344">
        <f t="shared" si="456"/>
        <v>4.00000000007</v>
      </c>
      <c r="EK161" s="344">
        <f t="shared" si="457"/>
        <v>4.00000000008</v>
      </c>
      <c r="EL161" s="344" t="b">
        <f t="shared" si="433"/>
        <v>1</v>
      </c>
      <c r="EM161" s="344" t="b">
        <f t="shared" si="434"/>
        <v>1</v>
      </c>
      <c r="EN161" s="344" t="b">
        <f t="shared" si="435"/>
        <v>1</v>
      </c>
      <c r="EO161" s="344" t="b">
        <f t="shared" si="436"/>
        <v>1</v>
      </c>
      <c r="EP161" s="344" t="b">
        <f t="shared" si="437"/>
        <v>0</v>
      </c>
      <c r="EQ161" s="344" t="b">
        <f t="shared" si="438"/>
        <v>1</v>
      </c>
      <c r="ER161" s="344" t="b">
        <f t="shared" si="439"/>
        <v>0</v>
      </c>
      <c r="ES161" s="344" t="b">
        <f t="shared" si="440"/>
        <v>1</v>
      </c>
    </row>
    <row r="162" spans="1:149" s="251" customFormat="1" x14ac:dyDescent="0.3">
      <c r="A162" s="251" t="s">
        <v>856</v>
      </c>
      <c r="B162" s="251" t="s">
        <v>2247</v>
      </c>
      <c r="C162" s="251" t="s">
        <v>2482</v>
      </c>
      <c r="D162" s="251" t="s">
        <v>859</v>
      </c>
      <c r="E162" s="251" t="s">
        <v>1977</v>
      </c>
      <c r="F162" s="344">
        <f t="shared" si="441"/>
        <v>57.750000000304993</v>
      </c>
      <c r="G162" s="344">
        <f t="shared" si="458"/>
        <v>54.750000000340002</v>
      </c>
      <c r="H162" s="344">
        <f t="shared" si="459"/>
        <v>53.250000000314991</v>
      </c>
      <c r="I162" s="251" t="s">
        <v>1970</v>
      </c>
      <c r="J162" s="251" t="s">
        <v>1970</v>
      </c>
      <c r="K162" s="251" t="s">
        <v>2779</v>
      </c>
      <c r="L162" s="251" t="s">
        <v>3079</v>
      </c>
      <c r="M162" s="251" t="s">
        <v>1970</v>
      </c>
      <c r="N162" s="344" t="s">
        <v>1978</v>
      </c>
      <c r="O162" s="344" t="s">
        <v>1978</v>
      </c>
      <c r="P162" s="344" t="s">
        <v>1978</v>
      </c>
      <c r="Q162" s="344" t="s">
        <v>1978</v>
      </c>
      <c r="R162" s="344" t="s">
        <v>1978</v>
      </c>
      <c r="S162" s="344" t="s">
        <v>1978</v>
      </c>
      <c r="T162" s="251" t="s">
        <v>857</v>
      </c>
      <c r="U162" s="251" t="s">
        <v>2165</v>
      </c>
      <c r="V162" s="251" t="s">
        <v>1970</v>
      </c>
      <c r="W162" s="251" t="s">
        <v>1970</v>
      </c>
      <c r="X162" s="344">
        <f>'A123'!J170</f>
        <v>20</v>
      </c>
      <c r="Y162" s="344">
        <f>'A123'!K170</f>
        <v>15</v>
      </c>
      <c r="Z162" s="344">
        <f>'A123'!L170</f>
        <v>3.8</v>
      </c>
      <c r="AA162" s="344" t="s">
        <v>2165</v>
      </c>
      <c r="AB162" s="344" t="str">
        <f>入學要求!X171</f>
        <v>/</v>
      </c>
      <c r="AC162" s="344" t="str">
        <f>入學要求!Y171</f>
        <v>/</v>
      </c>
      <c r="AD162" s="351" t="s">
        <v>1977</v>
      </c>
      <c r="AE162" s="344" t="s">
        <v>1970</v>
      </c>
      <c r="AF162" s="344" t="s">
        <v>1970</v>
      </c>
      <c r="AG162" s="344" t="s">
        <v>2779</v>
      </c>
      <c r="AH162" s="344" t="s">
        <v>3079</v>
      </c>
      <c r="AI162" s="344" t="s">
        <v>1970</v>
      </c>
      <c r="AJ162" s="344" t="s">
        <v>1970</v>
      </c>
      <c r="AK162" s="251" t="s">
        <v>1970</v>
      </c>
      <c r="AL162" s="251" t="s">
        <v>1970</v>
      </c>
      <c r="AM162" s="251" t="s">
        <v>1970</v>
      </c>
      <c r="AN162" s="251" t="s">
        <v>1970</v>
      </c>
      <c r="AO162" s="251" t="s">
        <v>1970</v>
      </c>
      <c r="AP162" s="251" t="s">
        <v>1970</v>
      </c>
      <c r="AQ162" s="344" t="s">
        <v>1970</v>
      </c>
      <c r="AR162" s="428" t="s">
        <v>2150</v>
      </c>
      <c r="AS162" s="251" t="s">
        <v>3620</v>
      </c>
      <c r="AT162" s="251" t="s">
        <v>3650</v>
      </c>
      <c r="AU162" s="251" t="s">
        <v>3646</v>
      </c>
      <c r="AV162" s="344" t="s">
        <v>3735</v>
      </c>
      <c r="AW162" s="344" t="s">
        <v>3736</v>
      </c>
      <c r="AX162" s="344" t="s">
        <v>3759</v>
      </c>
      <c r="AY162" s="344" t="s">
        <v>3722</v>
      </c>
      <c r="AZ162" s="344" t="s">
        <v>3737</v>
      </c>
      <c r="BA162" s="381" t="s">
        <v>3725</v>
      </c>
      <c r="BB162" s="251">
        <v>1</v>
      </c>
      <c r="BC162" s="344">
        <v>2</v>
      </c>
      <c r="BD162" s="344">
        <v>2</v>
      </c>
      <c r="BE162" s="251">
        <v>1</v>
      </c>
      <c r="BF162" s="251">
        <v>1.5</v>
      </c>
      <c r="BG162" s="251">
        <v>1</v>
      </c>
      <c r="BH162" s="251">
        <v>1</v>
      </c>
      <c r="BI162" s="251">
        <v>1</v>
      </c>
      <c r="BJ162" s="251">
        <v>3.00000000001</v>
      </c>
      <c r="BK162" s="251">
        <v>4.00000000002</v>
      </c>
      <c r="BL162" s="251">
        <v>8.5000000000299991</v>
      </c>
      <c r="BM162" s="251">
        <v>4.00000000004</v>
      </c>
      <c r="BN162" s="251">
        <v>8.5000000000499991</v>
      </c>
      <c r="BO162" s="251">
        <v>8.50000000006</v>
      </c>
      <c r="BP162" s="251">
        <v>7.00000000007</v>
      </c>
      <c r="BQ162" s="251">
        <v>7.00000000008</v>
      </c>
      <c r="BR162" s="344">
        <f t="shared" si="466"/>
        <v>3.00000000001</v>
      </c>
      <c r="BS162" s="344">
        <f t="shared" si="442"/>
        <v>8.00000000004</v>
      </c>
      <c r="BT162" s="344">
        <f t="shared" si="443"/>
        <v>17.000000000059998</v>
      </c>
      <c r="BU162" s="344">
        <f t="shared" si="444"/>
        <v>4.00000000004</v>
      </c>
      <c r="BV162" s="344">
        <f t="shared" si="445"/>
        <v>12.750000000074998</v>
      </c>
      <c r="BW162" s="344">
        <f t="shared" si="446"/>
        <v>8.50000000006</v>
      </c>
      <c r="BX162" s="344">
        <f t="shared" si="447"/>
        <v>7.00000000007</v>
      </c>
      <c r="BY162" s="344">
        <f t="shared" si="448"/>
        <v>7.00000000008</v>
      </c>
      <c r="BZ162" s="344" t="b">
        <f t="shared" si="467"/>
        <v>0</v>
      </c>
      <c r="CA162" s="344" t="b">
        <f t="shared" si="467"/>
        <v>1</v>
      </c>
      <c r="CB162" s="344" t="b">
        <f t="shared" si="467"/>
        <v>1</v>
      </c>
      <c r="CC162" s="344" t="b">
        <f t="shared" si="467"/>
        <v>0</v>
      </c>
      <c r="CD162" s="344" t="b">
        <f t="shared" si="468"/>
        <v>1</v>
      </c>
      <c r="CE162" s="344" t="b">
        <f t="shared" si="469"/>
        <v>1</v>
      </c>
      <c r="CF162" s="344" t="b">
        <f t="shared" si="470"/>
        <v>0</v>
      </c>
      <c r="CG162" s="344" t="b">
        <f t="shared" si="471"/>
        <v>1</v>
      </c>
      <c r="CH162" s="344">
        <v>1</v>
      </c>
      <c r="CI162" s="344">
        <v>2</v>
      </c>
      <c r="CJ162" s="344">
        <v>2</v>
      </c>
      <c r="CK162" s="344">
        <v>1</v>
      </c>
      <c r="CL162" s="344">
        <v>1</v>
      </c>
      <c r="CM162" s="344">
        <v>1.5</v>
      </c>
      <c r="CN162" s="344">
        <v>1</v>
      </c>
      <c r="CO162" s="344">
        <v>1</v>
      </c>
      <c r="CP162" s="251">
        <v>4.00000000001</v>
      </c>
      <c r="CQ162" s="251">
        <v>4.00000000002</v>
      </c>
      <c r="CR162" s="251">
        <v>8.5000000000299991</v>
      </c>
      <c r="CS162" s="251">
        <v>4.00000000004</v>
      </c>
      <c r="CT162" s="251">
        <v>7.00000000005</v>
      </c>
      <c r="CU162" s="251">
        <v>8.50000000006</v>
      </c>
      <c r="CV162" s="251">
        <v>8.5000000000699991</v>
      </c>
      <c r="CW162" s="251">
        <v>8.50000000008</v>
      </c>
      <c r="CX162" s="344">
        <f t="shared" si="449"/>
        <v>4.00000000001</v>
      </c>
      <c r="CY162" s="344">
        <f t="shared" si="417"/>
        <v>8.00000000004</v>
      </c>
      <c r="CZ162" s="344">
        <f t="shared" si="418"/>
        <v>17.000000000059998</v>
      </c>
      <c r="DA162" s="344">
        <f t="shared" si="419"/>
        <v>4.00000000004</v>
      </c>
      <c r="DB162" s="344">
        <f t="shared" si="420"/>
        <v>7.00000000005</v>
      </c>
      <c r="DC162" s="344">
        <f t="shared" si="421"/>
        <v>12.750000000090001</v>
      </c>
      <c r="DD162" s="344">
        <f t="shared" si="422"/>
        <v>8.5000000000699991</v>
      </c>
      <c r="DE162" s="344">
        <f t="shared" si="423"/>
        <v>8.50000000008</v>
      </c>
      <c r="DF162" s="344" t="b">
        <f t="shared" si="462"/>
        <v>0</v>
      </c>
      <c r="DG162" s="344" t="b">
        <f t="shared" si="463"/>
        <v>1</v>
      </c>
      <c r="DH162" s="344" t="b">
        <f t="shared" si="464"/>
        <v>1</v>
      </c>
      <c r="DI162" s="344" t="b">
        <f t="shared" si="465"/>
        <v>0</v>
      </c>
      <c r="DJ162" s="344" t="b">
        <f t="shared" si="428"/>
        <v>0</v>
      </c>
      <c r="DK162" s="344" t="b">
        <f t="shared" si="429"/>
        <v>1</v>
      </c>
      <c r="DL162" s="344" t="b">
        <f t="shared" si="430"/>
        <v>1</v>
      </c>
      <c r="DM162" s="344" t="b">
        <f t="shared" si="431"/>
        <v>1</v>
      </c>
      <c r="DN162" s="344">
        <v>1</v>
      </c>
      <c r="DO162" s="344">
        <v>2</v>
      </c>
      <c r="DP162" s="344">
        <v>2</v>
      </c>
      <c r="DQ162" s="344">
        <v>1</v>
      </c>
      <c r="DR162" s="344">
        <v>1.5</v>
      </c>
      <c r="DS162" s="344">
        <v>1</v>
      </c>
      <c r="DT162" s="344">
        <v>1</v>
      </c>
      <c r="DU162" s="344">
        <v>1</v>
      </c>
      <c r="DV162" s="251">
        <v>5.50000000001</v>
      </c>
      <c r="DW162" s="251">
        <v>5.50000000002</v>
      </c>
      <c r="DX162" s="251">
        <v>8.5000000000299991</v>
      </c>
      <c r="DY162" s="251">
        <v>5.50000000004</v>
      </c>
      <c r="DZ162" s="251">
        <v>8.5000000000499991</v>
      </c>
      <c r="EA162" s="251">
        <v>8.50000000006</v>
      </c>
      <c r="EB162" s="251">
        <v>8.5000000000699991</v>
      </c>
      <c r="EC162" s="251">
        <v>7.00000000008</v>
      </c>
      <c r="ED162" s="344">
        <f t="shared" si="450"/>
        <v>5.50000000001</v>
      </c>
      <c r="EE162" s="344">
        <f t="shared" si="451"/>
        <v>11.00000000004</v>
      </c>
      <c r="EF162" s="344">
        <f t="shared" si="452"/>
        <v>17.000000000059998</v>
      </c>
      <c r="EG162" s="344">
        <f t="shared" si="453"/>
        <v>5.50000000004</v>
      </c>
      <c r="EH162" s="344">
        <f t="shared" si="454"/>
        <v>12.750000000074998</v>
      </c>
      <c r="EI162" s="344">
        <f t="shared" si="455"/>
        <v>8.50000000006</v>
      </c>
      <c r="EJ162" s="344">
        <f t="shared" si="456"/>
        <v>8.5000000000699991</v>
      </c>
      <c r="EK162" s="344">
        <f t="shared" si="457"/>
        <v>7.00000000008</v>
      </c>
      <c r="EL162" s="344" t="b">
        <f t="shared" si="433"/>
        <v>0</v>
      </c>
      <c r="EM162" s="344" t="b">
        <f t="shared" si="434"/>
        <v>1</v>
      </c>
      <c r="EN162" s="344" t="b">
        <f t="shared" si="435"/>
        <v>1</v>
      </c>
      <c r="EO162" s="344" t="b">
        <f t="shared" si="436"/>
        <v>0</v>
      </c>
      <c r="EP162" s="344" t="b">
        <f t="shared" si="437"/>
        <v>1</v>
      </c>
      <c r="EQ162" s="344" t="b">
        <f t="shared" si="438"/>
        <v>1</v>
      </c>
      <c r="ER162" s="344" t="b">
        <f t="shared" si="439"/>
        <v>1</v>
      </c>
      <c r="ES162" s="344" t="b">
        <f t="shared" si="440"/>
        <v>0</v>
      </c>
    </row>
    <row r="163" spans="1:149" s="251" customFormat="1" x14ac:dyDescent="0.3">
      <c r="A163" s="251" t="s">
        <v>860</v>
      </c>
      <c r="B163" s="251" t="s">
        <v>2247</v>
      </c>
      <c r="C163" s="251" t="s">
        <v>2196</v>
      </c>
      <c r="D163" s="251" t="s">
        <v>863</v>
      </c>
      <c r="E163" s="251" t="s">
        <v>1977</v>
      </c>
      <c r="F163" s="344">
        <f t="shared" si="441"/>
        <v>30.500000000209997</v>
      </c>
      <c r="G163" s="344">
        <f t="shared" si="458"/>
        <v>27.500000000259998</v>
      </c>
      <c r="H163" s="344">
        <f t="shared" si="459"/>
        <v>26.000000000250001</v>
      </c>
      <c r="I163" s="251" t="s">
        <v>1970</v>
      </c>
      <c r="J163" s="251" t="s">
        <v>1970</v>
      </c>
      <c r="K163" s="251" t="s">
        <v>1970</v>
      </c>
      <c r="L163" s="251" t="s">
        <v>1970</v>
      </c>
      <c r="M163" s="251" t="s">
        <v>1970</v>
      </c>
      <c r="N163" s="344" t="s">
        <v>1978</v>
      </c>
      <c r="O163" s="344" t="s">
        <v>1978</v>
      </c>
      <c r="P163" s="344" t="s">
        <v>1978</v>
      </c>
      <c r="Q163" s="344" t="s">
        <v>1978</v>
      </c>
      <c r="R163" s="344" t="s">
        <v>1978</v>
      </c>
      <c r="S163" s="344" t="s">
        <v>1978</v>
      </c>
      <c r="T163" s="251" t="s">
        <v>861</v>
      </c>
      <c r="U163" s="251" t="s">
        <v>2165</v>
      </c>
      <c r="V163" s="251" t="s">
        <v>1970</v>
      </c>
      <c r="W163" s="251" t="s">
        <v>1970</v>
      </c>
      <c r="X163" s="344">
        <f>'A123'!J171</f>
        <v>17</v>
      </c>
      <c r="Y163" s="344">
        <f>'A123'!K171</f>
        <v>27</v>
      </c>
      <c r="Z163" s="344">
        <f>'A123'!L171</f>
        <v>18.555555555555557</v>
      </c>
      <c r="AA163" s="344" t="s">
        <v>2165</v>
      </c>
      <c r="AB163" s="344" t="str">
        <f>入學要求!X172</f>
        <v>/</v>
      </c>
      <c r="AC163" s="344" t="str">
        <f>入學要求!Y172</f>
        <v>/</v>
      </c>
      <c r="AD163" s="344" t="s">
        <v>1977</v>
      </c>
      <c r="AE163" s="344" t="s">
        <v>1970</v>
      </c>
      <c r="AF163" s="344" t="s">
        <v>1970</v>
      </c>
      <c r="AG163" s="344" t="s">
        <v>1970</v>
      </c>
      <c r="AH163" s="344" t="s">
        <v>1970</v>
      </c>
      <c r="AI163" s="344" t="s">
        <v>1970</v>
      </c>
      <c r="AJ163" s="344" t="s">
        <v>1970</v>
      </c>
      <c r="AK163" s="251" t="s">
        <v>1970</v>
      </c>
      <c r="AL163" s="251" t="s">
        <v>1970</v>
      </c>
      <c r="AM163" s="251" t="s">
        <v>1970</v>
      </c>
      <c r="AN163" s="251" t="s">
        <v>1970</v>
      </c>
      <c r="AO163" s="251" t="s">
        <v>1970</v>
      </c>
      <c r="AP163" s="251" t="s">
        <v>1970</v>
      </c>
      <c r="AQ163" s="344" t="s">
        <v>1970</v>
      </c>
      <c r="AR163" s="428" t="s">
        <v>3386</v>
      </c>
      <c r="AS163" s="251" t="s">
        <v>3610</v>
      </c>
      <c r="AT163" s="251" t="s">
        <v>1970</v>
      </c>
      <c r="AU163" s="251" t="s">
        <v>3646</v>
      </c>
      <c r="AV163" s="344" t="s">
        <v>3735</v>
      </c>
      <c r="AW163" s="344" t="s">
        <v>3736</v>
      </c>
      <c r="AX163" s="344" t="s">
        <v>3760</v>
      </c>
      <c r="AY163" s="344" t="s">
        <v>3722</v>
      </c>
      <c r="AZ163" s="344" t="s">
        <v>3737</v>
      </c>
      <c r="BA163" s="381" t="s">
        <v>3725</v>
      </c>
      <c r="BB163" s="251">
        <v>1</v>
      </c>
      <c r="BC163" s="251">
        <v>1</v>
      </c>
      <c r="BD163" s="344">
        <v>1</v>
      </c>
      <c r="BE163" s="344">
        <v>1</v>
      </c>
      <c r="BF163" s="344">
        <v>1</v>
      </c>
      <c r="BG163" s="344">
        <v>1</v>
      </c>
      <c r="BH163" s="344">
        <v>1</v>
      </c>
      <c r="BI163" s="344">
        <v>1</v>
      </c>
      <c r="BJ163" s="251">
        <v>8.5000000000099991</v>
      </c>
      <c r="BK163" s="251">
        <v>4.00000000002</v>
      </c>
      <c r="BL163" s="251">
        <v>4.00000000003</v>
      </c>
      <c r="BM163" s="251">
        <v>3.00000000004</v>
      </c>
      <c r="BN163" s="251">
        <v>5.0000000000000002E-11</v>
      </c>
      <c r="BO163" s="251">
        <v>5.50000000006</v>
      </c>
      <c r="BP163" s="251">
        <v>4.00000000007</v>
      </c>
      <c r="BQ163" s="251">
        <v>4.00000000008</v>
      </c>
      <c r="BR163" s="344">
        <f t="shared" si="466"/>
        <v>8.5000000000099991</v>
      </c>
      <c r="BS163" s="344">
        <f t="shared" si="442"/>
        <v>4.00000000002</v>
      </c>
      <c r="BT163" s="344">
        <f t="shared" si="443"/>
        <v>4.00000000003</v>
      </c>
      <c r="BU163" s="344">
        <f t="shared" si="444"/>
        <v>3.00000000004</v>
      </c>
      <c r="BV163" s="344">
        <f t="shared" si="445"/>
        <v>5.0000000000000002E-11</v>
      </c>
      <c r="BW163" s="344">
        <f t="shared" si="446"/>
        <v>5.50000000006</v>
      </c>
      <c r="BX163" s="344">
        <f t="shared" si="447"/>
        <v>4.00000000007</v>
      </c>
      <c r="BY163" s="344">
        <f t="shared" si="448"/>
        <v>4.00000000008</v>
      </c>
      <c r="BZ163" s="344" t="b">
        <f t="shared" si="467"/>
        <v>1</v>
      </c>
      <c r="CA163" s="344" t="b">
        <f t="shared" si="467"/>
        <v>0</v>
      </c>
      <c r="CB163" s="344" t="b">
        <f t="shared" si="467"/>
        <v>1</v>
      </c>
      <c r="CC163" s="344" t="b">
        <f t="shared" si="467"/>
        <v>0</v>
      </c>
      <c r="CD163" s="344" t="b">
        <f t="shared" si="468"/>
        <v>0</v>
      </c>
      <c r="CE163" s="344" t="b">
        <f t="shared" si="469"/>
        <v>1</v>
      </c>
      <c r="CF163" s="344" t="b">
        <f t="shared" si="470"/>
        <v>1</v>
      </c>
      <c r="CG163" s="344" t="b">
        <f t="shared" si="471"/>
        <v>1</v>
      </c>
      <c r="CH163" s="344">
        <v>1</v>
      </c>
      <c r="CI163" s="344">
        <v>1</v>
      </c>
      <c r="CJ163" s="344">
        <v>1</v>
      </c>
      <c r="CK163" s="344">
        <v>1</v>
      </c>
      <c r="CL163" s="344">
        <v>1</v>
      </c>
      <c r="CM163" s="344">
        <v>1</v>
      </c>
      <c r="CN163" s="344">
        <v>1</v>
      </c>
      <c r="CO163" s="344">
        <v>1</v>
      </c>
      <c r="CP163" s="251">
        <v>3.00000000001</v>
      </c>
      <c r="CQ163" s="251">
        <v>5.50000000002</v>
      </c>
      <c r="CR163" s="251">
        <v>5.50000000003</v>
      </c>
      <c r="CS163" s="251">
        <v>4.00000000004</v>
      </c>
      <c r="CT163" s="251">
        <v>2.00000000005</v>
      </c>
      <c r="CU163" s="251">
        <v>5.50000000006</v>
      </c>
      <c r="CV163" s="251">
        <v>5.50000000007</v>
      </c>
      <c r="CW163" s="251">
        <v>5.50000000008</v>
      </c>
      <c r="CX163" s="344">
        <f t="shared" si="449"/>
        <v>3.00000000001</v>
      </c>
      <c r="CY163" s="344">
        <f t="shared" si="417"/>
        <v>5.50000000002</v>
      </c>
      <c r="CZ163" s="344">
        <f t="shared" si="418"/>
        <v>5.50000000003</v>
      </c>
      <c r="DA163" s="344">
        <f t="shared" si="419"/>
        <v>4.00000000004</v>
      </c>
      <c r="DB163" s="344">
        <f t="shared" si="420"/>
        <v>2.00000000005</v>
      </c>
      <c r="DC163" s="344">
        <f t="shared" si="421"/>
        <v>5.50000000006</v>
      </c>
      <c r="DD163" s="344">
        <f t="shared" si="422"/>
        <v>5.50000000007</v>
      </c>
      <c r="DE163" s="344">
        <f t="shared" si="423"/>
        <v>5.50000000008</v>
      </c>
      <c r="DF163" s="344" t="b">
        <f t="shared" si="462"/>
        <v>0</v>
      </c>
      <c r="DG163" s="344" t="b">
        <f t="shared" si="463"/>
        <v>1</v>
      </c>
      <c r="DH163" s="344" t="b">
        <f t="shared" si="464"/>
        <v>1</v>
      </c>
      <c r="DI163" s="344" t="b">
        <f t="shared" si="465"/>
        <v>0</v>
      </c>
      <c r="DJ163" s="344" t="b">
        <f t="shared" si="428"/>
        <v>0</v>
      </c>
      <c r="DK163" s="344" t="b">
        <f t="shared" si="429"/>
        <v>1</v>
      </c>
      <c r="DL163" s="344" t="b">
        <f t="shared" si="430"/>
        <v>1</v>
      </c>
      <c r="DM163" s="344" t="b">
        <f t="shared" si="431"/>
        <v>1</v>
      </c>
      <c r="DN163" s="344">
        <v>1</v>
      </c>
      <c r="DO163" s="344">
        <v>1</v>
      </c>
      <c r="DP163" s="344">
        <v>1</v>
      </c>
      <c r="DQ163" s="344">
        <v>1</v>
      </c>
      <c r="DR163" s="344">
        <v>1</v>
      </c>
      <c r="DS163" s="344">
        <v>1</v>
      </c>
      <c r="DT163" s="344">
        <v>1</v>
      </c>
      <c r="DU163" s="344">
        <v>1</v>
      </c>
      <c r="DV163" s="251">
        <v>8.5000000000099991</v>
      </c>
      <c r="DW163" s="251">
        <v>4.00000000002</v>
      </c>
      <c r="DX163" s="251">
        <v>4.00000000003</v>
      </c>
      <c r="DY163" s="251">
        <v>8.50000000004</v>
      </c>
      <c r="DZ163" s="251">
        <v>5.0000000000000002E-11</v>
      </c>
      <c r="EA163" s="251">
        <v>5.50000000006</v>
      </c>
      <c r="EB163" s="251">
        <v>4.00000000007</v>
      </c>
      <c r="EC163" s="251">
        <v>7.9999999999999995E-11</v>
      </c>
      <c r="ED163" s="344">
        <f t="shared" si="450"/>
        <v>8.5000000000099991</v>
      </c>
      <c r="EE163" s="344">
        <f t="shared" si="451"/>
        <v>4.00000000002</v>
      </c>
      <c r="EF163" s="344">
        <f t="shared" si="452"/>
        <v>4.00000000003</v>
      </c>
      <c r="EG163" s="344">
        <f t="shared" si="453"/>
        <v>8.50000000004</v>
      </c>
      <c r="EH163" s="344">
        <f t="shared" si="454"/>
        <v>5.0000000000000002E-11</v>
      </c>
      <c r="EI163" s="344">
        <f t="shared" si="455"/>
        <v>5.50000000006</v>
      </c>
      <c r="EJ163" s="344">
        <f t="shared" si="456"/>
        <v>4.00000000007</v>
      </c>
      <c r="EK163" s="344">
        <f t="shared" si="457"/>
        <v>7.9999999999999995E-11</v>
      </c>
      <c r="EL163" s="344" t="b">
        <f t="shared" si="433"/>
        <v>1</v>
      </c>
      <c r="EM163" s="344" t="b">
        <f t="shared" si="434"/>
        <v>0</v>
      </c>
      <c r="EN163" s="344" t="b">
        <f t="shared" si="435"/>
        <v>1</v>
      </c>
      <c r="EO163" s="344" t="b">
        <f t="shared" si="436"/>
        <v>1</v>
      </c>
      <c r="EP163" s="344" t="b">
        <f t="shared" si="437"/>
        <v>0</v>
      </c>
      <c r="EQ163" s="344" t="b">
        <f t="shared" si="438"/>
        <v>1</v>
      </c>
      <c r="ER163" s="344" t="b">
        <f t="shared" si="439"/>
        <v>1</v>
      </c>
      <c r="ES163" s="344" t="b">
        <f t="shared" si="440"/>
        <v>0</v>
      </c>
    </row>
    <row r="164" spans="1:149" s="251" customFormat="1" x14ac:dyDescent="0.3">
      <c r="A164" s="251" t="s">
        <v>865</v>
      </c>
      <c r="B164" s="251" t="s">
        <v>2247</v>
      </c>
      <c r="C164" s="251" t="s">
        <v>2196</v>
      </c>
      <c r="D164" s="251" t="s">
        <v>868</v>
      </c>
      <c r="E164" s="251" t="s">
        <v>1977</v>
      </c>
      <c r="F164" s="344">
        <f t="shared" si="441"/>
        <v>38.500000000204999</v>
      </c>
      <c r="G164" s="344">
        <f t="shared" si="458"/>
        <v>34.000000000265004</v>
      </c>
      <c r="H164" s="344">
        <f t="shared" si="459"/>
        <v>32.500000000265004</v>
      </c>
      <c r="I164" s="251" t="s">
        <v>3072</v>
      </c>
      <c r="J164" s="251" t="s">
        <v>1970</v>
      </c>
      <c r="K164" s="251" t="s">
        <v>3060</v>
      </c>
      <c r="L164" s="251" t="s">
        <v>3061</v>
      </c>
      <c r="M164" s="251" t="s">
        <v>1970</v>
      </c>
      <c r="N164" s="344" t="s">
        <v>1978</v>
      </c>
      <c r="O164" s="344" t="s">
        <v>1978</v>
      </c>
      <c r="P164" s="344" t="s">
        <v>1978</v>
      </c>
      <c r="Q164" s="344" t="s">
        <v>1978</v>
      </c>
      <c r="R164" s="344" t="s">
        <v>1978</v>
      </c>
      <c r="S164" s="344" t="s">
        <v>1978</v>
      </c>
      <c r="T164" s="251" t="s">
        <v>866</v>
      </c>
      <c r="U164" s="251" t="s">
        <v>2165</v>
      </c>
      <c r="V164" s="251" t="s">
        <v>1970</v>
      </c>
      <c r="W164" s="251" t="s">
        <v>1970</v>
      </c>
      <c r="X164" s="344">
        <f>'A123'!J172</f>
        <v>12</v>
      </c>
      <c r="Y164" s="344">
        <f>'A123'!K172</f>
        <v>20</v>
      </c>
      <c r="Z164" s="344">
        <f>'A123'!L172</f>
        <v>10.8</v>
      </c>
      <c r="AA164" s="344" t="s">
        <v>2165</v>
      </c>
      <c r="AB164" s="344" t="str">
        <f>入學要求!X173</f>
        <v>/</v>
      </c>
      <c r="AC164" s="344" t="str">
        <f>入學要求!Y173</f>
        <v>/</v>
      </c>
      <c r="AD164" s="351" t="s">
        <v>1977</v>
      </c>
      <c r="AE164" s="344" t="s">
        <v>3072</v>
      </c>
      <c r="AF164" s="344" t="s">
        <v>1970</v>
      </c>
      <c r="AG164" s="344" t="s">
        <v>3060</v>
      </c>
      <c r="AH164" s="344" t="s">
        <v>3061</v>
      </c>
      <c r="AI164" s="344" t="s">
        <v>1970</v>
      </c>
      <c r="AJ164" s="344" t="s">
        <v>1970</v>
      </c>
      <c r="AK164" s="251" t="s">
        <v>1970</v>
      </c>
      <c r="AL164" s="251" t="s">
        <v>1970</v>
      </c>
      <c r="AM164" s="251" t="s">
        <v>1970</v>
      </c>
      <c r="AN164" s="251" t="s">
        <v>1970</v>
      </c>
      <c r="AO164" s="251" t="s">
        <v>1970</v>
      </c>
      <c r="AP164" s="251" t="s">
        <v>1970</v>
      </c>
      <c r="AQ164" s="344" t="s">
        <v>1970</v>
      </c>
      <c r="AR164" s="428" t="s">
        <v>3386</v>
      </c>
      <c r="AS164" s="251" t="s">
        <v>3610</v>
      </c>
      <c r="AT164" s="251" t="s">
        <v>1970</v>
      </c>
      <c r="AU164" s="251" t="s">
        <v>3646</v>
      </c>
      <c r="AV164" s="344" t="s">
        <v>3735</v>
      </c>
      <c r="AW164" s="344" t="s">
        <v>3736</v>
      </c>
      <c r="AX164" s="344" t="s">
        <v>3761</v>
      </c>
      <c r="AY164" s="344" t="s">
        <v>3722</v>
      </c>
      <c r="AZ164" s="344" t="s">
        <v>3737</v>
      </c>
      <c r="BA164" s="381" t="s">
        <v>3725</v>
      </c>
      <c r="BB164" s="251">
        <v>1.5</v>
      </c>
      <c r="BC164" s="251">
        <v>1</v>
      </c>
      <c r="BD164" s="251">
        <v>1</v>
      </c>
      <c r="BE164" s="344">
        <v>1</v>
      </c>
      <c r="BF164" s="344">
        <v>1</v>
      </c>
      <c r="BG164" s="344">
        <v>1</v>
      </c>
      <c r="BH164" s="344">
        <v>1</v>
      </c>
      <c r="BI164" s="344">
        <v>1</v>
      </c>
      <c r="BJ164" s="251">
        <v>7.00000000001</v>
      </c>
      <c r="BK164" s="251">
        <v>4.00000000002</v>
      </c>
      <c r="BL164" s="251">
        <v>4.00000000003</v>
      </c>
      <c r="BM164" s="251">
        <v>8.50000000004</v>
      </c>
      <c r="BN164" s="251">
        <v>5.0000000000000002E-11</v>
      </c>
      <c r="BO164" s="251">
        <v>5.50000000006</v>
      </c>
      <c r="BP164" s="251">
        <v>4.00000000007</v>
      </c>
      <c r="BQ164" s="251">
        <v>4.00000000008</v>
      </c>
      <c r="BR164" s="344">
        <f t="shared" si="466"/>
        <v>10.500000000015</v>
      </c>
      <c r="BS164" s="344">
        <f t="shared" si="442"/>
        <v>4.00000000002</v>
      </c>
      <c r="BT164" s="344">
        <f t="shared" si="443"/>
        <v>4.00000000003</v>
      </c>
      <c r="BU164" s="344">
        <f t="shared" si="444"/>
        <v>8.50000000004</v>
      </c>
      <c r="BV164" s="344">
        <f t="shared" si="445"/>
        <v>5.0000000000000002E-11</v>
      </c>
      <c r="BW164" s="344">
        <f t="shared" si="446"/>
        <v>5.50000000006</v>
      </c>
      <c r="BX164" s="344">
        <f t="shared" si="447"/>
        <v>4.00000000007</v>
      </c>
      <c r="BY164" s="344">
        <f t="shared" si="448"/>
        <v>4.00000000008</v>
      </c>
      <c r="BZ164" s="344" t="b">
        <v>1</v>
      </c>
      <c r="CA164" s="344" t="b">
        <f>IF($E164="4C2X",TRUE,IF($E164="Best 5",IF(BS164&gt;LARGE($BR164:$BY164,6),TRUE),IF($E164="Best 6",IF(BS164&gt;LARGE($BR164:$BY164,7),TRUE))))</f>
        <v>0</v>
      </c>
      <c r="CB164" s="344" t="b">
        <f>IF($E164="4C2X",TRUE,IF($E164="Best 5",IF(BT164&gt;LARGE($BR164:$BY164,6),TRUE),IF($E164="Best 6",IF(BT164&gt;LARGE($BR164:$BY164,7),TRUE))))</f>
        <v>0</v>
      </c>
      <c r="CC164" s="344" t="b">
        <f>IF($E164="4C2X",TRUE,IF($E164="Best 5",IF(BU164&gt;LARGE($BR164:$BY164,6),TRUE),IF($E164="Best 6",IF(BU164&gt;LARGE($BR164:$BY164,7),TRUE))))</f>
        <v>1</v>
      </c>
      <c r="CD164" s="344" t="b">
        <f t="shared" si="468"/>
        <v>0</v>
      </c>
      <c r="CE164" s="344" t="b">
        <f t="shared" si="469"/>
        <v>1</v>
      </c>
      <c r="CF164" s="344" t="b">
        <f t="shared" si="470"/>
        <v>1</v>
      </c>
      <c r="CG164" s="344" t="b">
        <f t="shared" si="471"/>
        <v>1</v>
      </c>
      <c r="CH164" s="344">
        <v>1.5</v>
      </c>
      <c r="CI164" s="344">
        <v>1</v>
      </c>
      <c r="CJ164" s="344">
        <v>1</v>
      </c>
      <c r="CK164" s="344">
        <v>1</v>
      </c>
      <c r="CL164" s="344">
        <v>1</v>
      </c>
      <c r="CM164" s="344">
        <v>1</v>
      </c>
      <c r="CN164" s="344">
        <v>1</v>
      </c>
      <c r="CO164" s="344">
        <v>1</v>
      </c>
      <c r="CP164" s="251">
        <v>7.00000000001</v>
      </c>
      <c r="CQ164" s="251">
        <v>4.00000000002</v>
      </c>
      <c r="CR164" s="251">
        <v>4.00000000003</v>
      </c>
      <c r="CS164" s="251">
        <v>7.00000000004</v>
      </c>
      <c r="CT164" s="251">
        <v>5.0000000000000002E-11</v>
      </c>
      <c r="CU164" s="251">
        <v>8.50000000006</v>
      </c>
      <c r="CV164" s="251">
        <v>4.00000000007</v>
      </c>
      <c r="CW164" s="251">
        <v>4.00000000008</v>
      </c>
      <c r="CX164" s="344">
        <f t="shared" si="449"/>
        <v>10.500000000015</v>
      </c>
      <c r="CY164" s="344">
        <f t="shared" si="417"/>
        <v>4.00000000002</v>
      </c>
      <c r="CZ164" s="344">
        <f t="shared" si="418"/>
        <v>4.00000000003</v>
      </c>
      <c r="DA164" s="344">
        <f t="shared" si="419"/>
        <v>7.00000000004</v>
      </c>
      <c r="DB164" s="344">
        <f t="shared" si="420"/>
        <v>5.0000000000000002E-11</v>
      </c>
      <c r="DC164" s="344">
        <f t="shared" si="421"/>
        <v>8.50000000006</v>
      </c>
      <c r="DD164" s="344">
        <f t="shared" si="422"/>
        <v>4.00000000007</v>
      </c>
      <c r="DE164" s="344">
        <f t="shared" si="423"/>
        <v>4.00000000008</v>
      </c>
      <c r="DF164" s="344" t="b">
        <f t="shared" si="462"/>
        <v>1</v>
      </c>
      <c r="DG164" s="344" t="b">
        <f t="shared" si="463"/>
        <v>0</v>
      </c>
      <c r="DH164" s="344" t="b">
        <f t="shared" si="464"/>
        <v>0</v>
      </c>
      <c r="DI164" s="344" t="b">
        <f t="shared" si="465"/>
        <v>1</v>
      </c>
      <c r="DJ164" s="344" t="b">
        <f t="shared" si="428"/>
        <v>0</v>
      </c>
      <c r="DK164" s="344" t="b">
        <f t="shared" si="429"/>
        <v>1</v>
      </c>
      <c r="DL164" s="344" t="b">
        <f t="shared" si="430"/>
        <v>1</v>
      </c>
      <c r="DM164" s="344" t="b">
        <f t="shared" si="431"/>
        <v>1</v>
      </c>
      <c r="DN164" s="344">
        <v>1.5</v>
      </c>
      <c r="DO164" s="344">
        <v>1</v>
      </c>
      <c r="DP164" s="344">
        <v>1</v>
      </c>
      <c r="DQ164" s="344">
        <v>1</v>
      </c>
      <c r="DR164" s="344">
        <v>1</v>
      </c>
      <c r="DS164" s="344">
        <v>1</v>
      </c>
      <c r="DT164" s="344">
        <v>1</v>
      </c>
      <c r="DU164" s="344">
        <v>1</v>
      </c>
      <c r="DV164" s="251">
        <v>7.00000000001</v>
      </c>
      <c r="DW164" s="251">
        <v>4.00000000002</v>
      </c>
      <c r="DX164" s="251">
        <v>3.00000000003</v>
      </c>
      <c r="DY164" s="251">
        <v>8.50000000004</v>
      </c>
      <c r="DZ164" s="251">
        <v>5.0000000000000002E-11</v>
      </c>
      <c r="EA164" s="251">
        <v>8.50000000006</v>
      </c>
      <c r="EB164" s="251">
        <v>7.00000000007</v>
      </c>
      <c r="EC164" s="251">
        <v>7.9999999999999995E-11</v>
      </c>
      <c r="ED164" s="344">
        <f t="shared" si="450"/>
        <v>10.500000000015</v>
      </c>
      <c r="EE164" s="344">
        <f t="shared" si="451"/>
        <v>4.00000000002</v>
      </c>
      <c r="EF164" s="344">
        <f t="shared" si="452"/>
        <v>3.00000000003</v>
      </c>
      <c r="EG164" s="344">
        <f t="shared" si="453"/>
        <v>8.50000000004</v>
      </c>
      <c r="EH164" s="344">
        <f t="shared" si="454"/>
        <v>5.0000000000000002E-11</v>
      </c>
      <c r="EI164" s="344">
        <f t="shared" si="455"/>
        <v>8.50000000006</v>
      </c>
      <c r="EJ164" s="344">
        <f t="shared" si="456"/>
        <v>7.00000000007</v>
      </c>
      <c r="EK164" s="344">
        <f t="shared" si="457"/>
        <v>7.9999999999999995E-11</v>
      </c>
      <c r="EL164" s="344" t="b">
        <f t="shared" si="433"/>
        <v>1</v>
      </c>
      <c r="EM164" s="344" t="b">
        <f t="shared" si="434"/>
        <v>1</v>
      </c>
      <c r="EN164" s="344" t="b">
        <f t="shared" si="435"/>
        <v>0</v>
      </c>
      <c r="EO164" s="344" t="b">
        <f t="shared" si="436"/>
        <v>1</v>
      </c>
      <c r="EP164" s="344" t="b">
        <f t="shared" si="437"/>
        <v>0</v>
      </c>
      <c r="EQ164" s="344" t="b">
        <f t="shared" si="438"/>
        <v>1</v>
      </c>
      <c r="ER164" s="344" t="b">
        <f t="shared" si="439"/>
        <v>1</v>
      </c>
      <c r="ES164" s="344" t="b">
        <f t="shared" si="440"/>
        <v>0</v>
      </c>
    </row>
    <row r="165" spans="1:149" s="251" customFormat="1" x14ac:dyDescent="0.3">
      <c r="A165" s="251" t="s">
        <v>870</v>
      </c>
      <c r="B165" s="251" t="s">
        <v>2247</v>
      </c>
      <c r="C165" s="251" t="s">
        <v>2196</v>
      </c>
      <c r="D165" s="251" t="s">
        <v>873</v>
      </c>
      <c r="E165" s="251" t="s">
        <v>1977</v>
      </c>
      <c r="F165" s="344">
        <f t="shared" si="441"/>
        <v>36.250000000249997</v>
      </c>
      <c r="G165" s="344">
        <f t="shared" si="458"/>
        <v>34.000000000210001</v>
      </c>
      <c r="H165" s="344">
        <f t="shared" si="459"/>
        <v>31.75000000028</v>
      </c>
      <c r="I165" s="251" t="s">
        <v>2182</v>
      </c>
      <c r="J165" s="251" t="s">
        <v>1970</v>
      </c>
      <c r="K165" s="251" t="s">
        <v>3073</v>
      </c>
      <c r="L165" s="251" t="s">
        <v>3061</v>
      </c>
      <c r="M165" s="251" t="s">
        <v>1970</v>
      </c>
      <c r="N165" s="344" t="s">
        <v>1978</v>
      </c>
      <c r="O165" s="344" t="s">
        <v>1978</v>
      </c>
      <c r="P165" s="344" t="s">
        <v>1978</v>
      </c>
      <c r="Q165" s="344" t="s">
        <v>1978</v>
      </c>
      <c r="R165" s="344" t="s">
        <v>1978</v>
      </c>
      <c r="S165" s="344" t="s">
        <v>1978</v>
      </c>
      <c r="T165" s="251" t="s">
        <v>871</v>
      </c>
      <c r="U165" s="251" t="s">
        <v>2165</v>
      </c>
      <c r="V165" s="251" t="s">
        <v>1970</v>
      </c>
      <c r="W165" s="251" t="s">
        <v>1970</v>
      </c>
      <c r="X165" s="344">
        <f>'A123'!J173</f>
        <v>12</v>
      </c>
      <c r="Y165" s="344">
        <f>'A123'!K173</f>
        <v>11</v>
      </c>
      <c r="Z165" s="344">
        <f>'A123'!L173</f>
        <v>10</v>
      </c>
      <c r="AA165" s="344" t="s">
        <v>2165</v>
      </c>
      <c r="AB165" s="344" t="str">
        <f>入學要求!X174</f>
        <v>/</v>
      </c>
      <c r="AC165" s="344" t="str">
        <f>入學要求!Y174</f>
        <v>/</v>
      </c>
      <c r="AD165" s="351" t="s">
        <v>1977</v>
      </c>
      <c r="AE165" s="344" t="s">
        <v>2182</v>
      </c>
      <c r="AF165" s="344" t="s">
        <v>1970</v>
      </c>
      <c r="AG165" s="344" t="s">
        <v>3073</v>
      </c>
      <c r="AH165" s="344" t="s">
        <v>3061</v>
      </c>
      <c r="AI165" s="344" t="s">
        <v>1970</v>
      </c>
      <c r="AJ165" s="344" t="s">
        <v>1970</v>
      </c>
      <c r="AK165" s="251" t="s">
        <v>1970</v>
      </c>
      <c r="AL165" s="251" t="s">
        <v>1970</v>
      </c>
      <c r="AM165" s="251" t="s">
        <v>1970</v>
      </c>
      <c r="AN165" s="251" t="s">
        <v>1970</v>
      </c>
      <c r="AO165" s="251" t="s">
        <v>1970</v>
      </c>
      <c r="AP165" s="251" t="s">
        <v>1970</v>
      </c>
      <c r="AQ165" s="344" t="s">
        <v>1970</v>
      </c>
      <c r="AR165" s="428" t="s">
        <v>3386</v>
      </c>
      <c r="AS165" s="251" t="s">
        <v>3610</v>
      </c>
      <c r="AT165" s="251" t="s">
        <v>1970</v>
      </c>
      <c r="AU165" s="251" t="s">
        <v>3646</v>
      </c>
      <c r="AV165" s="344" t="s">
        <v>3735</v>
      </c>
      <c r="AW165" s="344" t="s">
        <v>3736</v>
      </c>
      <c r="AX165" s="344" t="s">
        <v>3762</v>
      </c>
      <c r="AY165" s="344" t="s">
        <v>3722</v>
      </c>
      <c r="AZ165" s="344" t="s">
        <v>3737</v>
      </c>
      <c r="BA165" s="381" t="s">
        <v>3725</v>
      </c>
      <c r="BB165" s="251">
        <v>1</v>
      </c>
      <c r="BC165" s="251">
        <v>1.5</v>
      </c>
      <c r="BD165" s="251">
        <v>1</v>
      </c>
      <c r="BE165" s="344">
        <v>1</v>
      </c>
      <c r="BF165" s="344">
        <v>1</v>
      </c>
      <c r="BG165" s="344">
        <v>1</v>
      </c>
      <c r="BH165" s="344">
        <v>1</v>
      </c>
      <c r="BI165" s="344">
        <v>1</v>
      </c>
      <c r="BJ165" s="251">
        <v>4.00000000001</v>
      </c>
      <c r="BK165" s="251">
        <v>8.50000000002</v>
      </c>
      <c r="BL165" s="251">
        <v>4.00000000003</v>
      </c>
      <c r="BM165" s="251">
        <v>7.00000000004</v>
      </c>
      <c r="BN165" s="251">
        <v>5.0000000000000002E-11</v>
      </c>
      <c r="BO165" s="251">
        <v>4.00000000006</v>
      </c>
      <c r="BP165" s="251">
        <v>4.00000000007</v>
      </c>
      <c r="BQ165" s="251">
        <v>4.00000000008</v>
      </c>
      <c r="BR165" s="344">
        <f t="shared" si="466"/>
        <v>4.00000000001</v>
      </c>
      <c r="BS165" s="344">
        <f t="shared" si="442"/>
        <v>12.750000000029999</v>
      </c>
      <c r="BT165" s="344">
        <f t="shared" si="443"/>
        <v>4.00000000003</v>
      </c>
      <c r="BU165" s="344">
        <f t="shared" si="444"/>
        <v>7.00000000004</v>
      </c>
      <c r="BV165" s="344">
        <f t="shared" si="445"/>
        <v>5.0000000000000002E-11</v>
      </c>
      <c r="BW165" s="344">
        <f t="shared" si="446"/>
        <v>4.00000000006</v>
      </c>
      <c r="BX165" s="344">
        <f t="shared" si="447"/>
        <v>4.00000000007</v>
      </c>
      <c r="BY165" s="344">
        <f t="shared" si="448"/>
        <v>4.00000000008</v>
      </c>
      <c r="BZ165" s="344" t="b">
        <f t="shared" ref="BZ165:BZ178" si="472">IF($E165="4C2X",TRUE,IF($E165="Best 5",IF(BR165&gt;LARGE($BR165:$BY165,6),TRUE),IF($E165="Best 6",IF(BR165&gt;LARGE($BR165:$BY165,7),TRUE))))</f>
        <v>0</v>
      </c>
      <c r="CA165" s="344" t="b">
        <v>1</v>
      </c>
      <c r="CB165" s="344" t="b">
        <f>IF($E165="4C2X",TRUE,IF($E165="Best 5",IF(BT165&gt;LARGE($BR165:$BY165,6),TRUE),IF($E165="Best 6",IF(BT165&gt;LARGE($BR165:$BY165,7),TRUE))))</f>
        <v>0</v>
      </c>
      <c r="CC165" s="344" t="b">
        <f>IF($E165="4C2X",TRUE,IF($E165="Best 5",IF(BU165&gt;LARGE($BR165:$BY165,6),TRUE),IF($E165="Best 6",IF(BU165&gt;LARGE($BR165:$BY165,7),TRUE))))</f>
        <v>1</v>
      </c>
      <c r="CD165" s="344" t="b">
        <f t="shared" si="468"/>
        <v>0</v>
      </c>
      <c r="CE165" s="344" t="b">
        <f t="shared" si="469"/>
        <v>1</v>
      </c>
      <c r="CF165" s="344" t="b">
        <f t="shared" si="470"/>
        <v>1</v>
      </c>
      <c r="CG165" s="344" t="b">
        <f t="shared" si="471"/>
        <v>1</v>
      </c>
      <c r="CH165" s="344">
        <v>1</v>
      </c>
      <c r="CI165" s="344">
        <v>1.5</v>
      </c>
      <c r="CJ165" s="344">
        <v>1</v>
      </c>
      <c r="CK165" s="344">
        <v>1</v>
      </c>
      <c r="CL165" s="344">
        <v>1</v>
      </c>
      <c r="CM165" s="344">
        <v>1</v>
      </c>
      <c r="CN165" s="344">
        <v>1</v>
      </c>
      <c r="CO165" s="344">
        <v>1</v>
      </c>
      <c r="CP165" s="251">
        <v>8.5000000000099991</v>
      </c>
      <c r="CQ165" s="251">
        <v>7.00000000002</v>
      </c>
      <c r="CR165" s="251">
        <v>4.00000000003</v>
      </c>
      <c r="CS165" s="251">
        <v>5.50000000004</v>
      </c>
      <c r="CT165" s="251">
        <v>5.0000000000000002E-11</v>
      </c>
      <c r="CU165" s="251">
        <v>5.50000000006</v>
      </c>
      <c r="CV165" s="251">
        <v>4.00000000007</v>
      </c>
      <c r="CW165" s="251">
        <v>7.9999999999999995E-11</v>
      </c>
      <c r="CX165" s="344">
        <f t="shared" si="449"/>
        <v>8.5000000000099991</v>
      </c>
      <c r="CY165" s="344">
        <f t="shared" si="417"/>
        <v>10.500000000029999</v>
      </c>
      <c r="CZ165" s="344">
        <f t="shared" si="418"/>
        <v>4.00000000003</v>
      </c>
      <c r="DA165" s="344">
        <f t="shared" si="419"/>
        <v>5.50000000004</v>
      </c>
      <c r="DB165" s="344">
        <f t="shared" si="420"/>
        <v>5.0000000000000002E-11</v>
      </c>
      <c r="DC165" s="344">
        <f t="shared" si="421"/>
        <v>5.50000000006</v>
      </c>
      <c r="DD165" s="344">
        <f t="shared" si="422"/>
        <v>4.00000000007</v>
      </c>
      <c r="DE165" s="344">
        <f t="shared" si="423"/>
        <v>7.9999999999999995E-11</v>
      </c>
      <c r="DF165" s="344" t="b">
        <f t="shared" si="462"/>
        <v>1</v>
      </c>
      <c r="DG165" s="344" t="b">
        <f t="shared" si="463"/>
        <v>1</v>
      </c>
      <c r="DH165" s="344" t="b">
        <f t="shared" si="464"/>
        <v>0</v>
      </c>
      <c r="DI165" s="344" t="b">
        <f t="shared" si="465"/>
        <v>1</v>
      </c>
      <c r="DJ165" s="344" t="b">
        <f t="shared" si="428"/>
        <v>0</v>
      </c>
      <c r="DK165" s="344" t="b">
        <f t="shared" si="429"/>
        <v>1</v>
      </c>
      <c r="DL165" s="344" t="b">
        <f t="shared" si="430"/>
        <v>1</v>
      </c>
      <c r="DM165" s="344" t="b">
        <f t="shared" si="431"/>
        <v>0</v>
      </c>
      <c r="DN165" s="344">
        <v>1</v>
      </c>
      <c r="DO165" s="344">
        <v>1.5</v>
      </c>
      <c r="DP165" s="344">
        <v>1</v>
      </c>
      <c r="DQ165" s="344">
        <v>1</v>
      </c>
      <c r="DR165" s="344">
        <v>1</v>
      </c>
      <c r="DS165" s="344">
        <v>1</v>
      </c>
      <c r="DT165" s="344">
        <v>1</v>
      </c>
      <c r="DU165" s="344">
        <v>1</v>
      </c>
      <c r="DV165" s="251">
        <v>8.5000000000099991</v>
      </c>
      <c r="DW165" s="251">
        <v>5.50000000002</v>
      </c>
      <c r="DX165" s="251">
        <v>5.50000000003</v>
      </c>
      <c r="DY165" s="251">
        <v>5.50000000004</v>
      </c>
      <c r="DZ165" s="251">
        <v>5.0000000000000002E-11</v>
      </c>
      <c r="EA165" s="251">
        <v>7.00000000006</v>
      </c>
      <c r="EB165" s="251">
        <v>7.00000000007</v>
      </c>
      <c r="EC165" s="251">
        <v>5.50000000008</v>
      </c>
      <c r="ED165" s="344">
        <f t="shared" si="450"/>
        <v>8.5000000000099991</v>
      </c>
      <c r="EE165" s="344">
        <f t="shared" si="451"/>
        <v>8.2500000000299991</v>
      </c>
      <c r="EF165" s="344">
        <f t="shared" si="452"/>
        <v>5.50000000003</v>
      </c>
      <c r="EG165" s="344">
        <f t="shared" si="453"/>
        <v>5.50000000004</v>
      </c>
      <c r="EH165" s="344">
        <f t="shared" si="454"/>
        <v>5.0000000000000002E-11</v>
      </c>
      <c r="EI165" s="344">
        <f t="shared" si="455"/>
        <v>7.00000000006</v>
      </c>
      <c r="EJ165" s="344">
        <f t="shared" si="456"/>
        <v>7.00000000007</v>
      </c>
      <c r="EK165" s="344">
        <f t="shared" si="457"/>
        <v>5.50000000008</v>
      </c>
      <c r="EL165" s="344" t="b">
        <f t="shared" si="433"/>
        <v>1</v>
      </c>
      <c r="EM165" s="344" t="b">
        <f t="shared" si="434"/>
        <v>1</v>
      </c>
      <c r="EN165" s="344" t="b">
        <f t="shared" si="435"/>
        <v>0</v>
      </c>
      <c r="EO165" s="344" t="b">
        <f t="shared" si="436"/>
        <v>0</v>
      </c>
      <c r="EP165" s="344" t="b">
        <f t="shared" si="437"/>
        <v>0</v>
      </c>
      <c r="EQ165" s="344" t="b">
        <f t="shared" si="438"/>
        <v>1</v>
      </c>
      <c r="ER165" s="344" t="b">
        <f t="shared" si="439"/>
        <v>1</v>
      </c>
      <c r="ES165" s="344" t="b">
        <f t="shared" si="440"/>
        <v>1</v>
      </c>
    </row>
    <row r="166" spans="1:149" s="251" customFormat="1" x14ac:dyDescent="0.3">
      <c r="A166" s="251" t="s">
        <v>875</v>
      </c>
      <c r="B166" s="251" t="s">
        <v>2247</v>
      </c>
      <c r="C166" s="251" t="s">
        <v>2196</v>
      </c>
      <c r="D166" s="251" t="s">
        <v>878</v>
      </c>
      <c r="E166" s="251" t="s">
        <v>1977</v>
      </c>
      <c r="F166" s="344">
        <f t="shared" si="441"/>
        <v>41.250000000264997</v>
      </c>
      <c r="G166" s="344">
        <f t="shared" si="458"/>
        <v>47.500000000244995</v>
      </c>
      <c r="H166" s="344">
        <f t="shared" si="459"/>
        <v>44.750000000284992</v>
      </c>
      <c r="I166" s="251" t="s">
        <v>3074</v>
      </c>
      <c r="J166" s="251" t="s">
        <v>1970</v>
      </c>
      <c r="K166" s="251" t="s">
        <v>3075</v>
      </c>
      <c r="L166" s="251" t="s">
        <v>3061</v>
      </c>
      <c r="M166" s="251" t="s">
        <v>1970</v>
      </c>
      <c r="N166" s="344" t="s">
        <v>1978</v>
      </c>
      <c r="O166" s="344" t="s">
        <v>1978</v>
      </c>
      <c r="P166" s="344" t="s">
        <v>1978</v>
      </c>
      <c r="Q166" s="344" t="s">
        <v>1978</v>
      </c>
      <c r="R166" s="344" t="s">
        <v>1978</v>
      </c>
      <c r="S166" s="344" t="s">
        <v>1978</v>
      </c>
      <c r="T166" s="251" t="s">
        <v>876</v>
      </c>
      <c r="U166" s="251" t="s">
        <v>2165</v>
      </c>
      <c r="V166" s="251" t="s">
        <v>1970</v>
      </c>
      <c r="W166" s="251" t="s">
        <v>1970</v>
      </c>
      <c r="X166" s="344">
        <f>'A123'!J174</f>
        <v>12</v>
      </c>
      <c r="Y166" s="344">
        <f>'A123'!K174</f>
        <v>17</v>
      </c>
      <c r="Z166" s="344">
        <f>'A123'!L174</f>
        <v>7</v>
      </c>
      <c r="AA166" s="344" t="s">
        <v>2165</v>
      </c>
      <c r="AB166" s="344" t="str">
        <f>入學要求!X175</f>
        <v>M1/2 需取得Lv.3或以上</v>
      </c>
      <c r="AC166" s="344" t="str">
        <f>入學要求!Y175</f>
        <v>/</v>
      </c>
      <c r="AD166" s="351" t="s">
        <v>1977</v>
      </c>
      <c r="AE166" s="344" t="s">
        <v>3074</v>
      </c>
      <c r="AF166" s="344" t="s">
        <v>1970</v>
      </c>
      <c r="AG166" s="344" t="s">
        <v>3075</v>
      </c>
      <c r="AH166" s="344" t="s">
        <v>3061</v>
      </c>
      <c r="AI166" s="344" t="s">
        <v>1970</v>
      </c>
      <c r="AJ166" s="344" t="s">
        <v>1970</v>
      </c>
      <c r="AK166" s="251" t="s">
        <v>1970</v>
      </c>
      <c r="AL166" s="251" t="s">
        <v>1970</v>
      </c>
      <c r="AM166" s="251" t="s">
        <v>3542</v>
      </c>
      <c r="AN166" s="251" t="s">
        <v>3543</v>
      </c>
      <c r="AO166" s="251" t="s">
        <v>3544</v>
      </c>
      <c r="AP166" s="251" t="s">
        <v>3545</v>
      </c>
      <c r="AQ166" s="344" t="s">
        <v>3546</v>
      </c>
      <c r="AR166" s="428" t="s">
        <v>3386</v>
      </c>
      <c r="AS166" s="251" t="s">
        <v>3610</v>
      </c>
      <c r="AT166" s="251" t="s">
        <v>1970</v>
      </c>
      <c r="AU166" s="251" t="s">
        <v>3646</v>
      </c>
      <c r="AV166" s="344" t="s">
        <v>3735</v>
      </c>
      <c r="AW166" s="344" t="s">
        <v>3736</v>
      </c>
      <c r="AX166" s="344" t="s">
        <v>3763</v>
      </c>
      <c r="AY166" s="344" t="s">
        <v>3722</v>
      </c>
      <c r="AZ166" s="344" t="s">
        <v>3737</v>
      </c>
      <c r="BA166" s="381" t="s">
        <v>3725</v>
      </c>
      <c r="BB166" s="251">
        <v>1.5</v>
      </c>
      <c r="BC166" s="251">
        <v>1.5</v>
      </c>
      <c r="BD166" s="251">
        <v>1.5</v>
      </c>
      <c r="BE166" s="251">
        <v>1</v>
      </c>
      <c r="BF166" s="251">
        <v>1.5</v>
      </c>
      <c r="BG166" s="251">
        <v>1</v>
      </c>
      <c r="BH166" s="251">
        <v>1</v>
      </c>
      <c r="BI166" s="251">
        <v>1</v>
      </c>
      <c r="BJ166" s="251">
        <v>4.00000000001</v>
      </c>
      <c r="BK166" s="251">
        <v>4.00000000002</v>
      </c>
      <c r="BL166" s="251">
        <v>7.00000000003</v>
      </c>
      <c r="BM166" s="251">
        <v>4.00000000004</v>
      </c>
      <c r="BN166" s="251">
        <v>8.5000000000499991</v>
      </c>
      <c r="BO166" s="251">
        <v>5.50000000006</v>
      </c>
      <c r="BP166" s="251">
        <v>5.50000000007</v>
      </c>
      <c r="BQ166" s="251">
        <v>5.50000000008</v>
      </c>
      <c r="BR166" s="344">
        <f t="shared" si="466"/>
        <v>6.0000000000149996</v>
      </c>
      <c r="BS166" s="344">
        <f t="shared" si="442"/>
        <v>6.00000000003</v>
      </c>
      <c r="BT166" s="344">
        <f t="shared" si="443"/>
        <v>10.500000000045</v>
      </c>
      <c r="BU166" s="344">
        <f t="shared" si="444"/>
        <v>4.00000000004</v>
      </c>
      <c r="BV166" s="344">
        <f t="shared" si="445"/>
        <v>12.750000000074998</v>
      </c>
      <c r="BW166" s="344">
        <f t="shared" si="446"/>
        <v>5.50000000006</v>
      </c>
      <c r="BX166" s="344">
        <f t="shared" si="447"/>
        <v>5.50000000007</v>
      </c>
      <c r="BY166" s="344">
        <f t="shared" si="448"/>
        <v>5.50000000008</v>
      </c>
      <c r="BZ166" s="344" t="b">
        <f t="shared" si="472"/>
        <v>1</v>
      </c>
      <c r="CA166" s="344" t="b">
        <f t="shared" ref="CA166:CA178" si="473">IF($E166="4C2X",TRUE,IF($E166="Best 5",IF(BS166&gt;LARGE($BR166:$BY166,6),TRUE),IF($E166="Best 6",IF(BS166&gt;LARGE($BR166:$BY166,7),TRUE))))</f>
        <v>1</v>
      </c>
      <c r="CB166" s="344" t="b">
        <v>1</v>
      </c>
      <c r="CC166" s="344" t="b">
        <v>1</v>
      </c>
      <c r="CD166" s="344" t="b">
        <f t="shared" si="468"/>
        <v>1</v>
      </c>
      <c r="CE166" s="344" t="b">
        <f t="shared" si="469"/>
        <v>0</v>
      </c>
      <c r="CF166" s="344" t="b">
        <f t="shared" si="470"/>
        <v>0</v>
      </c>
      <c r="CG166" s="344" t="b">
        <f t="shared" si="471"/>
        <v>1</v>
      </c>
      <c r="CH166" s="344">
        <v>1.5</v>
      </c>
      <c r="CI166" s="344">
        <v>1.5</v>
      </c>
      <c r="CJ166" s="344">
        <v>1.5</v>
      </c>
      <c r="CK166" s="344">
        <v>1</v>
      </c>
      <c r="CL166" s="344">
        <v>1.5</v>
      </c>
      <c r="CM166" s="344">
        <v>1</v>
      </c>
      <c r="CN166" s="344">
        <v>1</v>
      </c>
      <c r="CO166" s="344">
        <v>1</v>
      </c>
      <c r="CP166" s="251">
        <v>7.00000000001</v>
      </c>
      <c r="CQ166" s="251">
        <v>5.50000000002</v>
      </c>
      <c r="CR166" s="251">
        <v>7.00000000003</v>
      </c>
      <c r="CS166" s="251">
        <v>5.50000000004</v>
      </c>
      <c r="CT166" s="251">
        <v>8.5000000000499991</v>
      </c>
      <c r="CU166" s="251">
        <v>5.50000000006</v>
      </c>
      <c r="CV166" s="251">
        <v>5.50000000007</v>
      </c>
      <c r="CW166" s="251">
        <v>5.50000000008</v>
      </c>
      <c r="CX166" s="344">
        <f t="shared" si="449"/>
        <v>10.500000000015</v>
      </c>
      <c r="CY166" s="344">
        <f t="shared" si="417"/>
        <v>8.2500000000299991</v>
      </c>
      <c r="CZ166" s="344">
        <f t="shared" si="418"/>
        <v>10.500000000045</v>
      </c>
      <c r="DA166" s="344">
        <f t="shared" si="419"/>
        <v>5.50000000004</v>
      </c>
      <c r="DB166" s="344">
        <f t="shared" si="420"/>
        <v>12.750000000074998</v>
      </c>
      <c r="DC166" s="344">
        <f t="shared" si="421"/>
        <v>5.50000000006</v>
      </c>
      <c r="DD166" s="344">
        <f t="shared" si="422"/>
        <v>5.50000000007</v>
      </c>
      <c r="DE166" s="344">
        <f t="shared" si="423"/>
        <v>5.50000000008</v>
      </c>
      <c r="DF166" s="344" t="b">
        <f t="shared" si="462"/>
        <v>1</v>
      </c>
      <c r="DG166" s="344" t="b">
        <f t="shared" si="463"/>
        <v>1</v>
      </c>
      <c r="DH166" s="344" t="b">
        <f t="shared" si="464"/>
        <v>1</v>
      </c>
      <c r="DI166" s="344" t="b">
        <f t="shared" si="465"/>
        <v>0</v>
      </c>
      <c r="DJ166" s="344" t="b">
        <f t="shared" si="428"/>
        <v>1</v>
      </c>
      <c r="DK166" s="344" t="b">
        <f t="shared" si="429"/>
        <v>0</v>
      </c>
      <c r="DL166" s="344" t="b">
        <f t="shared" si="430"/>
        <v>0</v>
      </c>
      <c r="DM166" s="344" t="b">
        <f t="shared" si="431"/>
        <v>1</v>
      </c>
      <c r="DN166" s="344">
        <v>1.5</v>
      </c>
      <c r="DO166" s="344">
        <v>1.5</v>
      </c>
      <c r="DP166" s="344">
        <v>1</v>
      </c>
      <c r="DQ166" s="344">
        <v>1</v>
      </c>
      <c r="DR166" s="344">
        <v>1.5</v>
      </c>
      <c r="DS166" s="344">
        <v>1</v>
      </c>
      <c r="DT166" s="344">
        <v>1</v>
      </c>
      <c r="DU166" s="344">
        <v>1</v>
      </c>
      <c r="DV166" s="251">
        <v>4.00000000001</v>
      </c>
      <c r="DW166" s="251">
        <v>4.00000000002</v>
      </c>
      <c r="DX166" s="251">
        <v>8.5000000000299991</v>
      </c>
      <c r="DY166" s="251">
        <v>4.00000000004</v>
      </c>
      <c r="DZ166" s="251">
        <v>8.5000000000499991</v>
      </c>
      <c r="EA166" s="251">
        <v>7.00000000006</v>
      </c>
      <c r="EB166" s="251">
        <v>7.00000000007</v>
      </c>
      <c r="EC166" s="251">
        <v>7.9999999999999995E-11</v>
      </c>
      <c r="ED166" s="344">
        <f t="shared" si="450"/>
        <v>6.0000000000149996</v>
      </c>
      <c r="EE166" s="344">
        <f t="shared" si="451"/>
        <v>6.00000000003</v>
      </c>
      <c r="EF166" s="344">
        <f t="shared" si="452"/>
        <v>8.5000000000299991</v>
      </c>
      <c r="EG166" s="344">
        <f t="shared" si="453"/>
        <v>4.00000000004</v>
      </c>
      <c r="EH166" s="344">
        <f t="shared" si="454"/>
        <v>12.750000000074998</v>
      </c>
      <c r="EI166" s="344">
        <f t="shared" si="455"/>
        <v>7.00000000006</v>
      </c>
      <c r="EJ166" s="344">
        <f t="shared" si="456"/>
        <v>7.00000000007</v>
      </c>
      <c r="EK166" s="344">
        <f t="shared" si="457"/>
        <v>7.9999999999999995E-11</v>
      </c>
      <c r="EL166" s="344" t="b">
        <f t="shared" si="433"/>
        <v>0</v>
      </c>
      <c r="EM166" s="344" t="b">
        <f t="shared" si="434"/>
        <v>1</v>
      </c>
      <c r="EN166" s="344" t="b">
        <f t="shared" si="435"/>
        <v>1</v>
      </c>
      <c r="EO166" s="344" t="b">
        <f t="shared" si="436"/>
        <v>0</v>
      </c>
      <c r="EP166" s="344" t="b">
        <f t="shared" si="437"/>
        <v>1</v>
      </c>
      <c r="EQ166" s="344" t="b">
        <f t="shared" si="438"/>
        <v>1</v>
      </c>
      <c r="ER166" s="344" t="b">
        <f t="shared" si="439"/>
        <v>1</v>
      </c>
      <c r="ES166" s="344" t="b">
        <f t="shared" si="440"/>
        <v>0</v>
      </c>
    </row>
    <row r="167" spans="1:149" s="251" customFormat="1" x14ac:dyDescent="0.3">
      <c r="A167" s="251" t="s">
        <v>880</v>
      </c>
      <c r="B167" s="251" t="s">
        <v>2247</v>
      </c>
      <c r="C167" s="251" t="s">
        <v>2196</v>
      </c>
      <c r="D167" s="251" t="s">
        <v>883</v>
      </c>
      <c r="E167" s="251" t="s">
        <v>1977</v>
      </c>
      <c r="F167" s="344">
        <f t="shared" si="441"/>
        <v>27.500000000229999</v>
      </c>
      <c r="G167" s="344">
        <f t="shared" si="458"/>
        <v>24.5000000002</v>
      </c>
      <c r="H167" s="344">
        <f t="shared" si="459"/>
        <v>23.000000000220002</v>
      </c>
      <c r="I167" s="251" t="s">
        <v>1970</v>
      </c>
      <c r="J167" s="251" t="s">
        <v>1970</v>
      </c>
      <c r="K167" s="251" t="s">
        <v>1970</v>
      </c>
      <c r="L167" s="251" t="s">
        <v>1970</v>
      </c>
      <c r="M167" s="251" t="s">
        <v>1970</v>
      </c>
      <c r="N167" s="344" t="s">
        <v>1978</v>
      </c>
      <c r="O167" s="344" t="s">
        <v>1978</v>
      </c>
      <c r="P167" s="344" t="s">
        <v>1978</v>
      </c>
      <c r="Q167" s="344" t="s">
        <v>1978</v>
      </c>
      <c r="R167" s="344" t="s">
        <v>1978</v>
      </c>
      <c r="S167" s="344" t="s">
        <v>1978</v>
      </c>
      <c r="T167" s="251" t="s">
        <v>881</v>
      </c>
      <c r="U167" s="251" t="s">
        <v>2165</v>
      </c>
      <c r="V167" s="251" t="s">
        <v>1970</v>
      </c>
      <c r="W167" s="251" t="s">
        <v>1970</v>
      </c>
      <c r="X167" s="344">
        <f>'A123'!J175</f>
        <v>21</v>
      </c>
      <c r="Y167" s="344">
        <f>'A123'!K175</f>
        <v>24</v>
      </c>
      <c r="Z167" s="344">
        <f>'A123'!L175</f>
        <v>18.5</v>
      </c>
      <c r="AA167" s="344" t="s">
        <v>2165</v>
      </c>
      <c r="AB167" s="344" t="str">
        <f>入學要求!X176</f>
        <v>/</v>
      </c>
      <c r="AC167" s="344" t="str">
        <f>入學要求!Y176</f>
        <v>/</v>
      </c>
      <c r="AD167" s="344" t="s">
        <v>1977</v>
      </c>
      <c r="AE167" s="344" t="s">
        <v>1970</v>
      </c>
      <c r="AF167" s="344" t="s">
        <v>1970</v>
      </c>
      <c r="AG167" s="251" t="s">
        <v>1970</v>
      </c>
      <c r="AH167" s="251" t="s">
        <v>1970</v>
      </c>
      <c r="AI167" s="251" t="s">
        <v>1970</v>
      </c>
      <c r="AJ167" s="344" t="s">
        <v>1970</v>
      </c>
      <c r="AK167" s="251" t="s">
        <v>1970</v>
      </c>
      <c r="AL167" s="251" t="s">
        <v>1970</v>
      </c>
      <c r="AM167" s="251" t="s">
        <v>1970</v>
      </c>
      <c r="AN167" s="251" t="s">
        <v>1970</v>
      </c>
      <c r="AO167" s="251" t="s">
        <v>1970</v>
      </c>
      <c r="AP167" s="251" t="s">
        <v>1970</v>
      </c>
      <c r="AQ167" s="344" t="s">
        <v>1970</v>
      </c>
      <c r="AR167" s="428" t="s">
        <v>2150</v>
      </c>
      <c r="AS167" s="251" t="s">
        <v>3610</v>
      </c>
      <c r="AT167" s="251" t="s">
        <v>1970</v>
      </c>
      <c r="AU167" s="251" t="s">
        <v>3646</v>
      </c>
      <c r="AV167" s="344" t="s">
        <v>3735</v>
      </c>
      <c r="AW167" s="344" t="s">
        <v>3736</v>
      </c>
      <c r="AX167" s="344" t="s">
        <v>3764</v>
      </c>
      <c r="AY167" s="344" t="s">
        <v>3722</v>
      </c>
      <c r="AZ167" s="344" t="s">
        <v>3737</v>
      </c>
      <c r="BA167" s="381" t="s">
        <v>3725</v>
      </c>
      <c r="BB167" s="251">
        <v>1</v>
      </c>
      <c r="BC167" s="251">
        <v>1</v>
      </c>
      <c r="BD167" s="344">
        <v>1</v>
      </c>
      <c r="BE167" s="344">
        <v>1</v>
      </c>
      <c r="BF167" s="344">
        <v>1</v>
      </c>
      <c r="BG167" s="344">
        <v>1</v>
      </c>
      <c r="BH167" s="344">
        <v>1</v>
      </c>
      <c r="BI167" s="344">
        <v>1</v>
      </c>
      <c r="BJ167" s="251">
        <v>4.00000000001</v>
      </c>
      <c r="BK167" s="251">
        <v>5.50000000002</v>
      </c>
      <c r="BL167" s="251">
        <v>5.50000000003</v>
      </c>
      <c r="BM167" s="251">
        <v>4.00000000004</v>
      </c>
      <c r="BN167" s="251">
        <v>5.0000000000000002E-11</v>
      </c>
      <c r="BO167" s="251">
        <v>4.00000000006</v>
      </c>
      <c r="BP167" s="251">
        <v>4.00000000007</v>
      </c>
      <c r="BQ167" s="251">
        <v>3.00000000008</v>
      </c>
      <c r="BR167" s="344">
        <f t="shared" si="466"/>
        <v>4.00000000001</v>
      </c>
      <c r="BS167" s="344">
        <f t="shared" si="442"/>
        <v>5.50000000002</v>
      </c>
      <c r="BT167" s="344">
        <f t="shared" si="443"/>
        <v>5.50000000003</v>
      </c>
      <c r="BU167" s="344">
        <f t="shared" si="444"/>
        <v>4.00000000004</v>
      </c>
      <c r="BV167" s="344">
        <f t="shared" si="445"/>
        <v>5.0000000000000002E-11</v>
      </c>
      <c r="BW167" s="344">
        <f t="shared" si="446"/>
        <v>4.00000000006</v>
      </c>
      <c r="BX167" s="344">
        <f t="shared" si="447"/>
        <v>4.00000000007</v>
      </c>
      <c r="BY167" s="344">
        <f t="shared" si="448"/>
        <v>3.00000000008</v>
      </c>
      <c r="BZ167" s="344" t="b">
        <f t="shared" si="472"/>
        <v>0</v>
      </c>
      <c r="CA167" s="344" t="b">
        <f t="shared" si="473"/>
        <v>1</v>
      </c>
      <c r="CB167" s="344" t="b">
        <f t="shared" ref="CB167:CB178" si="474">IF($E167="4C2X",TRUE,IF($E167="Best 5",IF(BT167&gt;LARGE($BR167:$BY167,6),TRUE),IF($E167="Best 6",IF(BT167&gt;LARGE($BR167:$BY167,7),TRUE))))</f>
        <v>1</v>
      </c>
      <c r="CC167" s="344" t="b">
        <f t="shared" ref="CC167:CC178" si="475">IF($E167="4C2X",TRUE,IF($E167="Best 5",IF(BU167&gt;LARGE($BR167:$BY167,6),TRUE),IF($E167="Best 6",IF(BU167&gt;LARGE($BR167:$BY167,7),TRUE))))</f>
        <v>1</v>
      </c>
      <c r="CD167" s="344" t="b">
        <f t="shared" si="468"/>
        <v>0</v>
      </c>
      <c r="CE167" s="344" t="b">
        <f t="shared" si="469"/>
        <v>1</v>
      </c>
      <c r="CF167" s="344" t="b">
        <f t="shared" si="470"/>
        <v>1</v>
      </c>
      <c r="CG167" s="344" t="b">
        <f t="shared" si="471"/>
        <v>0</v>
      </c>
      <c r="CH167" s="344">
        <v>1</v>
      </c>
      <c r="CI167" s="344">
        <v>1</v>
      </c>
      <c r="CJ167" s="344">
        <v>1</v>
      </c>
      <c r="CK167" s="344">
        <v>1</v>
      </c>
      <c r="CL167" s="344">
        <v>1</v>
      </c>
      <c r="CM167" s="344">
        <v>1</v>
      </c>
      <c r="CN167" s="344">
        <v>1</v>
      </c>
      <c r="CO167" s="344">
        <v>1</v>
      </c>
      <c r="CP167" s="251">
        <v>4.00000000001</v>
      </c>
      <c r="CQ167" s="251">
        <v>4.00000000002</v>
      </c>
      <c r="CR167" s="251">
        <v>3.00000000003</v>
      </c>
      <c r="CS167" s="251">
        <v>5.50000000004</v>
      </c>
      <c r="CT167" s="251">
        <v>5.0000000000000002E-11</v>
      </c>
      <c r="CU167" s="251">
        <v>7.00000000006</v>
      </c>
      <c r="CV167" s="251">
        <v>4.00000000007</v>
      </c>
      <c r="CW167" s="251">
        <v>7.9999999999999995E-11</v>
      </c>
      <c r="CX167" s="344">
        <f t="shared" si="449"/>
        <v>4.00000000001</v>
      </c>
      <c r="CY167" s="344">
        <f t="shared" si="417"/>
        <v>4.00000000002</v>
      </c>
      <c r="CZ167" s="344">
        <f t="shared" si="418"/>
        <v>3.00000000003</v>
      </c>
      <c r="DA167" s="344">
        <f t="shared" si="419"/>
        <v>5.50000000004</v>
      </c>
      <c r="DB167" s="344">
        <f t="shared" si="420"/>
        <v>5.0000000000000002E-11</v>
      </c>
      <c r="DC167" s="344">
        <f t="shared" si="421"/>
        <v>7.00000000006</v>
      </c>
      <c r="DD167" s="344">
        <f t="shared" si="422"/>
        <v>4.00000000007</v>
      </c>
      <c r="DE167" s="344">
        <f t="shared" si="423"/>
        <v>7.9999999999999995E-11</v>
      </c>
      <c r="DF167" s="344" t="b">
        <f t="shared" si="462"/>
        <v>1</v>
      </c>
      <c r="DG167" s="344" t="b">
        <f t="shared" si="463"/>
        <v>1</v>
      </c>
      <c r="DH167" s="344" t="b">
        <f t="shared" si="464"/>
        <v>0</v>
      </c>
      <c r="DI167" s="344" t="b">
        <f t="shared" si="465"/>
        <v>1</v>
      </c>
      <c r="DJ167" s="344" t="b">
        <f t="shared" si="428"/>
        <v>0</v>
      </c>
      <c r="DK167" s="344" t="b">
        <f t="shared" si="429"/>
        <v>1</v>
      </c>
      <c r="DL167" s="344" t="b">
        <f t="shared" si="430"/>
        <v>1</v>
      </c>
      <c r="DM167" s="344" t="b">
        <f t="shared" si="431"/>
        <v>0</v>
      </c>
      <c r="DN167" s="344">
        <v>1</v>
      </c>
      <c r="DO167" s="344">
        <v>1</v>
      </c>
      <c r="DP167" s="344">
        <v>1</v>
      </c>
      <c r="DQ167" s="344">
        <v>1</v>
      </c>
      <c r="DR167" s="344">
        <v>1</v>
      </c>
      <c r="DS167" s="344">
        <v>1</v>
      </c>
      <c r="DT167" s="344">
        <v>1</v>
      </c>
      <c r="DU167" s="344">
        <v>1</v>
      </c>
      <c r="DV167" s="251">
        <v>4.00000000001</v>
      </c>
      <c r="DW167" s="251">
        <v>4.00000000002</v>
      </c>
      <c r="DX167" s="251">
        <v>7.00000000003</v>
      </c>
      <c r="DY167" s="251">
        <v>3.00000000004</v>
      </c>
      <c r="DZ167" s="251">
        <v>5.50000000005</v>
      </c>
      <c r="EA167" s="251">
        <v>5.50000000006</v>
      </c>
      <c r="EB167" s="251">
        <v>5.50000000007</v>
      </c>
      <c r="EC167" s="251">
        <v>3.00000000008</v>
      </c>
      <c r="ED167" s="344">
        <f t="shared" si="450"/>
        <v>4.00000000001</v>
      </c>
      <c r="EE167" s="344">
        <f t="shared" si="451"/>
        <v>4.00000000002</v>
      </c>
      <c r="EF167" s="344">
        <f t="shared" si="452"/>
        <v>7.00000000003</v>
      </c>
      <c r="EG167" s="344">
        <f t="shared" si="453"/>
        <v>3.00000000004</v>
      </c>
      <c r="EH167" s="344">
        <f t="shared" si="454"/>
        <v>5.50000000005</v>
      </c>
      <c r="EI167" s="344">
        <f t="shared" si="455"/>
        <v>5.50000000006</v>
      </c>
      <c r="EJ167" s="344">
        <f t="shared" si="456"/>
        <v>5.50000000007</v>
      </c>
      <c r="EK167" s="344">
        <f t="shared" si="457"/>
        <v>3.00000000008</v>
      </c>
      <c r="EL167" s="344" t="b">
        <f t="shared" si="433"/>
        <v>0</v>
      </c>
      <c r="EM167" s="344" t="b">
        <f t="shared" si="434"/>
        <v>1</v>
      </c>
      <c r="EN167" s="344" t="b">
        <f t="shared" si="435"/>
        <v>1</v>
      </c>
      <c r="EO167" s="344" t="b">
        <f t="shared" si="436"/>
        <v>0</v>
      </c>
      <c r="EP167" s="344" t="b">
        <f t="shared" si="437"/>
        <v>1</v>
      </c>
      <c r="EQ167" s="344" t="b">
        <f t="shared" si="438"/>
        <v>1</v>
      </c>
      <c r="ER167" s="344" t="b">
        <f t="shared" si="439"/>
        <v>1</v>
      </c>
      <c r="ES167" s="344" t="b">
        <f t="shared" si="440"/>
        <v>0</v>
      </c>
    </row>
    <row r="168" spans="1:149" s="251" customFormat="1" x14ac:dyDescent="0.3">
      <c r="A168" s="251" t="s">
        <v>888</v>
      </c>
      <c r="B168" s="251" t="s">
        <v>2247</v>
      </c>
      <c r="C168" s="344" t="s">
        <v>3133</v>
      </c>
      <c r="D168" s="251" t="s">
        <v>891</v>
      </c>
      <c r="E168" s="251" t="s">
        <v>2187</v>
      </c>
      <c r="F168" s="344" t="s">
        <v>1970</v>
      </c>
      <c r="G168" s="344" t="s">
        <v>1978</v>
      </c>
      <c r="H168" s="344" t="s">
        <v>1978</v>
      </c>
      <c r="I168" s="251" t="s">
        <v>1970</v>
      </c>
      <c r="J168" s="251" t="s">
        <v>1970</v>
      </c>
      <c r="K168" s="251" t="s">
        <v>1970</v>
      </c>
      <c r="L168" s="251" t="s">
        <v>1970</v>
      </c>
      <c r="M168" s="251" t="s">
        <v>1970</v>
      </c>
      <c r="N168" s="344" t="s">
        <v>1978</v>
      </c>
      <c r="O168" s="344" t="s">
        <v>1978</v>
      </c>
      <c r="P168" s="344" t="s">
        <v>1978</v>
      </c>
      <c r="Q168" s="344" t="s">
        <v>1978</v>
      </c>
      <c r="R168" s="344" t="s">
        <v>1978</v>
      </c>
      <c r="S168" s="344" t="s">
        <v>1978</v>
      </c>
      <c r="T168" s="251" t="s">
        <v>889</v>
      </c>
      <c r="U168" s="251" t="s">
        <v>2165</v>
      </c>
      <c r="V168" s="251" t="s">
        <v>1970</v>
      </c>
      <c r="W168" s="251" t="s">
        <v>1970</v>
      </c>
      <c r="X168" s="344">
        <f>'A123'!J176</f>
        <v>20</v>
      </c>
      <c r="Y168" s="344" t="str">
        <f>'A123'!K176</f>
        <v>/</v>
      </c>
      <c r="Z168" s="344" t="str">
        <f>'A123'!L176</f>
        <v>新科目</v>
      </c>
      <c r="AA168" s="344" t="s">
        <v>2165</v>
      </c>
      <c r="AB168" s="344" t="str">
        <f>入學要求!X177</f>
        <v>以下一科選修取得Lv.3︰M1/2、生物、化學、組合科學、物理</v>
      </c>
      <c r="AC168" s="344" t="str">
        <f>入學要求!Y177</f>
        <v>/</v>
      </c>
      <c r="AD168" s="373" t="s">
        <v>2171</v>
      </c>
      <c r="AE168" s="344" t="s">
        <v>3076</v>
      </c>
      <c r="AF168" s="344" t="s">
        <v>3121</v>
      </c>
      <c r="AG168" s="251" t="s">
        <v>3117</v>
      </c>
      <c r="AH168" s="344" t="s">
        <v>3116</v>
      </c>
      <c r="AI168" s="344" t="s">
        <v>3087</v>
      </c>
      <c r="AJ168" s="344" t="s">
        <v>1970</v>
      </c>
      <c r="AK168" s="251" t="s">
        <v>1970</v>
      </c>
      <c r="AL168" s="251" t="s">
        <v>1970</v>
      </c>
      <c r="AM168" s="251" t="s">
        <v>1970</v>
      </c>
      <c r="AN168" s="251" t="s">
        <v>1970</v>
      </c>
      <c r="AO168" s="251" t="s">
        <v>1970</v>
      </c>
      <c r="AP168" s="251" t="s">
        <v>1970</v>
      </c>
      <c r="AQ168" s="344" t="s">
        <v>1970</v>
      </c>
      <c r="AR168" s="428" t="s">
        <v>2150</v>
      </c>
      <c r="AS168" s="251" t="s">
        <v>3610</v>
      </c>
      <c r="AT168" s="251" t="s">
        <v>1970</v>
      </c>
      <c r="AU168" s="251" t="s">
        <v>3646</v>
      </c>
      <c r="AV168" s="344" t="s">
        <v>3735</v>
      </c>
      <c r="AW168" s="344" t="s">
        <v>3736</v>
      </c>
      <c r="AX168" s="344" t="s">
        <v>3765</v>
      </c>
      <c r="AY168" s="344" t="s">
        <v>3722</v>
      </c>
      <c r="AZ168" s="344" t="s">
        <v>3737</v>
      </c>
      <c r="BA168" s="381" t="s">
        <v>3725</v>
      </c>
      <c r="BB168" s="344" t="s">
        <v>1970</v>
      </c>
      <c r="BC168" s="344" t="s">
        <v>1970</v>
      </c>
      <c r="BD168" s="344" t="s">
        <v>1970</v>
      </c>
      <c r="BE168" s="344" t="s">
        <v>1970</v>
      </c>
      <c r="BF168" s="344" t="s">
        <v>1970</v>
      </c>
      <c r="BG168" s="344" t="s">
        <v>1970</v>
      </c>
      <c r="BH168" s="344" t="s">
        <v>1970</v>
      </c>
      <c r="BI168" s="344" t="s">
        <v>1970</v>
      </c>
      <c r="BJ168" s="344" t="s">
        <v>1970</v>
      </c>
      <c r="BK168" s="344" t="s">
        <v>1970</v>
      </c>
      <c r="BL168" s="344" t="s">
        <v>1970</v>
      </c>
      <c r="BM168" s="344" t="s">
        <v>1970</v>
      </c>
      <c r="BN168" s="344" t="s">
        <v>1970</v>
      </c>
      <c r="BO168" s="344" t="s">
        <v>1970</v>
      </c>
      <c r="BP168" s="344" t="s">
        <v>1970</v>
      </c>
      <c r="BQ168" s="344" t="s">
        <v>1970</v>
      </c>
      <c r="BR168" s="344" t="s">
        <v>1970</v>
      </c>
      <c r="BS168" s="344" t="s">
        <v>1970</v>
      </c>
      <c r="BT168" s="344" t="s">
        <v>1970</v>
      </c>
      <c r="BU168" s="344" t="s">
        <v>1970</v>
      </c>
      <c r="BV168" s="344" t="s">
        <v>1970</v>
      </c>
      <c r="BW168" s="344" t="s">
        <v>1970</v>
      </c>
      <c r="BX168" s="344" t="s">
        <v>1970</v>
      </c>
      <c r="BY168" s="344" t="s">
        <v>1970</v>
      </c>
      <c r="BZ168" s="344" t="b">
        <f t="shared" si="472"/>
        <v>0</v>
      </c>
      <c r="CA168" s="344" t="b">
        <f t="shared" si="473"/>
        <v>0</v>
      </c>
      <c r="CB168" s="344" t="b">
        <f t="shared" si="474"/>
        <v>0</v>
      </c>
      <c r="CC168" s="344" t="b">
        <f t="shared" si="475"/>
        <v>0</v>
      </c>
      <c r="CD168" s="344" t="b">
        <f t="shared" si="468"/>
        <v>0</v>
      </c>
      <c r="CE168" s="344" t="b">
        <f t="shared" si="469"/>
        <v>0</v>
      </c>
      <c r="CF168" s="344" t="b">
        <f t="shared" si="470"/>
        <v>0</v>
      </c>
      <c r="CG168" s="344" t="b">
        <f t="shared" si="471"/>
        <v>0</v>
      </c>
      <c r="CH168" s="344" t="s">
        <v>1970</v>
      </c>
      <c r="CI168" s="344" t="s">
        <v>1970</v>
      </c>
      <c r="CJ168" s="344" t="s">
        <v>1970</v>
      </c>
      <c r="CK168" s="344" t="s">
        <v>1970</v>
      </c>
      <c r="CL168" s="344" t="s">
        <v>1970</v>
      </c>
      <c r="CM168" s="344" t="s">
        <v>1970</v>
      </c>
      <c r="CN168" s="344" t="s">
        <v>1970</v>
      </c>
      <c r="CO168" s="344" t="s">
        <v>1970</v>
      </c>
      <c r="CP168" s="251" t="e">
        <v>#VALUE!</v>
      </c>
      <c r="CQ168" s="251" t="e">
        <v>#VALUE!</v>
      </c>
      <c r="CR168" s="251" t="e">
        <v>#VALUE!</v>
      </c>
      <c r="CS168" s="251" t="e">
        <v>#VALUE!</v>
      </c>
      <c r="CT168" s="251" t="e">
        <v>#VALUE!</v>
      </c>
      <c r="CU168" s="251" t="e">
        <v>#VALUE!</v>
      </c>
      <c r="CV168" s="251" t="e">
        <v>#VALUE!</v>
      </c>
      <c r="CW168" s="251" t="e">
        <v>#VALUE!</v>
      </c>
      <c r="CX168" s="344" t="e">
        <f t="shared" si="449"/>
        <v>#VALUE!</v>
      </c>
      <c r="CY168" s="344" t="e">
        <f t="shared" si="417"/>
        <v>#VALUE!</v>
      </c>
      <c r="CZ168" s="344" t="e">
        <f t="shared" si="418"/>
        <v>#VALUE!</v>
      </c>
      <c r="DA168" s="344" t="e">
        <f t="shared" si="419"/>
        <v>#VALUE!</v>
      </c>
      <c r="DB168" s="344" t="e">
        <f t="shared" si="420"/>
        <v>#VALUE!</v>
      </c>
      <c r="DC168" s="344" t="e">
        <f t="shared" si="421"/>
        <v>#VALUE!</v>
      </c>
      <c r="DD168" s="344" t="e">
        <f t="shared" si="422"/>
        <v>#VALUE!</v>
      </c>
      <c r="DE168" s="344" t="e">
        <f t="shared" si="423"/>
        <v>#VALUE!</v>
      </c>
      <c r="DF168" s="344" t="b">
        <f t="shared" si="462"/>
        <v>0</v>
      </c>
      <c r="DG168" s="344" t="b">
        <f t="shared" si="463"/>
        <v>0</v>
      </c>
      <c r="DH168" s="344" t="b">
        <f t="shared" si="464"/>
        <v>0</v>
      </c>
      <c r="DI168" s="344" t="b">
        <f t="shared" si="465"/>
        <v>0</v>
      </c>
      <c r="DJ168" s="344" t="b">
        <f t="shared" si="428"/>
        <v>0</v>
      </c>
      <c r="DK168" s="344" t="b">
        <f t="shared" si="429"/>
        <v>0</v>
      </c>
      <c r="DL168" s="344" t="b">
        <f t="shared" si="430"/>
        <v>0</v>
      </c>
      <c r="DM168" s="344" t="b">
        <f t="shared" si="431"/>
        <v>0</v>
      </c>
      <c r="DN168" s="344" t="s">
        <v>1970</v>
      </c>
      <c r="DO168" s="344" t="s">
        <v>1970</v>
      </c>
      <c r="DP168" s="344" t="s">
        <v>1970</v>
      </c>
      <c r="DQ168" s="344" t="s">
        <v>1970</v>
      </c>
      <c r="DR168" s="344" t="s">
        <v>1970</v>
      </c>
      <c r="DS168" s="344" t="s">
        <v>1970</v>
      </c>
      <c r="DT168" s="344" t="s">
        <v>1970</v>
      </c>
      <c r="DU168" s="344" t="s">
        <v>1970</v>
      </c>
      <c r="DV168" s="251" t="e">
        <v>#VALUE!</v>
      </c>
      <c r="DW168" s="251" t="e">
        <v>#VALUE!</v>
      </c>
      <c r="DX168" s="251" t="e">
        <v>#VALUE!</v>
      </c>
      <c r="DY168" s="251" t="e">
        <v>#VALUE!</v>
      </c>
      <c r="DZ168" s="251" t="e">
        <v>#VALUE!</v>
      </c>
      <c r="EA168" s="251" t="e">
        <v>#VALUE!</v>
      </c>
      <c r="EB168" s="251" t="e">
        <v>#VALUE!</v>
      </c>
      <c r="EC168" s="251" t="e">
        <v>#VALUE!</v>
      </c>
      <c r="ED168" s="344" t="e">
        <f t="shared" si="450"/>
        <v>#VALUE!</v>
      </c>
      <c r="EE168" s="344" t="e">
        <f t="shared" si="451"/>
        <v>#VALUE!</v>
      </c>
      <c r="EF168" s="344" t="e">
        <f t="shared" si="452"/>
        <v>#VALUE!</v>
      </c>
      <c r="EG168" s="344" t="e">
        <f t="shared" si="453"/>
        <v>#VALUE!</v>
      </c>
      <c r="EH168" s="344" t="e">
        <f t="shared" si="454"/>
        <v>#VALUE!</v>
      </c>
      <c r="EI168" s="344" t="e">
        <f t="shared" si="455"/>
        <v>#VALUE!</v>
      </c>
      <c r="EJ168" s="344" t="e">
        <f t="shared" si="456"/>
        <v>#VALUE!</v>
      </c>
      <c r="EK168" s="344" t="e">
        <f t="shared" si="457"/>
        <v>#VALUE!</v>
      </c>
      <c r="EL168" s="344" t="b">
        <f t="shared" si="433"/>
        <v>0</v>
      </c>
      <c r="EM168" s="344" t="b">
        <f t="shared" si="434"/>
        <v>0</v>
      </c>
      <c r="EN168" s="344" t="b">
        <f t="shared" si="435"/>
        <v>0</v>
      </c>
      <c r="EO168" s="344" t="b">
        <f t="shared" si="436"/>
        <v>0</v>
      </c>
      <c r="EP168" s="344" t="b">
        <f t="shared" si="437"/>
        <v>0</v>
      </c>
      <c r="EQ168" s="344" t="b">
        <f t="shared" si="438"/>
        <v>0</v>
      </c>
      <c r="ER168" s="344" t="b">
        <f t="shared" si="439"/>
        <v>0</v>
      </c>
      <c r="ES168" s="344" t="b">
        <f t="shared" si="440"/>
        <v>0</v>
      </c>
    </row>
    <row r="169" spans="1:149" s="251" customFormat="1" x14ac:dyDescent="0.3">
      <c r="A169" s="251" t="s">
        <v>892</v>
      </c>
      <c r="B169" s="251" t="s">
        <v>2247</v>
      </c>
      <c r="C169" s="251" t="s">
        <v>2201</v>
      </c>
      <c r="D169" s="251" t="s">
        <v>895</v>
      </c>
      <c r="E169" s="251" t="s">
        <v>2187</v>
      </c>
      <c r="F169" s="344" t="s">
        <v>1970</v>
      </c>
      <c r="G169" s="344" t="s">
        <v>1978</v>
      </c>
      <c r="H169" s="344" t="s">
        <v>1978</v>
      </c>
      <c r="I169" s="251" t="s">
        <v>1970</v>
      </c>
      <c r="J169" s="251" t="s">
        <v>1970</v>
      </c>
      <c r="K169" s="251" t="s">
        <v>1970</v>
      </c>
      <c r="L169" s="251" t="s">
        <v>1970</v>
      </c>
      <c r="M169" s="251" t="s">
        <v>1970</v>
      </c>
      <c r="N169" s="344" t="s">
        <v>1978</v>
      </c>
      <c r="O169" s="344" t="s">
        <v>1978</v>
      </c>
      <c r="P169" s="344" t="s">
        <v>1978</v>
      </c>
      <c r="Q169" s="344" t="s">
        <v>1978</v>
      </c>
      <c r="R169" s="344" t="s">
        <v>1978</v>
      </c>
      <c r="S169" s="344" t="s">
        <v>1978</v>
      </c>
      <c r="T169" s="251" t="s">
        <v>893</v>
      </c>
      <c r="U169" s="251" t="s">
        <v>2165</v>
      </c>
      <c r="V169" s="251" t="s">
        <v>1970</v>
      </c>
      <c r="W169" s="251" t="s">
        <v>1970</v>
      </c>
      <c r="X169" s="344">
        <f>'A123'!J177</f>
        <v>53</v>
      </c>
      <c r="Y169" s="344" t="str">
        <f>'A123'!K177</f>
        <v>/</v>
      </c>
      <c r="Z169" s="344" t="str">
        <f>'A123'!L177</f>
        <v>新科目</v>
      </c>
      <c r="AA169" s="344" t="s">
        <v>2165</v>
      </c>
      <c r="AB169" s="344" t="str">
        <f>入學要求!X178</f>
        <v>以下一科選修取得Lv.3︰M1/2、生物、化學、組合科學、DAT、ICT、物理</v>
      </c>
      <c r="AC169" s="344" t="str">
        <f>入學要求!Y178</f>
        <v>/</v>
      </c>
      <c r="AD169" s="373" t="s">
        <v>2171</v>
      </c>
      <c r="AE169" s="344" t="s">
        <v>1970</v>
      </c>
      <c r="AF169" s="344" t="s">
        <v>1970</v>
      </c>
      <c r="AG169" s="344" t="s">
        <v>3082</v>
      </c>
      <c r="AH169" s="344" t="s">
        <v>3118</v>
      </c>
      <c r="AI169" s="344" t="s">
        <v>3119</v>
      </c>
      <c r="AJ169" s="344" t="s">
        <v>1970</v>
      </c>
      <c r="AK169" s="251" t="s">
        <v>1970</v>
      </c>
      <c r="AL169" s="251" t="s">
        <v>1970</v>
      </c>
      <c r="AM169" s="251" t="s">
        <v>1970</v>
      </c>
      <c r="AN169" s="251" t="s">
        <v>1970</v>
      </c>
      <c r="AO169" s="251" t="s">
        <v>1970</v>
      </c>
      <c r="AP169" s="251" t="s">
        <v>1970</v>
      </c>
      <c r="AQ169" s="344" t="s">
        <v>1970</v>
      </c>
      <c r="AR169" s="428" t="s">
        <v>2150</v>
      </c>
      <c r="AS169" s="251" t="s">
        <v>3603</v>
      </c>
      <c r="AT169" s="251" t="s">
        <v>3654</v>
      </c>
      <c r="AU169" s="251" t="s">
        <v>1970</v>
      </c>
      <c r="AV169" s="344" t="s">
        <v>3735</v>
      </c>
      <c r="AW169" s="344" t="s">
        <v>3736</v>
      </c>
      <c r="AX169" s="344" t="s">
        <v>3766</v>
      </c>
      <c r="AY169" s="344" t="s">
        <v>3722</v>
      </c>
      <c r="AZ169" s="344" t="s">
        <v>3737</v>
      </c>
      <c r="BA169" s="381" t="s">
        <v>3725</v>
      </c>
      <c r="BB169" s="344" t="s">
        <v>1970</v>
      </c>
      <c r="BC169" s="344" t="s">
        <v>1970</v>
      </c>
      <c r="BD169" s="344" t="s">
        <v>1970</v>
      </c>
      <c r="BE169" s="344" t="s">
        <v>1970</v>
      </c>
      <c r="BF169" s="344" t="s">
        <v>1970</v>
      </c>
      <c r="BG169" s="344" t="s">
        <v>1970</v>
      </c>
      <c r="BH169" s="344" t="s">
        <v>1970</v>
      </c>
      <c r="BI169" s="344" t="s">
        <v>1970</v>
      </c>
      <c r="BJ169" s="344" t="s">
        <v>1970</v>
      </c>
      <c r="BK169" s="344" t="s">
        <v>1970</v>
      </c>
      <c r="BL169" s="344" t="s">
        <v>1970</v>
      </c>
      <c r="BM169" s="344" t="s">
        <v>1970</v>
      </c>
      <c r="BN169" s="344" t="s">
        <v>1970</v>
      </c>
      <c r="BO169" s="344" t="s">
        <v>1970</v>
      </c>
      <c r="BP169" s="344" t="s">
        <v>1970</v>
      </c>
      <c r="BQ169" s="344" t="s">
        <v>1970</v>
      </c>
      <c r="BR169" s="344" t="s">
        <v>1970</v>
      </c>
      <c r="BS169" s="344" t="s">
        <v>1970</v>
      </c>
      <c r="BT169" s="344" t="s">
        <v>1970</v>
      </c>
      <c r="BU169" s="344" t="s">
        <v>1970</v>
      </c>
      <c r="BV169" s="344" t="s">
        <v>1970</v>
      </c>
      <c r="BW169" s="344" t="s">
        <v>1970</v>
      </c>
      <c r="BX169" s="344" t="s">
        <v>1970</v>
      </c>
      <c r="BY169" s="344" t="s">
        <v>1970</v>
      </c>
      <c r="BZ169" s="344" t="b">
        <f t="shared" si="472"/>
        <v>0</v>
      </c>
      <c r="CA169" s="344" t="b">
        <f t="shared" si="473"/>
        <v>0</v>
      </c>
      <c r="CB169" s="344" t="b">
        <f t="shared" si="474"/>
        <v>0</v>
      </c>
      <c r="CC169" s="344" t="b">
        <f t="shared" si="475"/>
        <v>0</v>
      </c>
      <c r="CD169" s="344" t="b">
        <f t="shared" si="468"/>
        <v>0</v>
      </c>
      <c r="CE169" s="344" t="b">
        <f t="shared" si="469"/>
        <v>0</v>
      </c>
      <c r="CF169" s="344" t="b">
        <f t="shared" si="470"/>
        <v>0</v>
      </c>
      <c r="CG169" s="344" t="b">
        <f t="shared" si="471"/>
        <v>0</v>
      </c>
      <c r="CH169" s="344" t="s">
        <v>1970</v>
      </c>
      <c r="CI169" s="344" t="s">
        <v>1970</v>
      </c>
      <c r="CJ169" s="344" t="s">
        <v>1970</v>
      </c>
      <c r="CK169" s="344" t="s">
        <v>1970</v>
      </c>
      <c r="CL169" s="344" t="s">
        <v>1970</v>
      </c>
      <c r="CM169" s="344" t="s">
        <v>1970</v>
      </c>
      <c r="CN169" s="344" t="s">
        <v>1970</v>
      </c>
      <c r="CO169" s="344" t="s">
        <v>1970</v>
      </c>
      <c r="CP169" s="251" t="e">
        <v>#VALUE!</v>
      </c>
      <c r="CQ169" s="251" t="e">
        <v>#VALUE!</v>
      </c>
      <c r="CR169" s="251" t="e">
        <v>#VALUE!</v>
      </c>
      <c r="CS169" s="251" t="e">
        <v>#VALUE!</v>
      </c>
      <c r="CT169" s="251" t="e">
        <v>#VALUE!</v>
      </c>
      <c r="CU169" s="251" t="e">
        <v>#VALUE!</v>
      </c>
      <c r="CV169" s="251" t="e">
        <v>#VALUE!</v>
      </c>
      <c r="CW169" s="251" t="e">
        <v>#VALUE!</v>
      </c>
      <c r="CX169" s="344" t="e">
        <f t="shared" si="449"/>
        <v>#VALUE!</v>
      </c>
      <c r="CY169" s="344" t="e">
        <f t="shared" si="417"/>
        <v>#VALUE!</v>
      </c>
      <c r="CZ169" s="344" t="e">
        <f t="shared" si="418"/>
        <v>#VALUE!</v>
      </c>
      <c r="DA169" s="344" t="e">
        <f t="shared" si="419"/>
        <v>#VALUE!</v>
      </c>
      <c r="DB169" s="344" t="e">
        <f t="shared" si="420"/>
        <v>#VALUE!</v>
      </c>
      <c r="DC169" s="344" t="e">
        <f t="shared" si="421"/>
        <v>#VALUE!</v>
      </c>
      <c r="DD169" s="344" t="e">
        <f t="shared" si="422"/>
        <v>#VALUE!</v>
      </c>
      <c r="DE169" s="344" t="e">
        <f t="shared" si="423"/>
        <v>#VALUE!</v>
      </c>
      <c r="DF169" s="344" t="b">
        <f t="shared" si="462"/>
        <v>0</v>
      </c>
      <c r="DG169" s="344" t="b">
        <f t="shared" si="463"/>
        <v>0</v>
      </c>
      <c r="DH169" s="344" t="b">
        <f t="shared" si="464"/>
        <v>0</v>
      </c>
      <c r="DI169" s="344" t="b">
        <f t="shared" si="465"/>
        <v>0</v>
      </c>
      <c r="DJ169" s="344" t="b">
        <f t="shared" si="428"/>
        <v>0</v>
      </c>
      <c r="DK169" s="344" t="b">
        <f t="shared" si="429"/>
        <v>0</v>
      </c>
      <c r="DL169" s="344" t="b">
        <f t="shared" si="430"/>
        <v>0</v>
      </c>
      <c r="DM169" s="344" t="b">
        <f t="shared" si="431"/>
        <v>0</v>
      </c>
      <c r="DN169" s="344" t="s">
        <v>1970</v>
      </c>
      <c r="DO169" s="344" t="s">
        <v>1970</v>
      </c>
      <c r="DP169" s="344" t="s">
        <v>1970</v>
      </c>
      <c r="DQ169" s="344" t="s">
        <v>1970</v>
      </c>
      <c r="DR169" s="344" t="s">
        <v>1970</v>
      </c>
      <c r="DS169" s="344" t="s">
        <v>1970</v>
      </c>
      <c r="DT169" s="344" t="s">
        <v>1970</v>
      </c>
      <c r="DU169" s="344" t="s">
        <v>1970</v>
      </c>
      <c r="DV169" s="251" t="e">
        <v>#VALUE!</v>
      </c>
      <c r="DW169" s="251" t="e">
        <v>#VALUE!</v>
      </c>
      <c r="DX169" s="251" t="e">
        <v>#VALUE!</v>
      </c>
      <c r="DY169" s="251" t="e">
        <v>#VALUE!</v>
      </c>
      <c r="DZ169" s="251" t="e">
        <v>#VALUE!</v>
      </c>
      <c r="EA169" s="251" t="e">
        <v>#VALUE!</v>
      </c>
      <c r="EB169" s="251" t="e">
        <v>#VALUE!</v>
      </c>
      <c r="EC169" s="251" t="e">
        <v>#VALUE!</v>
      </c>
      <c r="ED169" s="344" t="e">
        <f t="shared" si="450"/>
        <v>#VALUE!</v>
      </c>
      <c r="EE169" s="344" t="e">
        <f t="shared" si="451"/>
        <v>#VALUE!</v>
      </c>
      <c r="EF169" s="344" t="e">
        <f t="shared" si="452"/>
        <v>#VALUE!</v>
      </c>
      <c r="EG169" s="344" t="e">
        <f t="shared" si="453"/>
        <v>#VALUE!</v>
      </c>
      <c r="EH169" s="344" t="e">
        <f t="shared" si="454"/>
        <v>#VALUE!</v>
      </c>
      <c r="EI169" s="344" t="e">
        <f t="shared" si="455"/>
        <v>#VALUE!</v>
      </c>
      <c r="EJ169" s="344" t="e">
        <f t="shared" si="456"/>
        <v>#VALUE!</v>
      </c>
      <c r="EK169" s="344" t="e">
        <f t="shared" si="457"/>
        <v>#VALUE!</v>
      </c>
      <c r="EL169" s="344" t="b">
        <f t="shared" si="433"/>
        <v>0</v>
      </c>
      <c r="EM169" s="344" t="b">
        <f t="shared" si="434"/>
        <v>0</v>
      </c>
      <c r="EN169" s="344" t="b">
        <f t="shared" si="435"/>
        <v>0</v>
      </c>
      <c r="EO169" s="344" t="b">
        <f t="shared" si="436"/>
        <v>0</v>
      </c>
      <c r="EP169" s="344" t="b">
        <f t="shared" si="437"/>
        <v>0</v>
      </c>
      <c r="EQ169" s="344" t="b">
        <f t="shared" si="438"/>
        <v>0</v>
      </c>
      <c r="ER169" s="344" t="b">
        <f t="shared" si="439"/>
        <v>0</v>
      </c>
      <c r="ES169" s="344" t="b">
        <f t="shared" si="440"/>
        <v>0</v>
      </c>
    </row>
    <row r="170" spans="1:149" s="251" customFormat="1" x14ac:dyDescent="0.3">
      <c r="A170" s="251" t="s">
        <v>896</v>
      </c>
      <c r="B170" s="251" t="s">
        <v>2247</v>
      </c>
      <c r="C170" s="251" t="s">
        <v>2201</v>
      </c>
      <c r="D170" s="251" t="s">
        <v>899</v>
      </c>
      <c r="E170" s="251" t="s">
        <v>2187</v>
      </c>
      <c r="F170" s="344" t="s">
        <v>1970</v>
      </c>
      <c r="G170" s="344" t="s">
        <v>1978</v>
      </c>
      <c r="H170" s="344" t="s">
        <v>1978</v>
      </c>
      <c r="I170" s="251" t="s">
        <v>1970</v>
      </c>
      <c r="J170" s="251" t="s">
        <v>1970</v>
      </c>
      <c r="K170" s="251" t="s">
        <v>1970</v>
      </c>
      <c r="L170" s="251" t="s">
        <v>1970</v>
      </c>
      <c r="M170" s="251" t="s">
        <v>1970</v>
      </c>
      <c r="N170" s="344" t="s">
        <v>1978</v>
      </c>
      <c r="O170" s="344" t="s">
        <v>1978</v>
      </c>
      <c r="P170" s="344" t="s">
        <v>1978</v>
      </c>
      <c r="Q170" s="344" t="s">
        <v>1978</v>
      </c>
      <c r="R170" s="344" t="s">
        <v>1978</v>
      </c>
      <c r="S170" s="344" t="s">
        <v>1978</v>
      </c>
      <c r="T170" s="251" t="s">
        <v>897</v>
      </c>
      <c r="U170" s="251" t="s">
        <v>2165</v>
      </c>
      <c r="V170" s="251" t="s">
        <v>1970</v>
      </c>
      <c r="W170" s="251" t="s">
        <v>1970</v>
      </c>
      <c r="X170" s="344">
        <f>'A123'!J178</f>
        <v>107</v>
      </c>
      <c r="Y170" s="344" t="str">
        <f>'A123'!K178</f>
        <v>/</v>
      </c>
      <c r="Z170" s="344" t="str">
        <f>'A123'!L178</f>
        <v>新科目</v>
      </c>
      <c r="AA170" s="344" t="s">
        <v>2165</v>
      </c>
      <c r="AB170" s="344" t="str">
        <f>入學要求!X179</f>
        <v>以下一科選修取得Lv.3︰M1/2、生物、化學、組合科學、物理</v>
      </c>
      <c r="AC170" s="344" t="str">
        <f>入學要求!Y179</f>
        <v>/</v>
      </c>
      <c r="AD170" s="373" t="s">
        <v>2171</v>
      </c>
      <c r="AE170" s="344" t="s">
        <v>3076</v>
      </c>
      <c r="AF170" s="344" t="s">
        <v>3121</v>
      </c>
      <c r="AG170" s="344" t="s">
        <v>3117</v>
      </c>
      <c r="AH170" s="344" t="s">
        <v>3116</v>
      </c>
      <c r="AI170" s="344" t="s">
        <v>3087</v>
      </c>
      <c r="AJ170" s="344" t="s">
        <v>1970</v>
      </c>
      <c r="AK170" s="251" t="s">
        <v>1970</v>
      </c>
      <c r="AL170" s="251" t="s">
        <v>1970</v>
      </c>
      <c r="AM170" s="251" t="s">
        <v>1970</v>
      </c>
      <c r="AN170" s="251" t="s">
        <v>1970</v>
      </c>
      <c r="AO170" s="251" t="s">
        <v>1970</v>
      </c>
      <c r="AP170" s="251" t="s">
        <v>1970</v>
      </c>
      <c r="AQ170" s="344" t="s">
        <v>1970</v>
      </c>
      <c r="AR170" s="428" t="s">
        <v>2150</v>
      </c>
      <c r="AS170" s="251" t="s">
        <v>3603</v>
      </c>
      <c r="AT170" s="251" t="s">
        <v>3655</v>
      </c>
      <c r="AU170" s="251" t="s">
        <v>1970</v>
      </c>
      <c r="AV170" s="344" t="s">
        <v>3735</v>
      </c>
      <c r="AW170" s="344" t="s">
        <v>3736</v>
      </c>
      <c r="AX170" s="344" t="s">
        <v>3767</v>
      </c>
      <c r="AY170" s="344" t="s">
        <v>3722</v>
      </c>
      <c r="AZ170" s="344" t="s">
        <v>3737</v>
      </c>
      <c r="BA170" s="381" t="s">
        <v>3725</v>
      </c>
      <c r="BB170" s="344" t="s">
        <v>1970</v>
      </c>
      <c r="BC170" s="344" t="s">
        <v>1970</v>
      </c>
      <c r="BD170" s="344" t="s">
        <v>1970</v>
      </c>
      <c r="BE170" s="344" t="s">
        <v>1970</v>
      </c>
      <c r="BF170" s="344" t="s">
        <v>1970</v>
      </c>
      <c r="BG170" s="344" t="s">
        <v>1970</v>
      </c>
      <c r="BH170" s="344" t="s">
        <v>1970</v>
      </c>
      <c r="BI170" s="344" t="s">
        <v>1970</v>
      </c>
      <c r="BJ170" s="344" t="s">
        <v>1970</v>
      </c>
      <c r="BK170" s="344" t="s">
        <v>1970</v>
      </c>
      <c r="BL170" s="344" t="s">
        <v>1970</v>
      </c>
      <c r="BM170" s="344" t="s">
        <v>1970</v>
      </c>
      <c r="BN170" s="344" t="s">
        <v>1970</v>
      </c>
      <c r="BO170" s="344" t="s">
        <v>1970</v>
      </c>
      <c r="BP170" s="344" t="s">
        <v>1970</v>
      </c>
      <c r="BQ170" s="344" t="s">
        <v>1970</v>
      </c>
      <c r="BR170" s="344" t="s">
        <v>1970</v>
      </c>
      <c r="BS170" s="344" t="s">
        <v>1970</v>
      </c>
      <c r="BT170" s="344" t="s">
        <v>1970</v>
      </c>
      <c r="BU170" s="344" t="s">
        <v>1970</v>
      </c>
      <c r="BV170" s="344" t="s">
        <v>1970</v>
      </c>
      <c r="BW170" s="344" t="s">
        <v>1970</v>
      </c>
      <c r="BX170" s="344" t="s">
        <v>1970</v>
      </c>
      <c r="BY170" s="344" t="s">
        <v>1970</v>
      </c>
      <c r="BZ170" s="344" t="b">
        <f t="shared" si="472"/>
        <v>0</v>
      </c>
      <c r="CA170" s="344" t="b">
        <f t="shared" si="473"/>
        <v>0</v>
      </c>
      <c r="CB170" s="344" t="b">
        <f t="shared" si="474"/>
        <v>0</v>
      </c>
      <c r="CC170" s="344" t="b">
        <f t="shared" si="475"/>
        <v>0</v>
      </c>
      <c r="CD170" s="344" t="b">
        <f t="shared" si="468"/>
        <v>0</v>
      </c>
      <c r="CE170" s="344" t="b">
        <f t="shared" si="469"/>
        <v>0</v>
      </c>
      <c r="CF170" s="344" t="b">
        <f t="shared" si="470"/>
        <v>0</v>
      </c>
      <c r="CG170" s="344" t="b">
        <f t="shared" si="471"/>
        <v>0</v>
      </c>
      <c r="CH170" s="344" t="s">
        <v>1970</v>
      </c>
      <c r="CI170" s="344" t="s">
        <v>1970</v>
      </c>
      <c r="CJ170" s="344" t="s">
        <v>1970</v>
      </c>
      <c r="CK170" s="344" t="s">
        <v>1970</v>
      </c>
      <c r="CL170" s="344" t="s">
        <v>1970</v>
      </c>
      <c r="CM170" s="344" t="s">
        <v>1970</v>
      </c>
      <c r="CN170" s="344" t="s">
        <v>1970</v>
      </c>
      <c r="CO170" s="344" t="s">
        <v>1970</v>
      </c>
      <c r="CP170" s="251" t="e">
        <v>#VALUE!</v>
      </c>
      <c r="CQ170" s="251" t="e">
        <v>#VALUE!</v>
      </c>
      <c r="CR170" s="251" t="e">
        <v>#VALUE!</v>
      </c>
      <c r="CS170" s="251" t="e">
        <v>#VALUE!</v>
      </c>
      <c r="CT170" s="251" t="e">
        <v>#VALUE!</v>
      </c>
      <c r="CU170" s="251" t="e">
        <v>#VALUE!</v>
      </c>
      <c r="CV170" s="251" t="e">
        <v>#VALUE!</v>
      </c>
      <c r="CW170" s="251" t="e">
        <v>#VALUE!</v>
      </c>
      <c r="CX170" s="344" t="e">
        <f t="shared" si="449"/>
        <v>#VALUE!</v>
      </c>
      <c r="CY170" s="344" t="e">
        <f t="shared" si="417"/>
        <v>#VALUE!</v>
      </c>
      <c r="CZ170" s="344" t="e">
        <f t="shared" si="418"/>
        <v>#VALUE!</v>
      </c>
      <c r="DA170" s="344" t="e">
        <f t="shared" si="419"/>
        <v>#VALUE!</v>
      </c>
      <c r="DB170" s="344" t="e">
        <f t="shared" si="420"/>
        <v>#VALUE!</v>
      </c>
      <c r="DC170" s="344" t="e">
        <f t="shared" si="421"/>
        <v>#VALUE!</v>
      </c>
      <c r="DD170" s="344" t="e">
        <f t="shared" si="422"/>
        <v>#VALUE!</v>
      </c>
      <c r="DE170" s="344" t="e">
        <f t="shared" si="423"/>
        <v>#VALUE!</v>
      </c>
      <c r="DF170" s="344" t="b">
        <f t="shared" si="462"/>
        <v>0</v>
      </c>
      <c r="DG170" s="344" t="b">
        <f t="shared" si="463"/>
        <v>0</v>
      </c>
      <c r="DH170" s="344" t="b">
        <f t="shared" si="464"/>
        <v>0</v>
      </c>
      <c r="DI170" s="344" t="b">
        <f t="shared" si="465"/>
        <v>0</v>
      </c>
      <c r="DJ170" s="344" t="b">
        <f t="shared" si="428"/>
        <v>0</v>
      </c>
      <c r="DK170" s="344" t="b">
        <f t="shared" si="429"/>
        <v>0</v>
      </c>
      <c r="DL170" s="344" t="b">
        <f t="shared" si="430"/>
        <v>0</v>
      </c>
      <c r="DM170" s="344" t="b">
        <f t="shared" si="431"/>
        <v>0</v>
      </c>
      <c r="DN170" s="344" t="s">
        <v>1970</v>
      </c>
      <c r="DO170" s="344" t="s">
        <v>1970</v>
      </c>
      <c r="DP170" s="344" t="s">
        <v>1970</v>
      </c>
      <c r="DQ170" s="344" t="s">
        <v>1970</v>
      </c>
      <c r="DR170" s="344" t="s">
        <v>1970</v>
      </c>
      <c r="DS170" s="344" t="s">
        <v>1970</v>
      </c>
      <c r="DT170" s="344" t="s">
        <v>1970</v>
      </c>
      <c r="DU170" s="344" t="s">
        <v>1970</v>
      </c>
      <c r="DV170" s="251" t="e">
        <v>#VALUE!</v>
      </c>
      <c r="DW170" s="251" t="e">
        <v>#VALUE!</v>
      </c>
      <c r="DX170" s="251" t="e">
        <v>#VALUE!</v>
      </c>
      <c r="DY170" s="251" t="e">
        <v>#VALUE!</v>
      </c>
      <c r="DZ170" s="251" t="e">
        <v>#VALUE!</v>
      </c>
      <c r="EA170" s="251" t="e">
        <v>#VALUE!</v>
      </c>
      <c r="EB170" s="251" t="e">
        <v>#VALUE!</v>
      </c>
      <c r="EC170" s="251" t="e">
        <v>#VALUE!</v>
      </c>
      <c r="ED170" s="344" t="e">
        <f t="shared" si="450"/>
        <v>#VALUE!</v>
      </c>
      <c r="EE170" s="344" t="e">
        <f t="shared" si="451"/>
        <v>#VALUE!</v>
      </c>
      <c r="EF170" s="344" t="e">
        <f t="shared" si="452"/>
        <v>#VALUE!</v>
      </c>
      <c r="EG170" s="344" t="e">
        <f t="shared" si="453"/>
        <v>#VALUE!</v>
      </c>
      <c r="EH170" s="344" t="e">
        <f t="shared" si="454"/>
        <v>#VALUE!</v>
      </c>
      <c r="EI170" s="344" t="e">
        <f t="shared" si="455"/>
        <v>#VALUE!</v>
      </c>
      <c r="EJ170" s="344" t="e">
        <f t="shared" si="456"/>
        <v>#VALUE!</v>
      </c>
      <c r="EK170" s="344" t="e">
        <f t="shared" si="457"/>
        <v>#VALUE!</v>
      </c>
      <c r="EL170" s="344" t="b">
        <f t="shared" si="433"/>
        <v>0</v>
      </c>
      <c r="EM170" s="344" t="b">
        <f t="shared" si="434"/>
        <v>0</v>
      </c>
      <c r="EN170" s="344" t="b">
        <f t="shared" si="435"/>
        <v>0</v>
      </c>
      <c r="EO170" s="344" t="b">
        <f t="shared" si="436"/>
        <v>0</v>
      </c>
      <c r="EP170" s="344" t="b">
        <f t="shared" si="437"/>
        <v>0</v>
      </c>
      <c r="EQ170" s="344" t="b">
        <f t="shared" si="438"/>
        <v>0</v>
      </c>
      <c r="ER170" s="344" t="b">
        <f t="shared" si="439"/>
        <v>0</v>
      </c>
      <c r="ES170" s="344" t="b">
        <f t="shared" si="440"/>
        <v>0</v>
      </c>
    </row>
    <row r="171" spans="1:149" s="251" customFormat="1" x14ac:dyDescent="0.3">
      <c r="A171" s="251" t="s">
        <v>900</v>
      </c>
      <c r="B171" s="251" t="s">
        <v>2247</v>
      </c>
      <c r="C171" s="251" t="s">
        <v>3132</v>
      </c>
      <c r="D171" s="251" t="s">
        <v>903</v>
      </c>
      <c r="E171" s="251" t="s">
        <v>2187</v>
      </c>
      <c r="F171" s="344" t="s">
        <v>1970</v>
      </c>
      <c r="G171" s="344" t="s">
        <v>1978</v>
      </c>
      <c r="H171" s="344" t="s">
        <v>1978</v>
      </c>
      <c r="I171" s="251" t="s">
        <v>1970</v>
      </c>
      <c r="J171" s="251" t="s">
        <v>1970</v>
      </c>
      <c r="K171" s="251" t="s">
        <v>1970</v>
      </c>
      <c r="L171" s="251" t="s">
        <v>1970</v>
      </c>
      <c r="M171" s="251" t="s">
        <v>1970</v>
      </c>
      <c r="N171" s="344" t="s">
        <v>1978</v>
      </c>
      <c r="O171" s="344" t="s">
        <v>1978</v>
      </c>
      <c r="P171" s="344" t="s">
        <v>1978</v>
      </c>
      <c r="Q171" s="344" t="s">
        <v>1978</v>
      </c>
      <c r="R171" s="344" t="s">
        <v>1978</v>
      </c>
      <c r="S171" s="344" t="s">
        <v>1978</v>
      </c>
      <c r="T171" s="251" t="s">
        <v>901</v>
      </c>
      <c r="U171" s="251" t="s">
        <v>2165</v>
      </c>
      <c r="V171" s="251" t="s">
        <v>1970</v>
      </c>
      <c r="W171" s="251" t="s">
        <v>1970</v>
      </c>
      <c r="X171" s="344">
        <f>'A123'!J179</f>
        <v>20</v>
      </c>
      <c r="Y171" s="344" t="str">
        <f>'A123'!K179</f>
        <v>/</v>
      </c>
      <c r="Z171" s="344" t="str">
        <f>'A123'!L179</f>
        <v>新科目</v>
      </c>
      <c r="AA171" s="344" t="s">
        <v>2165</v>
      </c>
      <c r="AB171" s="344" t="str">
        <f>入學要求!X180</f>
        <v>/</v>
      </c>
      <c r="AC171" s="344" t="str">
        <f>入學要求!Y180</f>
        <v>/</v>
      </c>
      <c r="AD171" s="373" t="s">
        <v>2171</v>
      </c>
      <c r="AE171" s="344" t="s">
        <v>3076</v>
      </c>
      <c r="AF171" s="344" t="s">
        <v>3122</v>
      </c>
      <c r="AG171" s="344" t="s">
        <v>3120</v>
      </c>
      <c r="AH171" s="344" t="s">
        <v>1970</v>
      </c>
      <c r="AI171" s="344" t="s">
        <v>1970</v>
      </c>
      <c r="AJ171" s="344" t="s">
        <v>1970</v>
      </c>
      <c r="AK171" s="251" t="s">
        <v>1970</v>
      </c>
      <c r="AL171" s="251" t="s">
        <v>1970</v>
      </c>
      <c r="AM171" s="251" t="s">
        <v>1970</v>
      </c>
      <c r="AN171" s="251" t="s">
        <v>1970</v>
      </c>
      <c r="AO171" s="251" t="s">
        <v>1970</v>
      </c>
      <c r="AP171" s="251" t="s">
        <v>1970</v>
      </c>
      <c r="AQ171" s="344" t="s">
        <v>1970</v>
      </c>
      <c r="AR171" s="428" t="s">
        <v>2150</v>
      </c>
      <c r="AS171" s="251" t="s">
        <v>3620</v>
      </c>
      <c r="AT171" s="251" t="s">
        <v>3656</v>
      </c>
      <c r="AU171" s="251" t="s">
        <v>3646</v>
      </c>
      <c r="AV171" s="344" t="s">
        <v>3735</v>
      </c>
      <c r="AW171" s="344" t="s">
        <v>3736</v>
      </c>
      <c r="AX171" s="344" t="s">
        <v>3768</v>
      </c>
      <c r="AY171" s="344" t="s">
        <v>3722</v>
      </c>
      <c r="AZ171" s="344" t="s">
        <v>3737</v>
      </c>
      <c r="BA171" s="381" t="s">
        <v>3725</v>
      </c>
      <c r="BB171" s="344" t="s">
        <v>1970</v>
      </c>
      <c r="BC171" s="344" t="s">
        <v>1970</v>
      </c>
      <c r="BD171" s="344" t="s">
        <v>1970</v>
      </c>
      <c r="BE171" s="344" t="s">
        <v>1970</v>
      </c>
      <c r="BF171" s="344" t="s">
        <v>1970</v>
      </c>
      <c r="BG171" s="344" t="s">
        <v>1970</v>
      </c>
      <c r="BH171" s="344" t="s">
        <v>1970</v>
      </c>
      <c r="BI171" s="344" t="s">
        <v>1970</v>
      </c>
      <c r="BJ171" s="344" t="s">
        <v>1970</v>
      </c>
      <c r="BK171" s="344" t="s">
        <v>1970</v>
      </c>
      <c r="BL171" s="344" t="s">
        <v>1970</v>
      </c>
      <c r="BM171" s="344" t="s">
        <v>1970</v>
      </c>
      <c r="BN171" s="344" t="s">
        <v>1970</v>
      </c>
      <c r="BO171" s="344" t="s">
        <v>1970</v>
      </c>
      <c r="BP171" s="344" t="s">
        <v>1970</v>
      </c>
      <c r="BQ171" s="344" t="s">
        <v>1970</v>
      </c>
      <c r="BR171" s="344" t="s">
        <v>1970</v>
      </c>
      <c r="BS171" s="344" t="s">
        <v>1970</v>
      </c>
      <c r="BT171" s="344" t="s">
        <v>1970</v>
      </c>
      <c r="BU171" s="344" t="s">
        <v>1970</v>
      </c>
      <c r="BV171" s="344" t="s">
        <v>1970</v>
      </c>
      <c r="BW171" s="344" t="s">
        <v>1970</v>
      </c>
      <c r="BX171" s="344" t="s">
        <v>1970</v>
      </c>
      <c r="BY171" s="344" t="s">
        <v>1970</v>
      </c>
      <c r="BZ171" s="344" t="b">
        <f t="shared" si="472"/>
        <v>0</v>
      </c>
      <c r="CA171" s="344" t="b">
        <f t="shared" si="473"/>
        <v>0</v>
      </c>
      <c r="CB171" s="344" t="b">
        <f t="shared" si="474"/>
        <v>0</v>
      </c>
      <c r="CC171" s="344" t="b">
        <f t="shared" si="475"/>
        <v>0</v>
      </c>
      <c r="CD171" s="344" t="b">
        <f t="shared" si="468"/>
        <v>0</v>
      </c>
      <c r="CE171" s="344" t="b">
        <f t="shared" si="469"/>
        <v>0</v>
      </c>
      <c r="CF171" s="344" t="b">
        <f t="shared" si="470"/>
        <v>0</v>
      </c>
      <c r="CG171" s="344" t="b">
        <f t="shared" si="471"/>
        <v>0</v>
      </c>
      <c r="CH171" s="344" t="s">
        <v>1970</v>
      </c>
      <c r="CI171" s="344" t="s">
        <v>1970</v>
      </c>
      <c r="CJ171" s="344" t="s">
        <v>1970</v>
      </c>
      <c r="CK171" s="344" t="s">
        <v>1970</v>
      </c>
      <c r="CL171" s="344" t="s">
        <v>1970</v>
      </c>
      <c r="CM171" s="344" t="s">
        <v>1970</v>
      </c>
      <c r="CN171" s="344" t="s">
        <v>1970</v>
      </c>
      <c r="CO171" s="344" t="s">
        <v>1970</v>
      </c>
      <c r="CP171" s="251" t="e">
        <v>#VALUE!</v>
      </c>
      <c r="CQ171" s="251" t="e">
        <v>#VALUE!</v>
      </c>
      <c r="CR171" s="251" t="e">
        <v>#VALUE!</v>
      </c>
      <c r="CS171" s="251" t="e">
        <v>#VALUE!</v>
      </c>
      <c r="CT171" s="251" t="e">
        <v>#VALUE!</v>
      </c>
      <c r="CU171" s="251" t="e">
        <v>#VALUE!</v>
      </c>
      <c r="CV171" s="251" t="e">
        <v>#VALUE!</v>
      </c>
      <c r="CW171" s="251" t="e">
        <v>#VALUE!</v>
      </c>
      <c r="CX171" s="344" t="e">
        <f t="shared" si="449"/>
        <v>#VALUE!</v>
      </c>
      <c r="CY171" s="344" t="e">
        <f t="shared" si="417"/>
        <v>#VALUE!</v>
      </c>
      <c r="CZ171" s="344" t="e">
        <f t="shared" si="418"/>
        <v>#VALUE!</v>
      </c>
      <c r="DA171" s="344" t="e">
        <f t="shared" si="419"/>
        <v>#VALUE!</v>
      </c>
      <c r="DB171" s="344" t="e">
        <f t="shared" si="420"/>
        <v>#VALUE!</v>
      </c>
      <c r="DC171" s="344" t="e">
        <f t="shared" si="421"/>
        <v>#VALUE!</v>
      </c>
      <c r="DD171" s="344" t="e">
        <f t="shared" si="422"/>
        <v>#VALUE!</v>
      </c>
      <c r="DE171" s="344" t="e">
        <f t="shared" si="423"/>
        <v>#VALUE!</v>
      </c>
      <c r="DF171" s="344" t="b">
        <f t="shared" si="462"/>
        <v>0</v>
      </c>
      <c r="DG171" s="344" t="b">
        <f t="shared" si="463"/>
        <v>0</v>
      </c>
      <c r="DH171" s="344" t="b">
        <f t="shared" si="464"/>
        <v>0</v>
      </c>
      <c r="DI171" s="344" t="b">
        <f t="shared" si="465"/>
        <v>0</v>
      </c>
      <c r="DJ171" s="344" t="b">
        <f t="shared" si="428"/>
        <v>0</v>
      </c>
      <c r="DK171" s="344" t="b">
        <f t="shared" si="429"/>
        <v>0</v>
      </c>
      <c r="DL171" s="344" t="b">
        <f t="shared" si="430"/>
        <v>0</v>
      </c>
      <c r="DM171" s="344" t="b">
        <f t="shared" si="431"/>
        <v>0</v>
      </c>
      <c r="DN171" s="344" t="s">
        <v>1970</v>
      </c>
      <c r="DO171" s="344" t="s">
        <v>1970</v>
      </c>
      <c r="DP171" s="344" t="s">
        <v>1970</v>
      </c>
      <c r="DQ171" s="344" t="s">
        <v>1970</v>
      </c>
      <c r="DR171" s="344" t="s">
        <v>1970</v>
      </c>
      <c r="DS171" s="344" t="s">
        <v>1970</v>
      </c>
      <c r="DT171" s="344" t="s">
        <v>1970</v>
      </c>
      <c r="DU171" s="344" t="s">
        <v>1970</v>
      </c>
      <c r="DV171" s="251" t="e">
        <v>#VALUE!</v>
      </c>
      <c r="DW171" s="251" t="e">
        <v>#VALUE!</v>
      </c>
      <c r="DX171" s="251" t="e">
        <v>#VALUE!</v>
      </c>
      <c r="DY171" s="251" t="e">
        <v>#VALUE!</v>
      </c>
      <c r="DZ171" s="251" t="e">
        <v>#VALUE!</v>
      </c>
      <c r="EA171" s="251" t="e">
        <v>#VALUE!</v>
      </c>
      <c r="EB171" s="251" t="e">
        <v>#VALUE!</v>
      </c>
      <c r="EC171" s="251" t="e">
        <v>#VALUE!</v>
      </c>
      <c r="ED171" s="344" t="e">
        <f t="shared" si="450"/>
        <v>#VALUE!</v>
      </c>
      <c r="EE171" s="344" t="e">
        <f t="shared" si="451"/>
        <v>#VALUE!</v>
      </c>
      <c r="EF171" s="344" t="e">
        <f t="shared" si="452"/>
        <v>#VALUE!</v>
      </c>
      <c r="EG171" s="344" t="e">
        <f t="shared" si="453"/>
        <v>#VALUE!</v>
      </c>
      <c r="EH171" s="344" t="e">
        <f t="shared" si="454"/>
        <v>#VALUE!</v>
      </c>
      <c r="EI171" s="344" t="e">
        <f t="shared" si="455"/>
        <v>#VALUE!</v>
      </c>
      <c r="EJ171" s="344" t="e">
        <f t="shared" si="456"/>
        <v>#VALUE!</v>
      </c>
      <c r="EK171" s="344" t="e">
        <f t="shared" si="457"/>
        <v>#VALUE!</v>
      </c>
      <c r="EL171" s="344" t="b">
        <f t="shared" si="433"/>
        <v>0</v>
      </c>
      <c r="EM171" s="344" t="b">
        <f t="shared" si="434"/>
        <v>0</v>
      </c>
      <c r="EN171" s="344" t="b">
        <f t="shared" si="435"/>
        <v>0</v>
      </c>
      <c r="EO171" s="344" t="b">
        <f t="shared" si="436"/>
        <v>0</v>
      </c>
      <c r="EP171" s="344" t="b">
        <f t="shared" si="437"/>
        <v>0</v>
      </c>
      <c r="EQ171" s="344" t="b">
        <f t="shared" si="438"/>
        <v>0</v>
      </c>
      <c r="ER171" s="344" t="b">
        <f t="shared" si="439"/>
        <v>0</v>
      </c>
      <c r="ES171" s="344" t="b">
        <f t="shared" si="440"/>
        <v>0</v>
      </c>
    </row>
    <row r="172" spans="1:149" s="251" customFormat="1" x14ac:dyDescent="0.3">
      <c r="A172" s="251" t="s">
        <v>904</v>
      </c>
      <c r="B172" s="251" t="s">
        <v>2247</v>
      </c>
      <c r="C172" s="251" t="s">
        <v>2201</v>
      </c>
      <c r="D172" s="251" t="s">
        <v>907</v>
      </c>
      <c r="E172" s="251" t="s">
        <v>2171</v>
      </c>
      <c r="F172" s="344">
        <f t="shared" si="441"/>
        <v>49.750000000360004</v>
      </c>
      <c r="G172" s="344">
        <f>SUMIF(DF172:DM172,TRUE,CX172:DE172)</f>
        <v>46.125000000392504</v>
      </c>
      <c r="H172" s="344">
        <f>SUMIF(BZ172:CG172,TRUE,BR172:BY172)</f>
        <v>45.750000000379998</v>
      </c>
      <c r="I172" s="251" t="s">
        <v>3076</v>
      </c>
      <c r="J172" s="251" t="s">
        <v>3077</v>
      </c>
      <c r="K172" s="251" t="s">
        <v>3078</v>
      </c>
      <c r="L172" s="251" t="s">
        <v>3080</v>
      </c>
      <c r="M172" s="251" t="s">
        <v>2736</v>
      </c>
      <c r="N172" s="344" t="s">
        <v>1978</v>
      </c>
      <c r="O172" s="344" t="s">
        <v>1978</v>
      </c>
      <c r="P172" s="344" t="s">
        <v>1978</v>
      </c>
      <c r="Q172" s="344" t="s">
        <v>1978</v>
      </c>
      <c r="R172" s="344" t="s">
        <v>1978</v>
      </c>
      <c r="S172" s="344" t="s">
        <v>1978</v>
      </c>
      <c r="T172" s="251" t="s">
        <v>905</v>
      </c>
      <c r="U172" s="251" t="s">
        <v>2165</v>
      </c>
      <c r="V172" s="251" t="s">
        <v>1970</v>
      </c>
      <c r="W172" s="251" t="s">
        <v>1970</v>
      </c>
      <c r="X172" s="344">
        <f>'A123'!J180</f>
        <v>35</v>
      </c>
      <c r="Y172" s="344">
        <f>'A123'!K180</f>
        <v>33</v>
      </c>
      <c r="Z172" s="344">
        <f>'A123'!L180</f>
        <v>5.8787878787878789</v>
      </c>
      <c r="AA172" s="344" t="s">
        <v>2165</v>
      </c>
      <c r="AB172" s="344" t="str">
        <f>入學要求!X181</f>
        <v>/</v>
      </c>
      <c r="AC172" s="344" t="str">
        <f>入學要求!Y181</f>
        <v>/</v>
      </c>
      <c r="AD172" s="351" t="s">
        <v>2171</v>
      </c>
      <c r="AE172" s="344" t="s">
        <v>3076</v>
      </c>
      <c r="AF172" s="344" t="s">
        <v>3077</v>
      </c>
      <c r="AG172" s="344" t="s">
        <v>3078</v>
      </c>
      <c r="AH172" s="344" t="s">
        <v>3080</v>
      </c>
      <c r="AI172" s="344" t="s">
        <v>2736</v>
      </c>
      <c r="AJ172" s="344" t="s">
        <v>1970</v>
      </c>
      <c r="AK172" s="251" t="s">
        <v>1970</v>
      </c>
      <c r="AL172" s="251" t="s">
        <v>1970</v>
      </c>
      <c r="AM172" s="251" t="s">
        <v>1970</v>
      </c>
      <c r="AN172" s="251" t="s">
        <v>1970</v>
      </c>
      <c r="AO172" s="251" t="s">
        <v>1970</v>
      </c>
      <c r="AP172" s="251" t="s">
        <v>1970</v>
      </c>
      <c r="AQ172" s="344" t="s">
        <v>1970</v>
      </c>
      <c r="AR172" s="428" t="s">
        <v>2150</v>
      </c>
      <c r="AS172" s="251" t="s">
        <v>3603</v>
      </c>
      <c r="AT172" s="251" t="s">
        <v>3657</v>
      </c>
      <c r="AU172" s="251" t="s">
        <v>1970</v>
      </c>
      <c r="AV172" s="344" t="s">
        <v>3735</v>
      </c>
      <c r="AW172" s="344" t="s">
        <v>3736</v>
      </c>
      <c r="AX172" s="344" t="s">
        <v>3769</v>
      </c>
      <c r="AY172" s="344" t="s">
        <v>3722</v>
      </c>
      <c r="AZ172" s="344" t="s">
        <v>3737</v>
      </c>
      <c r="BA172" s="381" t="s">
        <v>3725</v>
      </c>
      <c r="BB172" s="251">
        <v>1.25</v>
      </c>
      <c r="BC172" s="344">
        <v>1.25</v>
      </c>
      <c r="BD172" s="251">
        <v>1.75</v>
      </c>
      <c r="BE172" s="251">
        <v>1</v>
      </c>
      <c r="BF172" s="251">
        <v>1.75</v>
      </c>
      <c r="BG172" s="251">
        <v>1.5</v>
      </c>
      <c r="BH172" s="251">
        <v>1.5</v>
      </c>
      <c r="BI172" s="251">
        <v>1.5</v>
      </c>
      <c r="BJ172" s="251">
        <v>5.50000000001</v>
      </c>
      <c r="BK172" s="251">
        <v>4.00000000002</v>
      </c>
      <c r="BL172" s="251">
        <v>5.50000000003</v>
      </c>
      <c r="BM172" s="251">
        <v>4.00000000004</v>
      </c>
      <c r="BN172" s="251">
        <v>5.0000000000000002E-11</v>
      </c>
      <c r="BO172" s="251">
        <v>7.00000000006</v>
      </c>
      <c r="BP172" s="251">
        <v>7.00000000007</v>
      </c>
      <c r="BQ172" s="251">
        <v>5.50000000008</v>
      </c>
      <c r="BR172" s="344">
        <f t="shared" si="466"/>
        <v>6.8750000000125002</v>
      </c>
      <c r="BS172" s="344">
        <f t="shared" si="442"/>
        <v>5.0000000000250004</v>
      </c>
      <c r="BT172" s="344">
        <f t="shared" si="443"/>
        <v>9.6250000000525002</v>
      </c>
      <c r="BU172" s="344">
        <f t="shared" si="444"/>
        <v>4.00000000004</v>
      </c>
      <c r="BV172" s="344">
        <f t="shared" si="445"/>
        <v>8.7500000000000008E-11</v>
      </c>
      <c r="BW172" s="344">
        <f t="shared" si="446"/>
        <v>10.500000000090001</v>
      </c>
      <c r="BX172" s="344">
        <f t="shared" si="447"/>
        <v>10.500000000105</v>
      </c>
      <c r="BY172" s="344">
        <f t="shared" si="448"/>
        <v>8.25000000012</v>
      </c>
      <c r="BZ172" s="344" t="b">
        <f t="shared" si="472"/>
        <v>1</v>
      </c>
      <c r="CA172" s="344" t="b">
        <f t="shared" si="473"/>
        <v>0</v>
      </c>
      <c r="CB172" s="344" t="b">
        <f t="shared" si="474"/>
        <v>1</v>
      </c>
      <c r="CC172" s="344" t="b">
        <f t="shared" si="475"/>
        <v>0</v>
      </c>
      <c r="CD172" s="344" t="b">
        <f t="shared" si="468"/>
        <v>0</v>
      </c>
      <c r="CE172" s="344" t="b">
        <f t="shared" si="469"/>
        <v>1</v>
      </c>
      <c r="CF172" s="344" t="b">
        <f t="shared" si="470"/>
        <v>1</v>
      </c>
      <c r="CG172" s="344" t="b">
        <f t="shared" si="471"/>
        <v>1</v>
      </c>
      <c r="CH172" s="344">
        <v>1.25</v>
      </c>
      <c r="CI172" s="344">
        <v>1.25</v>
      </c>
      <c r="CJ172" s="344">
        <v>1.75</v>
      </c>
      <c r="CK172" s="344">
        <v>1</v>
      </c>
      <c r="CL172" s="344">
        <v>1.75</v>
      </c>
      <c r="CM172" s="344">
        <v>1.5</v>
      </c>
      <c r="CN172" s="344">
        <v>1.5</v>
      </c>
      <c r="CO172" s="381">
        <v>1.5</v>
      </c>
      <c r="CP172" s="251">
        <v>4.00000000001</v>
      </c>
      <c r="CQ172" s="251">
        <v>5.50000000002</v>
      </c>
      <c r="CR172" s="251">
        <v>7.00000000003</v>
      </c>
      <c r="CS172" s="251">
        <v>5.50000000004</v>
      </c>
      <c r="CT172" s="251">
        <v>5.0000000000000002E-11</v>
      </c>
      <c r="CU172" s="251">
        <v>7.00000000006</v>
      </c>
      <c r="CV172" s="251">
        <v>7.00000000007</v>
      </c>
      <c r="CW172" s="251">
        <v>4.00000000008</v>
      </c>
      <c r="CX172" s="344">
        <f t="shared" si="449"/>
        <v>5.0000000000125002</v>
      </c>
      <c r="CY172" s="344">
        <f t="shared" si="417"/>
        <v>6.8750000000250004</v>
      </c>
      <c r="CZ172" s="344">
        <f t="shared" si="418"/>
        <v>12.2500000000525</v>
      </c>
      <c r="DA172" s="344">
        <f t="shared" si="419"/>
        <v>5.50000000004</v>
      </c>
      <c r="DB172" s="344">
        <f t="shared" si="420"/>
        <v>8.7500000000000008E-11</v>
      </c>
      <c r="DC172" s="344">
        <f t="shared" si="421"/>
        <v>10.500000000090001</v>
      </c>
      <c r="DD172" s="344">
        <f t="shared" si="422"/>
        <v>10.500000000105</v>
      </c>
      <c r="DE172" s="344">
        <f t="shared" si="423"/>
        <v>6.00000000012</v>
      </c>
      <c r="DF172" s="344" t="b">
        <f t="shared" si="462"/>
        <v>0</v>
      </c>
      <c r="DG172" s="344" t="b">
        <f t="shared" si="463"/>
        <v>1</v>
      </c>
      <c r="DH172" s="344" t="b">
        <f t="shared" si="464"/>
        <v>1</v>
      </c>
      <c r="DI172" s="344" t="b">
        <f t="shared" si="465"/>
        <v>0</v>
      </c>
      <c r="DJ172" s="344" t="b">
        <f t="shared" si="428"/>
        <v>0</v>
      </c>
      <c r="DK172" s="344" t="b">
        <f t="shared" si="429"/>
        <v>1</v>
      </c>
      <c r="DL172" s="344" t="b">
        <f t="shared" si="430"/>
        <v>1</v>
      </c>
      <c r="DM172" s="344" t="b">
        <f t="shared" si="431"/>
        <v>1</v>
      </c>
      <c r="DN172" s="344">
        <v>1.25</v>
      </c>
      <c r="DO172" s="344">
        <v>1.25</v>
      </c>
      <c r="DP172" s="344">
        <v>1.75</v>
      </c>
      <c r="DQ172" s="344">
        <v>1</v>
      </c>
      <c r="DR172" s="344">
        <v>1.75</v>
      </c>
      <c r="DS172" s="344">
        <v>1.5</v>
      </c>
      <c r="DT172" s="344">
        <v>1.5</v>
      </c>
      <c r="DU172" s="344">
        <v>1.5</v>
      </c>
      <c r="DV172" s="251">
        <v>4.00000000001</v>
      </c>
      <c r="DW172" s="251">
        <v>5.50000000002</v>
      </c>
      <c r="DX172" s="251">
        <v>7.00000000003</v>
      </c>
      <c r="DY172" s="251">
        <v>5.50000000004</v>
      </c>
      <c r="DZ172" s="251">
        <v>5.50000000005</v>
      </c>
      <c r="EA172" s="251">
        <v>8.50000000006</v>
      </c>
      <c r="EB172" s="251">
        <v>5.50000000007</v>
      </c>
      <c r="EC172" s="251">
        <v>7.9999999999999995E-11</v>
      </c>
      <c r="ED172" s="344">
        <f t="shared" si="450"/>
        <v>5.0000000000125002</v>
      </c>
      <c r="EE172" s="344">
        <f t="shared" si="451"/>
        <v>6.8750000000250004</v>
      </c>
      <c r="EF172" s="344">
        <f t="shared" si="452"/>
        <v>12.2500000000525</v>
      </c>
      <c r="EG172" s="344">
        <f t="shared" si="453"/>
        <v>5.50000000004</v>
      </c>
      <c r="EH172" s="344">
        <f t="shared" si="454"/>
        <v>9.6250000000874998</v>
      </c>
      <c r="EI172" s="344">
        <f t="shared" si="455"/>
        <v>12.750000000090001</v>
      </c>
      <c r="EJ172" s="344">
        <f t="shared" si="456"/>
        <v>8.2500000001050005</v>
      </c>
      <c r="EK172" s="344">
        <f t="shared" si="457"/>
        <v>1.2E-10</v>
      </c>
      <c r="EL172" s="344" t="b">
        <f t="shared" si="433"/>
        <v>0</v>
      </c>
      <c r="EM172" s="344" t="b">
        <f t="shared" si="434"/>
        <v>1</v>
      </c>
      <c r="EN172" s="344" t="b">
        <f t="shared" si="435"/>
        <v>1</v>
      </c>
      <c r="EO172" s="344" t="b">
        <f t="shared" si="436"/>
        <v>0</v>
      </c>
      <c r="EP172" s="344" t="b">
        <f t="shared" si="437"/>
        <v>1</v>
      </c>
      <c r="EQ172" s="344" t="b">
        <f t="shared" si="438"/>
        <v>1</v>
      </c>
      <c r="ER172" s="344" t="b">
        <f t="shared" si="439"/>
        <v>1</v>
      </c>
      <c r="ES172" s="344" t="b">
        <f t="shared" si="440"/>
        <v>0</v>
      </c>
    </row>
    <row r="173" spans="1:149" s="251" customFormat="1" x14ac:dyDescent="0.3">
      <c r="A173" s="251" t="s">
        <v>909</v>
      </c>
      <c r="B173" s="251" t="s">
        <v>2247</v>
      </c>
      <c r="C173" s="251" t="s">
        <v>2201</v>
      </c>
      <c r="D173" s="251" t="s">
        <v>912</v>
      </c>
      <c r="E173" s="251" t="s">
        <v>2171</v>
      </c>
      <c r="F173" s="344">
        <f t="shared" si="441"/>
        <v>30.000000000324999</v>
      </c>
      <c r="G173" s="344">
        <f>SUMIF(DF173:DM173,TRUE,CX173:DE173)</f>
        <v>27.750000000255</v>
      </c>
      <c r="H173" s="344">
        <f>SUMIF(BZ173:CG173,TRUE,BR173:BY173)</f>
        <v>26.250000000295</v>
      </c>
      <c r="I173" s="251" t="s">
        <v>1970</v>
      </c>
      <c r="J173" s="251" t="s">
        <v>1970</v>
      </c>
      <c r="K173" s="344" t="s">
        <v>3082</v>
      </c>
      <c r="L173" s="251" t="s">
        <v>1970</v>
      </c>
      <c r="M173" s="251" t="s">
        <v>1970</v>
      </c>
      <c r="N173" s="344" t="s">
        <v>1978</v>
      </c>
      <c r="O173" s="344" t="s">
        <v>1978</v>
      </c>
      <c r="P173" s="344" t="s">
        <v>1978</v>
      </c>
      <c r="Q173" s="344" t="s">
        <v>1978</v>
      </c>
      <c r="R173" s="344" t="s">
        <v>1978</v>
      </c>
      <c r="S173" s="344" t="s">
        <v>1978</v>
      </c>
      <c r="T173" s="251" t="s">
        <v>910</v>
      </c>
      <c r="U173" s="251" t="s">
        <v>2165</v>
      </c>
      <c r="V173" s="251" t="s">
        <v>1970</v>
      </c>
      <c r="W173" s="251" t="s">
        <v>1970</v>
      </c>
      <c r="X173" s="344">
        <f>'A123'!J181</f>
        <v>53</v>
      </c>
      <c r="Y173" s="344">
        <f>'A123'!K181</f>
        <v>32</v>
      </c>
      <c r="Z173" s="344">
        <f>'A123'!L181</f>
        <v>8.59375</v>
      </c>
      <c r="AA173" s="344" t="s">
        <v>2165</v>
      </c>
      <c r="AB173" s="344" t="str">
        <f>入學要求!X182</f>
        <v>以下一科選修取得Lv.3︰M1/2、生物、化學、組合科學、ICT、物理</v>
      </c>
      <c r="AC173" s="344" t="str">
        <f>入學要求!Y182</f>
        <v>/</v>
      </c>
      <c r="AD173" s="351" t="s">
        <v>2171</v>
      </c>
      <c r="AE173" s="344" t="s">
        <v>1970</v>
      </c>
      <c r="AF173" s="344" t="s">
        <v>1970</v>
      </c>
      <c r="AG173" s="344" t="s">
        <v>3082</v>
      </c>
      <c r="AH173" s="344" t="s">
        <v>2685</v>
      </c>
      <c r="AI173" s="344" t="s">
        <v>1970</v>
      </c>
      <c r="AJ173" s="344" t="s">
        <v>1970</v>
      </c>
      <c r="AK173" s="251" t="s">
        <v>1970</v>
      </c>
      <c r="AL173" s="251" t="s">
        <v>1970</v>
      </c>
      <c r="AM173" s="251" t="s">
        <v>1970</v>
      </c>
      <c r="AN173" s="251" t="s">
        <v>1970</v>
      </c>
      <c r="AO173" s="251" t="s">
        <v>1970</v>
      </c>
      <c r="AP173" s="251" t="s">
        <v>1970</v>
      </c>
      <c r="AQ173" s="344" t="s">
        <v>1970</v>
      </c>
      <c r="AR173" s="428" t="s">
        <v>2150</v>
      </c>
      <c r="AS173" s="251" t="s">
        <v>3603</v>
      </c>
      <c r="AT173" s="251" t="s">
        <v>3658</v>
      </c>
      <c r="AU173" s="251" t="s">
        <v>1970</v>
      </c>
      <c r="AV173" s="344" t="s">
        <v>3735</v>
      </c>
      <c r="AW173" s="344" t="s">
        <v>3736</v>
      </c>
      <c r="AX173" s="344" t="s">
        <v>3770</v>
      </c>
      <c r="AY173" s="344" t="s">
        <v>3722</v>
      </c>
      <c r="AZ173" s="344" t="s">
        <v>3737</v>
      </c>
      <c r="BA173" s="381" t="s">
        <v>3725</v>
      </c>
      <c r="BB173" s="251">
        <v>1</v>
      </c>
      <c r="BC173" s="251">
        <v>1</v>
      </c>
      <c r="BD173" s="251">
        <v>1.5</v>
      </c>
      <c r="BE173" s="251">
        <v>1</v>
      </c>
      <c r="BF173" s="251">
        <v>1.5</v>
      </c>
      <c r="BG173" s="251">
        <v>1.5</v>
      </c>
      <c r="BH173" s="251">
        <v>1</v>
      </c>
      <c r="BI173" s="251">
        <v>1</v>
      </c>
      <c r="BJ173" s="251">
        <v>4.00000000001</v>
      </c>
      <c r="BK173" s="251">
        <v>3.00000000002</v>
      </c>
      <c r="BL173" s="251">
        <v>4.00000000003</v>
      </c>
      <c r="BM173" s="251">
        <v>3.00000000004</v>
      </c>
      <c r="BN173" s="251">
        <v>5.0000000000000002E-11</v>
      </c>
      <c r="BO173" s="251">
        <v>5.50000000006</v>
      </c>
      <c r="BP173" s="251">
        <v>4.00000000007</v>
      </c>
      <c r="BQ173" s="251">
        <v>4.00000000008</v>
      </c>
      <c r="BR173" s="344">
        <f t="shared" si="466"/>
        <v>4.00000000001</v>
      </c>
      <c r="BS173" s="344">
        <f t="shared" si="442"/>
        <v>3.00000000002</v>
      </c>
      <c r="BT173" s="344">
        <f t="shared" si="443"/>
        <v>6.0000000000450004</v>
      </c>
      <c r="BU173" s="344">
        <f t="shared" si="444"/>
        <v>3.00000000004</v>
      </c>
      <c r="BV173" s="344">
        <f t="shared" si="445"/>
        <v>7.5E-11</v>
      </c>
      <c r="BW173" s="344">
        <f t="shared" si="446"/>
        <v>8.2500000000900009</v>
      </c>
      <c r="BX173" s="344">
        <f t="shared" si="447"/>
        <v>4.00000000007</v>
      </c>
      <c r="BY173" s="344">
        <f t="shared" si="448"/>
        <v>4.00000000008</v>
      </c>
      <c r="BZ173" s="344" t="b">
        <f t="shared" si="472"/>
        <v>1</v>
      </c>
      <c r="CA173" s="344" t="b">
        <f t="shared" si="473"/>
        <v>0</v>
      </c>
      <c r="CB173" s="344" t="b">
        <f t="shared" si="474"/>
        <v>1</v>
      </c>
      <c r="CC173" s="344" t="b">
        <f t="shared" si="475"/>
        <v>0</v>
      </c>
      <c r="CD173" s="344" t="b">
        <f t="shared" si="468"/>
        <v>0</v>
      </c>
      <c r="CE173" s="344" t="b">
        <f t="shared" si="469"/>
        <v>1</v>
      </c>
      <c r="CF173" s="344" t="b">
        <f t="shared" si="470"/>
        <v>1</v>
      </c>
      <c r="CG173" s="344" t="b">
        <f t="shared" si="471"/>
        <v>1</v>
      </c>
      <c r="CH173" s="344">
        <v>1</v>
      </c>
      <c r="CI173" s="344">
        <v>1</v>
      </c>
      <c r="CJ173" s="344">
        <v>1.5</v>
      </c>
      <c r="CK173" s="344">
        <v>1</v>
      </c>
      <c r="CL173" s="344">
        <v>1.5</v>
      </c>
      <c r="CM173" s="381">
        <v>1.5</v>
      </c>
      <c r="CN173" s="344">
        <v>1</v>
      </c>
      <c r="CO173" s="344">
        <v>1</v>
      </c>
      <c r="CP173" s="251">
        <v>4.00000000001</v>
      </c>
      <c r="CQ173" s="251">
        <v>3.00000000002</v>
      </c>
      <c r="CR173" s="251">
        <v>4.00000000003</v>
      </c>
      <c r="CS173" s="251">
        <v>5.50000000004</v>
      </c>
      <c r="CT173" s="251">
        <v>5.0000000000000002E-11</v>
      </c>
      <c r="CU173" s="251">
        <v>5.50000000006</v>
      </c>
      <c r="CV173" s="251">
        <v>4.00000000007</v>
      </c>
      <c r="CW173" s="251">
        <v>3.00000000008</v>
      </c>
      <c r="CX173" s="344">
        <f t="shared" si="449"/>
        <v>4.00000000001</v>
      </c>
      <c r="CY173" s="344">
        <f t="shared" si="417"/>
        <v>3.00000000002</v>
      </c>
      <c r="CZ173" s="344">
        <f t="shared" si="418"/>
        <v>6.0000000000450004</v>
      </c>
      <c r="DA173" s="344">
        <f t="shared" si="419"/>
        <v>5.50000000004</v>
      </c>
      <c r="DB173" s="344">
        <f t="shared" si="420"/>
        <v>7.5E-11</v>
      </c>
      <c r="DC173" s="344">
        <f t="shared" si="421"/>
        <v>8.2500000000900009</v>
      </c>
      <c r="DD173" s="344">
        <f t="shared" si="422"/>
        <v>4.00000000007</v>
      </c>
      <c r="DE173" s="344">
        <f t="shared" si="423"/>
        <v>3.00000000008</v>
      </c>
      <c r="DF173" s="344" t="b">
        <f t="shared" si="462"/>
        <v>1</v>
      </c>
      <c r="DG173" s="344" t="b">
        <f t="shared" si="463"/>
        <v>0</v>
      </c>
      <c r="DH173" s="344" t="b">
        <f t="shared" si="464"/>
        <v>1</v>
      </c>
      <c r="DI173" s="344" t="b">
        <f t="shared" si="465"/>
        <v>1</v>
      </c>
      <c r="DJ173" s="344" t="b">
        <f t="shared" si="428"/>
        <v>0</v>
      </c>
      <c r="DK173" s="344" t="b">
        <f t="shared" si="429"/>
        <v>1</v>
      </c>
      <c r="DL173" s="344" t="b">
        <f t="shared" si="430"/>
        <v>1</v>
      </c>
      <c r="DM173" s="344" t="b">
        <f t="shared" si="431"/>
        <v>0</v>
      </c>
      <c r="DN173" s="344">
        <v>1</v>
      </c>
      <c r="DO173" s="344">
        <v>1</v>
      </c>
      <c r="DP173" s="344">
        <v>1.5</v>
      </c>
      <c r="DQ173" s="344">
        <v>1</v>
      </c>
      <c r="DR173" s="344">
        <v>1.5</v>
      </c>
      <c r="DS173" s="344">
        <v>1.5</v>
      </c>
      <c r="DT173" s="344">
        <v>1</v>
      </c>
      <c r="DU173" s="344">
        <v>1</v>
      </c>
      <c r="DV173" s="251">
        <v>3.00000000001</v>
      </c>
      <c r="DW173" s="251">
        <v>4.00000000002</v>
      </c>
      <c r="DX173" s="251">
        <v>5.50000000003</v>
      </c>
      <c r="DY173" s="251">
        <v>4.00000000004</v>
      </c>
      <c r="DZ173" s="251">
        <v>5.0000000000000002E-11</v>
      </c>
      <c r="EA173" s="251">
        <v>5.50000000006</v>
      </c>
      <c r="EB173" s="251">
        <v>5.50000000007</v>
      </c>
      <c r="EC173" s="251">
        <v>4.00000000008</v>
      </c>
      <c r="ED173" s="344">
        <f t="shared" si="450"/>
        <v>3.00000000001</v>
      </c>
      <c r="EE173" s="344">
        <f t="shared" si="451"/>
        <v>4.00000000002</v>
      </c>
      <c r="EF173" s="344">
        <f t="shared" si="452"/>
        <v>8.2500000000450004</v>
      </c>
      <c r="EG173" s="344">
        <f t="shared" si="453"/>
        <v>4.00000000004</v>
      </c>
      <c r="EH173" s="344">
        <f t="shared" si="454"/>
        <v>7.5E-11</v>
      </c>
      <c r="EI173" s="344">
        <f t="shared" si="455"/>
        <v>8.2500000000900009</v>
      </c>
      <c r="EJ173" s="344">
        <f t="shared" si="456"/>
        <v>5.50000000007</v>
      </c>
      <c r="EK173" s="344">
        <f t="shared" si="457"/>
        <v>4.00000000008</v>
      </c>
      <c r="EL173" s="344" t="b">
        <f t="shared" si="433"/>
        <v>0</v>
      </c>
      <c r="EM173" s="344" t="b">
        <f t="shared" si="434"/>
        <v>0</v>
      </c>
      <c r="EN173" s="344" t="b">
        <f t="shared" si="435"/>
        <v>1</v>
      </c>
      <c r="EO173" s="344" t="b">
        <f t="shared" si="436"/>
        <v>1</v>
      </c>
      <c r="EP173" s="344" t="b">
        <f t="shared" si="437"/>
        <v>0</v>
      </c>
      <c r="EQ173" s="344" t="b">
        <f t="shared" si="438"/>
        <v>1</v>
      </c>
      <c r="ER173" s="344" t="b">
        <f t="shared" si="439"/>
        <v>1</v>
      </c>
      <c r="ES173" s="344" t="b">
        <f t="shared" si="440"/>
        <v>1</v>
      </c>
    </row>
    <row r="174" spans="1:149" s="251" customFormat="1" x14ac:dyDescent="0.3">
      <c r="A174" s="251" t="s">
        <v>914</v>
      </c>
      <c r="B174" s="251" t="s">
        <v>2247</v>
      </c>
      <c r="C174" s="344" t="s">
        <v>2201</v>
      </c>
      <c r="D174" s="251" t="s">
        <v>917</v>
      </c>
      <c r="E174" s="251" t="s">
        <v>2187</v>
      </c>
      <c r="F174" s="344" t="s">
        <v>1970</v>
      </c>
      <c r="G174" s="344" t="s">
        <v>1978</v>
      </c>
      <c r="H174" s="344" t="s">
        <v>1978</v>
      </c>
      <c r="I174" s="251" t="s">
        <v>1970</v>
      </c>
      <c r="J174" s="251" t="s">
        <v>1970</v>
      </c>
      <c r="K174" s="251" t="s">
        <v>1970</v>
      </c>
      <c r="L174" s="251" t="s">
        <v>1970</v>
      </c>
      <c r="M174" s="251" t="s">
        <v>1970</v>
      </c>
      <c r="N174" s="344" t="s">
        <v>1978</v>
      </c>
      <c r="O174" s="344" t="s">
        <v>1978</v>
      </c>
      <c r="P174" s="344" t="s">
        <v>1978</v>
      </c>
      <c r="Q174" s="344" t="s">
        <v>1978</v>
      </c>
      <c r="R174" s="344" t="s">
        <v>1978</v>
      </c>
      <c r="S174" s="344" t="s">
        <v>1978</v>
      </c>
      <c r="T174" s="251" t="s">
        <v>915</v>
      </c>
      <c r="U174" s="251" t="s">
        <v>2165</v>
      </c>
      <c r="V174" s="251" t="s">
        <v>1970</v>
      </c>
      <c r="W174" s="251" t="s">
        <v>1970</v>
      </c>
      <c r="X174" s="344">
        <f>'A123'!J182</f>
        <v>75</v>
      </c>
      <c r="Y174" s="344" t="str">
        <f>'A123'!K182</f>
        <v>/</v>
      </c>
      <c r="Z174" s="344" t="str">
        <f>'A123'!L182</f>
        <v>新科目</v>
      </c>
      <c r="AA174" s="344" t="s">
        <v>2165</v>
      </c>
      <c r="AB174" s="344" t="str">
        <f>入學要求!X183</f>
        <v>以下一科選修取得Lv.3︰M1/2、生物、化學、組合科學、物理</v>
      </c>
      <c r="AC174" s="344" t="str">
        <f>入學要求!Y183</f>
        <v>/</v>
      </c>
      <c r="AD174" s="373" t="s">
        <v>2171</v>
      </c>
      <c r="AE174" s="344" t="s">
        <v>3076</v>
      </c>
      <c r="AF174" s="344" t="s">
        <v>3121</v>
      </c>
      <c r="AG174" s="344" t="s">
        <v>3123</v>
      </c>
      <c r="AH174" s="344" t="s">
        <v>3124</v>
      </c>
      <c r="AI174" s="344" t="s">
        <v>3087</v>
      </c>
      <c r="AJ174" s="344" t="s">
        <v>1970</v>
      </c>
      <c r="AK174" s="251" t="s">
        <v>1970</v>
      </c>
      <c r="AL174" s="251" t="s">
        <v>1970</v>
      </c>
      <c r="AM174" s="251" t="s">
        <v>1970</v>
      </c>
      <c r="AN174" s="251" t="s">
        <v>1970</v>
      </c>
      <c r="AO174" s="251" t="s">
        <v>1970</v>
      </c>
      <c r="AP174" s="251" t="s">
        <v>1970</v>
      </c>
      <c r="AQ174" s="344" t="s">
        <v>1970</v>
      </c>
      <c r="AR174" s="428" t="s">
        <v>2150</v>
      </c>
      <c r="AS174" s="251" t="s">
        <v>3603</v>
      </c>
      <c r="AT174" s="251" t="s">
        <v>3659</v>
      </c>
      <c r="AU174" s="251" t="s">
        <v>1970</v>
      </c>
      <c r="AV174" s="344" t="s">
        <v>3735</v>
      </c>
      <c r="AW174" s="344" t="s">
        <v>3736</v>
      </c>
      <c r="AX174" s="344" t="s">
        <v>3771</v>
      </c>
      <c r="AY174" s="344" t="s">
        <v>3722</v>
      </c>
      <c r="AZ174" s="344" t="s">
        <v>3737</v>
      </c>
      <c r="BA174" s="381" t="s">
        <v>3725</v>
      </c>
      <c r="BB174" s="344" t="s">
        <v>1970</v>
      </c>
      <c r="BC174" s="344" t="s">
        <v>1970</v>
      </c>
      <c r="BD174" s="344" t="s">
        <v>1970</v>
      </c>
      <c r="BE174" s="344" t="s">
        <v>1970</v>
      </c>
      <c r="BF174" s="344" t="s">
        <v>1970</v>
      </c>
      <c r="BG174" s="344" t="s">
        <v>1970</v>
      </c>
      <c r="BH174" s="344" t="s">
        <v>1970</v>
      </c>
      <c r="BI174" s="344" t="s">
        <v>1970</v>
      </c>
      <c r="BJ174" s="344" t="s">
        <v>1970</v>
      </c>
      <c r="BK174" s="344" t="s">
        <v>1970</v>
      </c>
      <c r="BL174" s="344" t="s">
        <v>1970</v>
      </c>
      <c r="BM174" s="344" t="s">
        <v>1970</v>
      </c>
      <c r="BN174" s="344" t="s">
        <v>1970</v>
      </c>
      <c r="BO174" s="344" t="s">
        <v>1970</v>
      </c>
      <c r="BP174" s="344" t="s">
        <v>1970</v>
      </c>
      <c r="BQ174" s="344" t="s">
        <v>1970</v>
      </c>
      <c r="BR174" s="344" t="s">
        <v>1970</v>
      </c>
      <c r="BS174" s="344" t="s">
        <v>1970</v>
      </c>
      <c r="BT174" s="344" t="s">
        <v>1970</v>
      </c>
      <c r="BU174" s="344" t="s">
        <v>1970</v>
      </c>
      <c r="BV174" s="344" t="s">
        <v>1970</v>
      </c>
      <c r="BW174" s="344" t="s">
        <v>1970</v>
      </c>
      <c r="BX174" s="344" t="s">
        <v>1970</v>
      </c>
      <c r="BY174" s="344" t="s">
        <v>1970</v>
      </c>
      <c r="BZ174" s="344" t="b">
        <f t="shared" si="472"/>
        <v>0</v>
      </c>
      <c r="CA174" s="344" t="b">
        <f t="shared" si="473"/>
        <v>0</v>
      </c>
      <c r="CB174" s="344" t="b">
        <f t="shared" si="474"/>
        <v>0</v>
      </c>
      <c r="CC174" s="344" t="b">
        <f t="shared" si="475"/>
        <v>0</v>
      </c>
      <c r="CD174" s="344" t="b">
        <f t="shared" si="468"/>
        <v>0</v>
      </c>
      <c r="CE174" s="344" t="b">
        <f t="shared" si="469"/>
        <v>0</v>
      </c>
      <c r="CF174" s="344" t="b">
        <f t="shared" si="470"/>
        <v>0</v>
      </c>
      <c r="CG174" s="344" t="b">
        <f t="shared" si="471"/>
        <v>0</v>
      </c>
      <c r="CH174" s="344" t="s">
        <v>1970</v>
      </c>
      <c r="CI174" s="344" t="s">
        <v>1970</v>
      </c>
      <c r="CJ174" s="344" t="s">
        <v>1970</v>
      </c>
      <c r="CK174" s="344" t="s">
        <v>1970</v>
      </c>
      <c r="CL174" s="344" t="s">
        <v>1970</v>
      </c>
      <c r="CM174" s="344" t="s">
        <v>1970</v>
      </c>
      <c r="CN174" s="344" t="s">
        <v>1970</v>
      </c>
      <c r="CO174" s="344" t="s">
        <v>1970</v>
      </c>
      <c r="CP174" s="251" t="e">
        <v>#VALUE!</v>
      </c>
      <c r="CQ174" s="251" t="e">
        <v>#VALUE!</v>
      </c>
      <c r="CR174" s="251" t="e">
        <v>#VALUE!</v>
      </c>
      <c r="CS174" s="251" t="e">
        <v>#VALUE!</v>
      </c>
      <c r="CT174" s="251" t="e">
        <v>#VALUE!</v>
      </c>
      <c r="CU174" s="251" t="e">
        <v>#VALUE!</v>
      </c>
      <c r="CV174" s="251" t="e">
        <v>#VALUE!</v>
      </c>
      <c r="CW174" s="251" t="e">
        <v>#VALUE!</v>
      </c>
      <c r="CX174" s="344" t="e">
        <f t="shared" si="449"/>
        <v>#VALUE!</v>
      </c>
      <c r="CY174" s="344" t="e">
        <f t="shared" si="417"/>
        <v>#VALUE!</v>
      </c>
      <c r="CZ174" s="344" t="e">
        <f t="shared" si="418"/>
        <v>#VALUE!</v>
      </c>
      <c r="DA174" s="344" t="e">
        <f t="shared" si="419"/>
        <v>#VALUE!</v>
      </c>
      <c r="DB174" s="344" t="e">
        <f t="shared" si="420"/>
        <v>#VALUE!</v>
      </c>
      <c r="DC174" s="344" t="e">
        <f t="shared" si="421"/>
        <v>#VALUE!</v>
      </c>
      <c r="DD174" s="344" t="e">
        <f t="shared" si="422"/>
        <v>#VALUE!</v>
      </c>
      <c r="DE174" s="344" t="e">
        <f t="shared" si="423"/>
        <v>#VALUE!</v>
      </c>
      <c r="DF174" s="344" t="b">
        <f t="shared" si="462"/>
        <v>0</v>
      </c>
      <c r="DG174" s="344" t="b">
        <f t="shared" si="463"/>
        <v>0</v>
      </c>
      <c r="DH174" s="344" t="b">
        <f t="shared" si="464"/>
        <v>0</v>
      </c>
      <c r="DI174" s="344" t="b">
        <f t="shared" si="465"/>
        <v>0</v>
      </c>
      <c r="DJ174" s="344" t="b">
        <f t="shared" si="428"/>
        <v>0</v>
      </c>
      <c r="DK174" s="344" t="b">
        <f t="shared" si="429"/>
        <v>0</v>
      </c>
      <c r="DL174" s="344" t="b">
        <f t="shared" si="430"/>
        <v>0</v>
      </c>
      <c r="DM174" s="344" t="b">
        <f t="shared" si="431"/>
        <v>0</v>
      </c>
      <c r="DN174" s="344" t="s">
        <v>1970</v>
      </c>
      <c r="DO174" s="344" t="s">
        <v>1970</v>
      </c>
      <c r="DP174" s="344" t="s">
        <v>1970</v>
      </c>
      <c r="DQ174" s="344" t="s">
        <v>1970</v>
      </c>
      <c r="DR174" s="344" t="s">
        <v>1970</v>
      </c>
      <c r="DS174" s="344" t="s">
        <v>1970</v>
      </c>
      <c r="DT174" s="344" t="s">
        <v>1970</v>
      </c>
      <c r="DU174" s="344" t="s">
        <v>1970</v>
      </c>
      <c r="DV174" s="251" t="e">
        <v>#VALUE!</v>
      </c>
      <c r="DW174" s="251" t="e">
        <v>#VALUE!</v>
      </c>
      <c r="DX174" s="251" t="e">
        <v>#VALUE!</v>
      </c>
      <c r="DY174" s="251" t="e">
        <v>#VALUE!</v>
      </c>
      <c r="DZ174" s="251" t="e">
        <v>#VALUE!</v>
      </c>
      <c r="EA174" s="251" t="e">
        <v>#VALUE!</v>
      </c>
      <c r="EB174" s="251" t="e">
        <v>#VALUE!</v>
      </c>
      <c r="EC174" s="251" t="e">
        <v>#VALUE!</v>
      </c>
      <c r="ED174" s="344" t="e">
        <f t="shared" si="450"/>
        <v>#VALUE!</v>
      </c>
      <c r="EE174" s="344" t="e">
        <f t="shared" si="451"/>
        <v>#VALUE!</v>
      </c>
      <c r="EF174" s="344" t="e">
        <f t="shared" si="452"/>
        <v>#VALUE!</v>
      </c>
      <c r="EG174" s="344" t="e">
        <f t="shared" si="453"/>
        <v>#VALUE!</v>
      </c>
      <c r="EH174" s="344" t="e">
        <f t="shared" si="454"/>
        <v>#VALUE!</v>
      </c>
      <c r="EI174" s="344" t="e">
        <f t="shared" si="455"/>
        <v>#VALUE!</v>
      </c>
      <c r="EJ174" s="344" t="e">
        <f t="shared" si="456"/>
        <v>#VALUE!</v>
      </c>
      <c r="EK174" s="344" t="e">
        <f t="shared" si="457"/>
        <v>#VALUE!</v>
      </c>
      <c r="EL174" s="344" t="b">
        <f t="shared" si="433"/>
        <v>0</v>
      </c>
      <c r="EM174" s="344" t="b">
        <f t="shared" si="434"/>
        <v>0</v>
      </c>
      <c r="EN174" s="344" t="b">
        <f t="shared" si="435"/>
        <v>0</v>
      </c>
      <c r="EO174" s="344" t="b">
        <f t="shared" si="436"/>
        <v>0</v>
      </c>
      <c r="EP174" s="344" t="b">
        <f t="shared" si="437"/>
        <v>0</v>
      </c>
      <c r="EQ174" s="344" t="b">
        <f t="shared" si="438"/>
        <v>0</v>
      </c>
      <c r="ER174" s="344" t="b">
        <f t="shared" si="439"/>
        <v>0</v>
      </c>
      <c r="ES174" s="344" t="b">
        <f t="shared" si="440"/>
        <v>0</v>
      </c>
    </row>
    <row r="175" spans="1:149" s="251" customFormat="1" x14ac:dyDescent="0.3">
      <c r="A175" s="251" t="s">
        <v>918</v>
      </c>
      <c r="B175" s="251" t="s">
        <v>2247</v>
      </c>
      <c r="C175" s="344" t="s">
        <v>2201</v>
      </c>
      <c r="D175" s="251" t="s">
        <v>921</v>
      </c>
      <c r="E175" s="251" t="s">
        <v>2187</v>
      </c>
      <c r="F175" s="344" t="s">
        <v>1970</v>
      </c>
      <c r="G175" s="344" t="s">
        <v>1978</v>
      </c>
      <c r="H175" s="344" t="s">
        <v>1978</v>
      </c>
      <c r="I175" s="251" t="s">
        <v>1970</v>
      </c>
      <c r="J175" s="251" t="s">
        <v>1970</v>
      </c>
      <c r="K175" s="251" t="s">
        <v>1970</v>
      </c>
      <c r="L175" s="251" t="s">
        <v>1970</v>
      </c>
      <c r="M175" s="251" t="s">
        <v>1970</v>
      </c>
      <c r="N175" s="344" t="s">
        <v>1978</v>
      </c>
      <c r="O175" s="344" t="s">
        <v>1978</v>
      </c>
      <c r="P175" s="344" t="s">
        <v>1978</v>
      </c>
      <c r="Q175" s="344" t="s">
        <v>1978</v>
      </c>
      <c r="R175" s="344" t="s">
        <v>1978</v>
      </c>
      <c r="S175" s="344" t="s">
        <v>1978</v>
      </c>
      <c r="T175" s="251" t="s">
        <v>919</v>
      </c>
      <c r="U175" s="251" t="s">
        <v>2165</v>
      </c>
      <c r="V175" s="251" t="s">
        <v>1970</v>
      </c>
      <c r="W175" s="251" t="s">
        <v>1970</v>
      </c>
      <c r="X175" s="344">
        <f>'A123'!J183</f>
        <v>53</v>
      </c>
      <c r="Y175" s="344" t="str">
        <f>'A123'!K183</f>
        <v>/</v>
      </c>
      <c r="Z175" s="344" t="str">
        <f>'A123'!L183</f>
        <v>新科目</v>
      </c>
      <c r="AA175" s="344" t="s">
        <v>2165</v>
      </c>
      <c r="AB175" s="344" t="str">
        <f>入學要求!X184</f>
        <v>/</v>
      </c>
      <c r="AC175" s="344" t="str">
        <f>入學要求!Y184</f>
        <v>/</v>
      </c>
      <c r="AD175" s="373" t="s">
        <v>2171</v>
      </c>
      <c r="AE175" s="344" t="s">
        <v>3076</v>
      </c>
      <c r="AF175" s="344" t="s">
        <v>3077</v>
      </c>
      <c r="AG175" s="344" t="s">
        <v>3125</v>
      </c>
      <c r="AH175" s="344" t="s">
        <v>3087</v>
      </c>
      <c r="AI175" s="251" t="s">
        <v>1970</v>
      </c>
      <c r="AJ175" s="344" t="s">
        <v>1970</v>
      </c>
      <c r="AK175" s="251" t="s">
        <v>1970</v>
      </c>
      <c r="AL175" s="251" t="s">
        <v>1970</v>
      </c>
      <c r="AM175" s="251" t="s">
        <v>1970</v>
      </c>
      <c r="AN175" s="251" t="s">
        <v>1970</v>
      </c>
      <c r="AO175" s="251" t="s">
        <v>1970</v>
      </c>
      <c r="AP175" s="251" t="s">
        <v>1970</v>
      </c>
      <c r="AQ175" s="344" t="s">
        <v>1970</v>
      </c>
      <c r="AR175" s="428" t="s">
        <v>2150</v>
      </c>
      <c r="AS175" s="251" t="s">
        <v>3603</v>
      </c>
      <c r="AT175" s="251" t="s">
        <v>3657</v>
      </c>
      <c r="AU175" s="251" t="s">
        <v>1970</v>
      </c>
      <c r="AV175" s="344" t="s">
        <v>3735</v>
      </c>
      <c r="AW175" s="344" t="s">
        <v>3736</v>
      </c>
      <c r="AX175" s="344" t="s">
        <v>3772</v>
      </c>
      <c r="AY175" s="344" t="s">
        <v>3722</v>
      </c>
      <c r="AZ175" s="344" t="s">
        <v>3737</v>
      </c>
      <c r="BA175" s="381" t="s">
        <v>3725</v>
      </c>
      <c r="BB175" s="344" t="s">
        <v>1970</v>
      </c>
      <c r="BC175" s="344" t="s">
        <v>1970</v>
      </c>
      <c r="BD175" s="344" t="s">
        <v>1970</v>
      </c>
      <c r="BE175" s="344" t="s">
        <v>1970</v>
      </c>
      <c r="BF175" s="344" t="s">
        <v>1970</v>
      </c>
      <c r="BG175" s="344" t="s">
        <v>1970</v>
      </c>
      <c r="BH175" s="344" t="s">
        <v>1970</v>
      </c>
      <c r="BI175" s="344" t="s">
        <v>1970</v>
      </c>
      <c r="BJ175" s="344" t="s">
        <v>1970</v>
      </c>
      <c r="BK175" s="344" t="s">
        <v>1970</v>
      </c>
      <c r="BL175" s="344" t="s">
        <v>1970</v>
      </c>
      <c r="BM175" s="344" t="s">
        <v>1970</v>
      </c>
      <c r="BN175" s="344" t="s">
        <v>1970</v>
      </c>
      <c r="BO175" s="344" t="s">
        <v>1970</v>
      </c>
      <c r="BP175" s="344" t="s">
        <v>1970</v>
      </c>
      <c r="BQ175" s="344" t="s">
        <v>1970</v>
      </c>
      <c r="BR175" s="344" t="s">
        <v>1970</v>
      </c>
      <c r="BS175" s="344" t="s">
        <v>1970</v>
      </c>
      <c r="BT175" s="344" t="s">
        <v>1970</v>
      </c>
      <c r="BU175" s="344" t="s">
        <v>1970</v>
      </c>
      <c r="BV175" s="344" t="s">
        <v>1970</v>
      </c>
      <c r="BW175" s="344" t="s">
        <v>1970</v>
      </c>
      <c r="BX175" s="344" t="s">
        <v>1970</v>
      </c>
      <c r="BY175" s="344" t="s">
        <v>1970</v>
      </c>
      <c r="BZ175" s="344" t="b">
        <f t="shared" si="472"/>
        <v>0</v>
      </c>
      <c r="CA175" s="344" t="b">
        <f t="shared" si="473"/>
        <v>0</v>
      </c>
      <c r="CB175" s="344" t="b">
        <f t="shared" si="474"/>
        <v>0</v>
      </c>
      <c r="CC175" s="344" t="b">
        <f t="shared" si="475"/>
        <v>0</v>
      </c>
      <c r="CD175" s="344" t="b">
        <f t="shared" si="468"/>
        <v>0</v>
      </c>
      <c r="CE175" s="344" t="b">
        <f t="shared" si="469"/>
        <v>0</v>
      </c>
      <c r="CF175" s="344" t="b">
        <f t="shared" si="470"/>
        <v>0</v>
      </c>
      <c r="CG175" s="344" t="b">
        <f t="shared" si="471"/>
        <v>0</v>
      </c>
      <c r="CH175" s="344" t="s">
        <v>1970</v>
      </c>
      <c r="CI175" s="344" t="s">
        <v>1970</v>
      </c>
      <c r="CJ175" s="344" t="s">
        <v>1970</v>
      </c>
      <c r="CK175" s="344" t="s">
        <v>1970</v>
      </c>
      <c r="CL175" s="344" t="s">
        <v>1970</v>
      </c>
      <c r="CM175" s="344" t="s">
        <v>1970</v>
      </c>
      <c r="CN175" s="344" t="s">
        <v>1970</v>
      </c>
      <c r="CO175" s="344" t="s">
        <v>1970</v>
      </c>
      <c r="CP175" s="251" t="e">
        <v>#VALUE!</v>
      </c>
      <c r="CQ175" s="251" t="e">
        <v>#VALUE!</v>
      </c>
      <c r="CR175" s="251" t="e">
        <v>#VALUE!</v>
      </c>
      <c r="CS175" s="251" t="e">
        <v>#VALUE!</v>
      </c>
      <c r="CT175" s="251" t="e">
        <v>#VALUE!</v>
      </c>
      <c r="CU175" s="251" t="e">
        <v>#VALUE!</v>
      </c>
      <c r="CV175" s="251" t="e">
        <v>#VALUE!</v>
      </c>
      <c r="CW175" s="251" t="e">
        <v>#VALUE!</v>
      </c>
      <c r="CX175" s="344" t="e">
        <f t="shared" si="449"/>
        <v>#VALUE!</v>
      </c>
      <c r="CY175" s="344" t="e">
        <f t="shared" si="417"/>
        <v>#VALUE!</v>
      </c>
      <c r="CZ175" s="344" t="e">
        <f t="shared" si="418"/>
        <v>#VALUE!</v>
      </c>
      <c r="DA175" s="344" t="e">
        <f t="shared" si="419"/>
        <v>#VALUE!</v>
      </c>
      <c r="DB175" s="344" t="e">
        <f t="shared" si="420"/>
        <v>#VALUE!</v>
      </c>
      <c r="DC175" s="344" t="e">
        <f t="shared" si="421"/>
        <v>#VALUE!</v>
      </c>
      <c r="DD175" s="344" t="e">
        <f t="shared" si="422"/>
        <v>#VALUE!</v>
      </c>
      <c r="DE175" s="344" t="e">
        <f t="shared" si="423"/>
        <v>#VALUE!</v>
      </c>
      <c r="DF175" s="344" t="b">
        <f t="shared" si="462"/>
        <v>0</v>
      </c>
      <c r="DG175" s="344" t="b">
        <f t="shared" si="463"/>
        <v>0</v>
      </c>
      <c r="DH175" s="344" t="b">
        <f t="shared" si="464"/>
        <v>0</v>
      </c>
      <c r="DI175" s="344" t="b">
        <f t="shared" si="465"/>
        <v>0</v>
      </c>
      <c r="DJ175" s="344" t="b">
        <f t="shared" si="428"/>
        <v>0</v>
      </c>
      <c r="DK175" s="344" t="b">
        <f t="shared" si="429"/>
        <v>0</v>
      </c>
      <c r="DL175" s="344" t="b">
        <f t="shared" si="430"/>
        <v>0</v>
      </c>
      <c r="DM175" s="344" t="b">
        <f t="shared" si="431"/>
        <v>0</v>
      </c>
      <c r="DN175" s="344" t="s">
        <v>1970</v>
      </c>
      <c r="DO175" s="344" t="s">
        <v>1970</v>
      </c>
      <c r="DP175" s="344" t="s">
        <v>1970</v>
      </c>
      <c r="DQ175" s="344" t="s">
        <v>1970</v>
      </c>
      <c r="DR175" s="344" t="s">
        <v>1970</v>
      </c>
      <c r="DS175" s="344" t="s">
        <v>1970</v>
      </c>
      <c r="DT175" s="344" t="s">
        <v>1970</v>
      </c>
      <c r="DU175" s="344" t="s">
        <v>1970</v>
      </c>
      <c r="DV175" s="251" t="e">
        <v>#VALUE!</v>
      </c>
      <c r="DW175" s="251" t="e">
        <v>#VALUE!</v>
      </c>
      <c r="DX175" s="251" t="e">
        <v>#VALUE!</v>
      </c>
      <c r="DY175" s="251" t="e">
        <v>#VALUE!</v>
      </c>
      <c r="DZ175" s="251" t="e">
        <v>#VALUE!</v>
      </c>
      <c r="EA175" s="251" t="e">
        <v>#VALUE!</v>
      </c>
      <c r="EB175" s="251" t="e">
        <v>#VALUE!</v>
      </c>
      <c r="EC175" s="251" t="e">
        <v>#VALUE!</v>
      </c>
      <c r="ED175" s="344" t="e">
        <f t="shared" si="450"/>
        <v>#VALUE!</v>
      </c>
      <c r="EE175" s="344" t="e">
        <f t="shared" si="451"/>
        <v>#VALUE!</v>
      </c>
      <c r="EF175" s="344" t="e">
        <f t="shared" si="452"/>
        <v>#VALUE!</v>
      </c>
      <c r="EG175" s="344" t="e">
        <f t="shared" si="453"/>
        <v>#VALUE!</v>
      </c>
      <c r="EH175" s="344" t="e">
        <f t="shared" si="454"/>
        <v>#VALUE!</v>
      </c>
      <c r="EI175" s="344" t="e">
        <f t="shared" si="455"/>
        <v>#VALUE!</v>
      </c>
      <c r="EJ175" s="344" t="e">
        <f t="shared" si="456"/>
        <v>#VALUE!</v>
      </c>
      <c r="EK175" s="344" t="e">
        <f t="shared" si="457"/>
        <v>#VALUE!</v>
      </c>
      <c r="EL175" s="344" t="b">
        <f t="shared" si="433"/>
        <v>0</v>
      </c>
      <c r="EM175" s="344" t="b">
        <f t="shared" si="434"/>
        <v>0</v>
      </c>
      <c r="EN175" s="344" t="b">
        <f t="shared" si="435"/>
        <v>0</v>
      </c>
      <c r="EO175" s="344" t="b">
        <f t="shared" si="436"/>
        <v>0</v>
      </c>
      <c r="EP175" s="344" t="b">
        <f t="shared" si="437"/>
        <v>0</v>
      </c>
      <c r="EQ175" s="344" t="b">
        <f t="shared" si="438"/>
        <v>0</v>
      </c>
      <c r="ER175" s="344" t="b">
        <f t="shared" si="439"/>
        <v>0</v>
      </c>
      <c r="ES175" s="344" t="b">
        <f t="shared" si="440"/>
        <v>0</v>
      </c>
    </row>
    <row r="176" spans="1:149" s="251" customFormat="1" x14ac:dyDescent="0.3">
      <c r="A176" s="251" t="s">
        <v>922</v>
      </c>
      <c r="B176" s="251" t="s">
        <v>2247</v>
      </c>
      <c r="C176" s="344" t="s">
        <v>2201</v>
      </c>
      <c r="D176" s="251" t="s">
        <v>925</v>
      </c>
      <c r="E176" s="251" t="s">
        <v>2171</v>
      </c>
      <c r="F176" s="344">
        <f t="shared" si="441"/>
        <v>44.500000000409997</v>
      </c>
      <c r="G176" s="344">
        <f t="shared" ref="G176:G186" si="476">SUMIF(DF176:DM176,TRUE,CX176:DE176)</f>
        <v>39.000000000390003</v>
      </c>
      <c r="H176" s="344">
        <f t="shared" ref="H176:H186" si="477">SUMIF(BZ176:CG176,TRUE,BR176:BY176)</f>
        <v>38.500000000409997</v>
      </c>
      <c r="I176" s="251" t="s">
        <v>1970</v>
      </c>
      <c r="J176" s="251" t="s">
        <v>1970</v>
      </c>
      <c r="K176" s="344" t="s">
        <v>3084</v>
      </c>
      <c r="L176" s="344" t="s">
        <v>3083</v>
      </c>
      <c r="M176" s="251" t="s">
        <v>1970</v>
      </c>
      <c r="N176" s="344" t="s">
        <v>1978</v>
      </c>
      <c r="O176" s="344" t="s">
        <v>1978</v>
      </c>
      <c r="P176" s="344" t="s">
        <v>1978</v>
      </c>
      <c r="Q176" s="344" t="s">
        <v>1978</v>
      </c>
      <c r="R176" s="344" t="s">
        <v>1978</v>
      </c>
      <c r="S176" s="344" t="s">
        <v>1978</v>
      </c>
      <c r="T176" s="251" t="s">
        <v>923</v>
      </c>
      <c r="U176" s="251" t="s">
        <v>2165</v>
      </c>
      <c r="V176" s="251" t="s">
        <v>1970</v>
      </c>
      <c r="W176" s="251" t="s">
        <v>1970</v>
      </c>
      <c r="X176" s="344">
        <f>'A123'!J184</f>
        <v>44</v>
      </c>
      <c r="Y176" s="344">
        <f>'A123'!K184</f>
        <v>30</v>
      </c>
      <c r="Z176" s="344">
        <f>'A123'!L184</f>
        <v>5.7</v>
      </c>
      <c r="AA176" s="344" t="s">
        <v>2165</v>
      </c>
      <c r="AB176" s="344" t="str">
        <f>入學要求!X185</f>
        <v>以下一科選修取得Lv.3︰M1/2、生物、化學、組合科學、物理</v>
      </c>
      <c r="AC176" s="344" t="str">
        <f>入學要求!Y185</f>
        <v>/</v>
      </c>
      <c r="AD176" s="351" t="s">
        <v>2171</v>
      </c>
      <c r="AE176" s="344" t="s">
        <v>1970</v>
      </c>
      <c r="AF176" s="344" t="s">
        <v>1970</v>
      </c>
      <c r="AG176" s="344" t="s">
        <v>3084</v>
      </c>
      <c r="AH176" s="344" t="s">
        <v>3083</v>
      </c>
      <c r="AI176" s="344" t="s">
        <v>1970</v>
      </c>
      <c r="AJ176" s="344" t="s">
        <v>1970</v>
      </c>
      <c r="AK176" s="251" t="s">
        <v>1970</v>
      </c>
      <c r="AL176" s="251" t="s">
        <v>1970</v>
      </c>
      <c r="AM176" s="251" t="s">
        <v>1970</v>
      </c>
      <c r="AN176" s="251" t="s">
        <v>1970</v>
      </c>
      <c r="AO176" s="251" t="s">
        <v>1970</v>
      </c>
      <c r="AP176" s="251" t="s">
        <v>1970</v>
      </c>
      <c r="AQ176" s="344" t="s">
        <v>1970</v>
      </c>
      <c r="AR176" s="428" t="s">
        <v>2150</v>
      </c>
      <c r="AS176" s="251" t="s">
        <v>3620</v>
      </c>
      <c r="AT176" s="251" t="s">
        <v>3660</v>
      </c>
      <c r="AU176" s="251" t="s">
        <v>3646</v>
      </c>
      <c r="AV176" s="344" t="s">
        <v>3735</v>
      </c>
      <c r="AW176" s="344" t="s">
        <v>3736</v>
      </c>
      <c r="AX176" s="344" t="s">
        <v>3773</v>
      </c>
      <c r="AY176" s="344" t="s">
        <v>3722</v>
      </c>
      <c r="AZ176" s="344" t="s">
        <v>3737</v>
      </c>
      <c r="BA176" s="381" t="s">
        <v>3725</v>
      </c>
      <c r="BB176" s="251">
        <v>1</v>
      </c>
      <c r="BC176" s="251">
        <v>1.5</v>
      </c>
      <c r="BD176" s="251">
        <v>1.5</v>
      </c>
      <c r="BE176" s="251">
        <v>1</v>
      </c>
      <c r="BF176" s="251">
        <v>1</v>
      </c>
      <c r="BG176" s="251">
        <v>1.5</v>
      </c>
      <c r="BH176" s="251">
        <v>1.5</v>
      </c>
      <c r="BI176" s="251">
        <v>1.5</v>
      </c>
      <c r="BJ176" s="251">
        <v>3.00000000001</v>
      </c>
      <c r="BK176" s="251">
        <v>3.00000000002</v>
      </c>
      <c r="BL176" s="251">
        <v>7.00000000003</v>
      </c>
      <c r="BM176" s="251">
        <v>4.00000000004</v>
      </c>
      <c r="BN176" s="251">
        <v>5.50000000005</v>
      </c>
      <c r="BO176" s="251">
        <v>7.00000000006</v>
      </c>
      <c r="BP176" s="251">
        <v>4.00000000007</v>
      </c>
      <c r="BQ176" s="251">
        <v>4.00000000008</v>
      </c>
      <c r="BR176" s="344">
        <f t="shared" si="466"/>
        <v>3.00000000001</v>
      </c>
      <c r="BS176" s="344">
        <f t="shared" si="442"/>
        <v>4.50000000003</v>
      </c>
      <c r="BT176" s="344">
        <f t="shared" si="443"/>
        <v>10.500000000045</v>
      </c>
      <c r="BU176" s="344">
        <f t="shared" si="444"/>
        <v>4.00000000004</v>
      </c>
      <c r="BV176" s="344">
        <f t="shared" si="445"/>
        <v>5.50000000005</v>
      </c>
      <c r="BW176" s="344">
        <f t="shared" si="446"/>
        <v>10.500000000090001</v>
      </c>
      <c r="BX176" s="344">
        <f t="shared" si="447"/>
        <v>6.0000000001050005</v>
      </c>
      <c r="BY176" s="344">
        <f t="shared" si="448"/>
        <v>6.00000000012</v>
      </c>
      <c r="BZ176" s="344" t="b">
        <f t="shared" si="472"/>
        <v>0</v>
      </c>
      <c r="CA176" s="344" t="b">
        <f t="shared" si="473"/>
        <v>0</v>
      </c>
      <c r="CB176" s="344" t="b">
        <f t="shared" si="474"/>
        <v>1</v>
      </c>
      <c r="CC176" s="344" t="b">
        <f t="shared" si="475"/>
        <v>0</v>
      </c>
      <c r="CD176" s="344" t="b">
        <f t="shared" si="468"/>
        <v>1</v>
      </c>
      <c r="CE176" s="344" t="b">
        <f t="shared" si="469"/>
        <v>1</v>
      </c>
      <c r="CF176" s="344" t="b">
        <f t="shared" si="470"/>
        <v>1</v>
      </c>
      <c r="CG176" s="344" t="b">
        <f t="shared" si="471"/>
        <v>1</v>
      </c>
      <c r="CH176" s="344">
        <v>1</v>
      </c>
      <c r="CI176" s="344">
        <v>1.5</v>
      </c>
      <c r="CJ176" s="344">
        <v>1.5</v>
      </c>
      <c r="CK176" s="344">
        <v>1</v>
      </c>
      <c r="CL176" s="344">
        <v>1</v>
      </c>
      <c r="CM176" s="344">
        <v>1.5</v>
      </c>
      <c r="CN176" s="344">
        <v>1.5</v>
      </c>
      <c r="CO176" s="344">
        <v>1.5</v>
      </c>
      <c r="CP176" s="251">
        <v>5.50000000001</v>
      </c>
      <c r="CQ176" s="251">
        <v>5.50000000002</v>
      </c>
      <c r="CR176" s="251">
        <v>4.00000000003</v>
      </c>
      <c r="CS176" s="251">
        <v>4.00000000004</v>
      </c>
      <c r="CT176" s="251">
        <v>5.0000000000000002E-11</v>
      </c>
      <c r="CU176" s="251">
        <v>5.50000000006</v>
      </c>
      <c r="CV176" s="251">
        <v>5.50000000007</v>
      </c>
      <c r="CW176" s="251">
        <v>5.50000000008</v>
      </c>
      <c r="CX176" s="344">
        <f t="shared" si="449"/>
        <v>5.50000000001</v>
      </c>
      <c r="CY176" s="344">
        <f t="shared" si="417"/>
        <v>8.2500000000299991</v>
      </c>
      <c r="CZ176" s="344">
        <f t="shared" si="418"/>
        <v>6.0000000000450004</v>
      </c>
      <c r="DA176" s="344">
        <f t="shared" si="419"/>
        <v>4.00000000004</v>
      </c>
      <c r="DB176" s="344">
        <f t="shared" si="420"/>
        <v>5.0000000000000002E-11</v>
      </c>
      <c r="DC176" s="344">
        <f t="shared" si="421"/>
        <v>8.2500000000900009</v>
      </c>
      <c r="DD176" s="344">
        <f t="shared" si="422"/>
        <v>8.2500000001050005</v>
      </c>
      <c r="DE176" s="344">
        <f t="shared" si="423"/>
        <v>8.25000000012</v>
      </c>
      <c r="DF176" s="344" t="b">
        <f t="shared" si="462"/>
        <v>0</v>
      </c>
      <c r="DG176" s="344" t="b">
        <f t="shared" si="463"/>
        <v>1</v>
      </c>
      <c r="DH176" s="344" t="b">
        <f t="shared" si="464"/>
        <v>1</v>
      </c>
      <c r="DI176" s="344" t="b">
        <f t="shared" si="465"/>
        <v>0</v>
      </c>
      <c r="DJ176" s="344" t="b">
        <f t="shared" si="428"/>
        <v>0</v>
      </c>
      <c r="DK176" s="344" t="b">
        <f t="shared" si="429"/>
        <v>1</v>
      </c>
      <c r="DL176" s="344" t="b">
        <f t="shared" si="430"/>
        <v>1</v>
      </c>
      <c r="DM176" s="344" t="b">
        <f t="shared" si="431"/>
        <v>1</v>
      </c>
      <c r="DN176" s="344">
        <v>1</v>
      </c>
      <c r="DO176" s="344">
        <v>1.5</v>
      </c>
      <c r="DP176" s="344">
        <v>1.5</v>
      </c>
      <c r="DQ176" s="344">
        <v>1</v>
      </c>
      <c r="DR176" s="344">
        <v>1</v>
      </c>
      <c r="DS176" s="344">
        <v>1.5</v>
      </c>
      <c r="DT176" s="344">
        <v>1.5</v>
      </c>
      <c r="DU176" s="344">
        <v>1.5</v>
      </c>
      <c r="DV176" s="251">
        <v>3.00000000001</v>
      </c>
      <c r="DW176" s="251">
        <v>4.00000000002</v>
      </c>
      <c r="DX176" s="251">
        <v>8.5000000000299991</v>
      </c>
      <c r="DY176" s="251">
        <v>4.00000000004</v>
      </c>
      <c r="DZ176" s="251">
        <v>7.00000000005</v>
      </c>
      <c r="EA176" s="251">
        <v>7.00000000006</v>
      </c>
      <c r="EB176" s="251">
        <v>5.50000000007</v>
      </c>
      <c r="EC176" s="251">
        <v>4.00000000008</v>
      </c>
      <c r="ED176" s="344">
        <f t="shared" si="450"/>
        <v>3.00000000001</v>
      </c>
      <c r="EE176" s="344">
        <f t="shared" si="451"/>
        <v>6.00000000003</v>
      </c>
      <c r="EF176" s="344">
        <f t="shared" si="452"/>
        <v>12.750000000044999</v>
      </c>
      <c r="EG176" s="344">
        <f t="shared" si="453"/>
        <v>4.00000000004</v>
      </c>
      <c r="EH176" s="344">
        <f t="shared" si="454"/>
        <v>7.00000000005</v>
      </c>
      <c r="EI176" s="344">
        <f t="shared" si="455"/>
        <v>10.500000000090001</v>
      </c>
      <c r="EJ176" s="344">
        <f t="shared" si="456"/>
        <v>8.2500000001050005</v>
      </c>
      <c r="EK176" s="344">
        <f t="shared" si="457"/>
        <v>6.00000000012</v>
      </c>
      <c r="EL176" s="344" t="b">
        <f t="shared" si="433"/>
        <v>0</v>
      </c>
      <c r="EM176" s="344" t="b">
        <f t="shared" si="434"/>
        <v>0</v>
      </c>
      <c r="EN176" s="344" t="b">
        <f t="shared" si="435"/>
        <v>1</v>
      </c>
      <c r="EO176" s="344" t="b">
        <f t="shared" si="436"/>
        <v>0</v>
      </c>
      <c r="EP176" s="344" t="b">
        <f t="shared" si="437"/>
        <v>1</v>
      </c>
      <c r="EQ176" s="344" t="b">
        <f t="shared" si="438"/>
        <v>1</v>
      </c>
      <c r="ER176" s="344" t="b">
        <f t="shared" si="439"/>
        <v>1</v>
      </c>
      <c r="ES176" s="344" t="b">
        <f t="shared" si="440"/>
        <v>1</v>
      </c>
    </row>
    <row r="177" spans="1:149" s="251" customFormat="1" x14ac:dyDescent="0.3">
      <c r="A177" s="251" t="s">
        <v>927</v>
      </c>
      <c r="B177" s="251" t="s">
        <v>2247</v>
      </c>
      <c r="C177" s="344" t="s">
        <v>2201</v>
      </c>
      <c r="D177" s="251" t="s">
        <v>930</v>
      </c>
      <c r="E177" s="251" t="s">
        <v>2171</v>
      </c>
      <c r="F177" s="344">
        <f t="shared" si="441"/>
        <v>30.250000000380002</v>
      </c>
      <c r="G177" s="344">
        <f t="shared" si="476"/>
        <v>28.750000000380002</v>
      </c>
      <c r="H177" s="344">
        <f t="shared" si="477"/>
        <v>27.250000000325002</v>
      </c>
      <c r="I177" s="251" t="s">
        <v>1970</v>
      </c>
      <c r="J177" s="251" t="s">
        <v>1970</v>
      </c>
      <c r="K177" s="344" t="s">
        <v>3085</v>
      </c>
      <c r="L177" s="344" t="s">
        <v>3086</v>
      </c>
      <c r="M177" s="251" t="s">
        <v>3087</v>
      </c>
      <c r="N177" s="344" t="s">
        <v>1978</v>
      </c>
      <c r="O177" s="344" t="s">
        <v>1978</v>
      </c>
      <c r="P177" s="344" t="s">
        <v>1978</v>
      </c>
      <c r="Q177" s="344" t="s">
        <v>1978</v>
      </c>
      <c r="R177" s="344" t="s">
        <v>1978</v>
      </c>
      <c r="S177" s="344" t="s">
        <v>1978</v>
      </c>
      <c r="T177" s="251" t="s">
        <v>928</v>
      </c>
      <c r="U177" s="251" t="s">
        <v>2165</v>
      </c>
      <c r="V177" s="251" t="s">
        <v>1970</v>
      </c>
      <c r="W177" s="251" t="s">
        <v>1970</v>
      </c>
      <c r="X177" s="344">
        <f>'A123'!J185</f>
        <v>28</v>
      </c>
      <c r="Y177" s="344">
        <f>'A123'!K185</f>
        <v>38</v>
      </c>
      <c r="Z177" s="344">
        <f>'A123'!L185</f>
        <v>6.8421052631578947</v>
      </c>
      <c r="AA177" s="344" t="s">
        <v>2165</v>
      </c>
      <c r="AB177" s="344" t="str">
        <f>入學要求!X186</f>
        <v>以下一科選修取得Lv.3︰M1/2、生物、化學、組合科學、DAT、ICT、物理</v>
      </c>
      <c r="AC177" s="344" t="str">
        <f>入學要求!Y186</f>
        <v>/</v>
      </c>
      <c r="AD177" s="351" t="s">
        <v>2171</v>
      </c>
      <c r="AE177" s="344" t="s">
        <v>1970</v>
      </c>
      <c r="AF177" s="344" t="s">
        <v>1970</v>
      </c>
      <c r="AG177" s="344" t="s">
        <v>3085</v>
      </c>
      <c r="AH177" s="344" t="s">
        <v>3086</v>
      </c>
      <c r="AI177" s="344" t="s">
        <v>3087</v>
      </c>
      <c r="AJ177" s="344" t="s">
        <v>1970</v>
      </c>
      <c r="AK177" s="251" t="s">
        <v>1970</v>
      </c>
      <c r="AL177" s="251" t="s">
        <v>1970</v>
      </c>
      <c r="AM177" s="251" t="s">
        <v>1970</v>
      </c>
      <c r="AN177" s="251" t="s">
        <v>1970</v>
      </c>
      <c r="AO177" s="251" t="s">
        <v>1970</v>
      </c>
      <c r="AP177" s="251" t="s">
        <v>1970</v>
      </c>
      <c r="AQ177" s="344" t="s">
        <v>1970</v>
      </c>
      <c r="AR177" s="428" t="s">
        <v>2150</v>
      </c>
      <c r="AS177" s="251" t="s">
        <v>3603</v>
      </c>
      <c r="AT177" s="251" t="s">
        <v>3654</v>
      </c>
      <c r="AU177" s="251" t="s">
        <v>1970</v>
      </c>
      <c r="AV177" s="344" t="s">
        <v>3735</v>
      </c>
      <c r="AW177" s="344" t="s">
        <v>3736</v>
      </c>
      <c r="AX177" s="344" t="s">
        <v>3774</v>
      </c>
      <c r="AY177" s="344" t="s">
        <v>3722</v>
      </c>
      <c r="AZ177" s="344" t="s">
        <v>3737</v>
      </c>
      <c r="BA177" s="381" t="s">
        <v>3725</v>
      </c>
      <c r="BB177" s="251">
        <v>1</v>
      </c>
      <c r="BC177" s="251">
        <v>1</v>
      </c>
      <c r="BD177" s="251">
        <v>1.5</v>
      </c>
      <c r="BE177" s="251">
        <v>0.5</v>
      </c>
      <c r="BF177" s="251">
        <v>1.5</v>
      </c>
      <c r="BG177" s="251">
        <v>1.5</v>
      </c>
      <c r="BH177" s="251">
        <v>1.5</v>
      </c>
      <c r="BI177" s="251">
        <v>1.5</v>
      </c>
      <c r="BJ177" s="251">
        <v>4.00000000001</v>
      </c>
      <c r="BK177" s="251">
        <v>3.00000000002</v>
      </c>
      <c r="BL177" s="251">
        <v>5.50000000003</v>
      </c>
      <c r="BM177" s="251">
        <v>4.00000000004</v>
      </c>
      <c r="BN177" s="251">
        <v>3.00000000005</v>
      </c>
      <c r="BO177" s="251">
        <v>4.00000000006</v>
      </c>
      <c r="BP177" s="251">
        <v>3.00000000007</v>
      </c>
      <c r="BQ177" s="251">
        <v>7.9999999999999995E-11</v>
      </c>
      <c r="BR177" s="344">
        <f t="shared" si="466"/>
        <v>4.00000000001</v>
      </c>
      <c r="BS177" s="344">
        <f t="shared" si="442"/>
        <v>3.00000000002</v>
      </c>
      <c r="BT177" s="344">
        <f t="shared" si="443"/>
        <v>8.2500000000450004</v>
      </c>
      <c r="BU177" s="344">
        <f t="shared" si="444"/>
        <v>2.00000000002</v>
      </c>
      <c r="BV177" s="344">
        <f t="shared" si="445"/>
        <v>4.5000000000749996</v>
      </c>
      <c r="BW177" s="344">
        <f t="shared" si="446"/>
        <v>6.00000000009</v>
      </c>
      <c r="BX177" s="344">
        <f t="shared" si="447"/>
        <v>4.5000000001050005</v>
      </c>
      <c r="BY177" s="344">
        <f t="shared" si="448"/>
        <v>1.2E-10</v>
      </c>
      <c r="BZ177" s="344" t="b">
        <f t="shared" si="472"/>
        <v>1</v>
      </c>
      <c r="CA177" s="344" t="b">
        <f t="shared" si="473"/>
        <v>0</v>
      </c>
      <c r="CB177" s="344" t="b">
        <f t="shared" si="474"/>
        <v>1</v>
      </c>
      <c r="CC177" s="344" t="b">
        <f t="shared" si="475"/>
        <v>0</v>
      </c>
      <c r="CD177" s="344" t="b">
        <f t="shared" si="468"/>
        <v>1</v>
      </c>
      <c r="CE177" s="344" t="b">
        <f t="shared" si="469"/>
        <v>1</v>
      </c>
      <c r="CF177" s="344" t="b">
        <f t="shared" si="470"/>
        <v>1</v>
      </c>
      <c r="CG177" s="344" t="b">
        <f t="shared" si="471"/>
        <v>0</v>
      </c>
      <c r="CH177" s="344">
        <v>1</v>
      </c>
      <c r="CI177" s="344">
        <v>1</v>
      </c>
      <c r="CJ177" s="344">
        <v>1.5</v>
      </c>
      <c r="CK177" s="344">
        <v>0.5</v>
      </c>
      <c r="CL177" s="344">
        <v>1.5</v>
      </c>
      <c r="CM177" s="344">
        <v>1.5</v>
      </c>
      <c r="CN177" s="344">
        <v>1.5</v>
      </c>
      <c r="CO177" s="344">
        <v>1.5</v>
      </c>
      <c r="CP177" s="251">
        <v>3.00000000001</v>
      </c>
      <c r="CQ177" s="251">
        <v>5.50000000002</v>
      </c>
      <c r="CR177" s="251">
        <v>4.00000000003</v>
      </c>
      <c r="CS177" s="251">
        <v>4.00000000004</v>
      </c>
      <c r="CT177" s="251">
        <v>5.0000000000000002E-11</v>
      </c>
      <c r="CU177" s="251">
        <v>5.50000000006</v>
      </c>
      <c r="CV177" s="251">
        <v>3.00000000007</v>
      </c>
      <c r="CW177" s="251">
        <v>3.00000000008</v>
      </c>
      <c r="CX177" s="344">
        <f t="shared" si="449"/>
        <v>3.00000000001</v>
      </c>
      <c r="CY177" s="344">
        <f t="shared" si="417"/>
        <v>5.50000000002</v>
      </c>
      <c r="CZ177" s="344">
        <f t="shared" si="418"/>
        <v>6.0000000000450004</v>
      </c>
      <c r="DA177" s="344">
        <f t="shared" si="419"/>
        <v>2.00000000002</v>
      </c>
      <c r="DB177" s="344">
        <f t="shared" si="420"/>
        <v>7.5E-11</v>
      </c>
      <c r="DC177" s="344">
        <f t="shared" si="421"/>
        <v>8.2500000000900009</v>
      </c>
      <c r="DD177" s="344">
        <f t="shared" si="422"/>
        <v>4.5000000001050005</v>
      </c>
      <c r="DE177" s="344">
        <f t="shared" si="423"/>
        <v>4.50000000012</v>
      </c>
      <c r="DF177" s="344" t="b">
        <f t="shared" si="462"/>
        <v>0</v>
      </c>
      <c r="DG177" s="344" t="b">
        <f t="shared" si="463"/>
        <v>1</v>
      </c>
      <c r="DH177" s="344" t="b">
        <f t="shared" si="464"/>
        <v>1</v>
      </c>
      <c r="DI177" s="344" t="b">
        <f t="shared" si="465"/>
        <v>0</v>
      </c>
      <c r="DJ177" s="344" t="b">
        <f t="shared" si="428"/>
        <v>0</v>
      </c>
      <c r="DK177" s="344" t="b">
        <f t="shared" si="429"/>
        <v>1</v>
      </c>
      <c r="DL177" s="344" t="b">
        <f t="shared" si="430"/>
        <v>1</v>
      </c>
      <c r="DM177" s="344" t="b">
        <f t="shared" si="431"/>
        <v>1</v>
      </c>
      <c r="DN177" s="344">
        <v>1</v>
      </c>
      <c r="DO177" s="344">
        <v>1</v>
      </c>
      <c r="DP177" s="344">
        <v>1.5</v>
      </c>
      <c r="DQ177" s="344">
        <v>0.5</v>
      </c>
      <c r="DR177" s="344">
        <v>1.5</v>
      </c>
      <c r="DS177" s="344">
        <v>1.5</v>
      </c>
      <c r="DT177" s="344">
        <v>1.5</v>
      </c>
      <c r="DU177" s="344">
        <v>1.5</v>
      </c>
      <c r="DV177" s="251">
        <v>3.00000000001</v>
      </c>
      <c r="DW177" s="251">
        <v>5.50000000002</v>
      </c>
      <c r="DX177" s="251">
        <v>4.00000000003</v>
      </c>
      <c r="DY177" s="251">
        <v>4.00000000004</v>
      </c>
      <c r="DZ177" s="251">
        <v>5.0000000000000002E-11</v>
      </c>
      <c r="EA177" s="251">
        <v>5.50000000006</v>
      </c>
      <c r="EB177" s="251">
        <v>4.00000000007</v>
      </c>
      <c r="EC177" s="251">
        <v>3.00000000008</v>
      </c>
      <c r="ED177" s="344">
        <f t="shared" si="450"/>
        <v>3.00000000001</v>
      </c>
      <c r="EE177" s="344">
        <f t="shared" si="451"/>
        <v>5.50000000002</v>
      </c>
      <c r="EF177" s="344">
        <f t="shared" si="452"/>
        <v>6.0000000000450004</v>
      </c>
      <c r="EG177" s="344">
        <f t="shared" si="453"/>
        <v>2.00000000002</v>
      </c>
      <c r="EH177" s="344">
        <f t="shared" si="454"/>
        <v>7.5E-11</v>
      </c>
      <c r="EI177" s="344">
        <f t="shared" si="455"/>
        <v>8.2500000000900009</v>
      </c>
      <c r="EJ177" s="344">
        <f t="shared" si="456"/>
        <v>6.0000000001050005</v>
      </c>
      <c r="EK177" s="344">
        <f t="shared" si="457"/>
        <v>4.50000000012</v>
      </c>
      <c r="EL177" s="344" t="b">
        <f t="shared" si="433"/>
        <v>0</v>
      </c>
      <c r="EM177" s="344" t="b">
        <f t="shared" si="434"/>
        <v>1</v>
      </c>
      <c r="EN177" s="344" t="b">
        <f t="shared" si="435"/>
        <v>1</v>
      </c>
      <c r="EO177" s="344" t="b">
        <f t="shared" si="436"/>
        <v>0</v>
      </c>
      <c r="EP177" s="344" t="b">
        <f t="shared" si="437"/>
        <v>0</v>
      </c>
      <c r="EQ177" s="344" t="b">
        <f t="shared" si="438"/>
        <v>1</v>
      </c>
      <c r="ER177" s="344" t="b">
        <f t="shared" si="439"/>
        <v>1</v>
      </c>
      <c r="ES177" s="344" t="b">
        <f t="shared" si="440"/>
        <v>1</v>
      </c>
    </row>
    <row r="178" spans="1:149" s="251" customFormat="1" x14ac:dyDescent="0.3">
      <c r="A178" s="251" t="s">
        <v>932</v>
      </c>
      <c r="B178" s="251" t="s">
        <v>2247</v>
      </c>
      <c r="C178" s="344" t="s">
        <v>2201</v>
      </c>
      <c r="D178" s="251" t="s">
        <v>935</v>
      </c>
      <c r="E178" s="251" t="s">
        <v>2171</v>
      </c>
      <c r="F178" s="344">
        <f t="shared" si="441"/>
        <v>58.750000000390003</v>
      </c>
      <c r="G178" s="344">
        <f t="shared" si="476"/>
        <v>56.750000000455003</v>
      </c>
      <c r="H178" s="344">
        <f t="shared" si="477"/>
        <v>53.750000000455003</v>
      </c>
      <c r="I178" s="344" t="s">
        <v>3076</v>
      </c>
      <c r="J178" s="344" t="s">
        <v>3088</v>
      </c>
      <c r="K178" s="344" t="s">
        <v>3078</v>
      </c>
      <c r="L178" s="344" t="s">
        <v>3089</v>
      </c>
      <c r="M178" s="344" t="s">
        <v>2736</v>
      </c>
      <c r="N178" s="344" t="s">
        <v>1978</v>
      </c>
      <c r="O178" s="344" t="s">
        <v>1978</v>
      </c>
      <c r="P178" s="344" t="s">
        <v>1978</v>
      </c>
      <c r="Q178" s="344" t="s">
        <v>1978</v>
      </c>
      <c r="R178" s="344" t="s">
        <v>1978</v>
      </c>
      <c r="S178" s="344" t="s">
        <v>1978</v>
      </c>
      <c r="T178" s="251" t="s">
        <v>933</v>
      </c>
      <c r="U178" s="251" t="s">
        <v>2165</v>
      </c>
      <c r="V178" s="251" t="s">
        <v>1970</v>
      </c>
      <c r="W178" s="251" t="s">
        <v>1970</v>
      </c>
      <c r="X178" s="344">
        <f>'A123'!J186</f>
        <v>30</v>
      </c>
      <c r="Y178" s="344">
        <f>'A123'!K186</f>
        <v>34</v>
      </c>
      <c r="Z178" s="344">
        <f>'A123'!L186</f>
        <v>5.4705882352941178</v>
      </c>
      <c r="AA178" s="344" t="s">
        <v>2165</v>
      </c>
      <c r="AB178" s="344" t="str">
        <f>入學要求!X187</f>
        <v>數學科考獲 Lv.4 及 其他科目考獲優異成績的考生</v>
      </c>
      <c r="AC178" s="344" t="str">
        <f>入學要求!Y187</f>
        <v>/</v>
      </c>
      <c r="AD178" s="351" t="s">
        <v>2171</v>
      </c>
      <c r="AE178" s="344" t="s">
        <v>3076</v>
      </c>
      <c r="AF178" s="344" t="s">
        <v>3088</v>
      </c>
      <c r="AG178" s="344" t="s">
        <v>3078</v>
      </c>
      <c r="AH178" s="344" t="s">
        <v>3089</v>
      </c>
      <c r="AI178" s="344" t="s">
        <v>2736</v>
      </c>
      <c r="AJ178" s="344" t="s">
        <v>1970</v>
      </c>
      <c r="AK178" s="251" t="s">
        <v>1970</v>
      </c>
      <c r="AL178" s="251" t="s">
        <v>1970</v>
      </c>
      <c r="AM178" s="251" t="s">
        <v>1970</v>
      </c>
      <c r="AN178" s="251" t="s">
        <v>1970</v>
      </c>
      <c r="AO178" s="251" t="s">
        <v>1970</v>
      </c>
      <c r="AP178" s="251" t="s">
        <v>1970</v>
      </c>
      <c r="AQ178" s="344" t="s">
        <v>1970</v>
      </c>
      <c r="AR178" s="428" t="s">
        <v>2150</v>
      </c>
      <c r="AS178" s="251" t="s">
        <v>3603</v>
      </c>
      <c r="AT178" s="251" t="s">
        <v>3655</v>
      </c>
      <c r="AU178" s="251" t="s">
        <v>1970</v>
      </c>
      <c r="AV178" s="344" t="s">
        <v>3735</v>
      </c>
      <c r="AW178" s="344" t="s">
        <v>3736</v>
      </c>
      <c r="AX178" s="344" t="s">
        <v>3775</v>
      </c>
      <c r="AY178" s="344" t="s">
        <v>3722</v>
      </c>
      <c r="AZ178" s="344" t="s">
        <v>3737</v>
      </c>
      <c r="BA178" s="381" t="s">
        <v>3725</v>
      </c>
      <c r="BB178" s="251">
        <v>1.25</v>
      </c>
      <c r="BC178" s="251">
        <v>1.25</v>
      </c>
      <c r="BD178" s="251">
        <v>1.75</v>
      </c>
      <c r="BE178" s="251">
        <v>1</v>
      </c>
      <c r="BF178" s="251">
        <v>1.75</v>
      </c>
      <c r="BG178" s="251">
        <v>1.5</v>
      </c>
      <c r="BH178" s="251">
        <v>1.5</v>
      </c>
      <c r="BI178" s="251">
        <v>1.5</v>
      </c>
      <c r="BJ178" s="251">
        <v>3.00000000001</v>
      </c>
      <c r="BK178" s="251">
        <v>5.50000000002</v>
      </c>
      <c r="BL178" s="251">
        <v>8.5000000000299991</v>
      </c>
      <c r="BM178" s="251">
        <v>4.00000000004</v>
      </c>
      <c r="BN178" s="251">
        <v>5.50000000005</v>
      </c>
      <c r="BO178" s="251">
        <v>7.00000000006</v>
      </c>
      <c r="BP178" s="251">
        <v>7.00000000007</v>
      </c>
      <c r="BQ178" s="251">
        <v>5.50000000008</v>
      </c>
      <c r="BR178" s="344">
        <f t="shared" si="466"/>
        <v>3.7500000000125002</v>
      </c>
      <c r="BS178" s="344">
        <f t="shared" si="442"/>
        <v>6.8750000000250004</v>
      </c>
      <c r="BT178" s="344">
        <f t="shared" si="443"/>
        <v>14.875000000052498</v>
      </c>
      <c r="BU178" s="344">
        <f t="shared" si="444"/>
        <v>4.00000000004</v>
      </c>
      <c r="BV178" s="344">
        <f t="shared" si="445"/>
        <v>9.6250000000874998</v>
      </c>
      <c r="BW178" s="344">
        <f t="shared" si="446"/>
        <v>10.500000000090001</v>
      </c>
      <c r="BX178" s="344">
        <f t="shared" si="447"/>
        <v>10.500000000105</v>
      </c>
      <c r="BY178" s="344">
        <f t="shared" si="448"/>
        <v>8.25000000012</v>
      </c>
      <c r="BZ178" s="344" t="b">
        <f t="shared" si="472"/>
        <v>0</v>
      </c>
      <c r="CA178" s="344" t="b">
        <f t="shared" si="473"/>
        <v>0</v>
      </c>
      <c r="CB178" s="344" t="b">
        <f t="shared" si="474"/>
        <v>1</v>
      </c>
      <c r="CC178" s="344" t="b">
        <f t="shared" si="475"/>
        <v>0</v>
      </c>
      <c r="CD178" s="344" t="b">
        <f t="shared" si="468"/>
        <v>1</v>
      </c>
      <c r="CE178" s="344" t="b">
        <f t="shared" si="469"/>
        <v>1</v>
      </c>
      <c r="CF178" s="344" t="b">
        <f t="shared" si="470"/>
        <v>1</v>
      </c>
      <c r="CG178" s="344" t="b">
        <f t="shared" si="471"/>
        <v>1</v>
      </c>
      <c r="CH178" s="344">
        <v>1.25</v>
      </c>
      <c r="CI178" s="344">
        <v>1.25</v>
      </c>
      <c r="CJ178" s="344">
        <v>1.75</v>
      </c>
      <c r="CK178" s="344">
        <v>1</v>
      </c>
      <c r="CL178" s="344">
        <v>1.75</v>
      </c>
      <c r="CM178" s="344">
        <v>1.5</v>
      </c>
      <c r="CN178" s="344">
        <v>1.5</v>
      </c>
      <c r="CO178" s="344">
        <v>1.5</v>
      </c>
      <c r="CP178" s="251">
        <v>3.00000000001</v>
      </c>
      <c r="CQ178" s="251">
        <v>5.50000000002</v>
      </c>
      <c r="CR178" s="251">
        <v>8.5000000000299991</v>
      </c>
      <c r="CS178" s="251">
        <v>3.00000000004</v>
      </c>
      <c r="CT178" s="251">
        <v>8.5000000000499991</v>
      </c>
      <c r="CU178" s="251">
        <v>7.00000000006</v>
      </c>
      <c r="CV178" s="251">
        <v>5.50000000007</v>
      </c>
      <c r="CW178" s="251">
        <v>5.50000000008</v>
      </c>
      <c r="CX178" s="344">
        <f t="shared" si="449"/>
        <v>3.7500000000125002</v>
      </c>
      <c r="CY178" s="344">
        <f t="shared" si="417"/>
        <v>6.8750000000250004</v>
      </c>
      <c r="CZ178" s="344">
        <f t="shared" si="418"/>
        <v>14.875000000052498</v>
      </c>
      <c r="DA178" s="344">
        <f t="shared" si="419"/>
        <v>3.00000000004</v>
      </c>
      <c r="DB178" s="344">
        <f t="shared" si="420"/>
        <v>14.875000000087498</v>
      </c>
      <c r="DC178" s="344">
        <f t="shared" si="421"/>
        <v>10.500000000090001</v>
      </c>
      <c r="DD178" s="344">
        <f t="shared" si="422"/>
        <v>8.2500000001050005</v>
      </c>
      <c r="DE178" s="344">
        <f t="shared" si="423"/>
        <v>8.25000000012</v>
      </c>
      <c r="DF178" s="344" t="b">
        <f t="shared" si="462"/>
        <v>0</v>
      </c>
      <c r="DG178" s="344" t="b">
        <f t="shared" si="463"/>
        <v>0</v>
      </c>
      <c r="DH178" s="344" t="b">
        <f t="shared" si="464"/>
        <v>1</v>
      </c>
      <c r="DI178" s="344" t="b">
        <f t="shared" si="465"/>
        <v>0</v>
      </c>
      <c r="DJ178" s="344" t="b">
        <f t="shared" si="428"/>
        <v>1</v>
      </c>
      <c r="DK178" s="344" t="b">
        <f t="shared" si="429"/>
        <v>1</v>
      </c>
      <c r="DL178" s="344" t="b">
        <f t="shared" si="430"/>
        <v>1</v>
      </c>
      <c r="DM178" s="344" t="b">
        <f t="shared" si="431"/>
        <v>1</v>
      </c>
      <c r="DN178" s="344">
        <v>1.25</v>
      </c>
      <c r="DO178" s="344">
        <v>1.25</v>
      </c>
      <c r="DP178" s="344">
        <v>1.75</v>
      </c>
      <c r="DQ178" s="344">
        <v>1</v>
      </c>
      <c r="DR178" s="344">
        <v>1.75</v>
      </c>
      <c r="DS178" s="344">
        <v>1.5</v>
      </c>
      <c r="DT178" s="344">
        <v>1.5</v>
      </c>
      <c r="DU178" s="344">
        <v>1.5</v>
      </c>
      <c r="DV178" s="251">
        <v>4.00000000001</v>
      </c>
      <c r="DW178" s="251">
        <v>8.50000000002</v>
      </c>
      <c r="DX178" s="251">
        <v>8.5000000000299991</v>
      </c>
      <c r="DY178" s="251">
        <v>4.00000000004</v>
      </c>
      <c r="DZ178" s="251">
        <v>7.00000000005</v>
      </c>
      <c r="EA178" s="251">
        <v>7.00000000006</v>
      </c>
      <c r="EB178" s="251">
        <v>7.00000000007</v>
      </c>
      <c r="EC178" s="251">
        <v>7.00000000008</v>
      </c>
      <c r="ED178" s="344">
        <f t="shared" si="450"/>
        <v>5.0000000000125002</v>
      </c>
      <c r="EE178" s="344">
        <f t="shared" si="451"/>
        <v>10.625000000025</v>
      </c>
      <c r="EF178" s="344">
        <f t="shared" si="452"/>
        <v>14.875000000052498</v>
      </c>
      <c r="EG178" s="344">
        <f t="shared" si="453"/>
        <v>4.00000000004</v>
      </c>
      <c r="EH178" s="344">
        <f t="shared" si="454"/>
        <v>12.2500000000875</v>
      </c>
      <c r="EI178" s="344">
        <f t="shared" si="455"/>
        <v>10.500000000090001</v>
      </c>
      <c r="EJ178" s="344">
        <f t="shared" si="456"/>
        <v>10.500000000105</v>
      </c>
      <c r="EK178" s="344">
        <f t="shared" si="457"/>
        <v>10.50000000012</v>
      </c>
      <c r="EL178" s="344" t="b">
        <f t="shared" si="433"/>
        <v>0</v>
      </c>
      <c r="EM178" s="344" t="b">
        <f t="shared" si="434"/>
        <v>1</v>
      </c>
      <c r="EN178" s="344" t="b">
        <f t="shared" si="435"/>
        <v>1</v>
      </c>
      <c r="EO178" s="344" t="b">
        <f t="shared" si="436"/>
        <v>0</v>
      </c>
      <c r="EP178" s="344" t="b">
        <f t="shared" si="437"/>
        <v>1</v>
      </c>
      <c r="EQ178" s="344" t="b">
        <f t="shared" si="438"/>
        <v>0</v>
      </c>
      <c r="ER178" s="344" t="b">
        <f t="shared" si="439"/>
        <v>1</v>
      </c>
      <c r="ES178" s="344" t="b">
        <f t="shared" si="440"/>
        <v>1</v>
      </c>
    </row>
    <row r="179" spans="1:149" s="251" customFormat="1" x14ac:dyDescent="0.3">
      <c r="A179" s="251" t="s">
        <v>936</v>
      </c>
      <c r="B179" s="251" t="s">
        <v>2247</v>
      </c>
      <c r="C179" s="251" t="s">
        <v>2207</v>
      </c>
      <c r="D179" s="251" t="s">
        <v>939</v>
      </c>
      <c r="E179" s="251" t="s">
        <v>2250</v>
      </c>
      <c r="F179" s="344">
        <f t="shared" si="441"/>
        <v>44.000000000310003</v>
      </c>
      <c r="G179" s="344">
        <f t="shared" si="476"/>
        <v>42.000000000310003</v>
      </c>
      <c r="H179" s="344">
        <f t="shared" si="477"/>
        <v>41.000000000310003</v>
      </c>
      <c r="I179" s="251" t="s">
        <v>3090</v>
      </c>
      <c r="J179" s="251" t="s">
        <v>3091</v>
      </c>
      <c r="K179" s="251" t="s">
        <v>1970</v>
      </c>
      <c r="L179" s="251" t="s">
        <v>1970</v>
      </c>
      <c r="M179" s="251" t="s">
        <v>1970</v>
      </c>
      <c r="N179" s="344" t="s">
        <v>1978</v>
      </c>
      <c r="O179" s="344" t="s">
        <v>1978</v>
      </c>
      <c r="P179" s="344" t="s">
        <v>1978</v>
      </c>
      <c r="Q179" s="344" t="s">
        <v>1978</v>
      </c>
      <c r="R179" s="344" t="s">
        <v>1978</v>
      </c>
      <c r="S179" s="344" t="s">
        <v>1978</v>
      </c>
      <c r="T179" s="251" t="s">
        <v>937</v>
      </c>
      <c r="U179" s="251" t="s">
        <v>2150</v>
      </c>
      <c r="V179" s="251" t="s">
        <v>1970</v>
      </c>
      <c r="W179" s="251" t="s">
        <v>1970</v>
      </c>
      <c r="X179" s="344" t="str">
        <f>'A123'!J187</f>
        <v>295*</v>
      </c>
      <c r="Y179" s="344">
        <f>'A123'!K187</f>
        <v>153</v>
      </c>
      <c r="Z179" s="344">
        <f>'A123'!L187</f>
        <v>3.1764705882352939</v>
      </c>
      <c r="AA179" s="344" t="s">
        <v>2150</v>
      </c>
      <c r="AB179" s="344" t="str">
        <f>入學要求!X188</f>
        <v>以下一科選修取得Lv.3︰生物、化學</v>
      </c>
      <c r="AC179" s="344" t="str">
        <f>入學要求!Y188</f>
        <v>/</v>
      </c>
      <c r="AD179" s="344" t="s">
        <v>2250</v>
      </c>
      <c r="AE179" s="344" t="s">
        <v>3090</v>
      </c>
      <c r="AF179" s="344" t="s">
        <v>3091</v>
      </c>
      <c r="AG179" s="344" t="s">
        <v>1970</v>
      </c>
      <c r="AH179" s="344" t="s">
        <v>1970</v>
      </c>
      <c r="AI179" s="344" t="s">
        <v>1970</v>
      </c>
      <c r="AJ179" s="344" t="s">
        <v>1970</v>
      </c>
      <c r="AK179" s="251" t="s">
        <v>1970</v>
      </c>
      <c r="AL179" s="251" t="s">
        <v>1970</v>
      </c>
      <c r="AM179" s="251" t="s">
        <v>1970</v>
      </c>
      <c r="AN179" s="251" t="s">
        <v>1970</v>
      </c>
      <c r="AO179" s="251" t="s">
        <v>1970</v>
      </c>
      <c r="AP179" s="251" t="s">
        <v>1970</v>
      </c>
      <c r="AQ179" s="344" t="s">
        <v>1970</v>
      </c>
      <c r="AR179" s="428" t="s">
        <v>3387</v>
      </c>
      <c r="AS179" s="251" t="s">
        <v>3620</v>
      </c>
      <c r="AT179" s="251" t="s">
        <v>3661</v>
      </c>
      <c r="AU179" s="251" t="s">
        <v>3646</v>
      </c>
      <c r="AV179" s="344" t="s">
        <v>3735</v>
      </c>
      <c r="AW179" s="344" t="s">
        <v>3736</v>
      </c>
      <c r="AX179" s="344" t="s">
        <v>3776</v>
      </c>
      <c r="AY179" s="344" t="s">
        <v>3722</v>
      </c>
      <c r="AZ179" s="344" t="s">
        <v>3737</v>
      </c>
      <c r="BA179" s="381" t="s">
        <v>3725</v>
      </c>
      <c r="BB179" s="251">
        <v>1</v>
      </c>
      <c r="BC179" s="344">
        <v>1</v>
      </c>
      <c r="BD179" s="344">
        <v>1</v>
      </c>
      <c r="BE179" s="344">
        <v>1</v>
      </c>
      <c r="BF179" s="344">
        <v>0.5</v>
      </c>
      <c r="BG179" s="344">
        <v>1</v>
      </c>
      <c r="BH179" s="344">
        <v>1</v>
      </c>
      <c r="BI179" s="344">
        <v>1</v>
      </c>
      <c r="BJ179" s="251">
        <v>6.00000000001</v>
      </c>
      <c r="BK179" s="251">
        <v>7.00000000002</v>
      </c>
      <c r="BL179" s="251">
        <v>4.00000000003</v>
      </c>
      <c r="BM179" s="251">
        <v>6.00000000004</v>
      </c>
      <c r="BN179" s="251">
        <v>5.0000000000000002E-11</v>
      </c>
      <c r="BO179" s="251">
        <v>7.00000000006</v>
      </c>
      <c r="BP179" s="251">
        <v>6.00000000007</v>
      </c>
      <c r="BQ179" s="251">
        <v>5.00000000008</v>
      </c>
      <c r="BR179" s="344">
        <f t="shared" si="466"/>
        <v>6.00000000001</v>
      </c>
      <c r="BS179" s="344">
        <f t="shared" si="442"/>
        <v>7.00000000002</v>
      </c>
      <c r="BT179" s="344">
        <f t="shared" si="443"/>
        <v>4.00000000003</v>
      </c>
      <c r="BU179" s="344">
        <f t="shared" si="444"/>
        <v>6.00000000004</v>
      </c>
      <c r="BV179" s="344">
        <f t="shared" si="445"/>
        <v>2.5000000000000001E-11</v>
      </c>
      <c r="BW179" s="344">
        <f t="shared" si="446"/>
        <v>7.00000000006</v>
      </c>
      <c r="BX179" s="344">
        <f t="shared" si="447"/>
        <v>6.00000000007</v>
      </c>
      <c r="BY179" s="344">
        <f t="shared" si="448"/>
        <v>5.00000000008</v>
      </c>
      <c r="BZ179" s="344" t="b">
        <v>1</v>
      </c>
      <c r="CA179" s="344" t="b">
        <v>1</v>
      </c>
      <c r="CB179" s="344" t="b">
        <v>1</v>
      </c>
      <c r="CC179" s="344" t="b">
        <v>1</v>
      </c>
      <c r="CD179" s="344" t="b">
        <f>IF(BV179&gt;LARGE($BV179:$BY179,4),TRUE)</f>
        <v>0</v>
      </c>
      <c r="CE179" s="344" t="b">
        <f t="shared" ref="CE179:CG179" si="478">IF(BW179&gt;LARGE($BV179:$BY179,4),TRUE)</f>
        <v>1</v>
      </c>
      <c r="CF179" s="344" t="b">
        <f t="shared" si="478"/>
        <v>1</v>
      </c>
      <c r="CG179" s="344" t="b">
        <f t="shared" si="478"/>
        <v>1</v>
      </c>
      <c r="CH179" s="344">
        <v>1</v>
      </c>
      <c r="CI179" s="344">
        <v>1</v>
      </c>
      <c r="CJ179" s="344">
        <v>1</v>
      </c>
      <c r="CK179" s="344">
        <v>1</v>
      </c>
      <c r="CL179" s="344">
        <v>0.5</v>
      </c>
      <c r="CM179" s="344">
        <v>1</v>
      </c>
      <c r="CN179" s="344">
        <v>1</v>
      </c>
      <c r="CO179" s="344">
        <v>1</v>
      </c>
      <c r="CP179" s="251">
        <v>5.00000000001</v>
      </c>
      <c r="CQ179" s="251">
        <v>7.00000000002</v>
      </c>
      <c r="CR179" s="251">
        <v>7.00000000003</v>
      </c>
      <c r="CS179" s="251">
        <v>7.00000000004</v>
      </c>
      <c r="CT179" s="251">
        <v>6.00000000005</v>
      </c>
      <c r="CU179" s="251">
        <v>6.00000000006</v>
      </c>
      <c r="CV179" s="251">
        <v>5.00000000007</v>
      </c>
      <c r="CW179" s="251">
        <v>5.00000000008</v>
      </c>
      <c r="CX179" s="344">
        <f t="shared" si="449"/>
        <v>5.00000000001</v>
      </c>
      <c r="CY179" s="344">
        <f t="shared" si="417"/>
        <v>7.00000000002</v>
      </c>
      <c r="CZ179" s="344">
        <f t="shared" si="418"/>
        <v>7.00000000003</v>
      </c>
      <c r="DA179" s="344">
        <f t="shared" si="419"/>
        <v>7.00000000004</v>
      </c>
      <c r="DB179" s="344">
        <f t="shared" si="420"/>
        <v>3.000000000025</v>
      </c>
      <c r="DC179" s="344">
        <f t="shared" si="421"/>
        <v>6.00000000006</v>
      </c>
      <c r="DD179" s="344">
        <f t="shared" si="422"/>
        <v>5.00000000007</v>
      </c>
      <c r="DE179" s="344">
        <f t="shared" si="423"/>
        <v>5.00000000008</v>
      </c>
      <c r="DF179" s="344" t="b">
        <v>1</v>
      </c>
      <c r="DG179" s="344" t="b">
        <v>1</v>
      </c>
      <c r="DH179" s="344" t="b">
        <v>1</v>
      </c>
      <c r="DI179" s="344" t="b">
        <v>1</v>
      </c>
      <c r="DJ179" s="344" t="b">
        <v>0</v>
      </c>
      <c r="DK179" s="344" t="b">
        <f t="shared" ref="DK179" si="479">IF(DC179&gt;LARGE($BV179:$BY179,4),TRUE)</f>
        <v>1</v>
      </c>
      <c r="DL179" s="344" t="b">
        <f t="shared" ref="DL179:DL180" si="480">IF(DD179&gt;LARGE($BV179:$BY179,4),TRUE)</f>
        <v>1</v>
      </c>
      <c r="DM179" s="344" t="b">
        <f t="shared" ref="DM179:DM180" si="481">IF(DE179&gt;LARGE($BV179:$BY179,4),TRUE)</f>
        <v>1</v>
      </c>
      <c r="DN179" s="344">
        <v>1</v>
      </c>
      <c r="DO179" s="344">
        <v>1</v>
      </c>
      <c r="DP179" s="344">
        <v>1</v>
      </c>
      <c r="DQ179" s="344">
        <v>1</v>
      </c>
      <c r="DR179" s="344">
        <v>0.5</v>
      </c>
      <c r="DS179" s="344">
        <v>1</v>
      </c>
      <c r="DT179" s="344">
        <v>1</v>
      </c>
      <c r="DU179" s="344">
        <v>1</v>
      </c>
      <c r="DV179" s="251">
        <v>7.00000000001</v>
      </c>
      <c r="DW179" s="251">
        <v>7.00000000002</v>
      </c>
      <c r="DX179" s="251">
        <v>6.00000000003</v>
      </c>
      <c r="DY179" s="251">
        <v>7.00000000004</v>
      </c>
      <c r="DZ179" s="251">
        <v>5.0000000000000002E-11</v>
      </c>
      <c r="EA179" s="251">
        <v>6.00000000006</v>
      </c>
      <c r="EB179" s="251">
        <v>6.00000000007</v>
      </c>
      <c r="EC179" s="251">
        <v>5.00000000008</v>
      </c>
      <c r="ED179" s="344">
        <f t="shared" si="450"/>
        <v>7.00000000001</v>
      </c>
      <c r="EE179" s="344">
        <f t="shared" si="451"/>
        <v>7.00000000002</v>
      </c>
      <c r="EF179" s="344">
        <f t="shared" si="452"/>
        <v>6.00000000003</v>
      </c>
      <c r="EG179" s="344">
        <f t="shared" si="453"/>
        <v>7.00000000004</v>
      </c>
      <c r="EH179" s="344">
        <f t="shared" si="454"/>
        <v>2.5000000000000001E-11</v>
      </c>
      <c r="EI179" s="344">
        <f t="shared" si="455"/>
        <v>6.00000000006</v>
      </c>
      <c r="EJ179" s="344">
        <f t="shared" si="456"/>
        <v>6.00000000007</v>
      </c>
      <c r="EK179" s="344">
        <f t="shared" si="457"/>
        <v>5.00000000008</v>
      </c>
      <c r="EL179" s="344" t="b">
        <v>1</v>
      </c>
      <c r="EM179" s="344" t="b">
        <v>1</v>
      </c>
      <c r="EN179" s="344" t="b">
        <v>1</v>
      </c>
      <c r="EO179" s="344" t="b">
        <v>1</v>
      </c>
      <c r="EP179" s="344" t="b">
        <f>IF(EH179&gt;LARGE($EH179:$EK179,4),TRUE)</f>
        <v>0</v>
      </c>
      <c r="EQ179" s="344" t="b">
        <f t="shared" ref="EQ179:ES179" si="482">IF(EI179&gt;LARGE($EH179:$EK179,4),TRUE)</f>
        <v>1</v>
      </c>
      <c r="ER179" s="344" t="b">
        <f t="shared" si="482"/>
        <v>1</v>
      </c>
      <c r="ES179" s="344" t="b">
        <f t="shared" si="482"/>
        <v>1</v>
      </c>
    </row>
    <row r="180" spans="1:149" s="251" customFormat="1" x14ac:dyDescent="0.3">
      <c r="A180" s="251" t="s">
        <v>940</v>
      </c>
      <c r="B180" s="251" t="s">
        <v>2247</v>
      </c>
      <c r="C180" s="251" t="s">
        <v>2207</v>
      </c>
      <c r="D180" s="251" t="s">
        <v>943</v>
      </c>
      <c r="E180" s="344" t="s">
        <v>2250</v>
      </c>
      <c r="F180" s="344">
        <f t="shared" si="441"/>
        <v>47.000000000310003</v>
      </c>
      <c r="G180" s="344">
        <f t="shared" si="476"/>
        <v>47.000000000310003</v>
      </c>
      <c r="H180" s="344">
        <f t="shared" si="477"/>
        <v>46.000000000310003</v>
      </c>
      <c r="I180" s="344" t="s">
        <v>3090</v>
      </c>
      <c r="J180" s="344" t="s">
        <v>3091</v>
      </c>
      <c r="K180" s="251" t="s">
        <v>1970</v>
      </c>
      <c r="L180" s="251" t="s">
        <v>1970</v>
      </c>
      <c r="M180" s="251" t="s">
        <v>1970</v>
      </c>
      <c r="N180" s="344" t="s">
        <v>1978</v>
      </c>
      <c r="O180" s="344" t="s">
        <v>1978</v>
      </c>
      <c r="P180" s="344" t="s">
        <v>1978</v>
      </c>
      <c r="Q180" s="344" t="s">
        <v>1978</v>
      </c>
      <c r="R180" s="344" t="s">
        <v>1978</v>
      </c>
      <c r="S180" s="344" t="s">
        <v>1978</v>
      </c>
      <c r="T180" s="251" t="s">
        <v>941</v>
      </c>
      <c r="U180" s="344" t="s">
        <v>2150</v>
      </c>
      <c r="V180" s="251" t="s">
        <v>1970</v>
      </c>
      <c r="W180" s="251" t="s">
        <v>1970</v>
      </c>
      <c r="X180" s="344" t="str">
        <f>'A123'!J188</f>
        <v>30*</v>
      </c>
      <c r="Y180" s="344">
        <f>'A123'!K188</f>
        <v>33</v>
      </c>
      <c r="Z180" s="344">
        <f>'A123'!L188</f>
        <v>2.0909090909090908</v>
      </c>
      <c r="AA180" s="344" t="s">
        <v>2150</v>
      </c>
      <c r="AB180" s="344" t="str">
        <f>入學要求!X189</f>
        <v>以下一科選修取得Lv.3︰生物、化學</v>
      </c>
      <c r="AC180" s="344" t="str">
        <f>入學要求!Y189</f>
        <v>7科不低於46分，並至少有4科5**</v>
      </c>
      <c r="AD180" s="344" t="s">
        <v>2250</v>
      </c>
      <c r="AE180" s="344" t="s">
        <v>3090</v>
      </c>
      <c r="AF180" s="344" t="s">
        <v>3091</v>
      </c>
      <c r="AG180" s="344" t="s">
        <v>1970</v>
      </c>
      <c r="AH180" s="344" t="s">
        <v>1970</v>
      </c>
      <c r="AI180" s="344" t="s">
        <v>1970</v>
      </c>
      <c r="AJ180" s="344" t="s">
        <v>1970</v>
      </c>
      <c r="AK180" s="251" t="s">
        <v>1970</v>
      </c>
      <c r="AL180" s="251" t="s">
        <v>1970</v>
      </c>
      <c r="AM180" s="251" t="s">
        <v>1970</v>
      </c>
      <c r="AN180" s="251" t="s">
        <v>1970</v>
      </c>
      <c r="AO180" s="251" t="s">
        <v>1970</v>
      </c>
      <c r="AP180" s="251" t="s">
        <v>1970</v>
      </c>
      <c r="AQ180" s="344" t="s">
        <v>1970</v>
      </c>
      <c r="AR180" s="428" t="s">
        <v>3387</v>
      </c>
      <c r="AS180" s="251" t="s">
        <v>3620</v>
      </c>
      <c r="AT180" s="251" t="s">
        <v>3661</v>
      </c>
      <c r="AU180" s="251" t="s">
        <v>3646</v>
      </c>
      <c r="AV180" s="344" t="s">
        <v>3735</v>
      </c>
      <c r="AW180" s="344" t="s">
        <v>3736</v>
      </c>
      <c r="AX180" s="344" t="s">
        <v>3777</v>
      </c>
      <c r="AY180" s="344" t="s">
        <v>3722</v>
      </c>
      <c r="AZ180" s="344" t="s">
        <v>3737</v>
      </c>
      <c r="BA180" s="381" t="s">
        <v>3725</v>
      </c>
      <c r="BB180" s="344">
        <v>1</v>
      </c>
      <c r="BC180" s="344">
        <v>1</v>
      </c>
      <c r="BD180" s="344">
        <v>1</v>
      </c>
      <c r="BE180" s="344">
        <v>1</v>
      </c>
      <c r="BF180" s="344">
        <v>0.5</v>
      </c>
      <c r="BG180" s="344">
        <v>1</v>
      </c>
      <c r="BH180" s="344">
        <v>1</v>
      </c>
      <c r="BI180" s="344">
        <v>1</v>
      </c>
      <c r="BJ180" s="251">
        <v>7.00000000001</v>
      </c>
      <c r="BK180" s="251">
        <v>7.00000000002</v>
      </c>
      <c r="BL180" s="251">
        <v>7.00000000003</v>
      </c>
      <c r="BM180" s="251">
        <v>5.00000000004</v>
      </c>
      <c r="BN180" s="251">
        <v>6.00000000005</v>
      </c>
      <c r="BO180" s="251">
        <v>7.00000000006</v>
      </c>
      <c r="BP180" s="251">
        <v>7.00000000007</v>
      </c>
      <c r="BQ180" s="251">
        <v>6.00000000008</v>
      </c>
      <c r="BR180" s="344">
        <f t="shared" si="466"/>
        <v>7.00000000001</v>
      </c>
      <c r="BS180" s="344">
        <f t="shared" si="442"/>
        <v>7.00000000002</v>
      </c>
      <c r="BT180" s="344">
        <f t="shared" si="443"/>
        <v>7.00000000003</v>
      </c>
      <c r="BU180" s="344">
        <f t="shared" si="444"/>
        <v>5.00000000004</v>
      </c>
      <c r="BV180" s="344">
        <f t="shared" si="445"/>
        <v>3.000000000025</v>
      </c>
      <c r="BW180" s="344">
        <f t="shared" si="446"/>
        <v>7.00000000006</v>
      </c>
      <c r="BX180" s="344">
        <f t="shared" si="447"/>
        <v>7.00000000007</v>
      </c>
      <c r="BY180" s="344">
        <f t="shared" si="448"/>
        <v>6.00000000008</v>
      </c>
      <c r="BZ180" s="344" t="b">
        <v>1</v>
      </c>
      <c r="CA180" s="344" t="b">
        <v>1</v>
      </c>
      <c r="CB180" s="344" t="b">
        <v>1</v>
      </c>
      <c r="CC180" s="344" t="b">
        <v>1</v>
      </c>
      <c r="CD180" s="344" t="b">
        <f>IF(BV180&gt;LARGE($BV180:$BY180,4),TRUE)</f>
        <v>0</v>
      </c>
      <c r="CE180" s="344" t="b">
        <f>IF(BW180&gt;LARGE($BV180:$BY180,4),TRUE)</f>
        <v>1</v>
      </c>
      <c r="CF180" s="344" t="b">
        <f t="shared" ref="CF180" si="483">IF(BX180&gt;LARGE($BV180:$BY180,4),TRUE)</f>
        <v>1</v>
      </c>
      <c r="CG180" s="344" t="b">
        <f t="shared" ref="CG180" si="484">IF(BY180&gt;LARGE($BV180:$BY180,4),TRUE)</f>
        <v>1</v>
      </c>
      <c r="CH180" s="344">
        <v>1</v>
      </c>
      <c r="CI180" s="344">
        <v>1</v>
      </c>
      <c r="CJ180" s="344">
        <v>1</v>
      </c>
      <c r="CK180" s="344">
        <v>1</v>
      </c>
      <c r="CL180" s="344">
        <v>0.5</v>
      </c>
      <c r="CM180" s="344">
        <v>1</v>
      </c>
      <c r="CN180" s="344">
        <v>1</v>
      </c>
      <c r="CO180" s="344">
        <v>1</v>
      </c>
      <c r="CP180" s="251">
        <v>6.00000000001</v>
      </c>
      <c r="CQ180" s="251">
        <v>7.00000000002</v>
      </c>
      <c r="CR180" s="251">
        <v>7.00000000003</v>
      </c>
      <c r="CS180" s="251">
        <v>7.00000000004</v>
      </c>
      <c r="CT180" s="251">
        <v>5.0000000000000002E-11</v>
      </c>
      <c r="CU180" s="251">
        <v>7.00000000006</v>
      </c>
      <c r="CV180" s="251">
        <v>7.00000000007</v>
      </c>
      <c r="CW180" s="251">
        <v>6.00000000008</v>
      </c>
      <c r="CX180" s="344">
        <f t="shared" si="449"/>
        <v>6.00000000001</v>
      </c>
      <c r="CY180" s="344">
        <f t="shared" si="417"/>
        <v>7.00000000002</v>
      </c>
      <c r="CZ180" s="344">
        <f t="shared" si="418"/>
        <v>7.00000000003</v>
      </c>
      <c r="DA180" s="344">
        <f t="shared" si="419"/>
        <v>7.00000000004</v>
      </c>
      <c r="DB180" s="344">
        <f t="shared" si="420"/>
        <v>2.5000000000000001E-11</v>
      </c>
      <c r="DC180" s="344">
        <f t="shared" si="421"/>
        <v>7.00000000006</v>
      </c>
      <c r="DD180" s="344">
        <f t="shared" si="422"/>
        <v>7.00000000007</v>
      </c>
      <c r="DE180" s="344">
        <f t="shared" si="423"/>
        <v>6.00000000008</v>
      </c>
      <c r="DF180" s="344" t="b">
        <v>1</v>
      </c>
      <c r="DG180" s="344" t="b">
        <v>1</v>
      </c>
      <c r="DH180" s="344" t="b">
        <v>1</v>
      </c>
      <c r="DI180" s="344" t="b">
        <v>1</v>
      </c>
      <c r="DJ180" s="344" t="b">
        <v>0</v>
      </c>
      <c r="DK180" s="344" t="b">
        <f>IF(DC180&gt;LARGE($BV180:$BY180,4),TRUE)</f>
        <v>1</v>
      </c>
      <c r="DL180" s="344" t="b">
        <f t="shared" si="480"/>
        <v>1</v>
      </c>
      <c r="DM180" s="344" t="b">
        <f t="shared" si="481"/>
        <v>1</v>
      </c>
      <c r="DN180" s="344">
        <v>1</v>
      </c>
      <c r="DO180" s="344">
        <v>1</v>
      </c>
      <c r="DP180" s="344">
        <v>1</v>
      </c>
      <c r="DQ180" s="344">
        <v>1</v>
      </c>
      <c r="DR180" s="344">
        <v>0.5</v>
      </c>
      <c r="DS180" s="344">
        <v>1</v>
      </c>
      <c r="DT180" s="344">
        <v>1</v>
      </c>
      <c r="DU180" s="344">
        <v>1</v>
      </c>
      <c r="DV180" s="251">
        <v>6.00000000001</v>
      </c>
      <c r="DW180" s="251">
        <v>7.00000000002</v>
      </c>
      <c r="DX180" s="251">
        <v>7.00000000003</v>
      </c>
      <c r="DY180" s="251">
        <v>7.00000000004</v>
      </c>
      <c r="DZ180" s="251">
        <v>7.00000000005</v>
      </c>
      <c r="EA180" s="251">
        <v>7.00000000006</v>
      </c>
      <c r="EB180" s="251">
        <v>7.00000000007</v>
      </c>
      <c r="EC180" s="251">
        <v>6.00000000008</v>
      </c>
      <c r="ED180" s="344">
        <f t="shared" si="450"/>
        <v>6.00000000001</v>
      </c>
      <c r="EE180" s="344">
        <f t="shared" si="451"/>
        <v>7.00000000002</v>
      </c>
      <c r="EF180" s="344">
        <f t="shared" si="452"/>
        <v>7.00000000003</v>
      </c>
      <c r="EG180" s="344">
        <f t="shared" si="453"/>
        <v>7.00000000004</v>
      </c>
      <c r="EH180" s="344">
        <f t="shared" si="454"/>
        <v>3.500000000025</v>
      </c>
      <c r="EI180" s="344">
        <f t="shared" si="455"/>
        <v>7.00000000006</v>
      </c>
      <c r="EJ180" s="344">
        <f t="shared" si="456"/>
        <v>7.00000000007</v>
      </c>
      <c r="EK180" s="344">
        <f t="shared" si="457"/>
        <v>6.00000000008</v>
      </c>
      <c r="EL180" s="344" t="b">
        <v>1</v>
      </c>
      <c r="EM180" s="344" t="b">
        <v>1</v>
      </c>
      <c r="EN180" s="344" t="b">
        <v>1</v>
      </c>
      <c r="EO180" s="344" t="b">
        <v>1</v>
      </c>
      <c r="EP180" s="344" t="b">
        <f>IF(EH180&gt;LARGE($EH180:$EK180,4),TRUE)</f>
        <v>0</v>
      </c>
      <c r="EQ180" s="344" t="b">
        <f t="shared" ref="EQ180:ES180" si="485">IF(EI180&gt;LARGE($EH180:$EK180,4),TRUE)</f>
        <v>1</v>
      </c>
      <c r="ER180" s="344" t="b">
        <f t="shared" si="485"/>
        <v>1</v>
      </c>
      <c r="ES180" s="344" t="b">
        <f t="shared" si="485"/>
        <v>1</v>
      </c>
    </row>
    <row r="181" spans="1:149" s="251" customFormat="1" x14ac:dyDescent="0.3">
      <c r="A181" s="251" t="s">
        <v>944</v>
      </c>
      <c r="B181" s="251" t="s">
        <v>2247</v>
      </c>
      <c r="C181" s="251" t="s">
        <v>2207</v>
      </c>
      <c r="D181" s="251" t="s">
        <v>946</v>
      </c>
      <c r="E181" s="251" t="s">
        <v>1967</v>
      </c>
      <c r="F181" s="344">
        <f t="shared" si="441"/>
        <v>39.750000000309996</v>
      </c>
      <c r="G181" s="344">
        <f t="shared" si="476"/>
        <v>37.750000000309996</v>
      </c>
      <c r="H181" s="344">
        <f t="shared" si="477"/>
        <v>36.250000000295003</v>
      </c>
      <c r="I181" s="251" t="s">
        <v>3092</v>
      </c>
      <c r="J181" s="251" t="s">
        <v>3093</v>
      </c>
      <c r="K181" s="344" t="s">
        <v>3094</v>
      </c>
      <c r="L181" s="344" t="s">
        <v>3061</v>
      </c>
      <c r="M181" s="251" t="s">
        <v>1970</v>
      </c>
      <c r="N181" s="344" t="s">
        <v>1978</v>
      </c>
      <c r="O181" s="344" t="s">
        <v>1978</v>
      </c>
      <c r="P181" s="344" t="s">
        <v>1978</v>
      </c>
      <c r="Q181" s="344" t="s">
        <v>1978</v>
      </c>
      <c r="R181" s="344" t="s">
        <v>1978</v>
      </c>
      <c r="S181" s="344" t="s">
        <v>1978</v>
      </c>
      <c r="T181" s="251" t="s">
        <v>649</v>
      </c>
      <c r="U181" s="251" t="s">
        <v>2165</v>
      </c>
      <c r="V181" s="251" t="s">
        <v>1970</v>
      </c>
      <c r="W181" s="251" t="s">
        <v>1970</v>
      </c>
      <c r="X181" s="344">
        <f>'A123'!J189</f>
        <v>217</v>
      </c>
      <c r="Y181" s="344">
        <f>'A123'!K189</f>
        <v>208</v>
      </c>
      <c r="Z181" s="344">
        <f>'A123'!L189</f>
        <v>4.490384615384615</v>
      </c>
      <c r="AA181" s="344" t="s">
        <v>2165</v>
      </c>
      <c r="AB181" s="344" t="str">
        <f>入學要求!X190</f>
        <v>/</v>
      </c>
      <c r="AC181" s="344" t="str">
        <f>入學要求!Y190</f>
        <v>/</v>
      </c>
      <c r="AD181" s="373" t="s">
        <v>1967</v>
      </c>
      <c r="AE181" s="344" t="s">
        <v>3092</v>
      </c>
      <c r="AF181" s="344" t="s">
        <v>3093</v>
      </c>
      <c r="AG181" s="344" t="s">
        <v>3128</v>
      </c>
      <c r="AH181" s="344" t="s">
        <v>3127</v>
      </c>
      <c r="AI181" s="344" t="s">
        <v>1970</v>
      </c>
      <c r="AJ181" s="344" t="s">
        <v>1970</v>
      </c>
      <c r="AK181" s="251" t="s">
        <v>1970</v>
      </c>
      <c r="AL181" s="251" t="s">
        <v>1970</v>
      </c>
      <c r="AM181" s="251" t="s">
        <v>1970</v>
      </c>
      <c r="AN181" s="251" t="s">
        <v>1970</v>
      </c>
      <c r="AO181" s="251" t="s">
        <v>1970</v>
      </c>
      <c r="AP181" s="251" t="s">
        <v>1970</v>
      </c>
      <c r="AQ181" s="344" t="s">
        <v>1970</v>
      </c>
      <c r="AR181" s="428" t="s">
        <v>2150</v>
      </c>
      <c r="AS181" s="251" t="s">
        <v>3610</v>
      </c>
      <c r="AT181" s="251" t="s">
        <v>1970</v>
      </c>
      <c r="AU181" s="251" t="s">
        <v>3646</v>
      </c>
      <c r="AV181" s="344" t="s">
        <v>3735</v>
      </c>
      <c r="AW181" s="344" t="s">
        <v>3736</v>
      </c>
      <c r="AX181" s="344" t="s">
        <v>3778</v>
      </c>
      <c r="AY181" s="344" t="s">
        <v>3722</v>
      </c>
      <c r="AZ181" s="344" t="s">
        <v>3737</v>
      </c>
      <c r="BA181" s="381" t="s">
        <v>3725</v>
      </c>
      <c r="BB181" s="344">
        <v>1</v>
      </c>
      <c r="BC181" s="344">
        <v>1</v>
      </c>
      <c r="BD181" s="344">
        <v>1</v>
      </c>
      <c r="BE181" s="344">
        <v>1</v>
      </c>
      <c r="BF181" s="344">
        <v>1</v>
      </c>
      <c r="BG181" s="344">
        <v>1.5</v>
      </c>
      <c r="BH181" s="344">
        <v>1.5</v>
      </c>
      <c r="BI181" s="344">
        <v>1.5</v>
      </c>
      <c r="BJ181" s="251">
        <v>7.00000000001</v>
      </c>
      <c r="BK181" s="251">
        <v>5.50000000002</v>
      </c>
      <c r="BL181" s="251">
        <v>4.00000000003</v>
      </c>
      <c r="BM181" s="251">
        <v>5.50000000004</v>
      </c>
      <c r="BN181" s="251">
        <v>5.0000000000000002E-11</v>
      </c>
      <c r="BO181" s="251">
        <v>5.50000000006</v>
      </c>
      <c r="BP181" s="251">
        <v>4.00000000007</v>
      </c>
      <c r="BQ181" s="251">
        <v>3.00000000008</v>
      </c>
      <c r="BR181" s="344">
        <f t="shared" si="466"/>
        <v>7.00000000001</v>
      </c>
      <c r="BS181" s="344">
        <f t="shared" si="442"/>
        <v>5.50000000002</v>
      </c>
      <c r="BT181" s="344">
        <f t="shared" si="443"/>
        <v>4.00000000003</v>
      </c>
      <c r="BU181" s="344">
        <f t="shared" si="444"/>
        <v>5.50000000004</v>
      </c>
      <c r="BV181" s="344">
        <f t="shared" si="445"/>
        <v>5.0000000000000002E-11</v>
      </c>
      <c r="BW181" s="344">
        <f t="shared" si="446"/>
        <v>8.2500000000900009</v>
      </c>
      <c r="BX181" s="344">
        <f t="shared" si="447"/>
        <v>6.0000000001050005</v>
      </c>
      <c r="BY181" s="344">
        <f t="shared" si="448"/>
        <v>4.50000000012</v>
      </c>
      <c r="BZ181" s="344" t="b">
        <f t="shared" ref="BZ181:BZ206" si="486">IF($E181="4C2X",TRUE,IF($E181="Best 5",IF(BR181&gt;LARGE($BR181:$BY181,6),TRUE),IF($E181="Best 6",IF(BR181&gt;LARGE($BR181:$BY181,7),TRUE))))</f>
        <v>1</v>
      </c>
      <c r="CA181" s="344" t="b">
        <f t="shared" ref="CA181:CA206" si="487">IF($E181="4C2X",TRUE,IF($E181="Best 5",IF(BS181&gt;LARGE($BR181:$BY181,6),TRUE),IF($E181="Best 6",IF(BS181&gt;LARGE($BR181:$BY181,7),TRUE))))</f>
        <v>1</v>
      </c>
      <c r="CB181" s="344" t="b">
        <f t="shared" ref="CB181:CB206" si="488">IF($E181="4C2X",TRUE,IF($E181="Best 5",IF(BT181&gt;LARGE($BR181:$BY181,6),TRUE),IF($E181="Best 6",IF(BT181&gt;LARGE($BR181:$BY181,7),TRUE))))</f>
        <v>1</v>
      </c>
      <c r="CC181" s="344" t="b">
        <f t="shared" ref="CC181:CC206" si="489">IF($E181="4C2X",TRUE,IF($E181="Best 5",IF(BU181&gt;LARGE($BR181:$BY181,6),TRUE),IF($E181="Best 6",IF(BU181&gt;LARGE($BR181:$BY181,7),TRUE))))</f>
        <v>1</v>
      </c>
      <c r="CD181" s="344" t="b">
        <f t="shared" ref="CD181:CD206" si="490">IF($E181="4C2X",IF(BV181&gt;LARGE($BV181:$BY181,3),TRUE),IF($E181="Best 5",IF(BV181&gt;LARGE($BR181:$BY181,6),TRUE),IF($E181="Best 6",IF(BV181&gt;LARGE($BR181:$BY181,7),TRUE))))</f>
        <v>0</v>
      </c>
      <c r="CE181" s="344" t="b">
        <f t="shared" ref="CE181:CE206" si="491">IF($E181="4C2X",IF(BW181&gt;LARGE($BV181:$BY181,3),TRUE),IF($E181="Best 5",IF(BW181&gt;LARGE($BR181:$BY181,6),TRUE),IF($E181="Best 6",IF(BW181&gt;LARGE($BR181:$BY181,7),TRUE))))</f>
        <v>1</v>
      </c>
      <c r="CF181" s="344" t="b">
        <f t="shared" ref="CF181:CF206" si="492">IF($E181="4C2X",IF(BX181&gt;LARGE($BV181:$BY181,3),TRUE),IF($E181="Best 5",IF(BX181&gt;LARGE($BR181:$BY181,6),TRUE),IF($E181="Best 6",IF(BX181&gt;LARGE($BR181:$BY181,7),TRUE))))</f>
        <v>1</v>
      </c>
      <c r="CG181" s="344" t="b">
        <f t="shared" ref="CG181:CG206" si="493">IF($E181="4C2X",IF(BY181&gt;LARGE($BV181:$BY181,3),TRUE),IF($E181="Best 5",IF(BY181&gt;LARGE($BR181:$BY181,6),TRUE),IF($E181="Best 6",IF(BY181&gt;LARGE($BR181:$BY181,7),TRUE))))</f>
        <v>0</v>
      </c>
      <c r="CH181" s="344">
        <v>1</v>
      </c>
      <c r="CI181" s="344">
        <v>1</v>
      </c>
      <c r="CJ181" s="344">
        <v>1</v>
      </c>
      <c r="CK181" s="344">
        <v>1</v>
      </c>
      <c r="CL181" s="344">
        <v>1</v>
      </c>
      <c r="CM181" s="344">
        <v>1.5</v>
      </c>
      <c r="CN181" s="344">
        <v>1.5</v>
      </c>
      <c r="CO181" s="344">
        <v>1.5</v>
      </c>
      <c r="CP181" s="251">
        <v>4.00000000001</v>
      </c>
      <c r="CQ181" s="251">
        <v>4.00000000002</v>
      </c>
      <c r="CR181" s="251">
        <v>7.00000000003</v>
      </c>
      <c r="CS181" s="251">
        <v>4.00000000004</v>
      </c>
      <c r="CT181" s="251">
        <v>4.00000000005</v>
      </c>
      <c r="CU181" s="251">
        <v>7.00000000006</v>
      </c>
      <c r="CV181" s="251">
        <v>5.50000000007</v>
      </c>
      <c r="CW181" s="251">
        <v>5.50000000008</v>
      </c>
      <c r="CX181" s="344">
        <f t="shared" si="449"/>
        <v>4.00000000001</v>
      </c>
      <c r="CY181" s="344">
        <f t="shared" si="417"/>
        <v>4.00000000002</v>
      </c>
      <c r="CZ181" s="344">
        <f t="shared" si="418"/>
        <v>7.00000000003</v>
      </c>
      <c r="DA181" s="344">
        <f t="shared" si="419"/>
        <v>4.00000000004</v>
      </c>
      <c r="DB181" s="344">
        <f t="shared" si="420"/>
        <v>4.00000000005</v>
      </c>
      <c r="DC181" s="344">
        <f t="shared" si="421"/>
        <v>10.500000000090001</v>
      </c>
      <c r="DD181" s="344">
        <f t="shared" si="422"/>
        <v>8.2500000001050005</v>
      </c>
      <c r="DE181" s="344">
        <f t="shared" si="423"/>
        <v>8.25000000012</v>
      </c>
      <c r="DF181" s="344" t="b">
        <f t="shared" ref="DF181:DF206" si="494">IF($E181="4C2X",TRUE,IF($E181="Best 5",IF(CX181&gt;LARGE($CX181:$DE181,6),TRUE),IF($E181="Best 6",IF(CX181&gt;LARGE($CX181:$DE181,7),TRUE))))</f>
        <v>1</v>
      </c>
      <c r="DG181" s="344" t="b">
        <f t="shared" ref="DG181:DG206" si="495">IF($E181="4C2X",TRUE,IF($E181="Best 5",IF(CY181&gt;LARGE($CX181:$DE181,6),TRUE),IF($E181="Best 6",IF(CY181&gt;LARGE($CX181:$DE181,7),TRUE))))</f>
        <v>1</v>
      </c>
      <c r="DH181" s="344" t="b">
        <f t="shared" ref="DH181:DH206" si="496">IF($E181="4C2X",TRUE,IF($E181="Best 5",IF(CZ181&gt;LARGE($CX181:$DE181,6),TRUE),IF($E181="Best 6",IF(CZ181&gt;LARGE($CX181:$DE181,7),TRUE))))</f>
        <v>1</v>
      </c>
      <c r="DI181" s="344" t="b">
        <f t="shared" ref="DI181:DI206" si="497">IF($E181="4C2X",TRUE,IF($E181="Best 5",IF(DA181&gt;LARGE($CX181:$DE181,6),TRUE),IF($E181="Best 6",IF(DA181&gt;LARGE($CX181:$DE181,7),TRUE))))</f>
        <v>1</v>
      </c>
      <c r="DJ181" s="344" t="b">
        <f t="shared" ref="DJ181:DJ206" si="498">IF($E181="4C2X",IF(DB181&gt;LARGE($DB181:$DE181,3),TRUE),IF($E181="Best 5",IF(DB181&gt;LARGE($CX181:$DE181,6),TRUE),IF($E181="Best 6",IF(DB181&gt;LARGE($CX181:$DE181,7),TRUE))))</f>
        <v>0</v>
      </c>
      <c r="DK181" s="344" t="b">
        <f t="shared" ref="DK181:DK206" si="499">IF($E181="4C2X",IF(DC181&gt;LARGE($DB181:$DE181,3),TRUE),IF($E181="Best 5",IF(DC181&gt;LARGE($CX181:$DE181,6),TRUE),IF($E181="Best 6",IF(DC181&gt;LARGE($CX181:$DE181,7),TRUE))))</f>
        <v>1</v>
      </c>
      <c r="DL181" s="344" t="b">
        <f t="shared" ref="DL181:DL206" si="500">IF($E181="4C2X",IF(DD181&gt;LARGE($DB181:$DE181,3),TRUE),IF($E181="Best 5",IF(DD181&gt;LARGE($CX181:$DE181,6),TRUE),IF($E181="Best 6",IF(DD181&gt;LARGE($CX181:$DE181,7),TRUE))))</f>
        <v>0</v>
      </c>
      <c r="DM181" s="344" t="b">
        <f t="shared" ref="DM181:DM206" si="501">IF($E181="4C2X",IF(DE181&gt;LARGE($DB181:$DE181,3),TRUE),IF($E181="Best 5",IF(DE181&gt;LARGE($CX181:$DE181,6),TRUE),IF($E181="Best 6",IF(DE181&gt;LARGE($CX181:$DE181,7),TRUE))))</f>
        <v>1</v>
      </c>
      <c r="DN181" s="344">
        <v>1</v>
      </c>
      <c r="DO181" s="344">
        <v>1</v>
      </c>
      <c r="DP181" s="344">
        <v>1</v>
      </c>
      <c r="DQ181" s="344">
        <v>1</v>
      </c>
      <c r="DR181" s="344">
        <v>1</v>
      </c>
      <c r="DS181" s="344">
        <v>1.5</v>
      </c>
      <c r="DT181" s="344">
        <v>1.5</v>
      </c>
      <c r="DU181" s="344">
        <v>1.5</v>
      </c>
      <c r="DV181" s="251">
        <v>8.5000000000099991</v>
      </c>
      <c r="DW181" s="251">
        <v>4.00000000002</v>
      </c>
      <c r="DX181" s="251">
        <v>3.00000000003</v>
      </c>
      <c r="DY181" s="251">
        <v>5.50000000004</v>
      </c>
      <c r="DZ181" s="251">
        <v>5.0000000000000002E-11</v>
      </c>
      <c r="EA181" s="251">
        <v>7.00000000006</v>
      </c>
      <c r="EB181" s="251">
        <v>5.50000000007</v>
      </c>
      <c r="EC181" s="251">
        <v>5.50000000008</v>
      </c>
      <c r="ED181" s="344">
        <f t="shared" si="450"/>
        <v>8.5000000000099991</v>
      </c>
      <c r="EE181" s="344">
        <f t="shared" si="451"/>
        <v>4.00000000002</v>
      </c>
      <c r="EF181" s="344">
        <f t="shared" si="452"/>
        <v>3.00000000003</v>
      </c>
      <c r="EG181" s="344">
        <f t="shared" si="453"/>
        <v>5.50000000004</v>
      </c>
      <c r="EH181" s="344">
        <f t="shared" si="454"/>
        <v>5.0000000000000002E-11</v>
      </c>
      <c r="EI181" s="344">
        <f t="shared" si="455"/>
        <v>10.500000000090001</v>
      </c>
      <c r="EJ181" s="344">
        <f t="shared" si="456"/>
        <v>8.2500000001050005</v>
      </c>
      <c r="EK181" s="344">
        <f t="shared" si="457"/>
        <v>8.25000000012</v>
      </c>
      <c r="EL181" s="344" t="b">
        <f t="shared" ref="EL181:EL206" si="502">IF($E181="4C2X",TRUE,IF($E181="Best 5",IF(ED181&gt;LARGE($ED181:$EK181,6),TRUE),IF($E181="Best 6",IF(ED181&gt;LARGE($ED181:$EK181,7),TRUE))))</f>
        <v>1</v>
      </c>
      <c r="EM181" s="344" t="b">
        <f t="shared" ref="EM181:EM206" si="503">IF($E181="4C2X",TRUE,IF($E181="Best 5",IF(EE181&gt;LARGE($ED181:$EK181,6),TRUE),IF($E181="Best 6",IF(EE181&gt;LARGE($ED181:$EK181,7),TRUE))))</f>
        <v>1</v>
      </c>
      <c r="EN181" s="344" t="b">
        <f t="shared" ref="EN181:EN206" si="504">IF($E181="4C2X",TRUE,IF($E181="Best 5",IF(EF181&gt;LARGE($ED181:$EK181,6),TRUE),IF($E181="Best 6",IF(EF181&gt;LARGE($ED181:$EK181,7),TRUE))))</f>
        <v>1</v>
      </c>
      <c r="EO181" s="344" t="b">
        <f t="shared" ref="EO181:EO206" si="505">IF($E181="4C2X",TRUE,IF($E181="Best 5",IF(EG181&gt;LARGE($ED181:$EK181,6),TRUE),IF($E181="Best 6",IF(EG181&gt;LARGE($ED181:$EK181,7),TRUE))))</f>
        <v>1</v>
      </c>
      <c r="EP181" s="344" t="b">
        <f t="shared" ref="EP181:EP206" si="506">IF($E181="4C2X",IF(EH181&gt;LARGE($EH181:$EK181,3),TRUE),IF($E181="Best 5",IF(EH181&gt;LARGE($ED181:$EK181,6),TRUE),IF($E181="Best 6",IF(EH181&gt;LARGE($ED181:$EK181,7),TRUE))))</f>
        <v>0</v>
      </c>
      <c r="EQ181" s="344" t="b">
        <f t="shared" ref="EQ181:EQ206" si="507">IF($E181="4C2X",IF(EI181&gt;LARGE($EH181:$EK181,3),TRUE),IF($E181="Best 5",IF(EI181&gt;LARGE($ED181:$EK181,6),TRUE),IF($E181="Best 6",IF(EI181&gt;LARGE($ED181:$EK181,7),TRUE))))</f>
        <v>1</v>
      </c>
      <c r="ER181" s="344" t="b">
        <f t="shared" ref="ER181:ER206" si="508">IF($E181="4C2X",IF(EJ181&gt;LARGE($EH181:$EK181,3),TRUE),IF($E181="Best 5",IF(EJ181&gt;LARGE($ED181:$EK181,6),TRUE),IF($E181="Best 6",IF(EJ181&gt;LARGE($ED181:$EK181,7),TRUE))))</f>
        <v>0</v>
      </c>
      <c r="ES181" s="344" t="b">
        <f t="shared" ref="ES181:ES206" si="509">IF($E181="4C2X",IF(EK181&gt;LARGE($EH181:$EK181,3),TRUE),IF($E181="Best 5",IF(EK181&gt;LARGE($ED181:$EK181,6),TRUE),IF($E181="Best 6",IF(EK181&gt;LARGE($ED181:$EK181,7),TRUE))))</f>
        <v>1</v>
      </c>
    </row>
    <row r="182" spans="1:149" s="251" customFormat="1" x14ac:dyDescent="0.3">
      <c r="A182" s="251" t="s">
        <v>947</v>
      </c>
      <c r="B182" s="251" t="s">
        <v>2247</v>
      </c>
      <c r="C182" s="251" t="s">
        <v>2207</v>
      </c>
      <c r="D182" s="251" t="s">
        <v>950</v>
      </c>
      <c r="E182" s="344" t="s">
        <v>1967</v>
      </c>
      <c r="F182" s="344">
        <f t="shared" si="441"/>
        <v>37.500000000230003</v>
      </c>
      <c r="G182" s="344">
        <f t="shared" si="476"/>
        <v>36.000000000230003</v>
      </c>
      <c r="H182" s="344">
        <f t="shared" si="477"/>
        <v>34.500000000230003</v>
      </c>
      <c r="I182" s="251" t="s">
        <v>1970</v>
      </c>
      <c r="J182" s="251" t="s">
        <v>1970</v>
      </c>
      <c r="K182" s="251" t="s">
        <v>1970</v>
      </c>
      <c r="L182" s="251" t="s">
        <v>1970</v>
      </c>
      <c r="M182" s="251" t="s">
        <v>1970</v>
      </c>
      <c r="N182" s="344" t="s">
        <v>1978</v>
      </c>
      <c r="O182" s="344" t="s">
        <v>1978</v>
      </c>
      <c r="P182" s="344" t="s">
        <v>1978</v>
      </c>
      <c r="Q182" s="344" t="s">
        <v>1978</v>
      </c>
      <c r="R182" s="344" t="s">
        <v>1978</v>
      </c>
      <c r="S182" s="344" t="s">
        <v>1978</v>
      </c>
      <c r="T182" s="251" t="s">
        <v>948</v>
      </c>
      <c r="U182" s="251" t="s">
        <v>2165</v>
      </c>
      <c r="V182" s="251" t="s">
        <v>1970</v>
      </c>
      <c r="W182" s="251" t="s">
        <v>1970</v>
      </c>
      <c r="X182" s="344">
        <f>'A123'!J190</f>
        <v>59</v>
      </c>
      <c r="Y182" s="344">
        <f>'A123'!K190</f>
        <v>52</v>
      </c>
      <c r="Z182" s="344">
        <f>'A123'!L190</f>
        <v>3.9423076923076925</v>
      </c>
      <c r="AA182" s="344" t="s">
        <v>2165</v>
      </c>
      <c r="AB182" s="344" t="str">
        <f>入學要求!X191</f>
        <v>/</v>
      </c>
      <c r="AC182" s="344" t="str">
        <f>入學要求!Y191</f>
        <v>/</v>
      </c>
      <c r="AD182" s="344" t="s">
        <v>1967</v>
      </c>
      <c r="AE182" s="344" t="s">
        <v>1970</v>
      </c>
      <c r="AF182" s="344" t="s">
        <v>1970</v>
      </c>
      <c r="AG182" s="344" t="s">
        <v>1970</v>
      </c>
      <c r="AH182" s="344" t="s">
        <v>1970</v>
      </c>
      <c r="AI182" s="344" t="s">
        <v>1970</v>
      </c>
      <c r="AJ182" s="344" t="s">
        <v>1970</v>
      </c>
      <c r="AK182" s="251" t="s">
        <v>1970</v>
      </c>
      <c r="AL182" s="251" t="s">
        <v>1970</v>
      </c>
      <c r="AM182" s="251" t="s">
        <v>1970</v>
      </c>
      <c r="AN182" s="251" t="s">
        <v>1970</v>
      </c>
      <c r="AO182" s="251" t="s">
        <v>1970</v>
      </c>
      <c r="AP182" s="251" t="s">
        <v>1970</v>
      </c>
      <c r="AQ182" s="344" t="s">
        <v>1970</v>
      </c>
      <c r="AR182" s="428" t="s">
        <v>3386</v>
      </c>
      <c r="AS182" s="251" t="s">
        <v>3620</v>
      </c>
      <c r="AT182" s="251" t="s">
        <v>3662</v>
      </c>
      <c r="AU182" s="251" t="s">
        <v>3646</v>
      </c>
      <c r="AV182" s="344" t="s">
        <v>3735</v>
      </c>
      <c r="AW182" s="344" t="s">
        <v>3736</v>
      </c>
      <c r="AX182" s="344" t="s">
        <v>3779</v>
      </c>
      <c r="AY182" s="344" t="s">
        <v>3722</v>
      </c>
      <c r="AZ182" s="344" t="s">
        <v>3737</v>
      </c>
      <c r="BA182" s="381" t="s">
        <v>3725</v>
      </c>
      <c r="BB182" s="251">
        <v>1</v>
      </c>
      <c r="BC182" s="344">
        <v>1</v>
      </c>
      <c r="BD182" s="344">
        <v>1</v>
      </c>
      <c r="BE182" s="344">
        <v>1</v>
      </c>
      <c r="BF182" s="344">
        <v>1</v>
      </c>
      <c r="BG182" s="344">
        <v>1</v>
      </c>
      <c r="BH182" s="344">
        <v>1</v>
      </c>
      <c r="BI182" s="344">
        <v>1</v>
      </c>
      <c r="BJ182" s="251">
        <v>7.00000000001</v>
      </c>
      <c r="BK182" s="251">
        <v>5.50000000002</v>
      </c>
      <c r="BL182" s="251">
        <v>5.50000000003</v>
      </c>
      <c r="BM182" s="251">
        <v>5.50000000004</v>
      </c>
      <c r="BN182" s="251">
        <v>5.0000000000000002E-11</v>
      </c>
      <c r="BO182" s="251">
        <v>5.50000000006</v>
      </c>
      <c r="BP182" s="251">
        <v>5.50000000007</v>
      </c>
      <c r="BQ182" s="251">
        <v>4.00000000008</v>
      </c>
      <c r="BR182" s="344">
        <f t="shared" si="466"/>
        <v>7.00000000001</v>
      </c>
      <c r="BS182" s="344">
        <f t="shared" si="442"/>
        <v>5.50000000002</v>
      </c>
      <c r="BT182" s="344">
        <f t="shared" si="443"/>
        <v>5.50000000003</v>
      </c>
      <c r="BU182" s="344">
        <f t="shared" si="444"/>
        <v>5.50000000004</v>
      </c>
      <c r="BV182" s="344">
        <f t="shared" si="445"/>
        <v>5.0000000000000002E-11</v>
      </c>
      <c r="BW182" s="344">
        <f t="shared" si="446"/>
        <v>5.50000000006</v>
      </c>
      <c r="BX182" s="344">
        <f t="shared" si="447"/>
        <v>5.50000000007</v>
      </c>
      <c r="BY182" s="344">
        <f t="shared" si="448"/>
        <v>4.00000000008</v>
      </c>
      <c r="BZ182" s="344" t="b">
        <f t="shared" si="486"/>
        <v>1</v>
      </c>
      <c r="CA182" s="344" t="b">
        <f t="shared" si="487"/>
        <v>1</v>
      </c>
      <c r="CB182" s="344" t="b">
        <f t="shared" si="488"/>
        <v>1</v>
      </c>
      <c r="CC182" s="344" t="b">
        <f t="shared" si="489"/>
        <v>1</v>
      </c>
      <c r="CD182" s="344" t="b">
        <f t="shared" si="490"/>
        <v>0</v>
      </c>
      <c r="CE182" s="344" t="b">
        <f t="shared" si="491"/>
        <v>1</v>
      </c>
      <c r="CF182" s="344" t="b">
        <f t="shared" si="492"/>
        <v>1</v>
      </c>
      <c r="CG182" s="344" t="b">
        <f t="shared" si="493"/>
        <v>0</v>
      </c>
      <c r="CH182" s="344">
        <v>1</v>
      </c>
      <c r="CI182" s="344">
        <v>1</v>
      </c>
      <c r="CJ182" s="344">
        <v>1</v>
      </c>
      <c r="CK182" s="344">
        <v>1</v>
      </c>
      <c r="CL182" s="344">
        <v>1</v>
      </c>
      <c r="CM182" s="344">
        <v>1</v>
      </c>
      <c r="CN182" s="344">
        <v>1</v>
      </c>
      <c r="CO182" s="344">
        <v>1</v>
      </c>
      <c r="CP182" s="251">
        <v>7.00000000001</v>
      </c>
      <c r="CQ182" s="251">
        <v>4.00000000002</v>
      </c>
      <c r="CR182" s="251">
        <v>5.50000000003</v>
      </c>
      <c r="CS182" s="251">
        <v>7.00000000004</v>
      </c>
      <c r="CT182" s="251">
        <v>5.0000000000000002E-11</v>
      </c>
      <c r="CU182" s="251">
        <v>8.50000000006</v>
      </c>
      <c r="CV182" s="251">
        <v>4.00000000007</v>
      </c>
      <c r="CW182" s="251">
        <v>7.9999999999999995E-11</v>
      </c>
      <c r="CX182" s="344">
        <f t="shared" si="449"/>
        <v>7.00000000001</v>
      </c>
      <c r="CY182" s="344">
        <f t="shared" si="417"/>
        <v>4.00000000002</v>
      </c>
      <c r="CZ182" s="344">
        <f t="shared" si="418"/>
        <v>5.50000000003</v>
      </c>
      <c r="DA182" s="344">
        <f t="shared" si="419"/>
        <v>7.00000000004</v>
      </c>
      <c r="DB182" s="344">
        <f t="shared" si="420"/>
        <v>5.0000000000000002E-11</v>
      </c>
      <c r="DC182" s="344">
        <f t="shared" si="421"/>
        <v>8.50000000006</v>
      </c>
      <c r="DD182" s="344">
        <f t="shared" si="422"/>
        <v>4.00000000007</v>
      </c>
      <c r="DE182" s="344">
        <f t="shared" si="423"/>
        <v>7.9999999999999995E-11</v>
      </c>
      <c r="DF182" s="344" t="b">
        <f t="shared" si="494"/>
        <v>1</v>
      </c>
      <c r="DG182" s="344" t="b">
        <f t="shared" si="495"/>
        <v>1</v>
      </c>
      <c r="DH182" s="344" t="b">
        <f t="shared" si="496"/>
        <v>1</v>
      </c>
      <c r="DI182" s="344" t="b">
        <f t="shared" si="497"/>
        <v>1</v>
      </c>
      <c r="DJ182" s="344" t="b">
        <f t="shared" si="498"/>
        <v>0</v>
      </c>
      <c r="DK182" s="344" t="b">
        <f t="shared" si="499"/>
        <v>1</v>
      </c>
      <c r="DL182" s="344" t="b">
        <f t="shared" si="500"/>
        <v>1</v>
      </c>
      <c r="DM182" s="344" t="b">
        <f t="shared" si="501"/>
        <v>0</v>
      </c>
      <c r="DN182" s="344">
        <v>1</v>
      </c>
      <c r="DO182" s="344">
        <v>1</v>
      </c>
      <c r="DP182" s="344">
        <v>1</v>
      </c>
      <c r="DQ182" s="344">
        <v>1</v>
      </c>
      <c r="DR182" s="344">
        <v>1</v>
      </c>
      <c r="DS182" s="344">
        <v>1</v>
      </c>
      <c r="DT182" s="344">
        <v>1</v>
      </c>
      <c r="DU182" s="344">
        <v>1</v>
      </c>
      <c r="DV182" s="251">
        <v>7.00000000001</v>
      </c>
      <c r="DW182" s="251">
        <v>7.00000000002</v>
      </c>
      <c r="DX182" s="251">
        <v>5.50000000003</v>
      </c>
      <c r="DY182" s="251">
        <v>8.50000000004</v>
      </c>
      <c r="DZ182" s="251">
        <v>5.0000000000000002E-11</v>
      </c>
      <c r="EA182" s="251">
        <v>5.50000000006</v>
      </c>
      <c r="EB182" s="251">
        <v>4.00000000007</v>
      </c>
      <c r="EC182" s="251">
        <v>3.00000000008</v>
      </c>
      <c r="ED182" s="344">
        <f t="shared" si="450"/>
        <v>7.00000000001</v>
      </c>
      <c r="EE182" s="344">
        <f t="shared" si="451"/>
        <v>7.00000000002</v>
      </c>
      <c r="EF182" s="344">
        <f t="shared" si="452"/>
        <v>5.50000000003</v>
      </c>
      <c r="EG182" s="344">
        <f t="shared" si="453"/>
        <v>8.50000000004</v>
      </c>
      <c r="EH182" s="344">
        <f t="shared" si="454"/>
        <v>5.0000000000000002E-11</v>
      </c>
      <c r="EI182" s="344">
        <f t="shared" si="455"/>
        <v>5.50000000006</v>
      </c>
      <c r="EJ182" s="344">
        <f t="shared" si="456"/>
        <v>4.00000000007</v>
      </c>
      <c r="EK182" s="344">
        <f t="shared" si="457"/>
        <v>3.00000000008</v>
      </c>
      <c r="EL182" s="344" t="b">
        <f t="shared" si="502"/>
        <v>1</v>
      </c>
      <c r="EM182" s="344" t="b">
        <f t="shared" si="503"/>
        <v>1</v>
      </c>
      <c r="EN182" s="344" t="b">
        <f t="shared" si="504"/>
        <v>1</v>
      </c>
      <c r="EO182" s="344" t="b">
        <f t="shared" si="505"/>
        <v>1</v>
      </c>
      <c r="EP182" s="344" t="b">
        <f t="shared" si="506"/>
        <v>0</v>
      </c>
      <c r="EQ182" s="344" t="b">
        <f t="shared" si="507"/>
        <v>1</v>
      </c>
      <c r="ER182" s="344" t="b">
        <f t="shared" si="508"/>
        <v>1</v>
      </c>
      <c r="ES182" s="344" t="b">
        <f t="shared" si="509"/>
        <v>0</v>
      </c>
    </row>
    <row r="183" spans="1:149" s="251" customFormat="1" x14ac:dyDescent="0.3">
      <c r="A183" s="251" t="s">
        <v>952</v>
      </c>
      <c r="B183" s="251" t="s">
        <v>2247</v>
      </c>
      <c r="C183" s="251" t="s">
        <v>2207</v>
      </c>
      <c r="D183" s="251" t="s">
        <v>955</v>
      </c>
      <c r="E183" s="344" t="s">
        <v>2171</v>
      </c>
      <c r="F183" s="344">
        <f t="shared" si="441"/>
        <v>27.500000000289997</v>
      </c>
      <c r="G183" s="344">
        <f t="shared" si="476"/>
        <v>24.500000000250001</v>
      </c>
      <c r="H183" s="344">
        <f t="shared" si="477"/>
        <v>23.500000000209997</v>
      </c>
      <c r="I183" s="251" t="s">
        <v>1970</v>
      </c>
      <c r="J183" s="251" t="s">
        <v>1970</v>
      </c>
      <c r="K183" s="251" t="s">
        <v>1970</v>
      </c>
      <c r="L183" s="251" t="s">
        <v>1970</v>
      </c>
      <c r="M183" s="251" t="s">
        <v>1970</v>
      </c>
      <c r="N183" s="344" t="s">
        <v>1978</v>
      </c>
      <c r="O183" s="344" t="s">
        <v>1978</v>
      </c>
      <c r="P183" s="344" t="s">
        <v>1978</v>
      </c>
      <c r="Q183" s="344" t="s">
        <v>1978</v>
      </c>
      <c r="R183" s="344" t="s">
        <v>1978</v>
      </c>
      <c r="S183" s="344" t="s">
        <v>1978</v>
      </c>
      <c r="T183" s="251" t="s">
        <v>953</v>
      </c>
      <c r="U183" s="251" t="s">
        <v>2165</v>
      </c>
      <c r="V183" s="251" t="s">
        <v>1970</v>
      </c>
      <c r="W183" s="251" t="s">
        <v>1970</v>
      </c>
      <c r="X183" s="344">
        <f>'A123'!J191</f>
        <v>31</v>
      </c>
      <c r="Y183" s="344">
        <f>'A123'!K191</f>
        <v>19</v>
      </c>
      <c r="Z183" s="344">
        <f>'A123'!L191</f>
        <v>12.526315789473685</v>
      </c>
      <c r="AA183" s="344" t="s">
        <v>2165</v>
      </c>
      <c r="AB183" s="344" t="str">
        <f>入學要求!X192</f>
        <v>/</v>
      </c>
      <c r="AC183" s="344" t="str">
        <f>入學要求!Y192</f>
        <v>/</v>
      </c>
      <c r="AD183" s="344" t="s">
        <v>2171</v>
      </c>
      <c r="AE183" s="344" t="s">
        <v>1970</v>
      </c>
      <c r="AF183" s="344" t="s">
        <v>1970</v>
      </c>
      <c r="AG183" s="344" t="s">
        <v>1970</v>
      </c>
      <c r="AH183" s="344" t="s">
        <v>1970</v>
      </c>
      <c r="AI183" s="344" t="s">
        <v>1970</v>
      </c>
      <c r="AJ183" s="344" t="s">
        <v>1970</v>
      </c>
      <c r="AK183" s="251" t="s">
        <v>1970</v>
      </c>
      <c r="AL183" s="251" t="s">
        <v>1970</v>
      </c>
      <c r="AM183" s="251" t="s">
        <v>1970</v>
      </c>
      <c r="AN183" s="251" t="s">
        <v>1970</v>
      </c>
      <c r="AO183" s="251" t="s">
        <v>1970</v>
      </c>
      <c r="AP183" s="251" t="s">
        <v>1970</v>
      </c>
      <c r="AQ183" s="344" t="s">
        <v>1970</v>
      </c>
      <c r="AR183" s="428" t="s">
        <v>2150</v>
      </c>
      <c r="AS183" s="251" t="s">
        <v>3608</v>
      </c>
      <c r="AT183" s="251" t="s">
        <v>1970</v>
      </c>
      <c r="AU183" s="251" t="s">
        <v>1970</v>
      </c>
      <c r="AV183" s="344" t="s">
        <v>3735</v>
      </c>
      <c r="AW183" s="344" t="s">
        <v>3736</v>
      </c>
      <c r="AX183" s="344" t="s">
        <v>3780</v>
      </c>
      <c r="AY183" s="344" t="s">
        <v>3722</v>
      </c>
      <c r="AZ183" s="344" t="s">
        <v>3737</v>
      </c>
      <c r="BA183" s="381" t="s">
        <v>3725</v>
      </c>
      <c r="BB183" s="344">
        <v>1</v>
      </c>
      <c r="BC183" s="344">
        <v>1</v>
      </c>
      <c r="BD183" s="344">
        <v>1</v>
      </c>
      <c r="BE183" s="344">
        <v>1</v>
      </c>
      <c r="BF183" s="344">
        <v>1</v>
      </c>
      <c r="BG183" s="344">
        <v>1</v>
      </c>
      <c r="BH183" s="344">
        <v>1</v>
      </c>
      <c r="BI183" s="344">
        <v>1</v>
      </c>
      <c r="BJ183" s="251">
        <v>7.00000000001</v>
      </c>
      <c r="BK183" s="251">
        <v>3.00000000002</v>
      </c>
      <c r="BL183" s="251">
        <v>4.00000000003</v>
      </c>
      <c r="BM183" s="251">
        <v>4.00000000004</v>
      </c>
      <c r="BN183" s="251">
        <v>5.0000000000000002E-11</v>
      </c>
      <c r="BO183" s="251">
        <v>5.50000000006</v>
      </c>
      <c r="BP183" s="251">
        <v>3.00000000007</v>
      </c>
      <c r="BQ183" s="251">
        <v>7.9999999999999995E-11</v>
      </c>
      <c r="BR183" s="344">
        <f t="shared" si="466"/>
        <v>7.00000000001</v>
      </c>
      <c r="BS183" s="344">
        <f t="shared" si="442"/>
        <v>3.00000000002</v>
      </c>
      <c r="BT183" s="344">
        <f t="shared" si="443"/>
        <v>4.00000000003</v>
      </c>
      <c r="BU183" s="344">
        <f t="shared" si="444"/>
        <v>4.00000000004</v>
      </c>
      <c r="BV183" s="344">
        <f t="shared" si="445"/>
        <v>5.0000000000000002E-11</v>
      </c>
      <c r="BW183" s="344">
        <f t="shared" si="446"/>
        <v>5.50000000006</v>
      </c>
      <c r="BX183" s="344">
        <f t="shared" si="447"/>
        <v>3.00000000007</v>
      </c>
      <c r="BY183" s="344">
        <f t="shared" si="448"/>
        <v>7.9999999999999995E-11</v>
      </c>
      <c r="BZ183" s="344" t="b">
        <f t="shared" si="486"/>
        <v>1</v>
      </c>
      <c r="CA183" s="344" t="b">
        <f t="shared" si="487"/>
        <v>0</v>
      </c>
      <c r="CB183" s="344" t="b">
        <f t="shared" si="488"/>
        <v>1</v>
      </c>
      <c r="CC183" s="344" t="b">
        <f t="shared" si="489"/>
        <v>1</v>
      </c>
      <c r="CD183" s="344" t="b">
        <f t="shared" si="490"/>
        <v>0</v>
      </c>
      <c r="CE183" s="344" t="b">
        <f t="shared" si="491"/>
        <v>1</v>
      </c>
      <c r="CF183" s="344" t="b">
        <f t="shared" si="492"/>
        <v>1</v>
      </c>
      <c r="CG183" s="344" t="b">
        <f t="shared" si="493"/>
        <v>0</v>
      </c>
      <c r="CH183" s="344">
        <v>1</v>
      </c>
      <c r="CI183" s="344">
        <v>1</v>
      </c>
      <c r="CJ183" s="344">
        <v>1</v>
      </c>
      <c r="CK183" s="344">
        <v>1</v>
      </c>
      <c r="CL183" s="344">
        <v>1</v>
      </c>
      <c r="CM183" s="344">
        <v>1</v>
      </c>
      <c r="CN183" s="344">
        <v>1</v>
      </c>
      <c r="CO183" s="344">
        <v>1</v>
      </c>
      <c r="CP183" s="251">
        <v>5.50000000001</v>
      </c>
      <c r="CQ183" s="251">
        <v>4.00000000002</v>
      </c>
      <c r="CR183" s="251">
        <v>5.50000000003</v>
      </c>
      <c r="CS183" s="251">
        <v>4.00000000004</v>
      </c>
      <c r="CT183" s="251">
        <v>5.0000000000000002E-11</v>
      </c>
      <c r="CU183" s="251">
        <v>5.50000000006</v>
      </c>
      <c r="CV183" s="251">
        <v>4.00000000007</v>
      </c>
      <c r="CW183" s="251">
        <v>4.00000000008</v>
      </c>
      <c r="CX183" s="344">
        <f t="shared" si="449"/>
        <v>5.50000000001</v>
      </c>
      <c r="CY183" s="344">
        <f t="shared" si="417"/>
        <v>4.00000000002</v>
      </c>
      <c r="CZ183" s="344">
        <f t="shared" si="418"/>
        <v>5.50000000003</v>
      </c>
      <c r="DA183" s="344">
        <f t="shared" si="419"/>
        <v>4.00000000004</v>
      </c>
      <c r="DB183" s="344">
        <f t="shared" si="420"/>
        <v>5.0000000000000002E-11</v>
      </c>
      <c r="DC183" s="344">
        <f t="shared" si="421"/>
        <v>5.50000000006</v>
      </c>
      <c r="DD183" s="344">
        <f t="shared" si="422"/>
        <v>4.00000000007</v>
      </c>
      <c r="DE183" s="344">
        <f t="shared" si="423"/>
        <v>4.00000000008</v>
      </c>
      <c r="DF183" s="344" t="b">
        <f t="shared" si="494"/>
        <v>1</v>
      </c>
      <c r="DG183" s="344" t="b">
        <f t="shared" si="495"/>
        <v>0</v>
      </c>
      <c r="DH183" s="344" t="b">
        <f t="shared" si="496"/>
        <v>1</v>
      </c>
      <c r="DI183" s="344" t="b">
        <f t="shared" si="497"/>
        <v>0</v>
      </c>
      <c r="DJ183" s="344" t="b">
        <f t="shared" si="498"/>
        <v>0</v>
      </c>
      <c r="DK183" s="344" t="b">
        <f t="shared" si="499"/>
        <v>1</v>
      </c>
      <c r="DL183" s="344" t="b">
        <f t="shared" si="500"/>
        <v>1</v>
      </c>
      <c r="DM183" s="344" t="b">
        <f t="shared" si="501"/>
        <v>1</v>
      </c>
      <c r="DN183" s="344">
        <v>1</v>
      </c>
      <c r="DO183" s="344">
        <v>1</v>
      </c>
      <c r="DP183" s="344">
        <v>1</v>
      </c>
      <c r="DQ183" s="344">
        <v>1</v>
      </c>
      <c r="DR183" s="344">
        <v>1</v>
      </c>
      <c r="DS183" s="344">
        <v>1</v>
      </c>
      <c r="DT183" s="344">
        <v>1</v>
      </c>
      <c r="DU183" s="344">
        <v>1</v>
      </c>
      <c r="DV183" s="251">
        <v>3.00000000001</v>
      </c>
      <c r="DW183" s="251">
        <v>4.00000000002</v>
      </c>
      <c r="DX183" s="251">
        <v>5.50000000003</v>
      </c>
      <c r="DY183" s="251">
        <v>4.00000000004</v>
      </c>
      <c r="DZ183" s="251">
        <v>5.50000000005</v>
      </c>
      <c r="EA183" s="251">
        <v>7.00000000006</v>
      </c>
      <c r="EB183" s="251">
        <v>5.50000000007</v>
      </c>
      <c r="EC183" s="251">
        <v>4.00000000008</v>
      </c>
      <c r="ED183" s="344">
        <f t="shared" si="450"/>
        <v>3.00000000001</v>
      </c>
      <c r="EE183" s="344">
        <f t="shared" si="451"/>
        <v>4.00000000002</v>
      </c>
      <c r="EF183" s="344">
        <f t="shared" si="452"/>
        <v>5.50000000003</v>
      </c>
      <c r="EG183" s="344">
        <f t="shared" si="453"/>
        <v>4.00000000004</v>
      </c>
      <c r="EH183" s="344">
        <f t="shared" si="454"/>
        <v>5.50000000005</v>
      </c>
      <c r="EI183" s="344">
        <f t="shared" si="455"/>
        <v>7.00000000006</v>
      </c>
      <c r="EJ183" s="344">
        <f t="shared" si="456"/>
        <v>5.50000000007</v>
      </c>
      <c r="EK183" s="344">
        <f t="shared" si="457"/>
        <v>4.00000000008</v>
      </c>
      <c r="EL183" s="344" t="b">
        <f t="shared" si="502"/>
        <v>0</v>
      </c>
      <c r="EM183" s="344" t="b">
        <f t="shared" si="503"/>
        <v>0</v>
      </c>
      <c r="EN183" s="344" t="b">
        <f t="shared" si="504"/>
        <v>1</v>
      </c>
      <c r="EO183" s="344" t="b">
        <f t="shared" si="505"/>
        <v>0</v>
      </c>
      <c r="EP183" s="344" t="b">
        <f t="shared" si="506"/>
        <v>1</v>
      </c>
      <c r="EQ183" s="344" t="b">
        <f t="shared" si="507"/>
        <v>1</v>
      </c>
      <c r="ER183" s="344" t="b">
        <f t="shared" si="508"/>
        <v>1</v>
      </c>
      <c r="ES183" s="344" t="b">
        <f t="shared" si="509"/>
        <v>1</v>
      </c>
    </row>
    <row r="184" spans="1:149" s="251" customFormat="1" x14ac:dyDescent="0.3">
      <c r="A184" s="251" t="s">
        <v>957</v>
      </c>
      <c r="B184" s="251" t="s">
        <v>2247</v>
      </c>
      <c r="C184" s="251" t="s">
        <v>2207</v>
      </c>
      <c r="D184" s="251" t="s">
        <v>960</v>
      </c>
      <c r="E184" s="344" t="s">
        <v>1967</v>
      </c>
      <c r="F184" s="344">
        <f t="shared" si="441"/>
        <v>36.000000000230003</v>
      </c>
      <c r="G184" s="344">
        <f t="shared" si="476"/>
        <v>33.00000000024</v>
      </c>
      <c r="H184" s="344">
        <f t="shared" si="477"/>
        <v>31.500000000229999</v>
      </c>
      <c r="I184" s="344" t="s">
        <v>3092</v>
      </c>
      <c r="J184" s="344" t="s">
        <v>3093</v>
      </c>
      <c r="K184" s="251" t="s">
        <v>1970</v>
      </c>
      <c r="L184" s="251" t="s">
        <v>1970</v>
      </c>
      <c r="M184" s="251" t="s">
        <v>1970</v>
      </c>
      <c r="N184" s="344" t="s">
        <v>1978</v>
      </c>
      <c r="O184" s="344" t="s">
        <v>1978</v>
      </c>
      <c r="P184" s="344" t="s">
        <v>1978</v>
      </c>
      <c r="Q184" s="344" t="s">
        <v>1978</v>
      </c>
      <c r="R184" s="344" t="s">
        <v>1978</v>
      </c>
      <c r="S184" s="344" t="s">
        <v>1978</v>
      </c>
      <c r="T184" s="251" t="s">
        <v>958</v>
      </c>
      <c r="U184" s="251" t="s">
        <v>2165</v>
      </c>
      <c r="V184" s="251" t="s">
        <v>1970</v>
      </c>
      <c r="W184" s="251" t="s">
        <v>1970</v>
      </c>
      <c r="X184" s="344">
        <f>'A123'!J192</f>
        <v>20</v>
      </c>
      <c r="Y184" s="344">
        <f>'A123'!K192</f>
        <v>23</v>
      </c>
      <c r="Z184" s="344">
        <f>'A123'!L192</f>
        <v>6.6956521739130439</v>
      </c>
      <c r="AA184" s="344" t="s">
        <v>2165</v>
      </c>
      <c r="AB184" s="344" t="str">
        <f>入學要求!X193</f>
        <v>/</v>
      </c>
      <c r="AC184" s="344" t="str">
        <f>入學要求!Y193</f>
        <v>/</v>
      </c>
      <c r="AD184" s="344" t="s">
        <v>1967</v>
      </c>
      <c r="AE184" s="344" t="s">
        <v>3092</v>
      </c>
      <c r="AF184" s="344" t="s">
        <v>3093</v>
      </c>
      <c r="AG184" s="344" t="s">
        <v>1970</v>
      </c>
      <c r="AH184" s="344" t="s">
        <v>1970</v>
      </c>
      <c r="AI184" s="344" t="s">
        <v>1970</v>
      </c>
      <c r="AJ184" s="344" t="s">
        <v>1970</v>
      </c>
      <c r="AK184" s="251" t="s">
        <v>1970</v>
      </c>
      <c r="AL184" s="251" t="s">
        <v>1970</v>
      </c>
      <c r="AM184" s="251" t="s">
        <v>1970</v>
      </c>
      <c r="AN184" s="251" t="s">
        <v>1970</v>
      </c>
      <c r="AO184" s="251" t="s">
        <v>1970</v>
      </c>
      <c r="AP184" s="251" t="s">
        <v>1970</v>
      </c>
      <c r="AQ184" s="344" t="s">
        <v>1970</v>
      </c>
      <c r="AR184" s="428" t="s">
        <v>2150</v>
      </c>
      <c r="AS184" s="251" t="s">
        <v>3620</v>
      </c>
      <c r="AT184" s="568">
        <v>44741</v>
      </c>
      <c r="AU184" s="251" t="s">
        <v>3646</v>
      </c>
      <c r="AV184" s="344" t="s">
        <v>3735</v>
      </c>
      <c r="AW184" s="344" t="s">
        <v>3736</v>
      </c>
      <c r="AX184" s="344" t="s">
        <v>3781</v>
      </c>
      <c r="AY184" s="344" t="s">
        <v>3722</v>
      </c>
      <c r="AZ184" s="344" t="s">
        <v>3737</v>
      </c>
      <c r="BA184" s="381" t="s">
        <v>3725</v>
      </c>
      <c r="BB184" s="344">
        <v>1</v>
      </c>
      <c r="BC184" s="344">
        <v>1</v>
      </c>
      <c r="BD184" s="344">
        <v>1</v>
      </c>
      <c r="BE184" s="344">
        <v>1</v>
      </c>
      <c r="BF184" s="344">
        <v>1</v>
      </c>
      <c r="BG184" s="344">
        <v>1</v>
      </c>
      <c r="BH184" s="344">
        <v>1</v>
      </c>
      <c r="BI184" s="344">
        <v>1</v>
      </c>
      <c r="BJ184" s="251">
        <v>4.00000000001</v>
      </c>
      <c r="BK184" s="251">
        <v>4.00000000002</v>
      </c>
      <c r="BL184" s="251">
        <v>7.00000000003</v>
      </c>
      <c r="BM184" s="251">
        <v>4.00000000004</v>
      </c>
      <c r="BN184" s="251">
        <v>7.00000000005</v>
      </c>
      <c r="BO184" s="251">
        <v>5.50000000006</v>
      </c>
      <c r="BP184" s="251">
        <v>5.50000000007</v>
      </c>
      <c r="BQ184" s="251">
        <v>5.50000000008</v>
      </c>
      <c r="BR184" s="344">
        <f t="shared" si="466"/>
        <v>4.00000000001</v>
      </c>
      <c r="BS184" s="344">
        <f t="shared" si="442"/>
        <v>4.00000000002</v>
      </c>
      <c r="BT184" s="344">
        <f t="shared" si="443"/>
        <v>7.00000000003</v>
      </c>
      <c r="BU184" s="344">
        <f t="shared" si="444"/>
        <v>4.00000000004</v>
      </c>
      <c r="BV184" s="344">
        <f t="shared" si="445"/>
        <v>7.00000000005</v>
      </c>
      <c r="BW184" s="344">
        <f t="shared" si="446"/>
        <v>5.50000000006</v>
      </c>
      <c r="BX184" s="344">
        <f t="shared" si="447"/>
        <v>5.50000000007</v>
      </c>
      <c r="BY184" s="344">
        <f t="shared" si="448"/>
        <v>5.50000000008</v>
      </c>
      <c r="BZ184" s="344" t="b">
        <f t="shared" si="486"/>
        <v>1</v>
      </c>
      <c r="CA184" s="344" t="b">
        <f t="shared" si="487"/>
        <v>1</v>
      </c>
      <c r="CB184" s="344" t="b">
        <f t="shared" si="488"/>
        <v>1</v>
      </c>
      <c r="CC184" s="344" t="b">
        <f t="shared" si="489"/>
        <v>1</v>
      </c>
      <c r="CD184" s="344" t="b">
        <f t="shared" si="490"/>
        <v>1</v>
      </c>
      <c r="CE184" s="344" t="b">
        <f t="shared" si="491"/>
        <v>0</v>
      </c>
      <c r="CF184" s="344" t="b">
        <f t="shared" si="492"/>
        <v>0</v>
      </c>
      <c r="CG184" s="344" t="b">
        <f t="shared" si="493"/>
        <v>1</v>
      </c>
      <c r="CH184" s="344">
        <v>1</v>
      </c>
      <c r="CI184" s="344">
        <v>1</v>
      </c>
      <c r="CJ184" s="344">
        <v>1</v>
      </c>
      <c r="CK184" s="344">
        <v>1</v>
      </c>
      <c r="CL184" s="344">
        <v>1</v>
      </c>
      <c r="CM184" s="344">
        <v>1</v>
      </c>
      <c r="CN184" s="344">
        <v>1</v>
      </c>
      <c r="CO184" s="344">
        <v>1</v>
      </c>
      <c r="CP184" s="251">
        <v>5.50000000001</v>
      </c>
      <c r="CQ184" s="251">
        <v>4.00000000002</v>
      </c>
      <c r="CR184" s="251">
        <v>4.00000000003</v>
      </c>
      <c r="CS184" s="251">
        <v>7.00000000004</v>
      </c>
      <c r="CT184" s="251">
        <v>5.0000000000000002E-11</v>
      </c>
      <c r="CU184" s="251">
        <v>7.00000000006</v>
      </c>
      <c r="CV184" s="251">
        <v>5.50000000007</v>
      </c>
      <c r="CW184" s="251">
        <v>5.50000000008</v>
      </c>
      <c r="CX184" s="344">
        <f t="shared" si="449"/>
        <v>5.50000000001</v>
      </c>
      <c r="CY184" s="344">
        <f t="shared" si="417"/>
        <v>4.00000000002</v>
      </c>
      <c r="CZ184" s="344">
        <f t="shared" si="418"/>
        <v>4.00000000003</v>
      </c>
      <c r="DA184" s="344">
        <f t="shared" si="419"/>
        <v>7.00000000004</v>
      </c>
      <c r="DB184" s="344">
        <f t="shared" si="420"/>
        <v>5.0000000000000002E-11</v>
      </c>
      <c r="DC184" s="344">
        <f t="shared" si="421"/>
        <v>7.00000000006</v>
      </c>
      <c r="DD184" s="344">
        <f t="shared" si="422"/>
        <v>5.50000000007</v>
      </c>
      <c r="DE184" s="344">
        <f t="shared" si="423"/>
        <v>5.50000000008</v>
      </c>
      <c r="DF184" s="344" t="b">
        <f t="shared" si="494"/>
        <v>1</v>
      </c>
      <c r="DG184" s="344" t="b">
        <f t="shared" si="495"/>
        <v>1</v>
      </c>
      <c r="DH184" s="344" t="b">
        <f t="shared" si="496"/>
        <v>1</v>
      </c>
      <c r="DI184" s="344" t="b">
        <f t="shared" si="497"/>
        <v>1</v>
      </c>
      <c r="DJ184" s="344" t="b">
        <f t="shared" si="498"/>
        <v>0</v>
      </c>
      <c r="DK184" s="344" t="b">
        <f t="shared" si="499"/>
        <v>1</v>
      </c>
      <c r="DL184" s="344" t="b">
        <f t="shared" si="500"/>
        <v>0</v>
      </c>
      <c r="DM184" s="344" t="b">
        <f t="shared" si="501"/>
        <v>1</v>
      </c>
      <c r="DN184" s="344">
        <v>1</v>
      </c>
      <c r="DO184" s="344">
        <v>1</v>
      </c>
      <c r="DP184" s="344">
        <v>1</v>
      </c>
      <c r="DQ184" s="344">
        <v>1</v>
      </c>
      <c r="DR184" s="344">
        <v>1</v>
      </c>
      <c r="DS184" s="344">
        <v>1</v>
      </c>
      <c r="DT184" s="344">
        <v>1</v>
      </c>
      <c r="DU184" s="344">
        <v>1</v>
      </c>
      <c r="DV184" s="251">
        <v>7.00000000001</v>
      </c>
      <c r="DW184" s="251">
        <v>5.50000000002</v>
      </c>
      <c r="DX184" s="251">
        <v>4.00000000003</v>
      </c>
      <c r="DY184" s="251">
        <v>5.50000000004</v>
      </c>
      <c r="DZ184" s="251">
        <v>5.0000000000000002E-11</v>
      </c>
      <c r="EA184" s="251">
        <v>7.00000000006</v>
      </c>
      <c r="EB184" s="251">
        <v>7.00000000007</v>
      </c>
      <c r="EC184" s="251">
        <v>7.9999999999999995E-11</v>
      </c>
      <c r="ED184" s="344">
        <f t="shared" si="450"/>
        <v>7.00000000001</v>
      </c>
      <c r="EE184" s="344">
        <f t="shared" si="451"/>
        <v>5.50000000002</v>
      </c>
      <c r="EF184" s="344">
        <f t="shared" si="452"/>
        <v>4.00000000003</v>
      </c>
      <c r="EG184" s="344">
        <f t="shared" si="453"/>
        <v>5.50000000004</v>
      </c>
      <c r="EH184" s="344">
        <f t="shared" si="454"/>
        <v>5.0000000000000002E-11</v>
      </c>
      <c r="EI184" s="344">
        <f t="shared" si="455"/>
        <v>7.00000000006</v>
      </c>
      <c r="EJ184" s="344">
        <f t="shared" si="456"/>
        <v>7.00000000007</v>
      </c>
      <c r="EK184" s="344">
        <f t="shared" si="457"/>
        <v>7.9999999999999995E-11</v>
      </c>
      <c r="EL184" s="344" t="b">
        <f t="shared" si="502"/>
        <v>1</v>
      </c>
      <c r="EM184" s="344" t="b">
        <f t="shared" si="503"/>
        <v>1</v>
      </c>
      <c r="EN184" s="344" t="b">
        <f t="shared" si="504"/>
        <v>1</v>
      </c>
      <c r="EO184" s="344" t="b">
        <f t="shared" si="505"/>
        <v>1</v>
      </c>
      <c r="EP184" s="344" t="b">
        <f t="shared" si="506"/>
        <v>0</v>
      </c>
      <c r="EQ184" s="344" t="b">
        <f t="shared" si="507"/>
        <v>1</v>
      </c>
      <c r="ER184" s="344" t="b">
        <f t="shared" si="508"/>
        <v>1</v>
      </c>
      <c r="ES184" s="344" t="b">
        <f t="shared" si="509"/>
        <v>0</v>
      </c>
    </row>
    <row r="185" spans="1:149" s="251" customFormat="1" x14ac:dyDescent="0.3">
      <c r="A185" s="251" t="s">
        <v>962</v>
      </c>
      <c r="B185" s="251" t="s">
        <v>2247</v>
      </c>
      <c r="C185" s="251" t="s">
        <v>2207</v>
      </c>
      <c r="D185" s="251" t="s">
        <v>965</v>
      </c>
      <c r="E185" s="344" t="s">
        <v>1967</v>
      </c>
      <c r="F185" s="344">
        <f t="shared" si="441"/>
        <v>37.500000000230003</v>
      </c>
      <c r="G185" s="344">
        <f t="shared" si="476"/>
        <v>37.500000000230003</v>
      </c>
      <c r="H185" s="344">
        <f t="shared" si="477"/>
        <v>36.500000000219998</v>
      </c>
      <c r="I185" s="251" t="s">
        <v>1970</v>
      </c>
      <c r="J185" s="251" t="s">
        <v>1970</v>
      </c>
      <c r="K185" s="251" t="s">
        <v>1970</v>
      </c>
      <c r="L185" s="251" t="s">
        <v>1970</v>
      </c>
      <c r="M185" s="251" t="s">
        <v>1970</v>
      </c>
      <c r="N185" s="344" t="s">
        <v>1978</v>
      </c>
      <c r="O185" s="344" t="s">
        <v>1978</v>
      </c>
      <c r="P185" s="344" t="s">
        <v>1978</v>
      </c>
      <c r="Q185" s="344" t="s">
        <v>1978</v>
      </c>
      <c r="R185" s="344" t="s">
        <v>1978</v>
      </c>
      <c r="S185" s="344" t="s">
        <v>1978</v>
      </c>
      <c r="T185" s="251" t="s">
        <v>963</v>
      </c>
      <c r="U185" s="251" t="s">
        <v>2165</v>
      </c>
      <c r="V185" s="251" t="s">
        <v>1970</v>
      </c>
      <c r="W185" s="251" t="s">
        <v>1970</v>
      </c>
      <c r="X185" s="344">
        <f>'A123'!J193</f>
        <v>19</v>
      </c>
      <c r="Y185" s="344">
        <f>'A123'!K193</f>
        <v>22</v>
      </c>
      <c r="Z185" s="344">
        <f>'A123'!L193</f>
        <v>8.0909090909090917</v>
      </c>
      <c r="AA185" s="344" t="s">
        <v>2165</v>
      </c>
      <c r="AB185" s="344" t="str">
        <f>入學要求!X194</f>
        <v>以下一科選修取得Lv.3︰生物、化學</v>
      </c>
      <c r="AC185" s="344" t="str">
        <f>入學要求!Y194</f>
        <v>/</v>
      </c>
      <c r="AD185" s="344" t="s">
        <v>1967</v>
      </c>
      <c r="AE185" s="344" t="s">
        <v>1970</v>
      </c>
      <c r="AF185" s="344" t="s">
        <v>1970</v>
      </c>
      <c r="AG185" s="344" t="s">
        <v>1970</v>
      </c>
      <c r="AH185" s="344" t="s">
        <v>1970</v>
      </c>
      <c r="AI185" s="344" t="s">
        <v>1970</v>
      </c>
      <c r="AJ185" s="344" t="s">
        <v>1970</v>
      </c>
      <c r="AK185" s="251" t="s">
        <v>1970</v>
      </c>
      <c r="AL185" s="251" t="s">
        <v>1970</v>
      </c>
      <c r="AM185" s="251" t="s">
        <v>1970</v>
      </c>
      <c r="AN185" s="251" t="s">
        <v>1970</v>
      </c>
      <c r="AO185" s="251" t="s">
        <v>1970</v>
      </c>
      <c r="AP185" s="251" t="s">
        <v>1970</v>
      </c>
      <c r="AQ185" s="344" t="s">
        <v>1970</v>
      </c>
      <c r="AR185" s="428" t="s">
        <v>2150</v>
      </c>
      <c r="AS185" s="251" t="s">
        <v>3620</v>
      </c>
      <c r="AT185" s="251" t="s">
        <v>1970</v>
      </c>
      <c r="AU185" s="251" t="s">
        <v>3646</v>
      </c>
      <c r="AV185" s="344" t="s">
        <v>3735</v>
      </c>
      <c r="AW185" s="344" t="s">
        <v>3736</v>
      </c>
      <c r="AX185" s="344" t="s">
        <v>3782</v>
      </c>
      <c r="AY185" s="344" t="s">
        <v>3722</v>
      </c>
      <c r="AZ185" s="344" t="s">
        <v>3737</v>
      </c>
      <c r="BA185" s="381" t="s">
        <v>3725</v>
      </c>
      <c r="BB185" s="344">
        <v>1</v>
      </c>
      <c r="BC185" s="344">
        <v>1</v>
      </c>
      <c r="BD185" s="344">
        <v>1</v>
      </c>
      <c r="BE185" s="344">
        <v>1</v>
      </c>
      <c r="BF185" s="344">
        <v>1</v>
      </c>
      <c r="BG185" s="344">
        <v>1</v>
      </c>
      <c r="BH185" s="344">
        <v>1</v>
      </c>
      <c r="BI185" s="344">
        <v>1</v>
      </c>
      <c r="BJ185" s="251">
        <v>3.00000000001</v>
      </c>
      <c r="BK185" s="251">
        <v>5.50000000002</v>
      </c>
      <c r="BL185" s="251">
        <v>8.5000000000299991</v>
      </c>
      <c r="BM185" s="251">
        <v>4.00000000004</v>
      </c>
      <c r="BN185" s="251">
        <v>8.5000000000499991</v>
      </c>
      <c r="BO185" s="251">
        <v>7.00000000006</v>
      </c>
      <c r="BP185" s="251">
        <v>7.00000000007</v>
      </c>
      <c r="BQ185" s="251">
        <v>5.50000000008</v>
      </c>
      <c r="BR185" s="344">
        <f t="shared" si="466"/>
        <v>3.00000000001</v>
      </c>
      <c r="BS185" s="344">
        <f t="shared" si="442"/>
        <v>5.50000000002</v>
      </c>
      <c r="BT185" s="344">
        <f t="shared" si="443"/>
        <v>8.5000000000299991</v>
      </c>
      <c r="BU185" s="344">
        <f t="shared" si="444"/>
        <v>4.00000000004</v>
      </c>
      <c r="BV185" s="344">
        <f t="shared" si="445"/>
        <v>8.5000000000499991</v>
      </c>
      <c r="BW185" s="344">
        <f t="shared" si="446"/>
        <v>7.00000000006</v>
      </c>
      <c r="BX185" s="344">
        <f t="shared" si="447"/>
        <v>7.00000000007</v>
      </c>
      <c r="BY185" s="344">
        <f t="shared" si="448"/>
        <v>5.50000000008</v>
      </c>
      <c r="BZ185" s="344" t="b">
        <f t="shared" si="486"/>
        <v>1</v>
      </c>
      <c r="CA185" s="344" t="b">
        <f t="shared" si="487"/>
        <v>1</v>
      </c>
      <c r="CB185" s="344" t="b">
        <f t="shared" si="488"/>
        <v>1</v>
      </c>
      <c r="CC185" s="344" t="b">
        <f t="shared" si="489"/>
        <v>1</v>
      </c>
      <c r="CD185" s="344" t="b">
        <f t="shared" si="490"/>
        <v>1</v>
      </c>
      <c r="CE185" s="344" t="b">
        <f t="shared" si="491"/>
        <v>0</v>
      </c>
      <c r="CF185" s="344" t="b">
        <f t="shared" si="492"/>
        <v>1</v>
      </c>
      <c r="CG185" s="344" t="b">
        <f t="shared" si="493"/>
        <v>0</v>
      </c>
      <c r="CH185" s="344">
        <v>1</v>
      </c>
      <c r="CI185" s="344">
        <v>1</v>
      </c>
      <c r="CJ185" s="344">
        <v>1</v>
      </c>
      <c r="CK185" s="344">
        <v>1</v>
      </c>
      <c r="CL185" s="344">
        <v>1</v>
      </c>
      <c r="CM185" s="344">
        <v>1</v>
      </c>
      <c r="CN185" s="344">
        <v>1</v>
      </c>
      <c r="CO185" s="344">
        <v>1</v>
      </c>
      <c r="CP185" s="251">
        <v>8.5000000000099991</v>
      </c>
      <c r="CQ185" s="251">
        <v>7.00000000002</v>
      </c>
      <c r="CR185" s="251">
        <v>5.50000000003</v>
      </c>
      <c r="CS185" s="251">
        <v>5.50000000004</v>
      </c>
      <c r="CT185" s="251">
        <v>5.0000000000000002E-11</v>
      </c>
      <c r="CU185" s="251">
        <v>5.50000000006</v>
      </c>
      <c r="CV185" s="251">
        <v>5.50000000007</v>
      </c>
      <c r="CW185" s="251">
        <v>4.00000000008</v>
      </c>
      <c r="CX185" s="344">
        <f t="shared" si="449"/>
        <v>8.5000000000099991</v>
      </c>
      <c r="CY185" s="344">
        <f t="shared" si="417"/>
        <v>7.00000000002</v>
      </c>
      <c r="CZ185" s="344">
        <f t="shared" si="418"/>
        <v>5.50000000003</v>
      </c>
      <c r="DA185" s="344">
        <f t="shared" si="419"/>
        <v>5.50000000004</v>
      </c>
      <c r="DB185" s="344">
        <f t="shared" si="420"/>
        <v>5.0000000000000002E-11</v>
      </c>
      <c r="DC185" s="344">
        <f t="shared" si="421"/>
        <v>5.50000000006</v>
      </c>
      <c r="DD185" s="344">
        <f t="shared" si="422"/>
        <v>5.50000000007</v>
      </c>
      <c r="DE185" s="344">
        <f t="shared" si="423"/>
        <v>4.00000000008</v>
      </c>
      <c r="DF185" s="344" t="b">
        <f t="shared" si="494"/>
        <v>1</v>
      </c>
      <c r="DG185" s="344" t="b">
        <f t="shared" si="495"/>
        <v>1</v>
      </c>
      <c r="DH185" s="344" t="b">
        <f t="shared" si="496"/>
        <v>1</v>
      </c>
      <c r="DI185" s="344" t="b">
        <f t="shared" si="497"/>
        <v>1</v>
      </c>
      <c r="DJ185" s="344" t="b">
        <f t="shared" si="498"/>
        <v>0</v>
      </c>
      <c r="DK185" s="344" t="b">
        <f t="shared" si="499"/>
        <v>1</v>
      </c>
      <c r="DL185" s="344" t="b">
        <f t="shared" si="500"/>
        <v>1</v>
      </c>
      <c r="DM185" s="344" t="b">
        <f t="shared" si="501"/>
        <v>0</v>
      </c>
      <c r="DN185" s="344">
        <v>1</v>
      </c>
      <c r="DO185" s="344">
        <v>1</v>
      </c>
      <c r="DP185" s="344">
        <v>1</v>
      </c>
      <c r="DQ185" s="344">
        <v>1</v>
      </c>
      <c r="DR185" s="344">
        <v>1</v>
      </c>
      <c r="DS185" s="344">
        <v>1</v>
      </c>
      <c r="DT185" s="344">
        <v>1</v>
      </c>
      <c r="DU185" s="344">
        <v>1</v>
      </c>
      <c r="DV185" s="251">
        <v>4.00000000001</v>
      </c>
      <c r="DW185" s="251">
        <v>5.50000000002</v>
      </c>
      <c r="DX185" s="251">
        <v>7.00000000003</v>
      </c>
      <c r="DY185" s="251">
        <v>4.00000000004</v>
      </c>
      <c r="DZ185" s="251">
        <v>5.0000000000000002E-11</v>
      </c>
      <c r="EA185" s="251">
        <v>8.50000000006</v>
      </c>
      <c r="EB185" s="251">
        <v>8.5000000000699991</v>
      </c>
      <c r="EC185" s="251">
        <v>7.00000000008</v>
      </c>
      <c r="ED185" s="344">
        <f t="shared" si="450"/>
        <v>4.00000000001</v>
      </c>
      <c r="EE185" s="344">
        <f t="shared" si="451"/>
        <v>5.50000000002</v>
      </c>
      <c r="EF185" s="344">
        <f t="shared" si="452"/>
        <v>7.00000000003</v>
      </c>
      <c r="EG185" s="344">
        <f t="shared" si="453"/>
        <v>4.00000000004</v>
      </c>
      <c r="EH185" s="344">
        <f t="shared" si="454"/>
        <v>5.0000000000000002E-11</v>
      </c>
      <c r="EI185" s="344">
        <f t="shared" si="455"/>
        <v>8.50000000006</v>
      </c>
      <c r="EJ185" s="344">
        <f t="shared" si="456"/>
        <v>8.5000000000699991</v>
      </c>
      <c r="EK185" s="344">
        <f t="shared" si="457"/>
        <v>7.00000000008</v>
      </c>
      <c r="EL185" s="344" t="b">
        <f t="shared" si="502"/>
        <v>1</v>
      </c>
      <c r="EM185" s="344" t="b">
        <f t="shared" si="503"/>
        <v>1</v>
      </c>
      <c r="EN185" s="344" t="b">
        <f t="shared" si="504"/>
        <v>1</v>
      </c>
      <c r="EO185" s="344" t="b">
        <f t="shared" si="505"/>
        <v>1</v>
      </c>
      <c r="EP185" s="344" t="b">
        <f t="shared" si="506"/>
        <v>0</v>
      </c>
      <c r="EQ185" s="344" t="b">
        <f t="shared" si="507"/>
        <v>1</v>
      </c>
      <c r="ER185" s="344" t="b">
        <f t="shared" si="508"/>
        <v>1</v>
      </c>
      <c r="ES185" s="344" t="b">
        <f t="shared" si="509"/>
        <v>0</v>
      </c>
    </row>
    <row r="186" spans="1:149" s="251" customFormat="1" x14ac:dyDescent="0.3">
      <c r="A186" s="251" t="s">
        <v>967</v>
      </c>
      <c r="B186" s="251" t="s">
        <v>2247</v>
      </c>
      <c r="C186" s="251" t="s">
        <v>2159</v>
      </c>
      <c r="D186" s="251" t="s">
        <v>970</v>
      </c>
      <c r="E186" s="344" t="s">
        <v>2171</v>
      </c>
      <c r="F186" s="344">
        <f t="shared" si="441"/>
        <v>44.000000000349992</v>
      </c>
      <c r="G186" s="344">
        <f t="shared" si="476"/>
        <v>42.750000000359996</v>
      </c>
      <c r="H186" s="344">
        <f t="shared" si="477"/>
        <v>38.000000000370001</v>
      </c>
      <c r="I186" s="344" t="s">
        <v>3092</v>
      </c>
      <c r="J186" s="344" t="s">
        <v>3098</v>
      </c>
      <c r="K186" s="251" t="s">
        <v>3095</v>
      </c>
      <c r="L186" s="251" t="s">
        <v>3096</v>
      </c>
      <c r="M186" s="251" t="s">
        <v>3097</v>
      </c>
      <c r="N186" s="344" t="s">
        <v>1978</v>
      </c>
      <c r="O186" s="344" t="s">
        <v>1978</v>
      </c>
      <c r="P186" s="344" t="s">
        <v>1978</v>
      </c>
      <c r="Q186" s="344" t="s">
        <v>1978</v>
      </c>
      <c r="R186" s="344" t="s">
        <v>1978</v>
      </c>
      <c r="S186" s="344" t="s">
        <v>1978</v>
      </c>
      <c r="T186" s="251" t="s">
        <v>968</v>
      </c>
      <c r="U186" s="251" t="s">
        <v>2165</v>
      </c>
      <c r="V186" s="251" t="s">
        <v>1970</v>
      </c>
      <c r="W186" s="251" t="s">
        <v>1970</v>
      </c>
      <c r="X186" s="344">
        <f>'A123'!J194</f>
        <v>352</v>
      </c>
      <c r="Y186" s="344">
        <f>'A123'!K194</f>
        <v>400</v>
      </c>
      <c r="Z186" s="344">
        <f>'A123'!L194</f>
        <v>3.8174999999999999</v>
      </c>
      <c r="AA186" s="344" t="s">
        <v>2165</v>
      </c>
      <c r="AB186" s="344" t="str">
        <f>入學要求!X195</f>
        <v>以下一科選修取得Lv.3︰M1/2、生物、化學、組合科學、綜合科學、物理</v>
      </c>
      <c r="AC186" s="344" t="str">
        <f>入學要求!Y195</f>
        <v>/</v>
      </c>
      <c r="AD186" s="351" t="s">
        <v>2171</v>
      </c>
      <c r="AE186" s="344" t="s">
        <v>3092</v>
      </c>
      <c r="AF186" s="344" t="s">
        <v>3098</v>
      </c>
      <c r="AG186" s="344" t="s">
        <v>3095</v>
      </c>
      <c r="AH186" s="344" t="s">
        <v>3096</v>
      </c>
      <c r="AI186" s="344" t="s">
        <v>3097</v>
      </c>
      <c r="AJ186" s="344" t="s">
        <v>1970</v>
      </c>
      <c r="AK186" s="251" t="s">
        <v>1970</v>
      </c>
      <c r="AL186" s="251" t="s">
        <v>1970</v>
      </c>
      <c r="AM186" s="251" t="s">
        <v>1970</v>
      </c>
      <c r="AN186" s="251" t="s">
        <v>1970</v>
      </c>
      <c r="AO186" s="251" t="s">
        <v>1970</v>
      </c>
      <c r="AP186" s="251" t="s">
        <v>1970</v>
      </c>
      <c r="AQ186" s="344" t="s">
        <v>1970</v>
      </c>
      <c r="AR186" s="428" t="s">
        <v>2150</v>
      </c>
      <c r="AS186" s="251" t="s">
        <v>3620</v>
      </c>
      <c r="AT186" s="251" t="s">
        <v>3663</v>
      </c>
      <c r="AU186" s="251" t="s">
        <v>3646</v>
      </c>
      <c r="AV186" s="344" t="s">
        <v>3735</v>
      </c>
      <c r="AW186" s="344" t="s">
        <v>3736</v>
      </c>
      <c r="AX186" s="344" t="s">
        <v>3783</v>
      </c>
      <c r="AY186" s="344" t="s">
        <v>3722</v>
      </c>
      <c r="AZ186" s="344" t="s">
        <v>3737</v>
      </c>
      <c r="BA186" s="381" t="s">
        <v>3725</v>
      </c>
      <c r="BB186" s="251">
        <v>1</v>
      </c>
      <c r="BC186" s="251">
        <v>1</v>
      </c>
      <c r="BD186" s="251">
        <v>2</v>
      </c>
      <c r="BE186" s="251">
        <v>1</v>
      </c>
      <c r="BF186" s="251">
        <v>1</v>
      </c>
      <c r="BG186" s="251">
        <v>2</v>
      </c>
      <c r="BH186" s="251">
        <v>2</v>
      </c>
      <c r="BI186" s="251">
        <v>1</v>
      </c>
      <c r="BJ186" s="251">
        <v>4.00000000001</v>
      </c>
      <c r="BK186" s="251">
        <v>3.00000000002</v>
      </c>
      <c r="BL186" s="251">
        <v>5.50000000003</v>
      </c>
      <c r="BM186" s="251">
        <v>4.00000000004</v>
      </c>
      <c r="BN186" s="251">
        <v>5.0000000000000002E-11</v>
      </c>
      <c r="BO186" s="251">
        <v>5.50000000006</v>
      </c>
      <c r="BP186" s="251">
        <v>4.00000000007</v>
      </c>
      <c r="BQ186" s="251">
        <v>7.9999999999999995E-11</v>
      </c>
      <c r="BR186" s="344">
        <f t="shared" si="466"/>
        <v>4.00000000001</v>
      </c>
      <c r="BS186" s="344">
        <f t="shared" si="442"/>
        <v>3.00000000002</v>
      </c>
      <c r="BT186" s="344">
        <f t="shared" si="443"/>
        <v>11.00000000006</v>
      </c>
      <c r="BU186" s="344">
        <f t="shared" si="444"/>
        <v>4.00000000004</v>
      </c>
      <c r="BV186" s="344">
        <f t="shared" si="445"/>
        <v>5.0000000000000002E-11</v>
      </c>
      <c r="BW186" s="344">
        <f t="shared" si="446"/>
        <v>11.00000000012</v>
      </c>
      <c r="BX186" s="344">
        <f t="shared" si="447"/>
        <v>8.00000000014</v>
      </c>
      <c r="BY186" s="344">
        <f t="shared" si="448"/>
        <v>7.9999999999999995E-11</v>
      </c>
      <c r="BZ186" s="344" t="b">
        <f t="shared" si="486"/>
        <v>1</v>
      </c>
      <c r="CA186" s="344" t="b">
        <f t="shared" si="487"/>
        <v>0</v>
      </c>
      <c r="CB186" s="344" t="b">
        <f t="shared" si="488"/>
        <v>1</v>
      </c>
      <c r="CC186" s="344" t="b">
        <f t="shared" si="489"/>
        <v>1</v>
      </c>
      <c r="CD186" s="344" t="b">
        <f t="shared" si="490"/>
        <v>0</v>
      </c>
      <c r="CE186" s="344" t="b">
        <f t="shared" si="491"/>
        <v>1</v>
      </c>
      <c r="CF186" s="344" t="b">
        <f t="shared" si="492"/>
        <v>1</v>
      </c>
      <c r="CG186" s="344" t="b">
        <f t="shared" si="493"/>
        <v>0</v>
      </c>
      <c r="CH186" s="344">
        <v>1</v>
      </c>
      <c r="CI186" s="344">
        <v>1.5</v>
      </c>
      <c r="CJ186" s="344">
        <v>1</v>
      </c>
      <c r="CK186" s="344">
        <v>1</v>
      </c>
      <c r="CL186" s="344">
        <v>1</v>
      </c>
      <c r="CM186" s="344">
        <v>2</v>
      </c>
      <c r="CN186" s="344">
        <v>2</v>
      </c>
      <c r="CO186" s="344">
        <v>1</v>
      </c>
      <c r="CP186" s="251">
        <v>4.00000000001</v>
      </c>
      <c r="CQ186" s="251">
        <v>5.50000000002</v>
      </c>
      <c r="CR186" s="251">
        <v>4.00000000003</v>
      </c>
      <c r="CS186" s="251">
        <v>5.50000000004</v>
      </c>
      <c r="CT186" s="251">
        <v>5.0000000000000002E-11</v>
      </c>
      <c r="CU186" s="251">
        <v>7.00000000006</v>
      </c>
      <c r="CV186" s="251">
        <v>5.50000000007</v>
      </c>
      <c r="CW186" s="251">
        <v>3.00000000008</v>
      </c>
      <c r="CX186" s="344">
        <f t="shared" si="449"/>
        <v>4.00000000001</v>
      </c>
      <c r="CY186" s="344">
        <f t="shared" si="417"/>
        <v>8.2500000000299991</v>
      </c>
      <c r="CZ186" s="344">
        <f t="shared" si="418"/>
        <v>4.00000000003</v>
      </c>
      <c r="DA186" s="344">
        <f t="shared" si="419"/>
        <v>5.50000000004</v>
      </c>
      <c r="DB186" s="344">
        <f t="shared" si="420"/>
        <v>5.0000000000000002E-11</v>
      </c>
      <c r="DC186" s="344">
        <f t="shared" si="421"/>
        <v>14.00000000012</v>
      </c>
      <c r="DD186" s="344">
        <f t="shared" si="422"/>
        <v>11.00000000014</v>
      </c>
      <c r="DE186" s="344">
        <f t="shared" si="423"/>
        <v>3.00000000008</v>
      </c>
      <c r="DF186" s="344" t="b">
        <f t="shared" si="494"/>
        <v>0</v>
      </c>
      <c r="DG186" s="344" t="b">
        <f t="shared" si="495"/>
        <v>1</v>
      </c>
      <c r="DH186" s="344" t="b">
        <f t="shared" si="496"/>
        <v>1</v>
      </c>
      <c r="DI186" s="344" t="b">
        <f t="shared" si="497"/>
        <v>1</v>
      </c>
      <c r="DJ186" s="344" t="b">
        <f t="shared" si="498"/>
        <v>0</v>
      </c>
      <c r="DK186" s="344" t="b">
        <f t="shared" si="499"/>
        <v>1</v>
      </c>
      <c r="DL186" s="344" t="b">
        <f t="shared" si="500"/>
        <v>1</v>
      </c>
      <c r="DM186" s="344" t="b">
        <f t="shared" si="501"/>
        <v>0</v>
      </c>
      <c r="DN186" s="344">
        <v>1</v>
      </c>
      <c r="DO186" s="344">
        <v>1</v>
      </c>
      <c r="DP186" s="344">
        <v>2</v>
      </c>
      <c r="DQ186" s="344">
        <v>1</v>
      </c>
      <c r="DR186" s="344">
        <v>1</v>
      </c>
      <c r="DS186" s="344">
        <v>2</v>
      </c>
      <c r="DT186" s="344">
        <v>2</v>
      </c>
      <c r="DU186" s="344">
        <v>1</v>
      </c>
      <c r="DV186" s="251">
        <v>5.50000000001</v>
      </c>
      <c r="DW186" s="251">
        <v>5.50000000002</v>
      </c>
      <c r="DX186" s="251">
        <v>5.50000000003</v>
      </c>
      <c r="DY186" s="251">
        <v>4.00000000004</v>
      </c>
      <c r="DZ186" s="251">
        <v>5.0000000000000002E-11</v>
      </c>
      <c r="EA186" s="251">
        <v>5.50000000006</v>
      </c>
      <c r="EB186" s="251">
        <v>5.50000000007</v>
      </c>
      <c r="EC186" s="251">
        <v>7.9999999999999995E-11</v>
      </c>
      <c r="ED186" s="344">
        <f t="shared" si="450"/>
        <v>5.50000000001</v>
      </c>
      <c r="EE186" s="344">
        <f t="shared" si="451"/>
        <v>5.50000000002</v>
      </c>
      <c r="EF186" s="344">
        <f t="shared" si="452"/>
        <v>11.00000000006</v>
      </c>
      <c r="EG186" s="344">
        <f t="shared" si="453"/>
        <v>4.00000000004</v>
      </c>
      <c r="EH186" s="344">
        <f t="shared" si="454"/>
        <v>5.0000000000000002E-11</v>
      </c>
      <c r="EI186" s="344">
        <f t="shared" si="455"/>
        <v>11.00000000012</v>
      </c>
      <c r="EJ186" s="344">
        <f t="shared" si="456"/>
        <v>11.00000000014</v>
      </c>
      <c r="EK186" s="344">
        <f t="shared" si="457"/>
        <v>7.9999999999999995E-11</v>
      </c>
      <c r="EL186" s="344" t="b">
        <f t="shared" si="502"/>
        <v>1</v>
      </c>
      <c r="EM186" s="344" t="b">
        <f t="shared" si="503"/>
        <v>1</v>
      </c>
      <c r="EN186" s="344" t="b">
        <f t="shared" si="504"/>
        <v>1</v>
      </c>
      <c r="EO186" s="344" t="b">
        <f t="shared" si="505"/>
        <v>0</v>
      </c>
      <c r="EP186" s="344" t="b">
        <f t="shared" si="506"/>
        <v>0</v>
      </c>
      <c r="EQ186" s="344" t="b">
        <f t="shared" si="507"/>
        <v>1</v>
      </c>
      <c r="ER186" s="344" t="b">
        <f t="shared" si="508"/>
        <v>1</v>
      </c>
      <c r="ES186" s="344" t="b">
        <f t="shared" si="509"/>
        <v>0</v>
      </c>
    </row>
    <row r="187" spans="1:149" s="251" customFormat="1" ht="13.95" customHeight="1" x14ac:dyDescent="0.3">
      <c r="A187" s="251" t="s">
        <v>3100</v>
      </c>
      <c r="B187" s="251" t="s">
        <v>2247</v>
      </c>
      <c r="C187" s="251" t="s">
        <v>2159</v>
      </c>
      <c r="D187" s="251" t="s">
        <v>979</v>
      </c>
      <c r="E187" s="344" t="s">
        <v>2187</v>
      </c>
      <c r="F187" s="344" t="s">
        <v>1970</v>
      </c>
      <c r="G187" s="344" t="s">
        <v>1978</v>
      </c>
      <c r="H187" s="344" t="s">
        <v>1978</v>
      </c>
      <c r="I187" s="251" t="s">
        <v>1970</v>
      </c>
      <c r="J187" s="251" t="s">
        <v>1970</v>
      </c>
      <c r="K187" s="388" t="s">
        <v>3101</v>
      </c>
      <c r="L187" s="251" t="s">
        <v>3102</v>
      </c>
      <c r="M187" s="251" t="s">
        <v>3099</v>
      </c>
      <c r="N187" s="344" t="s">
        <v>1978</v>
      </c>
      <c r="O187" s="344" t="s">
        <v>1978</v>
      </c>
      <c r="P187" s="344" t="s">
        <v>1978</v>
      </c>
      <c r="Q187" s="344" t="s">
        <v>1978</v>
      </c>
      <c r="R187" s="344" t="s">
        <v>1978</v>
      </c>
      <c r="S187" s="344" t="s">
        <v>1978</v>
      </c>
      <c r="T187" s="251" t="s">
        <v>977</v>
      </c>
      <c r="U187" s="251" t="s">
        <v>2165</v>
      </c>
      <c r="V187" s="251" t="s">
        <v>1970</v>
      </c>
      <c r="W187" s="251" t="s">
        <v>1970</v>
      </c>
      <c r="X187" s="344">
        <f>'A123'!J195</f>
        <v>35</v>
      </c>
      <c r="Y187" s="344" t="str">
        <f>'A123'!K195</f>
        <v>/</v>
      </c>
      <c r="Z187" s="344" t="str">
        <f>'A123'!L195</f>
        <v>新科目</v>
      </c>
      <c r="AA187" s="344" t="s">
        <v>2165</v>
      </c>
      <c r="AB187" s="344" t="str">
        <f>入學要求!X196</f>
        <v>以下一科選修取得Lv.4︰M1/2、生物、化學、組合科學、地理、物理</v>
      </c>
      <c r="AC187" s="344" t="str">
        <f>入學要求!Y196</f>
        <v>/</v>
      </c>
      <c r="AD187" s="373" t="s">
        <v>2171</v>
      </c>
      <c r="AE187" s="344" t="s">
        <v>1970</v>
      </c>
      <c r="AF187" s="344" t="s">
        <v>1970</v>
      </c>
      <c r="AG187" s="388" t="s">
        <v>3101</v>
      </c>
      <c r="AH187" s="344" t="s">
        <v>3129</v>
      </c>
      <c r="AI187" s="344" t="s">
        <v>3099</v>
      </c>
      <c r="AJ187" s="344" t="s">
        <v>1970</v>
      </c>
      <c r="AK187" s="251" t="s">
        <v>1970</v>
      </c>
      <c r="AL187" s="251" t="s">
        <v>1970</v>
      </c>
      <c r="AM187" s="251" t="s">
        <v>1970</v>
      </c>
      <c r="AN187" s="251" t="s">
        <v>1970</v>
      </c>
      <c r="AO187" s="251" t="s">
        <v>1970</v>
      </c>
      <c r="AP187" s="251" t="s">
        <v>1970</v>
      </c>
      <c r="AQ187" s="344" t="s">
        <v>1970</v>
      </c>
      <c r="AR187" s="428" t="s">
        <v>2150</v>
      </c>
      <c r="AS187" s="251" t="s">
        <v>3603</v>
      </c>
      <c r="AT187" s="251" t="s">
        <v>3664</v>
      </c>
      <c r="AU187" s="251" t="s">
        <v>1970</v>
      </c>
      <c r="AV187" s="344" t="s">
        <v>3735</v>
      </c>
      <c r="AW187" s="344" t="s">
        <v>3736</v>
      </c>
      <c r="AX187" s="344" t="s">
        <v>3784</v>
      </c>
      <c r="AY187" s="344" t="s">
        <v>3722</v>
      </c>
      <c r="AZ187" s="344" t="s">
        <v>3737</v>
      </c>
      <c r="BA187" s="381" t="s">
        <v>3725</v>
      </c>
      <c r="BB187" s="344" t="s">
        <v>1970</v>
      </c>
      <c r="BC187" s="344" t="s">
        <v>1970</v>
      </c>
      <c r="BD187" s="344" t="s">
        <v>1970</v>
      </c>
      <c r="BE187" s="344" t="s">
        <v>1970</v>
      </c>
      <c r="BF187" s="344" t="s">
        <v>1970</v>
      </c>
      <c r="BG187" s="344" t="s">
        <v>1970</v>
      </c>
      <c r="BH187" s="344" t="s">
        <v>1970</v>
      </c>
      <c r="BI187" s="344" t="s">
        <v>1970</v>
      </c>
      <c r="BJ187" s="344" t="s">
        <v>1970</v>
      </c>
      <c r="BK187" s="344" t="s">
        <v>1970</v>
      </c>
      <c r="BL187" s="344" t="s">
        <v>1970</v>
      </c>
      <c r="BM187" s="344" t="s">
        <v>1970</v>
      </c>
      <c r="BN187" s="344" t="s">
        <v>1970</v>
      </c>
      <c r="BO187" s="344" t="s">
        <v>1970</v>
      </c>
      <c r="BP187" s="344" t="s">
        <v>1970</v>
      </c>
      <c r="BQ187" s="344" t="s">
        <v>1970</v>
      </c>
      <c r="BR187" s="344" t="s">
        <v>1970</v>
      </c>
      <c r="BS187" s="344" t="s">
        <v>1970</v>
      </c>
      <c r="BT187" s="344" t="s">
        <v>1970</v>
      </c>
      <c r="BU187" s="344" t="s">
        <v>1970</v>
      </c>
      <c r="BV187" s="344" t="s">
        <v>1970</v>
      </c>
      <c r="BW187" s="344" t="s">
        <v>1970</v>
      </c>
      <c r="BX187" s="344" t="s">
        <v>1970</v>
      </c>
      <c r="BY187" s="344" t="s">
        <v>1970</v>
      </c>
      <c r="BZ187" s="344" t="b">
        <f t="shared" si="486"/>
        <v>0</v>
      </c>
      <c r="CA187" s="344" t="b">
        <f t="shared" si="487"/>
        <v>0</v>
      </c>
      <c r="CB187" s="344" t="b">
        <f t="shared" si="488"/>
        <v>0</v>
      </c>
      <c r="CC187" s="344" t="b">
        <f t="shared" si="489"/>
        <v>0</v>
      </c>
      <c r="CD187" s="344" t="b">
        <f t="shared" si="490"/>
        <v>0</v>
      </c>
      <c r="CE187" s="344" t="b">
        <f t="shared" si="491"/>
        <v>0</v>
      </c>
      <c r="CF187" s="344" t="b">
        <f t="shared" si="492"/>
        <v>0</v>
      </c>
      <c r="CG187" s="344" t="b">
        <f t="shared" si="493"/>
        <v>0</v>
      </c>
      <c r="CH187" s="344" t="s">
        <v>1970</v>
      </c>
      <c r="CI187" s="344" t="s">
        <v>1970</v>
      </c>
      <c r="CJ187" s="344" t="s">
        <v>1970</v>
      </c>
      <c r="CK187" s="344" t="s">
        <v>1970</v>
      </c>
      <c r="CL187" s="344" t="s">
        <v>1970</v>
      </c>
      <c r="CM187" s="344" t="s">
        <v>1970</v>
      </c>
      <c r="CN187" s="344" t="s">
        <v>1970</v>
      </c>
      <c r="CO187" s="344" t="s">
        <v>1970</v>
      </c>
      <c r="CP187" s="251" t="e">
        <v>#VALUE!</v>
      </c>
      <c r="CQ187" s="251" t="e">
        <v>#VALUE!</v>
      </c>
      <c r="CR187" s="251" t="e">
        <v>#VALUE!</v>
      </c>
      <c r="CS187" s="251" t="e">
        <v>#VALUE!</v>
      </c>
      <c r="CT187" s="251" t="e">
        <v>#VALUE!</v>
      </c>
      <c r="CU187" s="251" t="e">
        <v>#VALUE!</v>
      </c>
      <c r="CV187" s="251" t="e">
        <v>#VALUE!</v>
      </c>
      <c r="CW187" s="251" t="e">
        <v>#VALUE!</v>
      </c>
      <c r="CX187" s="344" t="e">
        <f t="shared" si="449"/>
        <v>#VALUE!</v>
      </c>
      <c r="CY187" s="344" t="e">
        <f t="shared" si="417"/>
        <v>#VALUE!</v>
      </c>
      <c r="CZ187" s="344" t="e">
        <f t="shared" si="418"/>
        <v>#VALUE!</v>
      </c>
      <c r="DA187" s="344" t="e">
        <f t="shared" si="419"/>
        <v>#VALUE!</v>
      </c>
      <c r="DB187" s="344" t="e">
        <f t="shared" si="420"/>
        <v>#VALUE!</v>
      </c>
      <c r="DC187" s="344" t="e">
        <f t="shared" si="421"/>
        <v>#VALUE!</v>
      </c>
      <c r="DD187" s="344" t="e">
        <f t="shared" si="422"/>
        <v>#VALUE!</v>
      </c>
      <c r="DE187" s="344" t="e">
        <f t="shared" si="423"/>
        <v>#VALUE!</v>
      </c>
      <c r="DF187" s="344" t="b">
        <f t="shared" si="494"/>
        <v>0</v>
      </c>
      <c r="DG187" s="344" t="b">
        <f t="shared" si="495"/>
        <v>0</v>
      </c>
      <c r="DH187" s="344" t="b">
        <f t="shared" si="496"/>
        <v>0</v>
      </c>
      <c r="DI187" s="344" t="b">
        <f t="shared" si="497"/>
        <v>0</v>
      </c>
      <c r="DJ187" s="344" t="b">
        <f t="shared" si="498"/>
        <v>0</v>
      </c>
      <c r="DK187" s="344" t="b">
        <f t="shared" si="499"/>
        <v>0</v>
      </c>
      <c r="DL187" s="344" t="b">
        <f t="shared" si="500"/>
        <v>0</v>
      </c>
      <c r="DM187" s="344" t="b">
        <f t="shared" si="501"/>
        <v>0</v>
      </c>
      <c r="DN187" s="344" t="s">
        <v>1970</v>
      </c>
      <c r="DO187" s="344" t="s">
        <v>1970</v>
      </c>
      <c r="DP187" s="344" t="s">
        <v>1970</v>
      </c>
      <c r="DQ187" s="344" t="s">
        <v>1970</v>
      </c>
      <c r="DR187" s="344" t="s">
        <v>1970</v>
      </c>
      <c r="DS187" s="344" t="s">
        <v>1970</v>
      </c>
      <c r="DT187" s="344" t="s">
        <v>1970</v>
      </c>
      <c r="DU187" s="344" t="s">
        <v>1970</v>
      </c>
      <c r="DV187" s="251" t="e">
        <v>#VALUE!</v>
      </c>
      <c r="DW187" s="251" t="e">
        <v>#VALUE!</v>
      </c>
      <c r="DX187" s="251" t="e">
        <v>#VALUE!</v>
      </c>
      <c r="DY187" s="251" t="e">
        <v>#VALUE!</v>
      </c>
      <c r="DZ187" s="251" t="e">
        <v>#VALUE!</v>
      </c>
      <c r="EA187" s="251" t="e">
        <v>#VALUE!</v>
      </c>
      <c r="EB187" s="251" t="e">
        <v>#VALUE!</v>
      </c>
      <c r="EC187" s="251" t="e">
        <v>#VALUE!</v>
      </c>
      <c r="ED187" s="344" t="e">
        <f t="shared" si="450"/>
        <v>#VALUE!</v>
      </c>
      <c r="EE187" s="344" t="e">
        <f t="shared" si="451"/>
        <v>#VALUE!</v>
      </c>
      <c r="EF187" s="344" t="e">
        <f t="shared" si="452"/>
        <v>#VALUE!</v>
      </c>
      <c r="EG187" s="344" t="e">
        <f t="shared" si="453"/>
        <v>#VALUE!</v>
      </c>
      <c r="EH187" s="344" t="e">
        <f t="shared" si="454"/>
        <v>#VALUE!</v>
      </c>
      <c r="EI187" s="344" t="e">
        <f t="shared" si="455"/>
        <v>#VALUE!</v>
      </c>
      <c r="EJ187" s="344" t="e">
        <f t="shared" si="456"/>
        <v>#VALUE!</v>
      </c>
      <c r="EK187" s="344" t="e">
        <f t="shared" si="457"/>
        <v>#VALUE!</v>
      </c>
      <c r="EL187" s="344" t="b">
        <f t="shared" si="502"/>
        <v>0</v>
      </c>
      <c r="EM187" s="344" t="b">
        <f t="shared" si="503"/>
        <v>0</v>
      </c>
      <c r="EN187" s="344" t="b">
        <f t="shared" si="504"/>
        <v>0</v>
      </c>
      <c r="EO187" s="344" t="b">
        <f t="shared" si="505"/>
        <v>0</v>
      </c>
      <c r="EP187" s="344" t="b">
        <f t="shared" si="506"/>
        <v>0</v>
      </c>
      <c r="EQ187" s="344" t="b">
        <f t="shared" si="507"/>
        <v>0</v>
      </c>
      <c r="ER187" s="344" t="b">
        <f t="shared" si="508"/>
        <v>0</v>
      </c>
      <c r="ES187" s="344" t="b">
        <f t="shared" si="509"/>
        <v>0</v>
      </c>
    </row>
    <row r="188" spans="1:149" s="251" customFormat="1" x14ac:dyDescent="0.3">
      <c r="A188" s="251" t="s">
        <v>980</v>
      </c>
      <c r="B188" s="251" t="s">
        <v>2247</v>
      </c>
      <c r="C188" s="251" t="s">
        <v>2159</v>
      </c>
      <c r="D188" s="251" t="s">
        <v>983</v>
      </c>
      <c r="E188" s="344" t="s">
        <v>2171</v>
      </c>
      <c r="F188" s="344">
        <f t="shared" si="441"/>
        <v>45.000000000299998</v>
      </c>
      <c r="G188" s="344">
        <f>SUMIF(DF188:DM188,TRUE,CX188:DE188)</f>
        <v>42.000000000340002</v>
      </c>
      <c r="H188" s="344">
        <f>SUMIF(BZ188:CG188,TRUE,BR188:BY188)</f>
        <v>40.500000000280004</v>
      </c>
      <c r="I188" s="251" t="s">
        <v>3105</v>
      </c>
      <c r="J188" s="251" t="s">
        <v>1970</v>
      </c>
      <c r="K188" s="251" t="s">
        <v>3103</v>
      </c>
      <c r="L188" s="251" t="s">
        <v>3104</v>
      </c>
      <c r="M188" s="251" t="s">
        <v>1970</v>
      </c>
      <c r="N188" s="344" t="s">
        <v>1978</v>
      </c>
      <c r="O188" s="344" t="s">
        <v>1978</v>
      </c>
      <c r="P188" s="344" t="s">
        <v>1978</v>
      </c>
      <c r="Q188" s="344" t="s">
        <v>1978</v>
      </c>
      <c r="R188" s="344" t="s">
        <v>1978</v>
      </c>
      <c r="S188" s="344" t="s">
        <v>1978</v>
      </c>
      <c r="T188" s="251" t="s">
        <v>981</v>
      </c>
      <c r="U188" s="251" t="s">
        <v>2165</v>
      </c>
      <c r="V188" s="251" t="s">
        <v>1970</v>
      </c>
      <c r="W188" s="251" t="s">
        <v>1970</v>
      </c>
      <c r="X188" s="344">
        <f>'A123'!J196</f>
        <v>27</v>
      </c>
      <c r="Y188" s="344">
        <f>'A123'!K196</f>
        <v>32</v>
      </c>
      <c r="Z188" s="344">
        <f>'A123'!L196</f>
        <v>3.15625</v>
      </c>
      <c r="AA188" s="344" t="s">
        <v>2165</v>
      </c>
      <c r="AB188" s="344" t="str">
        <f>入學要求!X197</f>
        <v>以下一科選修取得Lv.3︰生物、化學、組合科學、經濟、地理、ICT、綜合科學、物理、科技與生活</v>
      </c>
      <c r="AC188" s="344" t="str">
        <f>入學要求!Y197</f>
        <v>M1/2 需考獲Lv.4或以上</v>
      </c>
      <c r="AD188" s="351" t="s">
        <v>2171</v>
      </c>
      <c r="AE188" s="344" t="s">
        <v>3105</v>
      </c>
      <c r="AF188" s="344" t="s">
        <v>1970</v>
      </c>
      <c r="AG188" s="344" t="s">
        <v>3103</v>
      </c>
      <c r="AH188" s="344" t="s">
        <v>3104</v>
      </c>
      <c r="AI188" s="344" t="s">
        <v>1970</v>
      </c>
      <c r="AJ188" s="344" t="s">
        <v>1970</v>
      </c>
      <c r="AK188" s="251" t="s">
        <v>1970</v>
      </c>
      <c r="AL188" s="251" t="s">
        <v>1970</v>
      </c>
      <c r="AM188" s="251" t="s">
        <v>1970</v>
      </c>
      <c r="AN188" s="251" t="s">
        <v>1970</v>
      </c>
      <c r="AO188" s="251" t="s">
        <v>1970</v>
      </c>
      <c r="AP188" s="251" t="s">
        <v>1970</v>
      </c>
      <c r="AQ188" s="344" t="s">
        <v>1970</v>
      </c>
      <c r="AR188" s="428" t="s">
        <v>2150</v>
      </c>
      <c r="AS188" s="251" t="s">
        <v>3603</v>
      </c>
      <c r="AT188" s="251" t="s">
        <v>3665</v>
      </c>
      <c r="AU188" s="251" t="s">
        <v>1970</v>
      </c>
      <c r="AV188" s="344" t="s">
        <v>3735</v>
      </c>
      <c r="AW188" s="344" t="s">
        <v>3736</v>
      </c>
      <c r="AX188" s="344" t="s">
        <v>3785</v>
      </c>
      <c r="AY188" s="344" t="s">
        <v>3722</v>
      </c>
      <c r="AZ188" s="344" t="s">
        <v>3737</v>
      </c>
      <c r="BA188" s="381" t="s">
        <v>3725</v>
      </c>
      <c r="BB188" s="251">
        <v>1</v>
      </c>
      <c r="BC188" s="251">
        <v>1</v>
      </c>
      <c r="BD188" s="251">
        <v>1</v>
      </c>
      <c r="BE188" s="251">
        <v>1</v>
      </c>
      <c r="BF188" s="251">
        <v>2</v>
      </c>
      <c r="BG188" s="251">
        <v>1</v>
      </c>
      <c r="BH188" s="251">
        <v>1</v>
      </c>
      <c r="BI188" s="251">
        <v>1</v>
      </c>
      <c r="BJ188" s="251">
        <v>3.00000000001</v>
      </c>
      <c r="BK188" s="251">
        <v>4.00000000002</v>
      </c>
      <c r="BL188" s="251">
        <v>8.5000000000299991</v>
      </c>
      <c r="BM188" s="251">
        <v>2.00000000004</v>
      </c>
      <c r="BN188" s="251">
        <v>7.00000000005</v>
      </c>
      <c r="BO188" s="251">
        <v>8.50000000006</v>
      </c>
      <c r="BP188" s="251">
        <v>5.50000000007</v>
      </c>
      <c r="BQ188" s="251">
        <v>7.9999999999999995E-11</v>
      </c>
      <c r="BR188" s="344">
        <f t="shared" si="466"/>
        <v>3.00000000001</v>
      </c>
      <c r="BS188" s="344">
        <f t="shared" si="442"/>
        <v>4.00000000002</v>
      </c>
      <c r="BT188" s="344">
        <f t="shared" si="443"/>
        <v>8.5000000000299991</v>
      </c>
      <c r="BU188" s="344">
        <f t="shared" si="444"/>
        <v>2.00000000004</v>
      </c>
      <c r="BV188" s="344">
        <f t="shared" si="445"/>
        <v>14.0000000001</v>
      </c>
      <c r="BW188" s="344">
        <f t="shared" si="446"/>
        <v>8.50000000006</v>
      </c>
      <c r="BX188" s="344">
        <f t="shared" si="447"/>
        <v>5.50000000007</v>
      </c>
      <c r="BY188" s="344">
        <f t="shared" si="448"/>
        <v>7.9999999999999995E-11</v>
      </c>
      <c r="BZ188" s="344" t="b">
        <f t="shared" si="486"/>
        <v>0</v>
      </c>
      <c r="CA188" s="344" t="b">
        <f t="shared" si="487"/>
        <v>1</v>
      </c>
      <c r="CB188" s="344" t="b">
        <f t="shared" si="488"/>
        <v>1</v>
      </c>
      <c r="CC188" s="344" t="b">
        <f t="shared" si="489"/>
        <v>0</v>
      </c>
      <c r="CD188" s="344" t="b">
        <f t="shared" si="490"/>
        <v>1</v>
      </c>
      <c r="CE188" s="344" t="b">
        <f t="shared" si="491"/>
        <v>1</v>
      </c>
      <c r="CF188" s="344" t="b">
        <f t="shared" si="492"/>
        <v>1</v>
      </c>
      <c r="CG188" s="344" t="b">
        <f t="shared" si="493"/>
        <v>0</v>
      </c>
      <c r="CH188" s="344">
        <v>1</v>
      </c>
      <c r="CI188" s="344">
        <v>1</v>
      </c>
      <c r="CJ188" s="344">
        <v>1</v>
      </c>
      <c r="CK188" s="344">
        <v>1</v>
      </c>
      <c r="CL188" s="344">
        <v>2</v>
      </c>
      <c r="CM188" s="344">
        <v>1</v>
      </c>
      <c r="CN188" s="344">
        <v>1</v>
      </c>
      <c r="CO188" s="344">
        <v>1</v>
      </c>
      <c r="CP188" s="251">
        <v>5.50000000001</v>
      </c>
      <c r="CQ188" s="251">
        <v>4.00000000002</v>
      </c>
      <c r="CR188" s="251">
        <v>8.5000000000299991</v>
      </c>
      <c r="CS188" s="251">
        <v>4.00000000004</v>
      </c>
      <c r="CT188" s="251">
        <v>7.00000000005</v>
      </c>
      <c r="CU188" s="251">
        <v>7.00000000006</v>
      </c>
      <c r="CV188" s="251">
        <v>7.00000000007</v>
      </c>
      <c r="CW188" s="251">
        <v>5.50000000008</v>
      </c>
      <c r="CX188" s="344">
        <f t="shared" si="449"/>
        <v>5.50000000001</v>
      </c>
      <c r="CY188" s="344">
        <f t="shared" si="417"/>
        <v>4.00000000002</v>
      </c>
      <c r="CZ188" s="344">
        <f t="shared" si="418"/>
        <v>8.5000000000299991</v>
      </c>
      <c r="DA188" s="344">
        <f t="shared" si="419"/>
        <v>4.00000000004</v>
      </c>
      <c r="DB188" s="344">
        <f t="shared" si="420"/>
        <v>14.0000000001</v>
      </c>
      <c r="DC188" s="344">
        <f t="shared" si="421"/>
        <v>7.00000000006</v>
      </c>
      <c r="DD188" s="344">
        <f t="shared" si="422"/>
        <v>7.00000000007</v>
      </c>
      <c r="DE188" s="344">
        <f t="shared" si="423"/>
        <v>5.50000000008</v>
      </c>
      <c r="DF188" s="344" t="b">
        <f t="shared" si="494"/>
        <v>0</v>
      </c>
      <c r="DG188" s="344" t="b">
        <f t="shared" si="495"/>
        <v>0</v>
      </c>
      <c r="DH188" s="344" t="b">
        <f t="shared" si="496"/>
        <v>1</v>
      </c>
      <c r="DI188" s="344" t="b">
        <f t="shared" si="497"/>
        <v>0</v>
      </c>
      <c r="DJ188" s="344" t="b">
        <f t="shared" si="498"/>
        <v>1</v>
      </c>
      <c r="DK188" s="344" t="b">
        <f t="shared" si="499"/>
        <v>1</v>
      </c>
      <c r="DL188" s="344" t="b">
        <f t="shared" si="500"/>
        <v>1</v>
      </c>
      <c r="DM188" s="344" t="b">
        <f t="shared" si="501"/>
        <v>1</v>
      </c>
      <c r="DN188" s="344">
        <v>1</v>
      </c>
      <c r="DO188" s="344">
        <v>1</v>
      </c>
      <c r="DP188" s="344">
        <v>1</v>
      </c>
      <c r="DQ188" s="344">
        <v>1</v>
      </c>
      <c r="DR188" s="344">
        <v>2</v>
      </c>
      <c r="DS188" s="344">
        <v>1</v>
      </c>
      <c r="DT188" s="344">
        <v>1</v>
      </c>
      <c r="DU188" s="344">
        <v>1</v>
      </c>
      <c r="DV188" s="251">
        <v>3.00000000001</v>
      </c>
      <c r="DW188" s="251">
        <v>5.50000000002</v>
      </c>
      <c r="DX188" s="251">
        <v>8.5000000000299991</v>
      </c>
      <c r="DY188" s="251">
        <v>5.50000000004</v>
      </c>
      <c r="DZ188" s="251">
        <v>8.5000000000499991</v>
      </c>
      <c r="EA188" s="251">
        <v>7.00000000006</v>
      </c>
      <c r="EB188" s="251">
        <v>7.00000000007</v>
      </c>
      <c r="EC188" s="251">
        <v>7.9999999999999995E-11</v>
      </c>
      <c r="ED188" s="344">
        <f t="shared" si="450"/>
        <v>3.00000000001</v>
      </c>
      <c r="EE188" s="344">
        <f t="shared" si="451"/>
        <v>5.50000000002</v>
      </c>
      <c r="EF188" s="344">
        <f t="shared" si="452"/>
        <v>8.5000000000299991</v>
      </c>
      <c r="EG188" s="344">
        <f t="shared" si="453"/>
        <v>5.50000000004</v>
      </c>
      <c r="EH188" s="344">
        <f t="shared" si="454"/>
        <v>17.000000000099998</v>
      </c>
      <c r="EI188" s="344">
        <f t="shared" si="455"/>
        <v>7.00000000006</v>
      </c>
      <c r="EJ188" s="344">
        <f t="shared" si="456"/>
        <v>7.00000000007</v>
      </c>
      <c r="EK188" s="344">
        <f t="shared" si="457"/>
        <v>7.9999999999999995E-11</v>
      </c>
      <c r="EL188" s="344" t="b">
        <f t="shared" si="502"/>
        <v>0</v>
      </c>
      <c r="EM188" s="344" t="b">
        <f t="shared" si="503"/>
        <v>0</v>
      </c>
      <c r="EN188" s="344" t="b">
        <f t="shared" si="504"/>
        <v>1</v>
      </c>
      <c r="EO188" s="344" t="b">
        <f t="shared" si="505"/>
        <v>1</v>
      </c>
      <c r="EP188" s="344" t="b">
        <f t="shared" si="506"/>
        <v>1</v>
      </c>
      <c r="EQ188" s="344" t="b">
        <f t="shared" si="507"/>
        <v>1</v>
      </c>
      <c r="ER188" s="344" t="b">
        <f t="shared" si="508"/>
        <v>1</v>
      </c>
      <c r="ES188" s="344" t="b">
        <f t="shared" si="509"/>
        <v>0</v>
      </c>
    </row>
    <row r="189" spans="1:149" s="251" customFormat="1" x14ac:dyDescent="0.3">
      <c r="A189" s="251" t="s">
        <v>984</v>
      </c>
      <c r="B189" s="251" t="s">
        <v>2247</v>
      </c>
      <c r="C189" s="251" t="s">
        <v>2159</v>
      </c>
      <c r="D189" s="251" t="s">
        <v>987</v>
      </c>
      <c r="E189" s="344" t="s">
        <v>2171</v>
      </c>
      <c r="F189" s="344">
        <f t="shared" si="441"/>
        <v>47.750000000290001</v>
      </c>
      <c r="G189" s="344">
        <f>SUMIF(DF189:DM189,TRUE,CX189:DE189)</f>
        <v>44.750000000359996</v>
      </c>
      <c r="H189" s="344">
        <f>SUMIF(BZ189:CG189,TRUE,BR189:BY189)</f>
        <v>38.75000000032</v>
      </c>
      <c r="I189" s="344" t="s">
        <v>3108</v>
      </c>
      <c r="J189" s="251" t="s">
        <v>1970</v>
      </c>
      <c r="K189" s="251" t="s">
        <v>3107</v>
      </c>
      <c r="L189" s="251" t="s">
        <v>3099</v>
      </c>
      <c r="M189" s="251" t="s">
        <v>1970</v>
      </c>
      <c r="N189" s="344" t="s">
        <v>1978</v>
      </c>
      <c r="O189" s="344" t="s">
        <v>1978</v>
      </c>
      <c r="P189" s="344" t="s">
        <v>1978</v>
      </c>
      <c r="Q189" s="344" t="s">
        <v>1978</v>
      </c>
      <c r="R189" s="344" t="s">
        <v>1978</v>
      </c>
      <c r="S189" s="344" t="s">
        <v>1978</v>
      </c>
      <c r="T189" s="251" t="s">
        <v>985</v>
      </c>
      <c r="U189" s="251" t="s">
        <v>2165</v>
      </c>
      <c r="V189" s="251" t="s">
        <v>1970</v>
      </c>
      <c r="W189" s="251" t="s">
        <v>1970</v>
      </c>
      <c r="X189" s="344">
        <f>'A123'!J197</f>
        <v>20</v>
      </c>
      <c r="Y189" s="344">
        <f>'A123'!K197</f>
        <v>25</v>
      </c>
      <c r="Z189" s="344">
        <f>'A123'!L197</f>
        <v>3.2</v>
      </c>
      <c r="AA189" s="344" t="s">
        <v>2165</v>
      </c>
      <c r="AB189" s="344" t="str">
        <f>入學要求!X198</f>
        <v>物理 需考獲Lv.4或以上</v>
      </c>
      <c r="AC189" s="344" t="str">
        <f>入學要求!Y198</f>
        <v>以下一科選修取得Lv.3︰M1/2、生物、化學、組合科學、經濟、地理、ICT、綜合科學、科技與生活</v>
      </c>
      <c r="AD189" s="351" t="s">
        <v>2171</v>
      </c>
      <c r="AE189" s="344" t="s">
        <v>3108</v>
      </c>
      <c r="AF189" s="344" t="s">
        <v>1970</v>
      </c>
      <c r="AG189" s="344" t="s">
        <v>3107</v>
      </c>
      <c r="AH189" s="344" t="s">
        <v>3099</v>
      </c>
      <c r="AI189" s="344" t="s">
        <v>1970</v>
      </c>
      <c r="AJ189" s="344" t="s">
        <v>1970</v>
      </c>
      <c r="AK189" s="251" t="s">
        <v>1970</v>
      </c>
      <c r="AL189" s="251" t="s">
        <v>1970</v>
      </c>
      <c r="AM189" s="251" t="s">
        <v>1970</v>
      </c>
      <c r="AN189" s="251" t="s">
        <v>1970</v>
      </c>
      <c r="AO189" s="251" t="s">
        <v>1970</v>
      </c>
      <c r="AP189" s="251" t="s">
        <v>1970</v>
      </c>
      <c r="AQ189" s="344" t="s">
        <v>1970</v>
      </c>
      <c r="AR189" s="428" t="s">
        <v>2150</v>
      </c>
      <c r="AS189" s="251" t="s">
        <v>3603</v>
      </c>
      <c r="AT189" s="251" t="s">
        <v>3666</v>
      </c>
      <c r="AU189" s="251" t="s">
        <v>1970</v>
      </c>
      <c r="AV189" s="344" t="s">
        <v>3735</v>
      </c>
      <c r="AW189" s="344" t="s">
        <v>3736</v>
      </c>
      <c r="AX189" s="344" t="s">
        <v>3786</v>
      </c>
      <c r="AY189" s="344" t="s">
        <v>3722</v>
      </c>
      <c r="AZ189" s="344" t="s">
        <v>3737</v>
      </c>
      <c r="BA189" s="381" t="s">
        <v>3725</v>
      </c>
      <c r="BB189" s="251">
        <v>1</v>
      </c>
      <c r="BC189" s="251">
        <v>1</v>
      </c>
      <c r="BD189" s="251">
        <v>1.5</v>
      </c>
      <c r="BE189" s="251">
        <v>1</v>
      </c>
      <c r="BF189" s="344">
        <v>1.5</v>
      </c>
      <c r="BG189" s="344">
        <v>1.5</v>
      </c>
      <c r="BH189" s="344">
        <v>1</v>
      </c>
      <c r="BI189" s="344">
        <v>1</v>
      </c>
      <c r="BJ189" s="251">
        <v>4.00000000001</v>
      </c>
      <c r="BK189" s="251">
        <v>4.00000000002</v>
      </c>
      <c r="BL189" s="251">
        <v>7.00000000003</v>
      </c>
      <c r="BM189" s="251">
        <v>4.00000000004</v>
      </c>
      <c r="BN189" s="251">
        <v>5.50000000005</v>
      </c>
      <c r="BO189" s="251">
        <v>7.00000000006</v>
      </c>
      <c r="BP189" s="251">
        <v>5.50000000007</v>
      </c>
      <c r="BQ189" s="251">
        <v>7.9999999999999995E-11</v>
      </c>
      <c r="BR189" s="344">
        <f t="shared" si="466"/>
        <v>4.00000000001</v>
      </c>
      <c r="BS189" s="344">
        <f t="shared" si="442"/>
        <v>4.00000000002</v>
      </c>
      <c r="BT189" s="344">
        <f t="shared" si="443"/>
        <v>10.500000000045</v>
      </c>
      <c r="BU189" s="344">
        <f t="shared" si="444"/>
        <v>4.00000000004</v>
      </c>
      <c r="BV189" s="344">
        <f t="shared" si="445"/>
        <v>8.2500000000749996</v>
      </c>
      <c r="BW189" s="344">
        <f t="shared" si="446"/>
        <v>10.500000000090001</v>
      </c>
      <c r="BX189" s="344">
        <f t="shared" si="447"/>
        <v>5.50000000007</v>
      </c>
      <c r="BY189" s="344">
        <f t="shared" si="448"/>
        <v>7.9999999999999995E-11</v>
      </c>
      <c r="BZ189" s="344" t="b">
        <f t="shared" si="486"/>
        <v>0</v>
      </c>
      <c r="CA189" s="344" t="b">
        <f t="shared" si="487"/>
        <v>0</v>
      </c>
      <c r="CB189" s="344" t="b">
        <f t="shared" si="488"/>
        <v>1</v>
      </c>
      <c r="CC189" s="344" t="b">
        <f t="shared" si="489"/>
        <v>1</v>
      </c>
      <c r="CD189" s="344" t="b">
        <f t="shared" si="490"/>
        <v>1</v>
      </c>
      <c r="CE189" s="344" t="b">
        <f t="shared" si="491"/>
        <v>1</v>
      </c>
      <c r="CF189" s="344" t="b">
        <f t="shared" si="492"/>
        <v>1</v>
      </c>
      <c r="CG189" s="344" t="b">
        <f t="shared" si="493"/>
        <v>0</v>
      </c>
      <c r="CH189" s="344">
        <v>1</v>
      </c>
      <c r="CI189" s="344">
        <v>1</v>
      </c>
      <c r="CJ189" s="344">
        <v>1.5</v>
      </c>
      <c r="CK189" s="344">
        <v>1</v>
      </c>
      <c r="CL189" s="344">
        <v>1.5</v>
      </c>
      <c r="CM189" s="344">
        <v>1.5</v>
      </c>
      <c r="CN189" s="344">
        <v>1</v>
      </c>
      <c r="CO189" s="344">
        <v>1</v>
      </c>
      <c r="CP189" s="251">
        <v>4.00000000001</v>
      </c>
      <c r="CQ189" s="251">
        <v>4.00000000002</v>
      </c>
      <c r="CR189" s="251">
        <v>8.5000000000299991</v>
      </c>
      <c r="CS189" s="251">
        <v>3.00000000004</v>
      </c>
      <c r="CT189" s="251">
        <v>7.00000000005</v>
      </c>
      <c r="CU189" s="251">
        <v>7.00000000006</v>
      </c>
      <c r="CV189" s="251">
        <v>5.50000000007</v>
      </c>
      <c r="CW189" s="251">
        <v>5.50000000008</v>
      </c>
      <c r="CX189" s="344">
        <f t="shared" si="449"/>
        <v>4.00000000001</v>
      </c>
      <c r="CY189" s="344">
        <f t="shared" si="417"/>
        <v>4.00000000002</v>
      </c>
      <c r="CZ189" s="344">
        <f t="shared" si="418"/>
        <v>12.750000000044999</v>
      </c>
      <c r="DA189" s="344">
        <f t="shared" si="419"/>
        <v>3.00000000004</v>
      </c>
      <c r="DB189" s="344">
        <f t="shared" si="420"/>
        <v>10.500000000075</v>
      </c>
      <c r="DC189" s="344">
        <f t="shared" si="421"/>
        <v>10.500000000090001</v>
      </c>
      <c r="DD189" s="344">
        <f t="shared" si="422"/>
        <v>5.50000000007</v>
      </c>
      <c r="DE189" s="344">
        <f t="shared" si="423"/>
        <v>5.50000000008</v>
      </c>
      <c r="DF189" s="344" t="b">
        <f t="shared" si="494"/>
        <v>0</v>
      </c>
      <c r="DG189" s="344" t="b">
        <f t="shared" si="495"/>
        <v>0</v>
      </c>
      <c r="DH189" s="344" t="b">
        <f t="shared" si="496"/>
        <v>1</v>
      </c>
      <c r="DI189" s="344" t="b">
        <f t="shared" si="497"/>
        <v>0</v>
      </c>
      <c r="DJ189" s="344" t="b">
        <f t="shared" si="498"/>
        <v>1</v>
      </c>
      <c r="DK189" s="344" t="b">
        <f t="shared" si="499"/>
        <v>1</v>
      </c>
      <c r="DL189" s="344" t="b">
        <f t="shared" si="500"/>
        <v>1</v>
      </c>
      <c r="DM189" s="344" t="b">
        <f t="shared" si="501"/>
        <v>1</v>
      </c>
      <c r="DN189" s="344">
        <v>1</v>
      </c>
      <c r="DO189" s="344">
        <v>1</v>
      </c>
      <c r="DP189" s="344">
        <v>1.5</v>
      </c>
      <c r="DQ189" s="344">
        <v>1</v>
      </c>
      <c r="DR189" s="344">
        <v>1.5</v>
      </c>
      <c r="DS189" s="344">
        <v>1.5</v>
      </c>
      <c r="DT189" s="344">
        <v>1</v>
      </c>
      <c r="DU189" s="344">
        <v>1</v>
      </c>
      <c r="DV189" s="251">
        <v>7.00000000001</v>
      </c>
      <c r="DW189" s="251">
        <v>5.50000000002</v>
      </c>
      <c r="DX189" s="251">
        <v>7.00000000003</v>
      </c>
      <c r="DY189" s="251">
        <v>4.00000000004</v>
      </c>
      <c r="DZ189" s="251">
        <v>8.5000000000499991</v>
      </c>
      <c r="EA189" s="251">
        <v>7.00000000006</v>
      </c>
      <c r="EB189" s="251">
        <v>7.00000000007</v>
      </c>
      <c r="EC189" s="251">
        <v>5.50000000008</v>
      </c>
      <c r="ED189" s="344">
        <f t="shared" si="450"/>
        <v>7.00000000001</v>
      </c>
      <c r="EE189" s="344">
        <f t="shared" si="451"/>
        <v>5.50000000002</v>
      </c>
      <c r="EF189" s="344">
        <f t="shared" si="452"/>
        <v>10.500000000045</v>
      </c>
      <c r="EG189" s="344">
        <f t="shared" si="453"/>
        <v>4.00000000004</v>
      </c>
      <c r="EH189" s="344">
        <f t="shared" si="454"/>
        <v>12.750000000074998</v>
      </c>
      <c r="EI189" s="344">
        <f t="shared" si="455"/>
        <v>10.500000000090001</v>
      </c>
      <c r="EJ189" s="344">
        <f t="shared" si="456"/>
        <v>7.00000000007</v>
      </c>
      <c r="EK189" s="344">
        <f t="shared" si="457"/>
        <v>5.50000000008</v>
      </c>
      <c r="EL189" s="344" t="b">
        <f t="shared" si="502"/>
        <v>1</v>
      </c>
      <c r="EM189" s="344" t="b">
        <f t="shared" si="503"/>
        <v>0</v>
      </c>
      <c r="EN189" s="344" t="b">
        <f t="shared" si="504"/>
        <v>1</v>
      </c>
      <c r="EO189" s="344" t="b">
        <f t="shared" si="505"/>
        <v>0</v>
      </c>
      <c r="EP189" s="344" t="b">
        <f t="shared" si="506"/>
        <v>1</v>
      </c>
      <c r="EQ189" s="344" t="b">
        <f t="shared" si="507"/>
        <v>1</v>
      </c>
      <c r="ER189" s="344" t="b">
        <f t="shared" si="508"/>
        <v>1</v>
      </c>
      <c r="ES189" s="344" t="b">
        <f t="shared" si="509"/>
        <v>0</v>
      </c>
    </row>
    <row r="190" spans="1:149" s="251" customFormat="1" x14ac:dyDescent="0.3">
      <c r="A190" s="251" t="s">
        <v>988</v>
      </c>
      <c r="B190" s="251" t="s">
        <v>2247</v>
      </c>
      <c r="C190" s="251" t="s">
        <v>2159</v>
      </c>
      <c r="D190" s="251" t="s">
        <v>991</v>
      </c>
      <c r="E190" s="344" t="s">
        <v>2171</v>
      </c>
      <c r="F190" s="344">
        <f t="shared" si="441"/>
        <v>44.500000000329997</v>
      </c>
      <c r="G190" s="344">
        <f>SUMIF(DF190:DM190,TRUE,CX190:DE190)</f>
        <v>43.000000000330004</v>
      </c>
      <c r="H190" s="344">
        <f>SUMIF(BZ190:CG190,TRUE,BR190:BY190)</f>
        <v>41.500000000330004</v>
      </c>
      <c r="I190" s="251" t="s">
        <v>1970</v>
      </c>
      <c r="J190" s="251" t="s">
        <v>1970</v>
      </c>
      <c r="K190" s="344" t="s">
        <v>3106</v>
      </c>
      <c r="L190" s="251" t="s">
        <v>1970</v>
      </c>
      <c r="M190" s="251" t="s">
        <v>1970</v>
      </c>
      <c r="N190" s="344" t="s">
        <v>1978</v>
      </c>
      <c r="O190" s="344" t="s">
        <v>1978</v>
      </c>
      <c r="P190" s="344" t="s">
        <v>1978</v>
      </c>
      <c r="Q190" s="344" t="s">
        <v>1978</v>
      </c>
      <c r="R190" s="344" t="s">
        <v>1978</v>
      </c>
      <c r="S190" s="344" t="s">
        <v>1978</v>
      </c>
      <c r="T190" s="251" t="s">
        <v>989</v>
      </c>
      <c r="U190" s="251" t="s">
        <v>2165</v>
      </c>
      <c r="V190" s="251" t="s">
        <v>1970</v>
      </c>
      <c r="W190" s="251" t="s">
        <v>1970</v>
      </c>
      <c r="X190" s="344">
        <f>'A123'!J198</f>
        <v>25</v>
      </c>
      <c r="Y190" s="344">
        <f>'A123'!K198</f>
        <v>26</v>
      </c>
      <c r="Z190" s="344">
        <f>'A123'!L198</f>
        <v>3.7307692307692308</v>
      </c>
      <c r="AA190" s="344" t="s">
        <v>2165</v>
      </c>
      <c r="AB190" s="344" t="str">
        <f>入學要求!X199</f>
        <v>M1/2 需取得Lv.3或以上</v>
      </c>
      <c r="AC190" s="344" t="str">
        <f>入學要求!Y199</f>
        <v>/</v>
      </c>
      <c r="AD190" s="351" t="s">
        <v>2171</v>
      </c>
      <c r="AE190" s="344" t="s">
        <v>1970</v>
      </c>
      <c r="AF190" s="344" t="s">
        <v>1970</v>
      </c>
      <c r="AG190" s="344" t="s">
        <v>3106</v>
      </c>
      <c r="AH190" s="344" t="s">
        <v>1970</v>
      </c>
      <c r="AI190" s="344" t="s">
        <v>1970</v>
      </c>
      <c r="AJ190" s="344" t="s">
        <v>1970</v>
      </c>
      <c r="AK190" s="251" t="s">
        <v>1970</v>
      </c>
      <c r="AL190" s="251" t="s">
        <v>1970</v>
      </c>
      <c r="AM190" s="251" t="s">
        <v>1970</v>
      </c>
      <c r="AN190" s="251" t="s">
        <v>1970</v>
      </c>
      <c r="AO190" s="251" t="s">
        <v>1970</v>
      </c>
      <c r="AP190" s="251" t="s">
        <v>1970</v>
      </c>
      <c r="AQ190" s="344" t="s">
        <v>1970</v>
      </c>
      <c r="AR190" s="428" t="s">
        <v>2150</v>
      </c>
      <c r="AS190" s="251" t="s">
        <v>3603</v>
      </c>
      <c r="AT190" s="568">
        <v>44720</v>
      </c>
      <c r="AU190" s="251" t="s">
        <v>1970</v>
      </c>
      <c r="AV190" s="344" t="s">
        <v>3735</v>
      </c>
      <c r="AW190" s="344" t="s">
        <v>3736</v>
      </c>
      <c r="AX190" s="344" t="s">
        <v>3787</v>
      </c>
      <c r="AY190" s="344" t="s">
        <v>3722</v>
      </c>
      <c r="AZ190" s="344" t="s">
        <v>3737</v>
      </c>
      <c r="BA190" s="381" t="s">
        <v>3725</v>
      </c>
      <c r="BB190" s="251">
        <v>1</v>
      </c>
      <c r="BC190" s="251">
        <v>1</v>
      </c>
      <c r="BD190" s="251">
        <v>2</v>
      </c>
      <c r="BE190" s="251">
        <v>1</v>
      </c>
      <c r="BF190" s="251">
        <v>2</v>
      </c>
      <c r="BG190" s="251">
        <v>1</v>
      </c>
      <c r="BH190" s="251">
        <v>1</v>
      </c>
      <c r="BI190" s="251">
        <v>1</v>
      </c>
      <c r="BJ190" s="251">
        <v>3.00000000001</v>
      </c>
      <c r="BK190" s="251">
        <v>3.00000000002</v>
      </c>
      <c r="BL190" s="251">
        <v>7.00000000003</v>
      </c>
      <c r="BM190" s="251">
        <v>4.00000000004</v>
      </c>
      <c r="BN190" s="251">
        <v>5.50000000005</v>
      </c>
      <c r="BO190" s="251">
        <v>7.00000000006</v>
      </c>
      <c r="BP190" s="251">
        <v>5.50000000007</v>
      </c>
      <c r="BQ190" s="251">
        <v>7.9999999999999995E-11</v>
      </c>
      <c r="BR190" s="344">
        <f t="shared" si="466"/>
        <v>3.00000000001</v>
      </c>
      <c r="BS190" s="344">
        <f t="shared" si="442"/>
        <v>3.00000000002</v>
      </c>
      <c r="BT190" s="344">
        <f t="shared" si="443"/>
        <v>14.00000000006</v>
      </c>
      <c r="BU190" s="344">
        <f t="shared" si="444"/>
        <v>4.00000000004</v>
      </c>
      <c r="BV190" s="344">
        <f t="shared" si="445"/>
        <v>11.0000000001</v>
      </c>
      <c r="BW190" s="344">
        <f t="shared" si="446"/>
        <v>7.00000000006</v>
      </c>
      <c r="BX190" s="344">
        <f t="shared" si="447"/>
        <v>5.50000000007</v>
      </c>
      <c r="BY190" s="344">
        <f t="shared" si="448"/>
        <v>7.9999999999999995E-11</v>
      </c>
      <c r="BZ190" s="344" t="b">
        <f t="shared" si="486"/>
        <v>0</v>
      </c>
      <c r="CA190" s="344" t="b">
        <f t="shared" si="487"/>
        <v>0</v>
      </c>
      <c r="CB190" s="344" t="b">
        <f t="shared" si="488"/>
        <v>1</v>
      </c>
      <c r="CC190" s="344" t="b">
        <f t="shared" si="489"/>
        <v>1</v>
      </c>
      <c r="CD190" s="344" t="b">
        <f t="shared" si="490"/>
        <v>1</v>
      </c>
      <c r="CE190" s="344" t="b">
        <f t="shared" si="491"/>
        <v>1</v>
      </c>
      <c r="CF190" s="344" t="b">
        <f t="shared" si="492"/>
        <v>1</v>
      </c>
      <c r="CG190" s="344" t="b">
        <f t="shared" si="493"/>
        <v>0</v>
      </c>
      <c r="CH190" s="344">
        <v>1</v>
      </c>
      <c r="CI190" s="344">
        <v>1</v>
      </c>
      <c r="CJ190" s="344">
        <v>2</v>
      </c>
      <c r="CK190" s="344">
        <v>1</v>
      </c>
      <c r="CL190" s="344">
        <v>2</v>
      </c>
      <c r="CM190" s="344">
        <v>1</v>
      </c>
      <c r="CN190" s="344">
        <v>1</v>
      </c>
      <c r="CO190" s="344">
        <v>1</v>
      </c>
      <c r="CP190" s="251">
        <v>4.00000000001</v>
      </c>
      <c r="CQ190" s="251">
        <v>4.00000000002</v>
      </c>
      <c r="CR190" s="251">
        <v>7.00000000003</v>
      </c>
      <c r="CS190" s="251">
        <v>5.50000000004</v>
      </c>
      <c r="CT190" s="251">
        <v>5.50000000005</v>
      </c>
      <c r="CU190" s="251">
        <v>7.00000000006</v>
      </c>
      <c r="CV190" s="251">
        <v>5.50000000007</v>
      </c>
      <c r="CW190" s="251">
        <v>4.00000000008</v>
      </c>
      <c r="CX190" s="344">
        <f t="shared" si="449"/>
        <v>4.00000000001</v>
      </c>
      <c r="CY190" s="344">
        <f t="shared" si="417"/>
        <v>4.00000000002</v>
      </c>
      <c r="CZ190" s="344">
        <f t="shared" si="418"/>
        <v>14.00000000006</v>
      </c>
      <c r="DA190" s="344">
        <f t="shared" si="419"/>
        <v>5.50000000004</v>
      </c>
      <c r="DB190" s="344">
        <f t="shared" si="420"/>
        <v>11.0000000001</v>
      </c>
      <c r="DC190" s="344">
        <f t="shared" si="421"/>
        <v>7.00000000006</v>
      </c>
      <c r="DD190" s="344">
        <f t="shared" si="422"/>
        <v>5.50000000007</v>
      </c>
      <c r="DE190" s="344">
        <f t="shared" si="423"/>
        <v>4.00000000008</v>
      </c>
      <c r="DF190" s="344" t="b">
        <f t="shared" si="494"/>
        <v>0</v>
      </c>
      <c r="DG190" s="344" t="b">
        <f t="shared" si="495"/>
        <v>0</v>
      </c>
      <c r="DH190" s="344" t="b">
        <f t="shared" si="496"/>
        <v>1</v>
      </c>
      <c r="DI190" s="344" t="b">
        <f t="shared" si="497"/>
        <v>1</v>
      </c>
      <c r="DJ190" s="344" t="b">
        <f t="shared" si="498"/>
        <v>1</v>
      </c>
      <c r="DK190" s="344" t="b">
        <f t="shared" si="499"/>
        <v>1</v>
      </c>
      <c r="DL190" s="344" t="b">
        <f t="shared" si="500"/>
        <v>1</v>
      </c>
      <c r="DM190" s="344" t="b">
        <f t="shared" si="501"/>
        <v>0</v>
      </c>
      <c r="DN190" s="344">
        <v>1</v>
      </c>
      <c r="DO190" s="344">
        <v>1</v>
      </c>
      <c r="DP190" s="344">
        <v>2</v>
      </c>
      <c r="DQ190" s="344">
        <v>1</v>
      </c>
      <c r="DR190" s="344">
        <v>2</v>
      </c>
      <c r="DS190" s="344">
        <v>1</v>
      </c>
      <c r="DT190" s="344">
        <v>1</v>
      </c>
      <c r="DU190" s="344">
        <v>1</v>
      </c>
      <c r="DV190" s="251">
        <v>3.00000000001</v>
      </c>
      <c r="DW190" s="251">
        <v>4.00000000002</v>
      </c>
      <c r="DX190" s="251">
        <v>8.5000000000299991</v>
      </c>
      <c r="DY190" s="251">
        <v>4.00000000004</v>
      </c>
      <c r="DZ190" s="251">
        <v>5.50000000005</v>
      </c>
      <c r="EA190" s="251">
        <v>7.00000000006</v>
      </c>
      <c r="EB190" s="251">
        <v>5.50000000007</v>
      </c>
      <c r="EC190" s="251">
        <v>7.9999999999999995E-11</v>
      </c>
      <c r="ED190" s="344">
        <f t="shared" si="450"/>
        <v>3.00000000001</v>
      </c>
      <c r="EE190" s="344">
        <f t="shared" si="451"/>
        <v>4.00000000002</v>
      </c>
      <c r="EF190" s="344">
        <f t="shared" si="452"/>
        <v>17.000000000059998</v>
      </c>
      <c r="EG190" s="344">
        <f t="shared" si="453"/>
        <v>4.00000000004</v>
      </c>
      <c r="EH190" s="344">
        <f t="shared" si="454"/>
        <v>11.0000000001</v>
      </c>
      <c r="EI190" s="344">
        <f t="shared" si="455"/>
        <v>7.00000000006</v>
      </c>
      <c r="EJ190" s="344">
        <f t="shared" si="456"/>
        <v>5.50000000007</v>
      </c>
      <c r="EK190" s="344">
        <f t="shared" si="457"/>
        <v>7.9999999999999995E-11</v>
      </c>
      <c r="EL190" s="344" t="b">
        <f t="shared" si="502"/>
        <v>0</v>
      </c>
      <c r="EM190" s="344" t="b">
        <f t="shared" si="503"/>
        <v>0</v>
      </c>
      <c r="EN190" s="344" t="b">
        <f t="shared" si="504"/>
        <v>1</v>
      </c>
      <c r="EO190" s="344" t="b">
        <f t="shared" si="505"/>
        <v>1</v>
      </c>
      <c r="EP190" s="344" t="b">
        <f t="shared" si="506"/>
        <v>1</v>
      </c>
      <c r="EQ190" s="344" t="b">
        <f t="shared" si="507"/>
        <v>1</v>
      </c>
      <c r="ER190" s="344" t="b">
        <f t="shared" si="508"/>
        <v>1</v>
      </c>
      <c r="ES190" s="344" t="b">
        <f t="shared" si="509"/>
        <v>0</v>
      </c>
    </row>
    <row r="191" spans="1:149" s="251" customFormat="1" x14ac:dyDescent="0.3">
      <c r="A191" s="251" t="s">
        <v>993</v>
      </c>
      <c r="B191" s="251" t="s">
        <v>2247</v>
      </c>
      <c r="C191" s="344" t="s">
        <v>3130</v>
      </c>
      <c r="D191" s="251" t="s">
        <v>996</v>
      </c>
      <c r="E191" s="344" t="s">
        <v>2187</v>
      </c>
      <c r="F191" s="344" t="s">
        <v>1970</v>
      </c>
      <c r="G191" s="344" t="s">
        <v>1978</v>
      </c>
      <c r="H191" s="344" t="s">
        <v>1978</v>
      </c>
      <c r="I191" s="251" t="s">
        <v>1970</v>
      </c>
      <c r="J191" s="251" t="s">
        <v>1970</v>
      </c>
      <c r="K191" s="251" t="s">
        <v>1970</v>
      </c>
      <c r="L191" s="251" t="s">
        <v>1970</v>
      </c>
      <c r="M191" s="251" t="s">
        <v>1970</v>
      </c>
      <c r="N191" s="344" t="s">
        <v>1978</v>
      </c>
      <c r="O191" s="344" t="s">
        <v>1978</v>
      </c>
      <c r="P191" s="344" t="s">
        <v>1978</v>
      </c>
      <c r="Q191" s="344" t="s">
        <v>1978</v>
      </c>
      <c r="R191" s="344" t="s">
        <v>1978</v>
      </c>
      <c r="S191" s="344" t="s">
        <v>1978</v>
      </c>
      <c r="T191" s="251" t="s">
        <v>994</v>
      </c>
      <c r="U191" s="251" t="s">
        <v>2165</v>
      </c>
      <c r="V191" s="251" t="s">
        <v>1970</v>
      </c>
      <c r="W191" s="251" t="s">
        <v>1970</v>
      </c>
      <c r="X191" s="344">
        <f>'A123'!J199</f>
        <v>15</v>
      </c>
      <c r="Y191" s="344" t="str">
        <f>'A123'!K199</f>
        <v>/</v>
      </c>
      <c r="Z191" s="344" t="str">
        <f>'A123'!L199</f>
        <v>新科目</v>
      </c>
      <c r="AA191" s="344" t="s">
        <v>2165</v>
      </c>
      <c r="AB191" s="344" t="str">
        <f>入學要求!X200</f>
        <v>以下一科選修取得Lv.3︰生物、化學</v>
      </c>
      <c r="AC191" s="344" t="str">
        <f>入學要求!Y200</f>
        <v>/</v>
      </c>
      <c r="AD191" s="344" t="s">
        <v>2171</v>
      </c>
      <c r="AE191" s="344" t="s">
        <v>1970</v>
      </c>
      <c r="AF191" s="344" t="s">
        <v>1970</v>
      </c>
      <c r="AG191" s="344" t="s">
        <v>1970</v>
      </c>
      <c r="AH191" s="344" t="s">
        <v>1970</v>
      </c>
      <c r="AI191" s="344" t="s">
        <v>1970</v>
      </c>
      <c r="AJ191" s="344" t="s">
        <v>1970</v>
      </c>
      <c r="AK191" s="251" t="s">
        <v>1970</v>
      </c>
      <c r="AL191" s="251" t="s">
        <v>1970</v>
      </c>
      <c r="AM191" s="251" t="s">
        <v>1970</v>
      </c>
      <c r="AN191" s="251" t="s">
        <v>1970</v>
      </c>
      <c r="AO191" s="251" t="s">
        <v>1970</v>
      </c>
      <c r="AP191" s="251" t="s">
        <v>1970</v>
      </c>
      <c r="AQ191" s="344" t="s">
        <v>1970</v>
      </c>
      <c r="AR191" s="428" t="s">
        <v>2150</v>
      </c>
      <c r="AS191" s="251" t="s">
        <v>3603</v>
      </c>
      <c r="AT191" s="251" t="s">
        <v>3666</v>
      </c>
      <c r="AU191" s="251" t="s">
        <v>1970</v>
      </c>
      <c r="AV191" s="344" t="s">
        <v>3735</v>
      </c>
      <c r="AW191" s="344" t="s">
        <v>3736</v>
      </c>
      <c r="AX191" s="344" t="s">
        <v>3788</v>
      </c>
      <c r="AY191" s="344" t="s">
        <v>3722</v>
      </c>
      <c r="AZ191" s="344" t="s">
        <v>3737</v>
      </c>
      <c r="BA191" s="381" t="s">
        <v>3725</v>
      </c>
      <c r="BB191" s="344" t="s">
        <v>1970</v>
      </c>
      <c r="BC191" s="344" t="s">
        <v>1970</v>
      </c>
      <c r="BD191" s="344" t="s">
        <v>1970</v>
      </c>
      <c r="BE191" s="344" t="s">
        <v>1970</v>
      </c>
      <c r="BF191" s="344" t="s">
        <v>1970</v>
      </c>
      <c r="BG191" s="344" t="s">
        <v>1970</v>
      </c>
      <c r="BH191" s="344" t="s">
        <v>1970</v>
      </c>
      <c r="BI191" s="344" t="s">
        <v>1970</v>
      </c>
      <c r="BJ191" s="344" t="s">
        <v>1970</v>
      </c>
      <c r="BK191" s="344" t="s">
        <v>1970</v>
      </c>
      <c r="BL191" s="344" t="s">
        <v>1970</v>
      </c>
      <c r="BM191" s="344" t="s">
        <v>1970</v>
      </c>
      <c r="BN191" s="344" t="s">
        <v>1970</v>
      </c>
      <c r="BO191" s="344" t="s">
        <v>1970</v>
      </c>
      <c r="BP191" s="344" t="s">
        <v>1970</v>
      </c>
      <c r="BQ191" s="344" t="s">
        <v>1970</v>
      </c>
      <c r="BR191" s="344" t="s">
        <v>1970</v>
      </c>
      <c r="BS191" s="344" t="s">
        <v>1970</v>
      </c>
      <c r="BT191" s="344" t="s">
        <v>1970</v>
      </c>
      <c r="BU191" s="344" t="s">
        <v>1970</v>
      </c>
      <c r="BV191" s="344" t="s">
        <v>1970</v>
      </c>
      <c r="BW191" s="344" t="s">
        <v>1970</v>
      </c>
      <c r="BX191" s="344" t="s">
        <v>1970</v>
      </c>
      <c r="BY191" s="344" t="s">
        <v>1970</v>
      </c>
      <c r="BZ191" s="344" t="b">
        <f t="shared" si="486"/>
        <v>0</v>
      </c>
      <c r="CA191" s="344" t="b">
        <f t="shared" si="487"/>
        <v>0</v>
      </c>
      <c r="CB191" s="344" t="b">
        <f t="shared" si="488"/>
        <v>0</v>
      </c>
      <c r="CC191" s="344" t="b">
        <f t="shared" si="489"/>
        <v>0</v>
      </c>
      <c r="CD191" s="344" t="b">
        <f t="shared" si="490"/>
        <v>0</v>
      </c>
      <c r="CE191" s="344" t="b">
        <f t="shared" si="491"/>
        <v>0</v>
      </c>
      <c r="CF191" s="344" t="b">
        <f t="shared" si="492"/>
        <v>0</v>
      </c>
      <c r="CG191" s="344" t="b">
        <f t="shared" si="493"/>
        <v>0</v>
      </c>
      <c r="CH191" s="344" t="s">
        <v>1970</v>
      </c>
      <c r="CI191" s="344" t="s">
        <v>1970</v>
      </c>
      <c r="CJ191" s="344" t="s">
        <v>1970</v>
      </c>
      <c r="CK191" s="344" t="s">
        <v>1970</v>
      </c>
      <c r="CL191" s="344" t="s">
        <v>1970</v>
      </c>
      <c r="CM191" s="344" t="s">
        <v>1970</v>
      </c>
      <c r="CN191" s="344" t="s">
        <v>1970</v>
      </c>
      <c r="CO191" s="344" t="s">
        <v>1970</v>
      </c>
      <c r="CP191" s="251" t="e">
        <v>#VALUE!</v>
      </c>
      <c r="CQ191" s="251" t="e">
        <v>#VALUE!</v>
      </c>
      <c r="CR191" s="251" t="e">
        <v>#VALUE!</v>
      </c>
      <c r="CS191" s="251" t="e">
        <v>#VALUE!</v>
      </c>
      <c r="CT191" s="251" t="e">
        <v>#VALUE!</v>
      </c>
      <c r="CU191" s="251" t="e">
        <v>#VALUE!</v>
      </c>
      <c r="CV191" s="251" t="e">
        <v>#VALUE!</v>
      </c>
      <c r="CW191" s="251" t="e">
        <v>#VALUE!</v>
      </c>
      <c r="CX191" s="344" t="e">
        <f t="shared" si="449"/>
        <v>#VALUE!</v>
      </c>
      <c r="CY191" s="344" t="e">
        <f t="shared" si="417"/>
        <v>#VALUE!</v>
      </c>
      <c r="CZ191" s="344" t="e">
        <f t="shared" si="418"/>
        <v>#VALUE!</v>
      </c>
      <c r="DA191" s="344" t="e">
        <f t="shared" si="419"/>
        <v>#VALUE!</v>
      </c>
      <c r="DB191" s="344" t="e">
        <f t="shared" si="420"/>
        <v>#VALUE!</v>
      </c>
      <c r="DC191" s="344" t="e">
        <f t="shared" si="421"/>
        <v>#VALUE!</v>
      </c>
      <c r="DD191" s="344" t="e">
        <f t="shared" si="422"/>
        <v>#VALUE!</v>
      </c>
      <c r="DE191" s="344" t="e">
        <f t="shared" si="423"/>
        <v>#VALUE!</v>
      </c>
      <c r="DF191" s="344" t="b">
        <f t="shared" si="494"/>
        <v>0</v>
      </c>
      <c r="DG191" s="344" t="b">
        <f t="shared" si="495"/>
        <v>0</v>
      </c>
      <c r="DH191" s="344" t="b">
        <f t="shared" si="496"/>
        <v>0</v>
      </c>
      <c r="DI191" s="344" t="b">
        <f t="shared" si="497"/>
        <v>0</v>
      </c>
      <c r="DJ191" s="344" t="b">
        <f t="shared" si="498"/>
        <v>0</v>
      </c>
      <c r="DK191" s="344" t="b">
        <f t="shared" si="499"/>
        <v>0</v>
      </c>
      <c r="DL191" s="344" t="b">
        <f t="shared" si="500"/>
        <v>0</v>
      </c>
      <c r="DM191" s="344" t="b">
        <f t="shared" si="501"/>
        <v>0</v>
      </c>
      <c r="DN191" s="344" t="s">
        <v>1970</v>
      </c>
      <c r="DO191" s="344" t="s">
        <v>1970</v>
      </c>
      <c r="DP191" s="344" t="s">
        <v>1970</v>
      </c>
      <c r="DQ191" s="344" t="s">
        <v>1970</v>
      </c>
      <c r="DR191" s="344" t="s">
        <v>1970</v>
      </c>
      <c r="DS191" s="344" t="s">
        <v>1970</v>
      </c>
      <c r="DT191" s="344" t="s">
        <v>1970</v>
      </c>
      <c r="DU191" s="344" t="s">
        <v>1970</v>
      </c>
      <c r="DV191" s="251" t="e">
        <v>#VALUE!</v>
      </c>
      <c r="DW191" s="251" t="e">
        <v>#VALUE!</v>
      </c>
      <c r="DX191" s="251" t="e">
        <v>#VALUE!</v>
      </c>
      <c r="DY191" s="251" t="e">
        <v>#VALUE!</v>
      </c>
      <c r="DZ191" s="251" t="e">
        <v>#VALUE!</v>
      </c>
      <c r="EA191" s="251" t="e">
        <v>#VALUE!</v>
      </c>
      <c r="EB191" s="251" t="e">
        <v>#VALUE!</v>
      </c>
      <c r="EC191" s="251" t="e">
        <v>#VALUE!</v>
      </c>
      <c r="ED191" s="344" t="e">
        <f t="shared" si="450"/>
        <v>#VALUE!</v>
      </c>
      <c r="EE191" s="344" t="e">
        <f t="shared" si="451"/>
        <v>#VALUE!</v>
      </c>
      <c r="EF191" s="344" t="e">
        <f t="shared" si="452"/>
        <v>#VALUE!</v>
      </c>
      <c r="EG191" s="344" t="e">
        <f t="shared" si="453"/>
        <v>#VALUE!</v>
      </c>
      <c r="EH191" s="344" t="e">
        <f t="shared" si="454"/>
        <v>#VALUE!</v>
      </c>
      <c r="EI191" s="344" t="e">
        <f t="shared" si="455"/>
        <v>#VALUE!</v>
      </c>
      <c r="EJ191" s="344" t="e">
        <f t="shared" si="456"/>
        <v>#VALUE!</v>
      </c>
      <c r="EK191" s="344" t="e">
        <f t="shared" si="457"/>
        <v>#VALUE!</v>
      </c>
      <c r="EL191" s="344" t="b">
        <f t="shared" si="502"/>
        <v>0</v>
      </c>
      <c r="EM191" s="344" t="b">
        <f t="shared" si="503"/>
        <v>0</v>
      </c>
      <c r="EN191" s="344" t="b">
        <f t="shared" si="504"/>
        <v>0</v>
      </c>
      <c r="EO191" s="344" t="b">
        <f t="shared" si="505"/>
        <v>0</v>
      </c>
      <c r="EP191" s="344" t="b">
        <f t="shared" si="506"/>
        <v>0</v>
      </c>
      <c r="EQ191" s="344" t="b">
        <f t="shared" si="507"/>
        <v>0</v>
      </c>
      <c r="ER191" s="344" t="b">
        <f t="shared" si="508"/>
        <v>0</v>
      </c>
      <c r="ES191" s="344" t="b">
        <f t="shared" si="509"/>
        <v>0</v>
      </c>
    </row>
    <row r="192" spans="1:149" s="251" customFormat="1" x14ac:dyDescent="0.3">
      <c r="A192" s="251" t="s">
        <v>997</v>
      </c>
      <c r="B192" s="251" t="s">
        <v>2247</v>
      </c>
      <c r="C192" s="251" t="s">
        <v>3131</v>
      </c>
      <c r="D192" s="251" t="s">
        <v>1000</v>
      </c>
      <c r="E192" s="344" t="s">
        <v>2187</v>
      </c>
      <c r="F192" s="344" t="s">
        <v>1970</v>
      </c>
      <c r="G192" s="344" t="s">
        <v>1978</v>
      </c>
      <c r="H192" s="344" t="s">
        <v>1978</v>
      </c>
      <c r="I192" s="251" t="s">
        <v>1970</v>
      </c>
      <c r="J192" s="251" t="s">
        <v>1970</v>
      </c>
      <c r="K192" s="251" t="s">
        <v>1970</v>
      </c>
      <c r="L192" s="251" t="s">
        <v>1970</v>
      </c>
      <c r="M192" s="251" t="s">
        <v>1970</v>
      </c>
      <c r="N192" s="344" t="s">
        <v>1978</v>
      </c>
      <c r="O192" s="344" t="s">
        <v>1978</v>
      </c>
      <c r="P192" s="344" t="s">
        <v>1978</v>
      </c>
      <c r="Q192" s="344" t="s">
        <v>1978</v>
      </c>
      <c r="R192" s="344" t="s">
        <v>1978</v>
      </c>
      <c r="S192" s="344" t="s">
        <v>1978</v>
      </c>
      <c r="T192" s="251" t="s">
        <v>998</v>
      </c>
      <c r="U192" s="251" t="s">
        <v>2165</v>
      </c>
      <c r="V192" s="251" t="s">
        <v>1970</v>
      </c>
      <c r="W192" s="251" t="s">
        <v>1970</v>
      </c>
      <c r="X192" s="344">
        <f>'A123'!J200</f>
        <v>13</v>
      </c>
      <c r="Y192" s="344" t="str">
        <f>'A123'!K200</f>
        <v>/</v>
      </c>
      <c r="Z192" s="344" t="str">
        <f>'A123'!L200</f>
        <v>新科目</v>
      </c>
      <c r="AA192" s="344" t="s">
        <v>2165</v>
      </c>
      <c r="AB192" s="344" t="str">
        <f>入學要求!X201</f>
        <v>M1/2 需取得Lv.5或以上</v>
      </c>
      <c r="AC192" s="344" t="str">
        <f>入學要求!Y201</f>
        <v>/</v>
      </c>
      <c r="AD192" s="396" t="s">
        <v>1967</v>
      </c>
      <c r="AE192" s="344" t="s">
        <v>3092</v>
      </c>
      <c r="AF192" s="344" t="s">
        <v>3126</v>
      </c>
      <c r="AG192" s="344" t="s">
        <v>3106</v>
      </c>
      <c r="AH192" s="344" t="s">
        <v>3089</v>
      </c>
      <c r="AI192" s="344" t="s">
        <v>3087</v>
      </c>
      <c r="AJ192" s="344" t="s">
        <v>1970</v>
      </c>
      <c r="AK192" s="251" t="s">
        <v>1970</v>
      </c>
      <c r="AL192" s="251" t="s">
        <v>1970</v>
      </c>
      <c r="AM192" s="251" t="s">
        <v>1970</v>
      </c>
      <c r="AN192" s="251" t="s">
        <v>1970</v>
      </c>
      <c r="AO192" s="251" t="s">
        <v>1970</v>
      </c>
      <c r="AP192" s="251" t="s">
        <v>1970</v>
      </c>
      <c r="AQ192" s="344" t="s">
        <v>1970</v>
      </c>
      <c r="AR192" s="428" t="s">
        <v>2150</v>
      </c>
      <c r="AS192" s="251" t="s">
        <v>3603</v>
      </c>
      <c r="AT192" s="251" t="s">
        <v>3659</v>
      </c>
      <c r="AU192" s="251" t="s">
        <v>1970</v>
      </c>
      <c r="AV192" s="344" t="s">
        <v>3735</v>
      </c>
      <c r="AW192" s="344" t="s">
        <v>3736</v>
      </c>
      <c r="AX192" s="344" t="s">
        <v>3789</v>
      </c>
      <c r="AY192" s="344" t="s">
        <v>3722</v>
      </c>
      <c r="AZ192" s="344" t="s">
        <v>3737</v>
      </c>
      <c r="BA192" s="381" t="s">
        <v>3725</v>
      </c>
      <c r="BB192" s="344" t="s">
        <v>1970</v>
      </c>
      <c r="BC192" s="344" t="s">
        <v>1970</v>
      </c>
      <c r="BD192" s="344" t="s">
        <v>1970</v>
      </c>
      <c r="BE192" s="344" t="s">
        <v>1970</v>
      </c>
      <c r="BF192" s="344" t="s">
        <v>1970</v>
      </c>
      <c r="BG192" s="344" t="s">
        <v>1970</v>
      </c>
      <c r="BH192" s="344" t="s">
        <v>1970</v>
      </c>
      <c r="BI192" s="344" t="s">
        <v>1970</v>
      </c>
      <c r="BJ192" s="344" t="s">
        <v>1970</v>
      </c>
      <c r="BK192" s="344" t="s">
        <v>1970</v>
      </c>
      <c r="BL192" s="344" t="s">
        <v>1970</v>
      </c>
      <c r="BM192" s="344" t="s">
        <v>1970</v>
      </c>
      <c r="BN192" s="344" t="s">
        <v>1970</v>
      </c>
      <c r="BO192" s="344" t="s">
        <v>1970</v>
      </c>
      <c r="BP192" s="344" t="s">
        <v>1970</v>
      </c>
      <c r="BQ192" s="344" t="s">
        <v>1970</v>
      </c>
      <c r="BR192" s="344" t="s">
        <v>1970</v>
      </c>
      <c r="BS192" s="344" t="s">
        <v>1970</v>
      </c>
      <c r="BT192" s="344" t="s">
        <v>1970</v>
      </c>
      <c r="BU192" s="344" t="s">
        <v>1970</v>
      </c>
      <c r="BV192" s="344" t="s">
        <v>1970</v>
      </c>
      <c r="BW192" s="344" t="s">
        <v>1970</v>
      </c>
      <c r="BX192" s="344" t="s">
        <v>1970</v>
      </c>
      <c r="BY192" s="344" t="s">
        <v>1970</v>
      </c>
      <c r="BZ192" s="344" t="b">
        <f t="shared" si="486"/>
        <v>0</v>
      </c>
      <c r="CA192" s="344" t="b">
        <f t="shared" si="487"/>
        <v>0</v>
      </c>
      <c r="CB192" s="344" t="b">
        <f t="shared" si="488"/>
        <v>0</v>
      </c>
      <c r="CC192" s="344" t="b">
        <f t="shared" si="489"/>
        <v>0</v>
      </c>
      <c r="CD192" s="344" t="b">
        <f t="shared" si="490"/>
        <v>0</v>
      </c>
      <c r="CE192" s="344" t="b">
        <f t="shared" si="491"/>
        <v>0</v>
      </c>
      <c r="CF192" s="344" t="b">
        <f t="shared" si="492"/>
        <v>0</v>
      </c>
      <c r="CG192" s="344" t="b">
        <f t="shared" si="493"/>
        <v>0</v>
      </c>
      <c r="CH192" s="344" t="s">
        <v>1970</v>
      </c>
      <c r="CI192" s="344" t="s">
        <v>1970</v>
      </c>
      <c r="CJ192" s="344" t="s">
        <v>1970</v>
      </c>
      <c r="CK192" s="344" t="s">
        <v>1970</v>
      </c>
      <c r="CL192" s="344" t="s">
        <v>1970</v>
      </c>
      <c r="CM192" s="344" t="s">
        <v>1970</v>
      </c>
      <c r="CN192" s="344" t="s">
        <v>1970</v>
      </c>
      <c r="CO192" s="344" t="s">
        <v>1970</v>
      </c>
      <c r="CP192" s="251" t="e">
        <v>#VALUE!</v>
      </c>
      <c r="CQ192" s="251" t="e">
        <v>#VALUE!</v>
      </c>
      <c r="CR192" s="251" t="e">
        <v>#VALUE!</v>
      </c>
      <c r="CS192" s="251" t="e">
        <v>#VALUE!</v>
      </c>
      <c r="CT192" s="251" t="e">
        <v>#VALUE!</v>
      </c>
      <c r="CU192" s="251" t="e">
        <v>#VALUE!</v>
      </c>
      <c r="CV192" s="251" t="e">
        <v>#VALUE!</v>
      </c>
      <c r="CW192" s="251" t="e">
        <v>#VALUE!</v>
      </c>
      <c r="CX192" s="344" t="e">
        <f t="shared" si="449"/>
        <v>#VALUE!</v>
      </c>
      <c r="CY192" s="344" t="e">
        <f t="shared" si="417"/>
        <v>#VALUE!</v>
      </c>
      <c r="CZ192" s="344" t="e">
        <f t="shared" si="418"/>
        <v>#VALUE!</v>
      </c>
      <c r="DA192" s="344" t="e">
        <f t="shared" si="419"/>
        <v>#VALUE!</v>
      </c>
      <c r="DB192" s="344" t="e">
        <f t="shared" si="420"/>
        <v>#VALUE!</v>
      </c>
      <c r="DC192" s="344" t="e">
        <f t="shared" si="421"/>
        <v>#VALUE!</v>
      </c>
      <c r="DD192" s="344" t="e">
        <f t="shared" si="422"/>
        <v>#VALUE!</v>
      </c>
      <c r="DE192" s="344" t="e">
        <f t="shared" si="423"/>
        <v>#VALUE!</v>
      </c>
      <c r="DF192" s="344" t="b">
        <f t="shared" si="494"/>
        <v>0</v>
      </c>
      <c r="DG192" s="344" t="b">
        <f t="shared" si="495"/>
        <v>0</v>
      </c>
      <c r="DH192" s="344" t="b">
        <f t="shared" si="496"/>
        <v>0</v>
      </c>
      <c r="DI192" s="344" t="b">
        <f t="shared" si="497"/>
        <v>0</v>
      </c>
      <c r="DJ192" s="344" t="b">
        <f t="shared" si="498"/>
        <v>0</v>
      </c>
      <c r="DK192" s="344" t="b">
        <f t="shared" si="499"/>
        <v>0</v>
      </c>
      <c r="DL192" s="344" t="b">
        <f t="shared" si="500"/>
        <v>0</v>
      </c>
      <c r="DM192" s="344" t="b">
        <f t="shared" si="501"/>
        <v>0</v>
      </c>
      <c r="DN192" s="344" t="s">
        <v>1970</v>
      </c>
      <c r="DO192" s="344" t="s">
        <v>1970</v>
      </c>
      <c r="DP192" s="344" t="s">
        <v>1970</v>
      </c>
      <c r="DQ192" s="344" t="s">
        <v>1970</v>
      </c>
      <c r="DR192" s="344" t="s">
        <v>1970</v>
      </c>
      <c r="DS192" s="344" t="s">
        <v>1970</v>
      </c>
      <c r="DT192" s="344" t="s">
        <v>1970</v>
      </c>
      <c r="DU192" s="344" t="s">
        <v>1970</v>
      </c>
      <c r="DV192" s="251" t="e">
        <v>#VALUE!</v>
      </c>
      <c r="DW192" s="251" t="e">
        <v>#VALUE!</v>
      </c>
      <c r="DX192" s="251" t="e">
        <v>#VALUE!</v>
      </c>
      <c r="DY192" s="251" t="e">
        <v>#VALUE!</v>
      </c>
      <c r="DZ192" s="251" t="e">
        <v>#VALUE!</v>
      </c>
      <c r="EA192" s="251" t="e">
        <v>#VALUE!</v>
      </c>
      <c r="EB192" s="251" t="e">
        <v>#VALUE!</v>
      </c>
      <c r="EC192" s="251" t="e">
        <v>#VALUE!</v>
      </c>
      <c r="ED192" s="344" t="e">
        <f t="shared" si="450"/>
        <v>#VALUE!</v>
      </c>
      <c r="EE192" s="344" t="e">
        <f t="shared" si="451"/>
        <v>#VALUE!</v>
      </c>
      <c r="EF192" s="344" t="e">
        <f t="shared" si="452"/>
        <v>#VALUE!</v>
      </c>
      <c r="EG192" s="344" t="e">
        <f t="shared" si="453"/>
        <v>#VALUE!</v>
      </c>
      <c r="EH192" s="344" t="e">
        <f t="shared" si="454"/>
        <v>#VALUE!</v>
      </c>
      <c r="EI192" s="344" t="e">
        <f t="shared" si="455"/>
        <v>#VALUE!</v>
      </c>
      <c r="EJ192" s="344" t="e">
        <f t="shared" si="456"/>
        <v>#VALUE!</v>
      </c>
      <c r="EK192" s="344" t="e">
        <f t="shared" si="457"/>
        <v>#VALUE!</v>
      </c>
      <c r="EL192" s="344" t="b">
        <f t="shared" si="502"/>
        <v>0</v>
      </c>
      <c r="EM192" s="344" t="b">
        <f t="shared" si="503"/>
        <v>0</v>
      </c>
      <c r="EN192" s="344" t="b">
        <f t="shared" si="504"/>
        <v>0</v>
      </c>
      <c r="EO192" s="344" t="b">
        <f t="shared" si="505"/>
        <v>0</v>
      </c>
      <c r="EP192" s="344" t="b">
        <f t="shared" si="506"/>
        <v>0</v>
      </c>
      <c r="EQ192" s="344" t="b">
        <f t="shared" si="507"/>
        <v>0</v>
      </c>
      <c r="ER192" s="344" t="b">
        <f t="shared" si="508"/>
        <v>0</v>
      </c>
      <c r="ES192" s="344" t="b">
        <f t="shared" si="509"/>
        <v>0</v>
      </c>
    </row>
    <row r="193" spans="1:149" s="251" customFormat="1" x14ac:dyDescent="0.3">
      <c r="A193" s="251" t="s">
        <v>1001</v>
      </c>
      <c r="B193" s="251" t="s">
        <v>2247</v>
      </c>
      <c r="C193" s="251" t="s">
        <v>2216</v>
      </c>
      <c r="D193" s="251" t="s">
        <v>1004</v>
      </c>
      <c r="E193" s="344" t="s">
        <v>2171</v>
      </c>
      <c r="F193" s="344">
        <f t="shared" si="441"/>
        <v>30.400000000205996</v>
      </c>
      <c r="G193" s="344">
        <f t="shared" ref="G193:G206" si="510">SUMIF(DF193:DM193,TRUE,CX193:DE193)</f>
        <v>28.700000000226002</v>
      </c>
      <c r="H193" s="344">
        <f t="shared" ref="H193:H206" si="511">SUMIF(BZ193:CG193,TRUE,BR193:BY193)</f>
        <v>28.100000000235998</v>
      </c>
      <c r="I193" s="251" t="s">
        <v>1970</v>
      </c>
      <c r="J193" s="251" t="s">
        <v>1970</v>
      </c>
      <c r="K193" s="344" t="s">
        <v>3109</v>
      </c>
      <c r="L193" s="251" t="s">
        <v>1970</v>
      </c>
      <c r="M193" s="251" t="s">
        <v>1970</v>
      </c>
      <c r="N193" s="344" t="s">
        <v>1978</v>
      </c>
      <c r="O193" s="344" t="s">
        <v>1978</v>
      </c>
      <c r="P193" s="344" t="s">
        <v>1978</v>
      </c>
      <c r="Q193" s="344" t="s">
        <v>1978</v>
      </c>
      <c r="R193" s="344" t="s">
        <v>1978</v>
      </c>
      <c r="S193" s="344" t="s">
        <v>1978</v>
      </c>
      <c r="T193" s="251" t="s">
        <v>1002</v>
      </c>
      <c r="U193" s="251" t="s">
        <v>2165</v>
      </c>
      <c r="V193" s="251" t="s">
        <v>1970</v>
      </c>
      <c r="W193" s="251" t="s">
        <v>1970</v>
      </c>
      <c r="X193" s="344">
        <f>'A123'!J201</f>
        <v>63</v>
      </c>
      <c r="Y193" s="344">
        <f>'A123'!K201</f>
        <v>66</v>
      </c>
      <c r="Z193" s="344">
        <f>'A123'!L201</f>
        <v>7.5454545454545459</v>
      </c>
      <c r="AA193" s="344" t="s">
        <v>2165</v>
      </c>
      <c r="AB193" s="344" t="str">
        <f>入學要求!X202</f>
        <v>/</v>
      </c>
      <c r="AC193" s="344" t="str">
        <f>入學要求!Y202</f>
        <v>/</v>
      </c>
      <c r="AD193" s="344" t="s">
        <v>2171</v>
      </c>
      <c r="AE193" s="344" t="s">
        <v>1970</v>
      </c>
      <c r="AF193" s="344" t="s">
        <v>1970</v>
      </c>
      <c r="AG193" s="344" t="s">
        <v>3109</v>
      </c>
      <c r="AH193" s="344" t="s">
        <v>1970</v>
      </c>
      <c r="AI193" s="344" t="s">
        <v>1970</v>
      </c>
      <c r="AJ193" s="344" t="s">
        <v>1970</v>
      </c>
      <c r="AK193" s="251" t="s">
        <v>1970</v>
      </c>
      <c r="AL193" s="251" t="s">
        <v>1970</v>
      </c>
      <c r="AM193" s="251" t="s">
        <v>1970</v>
      </c>
      <c r="AN193" s="251" t="s">
        <v>1970</v>
      </c>
      <c r="AO193" s="251" t="s">
        <v>1970</v>
      </c>
      <c r="AP193" s="251" t="s">
        <v>1970</v>
      </c>
      <c r="AQ193" s="344" t="s">
        <v>1970</v>
      </c>
      <c r="AR193" s="428" t="s">
        <v>2150</v>
      </c>
      <c r="AS193" s="251" t="s">
        <v>3610</v>
      </c>
      <c r="AT193" s="251" t="s">
        <v>1970</v>
      </c>
      <c r="AU193" s="251" t="s">
        <v>3646</v>
      </c>
      <c r="AV193" s="344" t="s">
        <v>3735</v>
      </c>
      <c r="AW193" s="344" t="s">
        <v>3736</v>
      </c>
      <c r="AX193" s="344" t="s">
        <v>3790</v>
      </c>
      <c r="AY193" s="344" t="s">
        <v>3722</v>
      </c>
      <c r="AZ193" s="344" t="s">
        <v>3737</v>
      </c>
      <c r="BA193" s="381" t="s">
        <v>3725</v>
      </c>
      <c r="BB193" s="251">
        <v>1</v>
      </c>
      <c r="BC193" s="251">
        <v>1.3</v>
      </c>
      <c r="BD193" s="251">
        <v>1</v>
      </c>
      <c r="BE193" s="251">
        <v>1</v>
      </c>
      <c r="BF193" s="344">
        <v>1</v>
      </c>
      <c r="BG193" s="344">
        <v>1</v>
      </c>
      <c r="BH193" s="344">
        <v>1</v>
      </c>
      <c r="BI193" s="344">
        <v>1</v>
      </c>
      <c r="BJ193" s="251">
        <v>4.00000000001</v>
      </c>
      <c r="BK193" s="251">
        <v>7.00000000002</v>
      </c>
      <c r="BL193" s="251">
        <v>5.50000000003</v>
      </c>
      <c r="BM193" s="251">
        <v>4.00000000004</v>
      </c>
      <c r="BN193" s="251">
        <v>5.50000000005</v>
      </c>
      <c r="BO193" s="251">
        <v>4.00000000006</v>
      </c>
      <c r="BP193" s="251">
        <v>4.00000000007</v>
      </c>
      <c r="BQ193" s="251">
        <v>7.9999999999999995E-11</v>
      </c>
      <c r="BR193" s="344">
        <f t="shared" si="466"/>
        <v>4.00000000001</v>
      </c>
      <c r="BS193" s="344">
        <f t="shared" si="442"/>
        <v>9.1000000000260002</v>
      </c>
      <c r="BT193" s="344">
        <f t="shared" si="443"/>
        <v>5.50000000003</v>
      </c>
      <c r="BU193" s="344">
        <f t="shared" si="444"/>
        <v>4.00000000004</v>
      </c>
      <c r="BV193" s="344">
        <f t="shared" si="445"/>
        <v>5.50000000005</v>
      </c>
      <c r="BW193" s="344">
        <f t="shared" si="446"/>
        <v>4.00000000006</v>
      </c>
      <c r="BX193" s="344">
        <f t="shared" si="447"/>
        <v>4.00000000007</v>
      </c>
      <c r="BY193" s="344">
        <f t="shared" si="448"/>
        <v>7.9999999999999995E-11</v>
      </c>
      <c r="BZ193" s="344" t="b">
        <f t="shared" si="486"/>
        <v>0</v>
      </c>
      <c r="CA193" s="344" t="b">
        <f t="shared" si="487"/>
        <v>1</v>
      </c>
      <c r="CB193" s="344" t="b">
        <f t="shared" si="488"/>
        <v>1</v>
      </c>
      <c r="CC193" s="344" t="b">
        <f t="shared" si="489"/>
        <v>0</v>
      </c>
      <c r="CD193" s="344" t="b">
        <f t="shared" si="490"/>
        <v>1</v>
      </c>
      <c r="CE193" s="344" t="b">
        <f t="shared" si="491"/>
        <v>1</v>
      </c>
      <c r="CF193" s="344" t="b">
        <f t="shared" si="492"/>
        <v>1</v>
      </c>
      <c r="CG193" s="344" t="b">
        <f t="shared" si="493"/>
        <v>0</v>
      </c>
      <c r="CH193" s="344">
        <v>1</v>
      </c>
      <c r="CI193" s="344">
        <v>1.3</v>
      </c>
      <c r="CJ193" s="344">
        <v>1</v>
      </c>
      <c r="CK193" s="344">
        <v>1</v>
      </c>
      <c r="CL193" s="344">
        <v>1</v>
      </c>
      <c r="CM193" s="344">
        <v>1</v>
      </c>
      <c r="CN193" s="344">
        <v>1</v>
      </c>
      <c r="CO193" s="344">
        <v>1</v>
      </c>
      <c r="CP193" s="251">
        <v>4.00000000001</v>
      </c>
      <c r="CQ193" s="251">
        <v>4.00000000002</v>
      </c>
      <c r="CR193" s="251">
        <v>4.00000000003</v>
      </c>
      <c r="CS193" s="251">
        <v>5.50000000004</v>
      </c>
      <c r="CT193" s="251">
        <v>5.0000000000000002E-11</v>
      </c>
      <c r="CU193" s="251">
        <v>8.50000000006</v>
      </c>
      <c r="CV193" s="251">
        <v>5.50000000007</v>
      </c>
      <c r="CW193" s="251">
        <v>7.9999999999999995E-11</v>
      </c>
      <c r="CX193" s="344">
        <f t="shared" si="449"/>
        <v>4.00000000001</v>
      </c>
      <c r="CY193" s="344">
        <f t="shared" si="417"/>
        <v>5.2000000000259998</v>
      </c>
      <c r="CZ193" s="344">
        <f t="shared" si="418"/>
        <v>4.00000000003</v>
      </c>
      <c r="DA193" s="344">
        <f t="shared" si="419"/>
        <v>5.50000000004</v>
      </c>
      <c r="DB193" s="344">
        <f t="shared" si="420"/>
        <v>5.0000000000000002E-11</v>
      </c>
      <c r="DC193" s="344">
        <f t="shared" si="421"/>
        <v>8.50000000006</v>
      </c>
      <c r="DD193" s="344">
        <f t="shared" si="422"/>
        <v>5.50000000007</v>
      </c>
      <c r="DE193" s="344">
        <f t="shared" si="423"/>
        <v>7.9999999999999995E-11</v>
      </c>
      <c r="DF193" s="344" t="b">
        <f t="shared" si="494"/>
        <v>0</v>
      </c>
      <c r="DG193" s="344" t="b">
        <f t="shared" si="495"/>
        <v>1</v>
      </c>
      <c r="DH193" s="344" t="b">
        <f t="shared" si="496"/>
        <v>1</v>
      </c>
      <c r="DI193" s="344" t="b">
        <f t="shared" si="497"/>
        <v>1</v>
      </c>
      <c r="DJ193" s="344" t="b">
        <f t="shared" si="498"/>
        <v>0</v>
      </c>
      <c r="DK193" s="344" t="b">
        <f t="shared" si="499"/>
        <v>1</v>
      </c>
      <c r="DL193" s="344" t="b">
        <f t="shared" si="500"/>
        <v>1</v>
      </c>
      <c r="DM193" s="344" t="b">
        <f t="shared" si="501"/>
        <v>0</v>
      </c>
      <c r="DN193" s="344">
        <v>1</v>
      </c>
      <c r="DO193" s="344">
        <v>1.3</v>
      </c>
      <c r="DP193" s="344">
        <v>1</v>
      </c>
      <c r="DQ193" s="344">
        <v>1</v>
      </c>
      <c r="DR193" s="344">
        <v>1</v>
      </c>
      <c r="DS193" s="344">
        <v>1</v>
      </c>
      <c r="DT193" s="344">
        <v>1</v>
      </c>
      <c r="DU193" s="344">
        <v>1</v>
      </c>
      <c r="DV193" s="251">
        <v>8.5000000000099991</v>
      </c>
      <c r="DW193" s="251">
        <v>3.00000000002</v>
      </c>
      <c r="DX193" s="251">
        <v>2.00000000003</v>
      </c>
      <c r="DY193" s="251">
        <v>8.50000000004</v>
      </c>
      <c r="DZ193" s="251">
        <v>5.0000000000000002E-11</v>
      </c>
      <c r="EA193" s="251">
        <v>5.50000000006</v>
      </c>
      <c r="EB193" s="251">
        <v>4.00000000007</v>
      </c>
      <c r="EC193" s="251">
        <v>7.9999999999999995E-11</v>
      </c>
      <c r="ED193" s="344">
        <f t="shared" si="450"/>
        <v>8.5000000000099991</v>
      </c>
      <c r="EE193" s="344">
        <f t="shared" si="451"/>
        <v>3.900000000026</v>
      </c>
      <c r="EF193" s="344">
        <f t="shared" si="452"/>
        <v>2.00000000003</v>
      </c>
      <c r="EG193" s="344">
        <f t="shared" si="453"/>
        <v>8.50000000004</v>
      </c>
      <c r="EH193" s="344">
        <f t="shared" si="454"/>
        <v>5.0000000000000002E-11</v>
      </c>
      <c r="EI193" s="344">
        <f t="shared" si="455"/>
        <v>5.50000000006</v>
      </c>
      <c r="EJ193" s="344">
        <f t="shared" si="456"/>
        <v>4.00000000007</v>
      </c>
      <c r="EK193" s="344">
        <f t="shared" si="457"/>
        <v>7.9999999999999995E-11</v>
      </c>
      <c r="EL193" s="344" t="b">
        <f t="shared" si="502"/>
        <v>1</v>
      </c>
      <c r="EM193" s="344" t="b">
        <f t="shared" si="503"/>
        <v>1</v>
      </c>
      <c r="EN193" s="344" t="b">
        <f t="shared" si="504"/>
        <v>0</v>
      </c>
      <c r="EO193" s="344" t="b">
        <f t="shared" si="505"/>
        <v>1</v>
      </c>
      <c r="EP193" s="344" t="b">
        <f t="shared" si="506"/>
        <v>0</v>
      </c>
      <c r="EQ193" s="344" t="b">
        <f t="shared" si="507"/>
        <v>1</v>
      </c>
      <c r="ER193" s="344" t="b">
        <f t="shared" si="508"/>
        <v>1</v>
      </c>
      <c r="ES193" s="344" t="b">
        <f t="shared" si="509"/>
        <v>0</v>
      </c>
    </row>
    <row r="194" spans="1:149" s="251" customFormat="1" x14ac:dyDescent="0.3">
      <c r="A194" s="251" t="s">
        <v>1006</v>
      </c>
      <c r="B194" s="251" t="s">
        <v>2247</v>
      </c>
      <c r="C194" s="251" t="s">
        <v>2216</v>
      </c>
      <c r="D194" s="251" t="s">
        <v>1009</v>
      </c>
      <c r="E194" s="344" t="s">
        <v>2171</v>
      </c>
      <c r="F194" s="344">
        <f t="shared" si="441"/>
        <v>32.500000000250004</v>
      </c>
      <c r="G194" s="344">
        <f t="shared" si="510"/>
        <v>31.000000000250001</v>
      </c>
      <c r="H194" s="344">
        <f t="shared" si="511"/>
        <v>29.500000000239996</v>
      </c>
      <c r="I194" s="251" t="s">
        <v>1970</v>
      </c>
      <c r="J194" s="251" t="s">
        <v>1970</v>
      </c>
      <c r="K194" s="344" t="s">
        <v>2685</v>
      </c>
      <c r="L194" s="251" t="s">
        <v>1970</v>
      </c>
      <c r="M194" s="251" t="s">
        <v>1970</v>
      </c>
      <c r="N194" s="344" t="s">
        <v>1978</v>
      </c>
      <c r="O194" s="344" t="s">
        <v>1978</v>
      </c>
      <c r="P194" s="344" t="s">
        <v>1978</v>
      </c>
      <c r="Q194" s="344" t="s">
        <v>1978</v>
      </c>
      <c r="R194" s="344" t="s">
        <v>1978</v>
      </c>
      <c r="S194" s="344" t="s">
        <v>1978</v>
      </c>
      <c r="T194" s="251" t="s">
        <v>1007</v>
      </c>
      <c r="U194" s="251" t="s">
        <v>2165</v>
      </c>
      <c r="V194" s="251" t="s">
        <v>1970</v>
      </c>
      <c r="W194" s="251" t="s">
        <v>1970</v>
      </c>
      <c r="X194" s="344">
        <f>'A123'!J202</f>
        <v>31</v>
      </c>
      <c r="Y194" s="344">
        <f>'A123'!K202</f>
        <v>38</v>
      </c>
      <c r="Z194" s="344">
        <f>'A123'!L202</f>
        <v>4.0526315789473681</v>
      </c>
      <c r="AA194" s="344" t="s">
        <v>2165</v>
      </c>
      <c r="AB194" s="344" t="str">
        <f>入學要求!X203</f>
        <v>/</v>
      </c>
      <c r="AC194" s="344" t="str">
        <f>入學要求!Y203</f>
        <v>/</v>
      </c>
      <c r="AD194" s="344" t="s">
        <v>2171</v>
      </c>
      <c r="AE194" s="344" t="s">
        <v>1970</v>
      </c>
      <c r="AF194" s="344" t="s">
        <v>1970</v>
      </c>
      <c r="AG194" s="344" t="s">
        <v>2685</v>
      </c>
      <c r="AH194" s="344" t="s">
        <v>1970</v>
      </c>
      <c r="AI194" s="344" t="s">
        <v>1970</v>
      </c>
      <c r="AJ194" s="344" t="s">
        <v>1970</v>
      </c>
      <c r="AK194" s="251" t="s">
        <v>1970</v>
      </c>
      <c r="AL194" s="251" t="s">
        <v>1970</v>
      </c>
      <c r="AM194" s="251" t="s">
        <v>3135</v>
      </c>
      <c r="AN194" s="342" t="s">
        <v>3136</v>
      </c>
      <c r="AO194" s="251" t="s">
        <v>1970</v>
      </c>
      <c r="AP194" s="251" t="s">
        <v>1970</v>
      </c>
      <c r="AQ194" s="344" t="s">
        <v>1970</v>
      </c>
      <c r="AR194" s="428" t="s">
        <v>2150</v>
      </c>
      <c r="AS194" s="251" t="s">
        <v>3603</v>
      </c>
      <c r="AT194" s="568">
        <v>44708</v>
      </c>
      <c r="AU194" s="251" t="s">
        <v>1970</v>
      </c>
      <c r="AV194" s="344" t="s">
        <v>3735</v>
      </c>
      <c r="AW194" s="344" t="s">
        <v>3736</v>
      </c>
      <c r="AX194" s="344" t="s">
        <v>3791</v>
      </c>
      <c r="AY194" s="344" t="s">
        <v>3722</v>
      </c>
      <c r="AZ194" s="344" t="s">
        <v>3737</v>
      </c>
      <c r="BA194" s="381" t="s">
        <v>3725</v>
      </c>
      <c r="BB194" s="344">
        <v>1</v>
      </c>
      <c r="BC194" s="251">
        <v>1.5</v>
      </c>
      <c r="BD194" s="251">
        <v>1</v>
      </c>
      <c r="BE194" s="251">
        <v>1</v>
      </c>
      <c r="BF194" s="344">
        <v>1</v>
      </c>
      <c r="BG194" s="344">
        <v>1</v>
      </c>
      <c r="BH194" s="344">
        <v>1</v>
      </c>
      <c r="BI194" s="344">
        <v>1</v>
      </c>
      <c r="BJ194" s="251">
        <v>4.00000000001</v>
      </c>
      <c r="BK194" s="251">
        <v>7.00000000002</v>
      </c>
      <c r="BL194" s="251">
        <v>5.50000000003</v>
      </c>
      <c r="BM194" s="251">
        <v>4.00000000004</v>
      </c>
      <c r="BN194" s="251">
        <v>5.50000000005</v>
      </c>
      <c r="BO194" s="251">
        <v>4.00000000006</v>
      </c>
      <c r="BP194" s="251">
        <v>4.00000000007</v>
      </c>
      <c r="BQ194" s="251">
        <v>7.9999999999999995E-11</v>
      </c>
      <c r="BR194" s="344">
        <f t="shared" si="466"/>
        <v>4.00000000001</v>
      </c>
      <c r="BS194" s="344">
        <f t="shared" si="442"/>
        <v>10.500000000029999</v>
      </c>
      <c r="BT194" s="344">
        <f t="shared" si="443"/>
        <v>5.50000000003</v>
      </c>
      <c r="BU194" s="344">
        <f t="shared" si="444"/>
        <v>4.00000000004</v>
      </c>
      <c r="BV194" s="344">
        <f t="shared" si="445"/>
        <v>5.50000000005</v>
      </c>
      <c r="BW194" s="344">
        <f t="shared" si="446"/>
        <v>4.00000000006</v>
      </c>
      <c r="BX194" s="344">
        <f t="shared" si="447"/>
        <v>4.00000000007</v>
      </c>
      <c r="BY194" s="344">
        <f t="shared" si="448"/>
        <v>7.9999999999999995E-11</v>
      </c>
      <c r="BZ194" s="344" t="b">
        <f t="shared" si="486"/>
        <v>0</v>
      </c>
      <c r="CA194" s="344" t="b">
        <f t="shared" si="487"/>
        <v>1</v>
      </c>
      <c r="CB194" s="344" t="b">
        <f t="shared" si="488"/>
        <v>1</v>
      </c>
      <c r="CC194" s="344" t="b">
        <f t="shared" si="489"/>
        <v>0</v>
      </c>
      <c r="CD194" s="344" t="b">
        <f t="shared" si="490"/>
        <v>1</v>
      </c>
      <c r="CE194" s="344" t="b">
        <f t="shared" si="491"/>
        <v>1</v>
      </c>
      <c r="CF194" s="344" t="b">
        <f t="shared" si="492"/>
        <v>1</v>
      </c>
      <c r="CG194" s="344" t="b">
        <f t="shared" si="493"/>
        <v>0</v>
      </c>
      <c r="CH194" s="344">
        <v>1</v>
      </c>
      <c r="CI194" s="344">
        <v>1.5</v>
      </c>
      <c r="CJ194" s="344">
        <v>1</v>
      </c>
      <c r="CK194" s="344">
        <v>1</v>
      </c>
      <c r="CL194" s="344">
        <v>1</v>
      </c>
      <c r="CM194" s="344">
        <v>1</v>
      </c>
      <c r="CN194" s="344">
        <v>1</v>
      </c>
      <c r="CO194" s="344">
        <v>1</v>
      </c>
      <c r="CP194" s="251">
        <v>5.50000000001</v>
      </c>
      <c r="CQ194" s="251">
        <v>4.00000000002</v>
      </c>
      <c r="CR194" s="251">
        <v>3E-11</v>
      </c>
      <c r="CS194" s="251">
        <v>7.00000000004</v>
      </c>
      <c r="CT194" s="251">
        <v>5.50000000005</v>
      </c>
      <c r="CU194" s="251">
        <v>5.50000000006</v>
      </c>
      <c r="CV194" s="251">
        <v>7.00000000007</v>
      </c>
      <c r="CW194" s="251">
        <v>4.00000000008</v>
      </c>
      <c r="CX194" s="344">
        <f t="shared" si="449"/>
        <v>5.50000000001</v>
      </c>
      <c r="CY194" s="344">
        <f t="shared" si="417"/>
        <v>6.00000000003</v>
      </c>
      <c r="CZ194" s="344">
        <f t="shared" si="418"/>
        <v>3E-11</v>
      </c>
      <c r="DA194" s="344">
        <f t="shared" si="419"/>
        <v>7.00000000004</v>
      </c>
      <c r="DB194" s="344">
        <f t="shared" si="420"/>
        <v>5.50000000005</v>
      </c>
      <c r="DC194" s="344">
        <f t="shared" si="421"/>
        <v>5.50000000006</v>
      </c>
      <c r="DD194" s="344">
        <f t="shared" si="422"/>
        <v>7.00000000007</v>
      </c>
      <c r="DE194" s="344">
        <f t="shared" si="423"/>
        <v>4.00000000008</v>
      </c>
      <c r="DF194" s="344" t="b">
        <f t="shared" si="494"/>
        <v>0</v>
      </c>
      <c r="DG194" s="344" t="b">
        <f t="shared" si="495"/>
        <v>1</v>
      </c>
      <c r="DH194" s="344" t="b">
        <f t="shared" si="496"/>
        <v>0</v>
      </c>
      <c r="DI194" s="344" t="b">
        <f t="shared" si="497"/>
        <v>1</v>
      </c>
      <c r="DJ194" s="344" t="b">
        <f t="shared" si="498"/>
        <v>1</v>
      </c>
      <c r="DK194" s="344" t="b">
        <f t="shared" si="499"/>
        <v>1</v>
      </c>
      <c r="DL194" s="344" t="b">
        <f t="shared" si="500"/>
        <v>1</v>
      </c>
      <c r="DM194" s="344" t="b">
        <f t="shared" si="501"/>
        <v>0</v>
      </c>
      <c r="DN194" s="344">
        <v>1</v>
      </c>
      <c r="DO194" s="344">
        <v>1.5</v>
      </c>
      <c r="DP194" s="344">
        <v>1</v>
      </c>
      <c r="DQ194" s="344">
        <v>1</v>
      </c>
      <c r="DR194" s="344">
        <v>1</v>
      </c>
      <c r="DS194" s="344">
        <v>1</v>
      </c>
      <c r="DT194" s="344">
        <v>1</v>
      </c>
      <c r="DU194" s="344">
        <v>1</v>
      </c>
      <c r="DV194" s="251">
        <v>3.00000000001</v>
      </c>
      <c r="DW194" s="251">
        <v>4.00000000002</v>
      </c>
      <c r="DX194" s="251">
        <v>5.50000000003</v>
      </c>
      <c r="DY194" s="251">
        <v>5.50000000004</v>
      </c>
      <c r="DZ194" s="251">
        <v>5.50000000005</v>
      </c>
      <c r="EA194" s="251">
        <v>8.50000000006</v>
      </c>
      <c r="EB194" s="251">
        <v>7.00000000007</v>
      </c>
      <c r="EC194" s="251">
        <v>4.00000000008</v>
      </c>
      <c r="ED194" s="344">
        <f t="shared" si="450"/>
        <v>3.00000000001</v>
      </c>
      <c r="EE194" s="344">
        <f t="shared" si="451"/>
        <v>6.00000000003</v>
      </c>
      <c r="EF194" s="344">
        <f t="shared" si="452"/>
        <v>5.50000000003</v>
      </c>
      <c r="EG194" s="344">
        <f t="shared" si="453"/>
        <v>5.50000000004</v>
      </c>
      <c r="EH194" s="344">
        <f t="shared" si="454"/>
        <v>5.50000000005</v>
      </c>
      <c r="EI194" s="344">
        <f t="shared" si="455"/>
        <v>8.50000000006</v>
      </c>
      <c r="EJ194" s="344">
        <f t="shared" si="456"/>
        <v>7.00000000007</v>
      </c>
      <c r="EK194" s="344">
        <f t="shared" si="457"/>
        <v>4.00000000008</v>
      </c>
      <c r="EL194" s="344" t="b">
        <f t="shared" si="502"/>
        <v>0</v>
      </c>
      <c r="EM194" s="344" t="b">
        <f t="shared" si="503"/>
        <v>1</v>
      </c>
      <c r="EN194" s="344" t="b">
        <f t="shared" si="504"/>
        <v>0</v>
      </c>
      <c r="EO194" s="344" t="b">
        <f t="shared" si="505"/>
        <v>1</v>
      </c>
      <c r="EP194" s="344" t="b">
        <f t="shared" si="506"/>
        <v>1</v>
      </c>
      <c r="EQ194" s="344" t="b">
        <f t="shared" si="507"/>
        <v>1</v>
      </c>
      <c r="ER194" s="344" t="b">
        <f t="shared" si="508"/>
        <v>1</v>
      </c>
      <c r="ES194" s="344" t="b">
        <f t="shared" si="509"/>
        <v>0</v>
      </c>
    </row>
    <row r="195" spans="1:149" s="251" customFormat="1" x14ac:dyDescent="0.3">
      <c r="A195" s="251" t="s">
        <v>1011</v>
      </c>
      <c r="B195" s="251" t="s">
        <v>2247</v>
      </c>
      <c r="C195" s="251" t="s">
        <v>2216</v>
      </c>
      <c r="D195" s="251" t="s">
        <v>1014</v>
      </c>
      <c r="E195" s="344" t="s">
        <v>1977</v>
      </c>
      <c r="F195" s="344">
        <f t="shared" si="441"/>
        <v>30.000000000305</v>
      </c>
      <c r="G195" s="344">
        <f t="shared" si="510"/>
        <v>29.250000000255</v>
      </c>
      <c r="H195" s="344">
        <f t="shared" si="511"/>
        <v>28.500000000265</v>
      </c>
      <c r="I195" s="251" t="s">
        <v>1970</v>
      </c>
      <c r="J195" s="251" t="s">
        <v>1970</v>
      </c>
      <c r="K195" s="344" t="s">
        <v>2777</v>
      </c>
      <c r="L195" s="344" t="s">
        <v>3079</v>
      </c>
      <c r="M195" s="251" t="s">
        <v>1970</v>
      </c>
      <c r="N195" s="344" t="s">
        <v>1978</v>
      </c>
      <c r="O195" s="344" t="s">
        <v>1978</v>
      </c>
      <c r="P195" s="344" t="s">
        <v>1978</v>
      </c>
      <c r="Q195" s="344" t="s">
        <v>1978</v>
      </c>
      <c r="R195" s="344" t="s">
        <v>1978</v>
      </c>
      <c r="S195" s="344" t="s">
        <v>1978</v>
      </c>
      <c r="T195" s="251" t="s">
        <v>1012</v>
      </c>
      <c r="U195" s="251" t="s">
        <v>2165</v>
      </c>
      <c r="V195" s="251" t="s">
        <v>1970</v>
      </c>
      <c r="W195" s="251" t="s">
        <v>1970</v>
      </c>
      <c r="X195" s="344">
        <f>'A123'!J203</f>
        <v>65</v>
      </c>
      <c r="Y195" s="344">
        <f>'A123'!K203</f>
        <v>59</v>
      </c>
      <c r="Z195" s="344">
        <f>'A123'!L203</f>
        <v>7.4915254237288131</v>
      </c>
      <c r="AA195" s="344" t="s">
        <v>2165</v>
      </c>
      <c r="AB195" s="344" t="str">
        <f>入學要求!X204</f>
        <v>/</v>
      </c>
      <c r="AC195" s="344" t="str">
        <f>入學要求!Y204</f>
        <v>/</v>
      </c>
      <c r="AD195" s="344" t="s">
        <v>1977</v>
      </c>
      <c r="AE195" s="344" t="s">
        <v>1970</v>
      </c>
      <c r="AF195" s="344" t="s">
        <v>1970</v>
      </c>
      <c r="AG195" s="344" t="s">
        <v>2777</v>
      </c>
      <c r="AH195" s="344" t="s">
        <v>3079</v>
      </c>
      <c r="AI195" s="344" t="s">
        <v>1970</v>
      </c>
      <c r="AJ195" s="344" t="s">
        <v>1970</v>
      </c>
      <c r="AK195" s="251" t="s">
        <v>1970</v>
      </c>
      <c r="AL195" s="251" t="s">
        <v>1970</v>
      </c>
      <c r="AM195" s="251" t="s">
        <v>1970</v>
      </c>
      <c r="AN195" s="251" t="s">
        <v>1970</v>
      </c>
      <c r="AO195" s="251" t="s">
        <v>1970</v>
      </c>
      <c r="AP195" s="251" t="s">
        <v>1970</v>
      </c>
      <c r="AQ195" s="344" t="s">
        <v>1970</v>
      </c>
      <c r="AR195" s="428" t="s">
        <v>2150</v>
      </c>
      <c r="AS195" s="251" t="s">
        <v>3620</v>
      </c>
      <c r="AU195" s="251" t="s">
        <v>3646</v>
      </c>
      <c r="AV195" s="344" t="s">
        <v>3735</v>
      </c>
      <c r="AW195" s="344" t="s">
        <v>3736</v>
      </c>
      <c r="AX195" s="344" t="s">
        <v>3792</v>
      </c>
      <c r="AY195" s="344" t="s">
        <v>3722</v>
      </c>
      <c r="AZ195" s="344" t="s">
        <v>3737</v>
      </c>
      <c r="BA195" s="381" t="s">
        <v>3725</v>
      </c>
      <c r="BB195" s="344">
        <v>1</v>
      </c>
      <c r="BC195" s="251">
        <v>1</v>
      </c>
      <c r="BD195" s="251">
        <v>1.5</v>
      </c>
      <c r="BE195" s="251">
        <v>1</v>
      </c>
      <c r="BF195" s="344">
        <v>1</v>
      </c>
      <c r="BG195" s="344">
        <v>1.5</v>
      </c>
      <c r="BH195" s="344">
        <v>1</v>
      </c>
      <c r="BI195" s="344">
        <v>1</v>
      </c>
      <c r="BJ195" s="251">
        <v>3.00000000001</v>
      </c>
      <c r="BK195" s="251">
        <v>4.00000000002</v>
      </c>
      <c r="BL195" s="251">
        <v>4.00000000003</v>
      </c>
      <c r="BM195" s="251">
        <v>4.00000000004</v>
      </c>
      <c r="BN195" s="251">
        <v>5.0000000000000002E-11</v>
      </c>
      <c r="BO195" s="251">
        <v>7.00000000006</v>
      </c>
      <c r="BP195" s="251">
        <v>4.00000000007</v>
      </c>
      <c r="BQ195" s="251">
        <v>7.9999999999999995E-11</v>
      </c>
      <c r="BR195" s="344">
        <f t="shared" si="466"/>
        <v>3.00000000001</v>
      </c>
      <c r="BS195" s="344">
        <f t="shared" si="442"/>
        <v>4.00000000002</v>
      </c>
      <c r="BT195" s="344">
        <f t="shared" si="443"/>
        <v>6.0000000000450004</v>
      </c>
      <c r="BU195" s="344">
        <f t="shared" si="444"/>
        <v>4.00000000004</v>
      </c>
      <c r="BV195" s="344">
        <f t="shared" si="445"/>
        <v>5.0000000000000002E-11</v>
      </c>
      <c r="BW195" s="344">
        <f t="shared" si="446"/>
        <v>10.500000000090001</v>
      </c>
      <c r="BX195" s="344">
        <f t="shared" si="447"/>
        <v>4.00000000007</v>
      </c>
      <c r="BY195" s="344">
        <f t="shared" si="448"/>
        <v>7.9999999999999995E-11</v>
      </c>
      <c r="BZ195" s="344" t="b">
        <f t="shared" si="486"/>
        <v>0</v>
      </c>
      <c r="CA195" s="344" t="b">
        <f t="shared" si="487"/>
        <v>1</v>
      </c>
      <c r="CB195" s="344" t="b">
        <f t="shared" si="488"/>
        <v>1</v>
      </c>
      <c r="CC195" s="344" t="b">
        <f t="shared" si="489"/>
        <v>1</v>
      </c>
      <c r="CD195" s="344" t="b">
        <f t="shared" si="490"/>
        <v>0</v>
      </c>
      <c r="CE195" s="344" t="b">
        <f t="shared" si="491"/>
        <v>1</v>
      </c>
      <c r="CF195" s="344" t="b">
        <f t="shared" si="492"/>
        <v>1</v>
      </c>
      <c r="CG195" s="344" t="b">
        <f t="shared" si="493"/>
        <v>0</v>
      </c>
      <c r="CH195" s="344">
        <v>1</v>
      </c>
      <c r="CI195" s="344">
        <v>1</v>
      </c>
      <c r="CJ195" s="344">
        <v>1.5</v>
      </c>
      <c r="CK195" s="344">
        <v>1</v>
      </c>
      <c r="CL195" s="344">
        <v>1</v>
      </c>
      <c r="CM195" s="344">
        <v>1.5</v>
      </c>
      <c r="CN195" s="344">
        <v>1</v>
      </c>
      <c r="CO195" s="344">
        <v>1</v>
      </c>
      <c r="CP195" s="251">
        <v>4.00000000001</v>
      </c>
      <c r="CQ195" s="251">
        <v>3.00000000002</v>
      </c>
      <c r="CR195" s="251">
        <v>4.00000000003</v>
      </c>
      <c r="CS195" s="251">
        <v>7.00000000004</v>
      </c>
      <c r="CT195" s="251">
        <v>2.00000000005</v>
      </c>
      <c r="CU195" s="251">
        <v>5.50000000006</v>
      </c>
      <c r="CV195" s="251">
        <v>4.00000000007</v>
      </c>
      <c r="CW195" s="251">
        <v>7.9999999999999995E-11</v>
      </c>
      <c r="CX195" s="344">
        <f t="shared" si="449"/>
        <v>4.00000000001</v>
      </c>
      <c r="CY195" s="344">
        <f t="shared" si="417"/>
        <v>3.00000000002</v>
      </c>
      <c r="CZ195" s="344">
        <f t="shared" si="418"/>
        <v>6.0000000000450004</v>
      </c>
      <c r="DA195" s="344">
        <f t="shared" si="419"/>
        <v>7.00000000004</v>
      </c>
      <c r="DB195" s="344">
        <f t="shared" si="420"/>
        <v>2.00000000005</v>
      </c>
      <c r="DC195" s="344">
        <f t="shared" si="421"/>
        <v>8.2500000000900009</v>
      </c>
      <c r="DD195" s="344">
        <f t="shared" si="422"/>
        <v>4.00000000007</v>
      </c>
      <c r="DE195" s="344">
        <f t="shared" si="423"/>
        <v>7.9999999999999995E-11</v>
      </c>
      <c r="DF195" s="344" t="b">
        <f t="shared" si="494"/>
        <v>1</v>
      </c>
      <c r="DG195" s="344" t="b">
        <f t="shared" si="495"/>
        <v>0</v>
      </c>
      <c r="DH195" s="344" t="b">
        <f t="shared" si="496"/>
        <v>1</v>
      </c>
      <c r="DI195" s="344" t="b">
        <f t="shared" si="497"/>
        <v>1</v>
      </c>
      <c r="DJ195" s="344" t="b">
        <f t="shared" si="498"/>
        <v>0</v>
      </c>
      <c r="DK195" s="344" t="b">
        <f t="shared" si="499"/>
        <v>1</v>
      </c>
      <c r="DL195" s="344" t="b">
        <f t="shared" si="500"/>
        <v>1</v>
      </c>
      <c r="DM195" s="344" t="b">
        <f t="shared" si="501"/>
        <v>0</v>
      </c>
      <c r="DN195" s="344">
        <v>1</v>
      </c>
      <c r="DO195" s="344">
        <v>1</v>
      </c>
      <c r="DP195" s="344">
        <v>1.5</v>
      </c>
      <c r="DQ195" s="344">
        <v>1</v>
      </c>
      <c r="DR195" s="344">
        <v>1</v>
      </c>
      <c r="DS195" s="344">
        <v>1.5</v>
      </c>
      <c r="DT195" s="344">
        <v>1</v>
      </c>
      <c r="DU195" s="344">
        <v>1</v>
      </c>
      <c r="DV195" s="251">
        <v>4.00000000001</v>
      </c>
      <c r="DW195" s="251">
        <v>5.50000000002</v>
      </c>
      <c r="DX195" s="251">
        <v>4.00000000003</v>
      </c>
      <c r="DY195" s="251">
        <v>4.00000000004</v>
      </c>
      <c r="DZ195" s="251">
        <v>5.0000000000000002E-11</v>
      </c>
      <c r="EA195" s="251">
        <v>7.00000000006</v>
      </c>
      <c r="EB195" s="251">
        <v>4.00000000007</v>
      </c>
      <c r="EC195" s="251">
        <v>4.00000000008</v>
      </c>
      <c r="ED195" s="344">
        <f t="shared" si="450"/>
        <v>4.00000000001</v>
      </c>
      <c r="EE195" s="344">
        <f t="shared" si="451"/>
        <v>5.50000000002</v>
      </c>
      <c r="EF195" s="344">
        <f t="shared" si="452"/>
        <v>6.0000000000450004</v>
      </c>
      <c r="EG195" s="344">
        <f t="shared" si="453"/>
        <v>4.00000000004</v>
      </c>
      <c r="EH195" s="344">
        <f t="shared" si="454"/>
        <v>5.0000000000000002E-11</v>
      </c>
      <c r="EI195" s="344">
        <f t="shared" si="455"/>
        <v>10.500000000090001</v>
      </c>
      <c r="EJ195" s="344">
        <f t="shared" si="456"/>
        <v>4.00000000007</v>
      </c>
      <c r="EK195" s="344">
        <f t="shared" si="457"/>
        <v>4.00000000008</v>
      </c>
      <c r="EL195" s="344" t="b">
        <f t="shared" si="502"/>
        <v>0</v>
      </c>
      <c r="EM195" s="344" t="b">
        <f t="shared" si="503"/>
        <v>1</v>
      </c>
      <c r="EN195" s="344" t="b">
        <f t="shared" si="504"/>
        <v>1</v>
      </c>
      <c r="EO195" s="344" t="b">
        <f t="shared" si="505"/>
        <v>0</v>
      </c>
      <c r="EP195" s="344" t="b">
        <f t="shared" si="506"/>
        <v>0</v>
      </c>
      <c r="EQ195" s="344" t="b">
        <f t="shared" si="507"/>
        <v>1</v>
      </c>
      <c r="ER195" s="344" t="b">
        <f t="shared" si="508"/>
        <v>1</v>
      </c>
      <c r="ES195" s="344" t="b">
        <f t="shared" si="509"/>
        <v>1</v>
      </c>
    </row>
    <row r="196" spans="1:149" s="251" customFormat="1" x14ac:dyDescent="0.3">
      <c r="A196" s="251" t="s">
        <v>1015</v>
      </c>
      <c r="B196" s="251" t="s">
        <v>2247</v>
      </c>
      <c r="C196" s="251" t="s">
        <v>2216</v>
      </c>
      <c r="D196" s="251" t="s">
        <v>1018</v>
      </c>
      <c r="E196" s="344" t="s">
        <v>1977</v>
      </c>
      <c r="F196" s="344">
        <f t="shared" si="441"/>
        <v>29.500000000250001</v>
      </c>
      <c r="G196" s="344">
        <f t="shared" si="510"/>
        <v>28.000000000175998</v>
      </c>
      <c r="H196" s="344">
        <f t="shared" si="511"/>
        <v>26.500000000229999</v>
      </c>
      <c r="I196" s="251" t="s">
        <v>1970</v>
      </c>
      <c r="J196" s="251" t="s">
        <v>1970</v>
      </c>
      <c r="K196" s="344" t="s">
        <v>2685</v>
      </c>
      <c r="L196" s="251" t="s">
        <v>1970</v>
      </c>
      <c r="M196" s="251" t="s">
        <v>1970</v>
      </c>
      <c r="N196" s="344" t="s">
        <v>1978</v>
      </c>
      <c r="O196" s="344" t="s">
        <v>1978</v>
      </c>
      <c r="P196" s="344" t="s">
        <v>1978</v>
      </c>
      <c r="Q196" s="344" t="s">
        <v>1978</v>
      </c>
      <c r="R196" s="344" t="s">
        <v>1978</v>
      </c>
      <c r="S196" s="344" t="s">
        <v>1978</v>
      </c>
      <c r="T196" s="251" t="s">
        <v>1016</v>
      </c>
      <c r="U196" s="251" t="s">
        <v>2165</v>
      </c>
      <c r="V196" s="251" t="s">
        <v>1970</v>
      </c>
      <c r="W196" s="251" t="s">
        <v>1970</v>
      </c>
      <c r="X196" s="344">
        <f>'A123'!J204</f>
        <v>39</v>
      </c>
      <c r="Y196" s="344">
        <f>'A123'!K204</f>
        <v>42</v>
      </c>
      <c r="Z196" s="344">
        <f>'A123'!L204</f>
        <v>6.8809523809523814</v>
      </c>
      <c r="AA196" s="344" t="s">
        <v>2165</v>
      </c>
      <c r="AB196" s="344" t="str">
        <f>入學要求!X205</f>
        <v>/</v>
      </c>
      <c r="AC196" s="344" t="str">
        <f>入學要求!Y205</f>
        <v>/</v>
      </c>
      <c r="AD196" s="373" t="s">
        <v>1977</v>
      </c>
      <c r="AE196" s="344" t="s">
        <v>1970</v>
      </c>
      <c r="AF196" s="344" t="s">
        <v>1970</v>
      </c>
      <c r="AG196" s="344" t="s">
        <v>3134</v>
      </c>
      <c r="AH196" s="344" t="s">
        <v>1970</v>
      </c>
      <c r="AI196" s="344" t="s">
        <v>1970</v>
      </c>
      <c r="AJ196" s="344" t="s">
        <v>1970</v>
      </c>
      <c r="AK196" s="251" t="s">
        <v>1970</v>
      </c>
      <c r="AL196" s="344" t="s">
        <v>1970</v>
      </c>
      <c r="AM196" s="344" t="s">
        <v>1970</v>
      </c>
      <c r="AN196" s="344" t="s">
        <v>1970</v>
      </c>
      <c r="AO196" s="344" t="s">
        <v>1970</v>
      </c>
      <c r="AP196" s="251" t="s">
        <v>1970</v>
      </c>
      <c r="AQ196" s="344" t="s">
        <v>1970</v>
      </c>
      <c r="AR196" s="428" t="s">
        <v>2150</v>
      </c>
      <c r="AS196" s="251" t="s">
        <v>3603</v>
      </c>
      <c r="AT196" s="251" t="s">
        <v>3667</v>
      </c>
      <c r="AU196" s="251" t="s">
        <v>1970</v>
      </c>
      <c r="AV196" s="344" t="s">
        <v>3735</v>
      </c>
      <c r="AW196" s="344" t="s">
        <v>3736</v>
      </c>
      <c r="AX196" s="344" t="s">
        <v>3793</v>
      </c>
      <c r="AY196" s="344" t="s">
        <v>3722</v>
      </c>
      <c r="AZ196" s="344" t="s">
        <v>3737</v>
      </c>
      <c r="BA196" s="381" t="s">
        <v>3725</v>
      </c>
      <c r="BB196" s="344">
        <v>1</v>
      </c>
      <c r="BC196" s="251">
        <v>1.5</v>
      </c>
      <c r="BD196" s="251">
        <v>1</v>
      </c>
      <c r="BE196" s="251">
        <v>1</v>
      </c>
      <c r="BF196" s="344">
        <v>1</v>
      </c>
      <c r="BG196" s="344">
        <v>1</v>
      </c>
      <c r="BH196" s="344">
        <v>1</v>
      </c>
      <c r="BI196" s="344">
        <v>1</v>
      </c>
      <c r="BJ196" s="251">
        <v>3.00000000001</v>
      </c>
      <c r="BK196" s="251">
        <v>4.00000000002</v>
      </c>
      <c r="BL196" s="251">
        <v>4.00000000003</v>
      </c>
      <c r="BM196" s="251">
        <v>4.00000000004</v>
      </c>
      <c r="BN196" s="251">
        <v>3.00000000005</v>
      </c>
      <c r="BO196" s="251">
        <v>7.00000000006</v>
      </c>
      <c r="BP196" s="251">
        <v>5.50000000007</v>
      </c>
      <c r="BQ196" s="251">
        <v>7.9999999999999995E-11</v>
      </c>
      <c r="BR196" s="344">
        <f t="shared" si="466"/>
        <v>3.00000000001</v>
      </c>
      <c r="BS196" s="344">
        <f t="shared" si="442"/>
        <v>6.00000000003</v>
      </c>
      <c r="BT196" s="344">
        <f t="shared" si="443"/>
        <v>4.00000000003</v>
      </c>
      <c r="BU196" s="344">
        <f t="shared" si="444"/>
        <v>4.00000000004</v>
      </c>
      <c r="BV196" s="344">
        <f t="shared" si="445"/>
        <v>3.00000000005</v>
      </c>
      <c r="BW196" s="344">
        <f t="shared" si="446"/>
        <v>7.00000000006</v>
      </c>
      <c r="BX196" s="344">
        <f t="shared" si="447"/>
        <v>5.50000000007</v>
      </c>
      <c r="BY196" s="344">
        <f t="shared" si="448"/>
        <v>7.9999999999999995E-11</v>
      </c>
      <c r="BZ196" s="344" t="b">
        <f t="shared" si="486"/>
        <v>0</v>
      </c>
      <c r="CA196" s="344" t="b">
        <f t="shared" si="487"/>
        <v>1</v>
      </c>
      <c r="CB196" s="344" t="b">
        <f t="shared" si="488"/>
        <v>1</v>
      </c>
      <c r="CC196" s="344" t="b">
        <f t="shared" si="489"/>
        <v>1</v>
      </c>
      <c r="CD196" s="344" t="b">
        <f t="shared" si="490"/>
        <v>0</v>
      </c>
      <c r="CE196" s="344" t="b">
        <f t="shared" si="491"/>
        <v>1</v>
      </c>
      <c r="CF196" s="344" t="b">
        <f t="shared" si="492"/>
        <v>1</v>
      </c>
      <c r="CG196" s="344" t="b">
        <f t="shared" si="493"/>
        <v>0</v>
      </c>
      <c r="CH196" s="344">
        <v>1</v>
      </c>
      <c r="CI196" s="344">
        <v>1.5</v>
      </c>
      <c r="CJ196" s="344">
        <v>1</v>
      </c>
      <c r="CK196" s="344">
        <v>1</v>
      </c>
      <c r="CL196" s="344">
        <v>1</v>
      </c>
      <c r="CM196" s="344">
        <v>1</v>
      </c>
      <c r="CN196" s="344">
        <v>1</v>
      </c>
      <c r="CO196" s="344">
        <v>1</v>
      </c>
      <c r="CP196" s="251">
        <v>3.00000000001</v>
      </c>
      <c r="CQ196" s="251">
        <v>4.00000000002</v>
      </c>
      <c r="CR196" s="251">
        <v>4.00000000003</v>
      </c>
      <c r="CS196" s="251">
        <v>4.00000000004</v>
      </c>
      <c r="CT196" s="251">
        <v>5.0000000000000002E-11</v>
      </c>
      <c r="CU196" s="251">
        <v>8.5000000000060005</v>
      </c>
      <c r="CV196" s="251">
        <v>5.50000000007</v>
      </c>
      <c r="CW196" s="251">
        <v>7.9999999999999995E-11</v>
      </c>
      <c r="CX196" s="344">
        <f t="shared" si="449"/>
        <v>3.00000000001</v>
      </c>
      <c r="CY196" s="344">
        <f t="shared" si="417"/>
        <v>6.00000000003</v>
      </c>
      <c r="CZ196" s="344">
        <f t="shared" si="418"/>
        <v>4.00000000003</v>
      </c>
      <c r="DA196" s="344">
        <f t="shared" si="419"/>
        <v>4.00000000004</v>
      </c>
      <c r="DB196" s="344">
        <f t="shared" si="420"/>
        <v>5.0000000000000002E-11</v>
      </c>
      <c r="DC196" s="344">
        <f t="shared" si="421"/>
        <v>8.5000000000060005</v>
      </c>
      <c r="DD196" s="344">
        <f t="shared" si="422"/>
        <v>5.50000000007</v>
      </c>
      <c r="DE196" s="344">
        <f t="shared" si="423"/>
        <v>7.9999999999999995E-11</v>
      </c>
      <c r="DF196" s="344" t="b">
        <f t="shared" si="494"/>
        <v>0</v>
      </c>
      <c r="DG196" s="344" t="b">
        <f t="shared" si="495"/>
        <v>1</v>
      </c>
      <c r="DH196" s="344" t="b">
        <f t="shared" si="496"/>
        <v>1</v>
      </c>
      <c r="DI196" s="344" t="b">
        <f t="shared" si="497"/>
        <v>1</v>
      </c>
      <c r="DJ196" s="344" t="b">
        <f t="shared" si="498"/>
        <v>0</v>
      </c>
      <c r="DK196" s="344" t="b">
        <f t="shared" si="499"/>
        <v>1</v>
      </c>
      <c r="DL196" s="344" t="b">
        <f t="shared" si="500"/>
        <v>1</v>
      </c>
      <c r="DM196" s="344" t="b">
        <f t="shared" si="501"/>
        <v>0</v>
      </c>
      <c r="DN196" s="344">
        <v>1</v>
      </c>
      <c r="DO196" s="344">
        <v>1.5</v>
      </c>
      <c r="DP196" s="344">
        <v>1</v>
      </c>
      <c r="DQ196" s="344">
        <v>1</v>
      </c>
      <c r="DR196" s="344">
        <v>1</v>
      </c>
      <c r="DS196" s="344">
        <v>1</v>
      </c>
      <c r="DT196" s="344">
        <v>1</v>
      </c>
      <c r="DU196" s="344">
        <v>1</v>
      </c>
      <c r="DV196" s="251">
        <v>5.50000000001</v>
      </c>
      <c r="DW196" s="251">
        <v>4.00000000002</v>
      </c>
      <c r="DX196" s="251">
        <v>4.00000000003</v>
      </c>
      <c r="DY196" s="251">
        <v>4.00000000004</v>
      </c>
      <c r="DZ196" s="251">
        <v>5.0000000000000002E-11</v>
      </c>
      <c r="EA196" s="251">
        <v>7.00000000006</v>
      </c>
      <c r="EB196" s="251">
        <v>5.50000000007</v>
      </c>
      <c r="EC196" s="251">
        <v>5.50000000008</v>
      </c>
      <c r="ED196" s="344">
        <f t="shared" si="450"/>
        <v>5.50000000001</v>
      </c>
      <c r="EE196" s="344">
        <f t="shared" si="451"/>
        <v>6.00000000003</v>
      </c>
      <c r="EF196" s="344">
        <f t="shared" si="452"/>
        <v>4.00000000003</v>
      </c>
      <c r="EG196" s="344">
        <f t="shared" si="453"/>
        <v>4.00000000004</v>
      </c>
      <c r="EH196" s="344">
        <f t="shared" si="454"/>
        <v>5.0000000000000002E-11</v>
      </c>
      <c r="EI196" s="344">
        <f t="shared" si="455"/>
        <v>7.00000000006</v>
      </c>
      <c r="EJ196" s="344">
        <f t="shared" si="456"/>
        <v>5.50000000007</v>
      </c>
      <c r="EK196" s="344">
        <f t="shared" si="457"/>
        <v>5.50000000008</v>
      </c>
      <c r="EL196" s="344" t="b">
        <f t="shared" si="502"/>
        <v>1</v>
      </c>
      <c r="EM196" s="344" t="b">
        <f t="shared" si="503"/>
        <v>1</v>
      </c>
      <c r="EN196" s="344" t="b">
        <f t="shared" si="504"/>
        <v>0</v>
      </c>
      <c r="EO196" s="344" t="b">
        <f t="shared" si="505"/>
        <v>0</v>
      </c>
      <c r="EP196" s="344" t="b">
        <f t="shared" si="506"/>
        <v>0</v>
      </c>
      <c r="EQ196" s="344" t="b">
        <f t="shared" si="507"/>
        <v>1</v>
      </c>
      <c r="ER196" s="344" t="b">
        <f t="shared" si="508"/>
        <v>1</v>
      </c>
      <c r="ES196" s="344" t="b">
        <f t="shared" si="509"/>
        <v>1</v>
      </c>
    </row>
    <row r="197" spans="1:149" s="251" customFormat="1" x14ac:dyDescent="0.3">
      <c r="A197" s="251" t="s">
        <v>1020</v>
      </c>
      <c r="B197" s="251" t="s">
        <v>2247</v>
      </c>
      <c r="C197" s="251" t="s">
        <v>2216</v>
      </c>
      <c r="D197" s="251" t="s">
        <v>1023</v>
      </c>
      <c r="E197" s="344" t="s">
        <v>1977</v>
      </c>
      <c r="F197" s="344">
        <f t="shared" si="441"/>
        <v>29.000000000220002</v>
      </c>
      <c r="G197" s="344">
        <f t="shared" si="510"/>
        <v>27.500000000269999</v>
      </c>
      <c r="H197" s="344">
        <f t="shared" si="511"/>
        <v>24.500000000250001</v>
      </c>
      <c r="I197" s="251" t="s">
        <v>1970</v>
      </c>
      <c r="J197" s="251" t="s">
        <v>1970</v>
      </c>
      <c r="K197" s="251" t="s">
        <v>1970</v>
      </c>
      <c r="L197" s="251" t="s">
        <v>1970</v>
      </c>
      <c r="M197" s="251" t="s">
        <v>1970</v>
      </c>
      <c r="N197" s="344" t="s">
        <v>1978</v>
      </c>
      <c r="O197" s="344" t="s">
        <v>1978</v>
      </c>
      <c r="P197" s="344" t="s">
        <v>1978</v>
      </c>
      <c r="Q197" s="344" t="s">
        <v>1978</v>
      </c>
      <c r="R197" s="344" t="s">
        <v>1978</v>
      </c>
      <c r="S197" s="344" t="s">
        <v>1978</v>
      </c>
      <c r="T197" s="251" t="s">
        <v>1021</v>
      </c>
      <c r="U197" s="251" t="s">
        <v>2165</v>
      </c>
      <c r="V197" s="251" t="s">
        <v>1970</v>
      </c>
      <c r="W197" s="251" t="s">
        <v>1970</v>
      </c>
      <c r="X197" s="344">
        <f>'A123'!J205</f>
        <v>19</v>
      </c>
      <c r="Y197" s="344">
        <f>'A123'!K205</f>
        <v>25</v>
      </c>
      <c r="Z197" s="344">
        <f>'A123'!L205</f>
        <v>5.64</v>
      </c>
      <c r="AA197" s="344" t="s">
        <v>2165</v>
      </c>
      <c r="AB197" s="344" t="str">
        <f>入學要求!X206</f>
        <v>/</v>
      </c>
      <c r="AC197" s="344" t="str">
        <f>入學要求!Y206</f>
        <v>/</v>
      </c>
      <c r="AD197" s="344" t="s">
        <v>1977</v>
      </c>
      <c r="AE197" s="344" t="s">
        <v>1970</v>
      </c>
      <c r="AF197" s="344" t="s">
        <v>1970</v>
      </c>
      <c r="AG197" s="344" t="s">
        <v>1970</v>
      </c>
      <c r="AH197" s="344" t="s">
        <v>1970</v>
      </c>
      <c r="AI197" s="344" t="s">
        <v>1970</v>
      </c>
      <c r="AJ197" s="344" t="s">
        <v>1970</v>
      </c>
      <c r="AK197" s="251" t="s">
        <v>1970</v>
      </c>
      <c r="AL197" s="344" t="s">
        <v>1970</v>
      </c>
      <c r="AM197" s="344" t="s">
        <v>1970</v>
      </c>
      <c r="AN197" s="344" t="s">
        <v>1970</v>
      </c>
      <c r="AO197" s="344" t="s">
        <v>1970</v>
      </c>
      <c r="AP197" s="251" t="s">
        <v>1970</v>
      </c>
      <c r="AQ197" s="344" t="s">
        <v>1970</v>
      </c>
      <c r="AR197" s="428" t="s">
        <v>2150</v>
      </c>
      <c r="AS197" s="251" t="s">
        <v>3603</v>
      </c>
      <c r="AT197" s="568">
        <v>44708</v>
      </c>
      <c r="AU197" s="251" t="s">
        <v>1970</v>
      </c>
      <c r="AV197" s="344" t="s">
        <v>3735</v>
      </c>
      <c r="AW197" s="344" t="s">
        <v>3736</v>
      </c>
      <c r="AX197" s="344" t="s">
        <v>3794</v>
      </c>
      <c r="AY197" s="344" t="s">
        <v>3722</v>
      </c>
      <c r="AZ197" s="344" t="s">
        <v>3737</v>
      </c>
      <c r="BA197" s="381" t="s">
        <v>3725</v>
      </c>
      <c r="BB197" s="344">
        <v>1</v>
      </c>
      <c r="BC197" s="251">
        <v>1</v>
      </c>
      <c r="BD197" s="251">
        <v>1</v>
      </c>
      <c r="BE197" s="251">
        <v>1</v>
      </c>
      <c r="BF197" s="344">
        <v>1</v>
      </c>
      <c r="BG197" s="344">
        <v>1</v>
      </c>
      <c r="BH197" s="344">
        <v>1</v>
      </c>
      <c r="BI197" s="344">
        <v>1</v>
      </c>
      <c r="BJ197" s="251">
        <v>5.50000000001</v>
      </c>
      <c r="BK197" s="251">
        <v>4.00000000002</v>
      </c>
      <c r="BL197" s="251">
        <v>7.00000000003</v>
      </c>
      <c r="BM197" s="251">
        <v>4.00000000004</v>
      </c>
      <c r="BN197" s="251">
        <v>4.00000000005</v>
      </c>
      <c r="BO197" s="251">
        <v>4.00000000006</v>
      </c>
      <c r="BP197" s="251">
        <v>4.00000000007</v>
      </c>
      <c r="BQ197" s="251">
        <v>4.00000000008</v>
      </c>
      <c r="BR197" s="344">
        <f t="shared" si="466"/>
        <v>5.50000000001</v>
      </c>
      <c r="BS197" s="344">
        <f t="shared" si="442"/>
        <v>4.00000000002</v>
      </c>
      <c r="BT197" s="344">
        <f t="shared" si="443"/>
        <v>7.00000000003</v>
      </c>
      <c r="BU197" s="344">
        <f t="shared" si="444"/>
        <v>4.00000000004</v>
      </c>
      <c r="BV197" s="344">
        <f t="shared" si="445"/>
        <v>4.00000000005</v>
      </c>
      <c r="BW197" s="344">
        <f t="shared" si="446"/>
        <v>4.00000000006</v>
      </c>
      <c r="BX197" s="344">
        <f t="shared" si="447"/>
        <v>4.00000000007</v>
      </c>
      <c r="BY197" s="344">
        <f t="shared" si="448"/>
        <v>4.00000000008</v>
      </c>
      <c r="BZ197" s="344" t="b">
        <f t="shared" si="486"/>
        <v>1</v>
      </c>
      <c r="CA197" s="344" t="b">
        <f t="shared" si="487"/>
        <v>0</v>
      </c>
      <c r="CB197" s="344" t="b">
        <f t="shared" si="488"/>
        <v>1</v>
      </c>
      <c r="CC197" s="344" t="b">
        <f t="shared" si="489"/>
        <v>0</v>
      </c>
      <c r="CD197" s="344" t="b">
        <f t="shared" si="490"/>
        <v>0</v>
      </c>
      <c r="CE197" s="344" t="b">
        <f t="shared" si="491"/>
        <v>1</v>
      </c>
      <c r="CF197" s="344" t="b">
        <f t="shared" si="492"/>
        <v>1</v>
      </c>
      <c r="CG197" s="344" t="b">
        <f t="shared" si="493"/>
        <v>1</v>
      </c>
      <c r="CH197" s="344">
        <v>1</v>
      </c>
      <c r="CI197" s="344">
        <v>1</v>
      </c>
      <c r="CJ197" s="344">
        <v>1</v>
      </c>
      <c r="CK197" s="344">
        <v>1</v>
      </c>
      <c r="CL197" s="344">
        <v>1</v>
      </c>
      <c r="CM197" s="344">
        <v>1</v>
      </c>
      <c r="CN197" s="344">
        <v>1</v>
      </c>
      <c r="CO197" s="344">
        <v>1</v>
      </c>
      <c r="CP197" s="251">
        <v>4.00000000001</v>
      </c>
      <c r="CQ197" s="251">
        <v>5.50000000002</v>
      </c>
      <c r="CR197" s="251">
        <v>3.00000000003</v>
      </c>
      <c r="CS197" s="251">
        <v>5.50000000004</v>
      </c>
      <c r="CT197" s="251">
        <v>5.0000000000000002E-11</v>
      </c>
      <c r="CU197" s="251">
        <v>7.00000000006</v>
      </c>
      <c r="CV197" s="251">
        <v>5.50000000007</v>
      </c>
      <c r="CW197" s="251">
        <v>4.00000000008</v>
      </c>
      <c r="CX197" s="344">
        <f t="shared" si="449"/>
        <v>4.00000000001</v>
      </c>
      <c r="CY197" s="344">
        <f t="shared" si="417"/>
        <v>5.50000000002</v>
      </c>
      <c r="CZ197" s="344">
        <f t="shared" si="418"/>
        <v>3.00000000003</v>
      </c>
      <c r="DA197" s="344">
        <f t="shared" si="419"/>
        <v>5.50000000004</v>
      </c>
      <c r="DB197" s="344">
        <f t="shared" si="420"/>
        <v>5.0000000000000002E-11</v>
      </c>
      <c r="DC197" s="344">
        <f t="shared" si="421"/>
        <v>7.00000000006</v>
      </c>
      <c r="DD197" s="344">
        <f t="shared" si="422"/>
        <v>5.50000000007</v>
      </c>
      <c r="DE197" s="344">
        <f t="shared" si="423"/>
        <v>4.00000000008</v>
      </c>
      <c r="DF197" s="344" t="b">
        <f t="shared" si="494"/>
        <v>0</v>
      </c>
      <c r="DG197" s="344" t="b">
        <f t="shared" si="495"/>
        <v>1</v>
      </c>
      <c r="DH197" s="344" t="b">
        <f t="shared" si="496"/>
        <v>0</v>
      </c>
      <c r="DI197" s="344" t="b">
        <f t="shared" si="497"/>
        <v>1</v>
      </c>
      <c r="DJ197" s="344" t="b">
        <f t="shared" si="498"/>
        <v>0</v>
      </c>
      <c r="DK197" s="344" t="b">
        <f t="shared" si="499"/>
        <v>1</v>
      </c>
      <c r="DL197" s="344" t="b">
        <f t="shared" si="500"/>
        <v>1</v>
      </c>
      <c r="DM197" s="344" t="b">
        <f t="shared" si="501"/>
        <v>1</v>
      </c>
      <c r="DN197" s="344">
        <v>1</v>
      </c>
      <c r="DO197" s="344">
        <v>1</v>
      </c>
      <c r="DP197" s="344">
        <v>1</v>
      </c>
      <c r="DQ197" s="344">
        <v>1</v>
      </c>
      <c r="DR197" s="344">
        <v>1</v>
      </c>
      <c r="DS197" s="344">
        <v>1</v>
      </c>
      <c r="DT197" s="344">
        <v>1</v>
      </c>
      <c r="DU197" s="344">
        <v>1</v>
      </c>
      <c r="DV197" s="251">
        <v>3.00000000001</v>
      </c>
      <c r="DW197" s="251">
        <v>4.00000000002</v>
      </c>
      <c r="DX197" s="251">
        <v>5.50000000003</v>
      </c>
      <c r="DY197" s="251">
        <v>7.00000000004</v>
      </c>
      <c r="DZ197" s="251">
        <v>5.0000000000000002E-11</v>
      </c>
      <c r="EA197" s="251">
        <v>8.50000000006</v>
      </c>
      <c r="EB197" s="251">
        <v>4.00000000007</v>
      </c>
      <c r="EC197" s="251">
        <v>7.9999999999999995E-11</v>
      </c>
      <c r="ED197" s="344">
        <f t="shared" si="450"/>
        <v>3.00000000001</v>
      </c>
      <c r="EE197" s="344">
        <f t="shared" si="451"/>
        <v>4.00000000002</v>
      </c>
      <c r="EF197" s="344">
        <f t="shared" si="452"/>
        <v>5.50000000003</v>
      </c>
      <c r="EG197" s="344">
        <f t="shared" si="453"/>
        <v>7.00000000004</v>
      </c>
      <c r="EH197" s="344">
        <f t="shared" si="454"/>
        <v>5.0000000000000002E-11</v>
      </c>
      <c r="EI197" s="344">
        <f t="shared" si="455"/>
        <v>8.50000000006</v>
      </c>
      <c r="EJ197" s="344">
        <f t="shared" si="456"/>
        <v>4.00000000007</v>
      </c>
      <c r="EK197" s="344">
        <f t="shared" si="457"/>
        <v>7.9999999999999995E-11</v>
      </c>
      <c r="EL197" s="344" t="b">
        <f t="shared" si="502"/>
        <v>0</v>
      </c>
      <c r="EM197" s="344" t="b">
        <f t="shared" si="503"/>
        <v>1</v>
      </c>
      <c r="EN197" s="344" t="b">
        <f t="shared" si="504"/>
        <v>1</v>
      </c>
      <c r="EO197" s="344" t="b">
        <f t="shared" si="505"/>
        <v>1</v>
      </c>
      <c r="EP197" s="344" t="b">
        <f t="shared" si="506"/>
        <v>0</v>
      </c>
      <c r="EQ197" s="344" t="b">
        <f t="shared" si="507"/>
        <v>1</v>
      </c>
      <c r="ER197" s="344" t="b">
        <f t="shared" si="508"/>
        <v>1</v>
      </c>
      <c r="ES197" s="344" t="b">
        <f t="shared" si="509"/>
        <v>0</v>
      </c>
    </row>
    <row r="198" spans="1:149" s="251" customFormat="1" x14ac:dyDescent="0.3">
      <c r="A198" s="251" t="s">
        <v>1025</v>
      </c>
      <c r="B198" s="251" t="s">
        <v>2247</v>
      </c>
      <c r="C198" s="251" t="s">
        <v>2216</v>
      </c>
      <c r="D198" s="251" t="s">
        <v>1028</v>
      </c>
      <c r="E198" s="344" t="s">
        <v>1967</v>
      </c>
      <c r="F198" s="344">
        <f t="shared" si="441"/>
        <v>38.000000000252506</v>
      </c>
      <c r="G198" s="344">
        <f t="shared" si="510"/>
        <v>29.500000000252502</v>
      </c>
      <c r="H198" s="344">
        <f t="shared" si="511"/>
        <v>27.250000000252502</v>
      </c>
      <c r="I198" s="251" t="s">
        <v>1970</v>
      </c>
      <c r="J198" s="251" t="s">
        <v>1970</v>
      </c>
      <c r="K198" s="344" t="s">
        <v>2685</v>
      </c>
      <c r="L198" s="344" t="s">
        <v>3110</v>
      </c>
      <c r="M198" s="251" t="s">
        <v>1970</v>
      </c>
      <c r="N198" s="344" t="s">
        <v>1978</v>
      </c>
      <c r="O198" s="344" t="s">
        <v>1978</v>
      </c>
      <c r="P198" s="344" t="s">
        <v>1978</v>
      </c>
      <c r="Q198" s="344" t="s">
        <v>1978</v>
      </c>
      <c r="R198" s="344" t="s">
        <v>1978</v>
      </c>
      <c r="S198" s="344" t="s">
        <v>1978</v>
      </c>
      <c r="T198" s="251" t="s">
        <v>1026</v>
      </c>
      <c r="U198" s="251" t="s">
        <v>2165</v>
      </c>
      <c r="V198" s="251" t="s">
        <v>1970</v>
      </c>
      <c r="W198" s="251" t="s">
        <v>1970</v>
      </c>
      <c r="X198" s="344">
        <f>'A123'!J206</f>
        <v>37</v>
      </c>
      <c r="Y198" s="344">
        <f>'A123'!K206</f>
        <v>25</v>
      </c>
      <c r="Z198" s="344">
        <f>'A123'!L206</f>
        <v>6.3571428571428568</v>
      </c>
      <c r="AA198" s="344" t="s">
        <v>2165</v>
      </c>
      <c r="AB198" s="344" t="str">
        <f>入學要求!X207</f>
        <v>/</v>
      </c>
      <c r="AC198" s="344" t="str">
        <f>入學要求!Y207</f>
        <v>/</v>
      </c>
      <c r="AD198" s="373" t="s">
        <v>2171</v>
      </c>
      <c r="AE198" s="344" t="s">
        <v>1970</v>
      </c>
      <c r="AF198" s="344" t="s">
        <v>1970</v>
      </c>
      <c r="AG198" s="344" t="s">
        <v>2685</v>
      </c>
      <c r="AH198" s="344" t="s">
        <v>3110</v>
      </c>
      <c r="AI198" s="344" t="s">
        <v>1970</v>
      </c>
      <c r="AJ198" s="344" t="s">
        <v>1970</v>
      </c>
      <c r="AK198" s="251" t="s">
        <v>1970</v>
      </c>
      <c r="AL198" s="344" t="s">
        <v>1970</v>
      </c>
      <c r="AM198" s="344" t="s">
        <v>1970</v>
      </c>
      <c r="AN198" s="344" t="s">
        <v>1970</v>
      </c>
      <c r="AO198" s="344" t="s">
        <v>1970</v>
      </c>
      <c r="AP198" s="251" t="s">
        <v>1970</v>
      </c>
      <c r="AQ198" s="344" t="s">
        <v>1970</v>
      </c>
      <c r="AR198" s="428" t="s">
        <v>3387</v>
      </c>
      <c r="AS198" s="251" t="s">
        <v>3608</v>
      </c>
      <c r="AT198" s="251" t="s">
        <v>1970</v>
      </c>
      <c r="AU198" s="251" t="s">
        <v>1970</v>
      </c>
      <c r="AV198" s="344" t="s">
        <v>3735</v>
      </c>
      <c r="AW198" s="344" t="s">
        <v>3736</v>
      </c>
      <c r="AX198" s="344" t="s">
        <v>3795</v>
      </c>
      <c r="AY198" s="344" t="s">
        <v>3722</v>
      </c>
      <c r="AZ198" s="344" t="s">
        <v>3737</v>
      </c>
      <c r="BA198" s="381" t="s">
        <v>3725</v>
      </c>
      <c r="BB198" s="344">
        <v>1.25</v>
      </c>
      <c r="BC198" s="251">
        <v>1.5</v>
      </c>
      <c r="BD198" s="251">
        <v>1</v>
      </c>
      <c r="BE198" s="251">
        <v>1.25</v>
      </c>
      <c r="BF198" s="344">
        <v>1</v>
      </c>
      <c r="BG198" s="344">
        <v>1</v>
      </c>
      <c r="BH198" s="344">
        <v>1</v>
      </c>
      <c r="BI198" s="344">
        <v>1</v>
      </c>
      <c r="BJ198" s="251">
        <v>3.00000000001</v>
      </c>
      <c r="BK198" s="251">
        <v>4.00000000002</v>
      </c>
      <c r="BL198" s="251">
        <v>3.00000000003</v>
      </c>
      <c r="BM198" s="251">
        <v>4.00000000004</v>
      </c>
      <c r="BN198" s="251">
        <v>5.0000000000000002E-11</v>
      </c>
      <c r="BO198" s="251">
        <v>5.50000000006</v>
      </c>
      <c r="BP198" s="251">
        <v>4.00000000007</v>
      </c>
      <c r="BQ198" s="251">
        <v>7.9999999999999995E-11</v>
      </c>
      <c r="BR198" s="344">
        <f t="shared" si="466"/>
        <v>3.7500000000125002</v>
      </c>
      <c r="BS198" s="344">
        <f t="shared" si="442"/>
        <v>6.00000000003</v>
      </c>
      <c r="BT198" s="344">
        <f t="shared" si="443"/>
        <v>3.00000000003</v>
      </c>
      <c r="BU198" s="344">
        <f t="shared" si="444"/>
        <v>5.00000000005</v>
      </c>
      <c r="BV198" s="344">
        <f t="shared" si="445"/>
        <v>5.0000000000000002E-11</v>
      </c>
      <c r="BW198" s="344">
        <f t="shared" si="446"/>
        <v>5.50000000006</v>
      </c>
      <c r="BX198" s="344">
        <f t="shared" si="447"/>
        <v>4.00000000007</v>
      </c>
      <c r="BY198" s="344">
        <f t="shared" si="448"/>
        <v>7.9999999999999995E-11</v>
      </c>
      <c r="BZ198" s="344" t="b">
        <f t="shared" si="486"/>
        <v>1</v>
      </c>
      <c r="CA198" s="344" t="b">
        <f t="shared" si="487"/>
        <v>1</v>
      </c>
      <c r="CB198" s="344" t="b">
        <f t="shared" si="488"/>
        <v>1</v>
      </c>
      <c r="CC198" s="344" t="b">
        <f t="shared" si="489"/>
        <v>1</v>
      </c>
      <c r="CD198" s="344" t="b">
        <f t="shared" si="490"/>
        <v>0</v>
      </c>
      <c r="CE198" s="344" t="b">
        <f t="shared" si="491"/>
        <v>1</v>
      </c>
      <c r="CF198" s="344" t="b">
        <f t="shared" si="492"/>
        <v>1</v>
      </c>
      <c r="CG198" s="344" t="b">
        <f t="shared" si="493"/>
        <v>0</v>
      </c>
      <c r="CH198" s="344">
        <v>1.25</v>
      </c>
      <c r="CI198" s="344">
        <v>1.5</v>
      </c>
      <c r="CJ198" s="344">
        <v>1</v>
      </c>
      <c r="CK198" s="344">
        <v>1.25</v>
      </c>
      <c r="CL198" s="344">
        <v>1</v>
      </c>
      <c r="CM198" s="344">
        <v>1</v>
      </c>
      <c r="CN198" s="344">
        <v>1</v>
      </c>
      <c r="CO198" s="344">
        <v>1</v>
      </c>
      <c r="CP198" s="251">
        <v>4.00000000001</v>
      </c>
      <c r="CQ198" s="251">
        <v>3.00000000002</v>
      </c>
      <c r="CR198" s="251">
        <v>4.00000000003</v>
      </c>
      <c r="CS198" s="251">
        <v>4.00000000004</v>
      </c>
      <c r="CT198" s="251">
        <v>5.0000000000000002E-11</v>
      </c>
      <c r="CU198" s="251">
        <v>7.00000000006</v>
      </c>
      <c r="CV198" s="251">
        <v>4.00000000007</v>
      </c>
      <c r="CW198" s="251">
        <v>7.9999999999999995E-11</v>
      </c>
      <c r="CX198" s="344">
        <f t="shared" si="449"/>
        <v>5.0000000000125002</v>
      </c>
      <c r="CY198" s="344">
        <f t="shared" si="417"/>
        <v>4.50000000003</v>
      </c>
      <c r="CZ198" s="344">
        <f t="shared" si="418"/>
        <v>4.00000000003</v>
      </c>
      <c r="DA198" s="344">
        <f t="shared" si="419"/>
        <v>5.00000000005</v>
      </c>
      <c r="DB198" s="344">
        <f t="shared" si="420"/>
        <v>5.0000000000000002E-11</v>
      </c>
      <c r="DC198" s="344">
        <f t="shared" si="421"/>
        <v>7.00000000006</v>
      </c>
      <c r="DD198" s="344">
        <f t="shared" si="422"/>
        <v>4.00000000007</v>
      </c>
      <c r="DE198" s="344">
        <f t="shared" si="423"/>
        <v>7.9999999999999995E-11</v>
      </c>
      <c r="DF198" s="344" t="b">
        <f t="shared" si="494"/>
        <v>1</v>
      </c>
      <c r="DG198" s="344" t="b">
        <f t="shared" si="495"/>
        <v>1</v>
      </c>
      <c r="DH198" s="344" t="b">
        <f t="shared" si="496"/>
        <v>1</v>
      </c>
      <c r="DI198" s="344" t="b">
        <f t="shared" si="497"/>
        <v>1</v>
      </c>
      <c r="DJ198" s="344" t="b">
        <f t="shared" si="498"/>
        <v>0</v>
      </c>
      <c r="DK198" s="344" t="b">
        <f t="shared" si="499"/>
        <v>1</v>
      </c>
      <c r="DL198" s="344" t="b">
        <f t="shared" si="500"/>
        <v>1</v>
      </c>
      <c r="DM198" s="344" t="b">
        <f t="shared" si="501"/>
        <v>0</v>
      </c>
      <c r="DN198" s="344">
        <v>1.25</v>
      </c>
      <c r="DO198" s="344">
        <v>1.5</v>
      </c>
      <c r="DP198" s="344">
        <v>1</v>
      </c>
      <c r="DQ198" s="344">
        <v>1.25</v>
      </c>
      <c r="DR198" s="344">
        <v>1</v>
      </c>
      <c r="DS198" s="344">
        <v>1</v>
      </c>
      <c r="DT198" s="344">
        <v>1</v>
      </c>
      <c r="DU198" s="344">
        <v>1</v>
      </c>
      <c r="DV198" s="251">
        <v>3.00000000001</v>
      </c>
      <c r="DW198" s="251">
        <v>4.00000000002</v>
      </c>
      <c r="DX198" s="251">
        <v>5.50000000003</v>
      </c>
      <c r="DY198" s="251">
        <v>7.00000000004</v>
      </c>
      <c r="DZ198" s="251">
        <v>5.0000000000000002E-11</v>
      </c>
      <c r="EA198" s="251">
        <v>8.50000000006</v>
      </c>
      <c r="EB198" s="251">
        <v>5.50000000007</v>
      </c>
      <c r="EC198" s="251">
        <v>7.9999999999999995E-11</v>
      </c>
      <c r="ED198" s="344">
        <f t="shared" si="450"/>
        <v>3.7500000000125002</v>
      </c>
      <c r="EE198" s="344">
        <f t="shared" si="451"/>
        <v>6.00000000003</v>
      </c>
      <c r="EF198" s="344">
        <f t="shared" si="452"/>
        <v>5.50000000003</v>
      </c>
      <c r="EG198" s="344">
        <f t="shared" si="453"/>
        <v>8.7500000000500009</v>
      </c>
      <c r="EH198" s="344">
        <f t="shared" si="454"/>
        <v>5.0000000000000002E-11</v>
      </c>
      <c r="EI198" s="344">
        <f t="shared" si="455"/>
        <v>8.50000000006</v>
      </c>
      <c r="EJ198" s="344">
        <f t="shared" si="456"/>
        <v>5.50000000007</v>
      </c>
      <c r="EK198" s="344">
        <f t="shared" si="457"/>
        <v>7.9999999999999995E-11</v>
      </c>
      <c r="EL198" s="344" t="b">
        <f t="shared" si="502"/>
        <v>1</v>
      </c>
      <c r="EM198" s="344" t="b">
        <f t="shared" si="503"/>
        <v>1</v>
      </c>
      <c r="EN198" s="344" t="b">
        <f t="shared" si="504"/>
        <v>1</v>
      </c>
      <c r="EO198" s="344" t="b">
        <f t="shared" si="505"/>
        <v>1</v>
      </c>
      <c r="EP198" s="344" t="b">
        <f t="shared" si="506"/>
        <v>0</v>
      </c>
      <c r="EQ198" s="344" t="b">
        <f t="shared" si="507"/>
        <v>1</v>
      </c>
      <c r="ER198" s="344" t="b">
        <f t="shared" si="508"/>
        <v>1</v>
      </c>
      <c r="ES198" s="344" t="b">
        <f t="shared" si="509"/>
        <v>0</v>
      </c>
    </row>
    <row r="199" spans="1:149" s="251" customFormat="1" x14ac:dyDescent="0.3">
      <c r="A199" s="251" t="s">
        <v>1030</v>
      </c>
      <c r="B199" s="251" t="s">
        <v>2247</v>
      </c>
      <c r="C199" s="251" t="s">
        <v>2216</v>
      </c>
      <c r="D199" s="251" t="s">
        <v>1033</v>
      </c>
      <c r="E199" s="344" t="s">
        <v>1977</v>
      </c>
      <c r="F199" s="344">
        <f t="shared" si="441"/>
        <v>35.300000000169</v>
      </c>
      <c r="G199" s="344">
        <f t="shared" si="510"/>
        <v>32.300000000199006</v>
      </c>
      <c r="H199" s="344">
        <f t="shared" si="511"/>
        <v>30.650000000266001</v>
      </c>
      <c r="I199" s="251" t="s">
        <v>1970</v>
      </c>
      <c r="J199" s="251" t="s">
        <v>1970</v>
      </c>
      <c r="K199" s="344" t="s">
        <v>3111</v>
      </c>
      <c r="L199" s="251" t="s">
        <v>1970</v>
      </c>
      <c r="M199" s="251" t="s">
        <v>1970</v>
      </c>
      <c r="N199" s="344" t="s">
        <v>1978</v>
      </c>
      <c r="O199" s="344" t="s">
        <v>1978</v>
      </c>
      <c r="P199" s="344" t="s">
        <v>1978</v>
      </c>
      <c r="Q199" s="344" t="s">
        <v>1978</v>
      </c>
      <c r="R199" s="344" t="s">
        <v>1978</v>
      </c>
      <c r="S199" s="344" t="s">
        <v>1978</v>
      </c>
      <c r="T199" s="251" t="s">
        <v>1031</v>
      </c>
      <c r="U199" s="251" t="s">
        <v>2165</v>
      </c>
      <c r="V199" s="251" t="s">
        <v>1970</v>
      </c>
      <c r="W199" s="251" t="s">
        <v>1970</v>
      </c>
      <c r="X199" s="344">
        <f>'A123'!J207</f>
        <v>43</v>
      </c>
      <c r="Y199" s="344">
        <f>'A123'!K207</f>
        <v>46</v>
      </c>
      <c r="Z199" s="344">
        <f>'A123'!L207</f>
        <v>3.1956521739130435</v>
      </c>
      <c r="AA199" s="344" t="s">
        <v>2165</v>
      </c>
      <c r="AB199" s="344" t="str">
        <f>入學要求!X208</f>
        <v>/</v>
      </c>
      <c r="AC199" s="344" t="str">
        <f>入學要求!Y208</f>
        <v>/</v>
      </c>
      <c r="AD199" s="344" t="s">
        <v>1977</v>
      </c>
      <c r="AE199" s="344" t="s">
        <v>1970</v>
      </c>
      <c r="AF199" s="344" t="s">
        <v>1970</v>
      </c>
      <c r="AG199" s="344" t="s">
        <v>3111</v>
      </c>
      <c r="AH199" s="344" t="s">
        <v>1970</v>
      </c>
      <c r="AI199" s="344" t="s">
        <v>1970</v>
      </c>
      <c r="AJ199" s="344" t="s">
        <v>1970</v>
      </c>
      <c r="AK199" s="251" t="s">
        <v>1970</v>
      </c>
      <c r="AL199" s="344" t="s">
        <v>1970</v>
      </c>
      <c r="AM199" s="344" t="s">
        <v>1970</v>
      </c>
      <c r="AN199" s="344" t="s">
        <v>1970</v>
      </c>
      <c r="AO199" s="344" t="s">
        <v>1970</v>
      </c>
      <c r="AP199" s="251" t="s">
        <v>1970</v>
      </c>
      <c r="AQ199" s="344" t="s">
        <v>1970</v>
      </c>
      <c r="AR199" s="428" t="s">
        <v>2150</v>
      </c>
      <c r="AS199" s="251" t="s">
        <v>3608</v>
      </c>
      <c r="AT199" s="251" t="s">
        <v>1970</v>
      </c>
      <c r="AU199" s="251" t="s">
        <v>1970</v>
      </c>
      <c r="AV199" s="344" t="s">
        <v>3735</v>
      </c>
      <c r="AW199" s="344" t="s">
        <v>3736</v>
      </c>
      <c r="AX199" s="344" t="s">
        <v>3796</v>
      </c>
      <c r="AY199" s="344" t="s">
        <v>3722</v>
      </c>
      <c r="AZ199" s="344" t="s">
        <v>3737</v>
      </c>
      <c r="BA199" s="381" t="s">
        <v>3725</v>
      </c>
      <c r="BB199" s="344">
        <v>1.3</v>
      </c>
      <c r="BC199" s="344">
        <v>1.3</v>
      </c>
      <c r="BD199" s="251">
        <v>1</v>
      </c>
      <c r="BE199" s="251">
        <v>1</v>
      </c>
      <c r="BF199" s="344">
        <v>1</v>
      </c>
      <c r="BG199" s="344">
        <v>1</v>
      </c>
      <c r="BH199" s="344">
        <v>1</v>
      </c>
      <c r="BI199" s="344">
        <v>1</v>
      </c>
      <c r="BJ199" s="251">
        <v>4.00000000001</v>
      </c>
      <c r="BK199" s="251">
        <v>5.50000000002</v>
      </c>
      <c r="BL199" s="251">
        <v>5.50000000003</v>
      </c>
      <c r="BM199" s="251">
        <v>4.00000000004</v>
      </c>
      <c r="BN199" s="251">
        <v>5.0000000000000002E-11</v>
      </c>
      <c r="BO199" s="251">
        <v>7.00000000006</v>
      </c>
      <c r="BP199" s="251">
        <v>5.50000000007</v>
      </c>
      <c r="BQ199" s="251">
        <v>5.50000000008</v>
      </c>
      <c r="BR199" s="344">
        <f t="shared" si="466"/>
        <v>5.2000000000130004</v>
      </c>
      <c r="BS199" s="344">
        <f t="shared" si="442"/>
        <v>7.150000000026</v>
      </c>
      <c r="BT199" s="344">
        <f t="shared" si="443"/>
        <v>5.50000000003</v>
      </c>
      <c r="BU199" s="344">
        <f t="shared" si="444"/>
        <v>4.00000000004</v>
      </c>
      <c r="BV199" s="344">
        <f t="shared" si="445"/>
        <v>5.0000000000000002E-11</v>
      </c>
      <c r="BW199" s="344">
        <f t="shared" si="446"/>
        <v>7.00000000006</v>
      </c>
      <c r="BX199" s="344">
        <f t="shared" si="447"/>
        <v>5.50000000007</v>
      </c>
      <c r="BY199" s="344">
        <f t="shared" si="448"/>
        <v>5.50000000008</v>
      </c>
      <c r="BZ199" s="344" t="b">
        <f t="shared" si="486"/>
        <v>0</v>
      </c>
      <c r="CA199" s="344" t="b">
        <f t="shared" si="487"/>
        <v>1</v>
      </c>
      <c r="CB199" s="344" t="b">
        <f t="shared" si="488"/>
        <v>1</v>
      </c>
      <c r="CC199" s="344" t="b">
        <f t="shared" si="489"/>
        <v>0</v>
      </c>
      <c r="CD199" s="344" t="b">
        <f t="shared" si="490"/>
        <v>0</v>
      </c>
      <c r="CE199" s="344" t="b">
        <f t="shared" si="491"/>
        <v>1</v>
      </c>
      <c r="CF199" s="344" t="b">
        <f t="shared" si="492"/>
        <v>1</v>
      </c>
      <c r="CG199" s="344" t="b">
        <f t="shared" si="493"/>
        <v>1</v>
      </c>
      <c r="CH199" s="344">
        <v>1.3</v>
      </c>
      <c r="CI199" s="344">
        <v>1.3</v>
      </c>
      <c r="CJ199" s="344">
        <v>1</v>
      </c>
      <c r="CK199" s="344">
        <v>1</v>
      </c>
      <c r="CL199" s="344">
        <v>1</v>
      </c>
      <c r="CM199" s="344">
        <v>1</v>
      </c>
      <c r="CN199" s="344">
        <v>1</v>
      </c>
      <c r="CO199" s="344">
        <v>1</v>
      </c>
      <c r="CP199" s="251">
        <v>7.00000000001</v>
      </c>
      <c r="CQ199" s="251">
        <v>4.00000000002</v>
      </c>
      <c r="CR199" s="251">
        <v>5.50000000003</v>
      </c>
      <c r="CS199" s="251">
        <v>4.00000000004</v>
      </c>
      <c r="CT199" s="251">
        <v>5.0000000000000002E-11</v>
      </c>
      <c r="CU199" s="251">
        <v>7.00000000006</v>
      </c>
      <c r="CV199" s="251">
        <v>5.50000000007</v>
      </c>
      <c r="CW199" s="251">
        <v>4.00000000008</v>
      </c>
      <c r="CX199" s="344">
        <f t="shared" si="449"/>
        <v>9.1000000000130008</v>
      </c>
      <c r="CY199" s="344">
        <f t="shared" si="417"/>
        <v>5.2000000000259998</v>
      </c>
      <c r="CZ199" s="344">
        <f t="shared" si="418"/>
        <v>5.50000000003</v>
      </c>
      <c r="DA199" s="344">
        <f t="shared" si="419"/>
        <v>4.00000000004</v>
      </c>
      <c r="DB199" s="344">
        <f t="shared" si="420"/>
        <v>5.0000000000000002E-11</v>
      </c>
      <c r="DC199" s="344">
        <f t="shared" si="421"/>
        <v>7.00000000006</v>
      </c>
      <c r="DD199" s="344">
        <f t="shared" si="422"/>
        <v>5.50000000007</v>
      </c>
      <c r="DE199" s="344">
        <f t="shared" si="423"/>
        <v>4.00000000008</v>
      </c>
      <c r="DF199" s="344" t="b">
        <f t="shared" si="494"/>
        <v>1</v>
      </c>
      <c r="DG199" s="344" t="b">
        <f t="shared" si="495"/>
        <v>1</v>
      </c>
      <c r="DH199" s="344" t="b">
        <f t="shared" si="496"/>
        <v>1</v>
      </c>
      <c r="DI199" s="344" t="b">
        <f t="shared" si="497"/>
        <v>0</v>
      </c>
      <c r="DJ199" s="344" t="b">
        <f t="shared" si="498"/>
        <v>0</v>
      </c>
      <c r="DK199" s="344" t="b">
        <f t="shared" si="499"/>
        <v>1</v>
      </c>
      <c r="DL199" s="344" t="b">
        <f t="shared" si="500"/>
        <v>1</v>
      </c>
      <c r="DM199" s="344" t="b">
        <f t="shared" si="501"/>
        <v>0</v>
      </c>
      <c r="DN199" s="344">
        <v>1.3</v>
      </c>
      <c r="DO199" s="344">
        <v>1.3</v>
      </c>
      <c r="DP199" s="344">
        <v>1</v>
      </c>
      <c r="DQ199" s="344">
        <v>1</v>
      </c>
      <c r="DR199" s="344">
        <v>1</v>
      </c>
      <c r="DS199" s="344">
        <v>1</v>
      </c>
      <c r="DT199" s="344">
        <v>1</v>
      </c>
      <c r="DU199" s="344">
        <v>1</v>
      </c>
      <c r="DV199" s="251">
        <v>7.00000000001</v>
      </c>
      <c r="DW199" s="251">
        <v>4.00000000002</v>
      </c>
      <c r="DX199" s="251">
        <v>5.50000000003</v>
      </c>
      <c r="DY199" s="251">
        <v>7.00000000004</v>
      </c>
      <c r="DZ199" s="251">
        <v>5.0000000000000002E-11</v>
      </c>
      <c r="EA199" s="251">
        <v>8.50000000006</v>
      </c>
      <c r="EB199" s="251">
        <v>4.00000000007</v>
      </c>
      <c r="EC199" s="251">
        <v>3.00000000008</v>
      </c>
      <c r="ED199" s="344">
        <f t="shared" si="450"/>
        <v>9.1000000000130008</v>
      </c>
      <c r="EE199" s="344">
        <f t="shared" si="451"/>
        <v>5.2000000000259998</v>
      </c>
      <c r="EF199" s="344">
        <f t="shared" si="452"/>
        <v>5.50000000003</v>
      </c>
      <c r="EG199" s="344">
        <f t="shared" si="453"/>
        <v>7.00000000004</v>
      </c>
      <c r="EH199" s="344">
        <f t="shared" si="454"/>
        <v>5.0000000000000002E-11</v>
      </c>
      <c r="EI199" s="344">
        <f t="shared" si="455"/>
        <v>8.50000000006</v>
      </c>
      <c r="EJ199" s="344">
        <f t="shared" si="456"/>
        <v>4.00000000007</v>
      </c>
      <c r="EK199" s="344">
        <f t="shared" si="457"/>
        <v>3.00000000008</v>
      </c>
      <c r="EL199" s="344" t="b">
        <f t="shared" si="502"/>
        <v>1</v>
      </c>
      <c r="EM199" s="344" t="b">
        <f t="shared" si="503"/>
        <v>1</v>
      </c>
      <c r="EN199" s="344" t="b">
        <f t="shared" si="504"/>
        <v>1</v>
      </c>
      <c r="EO199" s="344" t="b">
        <f t="shared" si="505"/>
        <v>1</v>
      </c>
      <c r="EP199" s="344" t="b">
        <f t="shared" si="506"/>
        <v>0</v>
      </c>
      <c r="EQ199" s="344" t="b">
        <f t="shared" si="507"/>
        <v>1</v>
      </c>
      <c r="ER199" s="344" t="b">
        <f t="shared" si="508"/>
        <v>0</v>
      </c>
      <c r="ES199" s="344" t="b">
        <f t="shared" si="509"/>
        <v>0</v>
      </c>
    </row>
    <row r="200" spans="1:149" s="251" customFormat="1" x14ac:dyDescent="0.3">
      <c r="A200" s="251" t="s">
        <v>1034</v>
      </c>
      <c r="B200" s="251" t="s">
        <v>2247</v>
      </c>
      <c r="C200" s="251" t="s">
        <v>2216</v>
      </c>
      <c r="D200" s="251" t="s">
        <v>1037</v>
      </c>
      <c r="E200" s="344" t="s">
        <v>1977</v>
      </c>
      <c r="F200" s="344">
        <f t="shared" si="441"/>
        <v>32.150000000205999</v>
      </c>
      <c r="G200" s="344">
        <f t="shared" si="510"/>
        <v>31.100000000226</v>
      </c>
      <c r="H200" s="344">
        <f t="shared" si="511"/>
        <v>28.100000000226</v>
      </c>
      <c r="I200" s="251" t="s">
        <v>1970</v>
      </c>
      <c r="J200" s="251" t="s">
        <v>1970</v>
      </c>
      <c r="K200" s="344" t="s">
        <v>3109</v>
      </c>
      <c r="L200" s="251" t="s">
        <v>1970</v>
      </c>
      <c r="M200" s="251" t="s">
        <v>1970</v>
      </c>
      <c r="N200" s="344" t="s">
        <v>1978</v>
      </c>
      <c r="O200" s="344" t="s">
        <v>1978</v>
      </c>
      <c r="P200" s="344" t="s">
        <v>1978</v>
      </c>
      <c r="Q200" s="344" t="s">
        <v>1978</v>
      </c>
      <c r="R200" s="344" t="s">
        <v>1978</v>
      </c>
      <c r="S200" s="344" t="s">
        <v>1978</v>
      </c>
      <c r="T200" s="251" t="s">
        <v>1035</v>
      </c>
      <c r="U200" s="251" t="s">
        <v>2165</v>
      </c>
      <c r="V200" s="251" t="s">
        <v>1970</v>
      </c>
      <c r="W200" s="251" t="s">
        <v>1970</v>
      </c>
      <c r="X200" s="344">
        <f>'A123'!J208</f>
        <v>9</v>
      </c>
      <c r="Y200" s="344">
        <f>'A123'!K208</f>
        <v>12</v>
      </c>
      <c r="Z200" s="344">
        <f>'A123'!L208</f>
        <v>3.75</v>
      </c>
      <c r="AA200" s="344" t="s">
        <v>2165</v>
      </c>
      <c r="AB200" s="344" t="str">
        <f>入學要求!X209</f>
        <v>/</v>
      </c>
      <c r="AC200" s="344" t="str">
        <f>入學要求!Y209</f>
        <v>/</v>
      </c>
      <c r="AD200" s="344" t="s">
        <v>1977</v>
      </c>
      <c r="AE200" s="344" t="s">
        <v>1970</v>
      </c>
      <c r="AF200" s="344" t="s">
        <v>1970</v>
      </c>
      <c r="AG200" s="344" t="s">
        <v>3109</v>
      </c>
      <c r="AH200" s="344" t="s">
        <v>1970</v>
      </c>
      <c r="AI200" s="344" t="s">
        <v>1970</v>
      </c>
      <c r="AJ200" s="344" t="s">
        <v>1970</v>
      </c>
      <c r="AK200" s="251" t="s">
        <v>1970</v>
      </c>
      <c r="AL200" s="344" t="s">
        <v>1970</v>
      </c>
      <c r="AM200" s="344" t="s">
        <v>1970</v>
      </c>
      <c r="AN200" s="344" t="s">
        <v>1970</v>
      </c>
      <c r="AO200" s="344" t="s">
        <v>1970</v>
      </c>
      <c r="AP200" s="251" t="s">
        <v>1970</v>
      </c>
      <c r="AQ200" s="344" t="s">
        <v>1970</v>
      </c>
      <c r="AR200" s="428" t="s">
        <v>2150</v>
      </c>
      <c r="AS200" s="251" t="s">
        <v>3608</v>
      </c>
      <c r="AT200" s="251" t="s">
        <v>1970</v>
      </c>
      <c r="AU200" s="251" t="s">
        <v>1970</v>
      </c>
      <c r="AV200" s="344" t="s">
        <v>3735</v>
      </c>
      <c r="AW200" s="344" t="s">
        <v>3736</v>
      </c>
      <c r="AX200" s="344" t="s">
        <v>3797</v>
      </c>
      <c r="AY200" s="344" t="s">
        <v>3722</v>
      </c>
      <c r="AZ200" s="344" t="s">
        <v>3737</v>
      </c>
      <c r="BA200" s="381" t="s">
        <v>3725</v>
      </c>
      <c r="BB200" s="344">
        <v>1</v>
      </c>
      <c r="BC200" s="251">
        <v>1.3</v>
      </c>
      <c r="BD200" s="251">
        <v>1</v>
      </c>
      <c r="BE200" s="251">
        <v>1</v>
      </c>
      <c r="BF200" s="344">
        <v>1</v>
      </c>
      <c r="BG200" s="344">
        <v>1</v>
      </c>
      <c r="BH200" s="344">
        <v>1</v>
      </c>
      <c r="BI200" s="344">
        <v>1</v>
      </c>
      <c r="BJ200" s="251">
        <v>4.00000000001</v>
      </c>
      <c r="BK200" s="251">
        <v>7.00000000002</v>
      </c>
      <c r="BL200" s="251">
        <v>4.00000000003</v>
      </c>
      <c r="BM200" s="251">
        <v>5.50000000004</v>
      </c>
      <c r="BN200" s="251">
        <v>5.0000000000000002E-11</v>
      </c>
      <c r="BO200" s="251">
        <v>5.50000000006</v>
      </c>
      <c r="BP200" s="251">
        <v>4.00000000007</v>
      </c>
      <c r="BQ200" s="251">
        <v>3.00000000008</v>
      </c>
      <c r="BR200" s="344">
        <f t="shared" si="466"/>
        <v>4.00000000001</v>
      </c>
      <c r="BS200" s="344">
        <f t="shared" si="442"/>
        <v>9.1000000000260002</v>
      </c>
      <c r="BT200" s="344">
        <f t="shared" si="443"/>
        <v>4.00000000003</v>
      </c>
      <c r="BU200" s="344">
        <f t="shared" si="444"/>
        <v>5.50000000004</v>
      </c>
      <c r="BV200" s="344">
        <f t="shared" si="445"/>
        <v>5.0000000000000002E-11</v>
      </c>
      <c r="BW200" s="344">
        <f t="shared" si="446"/>
        <v>5.50000000006</v>
      </c>
      <c r="BX200" s="344">
        <f t="shared" si="447"/>
        <v>4.00000000007</v>
      </c>
      <c r="BY200" s="344">
        <f t="shared" si="448"/>
        <v>3.00000000008</v>
      </c>
      <c r="BZ200" s="344" t="b">
        <f t="shared" si="486"/>
        <v>0</v>
      </c>
      <c r="CA200" s="344" t="b">
        <f t="shared" si="487"/>
        <v>1</v>
      </c>
      <c r="CB200" s="344" t="b">
        <f t="shared" si="488"/>
        <v>1</v>
      </c>
      <c r="CC200" s="344" t="b">
        <f t="shared" si="489"/>
        <v>1</v>
      </c>
      <c r="CD200" s="344" t="b">
        <f t="shared" si="490"/>
        <v>0</v>
      </c>
      <c r="CE200" s="344" t="b">
        <f t="shared" si="491"/>
        <v>1</v>
      </c>
      <c r="CF200" s="344" t="b">
        <f t="shared" si="492"/>
        <v>1</v>
      </c>
      <c r="CG200" s="344" t="b">
        <f t="shared" si="493"/>
        <v>0</v>
      </c>
      <c r="CH200" s="344">
        <v>1</v>
      </c>
      <c r="CI200" s="344">
        <v>1.3</v>
      </c>
      <c r="CJ200" s="344">
        <v>1</v>
      </c>
      <c r="CK200" s="344">
        <v>1</v>
      </c>
      <c r="CL200" s="344">
        <v>1</v>
      </c>
      <c r="CM200" s="344">
        <v>1</v>
      </c>
      <c r="CN200" s="344">
        <v>1</v>
      </c>
      <c r="CO200" s="344">
        <v>1</v>
      </c>
      <c r="CP200" s="251">
        <v>3.00000000001</v>
      </c>
      <c r="CQ200" s="251">
        <v>7.00000000002</v>
      </c>
      <c r="CR200" s="251">
        <v>4.00000000003</v>
      </c>
      <c r="CS200" s="251">
        <v>5.50000000004</v>
      </c>
      <c r="CT200" s="251">
        <v>5.0000000000000002E-11</v>
      </c>
      <c r="CU200" s="251">
        <v>7.00000000006</v>
      </c>
      <c r="CV200" s="251">
        <v>5.50000000007</v>
      </c>
      <c r="CW200" s="251">
        <v>7.9999999999999995E-11</v>
      </c>
      <c r="CX200" s="344">
        <f t="shared" si="449"/>
        <v>3.00000000001</v>
      </c>
      <c r="CY200" s="344">
        <f t="shared" si="417"/>
        <v>9.1000000000260002</v>
      </c>
      <c r="CZ200" s="344">
        <f t="shared" si="418"/>
        <v>4.00000000003</v>
      </c>
      <c r="DA200" s="344">
        <f t="shared" si="419"/>
        <v>5.50000000004</v>
      </c>
      <c r="DB200" s="344">
        <f t="shared" si="420"/>
        <v>5.0000000000000002E-11</v>
      </c>
      <c r="DC200" s="344">
        <f t="shared" si="421"/>
        <v>7.00000000006</v>
      </c>
      <c r="DD200" s="344">
        <f t="shared" si="422"/>
        <v>5.50000000007</v>
      </c>
      <c r="DE200" s="344">
        <f t="shared" si="423"/>
        <v>7.9999999999999995E-11</v>
      </c>
      <c r="DF200" s="344" t="b">
        <f t="shared" si="494"/>
        <v>0</v>
      </c>
      <c r="DG200" s="344" t="b">
        <f t="shared" si="495"/>
        <v>1</v>
      </c>
      <c r="DH200" s="344" t="b">
        <f t="shared" si="496"/>
        <v>1</v>
      </c>
      <c r="DI200" s="344" t="b">
        <f t="shared" si="497"/>
        <v>1</v>
      </c>
      <c r="DJ200" s="344" t="b">
        <f t="shared" si="498"/>
        <v>0</v>
      </c>
      <c r="DK200" s="344" t="b">
        <f t="shared" si="499"/>
        <v>1</v>
      </c>
      <c r="DL200" s="344" t="b">
        <f t="shared" si="500"/>
        <v>1</v>
      </c>
      <c r="DM200" s="344" t="b">
        <f t="shared" si="501"/>
        <v>0</v>
      </c>
      <c r="DN200" s="344">
        <v>1</v>
      </c>
      <c r="DO200" s="344">
        <v>1.3</v>
      </c>
      <c r="DP200" s="344">
        <v>1</v>
      </c>
      <c r="DQ200" s="344">
        <v>1</v>
      </c>
      <c r="DR200" s="344">
        <v>1</v>
      </c>
      <c r="DS200" s="344">
        <v>1</v>
      </c>
      <c r="DT200" s="344">
        <v>1</v>
      </c>
      <c r="DU200" s="344">
        <v>1</v>
      </c>
      <c r="DV200" s="251">
        <v>5.50000000001</v>
      </c>
      <c r="DW200" s="251">
        <v>5.50000000002</v>
      </c>
      <c r="DX200" s="251">
        <v>4.00000000003</v>
      </c>
      <c r="DY200" s="251">
        <v>5.50000000004</v>
      </c>
      <c r="DZ200" s="251">
        <v>5.0000000000000002E-11</v>
      </c>
      <c r="EA200" s="251">
        <v>7.00000000006</v>
      </c>
      <c r="EB200" s="251">
        <v>7.00000000007</v>
      </c>
      <c r="EC200" s="251">
        <v>7.9999999999999995E-11</v>
      </c>
      <c r="ED200" s="344">
        <f t="shared" si="450"/>
        <v>5.50000000001</v>
      </c>
      <c r="EE200" s="344">
        <f t="shared" si="451"/>
        <v>7.150000000026</v>
      </c>
      <c r="EF200" s="344">
        <f t="shared" si="452"/>
        <v>4.00000000003</v>
      </c>
      <c r="EG200" s="344">
        <f t="shared" si="453"/>
        <v>5.50000000004</v>
      </c>
      <c r="EH200" s="344">
        <f t="shared" si="454"/>
        <v>5.0000000000000002E-11</v>
      </c>
      <c r="EI200" s="344">
        <f t="shared" si="455"/>
        <v>7.00000000006</v>
      </c>
      <c r="EJ200" s="344">
        <f t="shared" si="456"/>
        <v>7.00000000007</v>
      </c>
      <c r="EK200" s="344">
        <f t="shared" si="457"/>
        <v>7.9999999999999995E-11</v>
      </c>
      <c r="EL200" s="344" t="b">
        <f t="shared" si="502"/>
        <v>1</v>
      </c>
      <c r="EM200" s="344" t="b">
        <f t="shared" si="503"/>
        <v>1</v>
      </c>
      <c r="EN200" s="344" t="b">
        <f t="shared" si="504"/>
        <v>0</v>
      </c>
      <c r="EO200" s="344" t="b">
        <f t="shared" si="505"/>
        <v>1</v>
      </c>
      <c r="EP200" s="344" t="b">
        <f t="shared" si="506"/>
        <v>0</v>
      </c>
      <c r="EQ200" s="344" t="b">
        <f t="shared" si="507"/>
        <v>1</v>
      </c>
      <c r="ER200" s="344" t="b">
        <f t="shared" si="508"/>
        <v>1</v>
      </c>
      <c r="ES200" s="344" t="b">
        <f t="shared" si="509"/>
        <v>0</v>
      </c>
    </row>
    <row r="201" spans="1:149" s="251" customFormat="1" x14ac:dyDescent="0.3">
      <c r="A201" s="251" t="s">
        <v>1038</v>
      </c>
      <c r="B201" s="251" t="s">
        <v>2247</v>
      </c>
      <c r="C201" s="251" t="s">
        <v>2216</v>
      </c>
      <c r="D201" s="251" t="s">
        <v>1041</v>
      </c>
      <c r="E201" s="344" t="s">
        <v>1977</v>
      </c>
      <c r="F201" s="344">
        <f t="shared" si="441"/>
        <v>37.500000000245002</v>
      </c>
      <c r="G201" s="344">
        <f t="shared" si="510"/>
        <v>35.250000000215003</v>
      </c>
      <c r="H201" s="344">
        <f t="shared" si="511"/>
        <v>33.000000000284999</v>
      </c>
      <c r="I201" s="251" t="s">
        <v>1970</v>
      </c>
      <c r="J201" s="251" t="s">
        <v>1970</v>
      </c>
      <c r="K201" s="344" t="s">
        <v>3113</v>
      </c>
      <c r="L201" s="251" t="s">
        <v>1970</v>
      </c>
      <c r="M201" s="251" t="s">
        <v>1970</v>
      </c>
      <c r="N201" s="344" t="s">
        <v>1978</v>
      </c>
      <c r="O201" s="344" t="s">
        <v>1978</v>
      </c>
      <c r="P201" s="344" t="s">
        <v>1978</v>
      </c>
      <c r="Q201" s="344" t="s">
        <v>1978</v>
      </c>
      <c r="R201" s="344" t="s">
        <v>1978</v>
      </c>
      <c r="S201" s="344" t="s">
        <v>1978</v>
      </c>
      <c r="T201" s="251" t="s">
        <v>1039</v>
      </c>
      <c r="U201" s="251" t="s">
        <v>2165</v>
      </c>
      <c r="V201" s="251" t="s">
        <v>1970</v>
      </c>
      <c r="W201" s="251" t="s">
        <v>1970</v>
      </c>
      <c r="X201" s="344">
        <f>'A123'!J209</f>
        <v>56</v>
      </c>
      <c r="Y201" s="344">
        <f>'A123'!K209</f>
        <v>62</v>
      </c>
      <c r="Z201" s="344">
        <f>'A123'!L209</f>
        <v>7.32258064516129</v>
      </c>
      <c r="AA201" s="344" t="s">
        <v>2165</v>
      </c>
      <c r="AB201" s="344" t="str">
        <f>入學要求!X210</f>
        <v>/</v>
      </c>
      <c r="AC201" s="344" t="str">
        <f>入學要求!Y210</f>
        <v>/</v>
      </c>
      <c r="AD201" s="344" t="s">
        <v>1977</v>
      </c>
      <c r="AE201" s="344" t="s">
        <v>1970</v>
      </c>
      <c r="AF201" s="344" t="s">
        <v>1970</v>
      </c>
      <c r="AG201" s="344" t="s">
        <v>3113</v>
      </c>
      <c r="AH201" s="344" t="s">
        <v>1970</v>
      </c>
      <c r="AI201" s="344" t="s">
        <v>1970</v>
      </c>
      <c r="AJ201" s="344" t="s">
        <v>1970</v>
      </c>
      <c r="AK201" s="251" t="s">
        <v>1970</v>
      </c>
      <c r="AL201" s="344" t="s">
        <v>1970</v>
      </c>
      <c r="AM201" s="344" t="s">
        <v>1970</v>
      </c>
      <c r="AN201" s="344" t="s">
        <v>1970</v>
      </c>
      <c r="AO201" s="344" t="s">
        <v>1970</v>
      </c>
      <c r="AP201" s="251" t="s">
        <v>1970</v>
      </c>
      <c r="AQ201" s="344" t="s">
        <v>1970</v>
      </c>
      <c r="AR201" s="428" t="s">
        <v>2150</v>
      </c>
      <c r="AS201" s="251" t="s">
        <v>3608</v>
      </c>
      <c r="AT201" s="251" t="s">
        <v>1970</v>
      </c>
      <c r="AU201" s="251" t="s">
        <v>1970</v>
      </c>
      <c r="AV201" s="344" t="s">
        <v>3735</v>
      </c>
      <c r="AW201" s="344" t="s">
        <v>3736</v>
      </c>
      <c r="AX201" s="344" t="s">
        <v>3798</v>
      </c>
      <c r="AY201" s="344" t="s">
        <v>3722</v>
      </c>
      <c r="AZ201" s="344" t="s">
        <v>3737</v>
      </c>
      <c r="BA201" s="381" t="s">
        <v>3725</v>
      </c>
      <c r="BB201" s="344">
        <v>1</v>
      </c>
      <c r="BC201" s="251">
        <v>1.5</v>
      </c>
      <c r="BD201" s="251">
        <v>1.5</v>
      </c>
      <c r="BE201" s="251">
        <v>1</v>
      </c>
      <c r="BF201" s="344">
        <v>1</v>
      </c>
      <c r="BG201" s="344">
        <v>1</v>
      </c>
      <c r="BH201" s="344">
        <v>1</v>
      </c>
      <c r="BI201" s="344">
        <v>1</v>
      </c>
      <c r="BJ201" s="251">
        <v>4.00000000001</v>
      </c>
      <c r="BK201" s="251">
        <v>7.00000000002</v>
      </c>
      <c r="BL201" s="251">
        <v>4.00000000003</v>
      </c>
      <c r="BM201" s="251">
        <v>5.50000000004</v>
      </c>
      <c r="BN201" s="251">
        <v>5.0000000000000002E-11</v>
      </c>
      <c r="BO201" s="251">
        <v>5.50000000006</v>
      </c>
      <c r="BP201" s="251">
        <v>5.50000000007</v>
      </c>
      <c r="BQ201" s="251">
        <v>5.50000000008</v>
      </c>
      <c r="BR201" s="344">
        <f t="shared" si="466"/>
        <v>4.00000000001</v>
      </c>
      <c r="BS201" s="344">
        <f t="shared" si="442"/>
        <v>10.500000000029999</v>
      </c>
      <c r="BT201" s="344">
        <f t="shared" si="443"/>
        <v>6.0000000000450004</v>
      </c>
      <c r="BU201" s="344">
        <f t="shared" si="444"/>
        <v>5.50000000004</v>
      </c>
      <c r="BV201" s="344">
        <f t="shared" si="445"/>
        <v>5.0000000000000002E-11</v>
      </c>
      <c r="BW201" s="344">
        <f t="shared" si="446"/>
        <v>5.50000000006</v>
      </c>
      <c r="BX201" s="344">
        <f t="shared" si="447"/>
        <v>5.50000000007</v>
      </c>
      <c r="BY201" s="344">
        <f t="shared" si="448"/>
        <v>5.50000000008</v>
      </c>
      <c r="BZ201" s="344" t="b">
        <f t="shared" si="486"/>
        <v>0</v>
      </c>
      <c r="CA201" s="344" t="b">
        <f t="shared" si="487"/>
        <v>1</v>
      </c>
      <c r="CB201" s="344" t="b">
        <f t="shared" si="488"/>
        <v>1</v>
      </c>
      <c r="CC201" s="344" t="b">
        <f t="shared" si="489"/>
        <v>0</v>
      </c>
      <c r="CD201" s="344" t="b">
        <f t="shared" si="490"/>
        <v>0</v>
      </c>
      <c r="CE201" s="344" t="b">
        <f t="shared" si="491"/>
        <v>1</v>
      </c>
      <c r="CF201" s="344" t="b">
        <f t="shared" si="492"/>
        <v>1</v>
      </c>
      <c r="CG201" s="344" t="b">
        <f t="shared" si="493"/>
        <v>1</v>
      </c>
      <c r="CH201" s="344">
        <v>1</v>
      </c>
      <c r="CI201" s="344">
        <v>1.5</v>
      </c>
      <c r="CJ201" s="344">
        <v>1.5</v>
      </c>
      <c r="CK201" s="344">
        <v>1</v>
      </c>
      <c r="CL201" s="344">
        <v>1</v>
      </c>
      <c r="CM201" s="344">
        <v>1</v>
      </c>
      <c r="CN201" s="344">
        <v>1</v>
      </c>
      <c r="CO201" s="344">
        <v>1</v>
      </c>
      <c r="CP201" s="251">
        <v>8.5000000000099991</v>
      </c>
      <c r="CQ201" s="251">
        <v>3.00000000002</v>
      </c>
      <c r="CR201" s="251">
        <v>5.50000000003</v>
      </c>
      <c r="CS201" s="251">
        <v>4.00000000004</v>
      </c>
      <c r="CT201" s="251">
        <v>5.0000000000000002E-11</v>
      </c>
      <c r="CU201" s="251">
        <v>7.00000000006</v>
      </c>
      <c r="CV201" s="251">
        <v>7.00000000007</v>
      </c>
      <c r="CW201" s="251">
        <v>4.00000000008</v>
      </c>
      <c r="CX201" s="344">
        <f t="shared" si="449"/>
        <v>8.5000000000099991</v>
      </c>
      <c r="CY201" s="344">
        <f t="shared" si="417"/>
        <v>4.50000000003</v>
      </c>
      <c r="CZ201" s="344">
        <f t="shared" si="418"/>
        <v>8.2500000000450004</v>
      </c>
      <c r="DA201" s="344">
        <f t="shared" si="419"/>
        <v>4.00000000004</v>
      </c>
      <c r="DB201" s="344">
        <f t="shared" si="420"/>
        <v>5.0000000000000002E-11</v>
      </c>
      <c r="DC201" s="344">
        <f t="shared" si="421"/>
        <v>7.00000000006</v>
      </c>
      <c r="DD201" s="344">
        <f t="shared" si="422"/>
        <v>7.00000000007</v>
      </c>
      <c r="DE201" s="344">
        <f t="shared" si="423"/>
        <v>4.00000000008</v>
      </c>
      <c r="DF201" s="344" t="b">
        <f t="shared" si="494"/>
        <v>1</v>
      </c>
      <c r="DG201" s="344" t="b">
        <f t="shared" si="495"/>
        <v>1</v>
      </c>
      <c r="DH201" s="344" t="b">
        <f t="shared" si="496"/>
        <v>1</v>
      </c>
      <c r="DI201" s="344" t="b">
        <f t="shared" si="497"/>
        <v>0</v>
      </c>
      <c r="DJ201" s="344" t="b">
        <f t="shared" si="498"/>
        <v>0</v>
      </c>
      <c r="DK201" s="344" t="b">
        <f t="shared" si="499"/>
        <v>1</v>
      </c>
      <c r="DL201" s="344" t="b">
        <f t="shared" si="500"/>
        <v>1</v>
      </c>
      <c r="DM201" s="344" t="b">
        <f t="shared" si="501"/>
        <v>0</v>
      </c>
      <c r="DN201" s="344">
        <v>1</v>
      </c>
      <c r="DO201" s="344">
        <v>1.5</v>
      </c>
      <c r="DP201" s="344">
        <v>1.5</v>
      </c>
      <c r="DQ201" s="344">
        <v>1</v>
      </c>
      <c r="DR201" s="344">
        <v>1</v>
      </c>
      <c r="DS201" s="344">
        <v>1</v>
      </c>
      <c r="DT201" s="344">
        <v>1</v>
      </c>
      <c r="DU201" s="344">
        <v>1</v>
      </c>
      <c r="DV201" s="251">
        <v>5.50000000001</v>
      </c>
      <c r="DW201" s="251">
        <v>5.50000000002</v>
      </c>
      <c r="DX201" s="251">
        <v>5.50000000003</v>
      </c>
      <c r="DY201" s="251">
        <v>7.00000000004</v>
      </c>
      <c r="DZ201" s="251">
        <v>4.00000000005</v>
      </c>
      <c r="EA201" s="251">
        <v>7.00000000006</v>
      </c>
      <c r="EB201" s="251">
        <v>7.00000000007</v>
      </c>
      <c r="EC201" s="251">
        <v>5.50000000008</v>
      </c>
      <c r="ED201" s="344">
        <f t="shared" si="450"/>
        <v>5.50000000001</v>
      </c>
      <c r="EE201" s="344">
        <f t="shared" si="451"/>
        <v>8.2500000000299991</v>
      </c>
      <c r="EF201" s="344">
        <f t="shared" si="452"/>
        <v>8.2500000000450004</v>
      </c>
      <c r="EG201" s="344">
        <f t="shared" si="453"/>
        <v>7.00000000004</v>
      </c>
      <c r="EH201" s="344">
        <f t="shared" si="454"/>
        <v>4.00000000005</v>
      </c>
      <c r="EI201" s="344">
        <f t="shared" si="455"/>
        <v>7.00000000006</v>
      </c>
      <c r="EJ201" s="344">
        <f t="shared" si="456"/>
        <v>7.00000000007</v>
      </c>
      <c r="EK201" s="344">
        <f t="shared" si="457"/>
        <v>5.50000000008</v>
      </c>
      <c r="EL201" s="344" t="b">
        <f t="shared" si="502"/>
        <v>0</v>
      </c>
      <c r="EM201" s="344" t="b">
        <f t="shared" si="503"/>
        <v>1</v>
      </c>
      <c r="EN201" s="344" t="b">
        <f t="shared" si="504"/>
        <v>1</v>
      </c>
      <c r="EO201" s="344" t="b">
        <f t="shared" si="505"/>
        <v>1</v>
      </c>
      <c r="EP201" s="344" t="b">
        <f t="shared" si="506"/>
        <v>0</v>
      </c>
      <c r="EQ201" s="344" t="b">
        <f t="shared" si="507"/>
        <v>1</v>
      </c>
      <c r="ER201" s="344" t="b">
        <f t="shared" si="508"/>
        <v>1</v>
      </c>
      <c r="ES201" s="344" t="b">
        <f t="shared" si="509"/>
        <v>0</v>
      </c>
    </row>
    <row r="202" spans="1:149" s="251" customFormat="1" x14ac:dyDescent="0.3">
      <c r="A202" s="251" t="s">
        <v>1043</v>
      </c>
      <c r="B202" s="251" t="s">
        <v>2247</v>
      </c>
      <c r="C202" s="251" t="s">
        <v>2216</v>
      </c>
      <c r="D202" s="251" t="s">
        <v>1045</v>
      </c>
      <c r="E202" s="344" t="s">
        <v>1977</v>
      </c>
      <c r="F202" s="344">
        <f t="shared" si="441"/>
        <v>30.500000000259998</v>
      </c>
      <c r="G202" s="344">
        <f t="shared" si="510"/>
        <v>29.000000000259998</v>
      </c>
      <c r="H202" s="344">
        <f t="shared" si="511"/>
        <v>27.50000000028</v>
      </c>
      <c r="I202" s="251" t="s">
        <v>1970</v>
      </c>
      <c r="J202" s="251" t="s">
        <v>1970</v>
      </c>
      <c r="K202" s="251" t="s">
        <v>1970</v>
      </c>
      <c r="L202" s="251" t="s">
        <v>1970</v>
      </c>
      <c r="M202" s="251" t="s">
        <v>1970</v>
      </c>
      <c r="N202" s="344" t="s">
        <v>1978</v>
      </c>
      <c r="O202" s="344" t="s">
        <v>1978</v>
      </c>
      <c r="P202" s="344" t="s">
        <v>1978</v>
      </c>
      <c r="Q202" s="344" t="s">
        <v>1978</v>
      </c>
      <c r="R202" s="344" t="s">
        <v>1978</v>
      </c>
      <c r="S202" s="344" t="s">
        <v>1978</v>
      </c>
      <c r="T202" s="251" t="s">
        <v>658</v>
      </c>
      <c r="U202" s="251" t="s">
        <v>2165</v>
      </c>
      <c r="V202" s="251" t="s">
        <v>1970</v>
      </c>
      <c r="W202" s="251" t="s">
        <v>1970</v>
      </c>
      <c r="X202" s="344">
        <f>'A123'!J210</f>
        <v>45</v>
      </c>
      <c r="Y202" s="344">
        <f>'A123'!K210</f>
        <v>40</v>
      </c>
      <c r="Z202" s="344">
        <f>'A123'!L210</f>
        <v>9.0250000000000004</v>
      </c>
      <c r="AA202" s="344" t="s">
        <v>2165</v>
      </c>
      <c r="AB202" s="344" t="str">
        <f>入學要求!X211</f>
        <v>/</v>
      </c>
      <c r="AC202" s="344" t="str">
        <f>入學要求!Y211</f>
        <v>/</v>
      </c>
      <c r="AD202" s="344" t="s">
        <v>1977</v>
      </c>
      <c r="AE202" s="344" t="s">
        <v>1970</v>
      </c>
      <c r="AF202" s="344" t="s">
        <v>1970</v>
      </c>
      <c r="AG202" s="344" t="s">
        <v>1970</v>
      </c>
      <c r="AH202" s="344" t="s">
        <v>1970</v>
      </c>
      <c r="AI202" s="344" t="s">
        <v>1970</v>
      </c>
      <c r="AJ202" s="344" t="s">
        <v>1970</v>
      </c>
      <c r="AK202" s="251" t="s">
        <v>1970</v>
      </c>
      <c r="AL202" s="344" t="s">
        <v>1970</v>
      </c>
      <c r="AM202" s="344" t="s">
        <v>1970</v>
      </c>
      <c r="AN202" s="344" t="s">
        <v>1970</v>
      </c>
      <c r="AO202" s="344" t="s">
        <v>1970</v>
      </c>
      <c r="AP202" s="251" t="s">
        <v>1970</v>
      </c>
      <c r="AQ202" s="344" t="s">
        <v>1970</v>
      </c>
      <c r="AR202" s="428" t="s">
        <v>2150</v>
      </c>
      <c r="AS202" s="251" t="s">
        <v>3610</v>
      </c>
      <c r="AT202" s="251" t="s">
        <v>1970</v>
      </c>
      <c r="AU202" s="251" t="s">
        <v>3646</v>
      </c>
      <c r="AV202" s="344" t="s">
        <v>3735</v>
      </c>
      <c r="AW202" s="344" t="s">
        <v>3736</v>
      </c>
      <c r="AX202" s="344" t="s">
        <v>3799</v>
      </c>
      <c r="AY202" s="344" t="s">
        <v>3722</v>
      </c>
      <c r="AZ202" s="344" t="s">
        <v>3737</v>
      </c>
      <c r="BA202" s="381" t="s">
        <v>3725</v>
      </c>
      <c r="BB202" s="344">
        <v>1</v>
      </c>
      <c r="BC202" s="251">
        <v>1</v>
      </c>
      <c r="BD202" s="251">
        <v>1</v>
      </c>
      <c r="BE202" s="251">
        <v>1</v>
      </c>
      <c r="BF202" s="251">
        <v>1</v>
      </c>
      <c r="BG202" s="344">
        <v>1</v>
      </c>
      <c r="BH202" s="344">
        <v>1</v>
      </c>
      <c r="BI202" s="344">
        <v>1</v>
      </c>
      <c r="BJ202" s="251">
        <v>4.00000000001</v>
      </c>
      <c r="BK202" s="251">
        <v>4.00000000002</v>
      </c>
      <c r="BL202" s="251">
        <v>4.00000000003</v>
      </c>
      <c r="BM202" s="251">
        <v>5.50000000004</v>
      </c>
      <c r="BN202" s="251">
        <v>5.0000000000000002E-11</v>
      </c>
      <c r="BO202" s="251">
        <v>8.50000000006</v>
      </c>
      <c r="BP202" s="251">
        <v>5.50000000007</v>
      </c>
      <c r="BQ202" s="251">
        <v>4.00000000008</v>
      </c>
      <c r="BR202" s="344">
        <f t="shared" si="466"/>
        <v>4.00000000001</v>
      </c>
      <c r="BS202" s="344">
        <f t="shared" si="442"/>
        <v>4.00000000002</v>
      </c>
      <c r="BT202" s="344">
        <f t="shared" si="443"/>
        <v>4.00000000003</v>
      </c>
      <c r="BU202" s="344">
        <f t="shared" si="444"/>
        <v>5.50000000004</v>
      </c>
      <c r="BV202" s="344">
        <f t="shared" si="445"/>
        <v>5.0000000000000002E-11</v>
      </c>
      <c r="BW202" s="344">
        <f t="shared" si="446"/>
        <v>8.50000000006</v>
      </c>
      <c r="BX202" s="344">
        <f t="shared" si="447"/>
        <v>5.50000000007</v>
      </c>
      <c r="BY202" s="344">
        <f t="shared" si="448"/>
        <v>4.00000000008</v>
      </c>
      <c r="BZ202" s="344" t="b">
        <f t="shared" si="486"/>
        <v>0</v>
      </c>
      <c r="CA202" s="344" t="b">
        <f t="shared" si="487"/>
        <v>0</v>
      </c>
      <c r="CB202" s="344" t="b">
        <f t="shared" si="488"/>
        <v>1</v>
      </c>
      <c r="CC202" s="344" t="b">
        <f t="shared" si="489"/>
        <v>1</v>
      </c>
      <c r="CD202" s="344" t="b">
        <f t="shared" si="490"/>
        <v>0</v>
      </c>
      <c r="CE202" s="344" t="b">
        <f t="shared" si="491"/>
        <v>1</v>
      </c>
      <c r="CF202" s="344" t="b">
        <f t="shared" si="492"/>
        <v>1</v>
      </c>
      <c r="CG202" s="344" t="b">
        <f t="shared" si="493"/>
        <v>1</v>
      </c>
      <c r="CH202" s="344">
        <v>1</v>
      </c>
      <c r="CI202" s="344">
        <v>1</v>
      </c>
      <c r="CJ202" s="344">
        <v>1</v>
      </c>
      <c r="CK202" s="344">
        <v>1</v>
      </c>
      <c r="CL202" s="344">
        <v>1</v>
      </c>
      <c r="CM202" s="344">
        <v>1</v>
      </c>
      <c r="CN202" s="344">
        <v>1</v>
      </c>
      <c r="CO202" s="344">
        <v>1</v>
      </c>
      <c r="CP202" s="251">
        <v>8.5000000000099991</v>
      </c>
      <c r="CQ202" s="251">
        <v>4.00000000002</v>
      </c>
      <c r="CR202" s="251">
        <v>4.00000000003</v>
      </c>
      <c r="CS202" s="251">
        <v>4.00000000004</v>
      </c>
      <c r="CT202" s="251">
        <v>5.0000000000000002E-11</v>
      </c>
      <c r="CU202" s="251">
        <v>7.00000000006</v>
      </c>
      <c r="CV202" s="251">
        <v>5.50000000007</v>
      </c>
      <c r="CW202" s="251">
        <v>4.00000000008</v>
      </c>
      <c r="CX202" s="344">
        <f t="shared" si="449"/>
        <v>8.5000000000099991</v>
      </c>
      <c r="CY202" s="344">
        <f t="shared" si="417"/>
        <v>4.00000000002</v>
      </c>
      <c r="CZ202" s="344">
        <f t="shared" si="418"/>
        <v>4.00000000003</v>
      </c>
      <c r="DA202" s="344">
        <f t="shared" si="419"/>
        <v>4.00000000004</v>
      </c>
      <c r="DB202" s="344">
        <f t="shared" si="420"/>
        <v>5.0000000000000002E-11</v>
      </c>
      <c r="DC202" s="344">
        <f t="shared" si="421"/>
        <v>7.00000000006</v>
      </c>
      <c r="DD202" s="344">
        <f t="shared" si="422"/>
        <v>5.50000000007</v>
      </c>
      <c r="DE202" s="344">
        <f t="shared" si="423"/>
        <v>4.00000000008</v>
      </c>
      <c r="DF202" s="344" t="b">
        <f t="shared" si="494"/>
        <v>1</v>
      </c>
      <c r="DG202" s="344" t="b">
        <f t="shared" si="495"/>
        <v>0</v>
      </c>
      <c r="DH202" s="344" t="b">
        <f t="shared" si="496"/>
        <v>0</v>
      </c>
      <c r="DI202" s="344" t="b">
        <f t="shared" si="497"/>
        <v>1</v>
      </c>
      <c r="DJ202" s="344" t="b">
        <f t="shared" si="498"/>
        <v>0</v>
      </c>
      <c r="DK202" s="344" t="b">
        <f t="shared" si="499"/>
        <v>1</v>
      </c>
      <c r="DL202" s="344" t="b">
        <f t="shared" si="500"/>
        <v>1</v>
      </c>
      <c r="DM202" s="344" t="b">
        <f t="shared" si="501"/>
        <v>1</v>
      </c>
      <c r="DN202" s="344">
        <v>1</v>
      </c>
      <c r="DO202" s="344">
        <v>1</v>
      </c>
      <c r="DP202" s="344">
        <v>1</v>
      </c>
      <c r="DQ202" s="344">
        <v>1</v>
      </c>
      <c r="DR202" s="344">
        <v>1</v>
      </c>
      <c r="DS202" s="344">
        <v>1</v>
      </c>
      <c r="DT202" s="344">
        <v>1</v>
      </c>
      <c r="DU202" s="344">
        <v>1</v>
      </c>
      <c r="DV202" s="251">
        <v>7.00000000001</v>
      </c>
      <c r="DW202" s="251">
        <v>4.00000000002</v>
      </c>
      <c r="DX202" s="251">
        <v>4.00000000003</v>
      </c>
      <c r="DY202" s="251">
        <v>8.50000000004</v>
      </c>
      <c r="DZ202" s="251">
        <v>5.0000000000000002E-11</v>
      </c>
      <c r="EA202" s="251">
        <v>5.50000000006</v>
      </c>
      <c r="EB202" s="251">
        <v>5.50000000007</v>
      </c>
      <c r="EC202" s="251">
        <v>4.00000000008</v>
      </c>
      <c r="ED202" s="344">
        <f t="shared" si="450"/>
        <v>7.00000000001</v>
      </c>
      <c r="EE202" s="344">
        <f t="shared" si="451"/>
        <v>4.00000000002</v>
      </c>
      <c r="EF202" s="344">
        <f t="shared" si="452"/>
        <v>4.00000000003</v>
      </c>
      <c r="EG202" s="344">
        <f t="shared" si="453"/>
        <v>8.50000000004</v>
      </c>
      <c r="EH202" s="344">
        <f t="shared" si="454"/>
        <v>5.0000000000000002E-11</v>
      </c>
      <c r="EI202" s="344">
        <f t="shared" si="455"/>
        <v>5.50000000006</v>
      </c>
      <c r="EJ202" s="344">
        <f t="shared" si="456"/>
        <v>5.50000000007</v>
      </c>
      <c r="EK202" s="344">
        <f t="shared" si="457"/>
        <v>4.00000000008</v>
      </c>
      <c r="EL202" s="344" t="b">
        <f t="shared" si="502"/>
        <v>1</v>
      </c>
      <c r="EM202" s="344" t="b">
        <f t="shared" si="503"/>
        <v>0</v>
      </c>
      <c r="EN202" s="344" t="b">
        <f t="shared" si="504"/>
        <v>0</v>
      </c>
      <c r="EO202" s="344" t="b">
        <f t="shared" si="505"/>
        <v>1</v>
      </c>
      <c r="EP202" s="344" t="b">
        <f t="shared" si="506"/>
        <v>0</v>
      </c>
      <c r="EQ202" s="344" t="b">
        <f t="shared" si="507"/>
        <v>1</v>
      </c>
      <c r="ER202" s="344" t="b">
        <f t="shared" si="508"/>
        <v>1</v>
      </c>
      <c r="ES202" s="344" t="b">
        <f t="shared" si="509"/>
        <v>1</v>
      </c>
    </row>
    <row r="203" spans="1:149" s="251" customFormat="1" x14ac:dyDescent="0.3">
      <c r="A203" s="251" t="s">
        <v>1047</v>
      </c>
      <c r="B203" s="251" t="s">
        <v>2247</v>
      </c>
      <c r="C203" s="251" t="s">
        <v>2216</v>
      </c>
      <c r="D203" s="251" t="s">
        <v>1050</v>
      </c>
      <c r="E203" s="344" t="s">
        <v>1977</v>
      </c>
      <c r="F203" s="344">
        <f t="shared" si="441"/>
        <v>30.000000000229999</v>
      </c>
      <c r="G203" s="344">
        <f t="shared" si="510"/>
        <v>29.250000000229999</v>
      </c>
      <c r="H203" s="344">
        <f t="shared" si="511"/>
        <v>28.250000000229999</v>
      </c>
      <c r="I203" s="251" t="s">
        <v>1970</v>
      </c>
      <c r="J203" s="251" t="s">
        <v>1970</v>
      </c>
      <c r="K203" s="344" t="s">
        <v>3114</v>
      </c>
      <c r="L203" s="251" t="s">
        <v>1970</v>
      </c>
      <c r="M203" s="251" t="s">
        <v>1970</v>
      </c>
      <c r="N203" s="344" t="s">
        <v>1978</v>
      </c>
      <c r="O203" s="344" t="s">
        <v>1978</v>
      </c>
      <c r="P203" s="344" t="s">
        <v>1978</v>
      </c>
      <c r="Q203" s="344" t="s">
        <v>1978</v>
      </c>
      <c r="R203" s="344" t="s">
        <v>1978</v>
      </c>
      <c r="S203" s="344" t="s">
        <v>1978</v>
      </c>
      <c r="T203" s="251" t="s">
        <v>1048</v>
      </c>
      <c r="U203" s="251" t="s">
        <v>2165</v>
      </c>
      <c r="V203" s="251" t="s">
        <v>1970</v>
      </c>
      <c r="W203" s="251" t="s">
        <v>1970</v>
      </c>
      <c r="X203" s="344">
        <f>'A123'!J211</f>
        <v>38</v>
      </c>
      <c r="Y203" s="344">
        <f>'A123'!K211</f>
        <v>38</v>
      </c>
      <c r="Z203" s="344">
        <f>'A123'!L211</f>
        <v>7.666666666666667</v>
      </c>
      <c r="AA203" s="344" t="s">
        <v>2165</v>
      </c>
      <c r="AB203" s="344" t="str">
        <f>入學要求!X212</f>
        <v>/</v>
      </c>
      <c r="AC203" s="344" t="str">
        <f>入學要求!Y212</f>
        <v>/</v>
      </c>
      <c r="AD203" s="344" t="s">
        <v>1977</v>
      </c>
      <c r="AE203" s="344" t="s">
        <v>1970</v>
      </c>
      <c r="AF203" s="344" t="s">
        <v>1970</v>
      </c>
      <c r="AG203" s="344" t="s">
        <v>3114</v>
      </c>
      <c r="AH203" s="344" t="s">
        <v>1970</v>
      </c>
      <c r="AI203" s="344" t="s">
        <v>1970</v>
      </c>
      <c r="AJ203" s="344" t="s">
        <v>1970</v>
      </c>
      <c r="AK203" s="251" t="s">
        <v>1970</v>
      </c>
      <c r="AL203" s="344" t="s">
        <v>1970</v>
      </c>
      <c r="AM203" s="344" t="s">
        <v>1970</v>
      </c>
      <c r="AN203" s="344" t="s">
        <v>1970</v>
      </c>
      <c r="AO203" s="344" t="s">
        <v>1970</v>
      </c>
      <c r="AP203" s="251" t="s">
        <v>1970</v>
      </c>
      <c r="AQ203" s="344" t="s">
        <v>1970</v>
      </c>
      <c r="AR203" s="428" t="s">
        <v>2150</v>
      </c>
      <c r="AS203" s="251" t="s">
        <v>3603</v>
      </c>
      <c r="AT203" s="251" t="s">
        <v>3668</v>
      </c>
      <c r="AU203" s="251" t="s">
        <v>1970</v>
      </c>
      <c r="AV203" s="344" t="s">
        <v>3735</v>
      </c>
      <c r="AW203" s="344" t="s">
        <v>3736</v>
      </c>
      <c r="AX203" s="344" t="s">
        <v>3800</v>
      </c>
      <c r="AY203" s="344" t="s">
        <v>3722</v>
      </c>
      <c r="AZ203" s="344" t="s">
        <v>3737</v>
      </c>
      <c r="BA203" s="381" t="s">
        <v>3725</v>
      </c>
      <c r="BB203" s="344">
        <v>1</v>
      </c>
      <c r="BC203" s="251">
        <v>1.5</v>
      </c>
      <c r="BD203" s="251">
        <v>1</v>
      </c>
      <c r="BE203" s="251">
        <v>1.5</v>
      </c>
      <c r="BF203" s="251">
        <v>1</v>
      </c>
      <c r="BG203" s="344">
        <v>1</v>
      </c>
      <c r="BH203" s="344">
        <v>1</v>
      </c>
      <c r="BI203" s="344">
        <v>1</v>
      </c>
      <c r="BJ203" s="251">
        <v>7.00000000001</v>
      </c>
      <c r="BK203" s="251">
        <v>5.50000000002</v>
      </c>
      <c r="BL203" s="251">
        <v>3.00000000003</v>
      </c>
      <c r="BM203" s="251">
        <v>4.00000000004</v>
      </c>
      <c r="BN203" s="251">
        <v>5.0000000000000002E-11</v>
      </c>
      <c r="BO203" s="251">
        <v>4.00000000006</v>
      </c>
      <c r="BP203" s="251">
        <v>3.00000000007</v>
      </c>
      <c r="BQ203" s="251">
        <v>7.9999999999999995E-11</v>
      </c>
      <c r="BR203" s="344">
        <f t="shared" si="466"/>
        <v>7.00000000001</v>
      </c>
      <c r="BS203" s="344">
        <f t="shared" si="442"/>
        <v>8.2500000000299991</v>
      </c>
      <c r="BT203" s="344">
        <f t="shared" si="443"/>
        <v>3.00000000003</v>
      </c>
      <c r="BU203" s="344">
        <f t="shared" si="444"/>
        <v>6.00000000006</v>
      </c>
      <c r="BV203" s="344">
        <f t="shared" si="445"/>
        <v>5.0000000000000002E-11</v>
      </c>
      <c r="BW203" s="344">
        <f t="shared" si="446"/>
        <v>4.00000000006</v>
      </c>
      <c r="BX203" s="344">
        <f t="shared" si="447"/>
        <v>3.00000000007</v>
      </c>
      <c r="BY203" s="344">
        <f t="shared" si="448"/>
        <v>7.9999999999999995E-11</v>
      </c>
      <c r="BZ203" s="344" t="b">
        <f t="shared" si="486"/>
        <v>1</v>
      </c>
      <c r="CA203" s="344" t="b">
        <f t="shared" si="487"/>
        <v>1</v>
      </c>
      <c r="CB203" s="344" t="b">
        <f t="shared" si="488"/>
        <v>0</v>
      </c>
      <c r="CC203" s="344" t="b">
        <f t="shared" si="489"/>
        <v>1</v>
      </c>
      <c r="CD203" s="344" t="b">
        <f t="shared" si="490"/>
        <v>0</v>
      </c>
      <c r="CE203" s="344" t="b">
        <f t="shared" si="491"/>
        <v>1</v>
      </c>
      <c r="CF203" s="344" t="b">
        <f t="shared" si="492"/>
        <v>1</v>
      </c>
      <c r="CG203" s="344" t="b">
        <f t="shared" si="493"/>
        <v>0</v>
      </c>
      <c r="CH203" s="344">
        <v>1</v>
      </c>
      <c r="CI203" s="344">
        <v>1.5</v>
      </c>
      <c r="CJ203" s="344">
        <v>1</v>
      </c>
      <c r="CK203" s="344">
        <v>1.5</v>
      </c>
      <c r="CL203" s="344">
        <v>1</v>
      </c>
      <c r="CM203" s="344">
        <v>1</v>
      </c>
      <c r="CN203" s="344">
        <v>1</v>
      </c>
      <c r="CO203" s="344">
        <v>1</v>
      </c>
      <c r="CP203" s="251">
        <v>7.00000000001</v>
      </c>
      <c r="CQ203" s="251">
        <v>4.00000000002</v>
      </c>
      <c r="CR203" s="251">
        <v>4.00000000003</v>
      </c>
      <c r="CS203" s="251">
        <v>5.50000000004</v>
      </c>
      <c r="CT203" s="251">
        <v>5.0000000000000002E-11</v>
      </c>
      <c r="CU203" s="251">
        <v>4.00000000006</v>
      </c>
      <c r="CV203" s="251">
        <v>4.00000000007</v>
      </c>
      <c r="CW203" s="251">
        <v>7.9999999999999995E-11</v>
      </c>
      <c r="CX203" s="344">
        <f t="shared" si="449"/>
        <v>7.00000000001</v>
      </c>
      <c r="CY203" s="344">
        <f t="shared" ref="CY203:CY206" si="512">CQ203*CI203</f>
        <v>6.00000000003</v>
      </c>
      <c r="CZ203" s="344">
        <f t="shared" ref="CZ203:CZ206" si="513">CR203*CJ203</f>
        <v>4.00000000003</v>
      </c>
      <c r="DA203" s="344">
        <f t="shared" ref="DA203:DA206" si="514">CS203*CK203</f>
        <v>8.25000000006</v>
      </c>
      <c r="DB203" s="344">
        <f t="shared" ref="DB203:DB206" si="515">CT203*CL203</f>
        <v>5.0000000000000002E-11</v>
      </c>
      <c r="DC203" s="344">
        <f t="shared" ref="DC203:DC206" si="516">CU203*CM203</f>
        <v>4.00000000006</v>
      </c>
      <c r="DD203" s="344">
        <f t="shared" ref="DD203:DD206" si="517">CV203*CN203</f>
        <v>4.00000000007</v>
      </c>
      <c r="DE203" s="344">
        <f t="shared" ref="DE203:DE206" si="518">CW203*CO203</f>
        <v>7.9999999999999995E-11</v>
      </c>
      <c r="DF203" s="344" t="b">
        <f t="shared" si="494"/>
        <v>1</v>
      </c>
      <c r="DG203" s="344" t="b">
        <f t="shared" si="495"/>
        <v>1</v>
      </c>
      <c r="DH203" s="344" t="b">
        <f t="shared" si="496"/>
        <v>0</v>
      </c>
      <c r="DI203" s="344" t="b">
        <f t="shared" si="497"/>
        <v>1</v>
      </c>
      <c r="DJ203" s="344" t="b">
        <f t="shared" si="498"/>
        <v>0</v>
      </c>
      <c r="DK203" s="344" t="b">
        <f t="shared" si="499"/>
        <v>1</v>
      </c>
      <c r="DL203" s="344" t="b">
        <f t="shared" si="500"/>
        <v>1</v>
      </c>
      <c r="DM203" s="344" t="b">
        <f t="shared" si="501"/>
        <v>0</v>
      </c>
      <c r="DN203" s="344">
        <v>1</v>
      </c>
      <c r="DO203" s="344">
        <v>1.5</v>
      </c>
      <c r="DP203" s="344">
        <v>1</v>
      </c>
      <c r="DQ203" s="344">
        <v>1.5</v>
      </c>
      <c r="DR203" s="344">
        <v>1</v>
      </c>
      <c r="DS203" s="344">
        <v>1</v>
      </c>
      <c r="DT203" s="344">
        <v>1</v>
      </c>
      <c r="DU203" s="344">
        <v>1</v>
      </c>
      <c r="DV203" s="251">
        <v>7.00000000001</v>
      </c>
      <c r="DW203" s="251">
        <v>3.00000000002</v>
      </c>
      <c r="DX203" s="251">
        <v>4.00000000003</v>
      </c>
      <c r="DY203" s="251">
        <v>7.00000000004</v>
      </c>
      <c r="DZ203" s="251">
        <v>5.0000000000000002E-11</v>
      </c>
      <c r="EA203" s="251">
        <v>4.00000000006</v>
      </c>
      <c r="EB203" s="251">
        <v>4.00000000007</v>
      </c>
      <c r="EC203" s="251">
        <v>7.9999999999999995E-11</v>
      </c>
      <c r="ED203" s="344">
        <f t="shared" si="450"/>
        <v>7.00000000001</v>
      </c>
      <c r="EE203" s="344">
        <f t="shared" si="451"/>
        <v>4.50000000003</v>
      </c>
      <c r="EF203" s="344">
        <f t="shared" si="452"/>
        <v>4.00000000003</v>
      </c>
      <c r="EG203" s="344">
        <f t="shared" si="453"/>
        <v>10.50000000006</v>
      </c>
      <c r="EH203" s="344">
        <f t="shared" si="454"/>
        <v>5.0000000000000002E-11</v>
      </c>
      <c r="EI203" s="344">
        <f t="shared" si="455"/>
        <v>4.00000000006</v>
      </c>
      <c r="EJ203" s="344">
        <f t="shared" si="456"/>
        <v>4.00000000007</v>
      </c>
      <c r="EK203" s="344">
        <f t="shared" si="457"/>
        <v>7.9999999999999995E-11</v>
      </c>
      <c r="EL203" s="344" t="b">
        <f t="shared" si="502"/>
        <v>1</v>
      </c>
      <c r="EM203" s="344" t="b">
        <f t="shared" si="503"/>
        <v>1</v>
      </c>
      <c r="EN203" s="344" t="b">
        <f t="shared" si="504"/>
        <v>0</v>
      </c>
      <c r="EO203" s="344" t="b">
        <f t="shared" si="505"/>
        <v>1</v>
      </c>
      <c r="EP203" s="344" t="b">
        <f t="shared" si="506"/>
        <v>0</v>
      </c>
      <c r="EQ203" s="344" t="b">
        <f t="shared" si="507"/>
        <v>1</v>
      </c>
      <c r="ER203" s="344" t="b">
        <f t="shared" si="508"/>
        <v>1</v>
      </c>
      <c r="ES203" s="344" t="b">
        <f t="shared" si="509"/>
        <v>0</v>
      </c>
    </row>
    <row r="204" spans="1:149" s="251" customFormat="1" x14ac:dyDescent="0.3">
      <c r="A204" s="251" t="s">
        <v>1052</v>
      </c>
      <c r="B204" s="251" t="s">
        <v>2247</v>
      </c>
      <c r="C204" s="251" t="s">
        <v>2216</v>
      </c>
      <c r="D204" s="251" t="s">
        <v>1055</v>
      </c>
      <c r="E204" s="344" t="s">
        <v>1977</v>
      </c>
      <c r="F204" s="344">
        <f t="shared" ref="F204:F206" si="519">SUMIF(EL204:ES204,TRUE,ED204:EK204)</f>
        <v>32.500000000230003</v>
      </c>
      <c r="G204" s="344">
        <f t="shared" si="510"/>
        <v>29.500000000209997</v>
      </c>
      <c r="H204" s="344">
        <f t="shared" si="511"/>
        <v>25.000000000209997</v>
      </c>
      <c r="I204" s="251" t="s">
        <v>1970</v>
      </c>
      <c r="J204" s="251" t="s">
        <v>1970</v>
      </c>
      <c r="K204" s="344" t="s">
        <v>2685</v>
      </c>
      <c r="L204" s="251" t="s">
        <v>1970</v>
      </c>
      <c r="M204" s="251" t="s">
        <v>1970</v>
      </c>
      <c r="N204" s="344" t="s">
        <v>1978</v>
      </c>
      <c r="O204" s="344" t="s">
        <v>1978</v>
      </c>
      <c r="P204" s="344" t="s">
        <v>1978</v>
      </c>
      <c r="Q204" s="344" t="s">
        <v>1978</v>
      </c>
      <c r="R204" s="344" t="s">
        <v>1978</v>
      </c>
      <c r="S204" s="344" t="s">
        <v>1978</v>
      </c>
      <c r="T204" s="251" t="s">
        <v>1053</v>
      </c>
      <c r="U204" s="251" t="s">
        <v>2165</v>
      </c>
      <c r="V204" s="251" t="s">
        <v>1970</v>
      </c>
      <c r="W204" s="251" t="s">
        <v>1970</v>
      </c>
      <c r="X204" s="344">
        <f>'A123'!J212</f>
        <v>19</v>
      </c>
      <c r="Y204" s="344">
        <f>'A123'!K212</f>
        <v>19</v>
      </c>
      <c r="Z204" s="344">
        <f>'A123'!L212</f>
        <v>3.0526315789473686</v>
      </c>
      <c r="AA204" s="344" t="s">
        <v>2165</v>
      </c>
      <c r="AB204" s="344" t="str">
        <f>入學要求!X213</f>
        <v>/</v>
      </c>
      <c r="AC204" s="344" t="str">
        <f>入學要求!Y213</f>
        <v>/</v>
      </c>
      <c r="AD204" s="344" t="s">
        <v>1977</v>
      </c>
      <c r="AE204" s="344" t="s">
        <v>1970</v>
      </c>
      <c r="AF204" s="344" t="s">
        <v>1970</v>
      </c>
      <c r="AG204" s="344" t="s">
        <v>2685</v>
      </c>
      <c r="AH204" s="344" t="s">
        <v>1970</v>
      </c>
      <c r="AI204" s="344" t="s">
        <v>1970</v>
      </c>
      <c r="AJ204" s="344" t="s">
        <v>1970</v>
      </c>
      <c r="AK204" s="251" t="s">
        <v>1970</v>
      </c>
      <c r="AL204" s="251" t="s">
        <v>1970</v>
      </c>
      <c r="AM204" s="251" t="s">
        <v>1970</v>
      </c>
      <c r="AN204" s="251" t="s">
        <v>1970</v>
      </c>
      <c r="AO204" s="251" t="s">
        <v>1970</v>
      </c>
      <c r="AP204" s="251" t="s">
        <v>1970</v>
      </c>
      <c r="AQ204" s="344" t="s">
        <v>1970</v>
      </c>
      <c r="AR204" s="428" t="s">
        <v>2150</v>
      </c>
      <c r="AS204" s="251" t="s">
        <v>3608</v>
      </c>
      <c r="AT204" s="251" t="s">
        <v>1970</v>
      </c>
      <c r="AU204" s="251" t="s">
        <v>1970</v>
      </c>
      <c r="AV204" s="344" t="s">
        <v>3735</v>
      </c>
      <c r="AW204" s="344" t="s">
        <v>3736</v>
      </c>
      <c r="AX204" s="344" t="s">
        <v>3801</v>
      </c>
      <c r="AY204" s="344" t="s">
        <v>3722</v>
      </c>
      <c r="AZ204" s="344" t="s">
        <v>3737</v>
      </c>
      <c r="BA204" s="381" t="s">
        <v>3725</v>
      </c>
      <c r="BB204" s="344">
        <v>1</v>
      </c>
      <c r="BC204" s="251">
        <v>1.5</v>
      </c>
      <c r="BD204" s="251">
        <v>1</v>
      </c>
      <c r="BE204" s="251">
        <v>1</v>
      </c>
      <c r="BF204" s="251">
        <v>1</v>
      </c>
      <c r="BG204" s="344">
        <v>1</v>
      </c>
      <c r="BH204" s="344">
        <v>1</v>
      </c>
      <c r="BI204" s="344">
        <v>1</v>
      </c>
      <c r="BJ204" s="251">
        <v>5.50000000001</v>
      </c>
      <c r="BK204" s="251">
        <v>4.00000000002</v>
      </c>
      <c r="BL204" s="251">
        <v>4.00000000003</v>
      </c>
      <c r="BM204" s="251">
        <v>5.50000000004</v>
      </c>
      <c r="BN204" s="251">
        <v>5.0000000000000002E-11</v>
      </c>
      <c r="BO204" s="251">
        <v>4.00000000006</v>
      </c>
      <c r="BP204" s="251">
        <v>4.00000000007</v>
      </c>
      <c r="BQ204" s="251">
        <v>7.9999999999999995E-11</v>
      </c>
      <c r="BR204" s="344">
        <f t="shared" si="466"/>
        <v>5.50000000001</v>
      </c>
      <c r="BS204" s="344">
        <f t="shared" ref="BS204:BS206" si="520">BC204*BK204</f>
        <v>6.00000000003</v>
      </c>
      <c r="BT204" s="344">
        <f t="shared" ref="BT204:BT206" si="521">BD204*BL204</f>
        <v>4.00000000003</v>
      </c>
      <c r="BU204" s="344">
        <f t="shared" ref="BU204:BU206" si="522">BE204*BM204</f>
        <v>5.50000000004</v>
      </c>
      <c r="BV204" s="344">
        <f t="shared" ref="BV204:BV206" si="523">BF204*BN204</f>
        <v>5.0000000000000002E-11</v>
      </c>
      <c r="BW204" s="344">
        <f t="shared" ref="BW204:BW206" si="524">BG204*BO204</f>
        <v>4.00000000006</v>
      </c>
      <c r="BX204" s="344">
        <f t="shared" ref="BX204:BX206" si="525">BH204*BP204</f>
        <v>4.00000000007</v>
      </c>
      <c r="BY204" s="344">
        <f t="shared" ref="BY204:BY206" si="526">BI204*BQ204</f>
        <v>7.9999999999999995E-11</v>
      </c>
      <c r="BZ204" s="344" t="b">
        <f t="shared" si="486"/>
        <v>1</v>
      </c>
      <c r="CA204" s="344" t="b">
        <f t="shared" si="487"/>
        <v>1</v>
      </c>
      <c r="CB204" s="344" t="b">
        <f t="shared" si="488"/>
        <v>0</v>
      </c>
      <c r="CC204" s="344" t="b">
        <f t="shared" si="489"/>
        <v>1</v>
      </c>
      <c r="CD204" s="344" t="b">
        <f t="shared" si="490"/>
        <v>0</v>
      </c>
      <c r="CE204" s="344" t="b">
        <f t="shared" si="491"/>
        <v>1</v>
      </c>
      <c r="CF204" s="344" t="b">
        <f t="shared" si="492"/>
        <v>1</v>
      </c>
      <c r="CG204" s="344" t="b">
        <f t="shared" si="493"/>
        <v>0</v>
      </c>
      <c r="CH204" s="344">
        <v>1</v>
      </c>
      <c r="CI204" s="344">
        <v>1.5</v>
      </c>
      <c r="CJ204" s="344">
        <v>1</v>
      </c>
      <c r="CK204" s="344">
        <v>1</v>
      </c>
      <c r="CL204" s="344">
        <v>1</v>
      </c>
      <c r="CM204" s="344">
        <v>1</v>
      </c>
      <c r="CN204" s="344">
        <v>1</v>
      </c>
      <c r="CO204" s="344">
        <v>1</v>
      </c>
      <c r="CP204" s="251">
        <v>7.00000000001</v>
      </c>
      <c r="CQ204" s="251">
        <v>3.00000000002</v>
      </c>
      <c r="CR204" s="251">
        <v>3.00000000003</v>
      </c>
      <c r="CS204" s="251">
        <v>7.00000000004</v>
      </c>
      <c r="CT204" s="251">
        <v>5.0000000000000002E-11</v>
      </c>
      <c r="CU204" s="251">
        <v>5.50000000006</v>
      </c>
      <c r="CV204" s="251">
        <v>5.50000000007</v>
      </c>
      <c r="CW204" s="251">
        <v>7.9999999999999995E-11</v>
      </c>
      <c r="CX204" s="344">
        <f t="shared" ref="CX204:CX206" si="527">CP204*CH204</f>
        <v>7.00000000001</v>
      </c>
      <c r="CY204" s="344">
        <f t="shared" si="512"/>
        <v>4.50000000003</v>
      </c>
      <c r="CZ204" s="344">
        <f t="shared" si="513"/>
        <v>3.00000000003</v>
      </c>
      <c r="DA204" s="344">
        <f t="shared" si="514"/>
        <v>7.00000000004</v>
      </c>
      <c r="DB204" s="344">
        <f t="shared" si="515"/>
        <v>5.0000000000000002E-11</v>
      </c>
      <c r="DC204" s="344">
        <f t="shared" si="516"/>
        <v>5.50000000006</v>
      </c>
      <c r="DD204" s="344">
        <f t="shared" si="517"/>
        <v>5.50000000007</v>
      </c>
      <c r="DE204" s="344">
        <f t="shared" si="518"/>
        <v>7.9999999999999995E-11</v>
      </c>
      <c r="DF204" s="344" t="b">
        <f t="shared" si="494"/>
        <v>1</v>
      </c>
      <c r="DG204" s="344" t="b">
        <f t="shared" si="495"/>
        <v>1</v>
      </c>
      <c r="DH204" s="344" t="b">
        <f t="shared" si="496"/>
        <v>0</v>
      </c>
      <c r="DI204" s="344" t="b">
        <f t="shared" si="497"/>
        <v>1</v>
      </c>
      <c r="DJ204" s="344" t="b">
        <f t="shared" si="498"/>
        <v>0</v>
      </c>
      <c r="DK204" s="344" t="b">
        <f t="shared" si="499"/>
        <v>1</v>
      </c>
      <c r="DL204" s="344" t="b">
        <f t="shared" si="500"/>
        <v>1</v>
      </c>
      <c r="DM204" s="344" t="b">
        <f t="shared" si="501"/>
        <v>0</v>
      </c>
      <c r="DN204" s="344">
        <v>1</v>
      </c>
      <c r="DO204" s="344">
        <v>1.5</v>
      </c>
      <c r="DP204" s="344">
        <v>1</v>
      </c>
      <c r="DQ204" s="344">
        <v>1</v>
      </c>
      <c r="DR204" s="344">
        <v>1</v>
      </c>
      <c r="DS204" s="344">
        <v>1</v>
      </c>
      <c r="DT204" s="344">
        <v>1</v>
      </c>
      <c r="DU204" s="344">
        <v>1</v>
      </c>
      <c r="DV204" s="251">
        <v>3.00000000001</v>
      </c>
      <c r="DW204" s="251">
        <v>4.00000000002</v>
      </c>
      <c r="DX204" s="251">
        <v>5.50000000003</v>
      </c>
      <c r="DY204" s="251">
        <v>5.50000000004</v>
      </c>
      <c r="DZ204" s="251">
        <v>5.0000000000000002E-11</v>
      </c>
      <c r="EA204" s="251">
        <v>8.50000000006</v>
      </c>
      <c r="EB204" s="251">
        <v>7.00000000007</v>
      </c>
      <c r="EC204" s="251">
        <v>3.00000000008</v>
      </c>
      <c r="ED204" s="344">
        <f t="shared" ref="ED204:ED206" si="528">DV204*DN204</f>
        <v>3.00000000001</v>
      </c>
      <c r="EE204" s="344">
        <f t="shared" ref="EE204:EE206" si="529">DW204*DO204</f>
        <v>6.00000000003</v>
      </c>
      <c r="EF204" s="344">
        <f t="shared" ref="EF204:EF206" si="530">DX204*DP204</f>
        <v>5.50000000003</v>
      </c>
      <c r="EG204" s="344">
        <f t="shared" ref="EG204:EG206" si="531">DY204*DQ204</f>
        <v>5.50000000004</v>
      </c>
      <c r="EH204" s="344">
        <f t="shared" ref="EH204:EH206" si="532">DZ204*DR204</f>
        <v>5.0000000000000002E-11</v>
      </c>
      <c r="EI204" s="344">
        <f t="shared" ref="EI204:EI206" si="533">EA204*DS204</f>
        <v>8.50000000006</v>
      </c>
      <c r="EJ204" s="344">
        <f t="shared" ref="EJ204:EJ206" si="534">EB204*DT204</f>
        <v>7.00000000007</v>
      </c>
      <c r="EK204" s="344">
        <f t="shared" ref="EK204:EK206" si="535">EC204*DU204</f>
        <v>3.00000000008</v>
      </c>
      <c r="EL204" s="344" t="b">
        <f t="shared" si="502"/>
        <v>0</v>
      </c>
      <c r="EM204" s="344" t="b">
        <f t="shared" si="503"/>
        <v>1</v>
      </c>
      <c r="EN204" s="344" t="b">
        <f t="shared" si="504"/>
        <v>1</v>
      </c>
      <c r="EO204" s="344" t="b">
        <f t="shared" si="505"/>
        <v>1</v>
      </c>
      <c r="EP204" s="344" t="b">
        <f t="shared" si="506"/>
        <v>0</v>
      </c>
      <c r="EQ204" s="344" t="b">
        <f t="shared" si="507"/>
        <v>1</v>
      </c>
      <c r="ER204" s="344" t="b">
        <f t="shared" si="508"/>
        <v>1</v>
      </c>
      <c r="ES204" s="344" t="b">
        <f t="shared" si="509"/>
        <v>0</v>
      </c>
    </row>
    <row r="205" spans="1:149" s="251" customFormat="1" x14ac:dyDescent="0.3">
      <c r="A205" s="251" t="s">
        <v>1057</v>
      </c>
      <c r="B205" s="251" t="s">
        <v>2247</v>
      </c>
      <c r="C205" s="251" t="s">
        <v>2216</v>
      </c>
      <c r="D205" s="251" t="s">
        <v>1060</v>
      </c>
      <c r="E205" s="344" t="s">
        <v>2171</v>
      </c>
      <c r="F205" s="344">
        <f t="shared" si="519"/>
        <v>27.500000000250001</v>
      </c>
      <c r="G205" s="344">
        <f t="shared" si="510"/>
        <v>26.000000000250001</v>
      </c>
      <c r="H205" s="344">
        <f t="shared" si="511"/>
        <v>25.000000000250001</v>
      </c>
      <c r="I205" s="251" t="s">
        <v>1970</v>
      </c>
      <c r="J205" s="251" t="s">
        <v>1970</v>
      </c>
      <c r="K205" s="251" t="s">
        <v>1970</v>
      </c>
      <c r="L205" s="251" t="s">
        <v>1970</v>
      </c>
      <c r="M205" s="251" t="s">
        <v>1970</v>
      </c>
      <c r="N205" s="344" t="s">
        <v>1978</v>
      </c>
      <c r="O205" s="344" t="s">
        <v>1978</v>
      </c>
      <c r="P205" s="344" t="s">
        <v>1978</v>
      </c>
      <c r="Q205" s="344" t="s">
        <v>1978</v>
      </c>
      <c r="R205" s="344" t="s">
        <v>1978</v>
      </c>
      <c r="S205" s="344" t="s">
        <v>1978</v>
      </c>
      <c r="T205" s="251" t="s">
        <v>1058</v>
      </c>
      <c r="U205" s="251" t="s">
        <v>2165</v>
      </c>
      <c r="V205" s="251" t="s">
        <v>1970</v>
      </c>
      <c r="W205" s="251" t="s">
        <v>1970</v>
      </c>
      <c r="X205" s="344">
        <f>'A123'!J213</f>
        <v>19</v>
      </c>
      <c r="Y205" s="344">
        <f>'A123'!K213</f>
        <v>18</v>
      </c>
      <c r="Z205" s="344">
        <f>'A123'!L213</f>
        <v>3.1111111111111112</v>
      </c>
      <c r="AA205" s="344" t="s">
        <v>2165</v>
      </c>
      <c r="AB205" s="344" t="str">
        <f>入學要求!X214</f>
        <v>/</v>
      </c>
      <c r="AC205" s="344" t="str">
        <f>入學要求!Y214</f>
        <v>/</v>
      </c>
      <c r="AD205" s="344" t="s">
        <v>2171</v>
      </c>
      <c r="AE205" s="344" t="s">
        <v>1970</v>
      </c>
      <c r="AF205" s="344" t="s">
        <v>1970</v>
      </c>
      <c r="AG205" s="344" t="s">
        <v>1970</v>
      </c>
      <c r="AH205" s="344" t="s">
        <v>1970</v>
      </c>
      <c r="AI205" s="344" t="s">
        <v>1970</v>
      </c>
      <c r="AJ205" s="344" t="s">
        <v>1970</v>
      </c>
      <c r="AK205" s="251" t="s">
        <v>1970</v>
      </c>
      <c r="AL205" s="251" t="s">
        <v>1970</v>
      </c>
      <c r="AM205" s="251" t="s">
        <v>1970</v>
      </c>
      <c r="AN205" s="251" t="s">
        <v>1970</v>
      </c>
      <c r="AO205" s="251" t="s">
        <v>1970</v>
      </c>
      <c r="AP205" s="251" t="s">
        <v>1970</v>
      </c>
      <c r="AQ205" s="344" t="s">
        <v>1970</v>
      </c>
      <c r="AR205" s="428" t="s">
        <v>2150</v>
      </c>
      <c r="AS205" s="251" t="s">
        <v>3608</v>
      </c>
      <c r="AT205" s="251" t="s">
        <v>1970</v>
      </c>
      <c r="AU205" s="251" t="s">
        <v>1970</v>
      </c>
      <c r="AV205" s="344" t="s">
        <v>3735</v>
      </c>
      <c r="AW205" s="344" t="s">
        <v>3736</v>
      </c>
      <c r="AX205" s="344" t="s">
        <v>3802</v>
      </c>
      <c r="AY205" s="344" t="s">
        <v>3722</v>
      </c>
      <c r="AZ205" s="344" t="s">
        <v>3737</v>
      </c>
      <c r="BA205" s="381" t="s">
        <v>3725</v>
      </c>
      <c r="BB205" s="344">
        <v>1</v>
      </c>
      <c r="BC205" s="251">
        <v>1</v>
      </c>
      <c r="BD205" s="251">
        <v>1</v>
      </c>
      <c r="BE205" s="251">
        <v>1</v>
      </c>
      <c r="BF205" s="251">
        <v>1</v>
      </c>
      <c r="BG205" s="344">
        <v>1</v>
      </c>
      <c r="BH205" s="344">
        <v>1</v>
      </c>
      <c r="BI205" s="344">
        <v>1</v>
      </c>
      <c r="BJ205" s="251">
        <v>3.00000000001</v>
      </c>
      <c r="BK205" s="251">
        <v>3.00000000002</v>
      </c>
      <c r="BL205" s="251">
        <v>7.00000000003</v>
      </c>
      <c r="BM205" s="251">
        <v>3.00000000004</v>
      </c>
      <c r="BN205" s="251">
        <v>5.50000000005</v>
      </c>
      <c r="BO205" s="251">
        <v>5.50000000006</v>
      </c>
      <c r="BP205" s="251">
        <v>4.00000000007</v>
      </c>
      <c r="BQ205" s="251">
        <v>7.9999999999999995E-11</v>
      </c>
      <c r="BR205" s="344">
        <f t="shared" si="466"/>
        <v>3.00000000001</v>
      </c>
      <c r="BS205" s="344">
        <f t="shared" si="520"/>
        <v>3.00000000002</v>
      </c>
      <c r="BT205" s="344">
        <f t="shared" si="521"/>
        <v>7.00000000003</v>
      </c>
      <c r="BU205" s="344">
        <f t="shared" si="522"/>
        <v>3.00000000004</v>
      </c>
      <c r="BV205" s="344">
        <f t="shared" si="523"/>
        <v>5.50000000005</v>
      </c>
      <c r="BW205" s="344">
        <f t="shared" si="524"/>
        <v>5.50000000006</v>
      </c>
      <c r="BX205" s="344">
        <f t="shared" si="525"/>
        <v>4.00000000007</v>
      </c>
      <c r="BY205" s="344">
        <f t="shared" si="526"/>
        <v>7.9999999999999995E-11</v>
      </c>
      <c r="BZ205" s="344" t="b">
        <f t="shared" si="486"/>
        <v>0</v>
      </c>
      <c r="CA205" s="344" t="b">
        <f t="shared" si="487"/>
        <v>0</v>
      </c>
      <c r="CB205" s="344" t="b">
        <f t="shared" si="488"/>
        <v>1</v>
      </c>
      <c r="CC205" s="344" t="b">
        <f t="shared" si="489"/>
        <v>1</v>
      </c>
      <c r="CD205" s="344" t="b">
        <f t="shared" si="490"/>
        <v>1</v>
      </c>
      <c r="CE205" s="344" t="b">
        <f t="shared" si="491"/>
        <v>1</v>
      </c>
      <c r="CF205" s="344" t="b">
        <f t="shared" si="492"/>
        <v>1</v>
      </c>
      <c r="CG205" s="344" t="b">
        <f t="shared" si="493"/>
        <v>0</v>
      </c>
      <c r="CH205" s="344">
        <v>1</v>
      </c>
      <c r="CI205" s="344">
        <v>1</v>
      </c>
      <c r="CJ205" s="344">
        <v>1</v>
      </c>
      <c r="CK205" s="344">
        <v>1</v>
      </c>
      <c r="CL205" s="344">
        <v>1</v>
      </c>
      <c r="CM205" s="344">
        <v>1</v>
      </c>
      <c r="CN205" s="344">
        <v>1</v>
      </c>
      <c r="CO205" s="344">
        <v>1</v>
      </c>
      <c r="CP205" s="251">
        <v>4.00000000001</v>
      </c>
      <c r="CQ205" s="251">
        <v>4.00000000002</v>
      </c>
      <c r="CR205" s="251">
        <v>7.00000000003</v>
      </c>
      <c r="CS205" s="251">
        <v>4.00000000004</v>
      </c>
      <c r="CT205" s="251">
        <v>5.50000000005</v>
      </c>
      <c r="CU205" s="251">
        <v>5.50000000006</v>
      </c>
      <c r="CV205" s="251">
        <v>4.00000000007</v>
      </c>
      <c r="CW205" s="251">
        <v>3.00000000008</v>
      </c>
      <c r="CX205" s="344">
        <f t="shared" si="527"/>
        <v>4.00000000001</v>
      </c>
      <c r="CY205" s="344">
        <f t="shared" si="512"/>
        <v>4.00000000002</v>
      </c>
      <c r="CZ205" s="344">
        <f t="shared" si="513"/>
        <v>7.00000000003</v>
      </c>
      <c r="DA205" s="344">
        <f t="shared" si="514"/>
        <v>4.00000000004</v>
      </c>
      <c r="DB205" s="344">
        <f t="shared" si="515"/>
        <v>5.50000000005</v>
      </c>
      <c r="DC205" s="344">
        <f t="shared" si="516"/>
        <v>5.50000000006</v>
      </c>
      <c r="DD205" s="344">
        <f t="shared" si="517"/>
        <v>4.00000000007</v>
      </c>
      <c r="DE205" s="344">
        <f t="shared" si="518"/>
        <v>3.00000000008</v>
      </c>
      <c r="DF205" s="344" t="b">
        <f t="shared" si="494"/>
        <v>0</v>
      </c>
      <c r="DG205" s="344" t="b">
        <f t="shared" si="495"/>
        <v>0</v>
      </c>
      <c r="DH205" s="344" t="b">
        <f t="shared" si="496"/>
        <v>1</v>
      </c>
      <c r="DI205" s="344" t="b">
        <f t="shared" si="497"/>
        <v>1</v>
      </c>
      <c r="DJ205" s="344" t="b">
        <f t="shared" si="498"/>
        <v>1</v>
      </c>
      <c r="DK205" s="344" t="b">
        <f t="shared" si="499"/>
        <v>1</v>
      </c>
      <c r="DL205" s="344" t="b">
        <f t="shared" si="500"/>
        <v>1</v>
      </c>
      <c r="DM205" s="344" t="b">
        <f t="shared" si="501"/>
        <v>0</v>
      </c>
      <c r="DN205" s="344">
        <v>1</v>
      </c>
      <c r="DO205" s="344">
        <v>1</v>
      </c>
      <c r="DP205" s="344">
        <v>1</v>
      </c>
      <c r="DQ205" s="344">
        <v>1</v>
      </c>
      <c r="DR205" s="344">
        <v>1</v>
      </c>
      <c r="DS205" s="344">
        <v>1</v>
      </c>
      <c r="DT205" s="344">
        <v>1</v>
      </c>
      <c r="DU205" s="344">
        <v>1</v>
      </c>
      <c r="DV205" s="251">
        <v>5.50000000001</v>
      </c>
      <c r="DW205" s="251">
        <v>4.00000000002</v>
      </c>
      <c r="DX205" s="251">
        <v>5.50000000003</v>
      </c>
      <c r="DY205" s="251">
        <v>4.00000000004</v>
      </c>
      <c r="DZ205" s="251">
        <v>4.00000000005</v>
      </c>
      <c r="EA205" s="251">
        <v>7.00000000006</v>
      </c>
      <c r="EB205" s="251">
        <v>5.50000000007</v>
      </c>
      <c r="EC205" s="251">
        <v>4.00000000008</v>
      </c>
      <c r="ED205" s="344">
        <f t="shared" si="528"/>
        <v>5.50000000001</v>
      </c>
      <c r="EE205" s="344">
        <f t="shared" si="529"/>
        <v>4.00000000002</v>
      </c>
      <c r="EF205" s="344">
        <f t="shared" si="530"/>
        <v>5.50000000003</v>
      </c>
      <c r="EG205" s="344">
        <f t="shared" si="531"/>
        <v>4.00000000004</v>
      </c>
      <c r="EH205" s="344">
        <f t="shared" si="532"/>
        <v>4.00000000005</v>
      </c>
      <c r="EI205" s="344">
        <f t="shared" si="533"/>
        <v>7.00000000006</v>
      </c>
      <c r="EJ205" s="344">
        <f t="shared" si="534"/>
        <v>5.50000000007</v>
      </c>
      <c r="EK205" s="344">
        <f t="shared" si="535"/>
        <v>4.00000000008</v>
      </c>
      <c r="EL205" s="344" t="b">
        <f t="shared" si="502"/>
        <v>1</v>
      </c>
      <c r="EM205" s="344" t="b">
        <f t="shared" si="503"/>
        <v>0</v>
      </c>
      <c r="EN205" s="344" t="b">
        <f t="shared" si="504"/>
        <v>1</v>
      </c>
      <c r="EO205" s="344" t="b">
        <f t="shared" si="505"/>
        <v>0</v>
      </c>
      <c r="EP205" s="344" t="b">
        <f t="shared" si="506"/>
        <v>0</v>
      </c>
      <c r="EQ205" s="344" t="b">
        <f t="shared" si="507"/>
        <v>1</v>
      </c>
      <c r="ER205" s="344" t="b">
        <f t="shared" si="508"/>
        <v>1</v>
      </c>
      <c r="ES205" s="344" t="b">
        <f t="shared" si="509"/>
        <v>1</v>
      </c>
    </row>
    <row r="206" spans="1:149" s="251" customFormat="1" x14ac:dyDescent="0.3">
      <c r="A206" s="251" t="s">
        <v>1062</v>
      </c>
      <c r="B206" s="251" t="s">
        <v>2247</v>
      </c>
      <c r="C206" s="251" t="s">
        <v>2507</v>
      </c>
      <c r="D206" s="251" t="s">
        <v>1063</v>
      </c>
      <c r="E206" s="344" t="s">
        <v>1967</v>
      </c>
      <c r="F206" s="344">
        <f t="shared" si="519"/>
        <v>49.750000000295003</v>
      </c>
      <c r="G206" s="344">
        <f t="shared" si="510"/>
        <v>46.000000000295003</v>
      </c>
      <c r="H206" s="344">
        <f t="shared" si="511"/>
        <v>44.500000000305</v>
      </c>
      <c r="I206" s="251" t="s">
        <v>1970</v>
      </c>
      <c r="J206" s="251" t="s">
        <v>1970</v>
      </c>
      <c r="K206" s="344" t="s">
        <v>3071</v>
      </c>
      <c r="L206" s="344" t="s">
        <v>2691</v>
      </c>
      <c r="M206" s="251" t="s">
        <v>1970</v>
      </c>
      <c r="N206" s="344" t="s">
        <v>1978</v>
      </c>
      <c r="O206" s="344" t="s">
        <v>1978</v>
      </c>
      <c r="P206" s="344" t="s">
        <v>1978</v>
      </c>
      <c r="Q206" s="344" t="s">
        <v>1978</v>
      </c>
      <c r="R206" s="344" t="s">
        <v>1978</v>
      </c>
      <c r="S206" s="344" t="s">
        <v>1978</v>
      </c>
      <c r="T206" s="251" t="s">
        <v>89</v>
      </c>
      <c r="U206" s="251" t="s">
        <v>2165</v>
      </c>
      <c r="V206" s="251" t="s">
        <v>1970</v>
      </c>
      <c r="W206" s="251" t="s">
        <v>1970</v>
      </c>
      <c r="X206" s="344">
        <f>'A123'!J214</f>
        <v>73</v>
      </c>
      <c r="Y206" s="344">
        <f>'A123'!K214</f>
        <v>57</v>
      </c>
      <c r="Z206" s="344">
        <f>'A123'!L214</f>
        <v>3.5087719298245612</v>
      </c>
      <c r="AA206" s="344" t="s">
        <v>2165</v>
      </c>
      <c r="AB206" s="344" t="str">
        <f>入學要求!X215</f>
        <v>/</v>
      </c>
      <c r="AC206" s="344" t="str">
        <f>入學要求!Y215</f>
        <v>/</v>
      </c>
      <c r="AD206" s="344" t="s">
        <v>1967</v>
      </c>
      <c r="AE206" s="344" t="s">
        <v>1970</v>
      </c>
      <c r="AF206" s="344" t="s">
        <v>1970</v>
      </c>
      <c r="AG206" s="344" t="s">
        <v>3071</v>
      </c>
      <c r="AH206" s="344" t="s">
        <v>2691</v>
      </c>
      <c r="AI206" s="344" t="s">
        <v>1970</v>
      </c>
      <c r="AJ206" s="344" t="s">
        <v>1970</v>
      </c>
      <c r="AK206" s="251" t="s">
        <v>1970</v>
      </c>
      <c r="AL206" s="251" t="s">
        <v>1970</v>
      </c>
      <c r="AM206" s="251" t="s">
        <v>1970</v>
      </c>
      <c r="AN206" s="251" t="s">
        <v>1970</v>
      </c>
      <c r="AO206" s="251" t="s">
        <v>1970</v>
      </c>
      <c r="AP206" s="251" t="s">
        <v>1970</v>
      </c>
      <c r="AQ206" s="344" t="s">
        <v>1970</v>
      </c>
      <c r="AR206" s="428" t="s">
        <v>3386</v>
      </c>
      <c r="AS206" s="251" t="s">
        <v>3620</v>
      </c>
      <c r="AT206" s="251" t="s">
        <v>3669</v>
      </c>
      <c r="AU206" s="251" t="s">
        <v>3646</v>
      </c>
      <c r="AV206" s="344" t="s">
        <v>3735</v>
      </c>
      <c r="AW206" s="344" t="s">
        <v>3736</v>
      </c>
      <c r="AX206" s="344" t="s">
        <v>3803</v>
      </c>
      <c r="AY206" s="344" t="s">
        <v>3722</v>
      </c>
      <c r="AZ206" s="344" t="s">
        <v>3737</v>
      </c>
      <c r="BA206" s="381" t="s">
        <v>3725</v>
      </c>
      <c r="BB206" s="344">
        <v>1.5</v>
      </c>
      <c r="BC206" s="251">
        <v>2</v>
      </c>
      <c r="BD206" s="251">
        <v>1</v>
      </c>
      <c r="BE206" s="251">
        <v>2</v>
      </c>
      <c r="BF206" s="251">
        <v>1</v>
      </c>
      <c r="BG206" s="344">
        <v>1</v>
      </c>
      <c r="BH206" s="344">
        <v>1</v>
      </c>
      <c r="BI206" s="344">
        <v>1</v>
      </c>
      <c r="BJ206" s="251">
        <v>4.00000000001</v>
      </c>
      <c r="BK206" s="251">
        <v>5.50000000002</v>
      </c>
      <c r="BL206" s="251">
        <v>7.00000000003</v>
      </c>
      <c r="BM206" s="251">
        <v>4.00000000004</v>
      </c>
      <c r="BN206" s="251">
        <v>5.0000000000000002E-11</v>
      </c>
      <c r="BO206" s="251">
        <v>7.00000000006</v>
      </c>
      <c r="BP206" s="251">
        <v>5.50000000007</v>
      </c>
      <c r="BQ206" s="251">
        <v>5.50000000008</v>
      </c>
      <c r="BR206" s="344">
        <f t="shared" si="466"/>
        <v>6.0000000000149996</v>
      </c>
      <c r="BS206" s="344">
        <f t="shared" si="520"/>
        <v>11.00000000004</v>
      </c>
      <c r="BT206" s="344">
        <f t="shared" si="521"/>
        <v>7.00000000003</v>
      </c>
      <c r="BU206" s="344">
        <f t="shared" si="522"/>
        <v>8.00000000008</v>
      </c>
      <c r="BV206" s="344">
        <f t="shared" si="523"/>
        <v>5.0000000000000002E-11</v>
      </c>
      <c r="BW206" s="344">
        <f t="shared" si="524"/>
        <v>7.00000000006</v>
      </c>
      <c r="BX206" s="344">
        <f t="shared" si="525"/>
        <v>5.50000000007</v>
      </c>
      <c r="BY206" s="344">
        <f t="shared" si="526"/>
        <v>5.50000000008</v>
      </c>
      <c r="BZ206" s="344" t="b">
        <f t="shared" si="486"/>
        <v>1</v>
      </c>
      <c r="CA206" s="344" t="b">
        <f t="shared" si="487"/>
        <v>1</v>
      </c>
      <c r="CB206" s="344" t="b">
        <f t="shared" si="488"/>
        <v>1</v>
      </c>
      <c r="CC206" s="344" t="b">
        <f t="shared" si="489"/>
        <v>1</v>
      </c>
      <c r="CD206" s="344" t="b">
        <f t="shared" si="490"/>
        <v>0</v>
      </c>
      <c r="CE206" s="344" t="b">
        <f t="shared" si="491"/>
        <v>1</v>
      </c>
      <c r="CF206" s="344" t="b">
        <f t="shared" si="492"/>
        <v>0</v>
      </c>
      <c r="CG206" s="344" t="b">
        <f t="shared" si="493"/>
        <v>1</v>
      </c>
      <c r="CH206" s="344">
        <v>1.5</v>
      </c>
      <c r="CI206" s="344">
        <v>2</v>
      </c>
      <c r="CJ206" s="344">
        <v>1</v>
      </c>
      <c r="CK206" s="344">
        <v>2</v>
      </c>
      <c r="CL206" s="344">
        <v>1</v>
      </c>
      <c r="CM206" s="344">
        <v>1</v>
      </c>
      <c r="CN206" s="344">
        <v>1</v>
      </c>
      <c r="CO206" s="344">
        <v>1</v>
      </c>
      <c r="CP206" s="251">
        <v>4.00000000001</v>
      </c>
      <c r="CQ206" s="251">
        <v>5.50000000002</v>
      </c>
      <c r="CR206" s="251">
        <v>7.00000000003</v>
      </c>
      <c r="CS206" s="251">
        <v>4.00000000004</v>
      </c>
      <c r="CT206" s="251">
        <v>5.0000000000000002E-11</v>
      </c>
      <c r="CU206" s="251">
        <v>7.00000000006</v>
      </c>
      <c r="CV206" s="251">
        <v>7.00000000007</v>
      </c>
      <c r="CW206" s="251">
        <v>4.00000000008</v>
      </c>
      <c r="CX206" s="344">
        <f t="shared" si="527"/>
        <v>6.0000000000149996</v>
      </c>
      <c r="CY206" s="344">
        <f t="shared" si="512"/>
        <v>11.00000000004</v>
      </c>
      <c r="CZ206" s="344">
        <f t="shared" si="513"/>
        <v>7.00000000003</v>
      </c>
      <c r="DA206" s="344">
        <f t="shared" si="514"/>
        <v>8.00000000008</v>
      </c>
      <c r="DB206" s="344">
        <f t="shared" si="515"/>
        <v>5.0000000000000002E-11</v>
      </c>
      <c r="DC206" s="344">
        <f t="shared" si="516"/>
        <v>7.00000000006</v>
      </c>
      <c r="DD206" s="344">
        <f t="shared" si="517"/>
        <v>7.00000000007</v>
      </c>
      <c r="DE206" s="344">
        <f t="shared" si="518"/>
        <v>4.00000000008</v>
      </c>
      <c r="DF206" s="344" t="b">
        <f t="shared" si="494"/>
        <v>1</v>
      </c>
      <c r="DG206" s="344" t="b">
        <f t="shared" si="495"/>
        <v>1</v>
      </c>
      <c r="DH206" s="344" t="b">
        <f t="shared" si="496"/>
        <v>1</v>
      </c>
      <c r="DI206" s="344" t="b">
        <f t="shared" si="497"/>
        <v>1</v>
      </c>
      <c r="DJ206" s="344" t="b">
        <f t="shared" si="498"/>
        <v>0</v>
      </c>
      <c r="DK206" s="344" t="b">
        <f t="shared" si="499"/>
        <v>1</v>
      </c>
      <c r="DL206" s="344" t="b">
        <f t="shared" si="500"/>
        <v>1</v>
      </c>
      <c r="DM206" s="344" t="b">
        <f t="shared" si="501"/>
        <v>0</v>
      </c>
      <c r="DN206" s="344">
        <v>1.5</v>
      </c>
      <c r="DO206" s="344">
        <v>2</v>
      </c>
      <c r="DP206" s="344">
        <v>1</v>
      </c>
      <c r="DQ206" s="344">
        <v>2</v>
      </c>
      <c r="DR206" s="344">
        <v>1</v>
      </c>
      <c r="DS206" s="344">
        <v>1</v>
      </c>
      <c r="DT206" s="344">
        <v>1</v>
      </c>
      <c r="DU206" s="344">
        <v>1</v>
      </c>
      <c r="DV206" s="251">
        <v>5.50000000001</v>
      </c>
      <c r="DW206" s="251">
        <v>5.50000000002</v>
      </c>
      <c r="DX206" s="251">
        <v>4.00000000003</v>
      </c>
      <c r="DY206" s="251">
        <v>7.00000000004</v>
      </c>
      <c r="DZ206" s="251">
        <v>5.0000000000000002E-11</v>
      </c>
      <c r="EA206" s="251">
        <v>7.00000000006</v>
      </c>
      <c r="EB206" s="251">
        <v>5.50000000007</v>
      </c>
      <c r="EC206" s="251">
        <v>7.9999999999999995E-11</v>
      </c>
      <c r="ED206" s="344">
        <f t="shared" si="528"/>
        <v>8.2500000000149996</v>
      </c>
      <c r="EE206" s="344">
        <f t="shared" si="529"/>
        <v>11.00000000004</v>
      </c>
      <c r="EF206" s="344">
        <f t="shared" si="530"/>
        <v>4.00000000003</v>
      </c>
      <c r="EG206" s="344">
        <f t="shared" si="531"/>
        <v>14.00000000008</v>
      </c>
      <c r="EH206" s="344">
        <f t="shared" si="532"/>
        <v>5.0000000000000002E-11</v>
      </c>
      <c r="EI206" s="344">
        <f t="shared" si="533"/>
        <v>7.00000000006</v>
      </c>
      <c r="EJ206" s="344">
        <f t="shared" si="534"/>
        <v>5.50000000007</v>
      </c>
      <c r="EK206" s="344">
        <f t="shared" si="535"/>
        <v>7.9999999999999995E-11</v>
      </c>
      <c r="EL206" s="344" t="b">
        <f t="shared" si="502"/>
        <v>1</v>
      </c>
      <c r="EM206" s="344" t="b">
        <f t="shared" si="503"/>
        <v>1</v>
      </c>
      <c r="EN206" s="344" t="b">
        <f t="shared" si="504"/>
        <v>1</v>
      </c>
      <c r="EO206" s="344" t="b">
        <f t="shared" si="505"/>
        <v>1</v>
      </c>
      <c r="EP206" s="344" t="b">
        <f t="shared" si="506"/>
        <v>0</v>
      </c>
      <c r="EQ206" s="344" t="b">
        <f t="shared" si="507"/>
        <v>1</v>
      </c>
      <c r="ER206" s="344" t="b">
        <f t="shared" si="508"/>
        <v>1</v>
      </c>
      <c r="ES206" s="344" t="b">
        <f t="shared" si="509"/>
        <v>0</v>
      </c>
    </row>
    <row r="207" spans="1:149" s="344" customFormat="1" x14ac:dyDescent="0.3">
      <c r="X207" s="344">
        <f>'A123'!J215</f>
        <v>0</v>
      </c>
      <c r="Y207" s="344">
        <f>'A123'!K215</f>
        <v>0</v>
      </c>
      <c r="Z207" s="344">
        <f>'A123'!L215</f>
        <v>0</v>
      </c>
      <c r="AR207" s="428"/>
    </row>
    <row r="208" spans="1:149" s="251" customFormat="1" x14ac:dyDescent="0.3">
      <c r="E208" s="344"/>
      <c r="N208" s="344" t="s">
        <v>1978</v>
      </c>
      <c r="O208" s="344" t="s">
        <v>1978</v>
      </c>
      <c r="P208" s="344" t="s">
        <v>1978</v>
      </c>
      <c r="Q208" s="344" t="s">
        <v>1978</v>
      </c>
      <c r="R208" s="344" t="s">
        <v>1978</v>
      </c>
      <c r="S208" s="344" t="s">
        <v>1978</v>
      </c>
      <c r="X208" s="344">
        <f>'A123'!J216</f>
        <v>0</v>
      </c>
      <c r="Y208" s="344">
        <f>'A123'!K216</f>
        <v>0</v>
      </c>
      <c r="Z208" s="344">
        <f>'A123'!L216</f>
        <v>0</v>
      </c>
      <c r="AK208" s="344"/>
      <c r="AQ208" s="344"/>
      <c r="AR208" s="428"/>
      <c r="AV208" s="344"/>
      <c r="AW208" s="344"/>
      <c r="AX208" s="344"/>
      <c r="AY208" s="344"/>
      <c r="AZ208" s="344"/>
      <c r="BA208" s="344"/>
    </row>
    <row r="209" spans="1:149" s="251" customFormat="1" ht="13.95" customHeight="1" x14ac:dyDescent="0.3">
      <c r="A209" s="251" t="s">
        <v>1065</v>
      </c>
      <c r="B209" s="251" t="s">
        <v>3195</v>
      </c>
      <c r="C209" s="251" t="s">
        <v>2159</v>
      </c>
      <c r="D209" s="251" t="s">
        <v>1068</v>
      </c>
      <c r="E209" s="344" t="s">
        <v>2252</v>
      </c>
      <c r="F209" s="251" t="s">
        <v>1970</v>
      </c>
      <c r="G209" s="344">
        <v>36.5</v>
      </c>
      <c r="H209" s="344">
        <v>35</v>
      </c>
      <c r="I209" s="2" t="s">
        <v>3248</v>
      </c>
      <c r="J209" s="2" t="s">
        <v>3249</v>
      </c>
      <c r="K209" s="2" t="s">
        <v>3262</v>
      </c>
      <c r="L209" s="426" t="s">
        <v>3263</v>
      </c>
      <c r="M209" s="427" t="s">
        <v>3264</v>
      </c>
      <c r="N209" s="344" t="s">
        <v>1978</v>
      </c>
      <c r="O209" s="344" t="s">
        <v>1978</v>
      </c>
      <c r="P209" s="344" t="s">
        <v>1978</v>
      </c>
      <c r="Q209" s="344" t="s">
        <v>1978</v>
      </c>
      <c r="R209" s="344" t="s">
        <v>1978</v>
      </c>
      <c r="S209" s="344" t="s">
        <v>1978</v>
      </c>
      <c r="T209" s="251" t="s">
        <v>1066</v>
      </c>
      <c r="U209" s="251" t="s">
        <v>2150</v>
      </c>
      <c r="V209" s="344" t="s">
        <v>1970</v>
      </c>
      <c r="W209" s="344" t="s">
        <v>1970</v>
      </c>
      <c r="X209" s="344">
        <f>'A123'!J217</f>
        <v>21</v>
      </c>
      <c r="Y209" s="344">
        <f>'A123'!K217</f>
        <v>23</v>
      </c>
      <c r="Z209" s="344">
        <f>'A123'!L217</f>
        <v>5.4782608695652177</v>
      </c>
      <c r="AA209" s="251" t="s">
        <v>2165</v>
      </c>
      <c r="AB209" s="251" t="str">
        <f>入學要求!X218</f>
        <v>以下一科選修取得Lv.3︰M1/2、生物、化學、組合科學、物理</v>
      </c>
      <c r="AC209" s="344" t="str">
        <f>入學要求!Y218</f>
        <v>申請人必須出席面試</v>
      </c>
      <c r="AD209" s="251" t="s">
        <v>2252</v>
      </c>
      <c r="AE209" s="251" t="s">
        <v>3251</v>
      </c>
      <c r="AF209" s="251" t="s">
        <v>3253</v>
      </c>
      <c r="AG209" s="344" t="s">
        <v>3262</v>
      </c>
      <c r="AH209" s="426" t="s">
        <v>3263</v>
      </c>
      <c r="AI209" s="427" t="s">
        <v>3264</v>
      </c>
      <c r="AJ209" s="251" t="s">
        <v>3237</v>
      </c>
      <c r="AK209" s="344" t="s">
        <v>3223</v>
      </c>
      <c r="AL209" s="344" t="s">
        <v>3207</v>
      </c>
      <c r="AM209" s="251" t="s">
        <v>1970</v>
      </c>
      <c r="AN209" s="251" t="s">
        <v>1970</v>
      </c>
      <c r="AO209" s="251" t="s">
        <v>1970</v>
      </c>
      <c r="AP209" s="344" t="s">
        <v>3254</v>
      </c>
      <c r="AQ209" s="344" t="s">
        <v>1970</v>
      </c>
      <c r="AR209" s="428" t="s">
        <v>2150</v>
      </c>
      <c r="AS209" s="251" t="s">
        <v>3603</v>
      </c>
      <c r="AT209" s="251" t="s">
        <v>1970</v>
      </c>
      <c r="AU209" s="565">
        <v>44771</v>
      </c>
      <c r="AV209" s="565" t="s">
        <v>2521</v>
      </c>
      <c r="AW209" s="565"/>
      <c r="AX209" s="565"/>
      <c r="AY209" s="565"/>
      <c r="AZ209" s="565"/>
      <c r="BA209" s="565"/>
      <c r="BB209" s="251" t="s">
        <v>1970</v>
      </c>
      <c r="BC209" s="251" t="s">
        <v>1970</v>
      </c>
      <c r="BD209" s="251" t="s">
        <v>1970</v>
      </c>
      <c r="BE209" s="251" t="s">
        <v>1970</v>
      </c>
      <c r="BF209" s="251" t="s">
        <v>1970</v>
      </c>
      <c r="BG209" s="251" t="s">
        <v>1970</v>
      </c>
      <c r="BH209" s="251" t="s">
        <v>1970</v>
      </c>
      <c r="BI209" s="251" t="s">
        <v>1970</v>
      </c>
      <c r="BJ209" s="251" t="s">
        <v>1970</v>
      </c>
      <c r="BK209" s="251" t="s">
        <v>1970</v>
      </c>
      <c r="BL209" s="251" t="s">
        <v>1970</v>
      </c>
      <c r="BM209" s="251" t="s">
        <v>1970</v>
      </c>
      <c r="BN209" s="251" t="s">
        <v>1970</v>
      </c>
      <c r="BO209" s="251" t="s">
        <v>1970</v>
      </c>
      <c r="BP209" s="251" t="s">
        <v>1970</v>
      </c>
      <c r="BQ209" s="251" t="s">
        <v>1970</v>
      </c>
      <c r="BR209" s="251" t="s">
        <v>1970</v>
      </c>
      <c r="BS209" s="251" t="s">
        <v>1970</v>
      </c>
      <c r="BT209" s="251" t="s">
        <v>1970</v>
      </c>
      <c r="BU209" s="251" t="s">
        <v>1970</v>
      </c>
      <c r="BV209" s="251" t="s">
        <v>1970</v>
      </c>
      <c r="BW209" s="251" t="s">
        <v>1970</v>
      </c>
      <c r="BX209" s="251" t="s">
        <v>1970</v>
      </c>
      <c r="BY209" s="251" t="s">
        <v>1970</v>
      </c>
      <c r="BZ209" s="251" t="s">
        <v>1970</v>
      </c>
      <c r="CA209" s="251" t="s">
        <v>1970</v>
      </c>
      <c r="CB209" s="251" t="s">
        <v>1970</v>
      </c>
      <c r="CC209" s="251" t="s">
        <v>1970</v>
      </c>
      <c r="CD209" s="251" t="s">
        <v>1970</v>
      </c>
      <c r="CE209" s="251" t="s">
        <v>1970</v>
      </c>
      <c r="CF209" s="251" t="s">
        <v>1970</v>
      </c>
      <c r="CG209" s="251" t="s">
        <v>1970</v>
      </c>
      <c r="CH209" s="251" t="s">
        <v>1970</v>
      </c>
      <c r="CI209" s="251" t="s">
        <v>1970</v>
      </c>
      <c r="CJ209" s="251" t="s">
        <v>1970</v>
      </c>
      <c r="CK209" s="251" t="s">
        <v>1970</v>
      </c>
      <c r="CL209" s="251" t="s">
        <v>1970</v>
      </c>
      <c r="CM209" s="251" t="s">
        <v>1970</v>
      </c>
      <c r="CN209" s="251" t="s">
        <v>1970</v>
      </c>
      <c r="CO209" s="251" t="s">
        <v>1970</v>
      </c>
      <c r="CP209" s="251" t="s">
        <v>1970</v>
      </c>
      <c r="CQ209" s="251" t="s">
        <v>1970</v>
      </c>
      <c r="CR209" s="251" t="s">
        <v>1970</v>
      </c>
      <c r="CS209" s="251" t="s">
        <v>1970</v>
      </c>
      <c r="CT209" s="251" t="s">
        <v>1970</v>
      </c>
      <c r="CU209" s="251" t="s">
        <v>1970</v>
      </c>
      <c r="CV209" s="251" t="s">
        <v>1970</v>
      </c>
      <c r="CW209" s="251" t="s">
        <v>1970</v>
      </c>
      <c r="CX209" s="251" t="s">
        <v>1970</v>
      </c>
      <c r="CY209" s="251" t="s">
        <v>1970</v>
      </c>
      <c r="CZ209" s="251" t="s">
        <v>1970</v>
      </c>
      <c r="DA209" s="251" t="s">
        <v>1970</v>
      </c>
      <c r="DB209" s="251" t="s">
        <v>1970</v>
      </c>
      <c r="DC209" s="251" t="s">
        <v>1970</v>
      </c>
      <c r="DD209" s="251" t="s">
        <v>1970</v>
      </c>
      <c r="DE209" s="251" t="s">
        <v>1970</v>
      </c>
      <c r="DF209" s="251" t="s">
        <v>1970</v>
      </c>
      <c r="DG209" s="251" t="s">
        <v>1970</v>
      </c>
      <c r="DH209" s="251" t="s">
        <v>1970</v>
      </c>
      <c r="DI209" s="251" t="s">
        <v>1970</v>
      </c>
      <c r="DJ209" s="251" t="s">
        <v>1970</v>
      </c>
      <c r="DK209" s="251" t="s">
        <v>1970</v>
      </c>
      <c r="DL209" s="251" t="s">
        <v>1970</v>
      </c>
      <c r="DM209" s="251" t="s">
        <v>1970</v>
      </c>
      <c r="DN209" s="344" t="s">
        <v>1970</v>
      </c>
      <c r="DO209" s="344" t="s">
        <v>1970</v>
      </c>
      <c r="DP209" s="344" t="s">
        <v>1970</v>
      </c>
      <c r="DQ209" s="344" t="s">
        <v>1970</v>
      </c>
      <c r="DR209" s="344" t="s">
        <v>1970</v>
      </c>
      <c r="DS209" s="344" t="s">
        <v>1970</v>
      </c>
      <c r="DT209" s="344" t="s">
        <v>1970</v>
      </c>
      <c r="DU209" s="344" t="s">
        <v>1970</v>
      </c>
      <c r="DV209" s="344" t="s">
        <v>1970</v>
      </c>
      <c r="DW209" s="344" t="s">
        <v>1970</v>
      </c>
      <c r="DX209" s="344" t="s">
        <v>1970</v>
      </c>
      <c r="DY209" s="344" t="s">
        <v>1970</v>
      </c>
      <c r="DZ209" s="344" t="s">
        <v>1970</v>
      </c>
      <c r="EA209" s="344" t="s">
        <v>1970</v>
      </c>
      <c r="EB209" s="344" t="s">
        <v>1970</v>
      </c>
      <c r="EC209" s="344" t="s">
        <v>1970</v>
      </c>
      <c r="ED209" s="344" t="s">
        <v>1970</v>
      </c>
      <c r="EE209" s="344" t="s">
        <v>1970</v>
      </c>
      <c r="EF209" s="344" t="s">
        <v>1970</v>
      </c>
      <c r="EG209" s="344" t="s">
        <v>1970</v>
      </c>
      <c r="EH209" s="344" t="s">
        <v>1970</v>
      </c>
      <c r="EI209" s="344" t="s">
        <v>1970</v>
      </c>
      <c r="EJ209" s="344" t="s">
        <v>1970</v>
      </c>
      <c r="EK209" s="344" t="s">
        <v>1970</v>
      </c>
      <c r="EL209" s="344" t="s">
        <v>1970</v>
      </c>
      <c r="EM209" s="344" t="s">
        <v>1970</v>
      </c>
      <c r="EN209" s="344" t="s">
        <v>1970</v>
      </c>
      <c r="EO209" s="344" t="s">
        <v>1970</v>
      </c>
      <c r="EP209" s="344" t="s">
        <v>1970</v>
      </c>
      <c r="EQ209" s="344" t="s">
        <v>1970</v>
      </c>
      <c r="ER209" s="344" t="s">
        <v>1970</v>
      </c>
      <c r="ES209" s="344" t="s">
        <v>1970</v>
      </c>
    </row>
    <row r="210" spans="1:149" s="251" customFormat="1" x14ac:dyDescent="0.3">
      <c r="A210" s="251" t="s">
        <v>1069</v>
      </c>
      <c r="B210" s="344" t="s">
        <v>3195</v>
      </c>
      <c r="C210" s="251" t="s">
        <v>2159</v>
      </c>
      <c r="D210" s="251" t="s">
        <v>1072</v>
      </c>
      <c r="E210" s="344" t="s">
        <v>2252</v>
      </c>
      <c r="F210" s="251" t="s">
        <v>1970</v>
      </c>
      <c r="G210" s="344">
        <v>28.5</v>
      </c>
      <c r="H210" s="344">
        <v>27.5</v>
      </c>
      <c r="I210" s="344" t="s">
        <v>3248</v>
      </c>
      <c r="J210" s="344" t="s">
        <v>3249</v>
      </c>
      <c r="K210" s="2" t="s">
        <v>3290</v>
      </c>
      <c r="L210" s="344" t="s">
        <v>3291</v>
      </c>
      <c r="M210" s="251" t="s">
        <v>3266</v>
      </c>
      <c r="N210" s="344" t="s">
        <v>1978</v>
      </c>
      <c r="O210" s="344" t="s">
        <v>1978</v>
      </c>
      <c r="P210" s="344" t="s">
        <v>1978</v>
      </c>
      <c r="Q210" s="344" t="s">
        <v>1978</v>
      </c>
      <c r="R210" s="344" t="s">
        <v>1978</v>
      </c>
      <c r="S210" s="344" t="s">
        <v>1978</v>
      </c>
      <c r="T210" s="251" t="s">
        <v>1070</v>
      </c>
      <c r="U210" s="344" t="s">
        <v>2150</v>
      </c>
      <c r="V210" s="344" t="s">
        <v>1970</v>
      </c>
      <c r="W210" s="344" t="s">
        <v>1970</v>
      </c>
      <c r="X210" s="344" t="str">
        <f>'A123'!J218</f>
        <v>431*</v>
      </c>
      <c r="Y210" s="344">
        <f>'A123'!K218</f>
        <v>159</v>
      </c>
      <c r="Z210" s="344">
        <f>'A123'!L218</f>
        <v>5.7884615384615383</v>
      </c>
      <c r="AA210" s="344" t="s">
        <v>2165</v>
      </c>
      <c r="AB210" s="344" t="str">
        <f>入學要求!X219</f>
        <v>以下一科選修取得Lv.3︰M1/2、生物、化學、組合科學、物理</v>
      </c>
      <c r="AC210" s="344" t="str">
        <f>入學要求!Y219</f>
        <v>/</v>
      </c>
      <c r="AD210" s="251" t="s">
        <v>2252</v>
      </c>
      <c r="AE210" s="344" t="s">
        <v>3251</v>
      </c>
      <c r="AF210" s="344" t="s">
        <v>3253</v>
      </c>
      <c r="AG210" s="344" t="s">
        <v>3273</v>
      </c>
      <c r="AH210" s="344" t="s">
        <v>3265</v>
      </c>
      <c r="AI210" s="344" t="s">
        <v>3266</v>
      </c>
      <c r="AJ210" s="344" t="s">
        <v>3237</v>
      </c>
      <c r="AK210" s="344" t="s">
        <v>3224</v>
      </c>
      <c r="AL210" s="344" t="s">
        <v>1970</v>
      </c>
      <c r="AM210" s="251" t="s">
        <v>1970</v>
      </c>
      <c r="AN210" s="251" t="s">
        <v>1970</v>
      </c>
      <c r="AO210" s="344" t="s">
        <v>1970</v>
      </c>
      <c r="AP210" s="344" t="s">
        <v>3255</v>
      </c>
      <c r="AQ210" s="344" t="s">
        <v>1970</v>
      </c>
      <c r="AR210" s="428" t="s">
        <v>2150</v>
      </c>
      <c r="AS210" s="251" t="s">
        <v>3603</v>
      </c>
      <c r="AT210" s="565">
        <v>44708</v>
      </c>
      <c r="AU210" s="251" t="s">
        <v>1970</v>
      </c>
      <c r="AV210" s="565" t="s">
        <v>2521</v>
      </c>
      <c r="AW210" s="344"/>
      <c r="AX210" s="344"/>
      <c r="AY210" s="344"/>
      <c r="AZ210" s="344"/>
      <c r="BA210" s="344"/>
      <c r="BB210" s="251" t="s">
        <v>1970</v>
      </c>
      <c r="BC210" s="251" t="s">
        <v>1970</v>
      </c>
      <c r="BD210" s="251" t="s">
        <v>1970</v>
      </c>
      <c r="BE210" s="251" t="s">
        <v>1970</v>
      </c>
      <c r="BF210" s="251" t="s">
        <v>1970</v>
      </c>
      <c r="BG210" s="251" t="s">
        <v>1970</v>
      </c>
      <c r="BH210" s="251" t="s">
        <v>1970</v>
      </c>
      <c r="BI210" s="251" t="s">
        <v>1970</v>
      </c>
      <c r="BJ210" s="251" t="s">
        <v>1970</v>
      </c>
      <c r="BK210" s="251" t="s">
        <v>1970</v>
      </c>
      <c r="BL210" s="251" t="s">
        <v>1970</v>
      </c>
      <c r="BM210" s="251" t="s">
        <v>1970</v>
      </c>
      <c r="BN210" s="251" t="s">
        <v>1970</v>
      </c>
      <c r="BO210" s="251" t="s">
        <v>1970</v>
      </c>
      <c r="BP210" s="251" t="s">
        <v>1970</v>
      </c>
      <c r="BQ210" s="251" t="s">
        <v>1970</v>
      </c>
      <c r="BR210" s="251" t="s">
        <v>1970</v>
      </c>
      <c r="BS210" s="251" t="s">
        <v>1970</v>
      </c>
      <c r="BT210" s="251" t="s">
        <v>1970</v>
      </c>
      <c r="BU210" s="251" t="s">
        <v>1970</v>
      </c>
      <c r="BV210" s="251" t="s">
        <v>1970</v>
      </c>
      <c r="BW210" s="251" t="s">
        <v>1970</v>
      </c>
      <c r="BX210" s="251" t="s">
        <v>1970</v>
      </c>
      <c r="BY210" s="251" t="s">
        <v>1970</v>
      </c>
      <c r="BZ210" s="251" t="s">
        <v>1970</v>
      </c>
      <c r="CA210" s="251" t="s">
        <v>1970</v>
      </c>
      <c r="CB210" s="251" t="s">
        <v>1970</v>
      </c>
      <c r="CC210" s="251" t="s">
        <v>1970</v>
      </c>
      <c r="CD210" s="251" t="s">
        <v>1970</v>
      </c>
      <c r="CE210" s="251" t="s">
        <v>1970</v>
      </c>
      <c r="CF210" s="251" t="s">
        <v>1970</v>
      </c>
      <c r="CG210" s="251" t="s">
        <v>1970</v>
      </c>
      <c r="CH210" s="251" t="s">
        <v>1970</v>
      </c>
      <c r="CI210" s="251" t="s">
        <v>1970</v>
      </c>
      <c r="CJ210" s="251" t="s">
        <v>1970</v>
      </c>
      <c r="CK210" s="251" t="s">
        <v>1970</v>
      </c>
      <c r="CL210" s="251" t="s">
        <v>1970</v>
      </c>
      <c r="CM210" s="251" t="s">
        <v>1970</v>
      </c>
      <c r="CN210" s="251" t="s">
        <v>1970</v>
      </c>
      <c r="CO210" s="251" t="s">
        <v>1970</v>
      </c>
      <c r="CP210" s="251" t="s">
        <v>1970</v>
      </c>
      <c r="CQ210" s="251" t="s">
        <v>1970</v>
      </c>
      <c r="CR210" s="251" t="s">
        <v>1970</v>
      </c>
      <c r="CS210" s="251" t="s">
        <v>1970</v>
      </c>
      <c r="CT210" s="251" t="s">
        <v>1970</v>
      </c>
      <c r="CU210" s="251" t="s">
        <v>1970</v>
      </c>
      <c r="CV210" s="251" t="s">
        <v>1970</v>
      </c>
      <c r="CW210" s="251" t="s">
        <v>1970</v>
      </c>
      <c r="CX210" s="251" t="s">
        <v>1970</v>
      </c>
      <c r="CY210" s="251" t="s">
        <v>1970</v>
      </c>
      <c r="CZ210" s="251" t="s">
        <v>1970</v>
      </c>
      <c r="DA210" s="251" t="s">
        <v>1970</v>
      </c>
      <c r="DB210" s="251" t="s">
        <v>1970</v>
      </c>
      <c r="DC210" s="251" t="s">
        <v>1970</v>
      </c>
      <c r="DD210" s="251" t="s">
        <v>1970</v>
      </c>
      <c r="DE210" s="251" t="s">
        <v>1970</v>
      </c>
      <c r="DF210" s="251" t="s">
        <v>1970</v>
      </c>
      <c r="DG210" s="251" t="s">
        <v>1970</v>
      </c>
      <c r="DH210" s="251" t="s">
        <v>1970</v>
      </c>
      <c r="DI210" s="251" t="s">
        <v>1970</v>
      </c>
      <c r="DJ210" s="251" t="s">
        <v>1970</v>
      </c>
      <c r="DK210" s="251" t="s">
        <v>1970</v>
      </c>
      <c r="DL210" s="251" t="s">
        <v>1970</v>
      </c>
      <c r="DM210" s="251" t="s">
        <v>1970</v>
      </c>
      <c r="DN210" s="344" t="s">
        <v>1970</v>
      </c>
      <c r="DO210" s="344" t="s">
        <v>1970</v>
      </c>
      <c r="DP210" s="344" t="s">
        <v>1970</v>
      </c>
      <c r="DQ210" s="344" t="s">
        <v>1970</v>
      </c>
      <c r="DR210" s="344" t="s">
        <v>1970</v>
      </c>
      <c r="DS210" s="344" t="s">
        <v>1970</v>
      </c>
      <c r="DT210" s="344" t="s">
        <v>1970</v>
      </c>
      <c r="DU210" s="344" t="s">
        <v>1970</v>
      </c>
      <c r="DV210" s="344" t="s">
        <v>1970</v>
      </c>
      <c r="DW210" s="344" t="s">
        <v>1970</v>
      </c>
      <c r="DX210" s="344" t="s">
        <v>1970</v>
      </c>
      <c r="DY210" s="344" t="s">
        <v>1970</v>
      </c>
      <c r="DZ210" s="344" t="s">
        <v>1970</v>
      </c>
      <c r="EA210" s="344" t="s">
        <v>1970</v>
      </c>
      <c r="EB210" s="344" t="s">
        <v>1970</v>
      </c>
      <c r="EC210" s="344" t="s">
        <v>1970</v>
      </c>
      <c r="ED210" s="344" t="s">
        <v>1970</v>
      </c>
      <c r="EE210" s="344" t="s">
        <v>1970</v>
      </c>
      <c r="EF210" s="344" t="s">
        <v>1970</v>
      </c>
      <c r="EG210" s="344" t="s">
        <v>1970</v>
      </c>
      <c r="EH210" s="344" t="s">
        <v>1970</v>
      </c>
      <c r="EI210" s="344" t="s">
        <v>1970</v>
      </c>
      <c r="EJ210" s="344" t="s">
        <v>1970</v>
      </c>
      <c r="EK210" s="344" t="s">
        <v>1970</v>
      </c>
      <c r="EL210" s="344" t="s">
        <v>1970</v>
      </c>
      <c r="EM210" s="344" t="s">
        <v>1970</v>
      </c>
      <c r="EN210" s="344" t="s">
        <v>1970</v>
      </c>
      <c r="EO210" s="344" t="s">
        <v>1970</v>
      </c>
      <c r="EP210" s="344" t="s">
        <v>1970</v>
      </c>
      <c r="EQ210" s="344" t="s">
        <v>1970</v>
      </c>
      <c r="ER210" s="344" t="s">
        <v>1970</v>
      </c>
      <c r="ES210" s="344" t="s">
        <v>1970</v>
      </c>
    </row>
    <row r="211" spans="1:149" s="251" customFormat="1" x14ac:dyDescent="0.3">
      <c r="A211" s="251" t="s">
        <v>1073</v>
      </c>
      <c r="B211" s="344" t="s">
        <v>3195</v>
      </c>
      <c r="C211" s="251" t="s">
        <v>2159</v>
      </c>
      <c r="D211" s="251" t="s">
        <v>1076</v>
      </c>
      <c r="E211" s="344" t="s">
        <v>2252</v>
      </c>
      <c r="F211" s="251" t="s">
        <v>1970</v>
      </c>
      <c r="G211" s="344">
        <v>30</v>
      </c>
      <c r="H211" s="344">
        <v>28.5</v>
      </c>
      <c r="I211" s="344" t="s">
        <v>3247</v>
      </c>
      <c r="J211" s="344" t="s">
        <v>3249</v>
      </c>
      <c r="K211" s="344" t="s">
        <v>3290</v>
      </c>
      <c r="L211" s="344" t="s">
        <v>3292</v>
      </c>
      <c r="M211" s="344" t="s">
        <v>3266</v>
      </c>
      <c r="N211" s="344" t="s">
        <v>1978</v>
      </c>
      <c r="O211" s="344" t="s">
        <v>1978</v>
      </c>
      <c r="P211" s="344" t="s">
        <v>1978</v>
      </c>
      <c r="Q211" s="344" t="s">
        <v>1978</v>
      </c>
      <c r="R211" s="344" t="s">
        <v>1978</v>
      </c>
      <c r="S211" s="344" t="s">
        <v>1978</v>
      </c>
      <c r="T211" s="251" t="s">
        <v>1074</v>
      </c>
      <c r="U211" s="344" t="s">
        <v>2150</v>
      </c>
      <c r="V211" s="344" t="s">
        <v>1970</v>
      </c>
      <c r="W211" s="344" t="s">
        <v>1970</v>
      </c>
      <c r="X211" s="344" t="str">
        <f>'A123'!J219</f>
        <v>431*</v>
      </c>
      <c r="Y211" s="344">
        <f>'A123'!K219</f>
        <v>268</v>
      </c>
      <c r="Z211" s="344">
        <f>'A123'!L219</f>
        <v>4.0307692307692307</v>
      </c>
      <c r="AA211" s="344" t="s">
        <v>2165</v>
      </c>
      <c r="AB211" s="344" t="str">
        <f>入學要求!X220</f>
        <v>以下一科選修取得Lv.3︰M1/2、生物、化學、組合科學、物理</v>
      </c>
      <c r="AC211" s="344" t="str">
        <f>入學要求!Y220</f>
        <v>/</v>
      </c>
      <c r="AD211" s="251" t="s">
        <v>2252</v>
      </c>
      <c r="AE211" s="344" t="s">
        <v>3251</v>
      </c>
      <c r="AF211" s="344" t="s">
        <v>3252</v>
      </c>
      <c r="AG211" s="344" t="s">
        <v>3273</v>
      </c>
      <c r="AH211" s="344" t="s">
        <v>3267</v>
      </c>
      <c r="AI211" s="344" t="s">
        <v>3266</v>
      </c>
      <c r="AJ211" s="344" t="s">
        <v>3237</v>
      </c>
      <c r="AK211" s="344" t="s">
        <v>3225</v>
      </c>
      <c r="AL211" s="344" t="s">
        <v>1970</v>
      </c>
      <c r="AM211" s="251" t="s">
        <v>1970</v>
      </c>
      <c r="AN211" s="251" t="s">
        <v>1970</v>
      </c>
      <c r="AO211" s="344" t="s">
        <v>1970</v>
      </c>
      <c r="AP211" s="344" t="s">
        <v>3255</v>
      </c>
      <c r="AQ211" s="344" t="s">
        <v>1970</v>
      </c>
      <c r="AR211" s="344" t="s">
        <v>2150</v>
      </c>
      <c r="AS211" s="251" t="s">
        <v>3603</v>
      </c>
      <c r="AT211" s="565">
        <v>44708</v>
      </c>
      <c r="AU211" s="251" t="s">
        <v>1970</v>
      </c>
      <c r="AV211" s="565" t="s">
        <v>2521</v>
      </c>
      <c r="AW211" s="344"/>
      <c r="AX211" s="344"/>
      <c r="AY211" s="344"/>
      <c r="AZ211" s="344"/>
      <c r="BA211" s="344"/>
      <c r="BB211" s="251" t="s">
        <v>1970</v>
      </c>
      <c r="BC211" s="251" t="s">
        <v>1970</v>
      </c>
      <c r="BD211" s="251" t="s">
        <v>1970</v>
      </c>
      <c r="BE211" s="251" t="s">
        <v>1970</v>
      </c>
      <c r="BF211" s="251" t="s">
        <v>1970</v>
      </c>
      <c r="BG211" s="251" t="s">
        <v>1970</v>
      </c>
      <c r="BH211" s="251" t="s">
        <v>1970</v>
      </c>
      <c r="BI211" s="251" t="s">
        <v>1970</v>
      </c>
      <c r="BJ211" s="251" t="s">
        <v>1970</v>
      </c>
      <c r="BK211" s="251" t="s">
        <v>1970</v>
      </c>
      <c r="BL211" s="251" t="s">
        <v>1970</v>
      </c>
      <c r="BM211" s="251" t="s">
        <v>1970</v>
      </c>
      <c r="BN211" s="251" t="s">
        <v>1970</v>
      </c>
      <c r="BO211" s="251" t="s">
        <v>1970</v>
      </c>
      <c r="BP211" s="251" t="s">
        <v>1970</v>
      </c>
      <c r="BQ211" s="251" t="s">
        <v>1970</v>
      </c>
      <c r="BR211" s="251" t="s">
        <v>1970</v>
      </c>
      <c r="BS211" s="251" t="s">
        <v>1970</v>
      </c>
      <c r="BT211" s="251" t="s">
        <v>1970</v>
      </c>
      <c r="BU211" s="251" t="s">
        <v>1970</v>
      </c>
      <c r="BV211" s="251" t="s">
        <v>1970</v>
      </c>
      <c r="BW211" s="251" t="s">
        <v>1970</v>
      </c>
      <c r="BX211" s="251" t="s">
        <v>1970</v>
      </c>
      <c r="BY211" s="251" t="s">
        <v>1970</v>
      </c>
      <c r="BZ211" s="251" t="s">
        <v>1970</v>
      </c>
      <c r="CA211" s="251" t="s">
        <v>1970</v>
      </c>
      <c r="CB211" s="251" t="s">
        <v>1970</v>
      </c>
      <c r="CC211" s="251" t="s">
        <v>1970</v>
      </c>
      <c r="CD211" s="251" t="s">
        <v>1970</v>
      </c>
      <c r="CE211" s="251" t="s">
        <v>1970</v>
      </c>
      <c r="CF211" s="251" t="s">
        <v>1970</v>
      </c>
      <c r="CG211" s="251" t="s">
        <v>1970</v>
      </c>
      <c r="CH211" s="251" t="s">
        <v>1970</v>
      </c>
      <c r="CI211" s="251" t="s">
        <v>1970</v>
      </c>
      <c r="CJ211" s="251" t="s">
        <v>1970</v>
      </c>
      <c r="CK211" s="251" t="s">
        <v>1970</v>
      </c>
      <c r="CL211" s="251" t="s">
        <v>1970</v>
      </c>
      <c r="CM211" s="251" t="s">
        <v>1970</v>
      </c>
      <c r="CN211" s="251" t="s">
        <v>1970</v>
      </c>
      <c r="CO211" s="251" t="s">
        <v>1970</v>
      </c>
      <c r="CP211" s="251" t="s">
        <v>1970</v>
      </c>
      <c r="CQ211" s="251" t="s">
        <v>1970</v>
      </c>
      <c r="CR211" s="251" t="s">
        <v>1970</v>
      </c>
      <c r="CS211" s="251" t="s">
        <v>1970</v>
      </c>
      <c r="CT211" s="251" t="s">
        <v>1970</v>
      </c>
      <c r="CU211" s="251" t="s">
        <v>1970</v>
      </c>
      <c r="CV211" s="251" t="s">
        <v>1970</v>
      </c>
      <c r="CW211" s="251" t="s">
        <v>1970</v>
      </c>
      <c r="CX211" s="251" t="s">
        <v>1970</v>
      </c>
      <c r="CY211" s="251" t="s">
        <v>1970</v>
      </c>
      <c r="CZ211" s="251" t="s">
        <v>1970</v>
      </c>
      <c r="DA211" s="251" t="s">
        <v>1970</v>
      </c>
      <c r="DB211" s="251" t="s">
        <v>1970</v>
      </c>
      <c r="DC211" s="251" t="s">
        <v>1970</v>
      </c>
      <c r="DD211" s="251" t="s">
        <v>1970</v>
      </c>
      <c r="DE211" s="251" t="s">
        <v>1970</v>
      </c>
      <c r="DF211" s="251" t="s">
        <v>1970</v>
      </c>
      <c r="DG211" s="251" t="s">
        <v>1970</v>
      </c>
      <c r="DH211" s="251" t="s">
        <v>1970</v>
      </c>
      <c r="DI211" s="251" t="s">
        <v>1970</v>
      </c>
      <c r="DJ211" s="251" t="s">
        <v>1970</v>
      </c>
      <c r="DK211" s="251" t="s">
        <v>1970</v>
      </c>
      <c r="DL211" s="251" t="s">
        <v>1970</v>
      </c>
      <c r="DM211" s="251" t="s">
        <v>1970</v>
      </c>
      <c r="DN211" s="344" t="s">
        <v>1970</v>
      </c>
      <c r="DO211" s="344" t="s">
        <v>1970</v>
      </c>
      <c r="DP211" s="344" t="s">
        <v>1970</v>
      </c>
      <c r="DQ211" s="344" t="s">
        <v>1970</v>
      </c>
      <c r="DR211" s="344" t="s">
        <v>1970</v>
      </c>
      <c r="DS211" s="344" t="s">
        <v>1970</v>
      </c>
      <c r="DT211" s="344" t="s">
        <v>1970</v>
      </c>
      <c r="DU211" s="344" t="s">
        <v>1970</v>
      </c>
      <c r="DV211" s="344" t="s">
        <v>1970</v>
      </c>
      <c r="DW211" s="344" t="s">
        <v>1970</v>
      </c>
      <c r="DX211" s="344" t="s">
        <v>1970</v>
      </c>
      <c r="DY211" s="344" t="s">
        <v>1970</v>
      </c>
      <c r="DZ211" s="344" t="s">
        <v>1970</v>
      </c>
      <c r="EA211" s="344" t="s">
        <v>1970</v>
      </c>
      <c r="EB211" s="344" t="s">
        <v>1970</v>
      </c>
      <c r="EC211" s="344" t="s">
        <v>1970</v>
      </c>
      <c r="ED211" s="344" t="s">
        <v>1970</v>
      </c>
      <c r="EE211" s="344" t="s">
        <v>1970</v>
      </c>
      <c r="EF211" s="344" t="s">
        <v>1970</v>
      </c>
      <c r="EG211" s="344" t="s">
        <v>1970</v>
      </c>
      <c r="EH211" s="344" t="s">
        <v>1970</v>
      </c>
      <c r="EI211" s="344" t="s">
        <v>1970</v>
      </c>
      <c r="EJ211" s="344" t="s">
        <v>1970</v>
      </c>
      <c r="EK211" s="344" t="s">
        <v>1970</v>
      </c>
      <c r="EL211" s="344" t="s">
        <v>1970</v>
      </c>
      <c r="EM211" s="344" t="s">
        <v>1970</v>
      </c>
      <c r="EN211" s="344" t="s">
        <v>1970</v>
      </c>
      <c r="EO211" s="344" t="s">
        <v>1970</v>
      </c>
      <c r="EP211" s="344" t="s">
        <v>1970</v>
      </c>
      <c r="EQ211" s="344" t="s">
        <v>1970</v>
      </c>
      <c r="ER211" s="344" t="s">
        <v>1970</v>
      </c>
      <c r="ES211" s="344" t="s">
        <v>1970</v>
      </c>
    </row>
    <row r="212" spans="1:149" s="251" customFormat="1" x14ac:dyDescent="0.3">
      <c r="A212" s="251" t="s">
        <v>1077</v>
      </c>
      <c r="B212" s="344" t="s">
        <v>3195</v>
      </c>
      <c r="C212" s="251" t="s">
        <v>2159</v>
      </c>
      <c r="D212" s="251" t="s">
        <v>1080</v>
      </c>
      <c r="E212" s="344" t="s">
        <v>2252</v>
      </c>
      <c r="F212" s="251" t="s">
        <v>1970</v>
      </c>
      <c r="G212" s="344">
        <v>36.75</v>
      </c>
      <c r="H212" s="344">
        <v>33.75</v>
      </c>
      <c r="I212" s="344" t="s">
        <v>3247</v>
      </c>
      <c r="J212" s="344" t="s">
        <v>3249</v>
      </c>
      <c r="K212" s="344" t="s">
        <v>3273</v>
      </c>
      <c r="L212" s="344" t="s">
        <v>3291</v>
      </c>
      <c r="M212" s="344" t="s">
        <v>3266</v>
      </c>
      <c r="N212" s="344" t="s">
        <v>1978</v>
      </c>
      <c r="O212" s="344" t="s">
        <v>1978</v>
      </c>
      <c r="P212" s="344" t="s">
        <v>1978</v>
      </c>
      <c r="Q212" s="344" t="s">
        <v>1978</v>
      </c>
      <c r="R212" s="344" t="s">
        <v>1978</v>
      </c>
      <c r="S212" s="344" t="s">
        <v>1978</v>
      </c>
      <c r="T212" s="251" t="s">
        <v>1078</v>
      </c>
      <c r="U212" s="344" t="s">
        <v>2150</v>
      </c>
      <c r="V212" s="344" t="s">
        <v>1970</v>
      </c>
      <c r="W212" s="344" t="s">
        <v>1970</v>
      </c>
      <c r="X212" s="344">
        <f>'A123'!J220</f>
        <v>41</v>
      </c>
      <c r="Y212" s="344">
        <f>'A123'!K220</f>
        <v>41</v>
      </c>
      <c r="Z212" s="344">
        <f>'A123'!L220</f>
        <v>4.8048780487804876</v>
      </c>
      <c r="AA212" s="344" t="s">
        <v>2165</v>
      </c>
      <c r="AB212" s="344" t="str">
        <f>入學要求!X221</f>
        <v>以下一科選修取得Lv.3︰M1/2、生物、化學、組合科學、物理</v>
      </c>
      <c r="AC212" s="344" t="str">
        <f>入學要求!Y221</f>
        <v>/</v>
      </c>
      <c r="AD212" s="251" t="s">
        <v>2252</v>
      </c>
      <c r="AE212" s="344" t="s">
        <v>3251</v>
      </c>
      <c r="AF212" s="344" t="s">
        <v>3252</v>
      </c>
      <c r="AG212" s="344" t="s">
        <v>3273</v>
      </c>
      <c r="AH212" s="344" t="s">
        <v>3265</v>
      </c>
      <c r="AI212" s="344" t="s">
        <v>3266</v>
      </c>
      <c r="AJ212" s="344" t="s">
        <v>3237</v>
      </c>
      <c r="AK212" s="344" t="s">
        <v>3226</v>
      </c>
      <c r="AL212" s="344" t="s">
        <v>3227</v>
      </c>
      <c r="AM212" s="251" t="s">
        <v>1970</v>
      </c>
      <c r="AN212" s="251" t="s">
        <v>1970</v>
      </c>
      <c r="AO212" s="344" t="s">
        <v>1970</v>
      </c>
      <c r="AP212" s="344" t="s">
        <v>3255</v>
      </c>
      <c r="AQ212" s="344" t="s">
        <v>1970</v>
      </c>
      <c r="AR212" s="344" t="s">
        <v>2150</v>
      </c>
      <c r="AS212" s="251" t="s">
        <v>3603</v>
      </c>
      <c r="AT212" s="565">
        <v>44708</v>
      </c>
      <c r="AU212" s="251" t="s">
        <v>1970</v>
      </c>
      <c r="AV212" s="565" t="s">
        <v>2521</v>
      </c>
      <c r="AW212" s="344"/>
      <c r="AX212" s="344"/>
      <c r="AY212" s="344"/>
      <c r="AZ212" s="344"/>
      <c r="BA212" s="344"/>
      <c r="BB212" s="251" t="s">
        <v>1970</v>
      </c>
      <c r="BC212" s="251" t="s">
        <v>1970</v>
      </c>
      <c r="BD212" s="251" t="s">
        <v>1970</v>
      </c>
      <c r="BE212" s="251" t="s">
        <v>1970</v>
      </c>
      <c r="BF212" s="251" t="s">
        <v>1970</v>
      </c>
      <c r="BG212" s="251" t="s">
        <v>1970</v>
      </c>
      <c r="BH212" s="251" t="s">
        <v>1970</v>
      </c>
      <c r="BI212" s="251" t="s">
        <v>1970</v>
      </c>
      <c r="BJ212" s="251" t="s">
        <v>1970</v>
      </c>
      <c r="BK212" s="251" t="s">
        <v>1970</v>
      </c>
      <c r="BL212" s="251" t="s">
        <v>1970</v>
      </c>
      <c r="BM212" s="251" t="s">
        <v>1970</v>
      </c>
      <c r="BN212" s="251" t="s">
        <v>1970</v>
      </c>
      <c r="BO212" s="251" t="s">
        <v>1970</v>
      </c>
      <c r="BP212" s="251" t="s">
        <v>1970</v>
      </c>
      <c r="BQ212" s="251" t="s">
        <v>1970</v>
      </c>
      <c r="BR212" s="251" t="s">
        <v>1970</v>
      </c>
      <c r="BS212" s="251" t="s">
        <v>1970</v>
      </c>
      <c r="BT212" s="251" t="s">
        <v>1970</v>
      </c>
      <c r="BU212" s="251" t="s">
        <v>1970</v>
      </c>
      <c r="BV212" s="251" t="s">
        <v>1970</v>
      </c>
      <c r="BW212" s="251" t="s">
        <v>1970</v>
      </c>
      <c r="BX212" s="251" t="s">
        <v>1970</v>
      </c>
      <c r="BY212" s="251" t="s">
        <v>1970</v>
      </c>
      <c r="BZ212" s="251" t="s">
        <v>1970</v>
      </c>
      <c r="CA212" s="251" t="s">
        <v>1970</v>
      </c>
      <c r="CB212" s="251" t="s">
        <v>1970</v>
      </c>
      <c r="CC212" s="251" t="s">
        <v>1970</v>
      </c>
      <c r="CD212" s="251" t="s">
        <v>1970</v>
      </c>
      <c r="CE212" s="251" t="s">
        <v>1970</v>
      </c>
      <c r="CF212" s="251" t="s">
        <v>1970</v>
      </c>
      <c r="CG212" s="251" t="s">
        <v>1970</v>
      </c>
      <c r="CH212" s="251" t="s">
        <v>1970</v>
      </c>
      <c r="CI212" s="251" t="s">
        <v>1970</v>
      </c>
      <c r="CJ212" s="251" t="s">
        <v>1970</v>
      </c>
      <c r="CK212" s="251" t="s">
        <v>1970</v>
      </c>
      <c r="CL212" s="251" t="s">
        <v>1970</v>
      </c>
      <c r="CM212" s="251" t="s">
        <v>1970</v>
      </c>
      <c r="CN212" s="251" t="s">
        <v>1970</v>
      </c>
      <c r="CO212" s="251" t="s">
        <v>1970</v>
      </c>
      <c r="CP212" s="251" t="s">
        <v>1970</v>
      </c>
      <c r="CQ212" s="251" t="s">
        <v>1970</v>
      </c>
      <c r="CR212" s="251" t="s">
        <v>1970</v>
      </c>
      <c r="CS212" s="251" t="s">
        <v>1970</v>
      </c>
      <c r="CT212" s="251" t="s">
        <v>1970</v>
      </c>
      <c r="CU212" s="251" t="s">
        <v>1970</v>
      </c>
      <c r="CV212" s="251" t="s">
        <v>1970</v>
      </c>
      <c r="CW212" s="251" t="s">
        <v>1970</v>
      </c>
      <c r="CX212" s="251" t="s">
        <v>1970</v>
      </c>
      <c r="CY212" s="251" t="s">
        <v>1970</v>
      </c>
      <c r="CZ212" s="251" t="s">
        <v>1970</v>
      </c>
      <c r="DA212" s="251" t="s">
        <v>1970</v>
      </c>
      <c r="DB212" s="251" t="s">
        <v>1970</v>
      </c>
      <c r="DC212" s="251" t="s">
        <v>1970</v>
      </c>
      <c r="DD212" s="251" t="s">
        <v>1970</v>
      </c>
      <c r="DE212" s="251" t="s">
        <v>1970</v>
      </c>
      <c r="DF212" s="251" t="s">
        <v>1970</v>
      </c>
      <c r="DG212" s="251" t="s">
        <v>1970</v>
      </c>
      <c r="DH212" s="251" t="s">
        <v>1970</v>
      </c>
      <c r="DI212" s="251" t="s">
        <v>1970</v>
      </c>
      <c r="DJ212" s="251" t="s">
        <v>1970</v>
      </c>
      <c r="DK212" s="251" t="s">
        <v>1970</v>
      </c>
      <c r="DL212" s="251" t="s">
        <v>1970</v>
      </c>
      <c r="DM212" s="251" t="s">
        <v>1970</v>
      </c>
      <c r="DN212" s="344" t="s">
        <v>1970</v>
      </c>
      <c r="DO212" s="344" t="s">
        <v>1970</v>
      </c>
      <c r="DP212" s="344" t="s">
        <v>1970</v>
      </c>
      <c r="DQ212" s="344" t="s">
        <v>1970</v>
      </c>
      <c r="DR212" s="344" t="s">
        <v>1970</v>
      </c>
      <c r="DS212" s="344" t="s">
        <v>1970</v>
      </c>
      <c r="DT212" s="344" t="s">
        <v>1970</v>
      </c>
      <c r="DU212" s="344" t="s">
        <v>1970</v>
      </c>
      <c r="DV212" s="344" t="s">
        <v>1970</v>
      </c>
      <c r="DW212" s="344" t="s">
        <v>1970</v>
      </c>
      <c r="DX212" s="344" t="s">
        <v>1970</v>
      </c>
      <c r="DY212" s="344" t="s">
        <v>1970</v>
      </c>
      <c r="DZ212" s="344" t="s">
        <v>1970</v>
      </c>
      <c r="EA212" s="344" t="s">
        <v>1970</v>
      </c>
      <c r="EB212" s="344" t="s">
        <v>1970</v>
      </c>
      <c r="EC212" s="344" t="s">
        <v>1970</v>
      </c>
      <c r="ED212" s="344" t="s">
        <v>1970</v>
      </c>
      <c r="EE212" s="344" t="s">
        <v>1970</v>
      </c>
      <c r="EF212" s="344" t="s">
        <v>1970</v>
      </c>
      <c r="EG212" s="344" t="s">
        <v>1970</v>
      </c>
      <c r="EH212" s="344" t="s">
        <v>1970</v>
      </c>
      <c r="EI212" s="344" t="s">
        <v>1970</v>
      </c>
      <c r="EJ212" s="344" t="s">
        <v>1970</v>
      </c>
      <c r="EK212" s="344" t="s">
        <v>1970</v>
      </c>
      <c r="EL212" s="344" t="s">
        <v>1970</v>
      </c>
      <c r="EM212" s="344" t="s">
        <v>1970</v>
      </c>
      <c r="EN212" s="344" t="s">
        <v>1970</v>
      </c>
      <c r="EO212" s="344" t="s">
        <v>1970</v>
      </c>
      <c r="EP212" s="344" t="s">
        <v>1970</v>
      </c>
      <c r="EQ212" s="344" t="s">
        <v>1970</v>
      </c>
      <c r="ER212" s="344" t="s">
        <v>1970</v>
      </c>
      <c r="ES212" s="344" t="s">
        <v>1970</v>
      </c>
    </row>
    <row r="213" spans="1:149" s="251" customFormat="1" x14ac:dyDescent="0.3">
      <c r="A213" s="251" t="s">
        <v>1082</v>
      </c>
      <c r="B213" s="344" t="s">
        <v>3195</v>
      </c>
      <c r="C213" s="251" t="s">
        <v>1983</v>
      </c>
      <c r="D213" s="251" t="s">
        <v>887</v>
      </c>
      <c r="E213" s="344" t="s">
        <v>2252</v>
      </c>
      <c r="F213" s="251" t="s">
        <v>1970</v>
      </c>
      <c r="G213" s="344">
        <v>38</v>
      </c>
      <c r="H213" s="344">
        <v>35.5</v>
      </c>
      <c r="I213" s="344" t="s">
        <v>3247</v>
      </c>
      <c r="J213" s="344" t="s">
        <v>3249</v>
      </c>
      <c r="K213" s="251" t="s">
        <v>3268</v>
      </c>
      <c r="L213" s="251" t="s">
        <v>3269</v>
      </c>
      <c r="M213" s="251" t="s">
        <v>3270</v>
      </c>
      <c r="N213" s="344" t="s">
        <v>1978</v>
      </c>
      <c r="O213" s="344" t="s">
        <v>1978</v>
      </c>
      <c r="P213" s="344" t="s">
        <v>1978</v>
      </c>
      <c r="Q213" s="344" t="s">
        <v>1978</v>
      </c>
      <c r="R213" s="344" t="s">
        <v>1978</v>
      </c>
      <c r="S213" s="344" t="s">
        <v>1978</v>
      </c>
      <c r="T213" s="251" t="s">
        <v>1083</v>
      </c>
      <c r="U213" s="344" t="s">
        <v>2150</v>
      </c>
      <c r="V213" s="344" t="s">
        <v>1970</v>
      </c>
      <c r="W213" s="344" t="s">
        <v>1970</v>
      </c>
      <c r="X213" s="344">
        <f>'A123'!J221</f>
        <v>532</v>
      </c>
      <c r="Y213" s="344">
        <f>'A123'!K221</f>
        <v>390</v>
      </c>
      <c r="Z213" s="344">
        <f>'A123'!L221</f>
        <v>4.3056994818652852</v>
      </c>
      <c r="AA213" s="344" t="s">
        <v>2165</v>
      </c>
      <c r="AB213" s="344" t="str">
        <f>入學要求!X222</f>
        <v>以下一科選修取得Lv.3︰生物、化學、組合科學、物理、ICT</v>
      </c>
      <c r="AC213" s="344" t="str">
        <f>入學要求!Y222</f>
        <v>/</v>
      </c>
      <c r="AD213" s="251" t="s">
        <v>2252</v>
      </c>
      <c r="AE213" s="344" t="s">
        <v>3251</v>
      </c>
      <c r="AF213" s="344" t="s">
        <v>3252</v>
      </c>
      <c r="AG213" s="344" t="s">
        <v>3268</v>
      </c>
      <c r="AH213" s="344" t="s">
        <v>3269</v>
      </c>
      <c r="AI213" s="344" t="s">
        <v>3270</v>
      </c>
      <c r="AJ213" s="344" t="s">
        <v>3237</v>
      </c>
      <c r="AK213" s="344" t="s">
        <v>3228</v>
      </c>
      <c r="AL213" s="344" t="s">
        <v>3227</v>
      </c>
      <c r="AM213" s="251" t="s">
        <v>1970</v>
      </c>
      <c r="AN213" s="251" t="s">
        <v>1970</v>
      </c>
      <c r="AO213" s="344" t="s">
        <v>1970</v>
      </c>
      <c r="AP213" s="251" t="s">
        <v>3256</v>
      </c>
      <c r="AQ213" s="344" t="s">
        <v>1970</v>
      </c>
      <c r="AR213" s="344" t="s">
        <v>2150</v>
      </c>
      <c r="AS213" s="251" t="s">
        <v>3603</v>
      </c>
      <c r="AT213" s="565">
        <v>44726</v>
      </c>
      <c r="AU213" s="251" t="s">
        <v>1970</v>
      </c>
      <c r="AV213" s="565" t="s">
        <v>2521</v>
      </c>
      <c r="AW213" s="344"/>
      <c r="AX213" s="344"/>
      <c r="AY213" s="344"/>
      <c r="AZ213" s="344"/>
      <c r="BA213" s="344"/>
      <c r="BB213" s="251" t="s">
        <v>1970</v>
      </c>
      <c r="BC213" s="251" t="s">
        <v>1970</v>
      </c>
      <c r="BD213" s="251" t="s">
        <v>1970</v>
      </c>
      <c r="BE213" s="251" t="s">
        <v>1970</v>
      </c>
      <c r="BF213" s="251" t="s">
        <v>1970</v>
      </c>
      <c r="BG213" s="251" t="s">
        <v>1970</v>
      </c>
      <c r="BH213" s="251" t="s">
        <v>1970</v>
      </c>
      <c r="BI213" s="251" t="s">
        <v>1970</v>
      </c>
      <c r="BJ213" s="251" t="s">
        <v>1970</v>
      </c>
      <c r="BK213" s="251" t="s">
        <v>1970</v>
      </c>
      <c r="BL213" s="251" t="s">
        <v>1970</v>
      </c>
      <c r="BM213" s="251" t="s">
        <v>1970</v>
      </c>
      <c r="BN213" s="251" t="s">
        <v>1970</v>
      </c>
      <c r="BO213" s="251" t="s">
        <v>1970</v>
      </c>
      <c r="BP213" s="251" t="s">
        <v>1970</v>
      </c>
      <c r="BQ213" s="251" t="s">
        <v>1970</v>
      </c>
      <c r="BR213" s="251" t="s">
        <v>1970</v>
      </c>
      <c r="BS213" s="251" t="s">
        <v>1970</v>
      </c>
      <c r="BT213" s="251" t="s">
        <v>1970</v>
      </c>
      <c r="BU213" s="251" t="s">
        <v>1970</v>
      </c>
      <c r="BV213" s="251" t="s">
        <v>1970</v>
      </c>
      <c r="BW213" s="251" t="s">
        <v>1970</v>
      </c>
      <c r="BX213" s="251" t="s">
        <v>1970</v>
      </c>
      <c r="BY213" s="251" t="s">
        <v>1970</v>
      </c>
      <c r="BZ213" s="251" t="s">
        <v>1970</v>
      </c>
      <c r="CA213" s="251" t="s">
        <v>1970</v>
      </c>
      <c r="CB213" s="251" t="s">
        <v>1970</v>
      </c>
      <c r="CC213" s="251" t="s">
        <v>1970</v>
      </c>
      <c r="CD213" s="251" t="s">
        <v>1970</v>
      </c>
      <c r="CE213" s="251" t="s">
        <v>1970</v>
      </c>
      <c r="CF213" s="251" t="s">
        <v>1970</v>
      </c>
      <c r="CG213" s="251" t="s">
        <v>1970</v>
      </c>
      <c r="CH213" s="251" t="s">
        <v>1970</v>
      </c>
      <c r="CI213" s="251" t="s">
        <v>1970</v>
      </c>
      <c r="CJ213" s="251" t="s">
        <v>1970</v>
      </c>
      <c r="CK213" s="251" t="s">
        <v>1970</v>
      </c>
      <c r="CL213" s="251" t="s">
        <v>1970</v>
      </c>
      <c r="CM213" s="251" t="s">
        <v>1970</v>
      </c>
      <c r="CN213" s="251" t="s">
        <v>1970</v>
      </c>
      <c r="CO213" s="251" t="s">
        <v>1970</v>
      </c>
      <c r="CP213" s="251" t="s">
        <v>1970</v>
      </c>
      <c r="CQ213" s="251" t="s">
        <v>1970</v>
      </c>
      <c r="CR213" s="251" t="s">
        <v>1970</v>
      </c>
      <c r="CS213" s="251" t="s">
        <v>1970</v>
      </c>
      <c r="CT213" s="251" t="s">
        <v>1970</v>
      </c>
      <c r="CU213" s="251" t="s">
        <v>1970</v>
      </c>
      <c r="CV213" s="251" t="s">
        <v>1970</v>
      </c>
      <c r="CW213" s="251" t="s">
        <v>1970</v>
      </c>
      <c r="CX213" s="251" t="s">
        <v>1970</v>
      </c>
      <c r="CY213" s="251" t="s">
        <v>1970</v>
      </c>
      <c r="CZ213" s="251" t="s">
        <v>1970</v>
      </c>
      <c r="DA213" s="251" t="s">
        <v>1970</v>
      </c>
      <c r="DB213" s="251" t="s">
        <v>1970</v>
      </c>
      <c r="DC213" s="251" t="s">
        <v>1970</v>
      </c>
      <c r="DD213" s="251" t="s">
        <v>1970</v>
      </c>
      <c r="DE213" s="251" t="s">
        <v>1970</v>
      </c>
      <c r="DF213" s="251" t="s">
        <v>1970</v>
      </c>
      <c r="DG213" s="251" t="s">
        <v>1970</v>
      </c>
      <c r="DH213" s="251" t="s">
        <v>1970</v>
      </c>
      <c r="DI213" s="251" t="s">
        <v>1970</v>
      </c>
      <c r="DJ213" s="251" t="s">
        <v>1970</v>
      </c>
      <c r="DK213" s="251" t="s">
        <v>1970</v>
      </c>
      <c r="DL213" s="251" t="s">
        <v>1970</v>
      </c>
      <c r="DM213" s="251" t="s">
        <v>1970</v>
      </c>
      <c r="DN213" s="344" t="s">
        <v>1970</v>
      </c>
      <c r="DO213" s="344" t="s">
        <v>1970</v>
      </c>
      <c r="DP213" s="344" t="s">
        <v>1970</v>
      </c>
      <c r="DQ213" s="344" t="s">
        <v>1970</v>
      </c>
      <c r="DR213" s="344" t="s">
        <v>1970</v>
      </c>
      <c r="DS213" s="344" t="s">
        <v>1970</v>
      </c>
      <c r="DT213" s="344" t="s">
        <v>1970</v>
      </c>
      <c r="DU213" s="344" t="s">
        <v>1970</v>
      </c>
      <c r="DV213" s="344" t="s">
        <v>1970</v>
      </c>
      <c r="DW213" s="344" t="s">
        <v>1970</v>
      </c>
      <c r="DX213" s="344" t="s">
        <v>1970</v>
      </c>
      <c r="DY213" s="344" t="s">
        <v>1970</v>
      </c>
      <c r="DZ213" s="344" t="s">
        <v>1970</v>
      </c>
      <c r="EA213" s="344" t="s">
        <v>1970</v>
      </c>
      <c r="EB213" s="344" t="s">
        <v>1970</v>
      </c>
      <c r="EC213" s="344" t="s">
        <v>1970</v>
      </c>
      <c r="ED213" s="344" t="s">
        <v>1970</v>
      </c>
      <c r="EE213" s="344" t="s">
        <v>1970</v>
      </c>
      <c r="EF213" s="344" t="s">
        <v>1970</v>
      </c>
      <c r="EG213" s="344" t="s">
        <v>1970</v>
      </c>
      <c r="EH213" s="344" t="s">
        <v>1970</v>
      </c>
      <c r="EI213" s="344" t="s">
        <v>1970</v>
      </c>
      <c r="EJ213" s="344" t="s">
        <v>1970</v>
      </c>
      <c r="EK213" s="344" t="s">
        <v>1970</v>
      </c>
      <c r="EL213" s="344" t="s">
        <v>1970</v>
      </c>
      <c r="EM213" s="344" t="s">
        <v>1970</v>
      </c>
      <c r="EN213" s="344" t="s">
        <v>1970</v>
      </c>
      <c r="EO213" s="344" t="s">
        <v>1970</v>
      </c>
      <c r="EP213" s="344" t="s">
        <v>1970</v>
      </c>
      <c r="EQ213" s="344" t="s">
        <v>1970</v>
      </c>
      <c r="ER213" s="344" t="s">
        <v>1970</v>
      </c>
      <c r="ES213" s="344" t="s">
        <v>1970</v>
      </c>
    </row>
    <row r="214" spans="1:149" s="251" customFormat="1" x14ac:dyDescent="0.3">
      <c r="A214" s="251" t="s">
        <v>1085</v>
      </c>
      <c r="B214" s="344" t="s">
        <v>3195</v>
      </c>
      <c r="C214" s="251" t="s">
        <v>1983</v>
      </c>
      <c r="D214" s="251" t="s">
        <v>1088</v>
      </c>
      <c r="E214" s="344" t="s">
        <v>2252</v>
      </c>
      <c r="F214" s="251" t="s">
        <v>1970</v>
      </c>
      <c r="G214" s="251">
        <v>38.5</v>
      </c>
      <c r="H214" s="251">
        <v>34.5</v>
      </c>
      <c r="I214" s="344" t="s">
        <v>3247</v>
      </c>
      <c r="J214" s="344" t="s">
        <v>3249</v>
      </c>
      <c r="K214" s="344" t="s">
        <v>3268</v>
      </c>
      <c r="L214" s="344" t="s">
        <v>3271</v>
      </c>
      <c r="M214" s="344" t="s">
        <v>3270</v>
      </c>
      <c r="N214" s="344" t="s">
        <v>1978</v>
      </c>
      <c r="O214" s="344" t="s">
        <v>1978</v>
      </c>
      <c r="P214" s="344" t="s">
        <v>1978</v>
      </c>
      <c r="Q214" s="344" t="s">
        <v>1978</v>
      </c>
      <c r="R214" s="344" t="s">
        <v>1978</v>
      </c>
      <c r="S214" s="344" t="s">
        <v>1978</v>
      </c>
      <c r="T214" s="251" t="s">
        <v>1086</v>
      </c>
      <c r="U214" s="344" t="s">
        <v>2150</v>
      </c>
      <c r="V214" s="344" t="s">
        <v>1970</v>
      </c>
      <c r="W214" s="344" t="s">
        <v>1970</v>
      </c>
      <c r="X214" s="344">
        <f>'A123'!J222</f>
        <v>25</v>
      </c>
      <c r="Y214" s="344">
        <f>'A123'!K222</f>
        <v>10</v>
      </c>
      <c r="Z214" s="344">
        <f>'A123'!L222</f>
        <v>3.6</v>
      </c>
      <c r="AA214" s="344" t="s">
        <v>2165</v>
      </c>
      <c r="AB214" s="344" t="str">
        <f>入學要求!X223</f>
        <v>以下一科選修取得Lv.3︰生物、化學、組合科學、物理、ICT、DAT</v>
      </c>
      <c r="AC214" s="344" t="str">
        <f>入學要求!Y223</f>
        <v>申請人必須以指定連結遞交 設計相關履歷。</v>
      </c>
      <c r="AD214" s="251" t="s">
        <v>2252</v>
      </c>
      <c r="AE214" s="344" t="s">
        <v>3251</v>
      </c>
      <c r="AF214" s="344" t="s">
        <v>3252</v>
      </c>
      <c r="AG214" s="344" t="s">
        <v>3268</v>
      </c>
      <c r="AH214" s="344" t="s">
        <v>3271</v>
      </c>
      <c r="AI214" s="344" t="s">
        <v>3270</v>
      </c>
      <c r="AJ214" s="344" t="s">
        <v>3237</v>
      </c>
      <c r="AK214" s="344" t="s">
        <v>3229</v>
      </c>
      <c r="AL214" s="344" t="s">
        <v>3227</v>
      </c>
      <c r="AM214" s="344" t="s">
        <v>3220</v>
      </c>
      <c r="AN214" s="344" t="s">
        <v>3221</v>
      </c>
      <c r="AO214" s="370" t="s">
        <v>3219</v>
      </c>
      <c r="AP214" s="251" t="s">
        <v>3256</v>
      </c>
      <c r="AQ214" s="344" t="s">
        <v>1970</v>
      </c>
      <c r="AR214" s="344" t="s">
        <v>2150</v>
      </c>
      <c r="AS214" s="251" t="s">
        <v>3620</v>
      </c>
      <c r="AT214" s="251" t="s">
        <v>3675</v>
      </c>
      <c r="AU214" s="251" t="s">
        <v>3670</v>
      </c>
      <c r="AV214" s="565" t="s">
        <v>2521</v>
      </c>
      <c r="AW214" s="344"/>
      <c r="AX214" s="344"/>
      <c r="AY214" s="344"/>
      <c r="AZ214" s="344"/>
      <c r="BA214" s="344"/>
      <c r="BB214" s="251" t="s">
        <v>1970</v>
      </c>
      <c r="BC214" s="251" t="s">
        <v>1970</v>
      </c>
      <c r="BD214" s="251" t="s">
        <v>1970</v>
      </c>
      <c r="BE214" s="251" t="s">
        <v>1970</v>
      </c>
      <c r="BF214" s="251" t="s">
        <v>1970</v>
      </c>
      <c r="BG214" s="251" t="s">
        <v>1970</v>
      </c>
      <c r="BH214" s="251" t="s">
        <v>1970</v>
      </c>
      <c r="BI214" s="251" t="s">
        <v>1970</v>
      </c>
      <c r="BJ214" s="251" t="s">
        <v>1970</v>
      </c>
      <c r="BK214" s="251" t="s">
        <v>1970</v>
      </c>
      <c r="BL214" s="251" t="s">
        <v>1970</v>
      </c>
      <c r="BM214" s="251" t="s">
        <v>1970</v>
      </c>
      <c r="BN214" s="251" t="s">
        <v>1970</v>
      </c>
      <c r="BO214" s="251" t="s">
        <v>1970</v>
      </c>
      <c r="BP214" s="251" t="s">
        <v>1970</v>
      </c>
      <c r="BQ214" s="251" t="s">
        <v>1970</v>
      </c>
      <c r="BR214" s="251" t="s">
        <v>1970</v>
      </c>
      <c r="BS214" s="251" t="s">
        <v>1970</v>
      </c>
      <c r="BT214" s="251" t="s">
        <v>1970</v>
      </c>
      <c r="BU214" s="251" t="s">
        <v>1970</v>
      </c>
      <c r="BV214" s="251" t="s">
        <v>1970</v>
      </c>
      <c r="BW214" s="251" t="s">
        <v>1970</v>
      </c>
      <c r="BX214" s="251" t="s">
        <v>1970</v>
      </c>
      <c r="BY214" s="251" t="s">
        <v>1970</v>
      </c>
      <c r="BZ214" s="251" t="s">
        <v>1970</v>
      </c>
      <c r="CA214" s="251" t="s">
        <v>1970</v>
      </c>
      <c r="CB214" s="251" t="s">
        <v>1970</v>
      </c>
      <c r="CC214" s="251" t="s">
        <v>1970</v>
      </c>
      <c r="CD214" s="251" t="s">
        <v>1970</v>
      </c>
      <c r="CE214" s="251" t="s">
        <v>1970</v>
      </c>
      <c r="CF214" s="251" t="s">
        <v>1970</v>
      </c>
      <c r="CG214" s="251" t="s">
        <v>1970</v>
      </c>
      <c r="CH214" s="251" t="s">
        <v>1970</v>
      </c>
      <c r="CI214" s="251" t="s">
        <v>1970</v>
      </c>
      <c r="CJ214" s="251" t="s">
        <v>1970</v>
      </c>
      <c r="CK214" s="251" t="s">
        <v>1970</v>
      </c>
      <c r="CL214" s="251" t="s">
        <v>1970</v>
      </c>
      <c r="CM214" s="251" t="s">
        <v>1970</v>
      </c>
      <c r="CN214" s="251" t="s">
        <v>1970</v>
      </c>
      <c r="CO214" s="251" t="s">
        <v>1970</v>
      </c>
      <c r="CP214" s="251" t="s">
        <v>1970</v>
      </c>
      <c r="CQ214" s="251" t="s">
        <v>1970</v>
      </c>
      <c r="CR214" s="251" t="s">
        <v>1970</v>
      </c>
      <c r="CS214" s="251" t="s">
        <v>1970</v>
      </c>
      <c r="CT214" s="251" t="s">
        <v>1970</v>
      </c>
      <c r="CU214" s="251" t="s">
        <v>1970</v>
      </c>
      <c r="CV214" s="251" t="s">
        <v>1970</v>
      </c>
      <c r="CW214" s="251" t="s">
        <v>1970</v>
      </c>
      <c r="CX214" s="251" t="s">
        <v>1970</v>
      </c>
      <c r="CY214" s="251" t="s">
        <v>1970</v>
      </c>
      <c r="CZ214" s="251" t="s">
        <v>1970</v>
      </c>
      <c r="DA214" s="251" t="s">
        <v>1970</v>
      </c>
      <c r="DB214" s="251" t="s">
        <v>1970</v>
      </c>
      <c r="DC214" s="251" t="s">
        <v>1970</v>
      </c>
      <c r="DD214" s="251" t="s">
        <v>1970</v>
      </c>
      <c r="DE214" s="251" t="s">
        <v>1970</v>
      </c>
      <c r="DF214" s="251" t="s">
        <v>1970</v>
      </c>
      <c r="DG214" s="251" t="s">
        <v>1970</v>
      </c>
      <c r="DH214" s="251" t="s">
        <v>1970</v>
      </c>
      <c r="DI214" s="251" t="s">
        <v>1970</v>
      </c>
      <c r="DJ214" s="251" t="s">
        <v>1970</v>
      </c>
      <c r="DK214" s="251" t="s">
        <v>1970</v>
      </c>
      <c r="DL214" s="251" t="s">
        <v>1970</v>
      </c>
      <c r="DM214" s="251" t="s">
        <v>1970</v>
      </c>
      <c r="DN214" s="344" t="s">
        <v>1970</v>
      </c>
      <c r="DO214" s="344" t="s">
        <v>1970</v>
      </c>
      <c r="DP214" s="344" t="s">
        <v>1970</v>
      </c>
      <c r="DQ214" s="344" t="s">
        <v>1970</v>
      </c>
      <c r="DR214" s="344" t="s">
        <v>1970</v>
      </c>
      <c r="DS214" s="344" t="s">
        <v>1970</v>
      </c>
      <c r="DT214" s="344" t="s">
        <v>1970</v>
      </c>
      <c r="DU214" s="344" t="s">
        <v>1970</v>
      </c>
      <c r="DV214" s="344" t="s">
        <v>1970</v>
      </c>
      <c r="DW214" s="344" t="s">
        <v>1970</v>
      </c>
      <c r="DX214" s="344" t="s">
        <v>1970</v>
      </c>
      <c r="DY214" s="344" t="s">
        <v>1970</v>
      </c>
      <c r="DZ214" s="344" t="s">
        <v>1970</v>
      </c>
      <c r="EA214" s="344" t="s">
        <v>1970</v>
      </c>
      <c r="EB214" s="344" t="s">
        <v>1970</v>
      </c>
      <c r="EC214" s="344" t="s">
        <v>1970</v>
      </c>
      <c r="ED214" s="344" t="s">
        <v>1970</v>
      </c>
      <c r="EE214" s="344" t="s">
        <v>1970</v>
      </c>
      <c r="EF214" s="344" t="s">
        <v>1970</v>
      </c>
      <c r="EG214" s="344" t="s">
        <v>1970</v>
      </c>
      <c r="EH214" s="344" t="s">
        <v>1970</v>
      </c>
      <c r="EI214" s="344" t="s">
        <v>1970</v>
      </c>
      <c r="EJ214" s="344" t="s">
        <v>1970</v>
      </c>
      <c r="EK214" s="344" t="s">
        <v>1970</v>
      </c>
      <c r="EL214" s="344" t="s">
        <v>1970</v>
      </c>
      <c r="EM214" s="344" t="s">
        <v>1970</v>
      </c>
      <c r="EN214" s="344" t="s">
        <v>1970</v>
      </c>
      <c r="EO214" s="344" t="s">
        <v>1970</v>
      </c>
      <c r="EP214" s="344" t="s">
        <v>1970</v>
      </c>
      <c r="EQ214" s="344" t="s">
        <v>1970</v>
      </c>
      <c r="ER214" s="344" t="s">
        <v>1970</v>
      </c>
      <c r="ES214" s="344" t="s">
        <v>1970</v>
      </c>
    </row>
    <row r="215" spans="1:149" s="251" customFormat="1" x14ac:dyDescent="0.3">
      <c r="A215" s="251" t="s">
        <v>1090</v>
      </c>
      <c r="B215" s="344" t="s">
        <v>3195</v>
      </c>
      <c r="C215" s="251" t="s">
        <v>1983</v>
      </c>
      <c r="D215" s="251" t="s">
        <v>1093</v>
      </c>
      <c r="E215" s="344" t="s">
        <v>2252</v>
      </c>
      <c r="F215" s="251" t="s">
        <v>1970</v>
      </c>
      <c r="G215" s="251">
        <v>47</v>
      </c>
      <c r="H215" s="251">
        <v>44.5</v>
      </c>
      <c r="I215" s="344" t="s">
        <v>3247</v>
      </c>
      <c r="J215" s="344" t="s">
        <v>3249</v>
      </c>
      <c r="K215" s="344" t="s">
        <v>3268</v>
      </c>
      <c r="L215" s="344" t="s">
        <v>3269</v>
      </c>
      <c r="M215" s="344" t="s">
        <v>3270</v>
      </c>
      <c r="N215" s="344" t="s">
        <v>1978</v>
      </c>
      <c r="O215" s="344" t="s">
        <v>1978</v>
      </c>
      <c r="P215" s="344" t="s">
        <v>1978</v>
      </c>
      <c r="Q215" s="344" t="s">
        <v>1978</v>
      </c>
      <c r="R215" s="344" t="s">
        <v>1978</v>
      </c>
      <c r="S215" s="344" t="s">
        <v>1978</v>
      </c>
      <c r="T215" s="251" t="s">
        <v>1091</v>
      </c>
      <c r="U215" s="344" t="s">
        <v>2150</v>
      </c>
      <c r="V215" s="344" t="s">
        <v>1970</v>
      </c>
      <c r="W215" s="344" t="s">
        <v>1970</v>
      </c>
      <c r="X215" s="344">
        <f>'A123'!J223</f>
        <v>152</v>
      </c>
      <c r="Y215" s="344">
        <f>'A123'!K223</f>
        <v>182</v>
      </c>
      <c r="Z215" s="344">
        <f>'A123'!L223</f>
        <v>3.7071823204419889</v>
      </c>
      <c r="AA215" s="344" t="s">
        <v>2165</v>
      </c>
      <c r="AB215" s="344" t="str">
        <f>入學要求!X224</f>
        <v>/</v>
      </c>
      <c r="AC215" s="344" t="str">
        <f>入學要求!Y224</f>
        <v>/</v>
      </c>
      <c r="AD215" s="251" t="s">
        <v>2252</v>
      </c>
      <c r="AE215" s="344" t="s">
        <v>3251</v>
      </c>
      <c r="AF215" s="344" t="s">
        <v>3252</v>
      </c>
      <c r="AG215" s="344" t="s">
        <v>3268</v>
      </c>
      <c r="AH215" s="344" t="s">
        <v>3269</v>
      </c>
      <c r="AI215" s="344" t="s">
        <v>3270</v>
      </c>
      <c r="AJ215" s="344" t="s">
        <v>3237</v>
      </c>
      <c r="AK215" s="344" t="s">
        <v>3230</v>
      </c>
      <c r="AL215" s="344" t="s">
        <v>1970</v>
      </c>
      <c r="AM215" s="251" t="s">
        <v>1970</v>
      </c>
      <c r="AN215" s="251" t="s">
        <v>1970</v>
      </c>
      <c r="AO215" s="344" t="s">
        <v>1970</v>
      </c>
      <c r="AP215" s="251" t="s">
        <v>3256</v>
      </c>
      <c r="AQ215" s="344" t="s">
        <v>1970</v>
      </c>
      <c r="AR215" s="344" t="s">
        <v>2150</v>
      </c>
      <c r="AS215" s="251" t="s">
        <v>3603</v>
      </c>
      <c r="AT215" s="565">
        <v>44726</v>
      </c>
      <c r="AU215" s="251" t="s">
        <v>1970</v>
      </c>
      <c r="AV215" s="565" t="s">
        <v>2521</v>
      </c>
      <c r="AW215" s="344"/>
      <c r="AX215" s="344"/>
      <c r="AY215" s="344"/>
      <c r="AZ215" s="344"/>
      <c r="BA215" s="344"/>
      <c r="BB215" s="251" t="s">
        <v>1970</v>
      </c>
      <c r="BC215" s="251" t="s">
        <v>1970</v>
      </c>
      <c r="BD215" s="251" t="s">
        <v>1970</v>
      </c>
      <c r="BE215" s="251" t="s">
        <v>1970</v>
      </c>
      <c r="BF215" s="251" t="s">
        <v>1970</v>
      </c>
      <c r="BG215" s="251" t="s">
        <v>1970</v>
      </c>
      <c r="BH215" s="251" t="s">
        <v>1970</v>
      </c>
      <c r="BI215" s="251" t="s">
        <v>1970</v>
      </c>
      <c r="BJ215" s="251" t="s">
        <v>1970</v>
      </c>
      <c r="BK215" s="251" t="s">
        <v>1970</v>
      </c>
      <c r="BL215" s="251" t="s">
        <v>1970</v>
      </c>
      <c r="BM215" s="251" t="s">
        <v>1970</v>
      </c>
      <c r="BN215" s="251" t="s">
        <v>1970</v>
      </c>
      <c r="BO215" s="251" t="s">
        <v>1970</v>
      </c>
      <c r="BP215" s="251" t="s">
        <v>1970</v>
      </c>
      <c r="BQ215" s="251" t="s">
        <v>1970</v>
      </c>
      <c r="BR215" s="251" t="s">
        <v>1970</v>
      </c>
      <c r="BS215" s="251" t="s">
        <v>1970</v>
      </c>
      <c r="BT215" s="251" t="s">
        <v>1970</v>
      </c>
      <c r="BU215" s="251" t="s">
        <v>1970</v>
      </c>
      <c r="BV215" s="251" t="s">
        <v>1970</v>
      </c>
      <c r="BW215" s="251" t="s">
        <v>1970</v>
      </c>
      <c r="BX215" s="251" t="s">
        <v>1970</v>
      </c>
      <c r="BY215" s="251" t="s">
        <v>1970</v>
      </c>
      <c r="BZ215" s="251" t="s">
        <v>1970</v>
      </c>
      <c r="CA215" s="251" t="s">
        <v>1970</v>
      </c>
      <c r="CB215" s="251" t="s">
        <v>1970</v>
      </c>
      <c r="CC215" s="251" t="s">
        <v>1970</v>
      </c>
      <c r="CD215" s="251" t="s">
        <v>1970</v>
      </c>
      <c r="CE215" s="251" t="s">
        <v>1970</v>
      </c>
      <c r="CF215" s="251" t="s">
        <v>1970</v>
      </c>
      <c r="CG215" s="251" t="s">
        <v>1970</v>
      </c>
      <c r="CH215" s="251" t="s">
        <v>1970</v>
      </c>
      <c r="CI215" s="251" t="s">
        <v>1970</v>
      </c>
      <c r="CJ215" s="251" t="s">
        <v>1970</v>
      </c>
      <c r="CK215" s="251" t="s">
        <v>1970</v>
      </c>
      <c r="CL215" s="251" t="s">
        <v>1970</v>
      </c>
      <c r="CM215" s="251" t="s">
        <v>1970</v>
      </c>
      <c r="CN215" s="251" t="s">
        <v>1970</v>
      </c>
      <c r="CO215" s="251" t="s">
        <v>1970</v>
      </c>
      <c r="CP215" s="251" t="s">
        <v>1970</v>
      </c>
      <c r="CQ215" s="251" t="s">
        <v>1970</v>
      </c>
      <c r="CR215" s="251" t="s">
        <v>1970</v>
      </c>
      <c r="CS215" s="251" t="s">
        <v>1970</v>
      </c>
      <c r="CT215" s="251" t="s">
        <v>1970</v>
      </c>
      <c r="CU215" s="251" t="s">
        <v>1970</v>
      </c>
      <c r="CV215" s="251" t="s">
        <v>1970</v>
      </c>
      <c r="CW215" s="251" t="s">
        <v>1970</v>
      </c>
      <c r="CX215" s="251" t="s">
        <v>1970</v>
      </c>
      <c r="CY215" s="251" t="s">
        <v>1970</v>
      </c>
      <c r="CZ215" s="251" t="s">
        <v>1970</v>
      </c>
      <c r="DA215" s="251" t="s">
        <v>1970</v>
      </c>
      <c r="DB215" s="251" t="s">
        <v>1970</v>
      </c>
      <c r="DC215" s="251" t="s">
        <v>1970</v>
      </c>
      <c r="DD215" s="251" t="s">
        <v>1970</v>
      </c>
      <c r="DE215" s="251" t="s">
        <v>1970</v>
      </c>
      <c r="DF215" s="251" t="s">
        <v>1970</v>
      </c>
      <c r="DG215" s="251" t="s">
        <v>1970</v>
      </c>
      <c r="DH215" s="251" t="s">
        <v>1970</v>
      </c>
      <c r="DI215" s="251" t="s">
        <v>1970</v>
      </c>
      <c r="DJ215" s="251" t="s">
        <v>1970</v>
      </c>
      <c r="DK215" s="251" t="s">
        <v>1970</v>
      </c>
      <c r="DL215" s="251" t="s">
        <v>1970</v>
      </c>
      <c r="DM215" s="251" t="s">
        <v>1970</v>
      </c>
      <c r="DN215" s="344" t="s">
        <v>1970</v>
      </c>
      <c r="DO215" s="344" t="s">
        <v>1970</v>
      </c>
      <c r="DP215" s="344" t="s">
        <v>1970</v>
      </c>
      <c r="DQ215" s="344" t="s">
        <v>1970</v>
      </c>
      <c r="DR215" s="344" t="s">
        <v>1970</v>
      </c>
      <c r="DS215" s="344" t="s">
        <v>1970</v>
      </c>
      <c r="DT215" s="344" t="s">
        <v>1970</v>
      </c>
      <c r="DU215" s="344" t="s">
        <v>1970</v>
      </c>
      <c r="DV215" s="344" t="s">
        <v>1970</v>
      </c>
      <c r="DW215" s="344" t="s">
        <v>1970</v>
      </c>
      <c r="DX215" s="344" t="s">
        <v>1970</v>
      </c>
      <c r="DY215" s="344" t="s">
        <v>1970</v>
      </c>
      <c r="DZ215" s="344" t="s">
        <v>1970</v>
      </c>
      <c r="EA215" s="344" t="s">
        <v>1970</v>
      </c>
      <c r="EB215" s="344" t="s">
        <v>1970</v>
      </c>
      <c r="EC215" s="344" t="s">
        <v>1970</v>
      </c>
      <c r="ED215" s="344" t="s">
        <v>1970</v>
      </c>
      <c r="EE215" s="344" t="s">
        <v>1970</v>
      </c>
      <c r="EF215" s="344" t="s">
        <v>1970</v>
      </c>
      <c r="EG215" s="344" t="s">
        <v>1970</v>
      </c>
      <c r="EH215" s="344" t="s">
        <v>1970</v>
      </c>
      <c r="EI215" s="344" t="s">
        <v>1970</v>
      </c>
      <c r="EJ215" s="344" t="s">
        <v>1970</v>
      </c>
      <c r="EK215" s="344" t="s">
        <v>1970</v>
      </c>
      <c r="EL215" s="344" t="s">
        <v>1970</v>
      </c>
      <c r="EM215" s="344" t="s">
        <v>1970</v>
      </c>
      <c r="EN215" s="344" t="s">
        <v>1970</v>
      </c>
      <c r="EO215" s="344" t="s">
        <v>1970</v>
      </c>
      <c r="EP215" s="344" t="s">
        <v>1970</v>
      </c>
      <c r="EQ215" s="344" t="s">
        <v>1970</v>
      </c>
      <c r="ER215" s="344" t="s">
        <v>1970</v>
      </c>
      <c r="ES215" s="344" t="s">
        <v>1970</v>
      </c>
    </row>
    <row r="216" spans="1:149" s="251" customFormat="1" x14ac:dyDescent="0.3">
      <c r="A216" s="251" t="s">
        <v>1095</v>
      </c>
      <c r="B216" s="344" t="s">
        <v>3195</v>
      </c>
      <c r="C216" s="251" t="s">
        <v>2149</v>
      </c>
      <c r="D216" s="251" t="s">
        <v>1098</v>
      </c>
      <c r="E216" s="344" t="s">
        <v>2255</v>
      </c>
      <c r="F216" s="251" t="s">
        <v>1970</v>
      </c>
      <c r="G216" s="344">
        <v>35</v>
      </c>
      <c r="H216" s="344">
        <v>34.5</v>
      </c>
      <c r="I216" s="344" t="s">
        <v>3247</v>
      </c>
      <c r="J216" s="344" t="s">
        <v>3249</v>
      </c>
      <c r="K216" s="344" t="s">
        <v>3272</v>
      </c>
      <c r="L216" s="251" t="s">
        <v>1970</v>
      </c>
      <c r="M216" s="251" t="s">
        <v>1970</v>
      </c>
      <c r="N216" s="344" t="s">
        <v>1978</v>
      </c>
      <c r="O216" s="344" t="s">
        <v>1978</v>
      </c>
      <c r="P216" s="344" t="s">
        <v>1978</v>
      </c>
      <c r="Q216" s="344" t="s">
        <v>1978</v>
      </c>
      <c r="R216" s="344" t="s">
        <v>1978</v>
      </c>
      <c r="S216" s="344" t="s">
        <v>1978</v>
      </c>
      <c r="T216" s="251" t="s">
        <v>1096</v>
      </c>
      <c r="U216" s="344" t="s">
        <v>2150</v>
      </c>
      <c r="V216" s="344" t="s">
        <v>1970</v>
      </c>
      <c r="W216" s="344" t="s">
        <v>1970</v>
      </c>
      <c r="X216" s="344">
        <f>'A123'!J224</f>
        <v>377</v>
      </c>
      <c r="Y216" s="344">
        <f>'A123'!K224</f>
        <v>340</v>
      </c>
      <c r="Z216" s="344">
        <f>'A123'!L224</f>
        <v>3.4588235294117649</v>
      </c>
      <c r="AA216" s="344" t="s">
        <v>2165</v>
      </c>
      <c r="AB216" s="344" t="str">
        <f>入學要求!X225</f>
        <v>/</v>
      </c>
      <c r="AC216" s="344" t="str">
        <f>入學要求!Y225</f>
        <v>/</v>
      </c>
      <c r="AD216" s="251" t="s">
        <v>2255</v>
      </c>
      <c r="AE216" s="344" t="s">
        <v>3251</v>
      </c>
      <c r="AF216" s="344" t="s">
        <v>3252</v>
      </c>
      <c r="AG216" s="344" t="s">
        <v>3272</v>
      </c>
      <c r="AH216" s="344" t="s">
        <v>1970</v>
      </c>
      <c r="AI216" s="344" t="s">
        <v>1970</v>
      </c>
      <c r="AJ216" s="344" t="s">
        <v>3238</v>
      </c>
      <c r="AK216" s="344" t="s">
        <v>3239</v>
      </c>
      <c r="AL216" s="344" t="s">
        <v>1970</v>
      </c>
      <c r="AM216" s="251" t="s">
        <v>1970</v>
      </c>
      <c r="AN216" s="251" t="s">
        <v>1970</v>
      </c>
      <c r="AO216" s="344" t="s">
        <v>1970</v>
      </c>
      <c r="AP216" s="344" t="s">
        <v>3257</v>
      </c>
      <c r="AQ216" s="344" t="s">
        <v>1970</v>
      </c>
      <c r="AR216" s="344" t="s">
        <v>2150</v>
      </c>
      <c r="AS216" s="344" t="s">
        <v>3603</v>
      </c>
      <c r="AT216" s="251" t="s">
        <v>3676</v>
      </c>
      <c r="AU216" s="251" t="s">
        <v>1970</v>
      </c>
      <c r="AV216" s="565" t="s">
        <v>2521</v>
      </c>
      <c r="AW216" s="344"/>
      <c r="AX216" s="344"/>
      <c r="AY216" s="344"/>
      <c r="AZ216" s="344"/>
      <c r="BA216" s="344"/>
      <c r="BB216" s="251" t="s">
        <v>1970</v>
      </c>
      <c r="BC216" s="251" t="s">
        <v>1970</v>
      </c>
      <c r="BD216" s="251" t="s">
        <v>1970</v>
      </c>
      <c r="BE216" s="251" t="s">
        <v>1970</v>
      </c>
      <c r="BF216" s="251" t="s">
        <v>1970</v>
      </c>
      <c r="BG216" s="251" t="s">
        <v>1970</v>
      </c>
      <c r="BH216" s="251" t="s">
        <v>1970</v>
      </c>
      <c r="BI216" s="251" t="s">
        <v>1970</v>
      </c>
      <c r="BJ216" s="251" t="s">
        <v>1970</v>
      </c>
      <c r="BK216" s="251" t="s">
        <v>1970</v>
      </c>
      <c r="BL216" s="251" t="s">
        <v>1970</v>
      </c>
      <c r="BM216" s="251" t="s">
        <v>1970</v>
      </c>
      <c r="BN216" s="251" t="s">
        <v>1970</v>
      </c>
      <c r="BO216" s="251" t="s">
        <v>1970</v>
      </c>
      <c r="BP216" s="251" t="s">
        <v>1970</v>
      </c>
      <c r="BQ216" s="251" t="s">
        <v>1970</v>
      </c>
      <c r="BR216" s="251" t="s">
        <v>1970</v>
      </c>
      <c r="BS216" s="251" t="s">
        <v>1970</v>
      </c>
      <c r="BT216" s="251" t="s">
        <v>1970</v>
      </c>
      <c r="BU216" s="251" t="s">
        <v>1970</v>
      </c>
      <c r="BV216" s="251" t="s">
        <v>1970</v>
      </c>
      <c r="BW216" s="251" t="s">
        <v>1970</v>
      </c>
      <c r="BX216" s="251" t="s">
        <v>1970</v>
      </c>
      <c r="BY216" s="251" t="s">
        <v>1970</v>
      </c>
      <c r="BZ216" s="251" t="s">
        <v>1970</v>
      </c>
      <c r="CA216" s="251" t="s">
        <v>1970</v>
      </c>
      <c r="CB216" s="251" t="s">
        <v>1970</v>
      </c>
      <c r="CC216" s="251" t="s">
        <v>1970</v>
      </c>
      <c r="CD216" s="251" t="s">
        <v>1970</v>
      </c>
      <c r="CE216" s="251" t="s">
        <v>1970</v>
      </c>
      <c r="CF216" s="251" t="s">
        <v>1970</v>
      </c>
      <c r="CG216" s="251" t="s">
        <v>1970</v>
      </c>
      <c r="CH216" s="251" t="s">
        <v>1970</v>
      </c>
      <c r="CI216" s="251" t="s">
        <v>1970</v>
      </c>
      <c r="CJ216" s="251" t="s">
        <v>1970</v>
      </c>
      <c r="CK216" s="251" t="s">
        <v>1970</v>
      </c>
      <c r="CL216" s="251" t="s">
        <v>1970</v>
      </c>
      <c r="CM216" s="251" t="s">
        <v>1970</v>
      </c>
      <c r="CN216" s="251" t="s">
        <v>1970</v>
      </c>
      <c r="CO216" s="251" t="s">
        <v>1970</v>
      </c>
      <c r="CP216" s="251" t="s">
        <v>1970</v>
      </c>
      <c r="CQ216" s="251" t="s">
        <v>1970</v>
      </c>
      <c r="CR216" s="251" t="s">
        <v>1970</v>
      </c>
      <c r="CS216" s="251" t="s">
        <v>1970</v>
      </c>
      <c r="CT216" s="251" t="s">
        <v>1970</v>
      </c>
      <c r="CU216" s="251" t="s">
        <v>1970</v>
      </c>
      <c r="CV216" s="251" t="s">
        <v>1970</v>
      </c>
      <c r="CW216" s="251" t="s">
        <v>1970</v>
      </c>
      <c r="CX216" s="251" t="s">
        <v>1970</v>
      </c>
      <c r="CY216" s="251" t="s">
        <v>1970</v>
      </c>
      <c r="CZ216" s="251" t="s">
        <v>1970</v>
      </c>
      <c r="DA216" s="251" t="s">
        <v>1970</v>
      </c>
      <c r="DB216" s="251" t="s">
        <v>1970</v>
      </c>
      <c r="DC216" s="251" t="s">
        <v>1970</v>
      </c>
      <c r="DD216" s="251" t="s">
        <v>1970</v>
      </c>
      <c r="DE216" s="251" t="s">
        <v>1970</v>
      </c>
      <c r="DF216" s="251" t="s">
        <v>1970</v>
      </c>
      <c r="DG216" s="251" t="s">
        <v>1970</v>
      </c>
      <c r="DH216" s="251" t="s">
        <v>1970</v>
      </c>
      <c r="DI216" s="251" t="s">
        <v>1970</v>
      </c>
      <c r="DJ216" s="251" t="s">
        <v>1970</v>
      </c>
      <c r="DK216" s="251" t="s">
        <v>1970</v>
      </c>
      <c r="DL216" s="251" t="s">
        <v>1970</v>
      </c>
      <c r="DM216" s="251" t="s">
        <v>1970</v>
      </c>
      <c r="DN216" s="344" t="s">
        <v>1970</v>
      </c>
      <c r="DO216" s="344" t="s">
        <v>1970</v>
      </c>
      <c r="DP216" s="344" t="s">
        <v>1970</v>
      </c>
      <c r="DQ216" s="344" t="s">
        <v>1970</v>
      </c>
      <c r="DR216" s="344" t="s">
        <v>1970</v>
      </c>
      <c r="DS216" s="344" t="s">
        <v>1970</v>
      </c>
      <c r="DT216" s="344" t="s">
        <v>1970</v>
      </c>
      <c r="DU216" s="344" t="s">
        <v>1970</v>
      </c>
      <c r="DV216" s="344" t="s">
        <v>1970</v>
      </c>
      <c r="DW216" s="344" t="s">
        <v>1970</v>
      </c>
      <c r="DX216" s="344" t="s">
        <v>1970</v>
      </c>
      <c r="DY216" s="344" t="s">
        <v>1970</v>
      </c>
      <c r="DZ216" s="344" t="s">
        <v>1970</v>
      </c>
      <c r="EA216" s="344" t="s">
        <v>1970</v>
      </c>
      <c r="EB216" s="344" t="s">
        <v>1970</v>
      </c>
      <c r="EC216" s="344" t="s">
        <v>1970</v>
      </c>
      <c r="ED216" s="344" t="s">
        <v>1970</v>
      </c>
      <c r="EE216" s="344" t="s">
        <v>1970</v>
      </c>
      <c r="EF216" s="344" t="s">
        <v>1970</v>
      </c>
      <c r="EG216" s="344" t="s">
        <v>1970</v>
      </c>
      <c r="EH216" s="344" t="s">
        <v>1970</v>
      </c>
      <c r="EI216" s="344" t="s">
        <v>1970</v>
      </c>
      <c r="EJ216" s="344" t="s">
        <v>1970</v>
      </c>
      <c r="EK216" s="344" t="s">
        <v>1970</v>
      </c>
      <c r="EL216" s="344" t="s">
        <v>1970</v>
      </c>
      <c r="EM216" s="344" t="s">
        <v>1970</v>
      </c>
      <c r="EN216" s="344" t="s">
        <v>1970</v>
      </c>
      <c r="EO216" s="344" t="s">
        <v>1970</v>
      </c>
      <c r="EP216" s="344" t="s">
        <v>1970</v>
      </c>
      <c r="EQ216" s="344" t="s">
        <v>1970</v>
      </c>
      <c r="ER216" s="344" t="s">
        <v>1970</v>
      </c>
      <c r="ES216" s="344" t="s">
        <v>1970</v>
      </c>
    </row>
    <row r="217" spans="1:149" s="251" customFormat="1" x14ac:dyDescent="0.3">
      <c r="A217" s="251" t="s">
        <v>1100</v>
      </c>
      <c r="B217" s="344" t="s">
        <v>3195</v>
      </c>
      <c r="C217" s="251" t="s">
        <v>2149</v>
      </c>
      <c r="D217" s="251" t="s">
        <v>1103</v>
      </c>
      <c r="E217" s="344" t="s">
        <v>2255</v>
      </c>
      <c r="F217" s="251" t="s">
        <v>1970</v>
      </c>
      <c r="G217" s="344">
        <v>38</v>
      </c>
      <c r="H217" s="344">
        <v>36</v>
      </c>
      <c r="I217" s="344" t="s">
        <v>3247</v>
      </c>
      <c r="J217" s="344" t="s">
        <v>3249</v>
      </c>
      <c r="K217" s="344" t="s">
        <v>3272</v>
      </c>
      <c r="L217" s="344" t="s">
        <v>1970</v>
      </c>
      <c r="M217" s="344" t="s">
        <v>1970</v>
      </c>
      <c r="N217" s="344" t="s">
        <v>1978</v>
      </c>
      <c r="O217" s="344" t="s">
        <v>1978</v>
      </c>
      <c r="P217" s="344" t="s">
        <v>1978</v>
      </c>
      <c r="Q217" s="344" t="s">
        <v>1978</v>
      </c>
      <c r="R217" s="344" t="s">
        <v>1978</v>
      </c>
      <c r="S217" s="344" t="s">
        <v>1978</v>
      </c>
      <c r="T217" s="251" t="s">
        <v>1101</v>
      </c>
      <c r="U217" s="344" t="s">
        <v>2150</v>
      </c>
      <c r="V217" s="344" t="s">
        <v>1970</v>
      </c>
      <c r="W217" s="344" t="s">
        <v>1970</v>
      </c>
      <c r="X217" s="344" t="str">
        <f>'A123'!J225</f>
        <v>125*</v>
      </c>
      <c r="Y217" s="344">
        <f>'A123'!K225</f>
        <v>35</v>
      </c>
      <c r="Z217" s="344">
        <f>'A123'!L225</f>
        <v>3.7142857142857144</v>
      </c>
      <c r="AA217" s="344" t="s">
        <v>2165</v>
      </c>
      <c r="AB217" s="344" t="str">
        <f>入學要求!X226</f>
        <v>/</v>
      </c>
      <c r="AC217" s="344" t="str">
        <f>入學要求!Y226</f>
        <v>/</v>
      </c>
      <c r="AD217" s="251" t="s">
        <v>2255</v>
      </c>
      <c r="AE217" s="344" t="s">
        <v>3251</v>
      </c>
      <c r="AF217" s="344" t="s">
        <v>3252</v>
      </c>
      <c r="AG217" s="344" t="s">
        <v>3272</v>
      </c>
      <c r="AH217" s="344" t="s">
        <v>1970</v>
      </c>
      <c r="AI217" s="344" t="s">
        <v>1970</v>
      </c>
      <c r="AJ217" s="344" t="s">
        <v>3238</v>
      </c>
      <c r="AK217" s="344" t="s">
        <v>3240</v>
      </c>
      <c r="AL217" s="344" t="s">
        <v>1970</v>
      </c>
      <c r="AM217" s="251" t="s">
        <v>1970</v>
      </c>
      <c r="AN217" s="251" t="s">
        <v>1970</v>
      </c>
      <c r="AO217" s="344" t="s">
        <v>1970</v>
      </c>
      <c r="AP217" s="344" t="s">
        <v>3257</v>
      </c>
      <c r="AQ217" s="344" t="s">
        <v>1970</v>
      </c>
      <c r="AR217" s="344" t="s">
        <v>2150</v>
      </c>
      <c r="AS217" s="251" t="s">
        <v>3603</v>
      </c>
      <c r="AT217" s="251" t="s">
        <v>3676</v>
      </c>
      <c r="AU217" s="251" t="s">
        <v>1970</v>
      </c>
      <c r="AV217" s="565" t="s">
        <v>2521</v>
      </c>
      <c r="AW217" s="344"/>
      <c r="AX217" s="344"/>
      <c r="AY217" s="344"/>
      <c r="AZ217" s="344"/>
      <c r="BA217" s="344"/>
      <c r="BB217" s="251" t="s">
        <v>1970</v>
      </c>
      <c r="BC217" s="251" t="s">
        <v>1970</v>
      </c>
      <c r="BD217" s="251" t="s">
        <v>1970</v>
      </c>
      <c r="BE217" s="251" t="s">
        <v>1970</v>
      </c>
      <c r="BF217" s="251" t="s">
        <v>1970</v>
      </c>
      <c r="BG217" s="251" t="s">
        <v>1970</v>
      </c>
      <c r="BH217" s="251" t="s">
        <v>1970</v>
      </c>
      <c r="BI217" s="251" t="s">
        <v>1970</v>
      </c>
      <c r="BJ217" s="251" t="s">
        <v>1970</v>
      </c>
      <c r="BK217" s="251" t="s">
        <v>1970</v>
      </c>
      <c r="BL217" s="251" t="s">
        <v>1970</v>
      </c>
      <c r="BM217" s="251" t="s">
        <v>1970</v>
      </c>
      <c r="BN217" s="251" t="s">
        <v>1970</v>
      </c>
      <c r="BO217" s="251" t="s">
        <v>1970</v>
      </c>
      <c r="BP217" s="251" t="s">
        <v>1970</v>
      </c>
      <c r="BQ217" s="251" t="s">
        <v>1970</v>
      </c>
      <c r="BR217" s="251" t="s">
        <v>1970</v>
      </c>
      <c r="BS217" s="251" t="s">
        <v>1970</v>
      </c>
      <c r="BT217" s="251" t="s">
        <v>1970</v>
      </c>
      <c r="BU217" s="251" t="s">
        <v>1970</v>
      </c>
      <c r="BV217" s="251" t="s">
        <v>1970</v>
      </c>
      <c r="BW217" s="251" t="s">
        <v>1970</v>
      </c>
      <c r="BX217" s="251" t="s">
        <v>1970</v>
      </c>
      <c r="BY217" s="251" t="s">
        <v>1970</v>
      </c>
      <c r="BZ217" s="251" t="s">
        <v>1970</v>
      </c>
      <c r="CA217" s="251" t="s">
        <v>1970</v>
      </c>
      <c r="CB217" s="251" t="s">
        <v>1970</v>
      </c>
      <c r="CC217" s="251" t="s">
        <v>1970</v>
      </c>
      <c r="CD217" s="251" t="s">
        <v>1970</v>
      </c>
      <c r="CE217" s="251" t="s">
        <v>1970</v>
      </c>
      <c r="CF217" s="251" t="s">
        <v>1970</v>
      </c>
      <c r="CG217" s="251" t="s">
        <v>1970</v>
      </c>
      <c r="CH217" s="251" t="s">
        <v>1970</v>
      </c>
      <c r="CI217" s="251" t="s">
        <v>1970</v>
      </c>
      <c r="CJ217" s="251" t="s">
        <v>1970</v>
      </c>
      <c r="CK217" s="251" t="s">
        <v>1970</v>
      </c>
      <c r="CL217" s="251" t="s">
        <v>1970</v>
      </c>
      <c r="CM217" s="251" t="s">
        <v>1970</v>
      </c>
      <c r="CN217" s="251" t="s">
        <v>1970</v>
      </c>
      <c r="CO217" s="251" t="s">
        <v>1970</v>
      </c>
      <c r="CP217" s="251" t="s">
        <v>1970</v>
      </c>
      <c r="CQ217" s="251" t="s">
        <v>1970</v>
      </c>
      <c r="CR217" s="251" t="s">
        <v>1970</v>
      </c>
      <c r="CS217" s="251" t="s">
        <v>1970</v>
      </c>
      <c r="CT217" s="251" t="s">
        <v>1970</v>
      </c>
      <c r="CU217" s="251" t="s">
        <v>1970</v>
      </c>
      <c r="CV217" s="251" t="s">
        <v>1970</v>
      </c>
      <c r="CW217" s="251" t="s">
        <v>1970</v>
      </c>
      <c r="CX217" s="251" t="s">
        <v>1970</v>
      </c>
      <c r="CY217" s="251" t="s">
        <v>1970</v>
      </c>
      <c r="CZ217" s="251" t="s">
        <v>1970</v>
      </c>
      <c r="DA217" s="251" t="s">
        <v>1970</v>
      </c>
      <c r="DB217" s="251" t="s">
        <v>1970</v>
      </c>
      <c r="DC217" s="251" t="s">
        <v>1970</v>
      </c>
      <c r="DD217" s="251" t="s">
        <v>1970</v>
      </c>
      <c r="DE217" s="251" t="s">
        <v>1970</v>
      </c>
      <c r="DF217" s="251" t="s">
        <v>1970</v>
      </c>
      <c r="DG217" s="251" t="s">
        <v>1970</v>
      </c>
      <c r="DH217" s="251" t="s">
        <v>1970</v>
      </c>
      <c r="DI217" s="251" t="s">
        <v>1970</v>
      </c>
      <c r="DJ217" s="251" t="s">
        <v>1970</v>
      </c>
      <c r="DK217" s="251" t="s">
        <v>1970</v>
      </c>
      <c r="DL217" s="251" t="s">
        <v>1970</v>
      </c>
      <c r="DM217" s="251" t="s">
        <v>1970</v>
      </c>
      <c r="DN217" s="344" t="s">
        <v>1970</v>
      </c>
      <c r="DO217" s="344" t="s">
        <v>1970</v>
      </c>
      <c r="DP217" s="344" t="s">
        <v>1970</v>
      </c>
      <c r="DQ217" s="344" t="s">
        <v>1970</v>
      </c>
      <c r="DR217" s="344" t="s">
        <v>1970</v>
      </c>
      <c r="DS217" s="344" t="s">
        <v>1970</v>
      </c>
      <c r="DT217" s="344" t="s">
        <v>1970</v>
      </c>
      <c r="DU217" s="344" t="s">
        <v>1970</v>
      </c>
      <c r="DV217" s="344" t="s">
        <v>1970</v>
      </c>
      <c r="DW217" s="344" t="s">
        <v>1970</v>
      </c>
      <c r="DX217" s="344" t="s">
        <v>1970</v>
      </c>
      <c r="DY217" s="344" t="s">
        <v>1970</v>
      </c>
      <c r="DZ217" s="344" t="s">
        <v>1970</v>
      </c>
      <c r="EA217" s="344" t="s">
        <v>1970</v>
      </c>
      <c r="EB217" s="344" t="s">
        <v>1970</v>
      </c>
      <c r="EC217" s="344" t="s">
        <v>1970</v>
      </c>
      <c r="ED217" s="344" t="s">
        <v>1970</v>
      </c>
      <c r="EE217" s="344" t="s">
        <v>1970</v>
      </c>
      <c r="EF217" s="344" t="s">
        <v>1970</v>
      </c>
      <c r="EG217" s="344" t="s">
        <v>1970</v>
      </c>
      <c r="EH217" s="344" t="s">
        <v>1970</v>
      </c>
      <c r="EI217" s="344" t="s">
        <v>1970</v>
      </c>
      <c r="EJ217" s="344" t="s">
        <v>1970</v>
      </c>
      <c r="EK217" s="344" t="s">
        <v>1970</v>
      </c>
      <c r="EL217" s="344" t="s">
        <v>1970</v>
      </c>
      <c r="EM217" s="344" t="s">
        <v>1970</v>
      </c>
      <c r="EN217" s="344" t="s">
        <v>1970</v>
      </c>
      <c r="EO217" s="344" t="s">
        <v>1970</v>
      </c>
      <c r="EP217" s="344" t="s">
        <v>1970</v>
      </c>
      <c r="EQ217" s="344" t="s">
        <v>1970</v>
      </c>
      <c r="ER217" s="344" t="s">
        <v>1970</v>
      </c>
      <c r="ES217" s="344" t="s">
        <v>1970</v>
      </c>
    </row>
    <row r="218" spans="1:149" s="251" customFormat="1" x14ac:dyDescent="0.3">
      <c r="A218" s="251" t="s">
        <v>1104</v>
      </c>
      <c r="B218" s="344" t="s">
        <v>3195</v>
      </c>
      <c r="C218" s="251" t="s">
        <v>2149</v>
      </c>
      <c r="D218" s="251" t="s">
        <v>1107</v>
      </c>
      <c r="E218" s="344" t="s">
        <v>2255</v>
      </c>
      <c r="F218" s="251" t="s">
        <v>1970</v>
      </c>
      <c r="G218" s="344">
        <v>49.75</v>
      </c>
      <c r="H218" s="344">
        <v>48.25</v>
      </c>
      <c r="I218" s="344" t="s">
        <v>3247</v>
      </c>
      <c r="J218" s="344" t="s">
        <v>3249</v>
      </c>
      <c r="K218" s="344" t="s">
        <v>3274</v>
      </c>
      <c r="L218" s="427" t="s">
        <v>3276</v>
      </c>
      <c r="M218" s="427" t="s">
        <v>3277</v>
      </c>
      <c r="N218" s="344" t="s">
        <v>1978</v>
      </c>
      <c r="O218" s="344" t="s">
        <v>1978</v>
      </c>
      <c r="P218" s="344" t="s">
        <v>1978</v>
      </c>
      <c r="Q218" s="344" t="s">
        <v>1978</v>
      </c>
      <c r="R218" s="344" t="s">
        <v>1978</v>
      </c>
      <c r="S218" s="344" t="s">
        <v>1978</v>
      </c>
      <c r="T218" s="251" t="s">
        <v>1105</v>
      </c>
      <c r="U218" s="344" t="s">
        <v>2150</v>
      </c>
      <c r="V218" s="344" t="s">
        <v>1970</v>
      </c>
      <c r="W218" s="344" t="s">
        <v>1970</v>
      </c>
      <c r="X218" s="344">
        <f>'A123'!J226</f>
        <v>30</v>
      </c>
      <c r="Y218" s="344">
        <f>'A123'!K226</f>
        <v>45</v>
      </c>
      <c r="Z218" s="344">
        <f>'A123'!L226</f>
        <v>4.1111111111111107</v>
      </c>
      <c r="AA218" s="344" t="s">
        <v>2165</v>
      </c>
      <c r="AB218" s="344" t="str">
        <f>入學要求!X227</f>
        <v>/</v>
      </c>
      <c r="AC218" s="344" t="str">
        <f>入學要求!Y227</f>
        <v>/</v>
      </c>
      <c r="AD218" s="251" t="s">
        <v>2255</v>
      </c>
      <c r="AE218" s="344" t="s">
        <v>3251</v>
      </c>
      <c r="AF218" s="344" t="s">
        <v>3252</v>
      </c>
      <c r="AG218" s="344" t="s">
        <v>3274</v>
      </c>
      <c r="AH218" s="427" t="s">
        <v>3276</v>
      </c>
      <c r="AI218" s="427" t="s">
        <v>3277</v>
      </c>
      <c r="AJ218" s="344" t="s">
        <v>3238</v>
      </c>
      <c r="AK218" s="344" t="s">
        <v>3241</v>
      </c>
      <c r="AL218" s="344" t="s">
        <v>1970</v>
      </c>
      <c r="AM218" s="251" t="s">
        <v>1970</v>
      </c>
      <c r="AN218" s="251" t="s">
        <v>1970</v>
      </c>
      <c r="AO218" s="344" t="s">
        <v>1970</v>
      </c>
      <c r="AP218" s="344" t="s">
        <v>3256</v>
      </c>
      <c r="AQ218" s="344" t="s">
        <v>1970</v>
      </c>
      <c r="AR218" s="344" t="s">
        <v>2150</v>
      </c>
      <c r="AS218" s="251" t="s">
        <v>3603</v>
      </c>
      <c r="AT218" s="251" t="s">
        <v>3676</v>
      </c>
      <c r="AU218" s="251" t="s">
        <v>1970</v>
      </c>
      <c r="AV218" s="565" t="s">
        <v>2521</v>
      </c>
      <c r="AW218" s="344"/>
      <c r="AX218" s="344"/>
      <c r="AY218" s="344"/>
      <c r="AZ218" s="344"/>
      <c r="BA218" s="344"/>
      <c r="BB218" s="251" t="s">
        <v>1970</v>
      </c>
      <c r="BC218" s="251" t="s">
        <v>1970</v>
      </c>
      <c r="BD218" s="251" t="s">
        <v>1970</v>
      </c>
      <c r="BE218" s="251" t="s">
        <v>1970</v>
      </c>
      <c r="BF218" s="251" t="s">
        <v>1970</v>
      </c>
      <c r="BG218" s="251" t="s">
        <v>1970</v>
      </c>
      <c r="BH218" s="251" t="s">
        <v>1970</v>
      </c>
      <c r="BI218" s="251" t="s">
        <v>1970</v>
      </c>
      <c r="BJ218" s="251" t="s">
        <v>1970</v>
      </c>
      <c r="BK218" s="251" t="s">
        <v>1970</v>
      </c>
      <c r="BL218" s="251" t="s">
        <v>1970</v>
      </c>
      <c r="BM218" s="251" t="s">
        <v>1970</v>
      </c>
      <c r="BN218" s="251" t="s">
        <v>1970</v>
      </c>
      <c r="BO218" s="251" t="s">
        <v>1970</v>
      </c>
      <c r="BP218" s="251" t="s">
        <v>1970</v>
      </c>
      <c r="BQ218" s="251" t="s">
        <v>1970</v>
      </c>
      <c r="BR218" s="251" t="s">
        <v>1970</v>
      </c>
      <c r="BS218" s="251" t="s">
        <v>1970</v>
      </c>
      <c r="BT218" s="251" t="s">
        <v>1970</v>
      </c>
      <c r="BU218" s="251" t="s">
        <v>1970</v>
      </c>
      <c r="BV218" s="251" t="s">
        <v>1970</v>
      </c>
      <c r="BW218" s="251" t="s">
        <v>1970</v>
      </c>
      <c r="BX218" s="251" t="s">
        <v>1970</v>
      </c>
      <c r="BY218" s="251" t="s">
        <v>1970</v>
      </c>
      <c r="BZ218" s="251" t="s">
        <v>1970</v>
      </c>
      <c r="CA218" s="251" t="s">
        <v>1970</v>
      </c>
      <c r="CB218" s="251" t="s">
        <v>1970</v>
      </c>
      <c r="CC218" s="251" t="s">
        <v>1970</v>
      </c>
      <c r="CD218" s="251" t="s">
        <v>1970</v>
      </c>
      <c r="CE218" s="251" t="s">
        <v>1970</v>
      </c>
      <c r="CF218" s="251" t="s">
        <v>1970</v>
      </c>
      <c r="CG218" s="251" t="s">
        <v>1970</v>
      </c>
      <c r="CH218" s="251" t="s">
        <v>1970</v>
      </c>
      <c r="CI218" s="251" t="s">
        <v>1970</v>
      </c>
      <c r="CJ218" s="251" t="s">
        <v>1970</v>
      </c>
      <c r="CK218" s="251" t="s">
        <v>1970</v>
      </c>
      <c r="CL218" s="251" t="s">
        <v>1970</v>
      </c>
      <c r="CM218" s="251" t="s">
        <v>1970</v>
      </c>
      <c r="CN218" s="251" t="s">
        <v>1970</v>
      </c>
      <c r="CO218" s="251" t="s">
        <v>1970</v>
      </c>
      <c r="CP218" s="251" t="s">
        <v>1970</v>
      </c>
      <c r="CQ218" s="251" t="s">
        <v>1970</v>
      </c>
      <c r="CR218" s="251" t="s">
        <v>1970</v>
      </c>
      <c r="CS218" s="251" t="s">
        <v>1970</v>
      </c>
      <c r="CT218" s="251" t="s">
        <v>1970</v>
      </c>
      <c r="CU218" s="251" t="s">
        <v>1970</v>
      </c>
      <c r="CV218" s="251" t="s">
        <v>1970</v>
      </c>
      <c r="CW218" s="251" t="s">
        <v>1970</v>
      </c>
      <c r="CX218" s="251" t="s">
        <v>1970</v>
      </c>
      <c r="CY218" s="251" t="s">
        <v>1970</v>
      </c>
      <c r="CZ218" s="251" t="s">
        <v>1970</v>
      </c>
      <c r="DA218" s="251" t="s">
        <v>1970</v>
      </c>
      <c r="DB218" s="251" t="s">
        <v>1970</v>
      </c>
      <c r="DC218" s="251" t="s">
        <v>1970</v>
      </c>
      <c r="DD218" s="251" t="s">
        <v>1970</v>
      </c>
      <c r="DE218" s="251" t="s">
        <v>1970</v>
      </c>
      <c r="DF218" s="251" t="s">
        <v>1970</v>
      </c>
      <c r="DG218" s="251" t="s">
        <v>1970</v>
      </c>
      <c r="DH218" s="251" t="s">
        <v>1970</v>
      </c>
      <c r="DI218" s="251" t="s">
        <v>1970</v>
      </c>
      <c r="DJ218" s="251" t="s">
        <v>1970</v>
      </c>
      <c r="DK218" s="251" t="s">
        <v>1970</v>
      </c>
      <c r="DL218" s="251" t="s">
        <v>1970</v>
      </c>
      <c r="DM218" s="251" t="s">
        <v>1970</v>
      </c>
      <c r="DN218" s="344" t="s">
        <v>1970</v>
      </c>
      <c r="DO218" s="344" t="s">
        <v>1970</v>
      </c>
      <c r="DP218" s="344" t="s">
        <v>1970</v>
      </c>
      <c r="DQ218" s="344" t="s">
        <v>1970</v>
      </c>
      <c r="DR218" s="344" t="s">
        <v>1970</v>
      </c>
      <c r="DS218" s="344" t="s">
        <v>1970</v>
      </c>
      <c r="DT218" s="344" t="s">
        <v>1970</v>
      </c>
      <c r="DU218" s="344" t="s">
        <v>1970</v>
      </c>
      <c r="DV218" s="344" t="s">
        <v>1970</v>
      </c>
      <c r="DW218" s="344" t="s">
        <v>1970</v>
      </c>
      <c r="DX218" s="344" t="s">
        <v>1970</v>
      </c>
      <c r="DY218" s="344" t="s">
        <v>1970</v>
      </c>
      <c r="DZ218" s="344" t="s">
        <v>1970</v>
      </c>
      <c r="EA218" s="344" t="s">
        <v>1970</v>
      </c>
      <c r="EB218" s="344" t="s">
        <v>1970</v>
      </c>
      <c r="EC218" s="344" t="s">
        <v>1970</v>
      </c>
      <c r="ED218" s="344" t="s">
        <v>1970</v>
      </c>
      <c r="EE218" s="344" t="s">
        <v>1970</v>
      </c>
      <c r="EF218" s="344" t="s">
        <v>1970</v>
      </c>
      <c r="EG218" s="344" t="s">
        <v>1970</v>
      </c>
      <c r="EH218" s="344" t="s">
        <v>1970</v>
      </c>
      <c r="EI218" s="344" t="s">
        <v>1970</v>
      </c>
      <c r="EJ218" s="344" t="s">
        <v>1970</v>
      </c>
      <c r="EK218" s="344" t="s">
        <v>1970</v>
      </c>
      <c r="EL218" s="344" t="s">
        <v>1970</v>
      </c>
      <c r="EM218" s="344" t="s">
        <v>1970</v>
      </c>
      <c r="EN218" s="344" t="s">
        <v>1970</v>
      </c>
      <c r="EO218" s="344" t="s">
        <v>1970</v>
      </c>
      <c r="EP218" s="344" t="s">
        <v>1970</v>
      </c>
      <c r="EQ218" s="344" t="s">
        <v>1970</v>
      </c>
      <c r="ER218" s="344" t="s">
        <v>1970</v>
      </c>
      <c r="ES218" s="344" t="s">
        <v>1970</v>
      </c>
    </row>
    <row r="219" spans="1:149" s="251" customFormat="1" x14ac:dyDescent="0.3">
      <c r="A219" s="251" t="s">
        <v>1108</v>
      </c>
      <c r="B219" s="344" t="s">
        <v>3195</v>
      </c>
      <c r="C219" s="251" t="s">
        <v>2149</v>
      </c>
      <c r="D219" s="251" t="s">
        <v>1111</v>
      </c>
      <c r="E219" s="344" t="s">
        <v>2255</v>
      </c>
      <c r="F219" s="251" t="s">
        <v>1970</v>
      </c>
      <c r="G219" s="344">
        <v>60.5</v>
      </c>
      <c r="H219" s="344">
        <v>56</v>
      </c>
      <c r="I219" s="344" t="s">
        <v>3247</v>
      </c>
      <c r="J219" s="344" t="s">
        <v>3249</v>
      </c>
      <c r="K219" s="344" t="s">
        <v>3272</v>
      </c>
      <c r="L219" s="251" t="s">
        <v>1970</v>
      </c>
      <c r="M219" s="251" t="s">
        <v>1970</v>
      </c>
      <c r="N219" s="344" t="s">
        <v>1978</v>
      </c>
      <c r="O219" s="344" t="s">
        <v>1978</v>
      </c>
      <c r="P219" s="344" t="s">
        <v>1978</v>
      </c>
      <c r="Q219" s="344" t="s">
        <v>1978</v>
      </c>
      <c r="R219" s="344" t="s">
        <v>1978</v>
      </c>
      <c r="S219" s="344" t="s">
        <v>1978</v>
      </c>
      <c r="T219" s="251" t="s">
        <v>1109</v>
      </c>
      <c r="U219" s="344" t="s">
        <v>2150</v>
      </c>
      <c r="V219" s="344" t="s">
        <v>1970</v>
      </c>
      <c r="W219" s="344" t="s">
        <v>1970</v>
      </c>
      <c r="X219" s="344">
        <f>'A123'!J227</f>
        <v>26</v>
      </c>
      <c r="Y219" s="344">
        <f>'A123'!K227</f>
        <v>20</v>
      </c>
      <c r="Z219" s="344">
        <f>'A123'!L227</f>
        <v>5.95</v>
      </c>
      <c r="AA219" s="344" t="s">
        <v>2165</v>
      </c>
      <c r="AB219" s="344" t="str">
        <f>入學要求!X228</f>
        <v>英文科應考獲Lv.5 或以上</v>
      </c>
      <c r="AC219" s="344" t="str">
        <f>入學要求!Y228</f>
        <v>申請人必須出席面試</v>
      </c>
      <c r="AD219" s="251" t="s">
        <v>2255</v>
      </c>
      <c r="AE219" s="344" t="s">
        <v>3251</v>
      </c>
      <c r="AF219" s="344" t="s">
        <v>3252</v>
      </c>
      <c r="AG219" s="344" t="s">
        <v>3272</v>
      </c>
      <c r="AH219" s="251" t="s">
        <v>1970</v>
      </c>
      <c r="AI219" s="251" t="s">
        <v>1970</v>
      </c>
      <c r="AJ219" s="344" t="s">
        <v>3238</v>
      </c>
      <c r="AK219" s="344" t="s">
        <v>3242</v>
      </c>
      <c r="AL219" s="344" t="s">
        <v>1970</v>
      </c>
      <c r="AM219" s="251" t="s">
        <v>3207</v>
      </c>
      <c r="AN219" s="251" t="s">
        <v>3209</v>
      </c>
      <c r="AO219" s="344" t="s">
        <v>1970</v>
      </c>
      <c r="AP219" s="344" t="s">
        <v>3257</v>
      </c>
      <c r="AQ219" s="344" t="s">
        <v>1970</v>
      </c>
      <c r="AR219" s="344" t="s">
        <v>2150</v>
      </c>
      <c r="AS219" s="251" t="s">
        <v>3620</v>
      </c>
      <c r="AT219" s="251" t="s">
        <v>3676</v>
      </c>
      <c r="AU219" s="565">
        <v>44772</v>
      </c>
      <c r="AV219" s="565" t="s">
        <v>2521</v>
      </c>
      <c r="AW219" s="565"/>
      <c r="AX219" s="565"/>
      <c r="AY219" s="565"/>
      <c r="AZ219" s="565"/>
      <c r="BA219" s="565"/>
      <c r="BB219" s="251" t="s">
        <v>1970</v>
      </c>
      <c r="BC219" s="251" t="s">
        <v>1970</v>
      </c>
      <c r="BD219" s="251" t="s">
        <v>1970</v>
      </c>
      <c r="BE219" s="251" t="s">
        <v>1970</v>
      </c>
      <c r="BF219" s="251" t="s">
        <v>1970</v>
      </c>
      <c r="BG219" s="251" t="s">
        <v>1970</v>
      </c>
      <c r="BH219" s="251" t="s">
        <v>1970</v>
      </c>
      <c r="BI219" s="251" t="s">
        <v>1970</v>
      </c>
      <c r="BJ219" s="251" t="s">
        <v>1970</v>
      </c>
      <c r="BK219" s="251" t="s">
        <v>1970</v>
      </c>
      <c r="BL219" s="251" t="s">
        <v>1970</v>
      </c>
      <c r="BM219" s="251" t="s">
        <v>1970</v>
      </c>
      <c r="BN219" s="251" t="s">
        <v>1970</v>
      </c>
      <c r="BO219" s="251" t="s">
        <v>1970</v>
      </c>
      <c r="BP219" s="251" t="s">
        <v>1970</v>
      </c>
      <c r="BQ219" s="251" t="s">
        <v>1970</v>
      </c>
      <c r="BR219" s="251" t="s">
        <v>1970</v>
      </c>
      <c r="BS219" s="251" t="s">
        <v>1970</v>
      </c>
      <c r="BT219" s="251" t="s">
        <v>1970</v>
      </c>
      <c r="BU219" s="251" t="s">
        <v>1970</v>
      </c>
      <c r="BV219" s="251" t="s">
        <v>1970</v>
      </c>
      <c r="BW219" s="251" t="s">
        <v>1970</v>
      </c>
      <c r="BX219" s="251" t="s">
        <v>1970</v>
      </c>
      <c r="BY219" s="251" t="s">
        <v>1970</v>
      </c>
      <c r="BZ219" s="251" t="s">
        <v>1970</v>
      </c>
      <c r="CA219" s="251" t="s">
        <v>1970</v>
      </c>
      <c r="CB219" s="251" t="s">
        <v>1970</v>
      </c>
      <c r="CC219" s="251" t="s">
        <v>1970</v>
      </c>
      <c r="CD219" s="251" t="s">
        <v>1970</v>
      </c>
      <c r="CE219" s="251" t="s">
        <v>1970</v>
      </c>
      <c r="CF219" s="251" t="s">
        <v>1970</v>
      </c>
      <c r="CG219" s="251" t="s">
        <v>1970</v>
      </c>
      <c r="CH219" s="251" t="s">
        <v>1970</v>
      </c>
      <c r="CI219" s="251" t="s">
        <v>1970</v>
      </c>
      <c r="CJ219" s="251" t="s">
        <v>1970</v>
      </c>
      <c r="CK219" s="251" t="s">
        <v>1970</v>
      </c>
      <c r="CL219" s="251" t="s">
        <v>1970</v>
      </c>
      <c r="CM219" s="251" t="s">
        <v>1970</v>
      </c>
      <c r="CN219" s="251" t="s">
        <v>1970</v>
      </c>
      <c r="CO219" s="251" t="s">
        <v>1970</v>
      </c>
      <c r="CP219" s="251" t="s">
        <v>1970</v>
      </c>
      <c r="CQ219" s="251" t="s">
        <v>1970</v>
      </c>
      <c r="CR219" s="251" t="s">
        <v>1970</v>
      </c>
      <c r="CS219" s="251" t="s">
        <v>1970</v>
      </c>
      <c r="CT219" s="251" t="s">
        <v>1970</v>
      </c>
      <c r="CU219" s="251" t="s">
        <v>1970</v>
      </c>
      <c r="CV219" s="251" t="s">
        <v>1970</v>
      </c>
      <c r="CW219" s="251" t="s">
        <v>1970</v>
      </c>
      <c r="CX219" s="251" t="s">
        <v>1970</v>
      </c>
      <c r="CY219" s="251" t="s">
        <v>1970</v>
      </c>
      <c r="CZ219" s="251" t="s">
        <v>1970</v>
      </c>
      <c r="DA219" s="251" t="s">
        <v>1970</v>
      </c>
      <c r="DB219" s="251" t="s">
        <v>1970</v>
      </c>
      <c r="DC219" s="251" t="s">
        <v>1970</v>
      </c>
      <c r="DD219" s="251" t="s">
        <v>1970</v>
      </c>
      <c r="DE219" s="251" t="s">
        <v>1970</v>
      </c>
      <c r="DF219" s="251" t="s">
        <v>1970</v>
      </c>
      <c r="DG219" s="251" t="s">
        <v>1970</v>
      </c>
      <c r="DH219" s="251" t="s">
        <v>1970</v>
      </c>
      <c r="DI219" s="251" t="s">
        <v>1970</v>
      </c>
      <c r="DJ219" s="251" t="s">
        <v>1970</v>
      </c>
      <c r="DK219" s="251" t="s">
        <v>1970</v>
      </c>
      <c r="DL219" s="251" t="s">
        <v>1970</v>
      </c>
      <c r="DM219" s="251" t="s">
        <v>1970</v>
      </c>
      <c r="DN219" s="344" t="s">
        <v>1970</v>
      </c>
      <c r="DO219" s="344" t="s">
        <v>1970</v>
      </c>
      <c r="DP219" s="344" t="s">
        <v>1970</v>
      </c>
      <c r="DQ219" s="344" t="s">
        <v>1970</v>
      </c>
      <c r="DR219" s="344" t="s">
        <v>1970</v>
      </c>
      <c r="DS219" s="344" t="s">
        <v>1970</v>
      </c>
      <c r="DT219" s="344" t="s">
        <v>1970</v>
      </c>
      <c r="DU219" s="344" t="s">
        <v>1970</v>
      </c>
      <c r="DV219" s="344" t="s">
        <v>1970</v>
      </c>
      <c r="DW219" s="344" t="s">
        <v>1970</v>
      </c>
      <c r="DX219" s="344" t="s">
        <v>1970</v>
      </c>
      <c r="DY219" s="344" t="s">
        <v>1970</v>
      </c>
      <c r="DZ219" s="344" t="s">
        <v>1970</v>
      </c>
      <c r="EA219" s="344" t="s">
        <v>1970</v>
      </c>
      <c r="EB219" s="344" t="s">
        <v>1970</v>
      </c>
      <c r="EC219" s="344" t="s">
        <v>1970</v>
      </c>
      <c r="ED219" s="344" t="s">
        <v>1970</v>
      </c>
      <c r="EE219" s="344" t="s">
        <v>1970</v>
      </c>
      <c r="EF219" s="344" t="s">
        <v>1970</v>
      </c>
      <c r="EG219" s="344" t="s">
        <v>1970</v>
      </c>
      <c r="EH219" s="344" t="s">
        <v>1970</v>
      </c>
      <c r="EI219" s="344" t="s">
        <v>1970</v>
      </c>
      <c r="EJ219" s="344" t="s">
        <v>1970</v>
      </c>
      <c r="EK219" s="344" t="s">
        <v>1970</v>
      </c>
      <c r="EL219" s="344" t="s">
        <v>1970</v>
      </c>
      <c r="EM219" s="344" t="s">
        <v>1970</v>
      </c>
      <c r="EN219" s="344" t="s">
        <v>1970</v>
      </c>
      <c r="EO219" s="344" t="s">
        <v>1970</v>
      </c>
      <c r="EP219" s="344" t="s">
        <v>1970</v>
      </c>
      <c r="EQ219" s="344" t="s">
        <v>1970</v>
      </c>
      <c r="ER219" s="344" t="s">
        <v>1970</v>
      </c>
      <c r="ES219" s="344" t="s">
        <v>1970</v>
      </c>
    </row>
    <row r="220" spans="1:149" s="251" customFormat="1" x14ac:dyDescent="0.3">
      <c r="A220" s="251" t="s">
        <v>1112</v>
      </c>
      <c r="B220" s="344" t="s">
        <v>3195</v>
      </c>
      <c r="C220" s="251" t="s">
        <v>2149</v>
      </c>
      <c r="D220" s="251" t="s">
        <v>1114</v>
      </c>
      <c r="E220" s="344" t="s">
        <v>2255</v>
      </c>
      <c r="F220" s="251" t="s">
        <v>1970</v>
      </c>
      <c r="G220" s="344">
        <v>39.5</v>
      </c>
      <c r="H220" s="344">
        <v>38</v>
      </c>
      <c r="I220" s="344" t="s">
        <v>3247</v>
      </c>
      <c r="J220" s="344" t="s">
        <v>3249</v>
      </c>
      <c r="K220" s="344" t="s">
        <v>3272</v>
      </c>
      <c r="L220" s="251" t="s">
        <v>1970</v>
      </c>
      <c r="M220" s="251" t="s">
        <v>1970</v>
      </c>
      <c r="N220" s="344" t="s">
        <v>1978</v>
      </c>
      <c r="O220" s="344" t="s">
        <v>1978</v>
      </c>
      <c r="P220" s="344" t="s">
        <v>1978</v>
      </c>
      <c r="Q220" s="344" t="s">
        <v>1978</v>
      </c>
      <c r="R220" s="344" t="s">
        <v>1978</v>
      </c>
      <c r="S220" s="344" t="s">
        <v>1978</v>
      </c>
      <c r="T220" s="251" t="s">
        <v>40</v>
      </c>
      <c r="U220" s="344" t="s">
        <v>2150</v>
      </c>
      <c r="V220" s="344" t="s">
        <v>1970</v>
      </c>
      <c r="W220" s="344" t="s">
        <v>1970</v>
      </c>
      <c r="X220" s="344" t="str">
        <f>'A123'!J228</f>
        <v>125*</v>
      </c>
      <c r="Y220" s="344">
        <f>'A123'!K228</f>
        <v>40</v>
      </c>
      <c r="Z220" s="344">
        <f>'A123'!L228</f>
        <v>3.2250000000000001</v>
      </c>
      <c r="AA220" s="344" t="s">
        <v>2165</v>
      </c>
      <c r="AB220" s="344" t="str">
        <f>入學要求!X229</f>
        <v>/</v>
      </c>
      <c r="AC220" s="344" t="str">
        <f>入學要求!Y229</f>
        <v>/</v>
      </c>
      <c r="AD220" s="251" t="s">
        <v>2255</v>
      </c>
      <c r="AE220" s="344" t="s">
        <v>3251</v>
      </c>
      <c r="AF220" s="344" t="s">
        <v>3252</v>
      </c>
      <c r="AG220" s="344" t="s">
        <v>3272</v>
      </c>
      <c r="AH220" s="251" t="s">
        <v>1970</v>
      </c>
      <c r="AI220" s="251" t="s">
        <v>1970</v>
      </c>
      <c r="AJ220" s="344" t="s">
        <v>3238</v>
      </c>
      <c r="AK220" s="344" t="s">
        <v>3243</v>
      </c>
      <c r="AL220" s="344" t="s">
        <v>1970</v>
      </c>
      <c r="AM220" s="251" t="s">
        <v>1970</v>
      </c>
      <c r="AN220" s="251" t="s">
        <v>1970</v>
      </c>
      <c r="AO220" s="344" t="s">
        <v>1970</v>
      </c>
      <c r="AP220" s="344" t="s">
        <v>3257</v>
      </c>
      <c r="AQ220" s="344" t="s">
        <v>1970</v>
      </c>
      <c r="AR220" s="344" t="s">
        <v>2150</v>
      </c>
      <c r="AS220" s="251" t="s">
        <v>3603</v>
      </c>
      <c r="AT220" s="251" t="s">
        <v>3676</v>
      </c>
      <c r="AV220" s="565" t="s">
        <v>2521</v>
      </c>
      <c r="AW220" s="344"/>
      <c r="AX220" s="344"/>
      <c r="AY220" s="344"/>
      <c r="AZ220" s="344"/>
      <c r="BA220" s="344"/>
      <c r="BB220" s="251" t="s">
        <v>1970</v>
      </c>
      <c r="BC220" s="251" t="s">
        <v>1970</v>
      </c>
      <c r="BD220" s="251" t="s">
        <v>1970</v>
      </c>
      <c r="BE220" s="251" t="s">
        <v>1970</v>
      </c>
      <c r="BF220" s="251" t="s">
        <v>1970</v>
      </c>
      <c r="BG220" s="251" t="s">
        <v>1970</v>
      </c>
      <c r="BH220" s="251" t="s">
        <v>1970</v>
      </c>
      <c r="BI220" s="251" t="s">
        <v>1970</v>
      </c>
      <c r="BJ220" s="251" t="s">
        <v>1970</v>
      </c>
      <c r="BK220" s="251" t="s">
        <v>1970</v>
      </c>
      <c r="BL220" s="251" t="s">
        <v>1970</v>
      </c>
      <c r="BM220" s="251" t="s">
        <v>1970</v>
      </c>
      <c r="BN220" s="251" t="s">
        <v>1970</v>
      </c>
      <c r="BO220" s="251" t="s">
        <v>1970</v>
      </c>
      <c r="BP220" s="251" t="s">
        <v>1970</v>
      </c>
      <c r="BQ220" s="251" t="s">
        <v>1970</v>
      </c>
      <c r="BR220" s="251" t="s">
        <v>1970</v>
      </c>
      <c r="BS220" s="251" t="s">
        <v>1970</v>
      </c>
      <c r="BT220" s="251" t="s">
        <v>1970</v>
      </c>
      <c r="BU220" s="251" t="s">
        <v>1970</v>
      </c>
      <c r="BV220" s="251" t="s">
        <v>1970</v>
      </c>
      <c r="BW220" s="251" t="s">
        <v>1970</v>
      </c>
      <c r="BX220" s="251" t="s">
        <v>1970</v>
      </c>
      <c r="BY220" s="251" t="s">
        <v>1970</v>
      </c>
      <c r="BZ220" s="251" t="s">
        <v>1970</v>
      </c>
      <c r="CA220" s="251" t="s">
        <v>1970</v>
      </c>
      <c r="CB220" s="251" t="s">
        <v>1970</v>
      </c>
      <c r="CC220" s="251" t="s">
        <v>1970</v>
      </c>
      <c r="CD220" s="251" t="s">
        <v>1970</v>
      </c>
      <c r="CE220" s="251" t="s">
        <v>1970</v>
      </c>
      <c r="CF220" s="251" t="s">
        <v>1970</v>
      </c>
      <c r="CG220" s="251" t="s">
        <v>1970</v>
      </c>
      <c r="CH220" s="251" t="s">
        <v>1970</v>
      </c>
      <c r="CI220" s="251" t="s">
        <v>1970</v>
      </c>
      <c r="CJ220" s="251" t="s">
        <v>1970</v>
      </c>
      <c r="CK220" s="251" t="s">
        <v>1970</v>
      </c>
      <c r="CL220" s="251" t="s">
        <v>1970</v>
      </c>
      <c r="CM220" s="251" t="s">
        <v>1970</v>
      </c>
      <c r="CN220" s="251" t="s">
        <v>1970</v>
      </c>
      <c r="CO220" s="251" t="s">
        <v>1970</v>
      </c>
      <c r="CP220" s="251" t="s">
        <v>1970</v>
      </c>
      <c r="CQ220" s="251" t="s">
        <v>1970</v>
      </c>
      <c r="CR220" s="251" t="s">
        <v>1970</v>
      </c>
      <c r="CS220" s="251" t="s">
        <v>1970</v>
      </c>
      <c r="CT220" s="251" t="s">
        <v>1970</v>
      </c>
      <c r="CU220" s="251" t="s">
        <v>1970</v>
      </c>
      <c r="CV220" s="251" t="s">
        <v>1970</v>
      </c>
      <c r="CW220" s="251" t="s">
        <v>1970</v>
      </c>
      <c r="CX220" s="251" t="s">
        <v>1970</v>
      </c>
      <c r="CY220" s="251" t="s">
        <v>1970</v>
      </c>
      <c r="CZ220" s="251" t="s">
        <v>1970</v>
      </c>
      <c r="DA220" s="251" t="s">
        <v>1970</v>
      </c>
      <c r="DB220" s="251" t="s">
        <v>1970</v>
      </c>
      <c r="DC220" s="251" t="s">
        <v>1970</v>
      </c>
      <c r="DD220" s="251" t="s">
        <v>1970</v>
      </c>
      <c r="DE220" s="251" t="s">
        <v>1970</v>
      </c>
      <c r="DF220" s="251" t="s">
        <v>1970</v>
      </c>
      <c r="DG220" s="251" t="s">
        <v>1970</v>
      </c>
      <c r="DH220" s="251" t="s">
        <v>1970</v>
      </c>
      <c r="DI220" s="251" t="s">
        <v>1970</v>
      </c>
      <c r="DJ220" s="251" t="s">
        <v>1970</v>
      </c>
      <c r="DK220" s="251" t="s">
        <v>1970</v>
      </c>
      <c r="DL220" s="251" t="s">
        <v>1970</v>
      </c>
      <c r="DM220" s="251" t="s">
        <v>1970</v>
      </c>
      <c r="DN220" s="344" t="s">
        <v>1970</v>
      </c>
      <c r="DO220" s="344" t="s">
        <v>1970</v>
      </c>
      <c r="DP220" s="344" t="s">
        <v>1970</v>
      </c>
      <c r="DQ220" s="344" t="s">
        <v>1970</v>
      </c>
      <c r="DR220" s="344" t="s">
        <v>1970</v>
      </c>
      <c r="DS220" s="344" t="s">
        <v>1970</v>
      </c>
      <c r="DT220" s="344" t="s">
        <v>1970</v>
      </c>
      <c r="DU220" s="344" t="s">
        <v>1970</v>
      </c>
      <c r="DV220" s="344" t="s">
        <v>1970</v>
      </c>
      <c r="DW220" s="344" t="s">
        <v>1970</v>
      </c>
      <c r="DX220" s="344" t="s">
        <v>1970</v>
      </c>
      <c r="DY220" s="344" t="s">
        <v>1970</v>
      </c>
      <c r="DZ220" s="344" t="s">
        <v>1970</v>
      </c>
      <c r="EA220" s="344" t="s">
        <v>1970</v>
      </c>
      <c r="EB220" s="344" t="s">
        <v>1970</v>
      </c>
      <c r="EC220" s="344" t="s">
        <v>1970</v>
      </c>
      <c r="ED220" s="344" t="s">
        <v>1970</v>
      </c>
      <c r="EE220" s="344" t="s">
        <v>1970</v>
      </c>
      <c r="EF220" s="344" t="s">
        <v>1970</v>
      </c>
      <c r="EG220" s="344" t="s">
        <v>1970</v>
      </c>
      <c r="EH220" s="344" t="s">
        <v>1970</v>
      </c>
      <c r="EI220" s="344" t="s">
        <v>1970</v>
      </c>
      <c r="EJ220" s="344" t="s">
        <v>1970</v>
      </c>
      <c r="EK220" s="344" t="s">
        <v>1970</v>
      </c>
      <c r="EL220" s="344" t="s">
        <v>1970</v>
      </c>
      <c r="EM220" s="344" t="s">
        <v>1970</v>
      </c>
      <c r="EN220" s="344" t="s">
        <v>1970</v>
      </c>
      <c r="EO220" s="344" t="s">
        <v>1970</v>
      </c>
      <c r="EP220" s="344" t="s">
        <v>1970</v>
      </c>
      <c r="EQ220" s="344" t="s">
        <v>1970</v>
      </c>
      <c r="ER220" s="344" t="s">
        <v>1970</v>
      </c>
      <c r="ES220" s="344" t="s">
        <v>1970</v>
      </c>
    </row>
    <row r="221" spans="1:149" s="251" customFormat="1" x14ac:dyDescent="0.3">
      <c r="A221" s="251" t="s">
        <v>1115</v>
      </c>
      <c r="B221" s="344" t="s">
        <v>3195</v>
      </c>
      <c r="C221" s="251" t="s">
        <v>2149</v>
      </c>
      <c r="D221" s="251" t="s">
        <v>1118</v>
      </c>
      <c r="E221" s="344" t="s">
        <v>2255</v>
      </c>
      <c r="F221" s="251" t="s">
        <v>1970</v>
      </c>
      <c r="G221" s="344">
        <v>37</v>
      </c>
      <c r="H221" s="344">
        <v>35</v>
      </c>
      <c r="I221" s="344" t="s">
        <v>3247</v>
      </c>
      <c r="J221" s="344" t="s">
        <v>3249</v>
      </c>
      <c r="K221" s="344" t="s">
        <v>3272</v>
      </c>
      <c r="L221" s="251" t="s">
        <v>1970</v>
      </c>
      <c r="M221" s="251" t="s">
        <v>1970</v>
      </c>
      <c r="N221" s="344" t="s">
        <v>1978</v>
      </c>
      <c r="O221" s="344" t="s">
        <v>1978</v>
      </c>
      <c r="P221" s="344" t="s">
        <v>1978</v>
      </c>
      <c r="Q221" s="344" t="s">
        <v>1978</v>
      </c>
      <c r="R221" s="344" t="s">
        <v>1978</v>
      </c>
      <c r="S221" s="344" t="s">
        <v>1978</v>
      </c>
      <c r="T221" s="251" t="s">
        <v>1116</v>
      </c>
      <c r="U221" s="344" t="s">
        <v>2150</v>
      </c>
      <c r="V221" s="344" t="s">
        <v>1970</v>
      </c>
      <c r="W221" s="344" t="s">
        <v>1970</v>
      </c>
      <c r="X221" s="344" t="str">
        <f>'A123'!J229</f>
        <v>125*</v>
      </c>
      <c r="Y221" s="344">
        <f>'A123'!K229</f>
        <v>24</v>
      </c>
      <c r="Z221" s="344">
        <f>'A123'!L229</f>
        <v>4.458333333333333</v>
      </c>
      <c r="AA221" s="344" t="s">
        <v>2165</v>
      </c>
      <c r="AB221" s="344" t="str">
        <f>入學要求!X230</f>
        <v>/</v>
      </c>
      <c r="AC221" s="344" t="str">
        <f>入學要求!Y230</f>
        <v>/</v>
      </c>
      <c r="AD221" s="251" t="s">
        <v>2255</v>
      </c>
      <c r="AE221" s="344" t="s">
        <v>3251</v>
      </c>
      <c r="AF221" s="344" t="s">
        <v>3252</v>
      </c>
      <c r="AG221" s="344" t="s">
        <v>3272</v>
      </c>
      <c r="AH221" s="251" t="s">
        <v>1970</v>
      </c>
      <c r="AI221" s="251" t="s">
        <v>1970</v>
      </c>
      <c r="AJ221" s="344" t="s">
        <v>3238</v>
      </c>
      <c r="AK221" s="344" t="s">
        <v>3244</v>
      </c>
      <c r="AL221" s="344" t="s">
        <v>1970</v>
      </c>
      <c r="AM221" s="251" t="s">
        <v>1970</v>
      </c>
      <c r="AN221" s="251" t="s">
        <v>1970</v>
      </c>
      <c r="AO221" s="344" t="s">
        <v>1970</v>
      </c>
      <c r="AP221" s="344" t="s">
        <v>3257</v>
      </c>
      <c r="AQ221" s="344" t="s">
        <v>1970</v>
      </c>
      <c r="AR221" s="344" t="s">
        <v>2150</v>
      </c>
      <c r="AS221" s="251" t="s">
        <v>3603</v>
      </c>
      <c r="AT221" s="251" t="s">
        <v>3676</v>
      </c>
      <c r="AV221" s="565" t="s">
        <v>2521</v>
      </c>
      <c r="AW221" s="344"/>
      <c r="AX221" s="344"/>
      <c r="AY221" s="344"/>
      <c r="AZ221" s="344"/>
      <c r="BA221" s="344"/>
      <c r="BB221" s="251" t="s">
        <v>1970</v>
      </c>
      <c r="BC221" s="251" t="s">
        <v>1970</v>
      </c>
      <c r="BD221" s="251" t="s">
        <v>1970</v>
      </c>
      <c r="BE221" s="251" t="s">
        <v>1970</v>
      </c>
      <c r="BF221" s="251" t="s">
        <v>1970</v>
      </c>
      <c r="BG221" s="251" t="s">
        <v>1970</v>
      </c>
      <c r="BH221" s="251" t="s">
        <v>1970</v>
      </c>
      <c r="BI221" s="251" t="s">
        <v>1970</v>
      </c>
      <c r="BJ221" s="251" t="s">
        <v>1970</v>
      </c>
      <c r="BK221" s="251" t="s">
        <v>1970</v>
      </c>
      <c r="BL221" s="251" t="s">
        <v>1970</v>
      </c>
      <c r="BM221" s="251" t="s">
        <v>1970</v>
      </c>
      <c r="BN221" s="251" t="s">
        <v>1970</v>
      </c>
      <c r="BO221" s="251" t="s">
        <v>1970</v>
      </c>
      <c r="BP221" s="251" t="s">
        <v>1970</v>
      </c>
      <c r="BQ221" s="251" t="s">
        <v>1970</v>
      </c>
      <c r="BR221" s="251" t="s">
        <v>1970</v>
      </c>
      <c r="BS221" s="251" t="s">
        <v>1970</v>
      </c>
      <c r="BT221" s="251" t="s">
        <v>1970</v>
      </c>
      <c r="BU221" s="251" t="s">
        <v>1970</v>
      </c>
      <c r="BV221" s="251" t="s">
        <v>1970</v>
      </c>
      <c r="BW221" s="251" t="s">
        <v>1970</v>
      </c>
      <c r="BX221" s="251" t="s">
        <v>1970</v>
      </c>
      <c r="BY221" s="251" t="s">
        <v>1970</v>
      </c>
      <c r="BZ221" s="251" t="s">
        <v>1970</v>
      </c>
      <c r="CA221" s="251" t="s">
        <v>1970</v>
      </c>
      <c r="CB221" s="251" t="s">
        <v>1970</v>
      </c>
      <c r="CC221" s="251" t="s">
        <v>1970</v>
      </c>
      <c r="CD221" s="251" t="s">
        <v>1970</v>
      </c>
      <c r="CE221" s="251" t="s">
        <v>1970</v>
      </c>
      <c r="CF221" s="251" t="s">
        <v>1970</v>
      </c>
      <c r="CG221" s="251" t="s">
        <v>1970</v>
      </c>
      <c r="CH221" s="251" t="s">
        <v>1970</v>
      </c>
      <c r="CI221" s="251" t="s">
        <v>1970</v>
      </c>
      <c r="CJ221" s="251" t="s">
        <v>1970</v>
      </c>
      <c r="CK221" s="251" t="s">
        <v>1970</v>
      </c>
      <c r="CL221" s="251" t="s">
        <v>1970</v>
      </c>
      <c r="CM221" s="251" t="s">
        <v>1970</v>
      </c>
      <c r="CN221" s="251" t="s">
        <v>1970</v>
      </c>
      <c r="CO221" s="251" t="s">
        <v>1970</v>
      </c>
      <c r="CP221" s="251" t="s">
        <v>1970</v>
      </c>
      <c r="CQ221" s="251" t="s">
        <v>1970</v>
      </c>
      <c r="CR221" s="251" t="s">
        <v>1970</v>
      </c>
      <c r="CS221" s="251" t="s">
        <v>1970</v>
      </c>
      <c r="CT221" s="251" t="s">
        <v>1970</v>
      </c>
      <c r="CU221" s="251" t="s">
        <v>1970</v>
      </c>
      <c r="CV221" s="251" t="s">
        <v>1970</v>
      </c>
      <c r="CW221" s="251" t="s">
        <v>1970</v>
      </c>
      <c r="CX221" s="251" t="s">
        <v>1970</v>
      </c>
      <c r="CY221" s="251" t="s">
        <v>1970</v>
      </c>
      <c r="CZ221" s="251" t="s">
        <v>1970</v>
      </c>
      <c r="DA221" s="251" t="s">
        <v>1970</v>
      </c>
      <c r="DB221" s="251" t="s">
        <v>1970</v>
      </c>
      <c r="DC221" s="251" t="s">
        <v>1970</v>
      </c>
      <c r="DD221" s="251" t="s">
        <v>1970</v>
      </c>
      <c r="DE221" s="251" t="s">
        <v>1970</v>
      </c>
      <c r="DF221" s="251" t="s">
        <v>1970</v>
      </c>
      <c r="DG221" s="251" t="s">
        <v>1970</v>
      </c>
      <c r="DH221" s="251" t="s">
        <v>1970</v>
      </c>
      <c r="DI221" s="251" t="s">
        <v>1970</v>
      </c>
      <c r="DJ221" s="251" t="s">
        <v>1970</v>
      </c>
      <c r="DK221" s="251" t="s">
        <v>1970</v>
      </c>
      <c r="DL221" s="251" t="s">
        <v>1970</v>
      </c>
      <c r="DM221" s="251" t="s">
        <v>1970</v>
      </c>
      <c r="DN221" s="344" t="s">
        <v>1970</v>
      </c>
      <c r="DO221" s="344" t="s">
        <v>1970</v>
      </c>
      <c r="DP221" s="344" t="s">
        <v>1970</v>
      </c>
      <c r="DQ221" s="344" t="s">
        <v>1970</v>
      </c>
      <c r="DR221" s="344" t="s">
        <v>1970</v>
      </c>
      <c r="DS221" s="344" t="s">
        <v>1970</v>
      </c>
      <c r="DT221" s="344" t="s">
        <v>1970</v>
      </c>
      <c r="DU221" s="344" t="s">
        <v>1970</v>
      </c>
      <c r="DV221" s="344" t="s">
        <v>1970</v>
      </c>
      <c r="DW221" s="344" t="s">
        <v>1970</v>
      </c>
      <c r="DX221" s="344" t="s">
        <v>1970</v>
      </c>
      <c r="DY221" s="344" t="s">
        <v>1970</v>
      </c>
      <c r="DZ221" s="344" t="s">
        <v>1970</v>
      </c>
      <c r="EA221" s="344" t="s">
        <v>1970</v>
      </c>
      <c r="EB221" s="344" t="s">
        <v>1970</v>
      </c>
      <c r="EC221" s="344" t="s">
        <v>1970</v>
      </c>
      <c r="ED221" s="344" t="s">
        <v>1970</v>
      </c>
      <c r="EE221" s="344" t="s">
        <v>1970</v>
      </c>
      <c r="EF221" s="344" t="s">
        <v>1970</v>
      </c>
      <c r="EG221" s="344" t="s">
        <v>1970</v>
      </c>
      <c r="EH221" s="344" t="s">
        <v>1970</v>
      </c>
      <c r="EI221" s="344" t="s">
        <v>1970</v>
      </c>
      <c r="EJ221" s="344" t="s">
        <v>1970</v>
      </c>
      <c r="EK221" s="344" t="s">
        <v>1970</v>
      </c>
      <c r="EL221" s="344" t="s">
        <v>1970</v>
      </c>
      <c r="EM221" s="344" t="s">
        <v>1970</v>
      </c>
      <c r="EN221" s="344" t="s">
        <v>1970</v>
      </c>
      <c r="EO221" s="344" t="s">
        <v>1970</v>
      </c>
      <c r="EP221" s="344" t="s">
        <v>1970</v>
      </c>
      <c r="EQ221" s="344" t="s">
        <v>1970</v>
      </c>
      <c r="ER221" s="344" t="s">
        <v>1970</v>
      </c>
      <c r="ES221" s="344" t="s">
        <v>1970</v>
      </c>
    </row>
    <row r="222" spans="1:149" s="251" customFormat="1" x14ac:dyDescent="0.3">
      <c r="A222" s="251" t="s">
        <v>1119</v>
      </c>
      <c r="B222" s="344" t="s">
        <v>3195</v>
      </c>
      <c r="C222" s="251" t="s">
        <v>2149</v>
      </c>
      <c r="D222" s="251" t="s">
        <v>1122</v>
      </c>
      <c r="E222" s="344" t="s">
        <v>2255</v>
      </c>
      <c r="F222" s="251" t="s">
        <v>1970</v>
      </c>
      <c r="G222" s="344">
        <v>38</v>
      </c>
      <c r="H222" s="344">
        <v>34</v>
      </c>
      <c r="I222" s="344" t="s">
        <v>3247</v>
      </c>
      <c r="J222" s="344" t="s">
        <v>3249</v>
      </c>
      <c r="K222" s="344" t="s">
        <v>3272</v>
      </c>
      <c r="L222" s="251" t="s">
        <v>1970</v>
      </c>
      <c r="M222" s="251" t="s">
        <v>1970</v>
      </c>
      <c r="N222" s="344" t="s">
        <v>1978</v>
      </c>
      <c r="O222" s="344" t="s">
        <v>1978</v>
      </c>
      <c r="P222" s="344" t="s">
        <v>1978</v>
      </c>
      <c r="Q222" s="344" t="s">
        <v>1978</v>
      </c>
      <c r="R222" s="344" t="s">
        <v>1978</v>
      </c>
      <c r="S222" s="344" t="s">
        <v>1978</v>
      </c>
      <c r="T222" s="251" t="s">
        <v>1120</v>
      </c>
      <c r="U222" s="344" t="s">
        <v>2150</v>
      </c>
      <c r="V222" s="344" t="s">
        <v>1970</v>
      </c>
      <c r="W222" s="344" t="s">
        <v>1970</v>
      </c>
      <c r="X222" s="344" t="str">
        <f>'A123'!J230</f>
        <v>125*</v>
      </c>
      <c r="Y222" s="344">
        <f>'A123'!K230</f>
        <v>25</v>
      </c>
      <c r="Z222" s="344">
        <f>'A123'!L230</f>
        <v>5.52</v>
      </c>
      <c r="AA222" s="344" t="s">
        <v>2165</v>
      </c>
      <c r="AB222" s="344" t="str">
        <f>入學要求!X231</f>
        <v>/</v>
      </c>
      <c r="AC222" s="344" t="str">
        <f>入學要求!Y231</f>
        <v>/</v>
      </c>
      <c r="AD222" s="251" t="s">
        <v>2255</v>
      </c>
      <c r="AE222" s="344" t="s">
        <v>3251</v>
      </c>
      <c r="AF222" s="344" t="s">
        <v>3252</v>
      </c>
      <c r="AG222" s="344" t="s">
        <v>3272</v>
      </c>
      <c r="AH222" s="251" t="s">
        <v>1970</v>
      </c>
      <c r="AI222" s="251" t="s">
        <v>1970</v>
      </c>
      <c r="AJ222" s="344" t="s">
        <v>3238</v>
      </c>
      <c r="AK222" s="344" t="s">
        <v>3239</v>
      </c>
      <c r="AL222" s="344" t="s">
        <v>1970</v>
      </c>
      <c r="AM222" s="251" t="s">
        <v>1970</v>
      </c>
      <c r="AN222" s="251" t="s">
        <v>1970</v>
      </c>
      <c r="AO222" s="344" t="s">
        <v>1970</v>
      </c>
      <c r="AP222" s="344" t="s">
        <v>3257</v>
      </c>
      <c r="AQ222" s="344" t="s">
        <v>1970</v>
      </c>
      <c r="AR222" s="344" t="s">
        <v>2150</v>
      </c>
      <c r="AS222" s="251" t="s">
        <v>3603</v>
      </c>
      <c r="AT222" s="251" t="s">
        <v>3676</v>
      </c>
      <c r="AV222" s="565" t="s">
        <v>2521</v>
      </c>
      <c r="AW222" s="344"/>
      <c r="AX222" s="344"/>
      <c r="AY222" s="344"/>
      <c r="AZ222" s="344"/>
      <c r="BA222" s="344"/>
      <c r="BB222" s="251" t="s">
        <v>1970</v>
      </c>
      <c r="BC222" s="251" t="s">
        <v>1970</v>
      </c>
      <c r="BD222" s="251" t="s">
        <v>1970</v>
      </c>
      <c r="BE222" s="251" t="s">
        <v>1970</v>
      </c>
      <c r="BF222" s="251" t="s">
        <v>1970</v>
      </c>
      <c r="BG222" s="251" t="s">
        <v>1970</v>
      </c>
      <c r="BH222" s="251" t="s">
        <v>1970</v>
      </c>
      <c r="BI222" s="251" t="s">
        <v>1970</v>
      </c>
      <c r="BJ222" s="251" t="s">
        <v>1970</v>
      </c>
      <c r="BK222" s="251" t="s">
        <v>1970</v>
      </c>
      <c r="BL222" s="251" t="s">
        <v>1970</v>
      </c>
      <c r="BM222" s="251" t="s">
        <v>1970</v>
      </c>
      <c r="BN222" s="251" t="s">
        <v>1970</v>
      </c>
      <c r="BO222" s="251" t="s">
        <v>1970</v>
      </c>
      <c r="BP222" s="251" t="s">
        <v>1970</v>
      </c>
      <c r="BQ222" s="251" t="s">
        <v>1970</v>
      </c>
      <c r="BR222" s="251" t="s">
        <v>1970</v>
      </c>
      <c r="BS222" s="251" t="s">
        <v>1970</v>
      </c>
      <c r="BT222" s="251" t="s">
        <v>1970</v>
      </c>
      <c r="BU222" s="251" t="s">
        <v>1970</v>
      </c>
      <c r="BV222" s="251" t="s">
        <v>1970</v>
      </c>
      <c r="BW222" s="251" t="s">
        <v>1970</v>
      </c>
      <c r="BX222" s="251" t="s">
        <v>1970</v>
      </c>
      <c r="BY222" s="251" t="s">
        <v>1970</v>
      </c>
      <c r="BZ222" s="251" t="s">
        <v>1970</v>
      </c>
      <c r="CA222" s="251" t="s">
        <v>1970</v>
      </c>
      <c r="CB222" s="251" t="s">
        <v>1970</v>
      </c>
      <c r="CC222" s="251" t="s">
        <v>1970</v>
      </c>
      <c r="CD222" s="251" t="s">
        <v>1970</v>
      </c>
      <c r="CE222" s="251" t="s">
        <v>1970</v>
      </c>
      <c r="CF222" s="251" t="s">
        <v>1970</v>
      </c>
      <c r="CG222" s="251" t="s">
        <v>1970</v>
      </c>
      <c r="CH222" s="251" t="s">
        <v>1970</v>
      </c>
      <c r="CI222" s="251" t="s">
        <v>1970</v>
      </c>
      <c r="CJ222" s="251" t="s">
        <v>1970</v>
      </c>
      <c r="CK222" s="251" t="s">
        <v>1970</v>
      </c>
      <c r="CL222" s="251" t="s">
        <v>1970</v>
      </c>
      <c r="CM222" s="251" t="s">
        <v>1970</v>
      </c>
      <c r="CN222" s="251" t="s">
        <v>1970</v>
      </c>
      <c r="CO222" s="251" t="s">
        <v>1970</v>
      </c>
      <c r="CP222" s="251" t="s">
        <v>1970</v>
      </c>
      <c r="CQ222" s="251" t="s">
        <v>1970</v>
      </c>
      <c r="CR222" s="251" t="s">
        <v>1970</v>
      </c>
      <c r="CS222" s="251" t="s">
        <v>1970</v>
      </c>
      <c r="CT222" s="251" t="s">
        <v>1970</v>
      </c>
      <c r="CU222" s="251" t="s">
        <v>1970</v>
      </c>
      <c r="CV222" s="251" t="s">
        <v>1970</v>
      </c>
      <c r="CW222" s="251" t="s">
        <v>1970</v>
      </c>
      <c r="CX222" s="251" t="s">
        <v>1970</v>
      </c>
      <c r="CY222" s="251" t="s">
        <v>1970</v>
      </c>
      <c r="CZ222" s="251" t="s">
        <v>1970</v>
      </c>
      <c r="DA222" s="251" t="s">
        <v>1970</v>
      </c>
      <c r="DB222" s="251" t="s">
        <v>1970</v>
      </c>
      <c r="DC222" s="251" t="s">
        <v>1970</v>
      </c>
      <c r="DD222" s="251" t="s">
        <v>1970</v>
      </c>
      <c r="DE222" s="251" t="s">
        <v>1970</v>
      </c>
      <c r="DF222" s="251" t="s">
        <v>1970</v>
      </c>
      <c r="DG222" s="251" t="s">
        <v>1970</v>
      </c>
      <c r="DH222" s="251" t="s">
        <v>1970</v>
      </c>
      <c r="DI222" s="251" t="s">
        <v>1970</v>
      </c>
      <c r="DJ222" s="251" t="s">
        <v>1970</v>
      </c>
      <c r="DK222" s="251" t="s">
        <v>1970</v>
      </c>
      <c r="DL222" s="251" t="s">
        <v>1970</v>
      </c>
      <c r="DM222" s="251" t="s">
        <v>1970</v>
      </c>
      <c r="DN222" s="344" t="s">
        <v>1970</v>
      </c>
      <c r="DO222" s="344" t="s">
        <v>1970</v>
      </c>
      <c r="DP222" s="344" t="s">
        <v>1970</v>
      </c>
      <c r="DQ222" s="344" t="s">
        <v>1970</v>
      </c>
      <c r="DR222" s="344" t="s">
        <v>1970</v>
      </c>
      <c r="DS222" s="344" t="s">
        <v>1970</v>
      </c>
      <c r="DT222" s="344" t="s">
        <v>1970</v>
      </c>
      <c r="DU222" s="344" t="s">
        <v>1970</v>
      </c>
      <c r="DV222" s="344" t="s">
        <v>1970</v>
      </c>
      <c r="DW222" s="344" t="s">
        <v>1970</v>
      </c>
      <c r="DX222" s="344" t="s">
        <v>1970</v>
      </c>
      <c r="DY222" s="344" t="s">
        <v>1970</v>
      </c>
      <c r="DZ222" s="344" t="s">
        <v>1970</v>
      </c>
      <c r="EA222" s="344" t="s">
        <v>1970</v>
      </c>
      <c r="EB222" s="344" t="s">
        <v>1970</v>
      </c>
      <c r="EC222" s="344" t="s">
        <v>1970</v>
      </c>
      <c r="ED222" s="344" t="s">
        <v>1970</v>
      </c>
      <c r="EE222" s="344" t="s">
        <v>1970</v>
      </c>
      <c r="EF222" s="344" t="s">
        <v>1970</v>
      </c>
      <c r="EG222" s="344" t="s">
        <v>1970</v>
      </c>
      <c r="EH222" s="344" t="s">
        <v>1970</v>
      </c>
      <c r="EI222" s="344" t="s">
        <v>1970</v>
      </c>
      <c r="EJ222" s="344" t="s">
        <v>1970</v>
      </c>
      <c r="EK222" s="344" t="s">
        <v>1970</v>
      </c>
      <c r="EL222" s="344" t="s">
        <v>1970</v>
      </c>
      <c r="EM222" s="344" t="s">
        <v>1970</v>
      </c>
      <c r="EN222" s="344" t="s">
        <v>1970</v>
      </c>
      <c r="EO222" s="344" t="s">
        <v>1970</v>
      </c>
      <c r="EP222" s="344" t="s">
        <v>1970</v>
      </c>
      <c r="EQ222" s="344" t="s">
        <v>1970</v>
      </c>
      <c r="ER222" s="344" t="s">
        <v>1970</v>
      </c>
      <c r="ES222" s="344" t="s">
        <v>1970</v>
      </c>
    </row>
    <row r="223" spans="1:149" s="251" customFormat="1" x14ac:dyDescent="0.3">
      <c r="A223" s="251" t="s">
        <v>1123</v>
      </c>
      <c r="B223" s="344" t="s">
        <v>3195</v>
      </c>
      <c r="C223" s="251" t="s">
        <v>2149</v>
      </c>
      <c r="D223" s="251" t="s">
        <v>1126</v>
      </c>
      <c r="E223" s="344" t="s">
        <v>2255</v>
      </c>
      <c r="F223" s="251" t="s">
        <v>1970</v>
      </c>
      <c r="G223" s="251" t="s">
        <v>1978</v>
      </c>
      <c r="H223" s="251" t="s">
        <v>1978</v>
      </c>
      <c r="I223" s="344" t="s">
        <v>3247</v>
      </c>
      <c r="J223" s="344" t="s">
        <v>3249</v>
      </c>
      <c r="K223" s="344" t="s">
        <v>3272</v>
      </c>
      <c r="L223" s="344" t="s">
        <v>1970</v>
      </c>
      <c r="M223" s="344" t="s">
        <v>1970</v>
      </c>
      <c r="N223" s="344" t="s">
        <v>1978</v>
      </c>
      <c r="O223" s="344" t="s">
        <v>1978</v>
      </c>
      <c r="P223" s="344" t="s">
        <v>1978</v>
      </c>
      <c r="Q223" s="344" t="s">
        <v>1978</v>
      </c>
      <c r="R223" s="344" t="s">
        <v>1978</v>
      </c>
      <c r="S223" s="344" t="s">
        <v>1978</v>
      </c>
      <c r="T223" s="251" t="s">
        <v>1124</v>
      </c>
      <c r="U223" s="344" t="s">
        <v>2150</v>
      </c>
      <c r="V223" s="344" t="s">
        <v>1970</v>
      </c>
      <c r="W223" s="344" t="s">
        <v>1970</v>
      </c>
      <c r="X223" s="344" t="str">
        <f>'A123'!J231</f>
        <v>125*</v>
      </c>
      <c r="Y223" s="344">
        <f>'A123'!K231</f>
        <v>4</v>
      </c>
      <c r="Z223" s="344">
        <f>'A123'!L231</f>
        <v>7.75</v>
      </c>
      <c r="AA223" s="344" t="s">
        <v>2165</v>
      </c>
      <c r="AB223" s="344" t="str">
        <f>入學要求!X232</f>
        <v>/</v>
      </c>
      <c r="AC223" s="344" t="str">
        <f>入學要求!Y232</f>
        <v>/</v>
      </c>
      <c r="AD223" s="251" t="s">
        <v>2255</v>
      </c>
      <c r="AE223" s="344" t="s">
        <v>3251</v>
      </c>
      <c r="AF223" s="344" t="s">
        <v>3252</v>
      </c>
      <c r="AG223" s="344" t="s">
        <v>3272</v>
      </c>
      <c r="AH223" s="251" t="s">
        <v>1970</v>
      </c>
      <c r="AI223" s="251" t="s">
        <v>1970</v>
      </c>
      <c r="AJ223" s="344" t="s">
        <v>3238</v>
      </c>
      <c r="AK223" s="344" t="s">
        <v>1978</v>
      </c>
      <c r="AL223" s="344" t="s">
        <v>1970</v>
      </c>
      <c r="AM223" s="251" t="s">
        <v>1970</v>
      </c>
      <c r="AN223" s="251" t="s">
        <v>1970</v>
      </c>
      <c r="AO223" s="344" t="s">
        <v>1970</v>
      </c>
      <c r="AP223" s="251" t="s">
        <v>3257</v>
      </c>
      <c r="AQ223" s="344" t="s">
        <v>1970</v>
      </c>
      <c r="AR223" s="344" t="s">
        <v>2150</v>
      </c>
      <c r="AS223" s="251" t="s">
        <v>3603</v>
      </c>
      <c r="AT223" s="251" t="s">
        <v>3676</v>
      </c>
      <c r="AV223" s="565" t="s">
        <v>2521</v>
      </c>
      <c r="AW223" s="344"/>
      <c r="AX223" s="344"/>
      <c r="AY223" s="344"/>
      <c r="AZ223" s="344"/>
      <c r="BA223" s="344"/>
      <c r="BB223" s="251" t="s">
        <v>1970</v>
      </c>
      <c r="BC223" s="251" t="s">
        <v>1970</v>
      </c>
      <c r="BD223" s="251" t="s">
        <v>1970</v>
      </c>
      <c r="BE223" s="251" t="s">
        <v>1970</v>
      </c>
      <c r="BF223" s="251" t="s">
        <v>1970</v>
      </c>
      <c r="BG223" s="251" t="s">
        <v>1970</v>
      </c>
      <c r="BH223" s="251" t="s">
        <v>1970</v>
      </c>
      <c r="BI223" s="251" t="s">
        <v>1970</v>
      </c>
      <c r="BJ223" s="251" t="s">
        <v>1970</v>
      </c>
      <c r="BK223" s="251" t="s">
        <v>1970</v>
      </c>
      <c r="BL223" s="251" t="s">
        <v>1970</v>
      </c>
      <c r="BM223" s="251" t="s">
        <v>1970</v>
      </c>
      <c r="BN223" s="251" t="s">
        <v>1970</v>
      </c>
      <c r="BO223" s="251" t="s">
        <v>1970</v>
      </c>
      <c r="BP223" s="251" t="s">
        <v>1970</v>
      </c>
      <c r="BQ223" s="251" t="s">
        <v>1970</v>
      </c>
      <c r="BR223" s="251" t="s">
        <v>1970</v>
      </c>
      <c r="BS223" s="251" t="s">
        <v>1970</v>
      </c>
      <c r="BT223" s="251" t="s">
        <v>1970</v>
      </c>
      <c r="BU223" s="251" t="s">
        <v>1970</v>
      </c>
      <c r="BV223" s="251" t="s">
        <v>1970</v>
      </c>
      <c r="BW223" s="251" t="s">
        <v>1970</v>
      </c>
      <c r="BX223" s="251" t="s">
        <v>1970</v>
      </c>
      <c r="BY223" s="251" t="s">
        <v>1970</v>
      </c>
      <c r="BZ223" s="251" t="s">
        <v>1970</v>
      </c>
      <c r="CA223" s="251" t="s">
        <v>1970</v>
      </c>
      <c r="CB223" s="251" t="s">
        <v>1970</v>
      </c>
      <c r="CC223" s="251" t="s">
        <v>1970</v>
      </c>
      <c r="CD223" s="251" t="s">
        <v>1970</v>
      </c>
      <c r="CE223" s="251" t="s">
        <v>1970</v>
      </c>
      <c r="CF223" s="251" t="s">
        <v>1970</v>
      </c>
      <c r="CG223" s="251" t="s">
        <v>1970</v>
      </c>
      <c r="CH223" s="251" t="s">
        <v>1970</v>
      </c>
      <c r="CI223" s="251" t="s">
        <v>1970</v>
      </c>
      <c r="CJ223" s="251" t="s">
        <v>1970</v>
      </c>
      <c r="CK223" s="251" t="s">
        <v>1970</v>
      </c>
      <c r="CL223" s="251" t="s">
        <v>1970</v>
      </c>
      <c r="CM223" s="251" t="s">
        <v>1970</v>
      </c>
      <c r="CN223" s="251" t="s">
        <v>1970</v>
      </c>
      <c r="CO223" s="251" t="s">
        <v>1970</v>
      </c>
      <c r="CP223" s="251" t="s">
        <v>1970</v>
      </c>
      <c r="CQ223" s="251" t="s">
        <v>1970</v>
      </c>
      <c r="CR223" s="251" t="s">
        <v>1970</v>
      </c>
      <c r="CS223" s="251" t="s">
        <v>1970</v>
      </c>
      <c r="CT223" s="251" t="s">
        <v>1970</v>
      </c>
      <c r="CU223" s="251" t="s">
        <v>1970</v>
      </c>
      <c r="CV223" s="251" t="s">
        <v>1970</v>
      </c>
      <c r="CW223" s="251" t="s">
        <v>1970</v>
      </c>
      <c r="CX223" s="251" t="s">
        <v>1970</v>
      </c>
      <c r="CY223" s="251" t="s">
        <v>1970</v>
      </c>
      <c r="CZ223" s="251" t="s">
        <v>1970</v>
      </c>
      <c r="DA223" s="251" t="s">
        <v>1970</v>
      </c>
      <c r="DB223" s="251" t="s">
        <v>1970</v>
      </c>
      <c r="DC223" s="251" t="s">
        <v>1970</v>
      </c>
      <c r="DD223" s="251" t="s">
        <v>1970</v>
      </c>
      <c r="DE223" s="251" t="s">
        <v>1970</v>
      </c>
      <c r="DF223" s="251" t="s">
        <v>1970</v>
      </c>
      <c r="DG223" s="251" t="s">
        <v>1970</v>
      </c>
      <c r="DH223" s="251" t="s">
        <v>1970</v>
      </c>
      <c r="DI223" s="251" t="s">
        <v>1970</v>
      </c>
      <c r="DJ223" s="251" t="s">
        <v>1970</v>
      </c>
      <c r="DK223" s="251" t="s">
        <v>1970</v>
      </c>
      <c r="DL223" s="251" t="s">
        <v>1970</v>
      </c>
      <c r="DM223" s="251" t="s">
        <v>1970</v>
      </c>
      <c r="DN223" s="344" t="s">
        <v>1970</v>
      </c>
      <c r="DO223" s="344" t="s">
        <v>1970</v>
      </c>
      <c r="DP223" s="344" t="s">
        <v>1970</v>
      </c>
      <c r="DQ223" s="344" t="s">
        <v>1970</v>
      </c>
      <c r="DR223" s="344" t="s">
        <v>1970</v>
      </c>
      <c r="DS223" s="344" t="s">
        <v>1970</v>
      </c>
      <c r="DT223" s="344" t="s">
        <v>1970</v>
      </c>
      <c r="DU223" s="344" t="s">
        <v>1970</v>
      </c>
      <c r="DV223" s="344" t="s">
        <v>1970</v>
      </c>
      <c r="DW223" s="344" t="s">
        <v>1970</v>
      </c>
      <c r="DX223" s="344" t="s">
        <v>1970</v>
      </c>
      <c r="DY223" s="344" t="s">
        <v>1970</v>
      </c>
      <c r="DZ223" s="344" t="s">
        <v>1970</v>
      </c>
      <c r="EA223" s="344" t="s">
        <v>1970</v>
      </c>
      <c r="EB223" s="344" t="s">
        <v>1970</v>
      </c>
      <c r="EC223" s="344" t="s">
        <v>1970</v>
      </c>
      <c r="ED223" s="344" t="s">
        <v>1970</v>
      </c>
      <c r="EE223" s="344" t="s">
        <v>1970</v>
      </c>
      <c r="EF223" s="344" t="s">
        <v>1970</v>
      </c>
      <c r="EG223" s="344" t="s">
        <v>1970</v>
      </c>
      <c r="EH223" s="344" t="s">
        <v>1970</v>
      </c>
      <c r="EI223" s="344" t="s">
        <v>1970</v>
      </c>
      <c r="EJ223" s="344" t="s">
        <v>1970</v>
      </c>
      <c r="EK223" s="344" t="s">
        <v>1970</v>
      </c>
      <c r="EL223" s="344" t="s">
        <v>1970</v>
      </c>
      <c r="EM223" s="344" t="s">
        <v>1970</v>
      </c>
      <c r="EN223" s="344" t="s">
        <v>1970</v>
      </c>
      <c r="EO223" s="344" t="s">
        <v>1970</v>
      </c>
      <c r="EP223" s="344" t="s">
        <v>1970</v>
      </c>
      <c r="EQ223" s="344" t="s">
        <v>1970</v>
      </c>
      <c r="ER223" s="344" t="s">
        <v>1970</v>
      </c>
      <c r="ES223" s="344" t="s">
        <v>1970</v>
      </c>
    </row>
    <row r="224" spans="1:149" s="251" customFormat="1" x14ac:dyDescent="0.3">
      <c r="A224" s="251" t="s">
        <v>1127</v>
      </c>
      <c r="B224" s="344" t="s">
        <v>3195</v>
      </c>
      <c r="C224" s="251" t="s">
        <v>2149</v>
      </c>
      <c r="D224" s="251" t="s">
        <v>1130</v>
      </c>
      <c r="E224" s="344" t="s">
        <v>2255</v>
      </c>
      <c r="F224" s="251" t="s">
        <v>1970</v>
      </c>
      <c r="G224" s="344">
        <v>39.5</v>
      </c>
      <c r="H224" s="344">
        <v>38</v>
      </c>
      <c r="I224" s="344" t="s">
        <v>3247</v>
      </c>
      <c r="J224" s="344" t="s">
        <v>3249</v>
      </c>
      <c r="K224" s="344" t="s">
        <v>3272</v>
      </c>
      <c r="L224" s="251" t="s">
        <v>1970</v>
      </c>
      <c r="M224" s="251" t="s">
        <v>1970</v>
      </c>
      <c r="N224" s="344" t="s">
        <v>1978</v>
      </c>
      <c r="O224" s="344" t="s">
        <v>1978</v>
      </c>
      <c r="P224" s="344" t="s">
        <v>1978</v>
      </c>
      <c r="Q224" s="344" t="s">
        <v>1978</v>
      </c>
      <c r="R224" s="344" t="s">
        <v>1978</v>
      </c>
      <c r="S224" s="344" t="s">
        <v>1978</v>
      </c>
      <c r="T224" s="251" t="s">
        <v>1128</v>
      </c>
      <c r="U224" s="344" t="s">
        <v>2150</v>
      </c>
      <c r="V224" s="344" t="s">
        <v>1970</v>
      </c>
      <c r="W224" s="344" t="s">
        <v>1970</v>
      </c>
      <c r="X224" s="344">
        <f>'A123'!J232</f>
        <v>60</v>
      </c>
      <c r="Y224" s="344">
        <f>'A123'!K232</f>
        <v>70</v>
      </c>
      <c r="Z224" s="344">
        <f>'A123'!L232</f>
        <v>3.3285714285714287</v>
      </c>
      <c r="AA224" s="344" t="s">
        <v>2165</v>
      </c>
      <c r="AB224" s="344" t="str">
        <f>入學要求!X233</f>
        <v>/</v>
      </c>
      <c r="AC224" s="344" t="str">
        <f>入學要求!Y233</f>
        <v>/</v>
      </c>
      <c r="AD224" s="251" t="s">
        <v>2255</v>
      </c>
      <c r="AE224" s="344" t="s">
        <v>3251</v>
      </c>
      <c r="AF224" s="344" t="s">
        <v>3252</v>
      </c>
      <c r="AG224" s="344" t="s">
        <v>3272</v>
      </c>
      <c r="AH224" s="251" t="s">
        <v>1970</v>
      </c>
      <c r="AI224" s="251" t="s">
        <v>1970</v>
      </c>
      <c r="AJ224" s="344" t="s">
        <v>3238</v>
      </c>
      <c r="AK224" s="344" t="s">
        <v>3243</v>
      </c>
      <c r="AL224" s="344" t="s">
        <v>1970</v>
      </c>
      <c r="AM224" s="251" t="s">
        <v>1970</v>
      </c>
      <c r="AN224" s="251" t="s">
        <v>1970</v>
      </c>
      <c r="AO224" s="344" t="s">
        <v>1970</v>
      </c>
      <c r="AP224" s="344" t="s">
        <v>3257</v>
      </c>
      <c r="AQ224" s="344" t="s">
        <v>1970</v>
      </c>
      <c r="AR224" s="344" t="s">
        <v>2150</v>
      </c>
      <c r="AS224" s="251" t="s">
        <v>3603</v>
      </c>
      <c r="AT224" s="251" t="s">
        <v>3676</v>
      </c>
      <c r="AV224" s="565" t="s">
        <v>2521</v>
      </c>
      <c r="AW224" s="344"/>
      <c r="AX224" s="344"/>
      <c r="AY224" s="344"/>
      <c r="AZ224" s="344"/>
      <c r="BA224" s="344"/>
      <c r="BB224" s="251" t="s">
        <v>1970</v>
      </c>
      <c r="BC224" s="251" t="s">
        <v>1970</v>
      </c>
      <c r="BD224" s="251" t="s">
        <v>1970</v>
      </c>
      <c r="BE224" s="251" t="s">
        <v>1970</v>
      </c>
      <c r="BF224" s="251" t="s">
        <v>1970</v>
      </c>
      <c r="BG224" s="251" t="s">
        <v>1970</v>
      </c>
      <c r="BH224" s="251" t="s">
        <v>1970</v>
      </c>
      <c r="BI224" s="251" t="s">
        <v>1970</v>
      </c>
      <c r="BJ224" s="251" t="s">
        <v>1970</v>
      </c>
      <c r="BK224" s="251" t="s">
        <v>1970</v>
      </c>
      <c r="BL224" s="251" t="s">
        <v>1970</v>
      </c>
      <c r="BM224" s="251" t="s">
        <v>1970</v>
      </c>
      <c r="BN224" s="251" t="s">
        <v>1970</v>
      </c>
      <c r="BO224" s="251" t="s">
        <v>1970</v>
      </c>
      <c r="BP224" s="251" t="s">
        <v>1970</v>
      </c>
      <c r="BQ224" s="251" t="s">
        <v>1970</v>
      </c>
      <c r="BR224" s="251" t="s">
        <v>1970</v>
      </c>
      <c r="BS224" s="251" t="s">
        <v>1970</v>
      </c>
      <c r="BT224" s="251" t="s">
        <v>1970</v>
      </c>
      <c r="BU224" s="251" t="s">
        <v>1970</v>
      </c>
      <c r="BV224" s="251" t="s">
        <v>1970</v>
      </c>
      <c r="BW224" s="251" t="s">
        <v>1970</v>
      </c>
      <c r="BX224" s="251" t="s">
        <v>1970</v>
      </c>
      <c r="BY224" s="251" t="s">
        <v>1970</v>
      </c>
      <c r="BZ224" s="251" t="s">
        <v>1970</v>
      </c>
      <c r="CA224" s="251" t="s">
        <v>1970</v>
      </c>
      <c r="CB224" s="251" t="s">
        <v>1970</v>
      </c>
      <c r="CC224" s="251" t="s">
        <v>1970</v>
      </c>
      <c r="CD224" s="251" t="s">
        <v>1970</v>
      </c>
      <c r="CE224" s="251" t="s">
        <v>1970</v>
      </c>
      <c r="CF224" s="251" t="s">
        <v>1970</v>
      </c>
      <c r="CG224" s="251" t="s">
        <v>1970</v>
      </c>
      <c r="CH224" s="251" t="s">
        <v>1970</v>
      </c>
      <c r="CI224" s="251" t="s">
        <v>1970</v>
      </c>
      <c r="CJ224" s="251" t="s">
        <v>1970</v>
      </c>
      <c r="CK224" s="251" t="s">
        <v>1970</v>
      </c>
      <c r="CL224" s="251" t="s">
        <v>1970</v>
      </c>
      <c r="CM224" s="251" t="s">
        <v>1970</v>
      </c>
      <c r="CN224" s="251" t="s">
        <v>1970</v>
      </c>
      <c r="CO224" s="251" t="s">
        <v>1970</v>
      </c>
      <c r="CP224" s="251" t="s">
        <v>1970</v>
      </c>
      <c r="CQ224" s="251" t="s">
        <v>1970</v>
      </c>
      <c r="CR224" s="251" t="s">
        <v>1970</v>
      </c>
      <c r="CS224" s="251" t="s">
        <v>1970</v>
      </c>
      <c r="CT224" s="251" t="s">
        <v>1970</v>
      </c>
      <c r="CU224" s="251" t="s">
        <v>1970</v>
      </c>
      <c r="CV224" s="251" t="s">
        <v>1970</v>
      </c>
      <c r="CW224" s="251" t="s">
        <v>1970</v>
      </c>
      <c r="CX224" s="251" t="s">
        <v>1970</v>
      </c>
      <c r="CY224" s="251" t="s">
        <v>1970</v>
      </c>
      <c r="CZ224" s="251" t="s">
        <v>1970</v>
      </c>
      <c r="DA224" s="251" t="s">
        <v>1970</v>
      </c>
      <c r="DB224" s="251" t="s">
        <v>1970</v>
      </c>
      <c r="DC224" s="251" t="s">
        <v>1970</v>
      </c>
      <c r="DD224" s="251" t="s">
        <v>1970</v>
      </c>
      <c r="DE224" s="251" t="s">
        <v>1970</v>
      </c>
      <c r="DF224" s="251" t="s">
        <v>1970</v>
      </c>
      <c r="DG224" s="251" t="s">
        <v>1970</v>
      </c>
      <c r="DH224" s="251" t="s">
        <v>1970</v>
      </c>
      <c r="DI224" s="251" t="s">
        <v>1970</v>
      </c>
      <c r="DJ224" s="251" t="s">
        <v>1970</v>
      </c>
      <c r="DK224" s="251" t="s">
        <v>1970</v>
      </c>
      <c r="DL224" s="251" t="s">
        <v>1970</v>
      </c>
      <c r="DM224" s="251" t="s">
        <v>1970</v>
      </c>
      <c r="DN224" s="344" t="s">
        <v>1970</v>
      </c>
      <c r="DO224" s="344" t="s">
        <v>1970</v>
      </c>
      <c r="DP224" s="344" t="s">
        <v>1970</v>
      </c>
      <c r="DQ224" s="344" t="s">
        <v>1970</v>
      </c>
      <c r="DR224" s="344" t="s">
        <v>1970</v>
      </c>
      <c r="DS224" s="344" t="s">
        <v>1970</v>
      </c>
      <c r="DT224" s="344" t="s">
        <v>1970</v>
      </c>
      <c r="DU224" s="344" t="s">
        <v>1970</v>
      </c>
      <c r="DV224" s="344" t="s">
        <v>1970</v>
      </c>
      <c r="DW224" s="344" t="s">
        <v>1970</v>
      </c>
      <c r="DX224" s="344" t="s">
        <v>1970</v>
      </c>
      <c r="DY224" s="344" t="s">
        <v>1970</v>
      </c>
      <c r="DZ224" s="344" t="s">
        <v>1970</v>
      </c>
      <c r="EA224" s="344" t="s">
        <v>1970</v>
      </c>
      <c r="EB224" s="344" t="s">
        <v>1970</v>
      </c>
      <c r="EC224" s="344" t="s">
        <v>1970</v>
      </c>
      <c r="ED224" s="344" t="s">
        <v>1970</v>
      </c>
      <c r="EE224" s="344" t="s">
        <v>1970</v>
      </c>
      <c r="EF224" s="344" t="s">
        <v>1970</v>
      </c>
      <c r="EG224" s="344" t="s">
        <v>1970</v>
      </c>
      <c r="EH224" s="344" t="s">
        <v>1970</v>
      </c>
      <c r="EI224" s="344" t="s">
        <v>1970</v>
      </c>
      <c r="EJ224" s="344" t="s">
        <v>1970</v>
      </c>
      <c r="EK224" s="344" t="s">
        <v>1970</v>
      </c>
      <c r="EL224" s="344" t="s">
        <v>1970</v>
      </c>
      <c r="EM224" s="344" t="s">
        <v>1970</v>
      </c>
      <c r="EN224" s="344" t="s">
        <v>1970</v>
      </c>
      <c r="EO224" s="344" t="s">
        <v>1970</v>
      </c>
      <c r="EP224" s="344" t="s">
        <v>1970</v>
      </c>
      <c r="EQ224" s="344" t="s">
        <v>1970</v>
      </c>
      <c r="ER224" s="344" t="s">
        <v>1970</v>
      </c>
      <c r="ES224" s="344" t="s">
        <v>1970</v>
      </c>
    </row>
    <row r="225" spans="1:215" s="251" customFormat="1" x14ac:dyDescent="0.3">
      <c r="A225" s="251" t="s">
        <v>1131</v>
      </c>
      <c r="B225" s="344" t="s">
        <v>3195</v>
      </c>
      <c r="C225" s="251" t="s">
        <v>2149</v>
      </c>
      <c r="D225" s="251" t="s">
        <v>1134</v>
      </c>
      <c r="E225" s="344" t="s">
        <v>2255</v>
      </c>
      <c r="F225" s="251" t="s">
        <v>1970</v>
      </c>
      <c r="G225" s="344">
        <v>52.75</v>
      </c>
      <c r="H225" s="344">
        <v>52</v>
      </c>
      <c r="I225" s="344" t="s">
        <v>3247</v>
      </c>
      <c r="J225" s="344" t="s">
        <v>3249</v>
      </c>
      <c r="K225" s="344" t="s">
        <v>3274</v>
      </c>
      <c r="L225" s="427" t="s">
        <v>3276</v>
      </c>
      <c r="M225" s="427" t="s">
        <v>3277</v>
      </c>
      <c r="N225" s="344" t="s">
        <v>1978</v>
      </c>
      <c r="O225" s="344" t="s">
        <v>1978</v>
      </c>
      <c r="P225" s="344" t="s">
        <v>1978</v>
      </c>
      <c r="Q225" s="344" t="s">
        <v>1978</v>
      </c>
      <c r="R225" s="344" t="s">
        <v>1978</v>
      </c>
      <c r="S225" s="344" t="s">
        <v>1978</v>
      </c>
      <c r="T225" s="251" t="s">
        <v>1132</v>
      </c>
      <c r="U225" s="344" t="s">
        <v>2150</v>
      </c>
      <c r="V225" s="344" t="s">
        <v>1970</v>
      </c>
      <c r="W225" s="344" t="s">
        <v>1970</v>
      </c>
      <c r="X225" s="344">
        <f>'A123'!J233</f>
        <v>26</v>
      </c>
      <c r="Y225" s="344">
        <f>'A123'!K233</f>
        <v>27</v>
      </c>
      <c r="Z225" s="344">
        <f>'A123'!L233</f>
        <v>5.333333333333333</v>
      </c>
      <c r="AA225" s="344" t="s">
        <v>2165</v>
      </c>
      <c r="AB225" s="344" t="str">
        <f>入學要求!X234</f>
        <v>申請人必須出席面試</v>
      </c>
      <c r="AC225" s="344" t="str">
        <f>入學要求!Y234</f>
        <v>/</v>
      </c>
      <c r="AD225" s="251" t="s">
        <v>2255</v>
      </c>
      <c r="AE225" s="344" t="s">
        <v>3251</v>
      </c>
      <c r="AF225" s="344" t="s">
        <v>3252</v>
      </c>
      <c r="AG225" s="344" t="s">
        <v>3274</v>
      </c>
      <c r="AH225" s="427" t="s">
        <v>3276</v>
      </c>
      <c r="AI225" s="427" t="s">
        <v>3277</v>
      </c>
      <c r="AJ225" s="344" t="s">
        <v>3238</v>
      </c>
      <c r="AK225" s="344" t="s">
        <v>3245</v>
      </c>
      <c r="AL225" s="344" t="s">
        <v>1970</v>
      </c>
      <c r="AM225" s="251" t="s">
        <v>3207</v>
      </c>
      <c r="AN225" s="251" t="s">
        <v>1970</v>
      </c>
      <c r="AO225" s="344" t="s">
        <v>1970</v>
      </c>
      <c r="AP225" s="344" t="s">
        <v>3256</v>
      </c>
      <c r="AQ225" s="344" t="s">
        <v>1970</v>
      </c>
      <c r="AR225" s="344" t="s">
        <v>2150</v>
      </c>
      <c r="AS225" s="251" t="s">
        <v>3620</v>
      </c>
      <c r="AT225" s="251" t="s">
        <v>3676</v>
      </c>
      <c r="AU225" s="565">
        <v>44770</v>
      </c>
      <c r="AV225" s="565" t="s">
        <v>2521</v>
      </c>
      <c r="AW225" s="565"/>
      <c r="AX225" s="565"/>
      <c r="AY225" s="565"/>
      <c r="AZ225" s="565"/>
      <c r="BA225" s="565"/>
      <c r="BB225" s="251" t="s">
        <v>1970</v>
      </c>
      <c r="BC225" s="251" t="s">
        <v>1970</v>
      </c>
      <c r="BD225" s="251" t="s">
        <v>1970</v>
      </c>
      <c r="BE225" s="251" t="s">
        <v>1970</v>
      </c>
      <c r="BF225" s="251" t="s">
        <v>1970</v>
      </c>
      <c r="BG225" s="251" t="s">
        <v>1970</v>
      </c>
      <c r="BH225" s="251" t="s">
        <v>1970</v>
      </c>
      <c r="BI225" s="251" t="s">
        <v>1970</v>
      </c>
      <c r="BJ225" s="251" t="s">
        <v>1970</v>
      </c>
      <c r="BK225" s="251" t="s">
        <v>1970</v>
      </c>
      <c r="BL225" s="251" t="s">
        <v>1970</v>
      </c>
      <c r="BM225" s="251" t="s">
        <v>1970</v>
      </c>
      <c r="BN225" s="251" t="s">
        <v>1970</v>
      </c>
      <c r="BO225" s="251" t="s">
        <v>1970</v>
      </c>
      <c r="BP225" s="251" t="s">
        <v>1970</v>
      </c>
      <c r="BQ225" s="251" t="s">
        <v>1970</v>
      </c>
      <c r="BR225" s="251" t="s">
        <v>1970</v>
      </c>
      <c r="BS225" s="251" t="s">
        <v>1970</v>
      </c>
      <c r="BT225" s="251" t="s">
        <v>1970</v>
      </c>
      <c r="BU225" s="251" t="s">
        <v>1970</v>
      </c>
      <c r="BV225" s="251" t="s">
        <v>1970</v>
      </c>
      <c r="BW225" s="251" t="s">
        <v>1970</v>
      </c>
      <c r="BX225" s="251" t="s">
        <v>1970</v>
      </c>
      <c r="BY225" s="251" t="s">
        <v>1970</v>
      </c>
      <c r="BZ225" s="251" t="s">
        <v>1970</v>
      </c>
      <c r="CA225" s="251" t="s">
        <v>1970</v>
      </c>
      <c r="CB225" s="251" t="s">
        <v>1970</v>
      </c>
      <c r="CC225" s="251" t="s">
        <v>1970</v>
      </c>
      <c r="CD225" s="251" t="s">
        <v>1970</v>
      </c>
      <c r="CE225" s="251" t="s">
        <v>1970</v>
      </c>
      <c r="CF225" s="251" t="s">
        <v>1970</v>
      </c>
      <c r="CG225" s="251" t="s">
        <v>1970</v>
      </c>
      <c r="CH225" s="251" t="s">
        <v>1970</v>
      </c>
      <c r="CI225" s="251" t="s">
        <v>1970</v>
      </c>
      <c r="CJ225" s="251" t="s">
        <v>1970</v>
      </c>
      <c r="CK225" s="251" t="s">
        <v>1970</v>
      </c>
      <c r="CL225" s="251" t="s">
        <v>1970</v>
      </c>
      <c r="CM225" s="251" t="s">
        <v>1970</v>
      </c>
      <c r="CN225" s="251" t="s">
        <v>1970</v>
      </c>
      <c r="CO225" s="251" t="s">
        <v>1970</v>
      </c>
      <c r="CP225" s="251" t="s">
        <v>1970</v>
      </c>
      <c r="CQ225" s="251" t="s">
        <v>1970</v>
      </c>
      <c r="CR225" s="251" t="s">
        <v>1970</v>
      </c>
      <c r="CS225" s="251" t="s">
        <v>1970</v>
      </c>
      <c r="CT225" s="251" t="s">
        <v>1970</v>
      </c>
      <c r="CU225" s="251" t="s">
        <v>1970</v>
      </c>
      <c r="CV225" s="251" t="s">
        <v>1970</v>
      </c>
      <c r="CW225" s="251" t="s">
        <v>1970</v>
      </c>
      <c r="CX225" s="251" t="s">
        <v>1970</v>
      </c>
      <c r="CY225" s="251" t="s">
        <v>1970</v>
      </c>
      <c r="CZ225" s="251" t="s">
        <v>1970</v>
      </c>
      <c r="DA225" s="251" t="s">
        <v>1970</v>
      </c>
      <c r="DB225" s="251" t="s">
        <v>1970</v>
      </c>
      <c r="DC225" s="251" t="s">
        <v>1970</v>
      </c>
      <c r="DD225" s="251" t="s">
        <v>1970</v>
      </c>
      <c r="DE225" s="251" t="s">
        <v>1970</v>
      </c>
      <c r="DF225" s="251" t="s">
        <v>1970</v>
      </c>
      <c r="DG225" s="251" t="s">
        <v>1970</v>
      </c>
      <c r="DH225" s="251" t="s">
        <v>1970</v>
      </c>
      <c r="DI225" s="251" t="s">
        <v>1970</v>
      </c>
      <c r="DJ225" s="251" t="s">
        <v>1970</v>
      </c>
      <c r="DK225" s="251" t="s">
        <v>1970</v>
      </c>
      <c r="DL225" s="251" t="s">
        <v>1970</v>
      </c>
      <c r="DM225" s="251" t="s">
        <v>1970</v>
      </c>
      <c r="DN225" s="344" t="s">
        <v>1970</v>
      </c>
      <c r="DO225" s="344" t="s">
        <v>1970</v>
      </c>
      <c r="DP225" s="344" t="s">
        <v>1970</v>
      </c>
      <c r="DQ225" s="344" t="s">
        <v>1970</v>
      </c>
      <c r="DR225" s="344" t="s">
        <v>1970</v>
      </c>
      <c r="DS225" s="344" t="s">
        <v>1970</v>
      </c>
      <c r="DT225" s="344" t="s">
        <v>1970</v>
      </c>
      <c r="DU225" s="344" t="s">
        <v>1970</v>
      </c>
      <c r="DV225" s="344" t="s">
        <v>1970</v>
      </c>
      <c r="DW225" s="344" t="s">
        <v>1970</v>
      </c>
      <c r="DX225" s="344" t="s">
        <v>1970</v>
      </c>
      <c r="DY225" s="344" t="s">
        <v>1970</v>
      </c>
      <c r="DZ225" s="344" t="s">
        <v>1970</v>
      </c>
      <c r="EA225" s="344" t="s">
        <v>1970</v>
      </c>
      <c r="EB225" s="344" t="s">
        <v>1970</v>
      </c>
      <c r="EC225" s="344" t="s">
        <v>1970</v>
      </c>
      <c r="ED225" s="344" t="s">
        <v>1970</v>
      </c>
      <c r="EE225" s="344" t="s">
        <v>1970</v>
      </c>
      <c r="EF225" s="344" t="s">
        <v>1970</v>
      </c>
      <c r="EG225" s="344" t="s">
        <v>1970</v>
      </c>
      <c r="EH225" s="344" t="s">
        <v>1970</v>
      </c>
      <c r="EI225" s="344" t="s">
        <v>1970</v>
      </c>
      <c r="EJ225" s="344" t="s">
        <v>1970</v>
      </c>
      <c r="EK225" s="344" t="s">
        <v>1970</v>
      </c>
      <c r="EL225" s="344" t="s">
        <v>1970</v>
      </c>
      <c r="EM225" s="344" t="s">
        <v>1970</v>
      </c>
      <c r="EN225" s="344" t="s">
        <v>1970</v>
      </c>
      <c r="EO225" s="344" t="s">
        <v>1970</v>
      </c>
      <c r="EP225" s="344" t="s">
        <v>1970</v>
      </c>
      <c r="EQ225" s="344" t="s">
        <v>1970</v>
      </c>
      <c r="ER225" s="344" t="s">
        <v>1970</v>
      </c>
      <c r="ES225" s="344" t="s">
        <v>1970</v>
      </c>
    </row>
    <row r="226" spans="1:215" s="251" customFormat="1" x14ac:dyDescent="0.3">
      <c r="A226" s="251" t="s">
        <v>1135</v>
      </c>
      <c r="B226" s="344" t="s">
        <v>3195</v>
      </c>
      <c r="C226" s="251" t="s">
        <v>2149</v>
      </c>
      <c r="D226" s="251" t="s">
        <v>1137</v>
      </c>
      <c r="E226" s="344" t="s">
        <v>2255</v>
      </c>
      <c r="F226" s="251" t="s">
        <v>1970</v>
      </c>
      <c r="G226" s="344">
        <v>63.25</v>
      </c>
      <c r="H226" s="344">
        <v>60.25</v>
      </c>
      <c r="I226" s="344" t="s">
        <v>3247</v>
      </c>
      <c r="J226" s="344" t="s">
        <v>3249</v>
      </c>
      <c r="K226" s="344" t="s">
        <v>3274</v>
      </c>
      <c r="L226" s="427" t="s">
        <v>3276</v>
      </c>
      <c r="M226" s="427" t="s">
        <v>3277</v>
      </c>
      <c r="N226" s="344" t="s">
        <v>1978</v>
      </c>
      <c r="O226" s="344" t="s">
        <v>1978</v>
      </c>
      <c r="P226" s="344" t="s">
        <v>1978</v>
      </c>
      <c r="Q226" s="344" t="s">
        <v>1978</v>
      </c>
      <c r="R226" s="344" t="s">
        <v>1978</v>
      </c>
      <c r="S226" s="344" t="s">
        <v>1978</v>
      </c>
      <c r="T226" s="251" t="s">
        <v>843</v>
      </c>
      <c r="U226" s="344" t="s">
        <v>2150</v>
      </c>
      <c r="V226" s="344" t="s">
        <v>1970</v>
      </c>
      <c r="W226" s="344" t="s">
        <v>1970</v>
      </c>
      <c r="X226" s="344">
        <f>'A123'!J234</f>
        <v>20</v>
      </c>
      <c r="Y226" s="344">
        <f>'A123'!K234</f>
        <v>20</v>
      </c>
      <c r="Z226" s="344">
        <f>'A123'!L234</f>
        <v>5.2</v>
      </c>
      <c r="AA226" s="344" t="s">
        <v>2165</v>
      </c>
      <c r="AB226" s="344" t="str">
        <f>入學要求!X235</f>
        <v>申請人必須出席面試</v>
      </c>
      <c r="AC226" s="344" t="str">
        <f>入學要求!Y235</f>
        <v>/</v>
      </c>
      <c r="AD226" s="251" t="s">
        <v>2255</v>
      </c>
      <c r="AE226" s="344" t="s">
        <v>3251</v>
      </c>
      <c r="AF226" s="344" t="s">
        <v>3252</v>
      </c>
      <c r="AG226" s="344" t="s">
        <v>3274</v>
      </c>
      <c r="AH226" s="427" t="s">
        <v>3276</v>
      </c>
      <c r="AI226" s="427" t="s">
        <v>3277</v>
      </c>
      <c r="AJ226" s="344" t="s">
        <v>3238</v>
      </c>
      <c r="AK226" s="344" t="s">
        <v>3246</v>
      </c>
      <c r="AL226" s="344" t="s">
        <v>1970</v>
      </c>
      <c r="AM226" s="251" t="s">
        <v>3207</v>
      </c>
      <c r="AN226" s="251" t="s">
        <v>1970</v>
      </c>
      <c r="AO226" s="344" t="s">
        <v>1970</v>
      </c>
      <c r="AP226" s="344" t="s">
        <v>3256</v>
      </c>
      <c r="AQ226" s="344" t="s">
        <v>1970</v>
      </c>
      <c r="AR226" s="344" t="s">
        <v>2150</v>
      </c>
      <c r="AS226" s="251" t="s">
        <v>3620</v>
      </c>
      <c r="AT226" s="251" t="s">
        <v>3676</v>
      </c>
      <c r="AU226" s="565">
        <v>44771</v>
      </c>
      <c r="AV226" s="565" t="s">
        <v>2521</v>
      </c>
      <c r="AW226" s="565"/>
      <c r="AX226" s="565"/>
      <c r="AY226" s="565"/>
      <c r="AZ226" s="565"/>
      <c r="BA226" s="565"/>
      <c r="BB226" s="251" t="s">
        <v>1970</v>
      </c>
      <c r="BC226" s="251" t="s">
        <v>1970</v>
      </c>
      <c r="BD226" s="251" t="s">
        <v>1970</v>
      </c>
      <c r="BE226" s="251" t="s">
        <v>1970</v>
      </c>
      <c r="BF226" s="251" t="s">
        <v>1970</v>
      </c>
      <c r="BG226" s="251" t="s">
        <v>1970</v>
      </c>
      <c r="BH226" s="251" t="s">
        <v>1970</v>
      </c>
      <c r="BI226" s="251" t="s">
        <v>1970</v>
      </c>
      <c r="BJ226" s="251" t="s">
        <v>1970</v>
      </c>
      <c r="BK226" s="251" t="s">
        <v>1970</v>
      </c>
      <c r="BL226" s="251" t="s">
        <v>1970</v>
      </c>
      <c r="BM226" s="251" t="s">
        <v>1970</v>
      </c>
      <c r="BN226" s="251" t="s">
        <v>1970</v>
      </c>
      <c r="BO226" s="251" t="s">
        <v>1970</v>
      </c>
      <c r="BP226" s="251" t="s">
        <v>1970</v>
      </c>
      <c r="BQ226" s="251" t="s">
        <v>1970</v>
      </c>
      <c r="BR226" s="251" t="s">
        <v>1970</v>
      </c>
      <c r="BS226" s="251" t="s">
        <v>1970</v>
      </c>
      <c r="BT226" s="251" t="s">
        <v>1970</v>
      </c>
      <c r="BU226" s="251" t="s">
        <v>1970</v>
      </c>
      <c r="BV226" s="251" t="s">
        <v>1970</v>
      </c>
      <c r="BW226" s="251" t="s">
        <v>1970</v>
      </c>
      <c r="BX226" s="251" t="s">
        <v>1970</v>
      </c>
      <c r="BY226" s="251" t="s">
        <v>1970</v>
      </c>
      <c r="BZ226" s="251" t="s">
        <v>1970</v>
      </c>
      <c r="CA226" s="251" t="s">
        <v>1970</v>
      </c>
      <c r="CB226" s="251" t="s">
        <v>1970</v>
      </c>
      <c r="CC226" s="251" t="s">
        <v>1970</v>
      </c>
      <c r="CD226" s="251" t="s">
        <v>1970</v>
      </c>
      <c r="CE226" s="251" t="s">
        <v>1970</v>
      </c>
      <c r="CF226" s="251" t="s">
        <v>1970</v>
      </c>
      <c r="CG226" s="251" t="s">
        <v>1970</v>
      </c>
      <c r="CH226" s="251" t="s">
        <v>1970</v>
      </c>
      <c r="CI226" s="251" t="s">
        <v>1970</v>
      </c>
      <c r="CJ226" s="251" t="s">
        <v>1970</v>
      </c>
      <c r="CK226" s="251" t="s">
        <v>1970</v>
      </c>
      <c r="CL226" s="251" t="s">
        <v>1970</v>
      </c>
      <c r="CM226" s="251" t="s">
        <v>1970</v>
      </c>
      <c r="CN226" s="251" t="s">
        <v>1970</v>
      </c>
      <c r="CO226" s="251" t="s">
        <v>1970</v>
      </c>
      <c r="CP226" s="251" t="s">
        <v>1970</v>
      </c>
      <c r="CQ226" s="251" t="s">
        <v>1970</v>
      </c>
      <c r="CR226" s="251" t="s">
        <v>1970</v>
      </c>
      <c r="CS226" s="251" t="s">
        <v>1970</v>
      </c>
      <c r="CT226" s="251" t="s">
        <v>1970</v>
      </c>
      <c r="CU226" s="251" t="s">
        <v>1970</v>
      </c>
      <c r="CV226" s="251" t="s">
        <v>1970</v>
      </c>
      <c r="CW226" s="251" t="s">
        <v>1970</v>
      </c>
      <c r="CX226" s="251" t="s">
        <v>1970</v>
      </c>
      <c r="CY226" s="251" t="s">
        <v>1970</v>
      </c>
      <c r="CZ226" s="251" t="s">
        <v>1970</v>
      </c>
      <c r="DA226" s="251" t="s">
        <v>1970</v>
      </c>
      <c r="DB226" s="251" t="s">
        <v>1970</v>
      </c>
      <c r="DC226" s="251" t="s">
        <v>1970</v>
      </c>
      <c r="DD226" s="251" t="s">
        <v>1970</v>
      </c>
      <c r="DE226" s="251" t="s">
        <v>1970</v>
      </c>
      <c r="DF226" s="251" t="s">
        <v>1970</v>
      </c>
      <c r="DG226" s="251" t="s">
        <v>1970</v>
      </c>
      <c r="DH226" s="251" t="s">
        <v>1970</v>
      </c>
      <c r="DI226" s="251" t="s">
        <v>1970</v>
      </c>
      <c r="DJ226" s="251" t="s">
        <v>1970</v>
      </c>
      <c r="DK226" s="251" t="s">
        <v>1970</v>
      </c>
      <c r="DL226" s="251" t="s">
        <v>1970</v>
      </c>
      <c r="DM226" s="251" t="s">
        <v>1970</v>
      </c>
      <c r="DN226" s="344" t="s">
        <v>1970</v>
      </c>
      <c r="DO226" s="344" t="s">
        <v>1970</v>
      </c>
      <c r="DP226" s="344" t="s">
        <v>1970</v>
      </c>
      <c r="DQ226" s="344" t="s">
        <v>1970</v>
      </c>
      <c r="DR226" s="344" t="s">
        <v>1970</v>
      </c>
      <c r="DS226" s="344" t="s">
        <v>1970</v>
      </c>
      <c r="DT226" s="344" t="s">
        <v>1970</v>
      </c>
      <c r="DU226" s="344" t="s">
        <v>1970</v>
      </c>
      <c r="DV226" s="344" t="s">
        <v>1970</v>
      </c>
      <c r="DW226" s="344" t="s">
        <v>1970</v>
      </c>
      <c r="DX226" s="344" t="s">
        <v>1970</v>
      </c>
      <c r="DY226" s="344" t="s">
        <v>1970</v>
      </c>
      <c r="DZ226" s="344" t="s">
        <v>1970</v>
      </c>
      <c r="EA226" s="344" t="s">
        <v>1970</v>
      </c>
      <c r="EB226" s="344" t="s">
        <v>1970</v>
      </c>
      <c r="EC226" s="344" t="s">
        <v>1970</v>
      </c>
      <c r="ED226" s="344" t="s">
        <v>1970</v>
      </c>
      <c r="EE226" s="344" t="s">
        <v>1970</v>
      </c>
      <c r="EF226" s="344" t="s">
        <v>1970</v>
      </c>
      <c r="EG226" s="344" t="s">
        <v>1970</v>
      </c>
      <c r="EH226" s="344" t="s">
        <v>1970</v>
      </c>
      <c r="EI226" s="344" t="s">
        <v>1970</v>
      </c>
      <c r="EJ226" s="344" t="s">
        <v>1970</v>
      </c>
      <c r="EK226" s="344" t="s">
        <v>1970</v>
      </c>
      <c r="EL226" s="344" t="s">
        <v>1970</v>
      </c>
      <c r="EM226" s="344" t="s">
        <v>1970</v>
      </c>
      <c r="EN226" s="344" t="s">
        <v>1970</v>
      </c>
      <c r="EO226" s="344" t="s">
        <v>1970</v>
      </c>
      <c r="EP226" s="344" t="s">
        <v>1970</v>
      </c>
      <c r="EQ226" s="344" t="s">
        <v>1970</v>
      </c>
      <c r="ER226" s="344" t="s">
        <v>1970</v>
      </c>
      <c r="ES226" s="344" t="s">
        <v>1970</v>
      </c>
    </row>
    <row r="227" spans="1:215" s="251" customFormat="1" x14ac:dyDescent="0.3">
      <c r="A227" s="251" t="s">
        <v>1138</v>
      </c>
      <c r="B227" s="344" t="s">
        <v>3195</v>
      </c>
      <c r="C227" s="251" t="s">
        <v>3196</v>
      </c>
      <c r="D227" s="251" t="s">
        <v>1141</v>
      </c>
      <c r="E227" s="344" t="s">
        <v>3261</v>
      </c>
      <c r="F227" s="251" t="s">
        <v>1970</v>
      </c>
      <c r="G227" s="251">
        <v>30</v>
      </c>
      <c r="H227" s="251">
        <v>28.5</v>
      </c>
      <c r="I227" s="344" t="s">
        <v>3247</v>
      </c>
      <c r="J227" s="344" t="s">
        <v>3249</v>
      </c>
      <c r="K227" s="344" t="s">
        <v>3278</v>
      </c>
      <c r="L227" s="251" t="s">
        <v>1970</v>
      </c>
      <c r="M227" s="251" t="s">
        <v>1970</v>
      </c>
      <c r="N227" s="344" t="s">
        <v>1978</v>
      </c>
      <c r="O227" s="344" t="s">
        <v>1978</v>
      </c>
      <c r="P227" s="344" t="s">
        <v>1978</v>
      </c>
      <c r="Q227" s="344" t="s">
        <v>1978</v>
      </c>
      <c r="R227" s="344" t="s">
        <v>1978</v>
      </c>
      <c r="S227" s="344" t="s">
        <v>1978</v>
      </c>
      <c r="T227" s="251" t="s">
        <v>1139</v>
      </c>
      <c r="U227" s="344" t="s">
        <v>2150</v>
      </c>
      <c r="V227" s="344" t="s">
        <v>1970</v>
      </c>
      <c r="W227" s="344" t="s">
        <v>1970</v>
      </c>
      <c r="X227" s="344">
        <f>'A123'!J235</f>
        <v>50</v>
      </c>
      <c r="Y227" s="344">
        <f>'A123'!K235</f>
        <v>56</v>
      </c>
      <c r="Z227" s="344">
        <f>'A123'!L235</f>
        <v>2.2000000000000002</v>
      </c>
      <c r="AA227" s="344" t="s">
        <v>2165</v>
      </c>
      <c r="AB227" s="344" t="str">
        <f>入學要求!X236</f>
        <v>/</v>
      </c>
      <c r="AC227" s="344" t="str">
        <f>入學要求!Y236</f>
        <v>/</v>
      </c>
      <c r="AD227" s="251" t="s">
        <v>3261</v>
      </c>
      <c r="AE227" s="344" t="s">
        <v>3251</v>
      </c>
      <c r="AF227" s="344" t="s">
        <v>3252</v>
      </c>
      <c r="AG227" s="344" t="s">
        <v>3278</v>
      </c>
      <c r="AH227" s="251" t="s">
        <v>1970</v>
      </c>
      <c r="AI227" s="251" t="s">
        <v>1970</v>
      </c>
      <c r="AJ227" s="344" t="s">
        <v>3237</v>
      </c>
      <c r="AK227" s="344" t="s">
        <v>3231</v>
      </c>
      <c r="AL227" s="344" t="s">
        <v>1970</v>
      </c>
      <c r="AM227" s="251" t="s">
        <v>1970</v>
      </c>
      <c r="AN227" s="251" t="s">
        <v>1970</v>
      </c>
      <c r="AO227" s="344" t="s">
        <v>1970</v>
      </c>
      <c r="AP227" s="251" t="s">
        <v>3255</v>
      </c>
      <c r="AQ227" s="344" t="s">
        <v>1970</v>
      </c>
      <c r="AR227" s="344" t="s">
        <v>2150</v>
      </c>
      <c r="AS227" s="251" t="s">
        <v>3603</v>
      </c>
      <c r="AT227" s="251" t="s">
        <v>3671</v>
      </c>
      <c r="AU227" s="251" t="s">
        <v>1970</v>
      </c>
      <c r="AV227" s="565" t="s">
        <v>2521</v>
      </c>
      <c r="AW227" s="344"/>
      <c r="AX227" s="344"/>
      <c r="AY227" s="344"/>
      <c r="AZ227" s="344"/>
      <c r="BA227" s="344"/>
      <c r="BB227" s="251" t="s">
        <v>1970</v>
      </c>
      <c r="BC227" s="251" t="s">
        <v>1970</v>
      </c>
      <c r="BD227" s="251" t="s">
        <v>1970</v>
      </c>
      <c r="BE227" s="251" t="s">
        <v>1970</v>
      </c>
      <c r="BF227" s="251" t="s">
        <v>1970</v>
      </c>
      <c r="BG227" s="251" t="s">
        <v>1970</v>
      </c>
      <c r="BH227" s="251" t="s">
        <v>1970</v>
      </c>
      <c r="BI227" s="251" t="s">
        <v>1970</v>
      </c>
      <c r="BJ227" s="251" t="s">
        <v>1970</v>
      </c>
      <c r="BK227" s="251" t="s">
        <v>1970</v>
      </c>
      <c r="BL227" s="251" t="s">
        <v>1970</v>
      </c>
      <c r="BM227" s="251" t="s">
        <v>1970</v>
      </c>
      <c r="BN227" s="251" t="s">
        <v>1970</v>
      </c>
      <c r="BO227" s="251" t="s">
        <v>1970</v>
      </c>
      <c r="BP227" s="251" t="s">
        <v>1970</v>
      </c>
      <c r="BQ227" s="251" t="s">
        <v>1970</v>
      </c>
      <c r="BR227" s="251" t="s">
        <v>1970</v>
      </c>
      <c r="BS227" s="251" t="s">
        <v>1970</v>
      </c>
      <c r="BT227" s="251" t="s">
        <v>1970</v>
      </c>
      <c r="BU227" s="251" t="s">
        <v>1970</v>
      </c>
      <c r="BV227" s="251" t="s">
        <v>1970</v>
      </c>
      <c r="BW227" s="251" t="s">
        <v>1970</v>
      </c>
      <c r="BX227" s="251" t="s">
        <v>1970</v>
      </c>
      <c r="BY227" s="251" t="s">
        <v>1970</v>
      </c>
      <c r="BZ227" s="251" t="s">
        <v>1970</v>
      </c>
      <c r="CA227" s="251" t="s">
        <v>1970</v>
      </c>
      <c r="CB227" s="251" t="s">
        <v>1970</v>
      </c>
      <c r="CC227" s="251" t="s">
        <v>1970</v>
      </c>
      <c r="CD227" s="251" t="s">
        <v>1970</v>
      </c>
      <c r="CE227" s="251" t="s">
        <v>1970</v>
      </c>
      <c r="CF227" s="251" t="s">
        <v>1970</v>
      </c>
      <c r="CG227" s="251" t="s">
        <v>1970</v>
      </c>
      <c r="CH227" s="251" t="s">
        <v>1970</v>
      </c>
      <c r="CI227" s="251" t="s">
        <v>1970</v>
      </c>
      <c r="CJ227" s="251" t="s">
        <v>1970</v>
      </c>
      <c r="CK227" s="251" t="s">
        <v>1970</v>
      </c>
      <c r="CL227" s="251" t="s">
        <v>1970</v>
      </c>
      <c r="CM227" s="251" t="s">
        <v>1970</v>
      </c>
      <c r="CN227" s="251" t="s">
        <v>1970</v>
      </c>
      <c r="CO227" s="251" t="s">
        <v>1970</v>
      </c>
      <c r="CP227" s="251" t="s">
        <v>1970</v>
      </c>
      <c r="CQ227" s="251" t="s">
        <v>1970</v>
      </c>
      <c r="CR227" s="251" t="s">
        <v>1970</v>
      </c>
      <c r="CS227" s="251" t="s">
        <v>1970</v>
      </c>
      <c r="CT227" s="251" t="s">
        <v>1970</v>
      </c>
      <c r="CU227" s="251" t="s">
        <v>1970</v>
      </c>
      <c r="CV227" s="251" t="s">
        <v>1970</v>
      </c>
      <c r="CW227" s="251" t="s">
        <v>1970</v>
      </c>
      <c r="CX227" s="251" t="s">
        <v>1970</v>
      </c>
      <c r="CY227" s="251" t="s">
        <v>1970</v>
      </c>
      <c r="CZ227" s="251" t="s">
        <v>1970</v>
      </c>
      <c r="DA227" s="251" t="s">
        <v>1970</v>
      </c>
      <c r="DB227" s="251" t="s">
        <v>1970</v>
      </c>
      <c r="DC227" s="251" t="s">
        <v>1970</v>
      </c>
      <c r="DD227" s="251" t="s">
        <v>1970</v>
      </c>
      <c r="DE227" s="251" t="s">
        <v>1970</v>
      </c>
      <c r="DF227" s="251" t="s">
        <v>1970</v>
      </c>
      <c r="DG227" s="251" t="s">
        <v>1970</v>
      </c>
      <c r="DH227" s="251" t="s">
        <v>1970</v>
      </c>
      <c r="DI227" s="251" t="s">
        <v>1970</v>
      </c>
      <c r="DJ227" s="251" t="s">
        <v>1970</v>
      </c>
      <c r="DK227" s="251" t="s">
        <v>1970</v>
      </c>
      <c r="DL227" s="251" t="s">
        <v>1970</v>
      </c>
      <c r="DM227" s="251" t="s">
        <v>1970</v>
      </c>
      <c r="DN227" s="344" t="s">
        <v>1970</v>
      </c>
      <c r="DO227" s="344" t="s">
        <v>1970</v>
      </c>
      <c r="DP227" s="344" t="s">
        <v>1970</v>
      </c>
      <c r="DQ227" s="344" t="s">
        <v>1970</v>
      </c>
      <c r="DR227" s="344" t="s">
        <v>1970</v>
      </c>
      <c r="DS227" s="344" t="s">
        <v>1970</v>
      </c>
      <c r="DT227" s="344" t="s">
        <v>1970</v>
      </c>
      <c r="DU227" s="344" t="s">
        <v>1970</v>
      </c>
      <c r="DV227" s="344" t="s">
        <v>1970</v>
      </c>
      <c r="DW227" s="344" t="s">
        <v>1970</v>
      </c>
      <c r="DX227" s="344" t="s">
        <v>1970</v>
      </c>
      <c r="DY227" s="344" t="s">
        <v>1970</v>
      </c>
      <c r="DZ227" s="344" t="s">
        <v>1970</v>
      </c>
      <c r="EA227" s="344" t="s">
        <v>1970</v>
      </c>
      <c r="EB227" s="344" t="s">
        <v>1970</v>
      </c>
      <c r="EC227" s="344" t="s">
        <v>1970</v>
      </c>
      <c r="ED227" s="344" t="s">
        <v>1970</v>
      </c>
      <c r="EE227" s="344" t="s">
        <v>1970</v>
      </c>
      <c r="EF227" s="344" t="s">
        <v>1970</v>
      </c>
      <c r="EG227" s="344" t="s">
        <v>1970</v>
      </c>
      <c r="EH227" s="344" t="s">
        <v>1970</v>
      </c>
      <c r="EI227" s="344" t="s">
        <v>1970</v>
      </c>
      <c r="EJ227" s="344" t="s">
        <v>1970</v>
      </c>
      <c r="EK227" s="344" t="s">
        <v>1970</v>
      </c>
      <c r="EL227" s="344" t="s">
        <v>1970</v>
      </c>
      <c r="EM227" s="344" t="s">
        <v>1970</v>
      </c>
      <c r="EN227" s="344" t="s">
        <v>1970</v>
      </c>
      <c r="EO227" s="344" t="s">
        <v>1970</v>
      </c>
      <c r="EP227" s="344" t="s">
        <v>1970</v>
      </c>
      <c r="EQ227" s="344" t="s">
        <v>1970</v>
      </c>
      <c r="ER227" s="344" t="s">
        <v>1970</v>
      </c>
      <c r="ES227" s="344" t="s">
        <v>1970</v>
      </c>
    </row>
    <row r="228" spans="1:215" s="251" customFormat="1" x14ac:dyDescent="0.3">
      <c r="A228" s="251" t="s">
        <v>1142</v>
      </c>
      <c r="B228" s="344" t="s">
        <v>3195</v>
      </c>
      <c r="C228" s="251" t="s">
        <v>3196</v>
      </c>
      <c r="D228" s="251" t="s">
        <v>1145</v>
      </c>
      <c r="E228" s="344" t="s">
        <v>2255</v>
      </c>
      <c r="F228" s="251" t="s">
        <v>1970</v>
      </c>
      <c r="G228" s="344">
        <v>34</v>
      </c>
      <c r="H228" s="344">
        <v>32</v>
      </c>
      <c r="I228" s="344" t="s">
        <v>3247</v>
      </c>
      <c r="J228" s="344" t="s">
        <v>3249</v>
      </c>
      <c r="K228" s="344" t="s">
        <v>3279</v>
      </c>
      <c r="L228" s="344" t="s">
        <v>3280</v>
      </c>
      <c r="M228" s="251" t="s">
        <v>1970</v>
      </c>
      <c r="N228" s="344" t="s">
        <v>1978</v>
      </c>
      <c r="O228" s="344" t="s">
        <v>1978</v>
      </c>
      <c r="P228" s="344" t="s">
        <v>1978</v>
      </c>
      <c r="Q228" s="344" t="s">
        <v>1978</v>
      </c>
      <c r="R228" s="344" t="s">
        <v>1978</v>
      </c>
      <c r="S228" s="344" t="s">
        <v>1978</v>
      </c>
      <c r="T228" s="251" t="s">
        <v>1143</v>
      </c>
      <c r="U228" s="344" t="s">
        <v>2150</v>
      </c>
      <c r="V228" s="344" t="s">
        <v>1970</v>
      </c>
      <c r="W228" s="344" t="s">
        <v>1970</v>
      </c>
      <c r="X228" s="344">
        <f>'A123'!J236</f>
        <v>28</v>
      </c>
      <c r="Y228" s="344">
        <f>'A123'!K236</f>
        <v>25</v>
      </c>
      <c r="Z228" s="344">
        <f>'A123'!L236</f>
        <v>2.2000000000000002</v>
      </c>
      <c r="AA228" s="344" t="s">
        <v>2165</v>
      </c>
      <c r="AB228" s="344" t="str">
        <f>入學要求!X237</f>
        <v>數學科應考獲Lv.4 或以上</v>
      </c>
      <c r="AC228" s="344" t="str">
        <f>入學要求!Y237</f>
        <v>/</v>
      </c>
      <c r="AD228" s="251" t="s">
        <v>2255</v>
      </c>
      <c r="AE228" s="344" t="s">
        <v>3251</v>
      </c>
      <c r="AF228" s="344" t="s">
        <v>3252</v>
      </c>
      <c r="AG228" s="344" t="s">
        <v>3279</v>
      </c>
      <c r="AH228" s="344" t="s">
        <v>3280</v>
      </c>
      <c r="AI228" s="344" t="s">
        <v>1970</v>
      </c>
      <c r="AJ228" s="344" t="s">
        <v>3237</v>
      </c>
      <c r="AK228" s="344" t="s">
        <v>3232</v>
      </c>
      <c r="AL228" s="344" t="s">
        <v>1970</v>
      </c>
      <c r="AM228" s="251" t="s">
        <v>3212</v>
      </c>
      <c r="AN228" s="251" t="s">
        <v>1970</v>
      </c>
      <c r="AO228" s="344" t="s">
        <v>1970</v>
      </c>
      <c r="AP228" s="344" t="s">
        <v>3256</v>
      </c>
      <c r="AQ228" s="344" t="s">
        <v>1970</v>
      </c>
      <c r="AR228" s="344" t="s">
        <v>2150</v>
      </c>
      <c r="AS228" s="251" t="s">
        <v>3603</v>
      </c>
      <c r="AT228" s="251" t="s">
        <v>3671</v>
      </c>
      <c r="AU228" s="251" t="s">
        <v>1970</v>
      </c>
      <c r="AV228" s="565" t="s">
        <v>2521</v>
      </c>
      <c r="AW228" s="344"/>
      <c r="AX228" s="344"/>
      <c r="AY228" s="344"/>
      <c r="AZ228" s="344"/>
      <c r="BA228" s="344"/>
      <c r="BB228" s="251" t="s">
        <v>1970</v>
      </c>
      <c r="BC228" s="251" t="s">
        <v>1970</v>
      </c>
      <c r="BD228" s="251" t="s">
        <v>1970</v>
      </c>
      <c r="BE228" s="251" t="s">
        <v>1970</v>
      </c>
      <c r="BF228" s="251" t="s">
        <v>1970</v>
      </c>
      <c r="BG228" s="251" t="s">
        <v>1970</v>
      </c>
      <c r="BH228" s="251" t="s">
        <v>1970</v>
      </c>
      <c r="BI228" s="251" t="s">
        <v>1970</v>
      </c>
      <c r="BJ228" s="251" t="s">
        <v>1970</v>
      </c>
      <c r="BK228" s="251" t="s">
        <v>1970</v>
      </c>
      <c r="BL228" s="251" t="s">
        <v>1970</v>
      </c>
      <c r="BM228" s="251" t="s">
        <v>1970</v>
      </c>
      <c r="BN228" s="251" t="s">
        <v>1970</v>
      </c>
      <c r="BO228" s="251" t="s">
        <v>1970</v>
      </c>
      <c r="BP228" s="251" t="s">
        <v>1970</v>
      </c>
      <c r="BQ228" s="251" t="s">
        <v>1970</v>
      </c>
      <c r="BR228" s="251" t="s">
        <v>1970</v>
      </c>
      <c r="BS228" s="251" t="s">
        <v>1970</v>
      </c>
      <c r="BT228" s="251" t="s">
        <v>1970</v>
      </c>
      <c r="BU228" s="251" t="s">
        <v>1970</v>
      </c>
      <c r="BV228" s="251" t="s">
        <v>1970</v>
      </c>
      <c r="BW228" s="251" t="s">
        <v>1970</v>
      </c>
      <c r="BX228" s="251" t="s">
        <v>1970</v>
      </c>
      <c r="BY228" s="251" t="s">
        <v>1970</v>
      </c>
      <c r="BZ228" s="251" t="s">
        <v>1970</v>
      </c>
      <c r="CA228" s="251" t="s">
        <v>1970</v>
      </c>
      <c r="CB228" s="251" t="s">
        <v>1970</v>
      </c>
      <c r="CC228" s="251" t="s">
        <v>1970</v>
      </c>
      <c r="CD228" s="251" t="s">
        <v>1970</v>
      </c>
      <c r="CE228" s="251" t="s">
        <v>1970</v>
      </c>
      <c r="CF228" s="251" t="s">
        <v>1970</v>
      </c>
      <c r="CG228" s="251" t="s">
        <v>1970</v>
      </c>
      <c r="CH228" s="251" t="s">
        <v>1970</v>
      </c>
      <c r="CI228" s="251" t="s">
        <v>1970</v>
      </c>
      <c r="CJ228" s="251" t="s">
        <v>1970</v>
      </c>
      <c r="CK228" s="251" t="s">
        <v>1970</v>
      </c>
      <c r="CL228" s="251" t="s">
        <v>1970</v>
      </c>
      <c r="CM228" s="251" t="s">
        <v>1970</v>
      </c>
      <c r="CN228" s="251" t="s">
        <v>1970</v>
      </c>
      <c r="CO228" s="251" t="s">
        <v>1970</v>
      </c>
      <c r="CP228" s="251" t="s">
        <v>1970</v>
      </c>
      <c r="CQ228" s="251" t="s">
        <v>1970</v>
      </c>
      <c r="CR228" s="251" t="s">
        <v>1970</v>
      </c>
      <c r="CS228" s="251" t="s">
        <v>1970</v>
      </c>
      <c r="CT228" s="251" t="s">
        <v>1970</v>
      </c>
      <c r="CU228" s="251" t="s">
        <v>1970</v>
      </c>
      <c r="CV228" s="251" t="s">
        <v>1970</v>
      </c>
      <c r="CW228" s="251" t="s">
        <v>1970</v>
      </c>
      <c r="CX228" s="251" t="s">
        <v>1970</v>
      </c>
      <c r="CY228" s="251" t="s">
        <v>1970</v>
      </c>
      <c r="CZ228" s="251" t="s">
        <v>1970</v>
      </c>
      <c r="DA228" s="251" t="s">
        <v>1970</v>
      </c>
      <c r="DB228" s="251" t="s">
        <v>1970</v>
      </c>
      <c r="DC228" s="251" t="s">
        <v>1970</v>
      </c>
      <c r="DD228" s="251" t="s">
        <v>1970</v>
      </c>
      <c r="DE228" s="251" t="s">
        <v>1970</v>
      </c>
      <c r="DF228" s="251" t="s">
        <v>1970</v>
      </c>
      <c r="DG228" s="251" t="s">
        <v>1970</v>
      </c>
      <c r="DH228" s="251" t="s">
        <v>1970</v>
      </c>
      <c r="DI228" s="251" t="s">
        <v>1970</v>
      </c>
      <c r="DJ228" s="251" t="s">
        <v>1970</v>
      </c>
      <c r="DK228" s="251" t="s">
        <v>1970</v>
      </c>
      <c r="DL228" s="251" t="s">
        <v>1970</v>
      </c>
      <c r="DM228" s="251" t="s">
        <v>1970</v>
      </c>
      <c r="DN228" s="344" t="s">
        <v>1970</v>
      </c>
      <c r="DO228" s="344" t="s">
        <v>1970</v>
      </c>
      <c r="DP228" s="344" t="s">
        <v>1970</v>
      </c>
      <c r="DQ228" s="344" t="s">
        <v>1970</v>
      </c>
      <c r="DR228" s="344" t="s">
        <v>1970</v>
      </c>
      <c r="DS228" s="344" t="s">
        <v>1970</v>
      </c>
      <c r="DT228" s="344" t="s">
        <v>1970</v>
      </c>
      <c r="DU228" s="344" t="s">
        <v>1970</v>
      </c>
      <c r="DV228" s="344" t="s">
        <v>1970</v>
      </c>
      <c r="DW228" s="344" t="s">
        <v>1970</v>
      </c>
      <c r="DX228" s="344" t="s">
        <v>1970</v>
      </c>
      <c r="DY228" s="344" t="s">
        <v>1970</v>
      </c>
      <c r="DZ228" s="344" t="s">
        <v>1970</v>
      </c>
      <c r="EA228" s="344" t="s">
        <v>1970</v>
      </c>
      <c r="EB228" s="344" t="s">
        <v>1970</v>
      </c>
      <c r="EC228" s="344" t="s">
        <v>1970</v>
      </c>
      <c r="ED228" s="344" t="s">
        <v>1970</v>
      </c>
      <c r="EE228" s="344" t="s">
        <v>1970</v>
      </c>
      <c r="EF228" s="344" t="s">
        <v>1970</v>
      </c>
      <c r="EG228" s="344" t="s">
        <v>1970</v>
      </c>
      <c r="EH228" s="344" t="s">
        <v>1970</v>
      </c>
      <c r="EI228" s="344" t="s">
        <v>1970</v>
      </c>
      <c r="EJ228" s="344" t="s">
        <v>1970</v>
      </c>
      <c r="EK228" s="344" t="s">
        <v>1970</v>
      </c>
      <c r="EL228" s="344" t="s">
        <v>1970</v>
      </c>
      <c r="EM228" s="344" t="s">
        <v>1970</v>
      </c>
      <c r="EN228" s="344" t="s">
        <v>1970</v>
      </c>
      <c r="EO228" s="344" t="s">
        <v>1970</v>
      </c>
      <c r="EP228" s="344" t="s">
        <v>1970</v>
      </c>
      <c r="EQ228" s="344" t="s">
        <v>1970</v>
      </c>
      <c r="ER228" s="344" t="s">
        <v>1970</v>
      </c>
      <c r="ES228" s="344" t="s">
        <v>1970</v>
      </c>
    </row>
    <row r="229" spans="1:215" s="251" customFormat="1" x14ac:dyDescent="0.3">
      <c r="A229" s="251" t="s">
        <v>1146</v>
      </c>
      <c r="B229" s="344" t="s">
        <v>3195</v>
      </c>
      <c r="C229" s="251" t="s">
        <v>3197</v>
      </c>
      <c r="D229" s="251" t="s">
        <v>1149</v>
      </c>
      <c r="E229" s="344" t="s">
        <v>2255</v>
      </c>
      <c r="F229" s="251" t="s">
        <v>1970</v>
      </c>
      <c r="G229" s="344">
        <v>48</v>
      </c>
      <c r="H229" s="344">
        <v>46.75</v>
      </c>
      <c r="I229" s="344" t="s">
        <v>3247</v>
      </c>
      <c r="J229" s="344" t="s">
        <v>3249</v>
      </c>
      <c r="K229" s="344" t="s">
        <v>3283</v>
      </c>
      <c r="L229" s="344" t="s">
        <v>3284</v>
      </c>
      <c r="M229" s="251" t="s">
        <v>1970</v>
      </c>
      <c r="N229" s="344" t="s">
        <v>1978</v>
      </c>
      <c r="O229" s="344" t="s">
        <v>1978</v>
      </c>
      <c r="P229" s="344" t="s">
        <v>1978</v>
      </c>
      <c r="Q229" s="344" t="s">
        <v>1978</v>
      </c>
      <c r="R229" s="344" t="s">
        <v>1978</v>
      </c>
      <c r="S229" s="344" t="s">
        <v>1978</v>
      </c>
      <c r="T229" s="251" t="s">
        <v>1147</v>
      </c>
      <c r="U229" s="344" t="s">
        <v>2150</v>
      </c>
      <c r="V229" s="344" t="s">
        <v>1970</v>
      </c>
      <c r="W229" s="344" t="s">
        <v>1970</v>
      </c>
      <c r="X229" s="344">
        <f>'A123'!J237</f>
        <v>26</v>
      </c>
      <c r="Y229" s="344">
        <f>'A123'!K237</f>
        <v>25</v>
      </c>
      <c r="Z229" s="344">
        <f>'A123'!L237</f>
        <v>3.88</v>
      </c>
      <c r="AA229" s="344" t="s">
        <v>2165</v>
      </c>
      <c r="AB229" s="344" t="str">
        <f>入學要求!X238</f>
        <v>以下一科選修取得Lv.3︰生物、化學</v>
      </c>
      <c r="AC229" s="344" t="str">
        <f>入學要求!Y238</f>
        <v>/</v>
      </c>
      <c r="AD229" s="251" t="s">
        <v>2255</v>
      </c>
      <c r="AE229" s="344" t="s">
        <v>3251</v>
      </c>
      <c r="AF229" s="344" t="s">
        <v>3252</v>
      </c>
      <c r="AG229" s="344" t="s">
        <v>3283</v>
      </c>
      <c r="AH229" s="344" t="s">
        <v>3284</v>
      </c>
      <c r="AI229" s="344" t="s">
        <v>1970</v>
      </c>
      <c r="AJ229" s="344" t="s">
        <v>3237</v>
      </c>
      <c r="AK229" s="344" t="s">
        <v>3233</v>
      </c>
      <c r="AL229" s="344" t="s">
        <v>1970</v>
      </c>
      <c r="AM229" s="251" t="s">
        <v>1970</v>
      </c>
      <c r="AN229" s="251" t="s">
        <v>1970</v>
      </c>
      <c r="AO229" s="344" t="s">
        <v>1970</v>
      </c>
      <c r="AP229" s="344" t="s">
        <v>3256</v>
      </c>
      <c r="AQ229" s="344" t="s">
        <v>1970</v>
      </c>
      <c r="AR229" s="344" t="s">
        <v>2150</v>
      </c>
      <c r="AS229" s="251" t="s">
        <v>3603</v>
      </c>
      <c r="AT229" s="565">
        <v>44712</v>
      </c>
      <c r="AU229" s="251" t="s">
        <v>1970</v>
      </c>
      <c r="AV229" s="565" t="s">
        <v>2521</v>
      </c>
      <c r="AW229" s="344"/>
      <c r="AX229" s="344"/>
      <c r="AY229" s="344"/>
      <c r="AZ229" s="344"/>
      <c r="BA229" s="344"/>
      <c r="BB229" s="251" t="s">
        <v>1970</v>
      </c>
      <c r="BC229" s="251" t="s">
        <v>1970</v>
      </c>
      <c r="BD229" s="251" t="s">
        <v>1970</v>
      </c>
      <c r="BE229" s="251" t="s">
        <v>1970</v>
      </c>
      <c r="BF229" s="251" t="s">
        <v>1970</v>
      </c>
      <c r="BG229" s="251" t="s">
        <v>1970</v>
      </c>
      <c r="BH229" s="251" t="s">
        <v>1970</v>
      </c>
      <c r="BI229" s="251" t="s">
        <v>1970</v>
      </c>
      <c r="BJ229" s="251" t="s">
        <v>1970</v>
      </c>
      <c r="BK229" s="251" t="s">
        <v>1970</v>
      </c>
      <c r="BL229" s="251" t="s">
        <v>1970</v>
      </c>
      <c r="BM229" s="251" t="s">
        <v>1970</v>
      </c>
      <c r="BN229" s="251" t="s">
        <v>1970</v>
      </c>
      <c r="BO229" s="251" t="s">
        <v>1970</v>
      </c>
      <c r="BP229" s="251" t="s">
        <v>1970</v>
      </c>
      <c r="BQ229" s="251" t="s">
        <v>1970</v>
      </c>
      <c r="BR229" s="251" t="s">
        <v>1970</v>
      </c>
      <c r="BS229" s="251" t="s">
        <v>1970</v>
      </c>
      <c r="BT229" s="251" t="s">
        <v>1970</v>
      </c>
      <c r="BU229" s="251" t="s">
        <v>1970</v>
      </c>
      <c r="BV229" s="251" t="s">
        <v>1970</v>
      </c>
      <c r="BW229" s="251" t="s">
        <v>1970</v>
      </c>
      <c r="BX229" s="251" t="s">
        <v>1970</v>
      </c>
      <c r="BY229" s="251" t="s">
        <v>1970</v>
      </c>
      <c r="BZ229" s="251" t="s">
        <v>1970</v>
      </c>
      <c r="CA229" s="251" t="s">
        <v>1970</v>
      </c>
      <c r="CB229" s="251" t="s">
        <v>1970</v>
      </c>
      <c r="CC229" s="251" t="s">
        <v>1970</v>
      </c>
      <c r="CD229" s="251" t="s">
        <v>1970</v>
      </c>
      <c r="CE229" s="251" t="s">
        <v>1970</v>
      </c>
      <c r="CF229" s="251" t="s">
        <v>1970</v>
      </c>
      <c r="CG229" s="251" t="s">
        <v>1970</v>
      </c>
      <c r="CH229" s="251" t="s">
        <v>1970</v>
      </c>
      <c r="CI229" s="251" t="s">
        <v>1970</v>
      </c>
      <c r="CJ229" s="251" t="s">
        <v>1970</v>
      </c>
      <c r="CK229" s="251" t="s">
        <v>1970</v>
      </c>
      <c r="CL229" s="251" t="s">
        <v>1970</v>
      </c>
      <c r="CM229" s="251" t="s">
        <v>1970</v>
      </c>
      <c r="CN229" s="251" t="s">
        <v>1970</v>
      </c>
      <c r="CO229" s="251" t="s">
        <v>1970</v>
      </c>
      <c r="CP229" s="251" t="s">
        <v>1970</v>
      </c>
      <c r="CQ229" s="251" t="s">
        <v>1970</v>
      </c>
      <c r="CR229" s="251" t="s">
        <v>1970</v>
      </c>
      <c r="CS229" s="251" t="s">
        <v>1970</v>
      </c>
      <c r="CT229" s="251" t="s">
        <v>1970</v>
      </c>
      <c r="CU229" s="251" t="s">
        <v>1970</v>
      </c>
      <c r="CV229" s="251" t="s">
        <v>1970</v>
      </c>
      <c r="CW229" s="251" t="s">
        <v>1970</v>
      </c>
      <c r="CX229" s="251" t="s">
        <v>1970</v>
      </c>
      <c r="CY229" s="251" t="s">
        <v>1970</v>
      </c>
      <c r="CZ229" s="251" t="s">
        <v>1970</v>
      </c>
      <c r="DA229" s="251" t="s">
        <v>1970</v>
      </c>
      <c r="DB229" s="251" t="s">
        <v>1970</v>
      </c>
      <c r="DC229" s="251" t="s">
        <v>1970</v>
      </c>
      <c r="DD229" s="251" t="s">
        <v>1970</v>
      </c>
      <c r="DE229" s="251" t="s">
        <v>1970</v>
      </c>
      <c r="DF229" s="251" t="s">
        <v>1970</v>
      </c>
      <c r="DG229" s="251" t="s">
        <v>1970</v>
      </c>
      <c r="DH229" s="251" t="s">
        <v>1970</v>
      </c>
      <c r="DI229" s="251" t="s">
        <v>1970</v>
      </c>
      <c r="DJ229" s="251" t="s">
        <v>1970</v>
      </c>
      <c r="DK229" s="251" t="s">
        <v>1970</v>
      </c>
      <c r="DL229" s="251" t="s">
        <v>1970</v>
      </c>
      <c r="DM229" s="251" t="s">
        <v>1970</v>
      </c>
      <c r="DN229" s="344" t="s">
        <v>1970</v>
      </c>
      <c r="DO229" s="344" t="s">
        <v>1970</v>
      </c>
      <c r="DP229" s="344" t="s">
        <v>1970</v>
      </c>
      <c r="DQ229" s="344" t="s">
        <v>1970</v>
      </c>
      <c r="DR229" s="344" t="s">
        <v>1970</v>
      </c>
      <c r="DS229" s="344" t="s">
        <v>1970</v>
      </c>
      <c r="DT229" s="344" t="s">
        <v>1970</v>
      </c>
      <c r="DU229" s="344" t="s">
        <v>1970</v>
      </c>
      <c r="DV229" s="344" t="s">
        <v>1970</v>
      </c>
      <c r="DW229" s="344" t="s">
        <v>1970</v>
      </c>
      <c r="DX229" s="344" t="s">
        <v>1970</v>
      </c>
      <c r="DY229" s="344" t="s">
        <v>1970</v>
      </c>
      <c r="DZ229" s="344" t="s">
        <v>1970</v>
      </c>
      <c r="EA229" s="344" t="s">
        <v>1970</v>
      </c>
      <c r="EB229" s="344" t="s">
        <v>1970</v>
      </c>
      <c r="EC229" s="344" t="s">
        <v>1970</v>
      </c>
      <c r="ED229" s="344" t="s">
        <v>1970</v>
      </c>
      <c r="EE229" s="344" t="s">
        <v>1970</v>
      </c>
      <c r="EF229" s="344" t="s">
        <v>1970</v>
      </c>
      <c r="EG229" s="344" t="s">
        <v>1970</v>
      </c>
      <c r="EH229" s="344" t="s">
        <v>1970</v>
      </c>
      <c r="EI229" s="344" t="s">
        <v>1970</v>
      </c>
      <c r="EJ229" s="344" t="s">
        <v>1970</v>
      </c>
      <c r="EK229" s="344" t="s">
        <v>1970</v>
      </c>
      <c r="EL229" s="344" t="s">
        <v>1970</v>
      </c>
      <c r="EM229" s="344" t="s">
        <v>1970</v>
      </c>
      <c r="EN229" s="344" t="s">
        <v>1970</v>
      </c>
      <c r="EO229" s="344" t="s">
        <v>1970</v>
      </c>
      <c r="EP229" s="344" t="s">
        <v>1970</v>
      </c>
      <c r="EQ229" s="344" t="s">
        <v>1970</v>
      </c>
      <c r="ER229" s="344" t="s">
        <v>1970</v>
      </c>
      <c r="ES229" s="344" t="s">
        <v>1970</v>
      </c>
    </row>
    <row r="230" spans="1:215" s="251" customFormat="1" x14ac:dyDescent="0.3">
      <c r="A230" s="251" t="s">
        <v>1150</v>
      </c>
      <c r="B230" s="344" t="s">
        <v>3195</v>
      </c>
      <c r="C230" s="251" t="s">
        <v>3197</v>
      </c>
      <c r="D230" s="251" t="s">
        <v>1153</v>
      </c>
      <c r="E230" s="344" t="s">
        <v>2255</v>
      </c>
      <c r="F230" s="251" t="s">
        <v>1970</v>
      </c>
      <c r="G230" s="344">
        <v>44</v>
      </c>
      <c r="H230" s="344">
        <v>39.5</v>
      </c>
      <c r="I230" s="344" t="s">
        <v>3247</v>
      </c>
      <c r="J230" s="344" t="s">
        <v>3249</v>
      </c>
      <c r="K230" s="344" t="s">
        <v>3272</v>
      </c>
      <c r="L230" s="344" t="s">
        <v>1970</v>
      </c>
      <c r="M230" s="344" t="s">
        <v>1970</v>
      </c>
      <c r="N230" s="344" t="s">
        <v>1978</v>
      </c>
      <c r="O230" s="344" t="s">
        <v>1978</v>
      </c>
      <c r="P230" s="344" t="s">
        <v>1978</v>
      </c>
      <c r="Q230" s="344" t="s">
        <v>1978</v>
      </c>
      <c r="R230" s="344" t="s">
        <v>1978</v>
      </c>
      <c r="S230" s="344" t="s">
        <v>1978</v>
      </c>
      <c r="T230" s="251" t="s">
        <v>1151</v>
      </c>
      <c r="U230" s="344" t="s">
        <v>2150</v>
      </c>
      <c r="V230" s="344" t="s">
        <v>1970</v>
      </c>
      <c r="W230" s="344" t="s">
        <v>1970</v>
      </c>
      <c r="X230" s="344">
        <f>'A123'!J238</f>
        <v>16</v>
      </c>
      <c r="Y230" s="344">
        <f>'A123'!K238</f>
        <v>15</v>
      </c>
      <c r="Z230" s="344">
        <f>'A123'!L238</f>
        <v>4.4000000000000004</v>
      </c>
      <c r="AA230" s="344" t="s">
        <v>2165</v>
      </c>
      <c r="AB230" s="344" t="str">
        <f>入學要求!X239</f>
        <v>/</v>
      </c>
      <c r="AC230" s="344" t="str">
        <f>入學要求!Y239</f>
        <v>/</v>
      </c>
      <c r="AD230" s="251" t="s">
        <v>2255</v>
      </c>
      <c r="AE230" s="344" t="s">
        <v>3251</v>
      </c>
      <c r="AF230" s="344" t="s">
        <v>3252</v>
      </c>
      <c r="AG230" s="344" t="s">
        <v>3272</v>
      </c>
      <c r="AH230" s="344" t="s">
        <v>1970</v>
      </c>
      <c r="AI230" s="344" t="s">
        <v>1970</v>
      </c>
      <c r="AJ230" s="344" t="s">
        <v>3237</v>
      </c>
      <c r="AK230" s="344" t="s">
        <v>3234</v>
      </c>
      <c r="AL230" s="344" t="s">
        <v>1970</v>
      </c>
      <c r="AM230" s="251" t="s">
        <v>1970</v>
      </c>
      <c r="AN230" s="251" t="s">
        <v>1970</v>
      </c>
      <c r="AO230" s="344" t="s">
        <v>1970</v>
      </c>
      <c r="AP230" s="344" t="s">
        <v>3257</v>
      </c>
      <c r="AQ230" s="344" t="s">
        <v>1970</v>
      </c>
      <c r="AR230" s="344" t="s">
        <v>2150</v>
      </c>
      <c r="AS230" s="251" t="s">
        <v>3620</v>
      </c>
      <c r="AT230" s="251" t="s">
        <v>3672</v>
      </c>
      <c r="AU230" s="565">
        <v>44769</v>
      </c>
      <c r="AV230" s="565" t="s">
        <v>2521</v>
      </c>
      <c r="AW230" s="565"/>
      <c r="AX230" s="565"/>
      <c r="AY230" s="565"/>
      <c r="AZ230" s="565"/>
      <c r="BA230" s="565"/>
      <c r="BB230" s="251" t="s">
        <v>1970</v>
      </c>
      <c r="BC230" s="251" t="s">
        <v>1970</v>
      </c>
      <c r="BD230" s="251" t="s">
        <v>1970</v>
      </c>
      <c r="BE230" s="251" t="s">
        <v>1970</v>
      </c>
      <c r="BF230" s="251" t="s">
        <v>1970</v>
      </c>
      <c r="BG230" s="251" t="s">
        <v>1970</v>
      </c>
      <c r="BH230" s="251" t="s">
        <v>1970</v>
      </c>
      <c r="BI230" s="251" t="s">
        <v>1970</v>
      </c>
      <c r="BJ230" s="251" t="s">
        <v>1970</v>
      </c>
      <c r="BK230" s="251" t="s">
        <v>1970</v>
      </c>
      <c r="BL230" s="251" t="s">
        <v>1970</v>
      </c>
      <c r="BM230" s="251" t="s">
        <v>1970</v>
      </c>
      <c r="BN230" s="251" t="s">
        <v>1970</v>
      </c>
      <c r="BO230" s="251" t="s">
        <v>1970</v>
      </c>
      <c r="BP230" s="251" t="s">
        <v>1970</v>
      </c>
      <c r="BQ230" s="251" t="s">
        <v>1970</v>
      </c>
      <c r="BR230" s="251" t="s">
        <v>1970</v>
      </c>
      <c r="BS230" s="251" t="s">
        <v>1970</v>
      </c>
      <c r="BT230" s="251" t="s">
        <v>1970</v>
      </c>
      <c r="BU230" s="251" t="s">
        <v>1970</v>
      </c>
      <c r="BV230" s="251" t="s">
        <v>1970</v>
      </c>
      <c r="BW230" s="251" t="s">
        <v>1970</v>
      </c>
      <c r="BX230" s="251" t="s">
        <v>1970</v>
      </c>
      <c r="BY230" s="251" t="s">
        <v>1970</v>
      </c>
      <c r="BZ230" s="251" t="s">
        <v>1970</v>
      </c>
      <c r="CA230" s="251" t="s">
        <v>1970</v>
      </c>
      <c r="CB230" s="251" t="s">
        <v>1970</v>
      </c>
      <c r="CC230" s="251" t="s">
        <v>1970</v>
      </c>
      <c r="CD230" s="251" t="s">
        <v>1970</v>
      </c>
      <c r="CE230" s="251" t="s">
        <v>1970</v>
      </c>
      <c r="CF230" s="251" t="s">
        <v>1970</v>
      </c>
      <c r="CG230" s="251" t="s">
        <v>1970</v>
      </c>
      <c r="CH230" s="251" t="s">
        <v>1970</v>
      </c>
      <c r="CI230" s="251" t="s">
        <v>1970</v>
      </c>
      <c r="CJ230" s="251" t="s">
        <v>1970</v>
      </c>
      <c r="CK230" s="251" t="s">
        <v>1970</v>
      </c>
      <c r="CL230" s="251" t="s">
        <v>1970</v>
      </c>
      <c r="CM230" s="251" t="s">
        <v>1970</v>
      </c>
      <c r="CN230" s="251" t="s">
        <v>1970</v>
      </c>
      <c r="CO230" s="251" t="s">
        <v>1970</v>
      </c>
      <c r="CP230" s="251" t="s">
        <v>1970</v>
      </c>
      <c r="CQ230" s="251" t="s">
        <v>1970</v>
      </c>
      <c r="CR230" s="251" t="s">
        <v>1970</v>
      </c>
      <c r="CS230" s="251" t="s">
        <v>1970</v>
      </c>
      <c r="CT230" s="251" t="s">
        <v>1970</v>
      </c>
      <c r="CU230" s="251" t="s">
        <v>1970</v>
      </c>
      <c r="CV230" s="251" t="s">
        <v>1970</v>
      </c>
      <c r="CW230" s="251" t="s">
        <v>1970</v>
      </c>
      <c r="CX230" s="251" t="s">
        <v>1970</v>
      </c>
      <c r="CY230" s="251" t="s">
        <v>1970</v>
      </c>
      <c r="CZ230" s="251" t="s">
        <v>1970</v>
      </c>
      <c r="DA230" s="251" t="s">
        <v>1970</v>
      </c>
      <c r="DB230" s="251" t="s">
        <v>1970</v>
      </c>
      <c r="DC230" s="251" t="s">
        <v>1970</v>
      </c>
      <c r="DD230" s="251" t="s">
        <v>1970</v>
      </c>
      <c r="DE230" s="251" t="s">
        <v>1970</v>
      </c>
      <c r="DF230" s="251" t="s">
        <v>1970</v>
      </c>
      <c r="DG230" s="251" t="s">
        <v>1970</v>
      </c>
      <c r="DH230" s="251" t="s">
        <v>1970</v>
      </c>
      <c r="DI230" s="251" t="s">
        <v>1970</v>
      </c>
      <c r="DJ230" s="251" t="s">
        <v>1970</v>
      </c>
      <c r="DK230" s="251" t="s">
        <v>1970</v>
      </c>
      <c r="DL230" s="251" t="s">
        <v>1970</v>
      </c>
      <c r="DM230" s="251" t="s">
        <v>1970</v>
      </c>
      <c r="DN230" s="344" t="s">
        <v>1970</v>
      </c>
      <c r="DO230" s="344" t="s">
        <v>1970</v>
      </c>
      <c r="DP230" s="344" t="s">
        <v>1970</v>
      </c>
      <c r="DQ230" s="344" t="s">
        <v>1970</v>
      </c>
      <c r="DR230" s="344" t="s">
        <v>1970</v>
      </c>
      <c r="DS230" s="344" t="s">
        <v>1970</v>
      </c>
      <c r="DT230" s="344" t="s">
        <v>1970</v>
      </c>
      <c r="DU230" s="344" t="s">
        <v>1970</v>
      </c>
      <c r="DV230" s="344" t="s">
        <v>1970</v>
      </c>
      <c r="DW230" s="344" t="s">
        <v>1970</v>
      </c>
      <c r="DX230" s="344" t="s">
        <v>1970</v>
      </c>
      <c r="DY230" s="344" t="s">
        <v>1970</v>
      </c>
      <c r="DZ230" s="344" t="s">
        <v>1970</v>
      </c>
      <c r="EA230" s="344" t="s">
        <v>1970</v>
      </c>
      <c r="EB230" s="344" t="s">
        <v>1970</v>
      </c>
      <c r="EC230" s="344" t="s">
        <v>1970</v>
      </c>
      <c r="ED230" s="344" t="s">
        <v>1970</v>
      </c>
      <c r="EE230" s="344" t="s">
        <v>1970</v>
      </c>
      <c r="EF230" s="344" t="s">
        <v>1970</v>
      </c>
      <c r="EG230" s="344" t="s">
        <v>1970</v>
      </c>
      <c r="EH230" s="344" t="s">
        <v>1970</v>
      </c>
      <c r="EI230" s="344" t="s">
        <v>1970</v>
      </c>
      <c r="EJ230" s="344" t="s">
        <v>1970</v>
      </c>
      <c r="EK230" s="344" t="s">
        <v>1970</v>
      </c>
      <c r="EL230" s="344" t="s">
        <v>1970</v>
      </c>
      <c r="EM230" s="344" t="s">
        <v>1970</v>
      </c>
      <c r="EN230" s="344" t="s">
        <v>1970</v>
      </c>
      <c r="EO230" s="344" t="s">
        <v>1970</v>
      </c>
      <c r="EP230" s="344" t="s">
        <v>1970</v>
      </c>
      <c r="EQ230" s="344" t="s">
        <v>1970</v>
      </c>
      <c r="ER230" s="344" t="s">
        <v>1970</v>
      </c>
      <c r="ES230" s="344" t="s">
        <v>1970</v>
      </c>
    </row>
    <row r="231" spans="1:215" s="251" customFormat="1" x14ac:dyDescent="0.3">
      <c r="A231" s="251" t="s">
        <v>1155</v>
      </c>
      <c r="B231" s="344" t="s">
        <v>3195</v>
      </c>
      <c r="C231" s="251" t="s">
        <v>3197</v>
      </c>
      <c r="D231" s="251" t="s">
        <v>1158</v>
      </c>
      <c r="E231" s="344" t="s">
        <v>2255</v>
      </c>
      <c r="F231" s="251" t="s">
        <v>1970</v>
      </c>
      <c r="G231" s="344">
        <v>52.5</v>
      </c>
      <c r="H231" s="344">
        <v>49.5</v>
      </c>
      <c r="I231" s="344" t="s">
        <v>3247</v>
      </c>
      <c r="J231" s="344" t="s">
        <v>3249</v>
      </c>
      <c r="K231" s="344" t="s">
        <v>3285</v>
      </c>
      <c r="L231" s="344" t="s">
        <v>3286</v>
      </c>
      <c r="M231" s="251" t="s">
        <v>1970</v>
      </c>
      <c r="N231" s="344" t="s">
        <v>1978</v>
      </c>
      <c r="O231" s="344" t="s">
        <v>1978</v>
      </c>
      <c r="P231" s="344" t="s">
        <v>1978</v>
      </c>
      <c r="Q231" s="344" t="s">
        <v>1978</v>
      </c>
      <c r="R231" s="344" t="s">
        <v>1978</v>
      </c>
      <c r="S231" s="344" t="s">
        <v>1978</v>
      </c>
      <c r="T231" s="251" t="s">
        <v>1156</v>
      </c>
      <c r="U231" s="344" t="s">
        <v>2150</v>
      </c>
      <c r="V231" s="344" t="s">
        <v>1970</v>
      </c>
      <c r="W231" s="344" t="s">
        <v>1970</v>
      </c>
      <c r="X231" s="344">
        <f>'A123'!J239</f>
        <v>16</v>
      </c>
      <c r="Y231" s="344">
        <f>'A123'!K239</f>
        <v>14</v>
      </c>
      <c r="Z231" s="344">
        <f>'A123'!L239</f>
        <v>4.1428571428571432</v>
      </c>
      <c r="AA231" s="344" t="s">
        <v>2165</v>
      </c>
      <c r="AB231" s="344" t="str">
        <f>入學要求!X240</f>
        <v>以下一科選修取得Lv.3︰M1/2、生物、化學、組合科學、物理、經濟</v>
      </c>
      <c r="AC231" s="344" t="str">
        <f>入學要求!Y240</f>
        <v>/</v>
      </c>
      <c r="AD231" s="251" t="s">
        <v>2255</v>
      </c>
      <c r="AE231" s="344" t="s">
        <v>3251</v>
      </c>
      <c r="AF231" s="344" t="s">
        <v>3252</v>
      </c>
      <c r="AG231" s="344" t="s">
        <v>3285</v>
      </c>
      <c r="AH231" s="344" t="s">
        <v>3286</v>
      </c>
      <c r="AI231" s="344" t="s">
        <v>1970</v>
      </c>
      <c r="AJ231" s="344" t="s">
        <v>3237</v>
      </c>
      <c r="AK231" s="344" t="s">
        <v>3235</v>
      </c>
      <c r="AL231" s="344" t="s">
        <v>1970</v>
      </c>
      <c r="AM231" s="251" t="s">
        <v>1970</v>
      </c>
      <c r="AN231" s="251" t="s">
        <v>1970</v>
      </c>
      <c r="AO231" s="344" t="s">
        <v>1970</v>
      </c>
      <c r="AP231" s="344" t="s">
        <v>3258</v>
      </c>
      <c r="AQ231" s="344" t="s">
        <v>1970</v>
      </c>
      <c r="AR231" s="344" t="s">
        <v>2150</v>
      </c>
      <c r="AS231" s="251" t="s">
        <v>3603</v>
      </c>
      <c r="AT231" s="565">
        <v>44714</v>
      </c>
      <c r="AU231" s="251" t="s">
        <v>1970</v>
      </c>
      <c r="AV231" s="565" t="s">
        <v>2521</v>
      </c>
      <c r="AW231" s="344"/>
      <c r="AX231" s="344"/>
      <c r="AY231" s="344"/>
      <c r="AZ231" s="344"/>
      <c r="BA231" s="344"/>
      <c r="BB231" s="251" t="s">
        <v>1970</v>
      </c>
      <c r="BC231" s="251" t="s">
        <v>1970</v>
      </c>
      <c r="BD231" s="251" t="s">
        <v>1970</v>
      </c>
      <c r="BE231" s="251" t="s">
        <v>1970</v>
      </c>
      <c r="BF231" s="251" t="s">
        <v>1970</v>
      </c>
      <c r="BG231" s="251" t="s">
        <v>1970</v>
      </c>
      <c r="BH231" s="251" t="s">
        <v>1970</v>
      </c>
      <c r="BI231" s="251" t="s">
        <v>1970</v>
      </c>
      <c r="BJ231" s="251" t="s">
        <v>1970</v>
      </c>
      <c r="BK231" s="251" t="s">
        <v>1970</v>
      </c>
      <c r="BL231" s="251" t="s">
        <v>1970</v>
      </c>
      <c r="BM231" s="251" t="s">
        <v>1970</v>
      </c>
      <c r="BN231" s="251" t="s">
        <v>1970</v>
      </c>
      <c r="BO231" s="251" t="s">
        <v>1970</v>
      </c>
      <c r="BP231" s="251" t="s">
        <v>1970</v>
      </c>
      <c r="BQ231" s="251" t="s">
        <v>1970</v>
      </c>
      <c r="BR231" s="251" t="s">
        <v>1970</v>
      </c>
      <c r="BS231" s="251" t="s">
        <v>1970</v>
      </c>
      <c r="BT231" s="251" t="s">
        <v>1970</v>
      </c>
      <c r="BU231" s="251" t="s">
        <v>1970</v>
      </c>
      <c r="BV231" s="251" t="s">
        <v>1970</v>
      </c>
      <c r="BW231" s="251" t="s">
        <v>1970</v>
      </c>
      <c r="BX231" s="251" t="s">
        <v>1970</v>
      </c>
      <c r="BY231" s="251" t="s">
        <v>1970</v>
      </c>
      <c r="BZ231" s="251" t="s">
        <v>1970</v>
      </c>
      <c r="CA231" s="251" t="s">
        <v>1970</v>
      </c>
      <c r="CB231" s="251" t="s">
        <v>1970</v>
      </c>
      <c r="CC231" s="251" t="s">
        <v>1970</v>
      </c>
      <c r="CD231" s="251" t="s">
        <v>1970</v>
      </c>
      <c r="CE231" s="251" t="s">
        <v>1970</v>
      </c>
      <c r="CF231" s="251" t="s">
        <v>1970</v>
      </c>
      <c r="CG231" s="251" t="s">
        <v>1970</v>
      </c>
      <c r="CH231" s="251" t="s">
        <v>1970</v>
      </c>
      <c r="CI231" s="251" t="s">
        <v>1970</v>
      </c>
      <c r="CJ231" s="251" t="s">
        <v>1970</v>
      </c>
      <c r="CK231" s="251" t="s">
        <v>1970</v>
      </c>
      <c r="CL231" s="251" t="s">
        <v>1970</v>
      </c>
      <c r="CM231" s="251" t="s">
        <v>1970</v>
      </c>
      <c r="CN231" s="251" t="s">
        <v>1970</v>
      </c>
      <c r="CO231" s="251" t="s">
        <v>1970</v>
      </c>
      <c r="CP231" s="251" t="s">
        <v>1970</v>
      </c>
      <c r="CQ231" s="251" t="s">
        <v>1970</v>
      </c>
      <c r="CR231" s="251" t="s">
        <v>1970</v>
      </c>
      <c r="CS231" s="251" t="s">
        <v>1970</v>
      </c>
      <c r="CT231" s="251" t="s">
        <v>1970</v>
      </c>
      <c r="CU231" s="251" t="s">
        <v>1970</v>
      </c>
      <c r="CV231" s="251" t="s">
        <v>1970</v>
      </c>
      <c r="CW231" s="251" t="s">
        <v>1970</v>
      </c>
      <c r="CX231" s="251" t="s">
        <v>1970</v>
      </c>
      <c r="CY231" s="251" t="s">
        <v>1970</v>
      </c>
      <c r="CZ231" s="251" t="s">
        <v>1970</v>
      </c>
      <c r="DA231" s="251" t="s">
        <v>1970</v>
      </c>
      <c r="DB231" s="251" t="s">
        <v>1970</v>
      </c>
      <c r="DC231" s="251" t="s">
        <v>1970</v>
      </c>
      <c r="DD231" s="251" t="s">
        <v>1970</v>
      </c>
      <c r="DE231" s="251" t="s">
        <v>1970</v>
      </c>
      <c r="DF231" s="251" t="s">
        <v>1970</v>
      </c>
      <c r="DG231" s="251" t="s">
        <v>1970</v>
      </c>
      <c r="DH231" s="251" t="s">
        <v>1970</v>
      </c>
      <c r="DI231" s="251" t="s">
        <v>1970</v>
      </c>
      <c r="DJ231" s="251" t="s">
        <v>1970</v>
      </c>
      <c r="DK231" s="251" t="s">
        <v>1970</v>
      </c>
      <c r="DL231" s="251" t="s">
        <v>1970</v>
      </c>
      <c r="DM231" s="251" t="s">
        <v>1970</v>
      </c>
      <c r="DN231" s="344" t="s">
        <v>1970</v>
      </c>
      <c r="DO231" s="344" t="s">
        <v>1970</v>
      </c>
      <c r="DP231" s="344" t="s">
        <v>1970</v>
      </c>
      <c r="DQ231" s="344" t="s">
        <v>1970</v>
      </c>
      <c r="DR231" s="344" t="s">
        <v>1970</v>
      </c>
      <c r="DS231" s="344" t="s">
        <v>1970</v>
      </c>
      <c r="DT231" s="344" t="s">
        <v>1970</v>
      </c>
      <c r="DU231" s="344" t="s">
        <v>1970</v>
      </c>
      <c r="DV231" s="344" t="s">
        <v>1970</v>
      </c>
      <c r="DW231" s="344" t="s">
        <v>1970</v>
      </c>
      <c r="DX231" s="344" t="s">
        <v>1970</v>
      </c>
      <c r="DY231" s="344" t="s">
        <v>1970</v>
      </c>
      <c r="DZ231" s="344" t="s">
        <v>1970</v>
      </c>
      <c r="EA231" s="344" t="s">
        <v>1970</v>
      </c>
      <c r="EB231" s="344" t="s">
        <v>1970</v>
      </c>
      <c r="EC231" s="344" t="s">
        <v>1970</v>
      </c>
      <c r="ED231" s="344" t="s">
        <v>1970</v>
      </c>
      <c r="EE231" s="344" t="s">
        <v>1970</v>
      </c>
      <c r="EF231" s="344" t="s">
        <v>1970</v>
      </c>
      <c r="EG231" s="344" t="s">
        <v>1970</v>
      </c>
      <c r="EH231" s="344" t="s">
        <v>1970</v>
      </c>
      <c r="EI231" s="344" t="s">
        <v>1970</v>
      </c>
      <c r="EJ231" s="344" t="s">
        <v>1970</v>
      </c>
      <c r="EK231" s="344" t="s">
        <v>1970</v>
      </c>
      <c r="EL231" s="344" t="s">
        <v>1970</v>
      </c>
      <c r="EM231" s="344" t="s">
        <v>1970</v>
      </c>
      <c r="EN231" s="344" t="s">
        <v>1970</v>
      </c>
      <c r="EO231" s="344" t="s">
        <v>1970</v>
      </c>
      <c r="EP231" s="344" t="s">
        <v>1970</v>
      </c>
      <c r="EQ231" s="344" t="s">
        <v>1970</v>
      </c>
      <c r="ER231" s="344" t="s">
        <v>1970</v>
      </c>
      <c r="ES231" s="344" t="s">
        <v>1970</v>
      </c>
    </row>
    <row r="232" spans="1:215" s="251" customFormat="1" x14ac:dyDescent="0.3">
      <c r="A232" s="251" t="s">
        <v>1159</v>
      </c>
      <c r="B232" s="344" t="s">
        <v>3195</v>
      </c>
      <c r="C232" s="251" t="s">
        <v>3197</v>
      </c>
      <c r="D232" s="251" t="s">
        <v>1162</v>
      </c>
      <c r="E232" s="344" t="s">
        <v>2255</v>
      </c>
      <c r="F232" s="251" t="s">
        <v>1970</v>
      </c>
      <c r="G232" s="344">
        <v>50</v>
      </c>
      <c r="H232" s="344">
        <v>48.5</v>
      </c>
      <c r="I232" s="344" t="s">
        <v>3247</v>
      </c>
      <c r="J232" s="344" t="s">
        <v>3249</v>
      </c>
      <c r="K232" s="344" t="s">
        <v>3279</v>
      </c>
      <c r="L232" s="344" t="s">
        <v>3280</v>
      </c>
      <c r="M232" s="344" t="s">
        <v>1970</v>
      </c>
      <c r="N232" s="344" t="s">
        <v>1978</v>
      </c>
      <c r="O232" s="344" t="s">
        <v>1978</v>
      </c>
      <c r="P232" s="344" t="s">
        <v>1978</v>
      </c>
      <c r="Q232" s="344" t="s">
        <v>1978</v>
      </c>
      <c r="R232" s="344" t="s">
        <v>1978</v>
      </c>
      <c r="S232" s="344" t="s">
        <v>1978</v>
      </c>
      <c r="T232" s="251" t="s">
        <v>1160</v>
      </c>
      <c r="U232" s="344" t="s">
        <v>2150</v>
      </c>
      <c r="V232" s="344" t="s">
        <v>1970</v>
      </c>
      <c r="W232" s="344" t="s">
        <v>1970</v>
      </c>
      <c r="X232" s="344">
        <f>'A123'!J240</f>
        <v>23</v>
      </c>
      <c r="Y232" s="344">
        <f>'A123'!K240</f>
        <v>24</v>
      </c>
      <c r="Z232" s="344">
        <f>'A123'!L240</f>
        <v>3</v>
      </c>
      <c r="AA232" s="344" t="s">
        <v>2165</v>
      </c>
      <c r="AB232" s="344" t="str">
        <f>入學要求!X241</f>
        <v>申請人必須出席面試</v>
      </c>
      <c r="AC232" s="344" t="str">
        <f>入學要求!Y241</f>
        <v>/</v>
      </c>
      <c r="AD232" s="344" t="s">
        <v>2255</v>
      </c>
      <c r="AE232" s="344" t="s">
        <v>3251</v>
      </c>
      <c r="AF232" s="344" t="s">
        <v>3252</v>
      </c>
      <c r="AG232" s="344" t="s">
        <v>3279</v>
      </c>
      <c r="AH232" s="344" t="s">
        <v>3280</v>
      </c>
      <c r="AI232" s="344" t="s">
        <v>1970</v>
      </c>
      <c r="AJ232" s="344" t="s">
        <v>3238</v>
      </c>
      <c r="AK232" s="344" t="s">
        <v>3287</v>
      </c>
      <c r="AL232" s="344" t="s">
        <v>1970</v>
      </c>
      <c r="AM232" s="251" t="s">
        <v>3207</v>
      </c>
      <c r="AN232" s="251" t="s">
        <v>1970</v>
      </c>
      <c r="AO232" s="344" t="s">
        <v>1970</v>
      </c>
      <c r="AP232" s="344" t="s">
        <v>3256</v>
      </c>
      <c r="AQ232" s="344" t="s">
        <v>1970</v>
      </c>
      <c r="AR232" s="344" t="s">
        <v>2150</v>
      </c>
      <c r="AS232" s="251" t="s">
        <v>3620</v>
      </c>
      <c r="AT232" s="251" t="s">
        <v>3673</v>
      </c>
      <c r="AU232" s="565">
        <v>44770</v>
      </c>
      <c r="AV232" s="565" t="s">
        <v>2521</v>
      </c>
      <c r="AW232" s="565"/>
      <c r="AX232" s="565"/>
      <c r="AY232" s="565"/>
      <c r="AZ232" s="565"/>
      <c r="BA232" s="565"/>
      <c r="BB232" s="251" t="s">
        <v>1970</v>
      </c>
      <c r="BC232" s="251" t="s">
        <v>1970</v>
      </c>
      <c r="BD232" s="251" t="s">
        <v>1970</v>
      </c>
      <c r="BE232" s="251" t="s">
        <v>1970</v>
      </c>
      <c r="BF232" s="251" t="s">
        <v>1970</v>
      </c>
      <c r="BG232" s="251" t="s">
        <v>1970</v>
      </c>
      <c r="BH232" s="251" t="s">
        <v>1970</v>
      </c>
      <c r="BI232" s="251" t="s">
        <v>1970</v>
      </c>
      <c r="BJ232" s="251" t="s">
        <v>1970</v>
      </c>
      <c r="BK232" s="251" t="s">
        <v>1970</v>
      </c>
      <c r="BL232" s="251" t="s">
        <v>1970</v>
      </c>
      <c r="BM232" s="251" t="s">
        <v>1970</v>
      </c>
      <c r="BN232" s="251" t="s">
        <v>1970</v>
      </c>
      <c r="BO232" s="251" t="s">
        <v>1970</v>
      </c>
      <c r="BP232" s="251" t="s">
        <v>1970</v>
      </c>
      <c r="BQ232" s="251" t="s">
        <v>1970</v>
      </c>
      <c r="BR232" s="251" t="s">
        <v>1970</v>
      </c>
      <c r="BS232" s="251" t="s">
        <v>1970</v>
      </c>
      <c r="BT232" s="251" t="s">
        <v>1970</v>
      </c>
      <c r="BU232" s="251" t="s">
        <v>1970</v>
      </c>
      <c r="BV232" s="251" t="s">
        <v>1970</v>
      </c>
      <c r="BW232" s="251" t="s">
        <v>1970</v>
      </c>
      <c r="BX232" s="251" t="s">
        <v>1970</v>
      </c>
      <c r="BY232" s="251" t="s">
        <v>1970</v>
      </c>
      <c r="BZ232" s="251" t="s">
        <v>1970</v>
      </c>
      <c r="CA232" s="251" t="s">
        <v>1970</v>
      </c>
      <c r="CB232" s="251" t="s">
        <v>1970</v>
      </c>
      <c r="CC232" s="251" t="s">
        <v>1970</v>
      </c>
      <c r="CD232" s="251" t="s">
        <v>1970</v>
      </c>
      <c r="CE232" s="251" t="s">
        <v>1970</v>
      </c>
      <c r="CF232" s="251" t="s">
        <v>1970</v>
      </c>
      <c r="CG232" s="251" t="s">
        <v>1970</v>
      </c>
      <c r="CH232" s="251" t="s">
        <v>1970</v>
      </c>
      <c r="CI232" s="251" t="s">
        <v>1970</v>
      </c>
      <c r="CJ232" s="251" t="s">
        <v>1970</v>
      </c>
      <c r="CK232" s="251" t="s">
        <v>1970</v>
      </c>
      <c r="CL232" s="251" t="s">
        <v>1970</v>
      </c>
      <c r="CM232" s="251" t="s">
        <v>1970</v>
      </c>
      <c r="CN232" s="251" t="s">
        <v>1970</v>
      </c>
      <c r="CO232" s="251" t="s">
        <v>1970</v>
      </c>
      <c r="CP232" s="251" t="s">
        <v>1970</v>
      </c>
      <c r="CQ232" s="251" t="s">
        <v>1970</v>
      </c>
      <c r="CR232" s="251" t="s">
        <v>1970</v>
      </c>
      <c r="CS232" s="251" t="s">
        <v>1970</v>
      </c>
      <c r="CT232" s="251" t="s">
        <v>1970</v>
      </c>
      <c r="CU232" s="251" t="s">
        <v>1970</v>
      </c>
      <c r="CV232" s="251" t="s">
        <v>1970</v>
      </c>
      <c r="CW232" s="251" t="s">
        <v>1970</v>
      </c>
      <c r="CX232" s="251" t="s">
        <v>1970</v>
      </c>
      <c r="CY232" s="251" t="s">
        <v>1970</v>
      </c>
      <c r="CZ232" s="251" t="s">
        <v>1970</v>
      </c>
      <c r="DA232" s="251" t="s">
        <v>1970</v>
      </c>
      <c r="DB232" s="251" t="s">
        <v>1970</v>
      </c>
      <c r="DC232" s="251" t="s">
        <v>1970</v>
      </c>
      <c r="DD232" s="251" t="s">
        <v>1970</v>
      </c>
      <c r="DE232" s="251" t="s">
        <v>1970</v>
      </c>
      <c r="DF232" s="251" t="s">
        <v>1970</v>
      </c>
      <c r="DG232" s="251" t="s">
        <v>1970</v>
      </c>
      <c r="DH232" s="251" t="s">
        <v>1970</v>
      </c>
      <c r="DI232" s="251" t="s">
        <v>1970</v>
      </c>
      <c r="DJ232" s="251" t="s">
        <v>1970</v>
      </c>
      <c r="DK232" s="251" t="s">
        <v>1970</v>
      </c>
      <c r="DL232" s="251" t="s">
        <v>1970</v>
      </c>
      <c r="DM232" s="251" t="s">
        <v>1970</v>
      </c>
      <c r="DN232" s="344" t="s">
        <v>1970</v>
      </c>
      <c r="DO232" s="344" t="s">
        <v>1970</v>
      </c>
      <c r="DP232" s="344" t="s">
        <v>1970</v>
      </c>
      <c r="DQ232" s="344" t="s">
        <v>1970</v>
      </c>
      <c r="DR232" s="344" t="s">
        <v>1970</v>
      </c>
      <c r="DS232" s="344" t="s">
        <v>1970</v>
      </c>
      <c r="DT232" s="344" t="s">
        <v>1970</v>
      </c>
      <c r="DU232" s="344" t="s">
        <v>1970</v>
      </c>
      <c r="DV232" s="344" t="s">
        <v>1970</v>
      </c>
      <c r="DW232" s="344" t="s">
        <v>1970</v>
      </c>
      <c r="DX232" s="344" t="s">
        <v>1970</v>
      </c>
      <c r="DY232" s="344" t="s">
        <v>1970</v>
      </c>
      <c r="DZ232" s="344" t="s">
        <v>1970</v>
      </c>
      <c r="EA232" s="344" t="s">
        <v>1970</v>
      </c>
      <c r="EB232" s="344" t="s">
        <v>1970</v>
      </c>
      <c r="EC232" s="344" t="s">
        <v>1970</v>
      </c>
      <c r="ED232" s="344" t="s">
        <v>1970</v>
      </c>
      <c r="EE232" s="344" t="s">
        <v>1970</v>
      </c>
      <c r="EF232" s="344" t="s">
        <v>1970</v>
      </c>
      <c r="EG232" s="344" t="s">
        <v>1970</v>
      </c>
      <c r="EH232" s="344" t="s">
        <v>1970</v>
      </c>
      <c r="EI232" s="344" t="s">
        <v>1970</v>
      </c>
      <c r="EJ232" s="344" t="s">
        <v>1970</v>
      </c>
      <c r="EK232" s="344" t="s">
        <v>1970</v>
      </c>
      <c r="EL232" s="344" t="s">
        <v>1970</v>
      </c>
      <c r="EM232" s="344" t="s">
        <v>1970</v>
      </c>
      <c r="EN232" s="344" t="s">
        <v>1970</v>
      </c>
      <c r="EO232" s="344" t="s">
        <v>1970</v>
      </c>
      <c r="EP232" s="344" t="s">
        <v>1970</v>
      </c>
      <c r="EQ232" s="344" t="s">
        <v>1970</v>
      </c>
      <c r="ER232" s="344" t="s">
        <v>1970</v>
      </c>
      <c r="ES232" s="344" t="s">
        <v>1970</v>
      </c>
    </row>
    <row r="233" spans="1:215" s="251" customFormat="1" x14ac:dyDescent="0.3">
      <c r="A233" s="251" t="s">
        <v>1163</v>
      </c>
      <c r="B233" s="344" t="s">
        <v>3195</v>
      </c>
      <c r="C233" s="344" t="s">
        <v>3197</v>
      </c>
      <c r="D233" s="251" t="s">
        <v>1166</v>
      </c>
      <c r="E233" s="344" t="s">
        <v>2187</v>
      </c>
      <c r="F233" s="251" t="s">
        <v>1970</v>
      </c>
      <c r="G233" s="344" t="s">
        <v>1978</v>
      </c>
      <c r="H233" s="344" t="s">
        <v>1978</v>
      </c>
      <c r="I233" s="344" t="s">
        <v>3250</v>
      </c>
      <c r="J233" s="344" t="s">
        <v>3249</v>
      </c>
      <c r="K233" s="344" t="s">
        <v>1978</v>
      </c>
      <c r="L233" s="344" t="s">
        <v>1978</v>
      </c>
      <c r="M233" s="344" t="s">
        <v>1978</v>
      </c>
      <c r="N233" s="344" t="s">
        <v>1978</v>
      </c>
      <c r="O233" s="344" t="s">
        <v>1978</v>
      </c>
      <c r="P233" s="344" t="s">
        <v>1978</v>
      </c>
      <c r="Q233" s="344" t="s">
        <v>1978</v>
      </c>
      <c r="R233" s="344" t="s">
        <v>1978</v>
      </c>
      <c r="S233" s="344" t="s">
        <v>1978</v>
      </c>
      <c r="T233" s="251" t="s">
        <v>1164</v>
      </c>
      <c r="U233" s="344" t="s">
        <v>2150</v>
      </c>
      <c r="V233" s="344" t="s">
        <v>1970</v>
      </c>
      <c r="W233" s="344" t="s">
        <v>1970</v>
      </c>
      <c r="X233" s="344">
        <f>'A123'!J241</f>
        <v>18</v>
      </c>
      <c r="Y233" s="344" t="str">
        <f>'A123'!K241</f>
        <v>/</v>
      </c>
      <c r="Z233" s="344" t="str">
        <f>'A123'!L241</f>
        <v>新科目</v>
      </c>
      <c r="AA233" s="344" t="s">
        <v>2165</v>
      </c>
      <c r="AB233" s="344" t="str">
        <f>入學要求!X242</f>
        <v>申請人必須出席面試</v>
      </c>
      <c r="AC233" s="344" t="str">
        <f>入學要求!Y242</f>
        <v>/</v>
      </c>
      <c r="AD233" s="373" t="s">
        <v>2255</v>
      </c>
      <c r="AE233" s="344" t="s">
        <v>3251</v>
      </c>
      <c r="AF233" s="344" t="s">
        <v>3252</v>
      </c>
      <c r="AG233" s="344" t="s">
        <v>3274</v>
      </c>
      <c r="AH233" s="427" t="s">
        <v>3276</v>
      </c>
      <c r="AI233" s="427" t="s">
        <v>3277</v>
      </c>
      <c r="AJ233" s="344" t="s">
        <v>1978</v>
      </c>
      <c r="AK233" s="344" t="s">
        <v>1978</v>
      </c>
      <c r="AL233" s="344" t="s">
        <v>1970</v>
      </c>
      <c r="AM233" s="251" t="s">
        <v>3207</v>
      </c>
      <c r="AN233" s="251" t="s">
        <v>1970</v>
      </c>
      <c r="AO233" s="344" t="s">
        <v>1970</v>
      </c>
      <c r="AP233" s="251" t="s">
        <v>3260</v>
      </c>
      <c r="AQ233" s="344" t="s">
        <v>1970</v>
      </c>
      <c r="AR233" s="344" t="s">
        <v>2150</v>
      </c>
      <c r="AS233" s="251" t="s">
        <v>3620</v>
      </c>
      <c r="AT233" s="251" t="s">
        <v>3674</v>
      </c>
      <c r="AU233" s="565">
        <v>44769</v>
      </c>
      <c r="AV233" s="565" t="s">
        <v>2521</v>
      </c>
      <c r="AW233" s="565"/>
      <c r="AX233" s="565"/>
      <c r="AY233" s="565"/>
      <c r="AZ233" s="565"/>
      <c r="BA233" s="565"/>
      <c r="BB233" s="251" t="s">
        <v>1970</v>
      </c>
      <c r="BC233" s="251" t="s">
        <v>1970</v>
      </c>
      <c r="BD233" s="251" t="s">
        <v>1970</v>
      </c>
      <c r="BE233" s="251" t="s">
        <v>1970</v>
      </c>
      <c r="BF233" s="251" t="s">
        <v>1970</v>
      </c>
      <c r="BG233" s="251" t="s">
        <v>1970</v>
      </c>
      <c r="BH233" s="251" t="s">
        <v>1970</v>
      </c>
      <c r="BI233" s="251" t="s">
        <v>1970</v>
      </c>
      <c r="BJ233" s="251" t="s">
        <v>1970</v>
      </c>
      <c r="BK233" s="251" t="s">
        <v>1970</v>
      </c>
      <c r="BL233" s="251" t="s">
        <v>1970</v>
      </c>
      <c r="BM233" s="251" t="s">
        <v>1970</v>
      </c>
      <c r="BN233" s="251" t="s">
        <v>1970</v>
      </c>
      <c r="BO233" s="251" t="s">
        <v>1970</v>
      </c>
      <c r="BP233" s="251" t="s">
        <v>1970</v>
      </c>
      <c r="BQ233" s="251" t="s">
        <v>1970</v>
      </c>
      <c r="BR233" s="251" t="s">
        <v>1970</v>
      </c>
      <c r="BS233" s="251" t="s">
        <v>1970</v>
      </c>
      <c r="BT233" s="251" t="s">
        <v>1970</v>
      </c>
      <c r="BU233" s="251" t="s">
        <v>1970</v>
      </c>
      <c r="BV233" s="251" t="s">
        <v>1970</v>
      </c>
      <c r="BW233" s="251" t="s">
        <v>1970</v>
      </c>
      <c r="BX233" s="251" t="s">
        <v>1970</v>
      </c>
      <c r="BY233" s="251" t="s">
        <v>1970</v>
      </c>
      <c r="BZ233" s="251" t="s">
        <v>1970</v>
      </c>
      <c r="CA233" s="251" t="s">
        <v>1970</v>
      </c>
      <c r="CB233" s="251" t="s">
        <v>1970</v>
      </c>
      <c r="CC233" s="251" t="s">
        <v>1970</v>
      </c>
      <c r="CD233" s="251" t="s">
        <v>1970</v>
      </c>
      <c r="CE233" s="251" t="s">
        <v>1970</v>
      </c>
      <c r="CF233" s="251" t="s">
        <v>1970</v>
      </c>
      <c r="CG233" s="251" t="s">
        <v>1970</v>
      </c>
      <c r="CH233" s="251" t="s">
        <v>1970</v>
      </c>
      <c r="CI233" s="251" t="s">
        <v>1970</v>
      </c>
      <c r="CJ233" s="251" t="s">
        <v>1970</v>
      </c>
      <c r="CK233" s="251" t="s">
        <v>1970</v>
      </c>
      <c r="CL233" s="251" t="s">
        <v>1970</v>
      </c>
      <c r="CM233" s="251" t="s">
        <v>1970</v>
      </c>
      <c r="CN233" s="251" t="s">
        <v>1970</v>
      </c>
      <c r="CO233" s="251" t="s">
        <v>1970</v>
      </c>
      <c r="CP233" s="251" t="s">
        <v>1970</v>
      </c>
      <c r="CQ233" s="251" t="s">
        <v>1970</v>
      </c>
      <c r="CR233" s="251" t="s">
        <v>1970</v>
      </c>
      <c r="CS233" s="251" t="s">
        <v>1970</v>
      </c>
      <c r="CT233" s="251" t="s">
        <v>1970</v>
      </c>
      <c r="CU233" s="251" t="s">
        <v>1970</v>
      </c>
      <c r="CV233" s="251" t="s">
        <v>1970</v>
      </c>
      <c r="CW233" s="251" t="s">
        <v>1970</v>
      </c>
      <c r="CX233" s="251" t="s">
        <v>1970</v>
      </c>
      <c r="CY233" s="251" t="s">
        <v>1970</v>
      </c>
      <c r="CZ233" s="251" t="s">
        <v>1970</v>
      </c>
      <c r="DA233" s="251" t="s">
        <v>1970</v>
      </c>
      <c r="DB233" s="251" t="s">
        <v>1970</v>
      </c>
      <c r="DC233" s="251" t="s">
        <v>1970</v>
      </c>
      <c r="DD233" s="251" t="s">
        <v>1970</v>
      </c>
      <c r="DE233" s="251" t="s">
        <v>1970</v>
      </c>
      <c r="DF233" s="251" t="s">
        <v>1970</v>
      </c>
      <c r="DG233" s="251" t="s">
        <v>1970</v>
      </c>
      <c r="DH233" s="251" t="s">
        <v>1970</v>
      </c>
      <c r="DI233" s="251" t="s">
        <v>1970</v>
      </c>
      <c r="DJ233" s="251" t="s">
        <v>1970</v>
      </c>
      <c r="DK233" s="251" t="s">
        <v>1970</v>
      </c>
      <c r="DL233" s="251" t="s">
        <v>1970</v>
      </c>
      <c r="DM233" s="251" t="s">
        <v>1970</v>
      </c>
      <c r="DN233" s="344" t="s">
        <v>1970</v>
      </c>
      <c r="DO233" s="344" t="s">
        <v>1970</v>
      </c>
      <c r="DP233" s="344" t="s">
        <v>1970</v>
      </c>
      <c r="DQ233" s="344" t="s">
        <v>1970</v>
      </c>
      <c r="DR233" s="344" t="s">
        <v>1970</v>
      </c>
      <c r="DS233" s="344" t="s">
        <v>1970</v>
      </c>
      <c r="DT233" s="344" t="s">
        <v>1970</v>
      </c>
      <c r="DU233" s="344" t="s">
        <v>1970</v>
      </c>
      <c r="DV233" s="344" t="s">
        <v>1970</v>
      </c>
      <c r="DW233" s="344" t="s">
        <v>1970</v>
      </c>
      <c r="DX233" s="344" t="s">
        <v>1970</v>
      </c>
      <c r="DY233" s="344" t="s">
        <v>1970</v>
      </c>
      <c r="DZ233" s="344" t="s">
        <v>1970</v>
      </c>
      <c r="EA233" s="344" t="s">
        <v>1970</v>
      </c>
      <c r="EB233" s="344" t="s">
        <v>1970</v>
      </c>
      <c r="EC233" s="344" t="s">
        <v>1970</v>
      </c>
      <c r="ED233" s="344" t="s">
        <v>1970</v>
      </c>
      <c r="EE233" s="344" t="s">
        <v>1970</v>
      </c>
      <c r="EF233" s="344" t="s">
        <v>1970</v>
      </c>
      <c r="EG233" s="344" t="s">
        <v>1970</v>
      </c>
      <c r="EH233" s="344" t="s">
        <v>1970</v>
      </c>
      <c r="EI233" s="344" t="s">
        <v>1970</v>
      </c>
      <c r="EJ233" s="344" t="s">
        <v>1970</v>
      </c>
      <c r="EK233" s="344" t="s">
        <v>1970</v>
      </c>
      <c r="EL233" s="344" t="s">
        <v>1970</v>
      </c>
      <c r="EM233" s="344" t="s">
        <v>1970</v>
      </c>
      <c r="EN233" s="344" t="s">
        <v>1970</v>
      </c>
      <c r="EO233" s="344" t="s">
        <v>1970</v>
      </c>
      <c r="EP233" s="344" t="s">
        <v>1970</v>
      </c>
      <c r="EQ233" s="344" t="s">
        <v>1970</v>
      </c>
      <c r="ER233" s="344" t="s">
        <v>1970</v>
      </c>
      <c r="ES233" s="344" t="s">
        <v>1970</v>
      </c>
    </row>
    <row r="234" spans="1:215" s="251" customFormat="1" x14ac:dyDescent="0.3">
      <c r="A234" s="251" t="s">
        <v>1167</v>
      </c>
      <c r="B234" s="344" t="s">
        <v>3195</v>
      </c>
      <c r="C234" s="251" t="s">
        <v>3197</v>
      </c>
      <c r="D234" s="251" t="s">
        <v>1170</v>
      </c>
      <c r="E234" s="344" t="s">
        <v>2255</v>
      </c>
      <c r="F234" s="251" t="s">
        <v>1970</v>
      </c>
      <c r="G234" s="344">
        <v>61.25</v>
      </c>
      <c r="H234" s="344">
        <v>58.5</v>
      </c>
      <c r="I234" s="344" t="s">
        <v>3247</v>
      </c>
      <c r="J234" s="344" t="s">
        <v>3249</v>
      </c>
      <c r="K234" s="344" t="s">
        <v>3281</v>
      </c>
      <c r="L234" s="344" t="s">
        <v>3269</v>
      </c>
      <c r="M234" s="344" t="s">
        <v>3282</v>
      </c>
      <c r="N234" s="344" t="s">
        <v>1978</v>
      </c>
      <c r="O234" s="344" t="s">
        <v>1978</v>
      </c>
      <c r="P234" s="344" t="s">
        <v>1978</v>
      </c>
      <c r="Q234" s="344" t="s">
        <v>1978</v>
      </c>
      <c r="R234" s="344" t="s">
        <v>1978</v>
      </c>
      <c r="S234" s="344" t="s">
        <v>1978</v>
      </c>
      <c r="T234" s="251" t="s">
        <v>1168</v>
      </c>
      <c r="U234" s="344" t="s">
        <v>2150</v>
      </c>
      <c r="V234" s="344" t="s">
        <v>1970</v>
      </c>
      <c r="W234" s="344" t="s">
        <v>1970</v>
      </c>
      <c r="X234" s="344">
        <f>'A123'!J242</f>
        <v>22</v>
      </c>
      <c r="Y234" s="344">
        <f>'A123'!K242</f>
        <v>28</v>
      </c>
      <c r="Z234" s="344">
        <f>'A123'!L242</f>
        <v>2.5357142857142856</v>
      </c>
      <c r="AA234" s="344" t="s">
        <v>2165</v>
      </c>
      <c r="AB234" s="344" t="str">
        <f>入學要求!X243</f>
        <v>以下一科選修取得Lv.3︰生物、化學、組合科學、物理、ICT</v>
      </c>
      <c r="AC234" s="344" t="str">
        <f>入學要求!Y243</f>
        <v>/</v>
      </c>
      <c r="AD234" s="251" t="s">
        <v>2255</v>
      </c>
      <c r="AE234" s="344" t="s">
        <v>3251</v>
      </c>
      <c r="AF234" s="344" t="s">
        <v>3252</v>
      </c>
      <c r="AG234" s="344" t="s">
        <v>3281</v>
      </c>
      <c r="AH234" s="344" t="s">
        <v>3269</v>
      </c>
      <c r="AI234" s="344" t="s">
        <v>3282</v>
      </c>
      <c r="AJ234" s="344" t="s">
        <v>3237</v>
      </c>
      <c r="AK234" s="344" t="s">
        <v>3236</v>
      </c>
      <c r="AL234" s="251" t="s">
        <v>1970</v>
      </c>
      <c r="AM234" s="251" t="s">
        <v>1970</v>
      </c>
      <c r="AN234" s="251" t="s">
        <v>1970</v>
      </c>
      <c r="AO234" s="344" t="s">
        <v>1970</v>
      </c>
      <c r="AP234" s="344" t="s">
        <v>3259</v>
      </c>
      <c r="AQ234" s="344" t="s">
        <v>1970</v>
      </c>
      <c r="AR234" s="344" t="s">
        <v>2150</v>
      </c>
      <c r="AS234" s="251" t="s">
        <v>3620</v>
      </c>
      <c r="AT234" s="251" t="s">
        <v>3677</v>
      </c>
      <c r="AU234" s="565">
        <v>44770</v>
      </c>
      <c r="AV234" s="565" t="s">
        <v>2521</v>
      </c>
      <c r="AW234" s="565"/>
      <c r="AX234" s="565"/>
      <c r="AY234" s="565"/>
      <c r="AZ234" s="565"/>
      <c r="BA234" s="565"/>
      <c r="BB234" s="251" t="s">
        <v>1970</v>
      </c>
      <c r="BC234" s="251" t="s">
        <v>1970</v>
      </c>
      <c r="BD234" s="251" t="s">
        <v>1970</v>
      </c>
      <c r="BE234" s="251" t="s">
        <v>1970</v>
      </c>
      <c r="BF234" s="251" t="s">
        <v>1970</v>
      </c>
      <c r="BG234" s="251" t="s">
        <v>1970</v>
      </c>
      <c r="BH234" s="251" t="s">
        <v>1970</v>
      </c>
      <c r="BI234" s="251" t="s">
        <v>1970</v>
      </c>
      <c r="BJ234" s="251" t="s">
        <v>1970</v>
      </c>
      <c r="BK234" s="251" t="s">
        <v>1970</v>
      </c>
      <c r="BL234" s="251" t="s">
        <v>1970</v>
      </c>
      <c r="BM234" s="251" t="s">
        <v>1970</v>
      </c>
      <c r="BN234" s="251" t="s">
        <v>1970</v>
      </c>
      <c r="BO234" s="251" t="s">
        <v>1970</v>
      </c>
      <c r="BP234" s="251" t="s">
        <v>1970</v>
      </c>
      <c r="BQ234" s="251" t="s">
        <v>1970</v>
      </c>
      <c r="BR234" s="344" t="s">
        <v>1970</v>
      </c>
      <c r="BS234" s="344" t="s">
        <v>1970</v>
      </c>
      <c r="BT234" s="344" t="s">
        <v>1970</v>
      </c>
      <c r="BU234" s="344" t="s">
        <v>1970</v>
      </c>
      <c r="BV234" s="344" t="s">
        <v>1970</v>
      </c>
      <c r="BW234" s="344" t="s">
        <v>1970</v>
      </c>
      <c r="BX234" s="344" t="s">
        <v>1970</v>
      </c>
      <c r="BY234" s="344" t="s">
        <v>1970</v>
      </c>
      <c r="BZ234" s="344" t="s">
        <v>1970</v>
      </c>
      <c r="CA234" s="344" t="s">
        <v>1970</v>
      </c>
      <c r="CB234" s="344" t="s">
        <v>1970</v>
      </c>
      <c r="CC234" s="344" t="s">
        <v>1970</v>
      </c>
      <c r="CD234" s="344" t="s">
        <v>1970</v>
      </c>
      <c r="CE234" s="344" t="s">
        <v>1970</v>
      </c>
      <c r="CF234" s="344" t="s">
        <v>1970</v>
      </c>
      <c r="CG234" s="344" t="s">
        <v>1970</v>
      </c>
      <c r="CH234" s="344" t="s">
        <v>1970</v>
      </c>
      <c r="CI234" s="344" t="s">
        <v>1970</v>
      </c>
      <c r="CJ234" s="344" t="s">
        <v>1970</v>
      </c>
      <c r="CK234" s="344" t="s">
        <v>1970</v>
      </c>
      <c r="CL234" s="344" t="s">
        <v>1970</v>
      </c>
      <c r="CM234" s="344" t="s">
        <v>1970</v>
      </c>
      <c r="CN234" s="344" t="s">
        <v>1970</v>
      </c>
      <c r="CO234" s="344" t="s">
        <v>1970</v>
      </c>
      <c r="CP234" s="344" t="s">
        <v>1970</v>
      </c>
      <c r="CQ234" s="344" t="s">
        <v>1970</v>
      </c>
      <c r="CR234" s="344" t="s">
        <v>1970</v>
      </c>
      <c r="CS234" s="344" t="s">
        <v>1970</v>
      </c>
      <c r="CT234" s="344" t="s">
        <v>1970</v>
      </c>
      <c r="CU234" s="344" t="s">
        <v>1970</v>
      </c>
      <c r="CV234" s="344" t="s">
        <v>1970</v>
      </c>
      <c r="CW234" s="344" t="s">
        <v>1970</v>
      </c>
      <c r="CX234" s="344" t="s">
        <v>1970</v>
      </c>
      <c r="CY234" s="344" t="s">
        <v>1970</v>
      </c>
      <c r="CZ234" s="344" t="s">
        <v>1970</v>
      </c>
      <c r="DA234" s="344" t="s">
        <v>1970</v>
      </c>
      <c r="DB234" s="344" t="s">
        <v>1970</v>
      </c>
      <c r="DC234" s="344" t="s">
        <v>1970</v>
      </c>
      <c r="DD234" s="344" t="s">
        <v>1970</v>
      </c>
      <c r="DE234" s="344" t="s">
        <v>1970</v>
      </c>
      <c r="DF234" s="344" t="s">
        <v>1970</v>
      </c>
      <c r="DG234" s="344" t="s">
        <v>1970</v>
      </c>
      <c r="DH234" s="344" t="s">
        <v>1970</v>
      </c>
      <c r="DI234" s="344" t="s">
        <v>1970</v>
      </c>
      <c r="DJ234" s="344" t="s">
        <v>1970</v>
      </c>
      <c r="DK234" s="344" t="s">
        <v>1970</v>
      </c>
      <c r="DL234" s="344" t="s">
        <v>1970</v>
      </c>
      <c r="DM234" s="344" t="s">
        <v>1970</v>
      </c>
      <c r="DN234" s="344" t="s">
        <v>1970</v>
      </c>
      <c r="DO234" s="344" t="s">
        <v>1970</v>
      </c>
      <c r="DP234" s="344" t="s">
        <v>1970</v>
      </c>
      <c r="DQ234" s="344" t="s">
        <v>1970</v>
      </c>
      <c r="DR234" s="344" t="s">
        <v>1970</v>
      </c>
      <c r="DS234" s="344" t="s">
        <v>1970</v>
      </c>
      <c r="DT234" s="344" t="s">
        <v>1970</v>
      </c>
      <c r="DU234" s="344" t="s">
        <v>1970</v>
      </c>
      <c r="DV234" s="344" t="s">
        <v>1970</v>
      </c>
      <c r="DW234" s="344" t="s">
        <v>1970</v>
      </c>
      <c r="DX234" s="344" t="s">
        <v>1970</v>
      </c>
      <c r="DY234" s="344" t="s">
        <v>1970</v>
      </c>
      <c r="DZ234" s="344" t="s">
        <v>1970</v>
      </c>
      <c r="EA234" s="344" t="s">
        <v>1970</v>
      </c>
      <c r="EB234" s="344" t="s">
        <v>1970</v>
      </c>
      <c r="EC234" s="344" t="s">
        <v>1970</v>
      </c>
      <c r="ED234" s="344" t="s">
        <v>1970</v>
      </c>
      <c r="EE234" s="344" t="s">
        <v>1970</v>
      </c>
      <c r="EF234" s="344" t="s">
        <v>1970</v>
      </c>
      <c r="EG234" s="344" t="s">
        <v>1970</v>
      </c>
      <c r="EH234" s="344" t="s">
        <v>1970</v>
      </c>
      <c r="EI234" s="344" t="s">
        <v>1970</v>
      </c>
      <c r="EJ234" s="344" t="s">
        <v>1970</v>
      </c>
      <c r="EK234" s="344" t="s">
        <v>1970</v>
      </c>
      <c r="EL234" s="344" t="s">
        <v>1970</v>
      </c>
      <c r="EM234" s="344" t="s">
        <v>1970</v>
      </c>
      <c r="EN234" s="344" t="s">
        <v>1970</v>
      </c>
      <c r="EO234" s="344" t="s">
        <v>1970</v>
      </c>
      <c r="EP234" s="344" t="s">
        <v>1970</v>
      </c>
      <c r="EQ234" s="344" t="s">
        <v>1970</v>
      </c>
      <c r="ER234" s="344" t="s">
        <v>1970</v>
      </c>
      <c r="ES234" s="344" t="s">
        <v>1970</v>
      </c>
    </row>
    <row r="235" spans="1:215" s="344" customFormat="1" x14ac:dyDescent="0.3">
      <c r="X235" s="344">
        <f>'A123'!J243</f>
        <v>0</v>
      </c>
      <c r="Y235" s="344">
        <f>'A123'!K243</f>
        <v>0</v>
      </c>
      <c r="Z235" s="344">
        <f>'A123'!L243</f>
        <v>0</v>
      </c>
    </row>
    <row r="236" spans="1:215" x14ac:dyDescent="0.3">
      <c r="N236" s="344" t="s">
        <v>1978</v>
      </c>
      <c r="O236" s="344" t="s">
        <v>1978</v>
      </c>
      <c r="P236" s="344" t="s">
        <v>1978</v>
      </c>
      <c r="Q236" s="344" t="s">
        <v>1978</v>
      </c>
      <c r="R236" s="344" t="s">
        <v>1978</v>
      </c>
      <c r="S236" s="344" t="s">
        <v>1978</v>
      </c>
      <c r="X236" s="344">
        <f>'A123'!J244</f>
        <v>0</v>
      </c>
      <c r="Y236" s="344">
        <f>'A123'!K244</f>
        <v>0</v>
      </c>
      <c r="Z236" s="344">
        <f>'A123'!L244</f>
        <v>0</v>
      </c>
      <c r="BB236" s="344" t="s">
        <v>1970</v>
      </c>
      <c r="BC236" s="344" t="s">
        <v>1970</v>
      </c>
      <c r="BD236" s="344" t="s">
        <v>1970</v>
      </c>
      <c r="BE236" s="344" t="s">
        <v>1970</v>
      </c>
      <c r="BF236" s="344" t="s">
        <v>1970</v>
      </c>
      <c r="BG236" s="344" t="s">
        <v>1970</v>
      </c>
      <c r="BH236" s="344" t="s">
        <v>1970</v>
      </c>
      <c r="BI236" s="344" t="s">
        <v>1970</v>
      </c>
      <c r="BJ236" s="344" t="s">
        <v>1970</v>
      </c>
      <c r="BK236" s="344" t="s">
        <v>1970</v>
      </c>
      <c r="BL236" s="344" t="s">
        <v>1970</v>
      </c>
      <c r="BM236" s="344" t="s">
        <v>1970</v>
      </c>
      <c r="BN236" s="344" t="s">
        <v>1970</v>
      </c>
      <c r="BO236" s="344" t="s">
        <v>1970</v>
      </c>
      <c r="BP236" s="344" t="s">
        <v>1970</v>
      </c>
      <c r="BQ236" s="344" t="s">
        <v>1970</v>
      </c>
      <c r="BR236" s="344" t="s">
        <v>1970</v>
      </c>
      <c r="BS236" s="344" t="s">
        <v>1970</v>
      </c>
      <c r="BT236" s="344" t="s">
        <v>1970</v>
      </c>
      <c r="BU236" s="344" t="s">
        <v>1970</v>
      </c>
      <c r="BV236" s="344" t="s">
        <v>1970</v>
      </c>
      <c r="BW236" s="344" t="s">
        <v>1970</v>
      </c>
      <c r="BX236" s="344" t="s">
        <v>1970</v>
      </c>
      <c r="BY236" s="344" t="s">
        <v>1970</v>
      </c>
      <c r="BZ236" s="344" t="s">
        <v>1970</v>
      </c>
      <c r="CA236" s="344" t="s">
        <v>1970</v>
      </c>
      <c r="CB236" s="344" t="s">
        <v>1970</v>
      </c>
      <c r="CC236" s="344" t="s">
        <v>1970</v>
      </c>
      <c r="CD236" s="344" t="s">
        <v>1970</v>
      </c>
      <c r="CE236" s="344" t="s">
        <v>1970</v>
      </c>
      <c r="CF236" s="344" t="s">
        <v>1970</v>
      </c>
      <c r="CG236" s="344" t="s">
        <v>1970</v>
      </c>
      <c r="CH236" s="344" t="s">
        <v>1970</v>
      </c>
      <c r="CI236" s="344" t="s">
        <v>1970</v>
      </c>
      <c r="CJ236" s="344" t="s">
        <v>1970</v>
      </c>
      <c r="CK236" s="344" t="s">
        <v>1970</v>
      </c>
      <c r="CL236" s="344" t="s">
        <v>1970</v>
      </c>
      <c r="CM236" s="344" t="s">
        <v>1970</v>
      </c>
      <c r="CN236" s="344" t="s">
        <v>1970</v>
      </c>
      <c r="CO236" s="344" t="s">
        <v>1970</v>
      </c>
      <c r="CP236" s="344" t="s">
        <v>1970</v>
      </c>
      <c r="CQ236" s="344" t="s">
        <v>1970</v>
      </c>
      <c r="CR236" s="344" t="s">
        <v>1970</v>
      </c>
      <c r="CS236" s="344" t="s">
        <v>1970</v>
      </c>
      <c r="CT236" s="344" t="s">
        <v>1970</v>
      </c>
      <c r="CU236" s="344" t="s">
        <v>1970</v>
      </c>
      <c r="CV236" s="344" t="s">
        <v>1970</v>
      </c>
      <c r="CW236" s="344" t="s">
        <v>1970</v>
      </c>
      <c r="CX236" s="344" t="s">
        <v>1970</v>
      </c>
      <c r="CY236" s="344" t="s">
        <v>1970</v>
      </c>
      <c r="CZ236" s="344" t="s">
        <v>1970</v>
      </c>
      <c r="DA236" s="344" t="s">
        <v>1970</v>
      </c>
      <c r="DB236" s="344" t="s">
        <v>1970</v>
      </c>
      <c r="DC236" s="344" t="s">
        <v>1970</v>
      </c>
      <c r="DD236" s="344" t="s">
        <v>1970</v>
      </c>
      <c r="DE236" s="344" t="s">
        <v>1970</v>
      </c>
      <c r="DF236" s="344" t="s">
        <v>1970</v>
      </c>
      <c r="DG236" s="344" t="s">
        <v>1970</v>
      </c>
      <c r="DH236" s="344" t="s">
        <v>1970</v>
      </c>
      <c r="DI236" s="344" t="s">
        <v>1970</v>
      </c>
      <c r="DJ236" s="344" t="s">
        <v>1970</v>
      </c>
      <c r="DK236" s="344" t="s">
        <v>1970</v>
      </c>
      <c r="DL236" s="344" t="s">
        <v>1970</v>
      </c>
      <c r="DM236" s="344" t="s">
        <v>1970</v>
      </c>
      <c r="DN236" s="344" t="s">
        <v>1970</v>
      </c>
      <c r="DO236" s="344" t="s">
        <v>1970</v>
      </c>
      <c r="DP236" s="344" t="s">
        <v>1970</v>
      </c>
      <c r="DQ236" s="344" t="s">
        <v>1970</v>
      </c>
      <c r="DR236" s="344" t="s">
        <v>1970</v>
      </c>
      <c r="DS236" s="344" t="s">
        <v>1970</v>
      </c>
      <c r="DT236" s="344" t="s">
        <v>1970</v>
      </c>
      <c r="DU236" s="344" t="s">
        <v>1970</v>
      </c>
      <c r="DV236" s="344" t="s">
        <v>1970</v>
      </c>
      <c r="DW236" s="344" t="s">
        <v>1970</v>
      </c>
      <c r="DX236" s="344" t="s">
        <v>1970</v>
      </c>
      <c r="DY236" s="344" t="s">
        <v>1970</v>
      </c>
      <c r="DZ236" s="344" t="s">
        <v>1970</v>
      </c>
      <c r="EA236" s="344" t="s">
        <v>1970</v>
      </c>
      <c r="EB236" s="344" t="s">
        <v>1970</v>
      </c>
      <c r="EC236" s="344" t="s">
        <v>1970</v>
      </c>
      <c r="ED236" s="344" t="s">
        <v>1970</v>
      </c>
      <c r="EE236" s="344" t="s">
        <v>1970</v>
      </c>
      <c r="EF236" s="344" t="s">
        <v>1970</v>
      </c>
      <c r="EG236" s="344" t="s">
        <v>1970</v>
      </c>
      <c r="EH236" s="344" t="s">
        <v>1970</v>
      </c>
      <c r="EI236" s="344" t="s">
        <v>1970</v>
      </c>
      <c r="EJ236" s="344" t="s">
        <v>1970</v>
      </c>
      <c r="EK236" s="344" t="s">
        <v>1970</v>
      </c>
      <c r="EL236" s="344" t="s">
        <v>1970</v>
      </c>
      <c r="EM236" s="344" t="s">
        <v>1970</v>
      </c>
      <c r="EN236" s="344" t="s">
        <v>1970</v>
      </c>
      <c r="EO236" s="344" t="s">
        <v>1970</v>
      </c>
      <c r="EP236" s="344" t="s">
        <v>1970</v>
      </c>
      <c r="EQ236" s="344" t="s">
        <v>1970</v>
      </c>
      <c r="ER236" s="344" t="s">
        <v>1970</v>
      </c>
      <c r="ES236" s="344" t="s">
        <v>1970</v>
      </c>
      <c r="ET236" s="344"/>
      <c r="EU236" s="344"/>
      <c r="EV236" s="344"/>
      <c r="EW236" s="344"/>
      <c r="EX236" s="344"/>
      <c r="EY236" s="344"/>
      <c r="EZ236" s="344"/>
      <c r="FA236" s="344"/>
      <c r="FB236" s="344"/>
      <c r="FC236" s="344"/>
      <c r="FD236" s="344"/>
      <c r="FE236" s="344"/>
      <c r="FF236" s="344"/>
      <c r="FG236" s="344"/>
      <c r="FH236" s="344"/>
      <c r="FI236" s="344"/>
      <c r="FJ236" s="344"/>
      <c r="FK236" s="344"/>
      <c r="FL236" s="344"/>
      <c r="FM236" s="344"/>
      <c r="FN236" s="344"/>
      <c r="FO236" s="344"/>
      <c r="FP236" s="344"/>
      <c r="FQ236" s="344"/>
      <c r="FR236" s="344"/>
      <c r="FS236" s="344"/>
      <c r="FT236" s="344"/>
      <c r="FU236" s="344"/>
      <c r="FV236" s="344"/>
      <c r="FW236" s="344"/>
      <c r="FX236" s="344"/>
      <c r="FY236" s="344"/>
      <c r="FZ236" s="344"/>
      <c r="GA236" s="344"/>
      <c r="GB236" s="344"/>
      <c r="GC236" s="344"/>
      <c r="GD236" s="344"/>
      <c r="GE236" s="344"/>
      <c r="GF236" s="344"/>
      <c r="GG236" s="344"/>
      <c r="GH236" s="344"/>
      <c r="GI236" s="344"/>
      <c r="GJ236" s="344"/>
      <c r="GK236" s="344"/>
      <c r="GL236" s="344"/>
      <c r="GM236" s="344"/>
      <c r="GN236" s="344"/>
      <c r="GO236" s="344"/>
      <c r="GP236" s="344"/>
      <c r="GQ236" s="344"/>
      <c r="GR236" s="344"/>
      <c r="GS236" s="344"/>
      <c r="GT236" s="344"/>
      <c r="GU236" s="344"/>
      <c r="GV236" s="344"/>
      <c r="GW236" s="344"/>
      <c r="GX236" s="344"/>
      <c r="GY236" s="344"/>
      <c r="GZ236" s="344"/>
      <c r="HA236" s="344"/>
      <c r="HB236" s="344"/>
      <c r="HC236" s="344"/>
      <c r="HD236" s="344"/>
      <c r="HE236" s="344"/>
      <c r="HF236" s="344"/>
      <c r="HG236" s="344"/>
    </row>
    <row r="237" spans="1:215" ht="13.95" customHeight="1" x14ac:dyDescent="0.3">
      <c r="A237" s="2" t="s">
        <v>1173</v>
      </c>
      <c r="B237" s="2" t="s">
        <v>1172</v>
      </c>
      <c r="C237" s="2" t="s">
        <v>2164</v>
      </c>
      <c r="D237" s="2" t="s">
        <v>1176</v>
      </c>
      <c r="E237" s="2" t="s">
        <v>1979</v>
      </c>
      <c r="F237" s="2">
        <v>38</v>
      </c>
      <c r="G237" s="2">
        <v>36</v>
      </c>
      <c r="H237" s="2">
        <v>33</v>
      </c>
      <c r="I237" s="344" t="s">
        <v>2166</v>
      </c>
      <c r="J237" s="2" t="s">
        <v>1970</v>
      </c>
      <c r="K237" s="2" t="s">
        <v>1970</v>
      </c>
      <c r="L237" s="2" t="s">
        <v>1970</v>
      </c>
      <c r="M237" s="2" t="s">
        <v>1970</v>
      </c>
      <c r="N237" s="344" t="s">
        <v>1978</v>
      </c>
      <c r="O237" s="344" t="s">
        <v>1978</v>
      </c>
      <c r="P237" s="344" t="s">
        <v>1978</v>
      </c>
      <c r="Q237" s="344" t="s">
        <v>1978</v>
      </c>
      <c r="R237" s="344" t="s">
        <v>1978</v>
      </c>
      <c r="S237" s="344" t="s">
        <v>1978</v>
      </c>
      <c r="T237" s="344" t="s">
        <v>1174</v>
      </c>
      <c r="U237" s="2" t="s">
        <v>2165</v>
      </c>
      <c r="V237" s="344" t="s">
        <v>1970</v>
      </c>
      <c r="W237" s="344" t="s">
        <v>1970</v>
      </c>
      <c r="X237" s="344">
        <f>'A123'!J245</f>
        <v>54</v>
      </c>
      <c r="Y237" s="344">
        <f>'A123'!K245</f>
        <v>38</v>
      </c>
      <c r="Z237" s="344">
        <f>'A123'!L245</f>
        <v>3.5</v>
      </c>
      <c r="AA237" s="2" t="s">
        <v>2165</v>
      </c>
      <c r="AB237" s="2" t="str">
        <f>入學要求!X246</f>
        <v>申請人須參與 能力傾向測試(Aptitude Test)</v>
      </c>
      <c r="AC237" s="344" t="str">
        <f>入學要求!Y246</f>
        <v>詳情可細閱課程網站，受邀申請人亦會於電郵收到相應指示。</v>
      </c>
      <c r="AD237" s="2" t="s">
        <v>1979</v>
      </c>
      <c r="AE237" s="2" t="s">
        <v>2173</v>
      </c>
      <c r="AF237" s="2" t="s">
        <v>1970</v>
      </c>
      <c r="AG237" s="2" t="s">
        <v>1970</v>
      </c>
      <c r="AH237" s="2" t="s">
        <v>1970</v>
      </c>
      <c r="AI237" s="344" t="s">
        <v>1970</v>
      </c>
      <c r="AJ237" s="2" t="s">
        <v>2152</v>
      </c>
      <c r="AK237" s="2" t="s">
        <v>2168</v>
      </c>
      <c r="AL237" s="2" t="s">
        <v>1978</v>
      </c>
      <c r="AM237" s="182" t="s">
        <v>2169</v>
      </c>
      <c r="AN237" s="2" t="s">
        <v>1978</v>
      </c>
      <c r="AO237" s="2" t="s">
        <v>3384</v>
      </c>
      <c r="AP237" s="251" t="s">
        <v>2619</v>
      </c>
      <c r="AQ237" s="344" t="s">
        <v>1970</v>
      </c>
      <c r="AR237" s="344" t="s">
        <v>2150</v>
      </c>
      <c r="AS237" s="2" t="s">
        <v>3620</v>
      </c>
      <c r="AT237" s="2" t="s">
        <v>3678</v>
      </c>
      <c r="AU237" s="2" t="s">
        <v>3636</v>
      </c>
      <c r="AV237" s="344" t="s">
        <v>2596</v>
      </c>
      <c r="BB237" s="344" t="s">
        <v>1970</v>
      </c>
      <c r="BC237" s="344" t="s">
        <v>1970</v>
      </c>
      <c r="BD237" s="344" t="s">
        <v>1970</v>
      </c>
      <c r="BE237" s="344" t="s">
        <v>1970</v>
      </c>
      <c r="BF237" s="344" t="s">
        <v>1970</v>
      </c>
      <c r="BG237" s="344" t="s">
        <v>1970</v>
      </c>
      <c r="BH237" s="344" t="s">
        <v>1970</v>
      </c>
      <c r="BI237" s="344" t="s">
        <v>1970</v>
      </c>
      <c r="BJ237" s="344" t="s">
        <v>1970</v>
      </c>
      <c r="BK237" s="344" t="s">
        <v>1970</v>
      </c>
      <c r="BL237" s="344" t="s">
        <v>1970</v>
      </c>
      <c r="BM237" s="344" t="s">
        <v>1970</v>
      </c>
      <c r="BN237" s="344" t="s">
        <v>1970</v>
      </c>
      <c r="BO237" s="344" t="s">
        <v>1970</v>
      </c>
      <c r="BP237" s="344" t="s">
        <v>1970</v>
      </c>
      <c r="BQ237" s="344" t="s">
        <v>1970</v>
      </c>
      <c r="BR237" s="344" t="s">
        <v>1970</v>
      </c>
      <c r="BS237" s="344" t="s">
        <v>1970</v>
      </c>
      <c r="BT237" s="344" t="s">
        <v>1970</v>
      </c>
      <c r="BU237" s="344" t="s">
        <v>1970</v>
      </c>
      <c r="BV237" s="344" t="s">
        <v>1970</v>
      </c>
      <c r="BW237" s="344" t="s">
        <v>1970</v>
      </c>
      <c r="BX237" s="344" t="s">
        <v>1970</v>
      </c>
      <c r="BY237" s="344" t="s">
        <v>1970</v>
      </c>
      <c r="BZ237" s="344" t="s">
        <v>1970</v>
      </c>
      <c r="CA237" s="344" t="s">
        <v>1970</v>
      </c>
      <c r="CB237" s="344" t="s">
        <v>1970</v>
      </c>
      <c r="CC237" s="344" t="s">
        <v>1970</v>
      </c>
      <c r="CD237" s="344" t="s">
        <v>1970</v>
      </c>
      <c r="CE237" s="344" t="s">
        <v>1970</v>
      </c>
      <c r="CF237" s="344" t="s">
        <v>1970</v>
      </c>
      <c r="CG237" s="344" t="s">
        <v>1970</v>
      </c>
      <c r="CH237" s="344" t="s">
        <v>1970</v>
      </c>
      <c r="CI237" s="344" t="s">
        <v>1970</v>
      </c>
      <c r="CJ237" s="344" t="s">
        <v>1970</v>
      </c>
      <c r="CK237" s="344" t="s">
        <v>1970</v>
      </c>
      <c r="CL237" s="344" t="s">
        <v>1970</v>
      </c>
      <c r="CM237" s="344" t="s">
        <v>1970</v>
      </c>
      <c r="CN237" s="344" t="s">
        <v>1970</v>
      </c>
      <c r="CO237" s="344" t="s">
        <v>1970</v>
      </c>
      <c r="CP237" s="344" t="s">
        <v>1970</v>
      </c>
      <c r="CQ237" s="344" t="s">
        <v>1970</v>
      </c>
      <c r="CR237" s="344" t="s">
        <v>1970</v>
      </c>
      <c r="CS237" s="344" t="s">
        <v>1970</v>
      </c>
      <c r="CT237" s="344" t="s">
        <v>1970</v>
      </c>
      <c r="CU237" s="344" t="s">
        <v>1970</v>
      </c>
      <c r="CV237" s="344" t="s">
        <v>1970</v>
      </c>
      <c r="CW237" s="344" t="s">
        <v>1970</v>
      </c>
      <c r="CX237" s="344" t="s">
        <v>1970</v>
      </c>
      <c r="CY237" s="344" t="s">
        <v>1970</v>
      </c>
      <c r="CZ237" s="344" t="s">
        <v>1970</v>
      </c>
      <c r="DA237" s="344" t="s">
        <v>1970</v>
      </c>
      <c r="DB237" s="344" t="s">
        <v>1970</v>
      </c>
      <c r="DC237" s="344" t="s">
        <v>1970</v>
      </c>
      <c r="DD237" s="344" t="s">
        <v>1970</v>
      </c>
      <c r="DE237" s="344" t="s">
        <v>1970</v>
      </c>
      <c r="DF237" s="344" t="s">
        <v>1970</v>
      </c>
      <c r="DG237" s="344" t="s">
        <v>1970</v>
      </c>
      <c r="DH237" s="344" t="s">
        <v>1970</v>
      </c>
      <c r="DI237" s="344" t="s">
        <v>1970</v>
      </c>
      <c r="DJ237" s="344" t="s">
        <v>1970</v>
      </c>
      <c r="DK237" s="344" t="s">
        <v>1970</v>
      </c>
      <c r="DL237" s="344" t="s">
        <v>1970</v>
      </c>
      <c r="DM237" s="344" t="s">
        <v>1970</v>
      </c>
      <c r="DN237" s="344" t="s">
        <v>1970</v>
      </c>
      <c r="DO237" s="344" t="s">
        <v>1970</v>
      </c>
      <c r="DP237" s="344" t="s">
        <v>1970</v>
      </c>
      <c r="DQ237" s="344" t="s">
        <v>1970</v>
      </c>
      <c r="DR237" s="344" t="s">
        <v>1970</v>
      </c>
      <c r="DS237" s="344" t="s">
        <v>1970</v>
      </c>
      <c r="DT237" s="344" t="s">
        <v>1970</v>
      </c>
      <c r="DU237" s="344" t="s">
        <v>1970</v>
      </c>
      <c r="DV237" s="344" t="s">
        <v>1970</v>
      </c>
      <c r="DW237" s="344" t="s">
        <v>1970</v>
      </c>
      <c r="DX237" s="344" t="s">
        <v>1970</v>
      </c>
      <c r="DY237" s="344" t="s">
        <v>1970</v>
      </c>
      <c r="DZ237" s="344" t="s">
        <v>1970</v>
      </c>
      <c r="EA237" s="344" t="s">
        <v>1970</v>
      </c>
      <c r="EB237" s="344" t="s">
        <v>1970</v>
      </c>
      <c r="EC237" s="344" t="s">
        <v>1970</v>
      </c>
      <c r="ED237" s="344" t="s">
        <v>1970</v>
      </c>
      <c r="EE237" s="344" t="s">
        <v>1970</v>
      </c>
      <c r="EF237" s="344" t="s">
        <v>1970</v>
      </c>
      <c r="EG237" s="344" t="s">
        <v>1970</v>
      </c>
      <c r="EH237" s="344" t="s">
        <v>1970</v>
      </c>
      <c r="EI237" s="344" t="s">
        <v>1970</v>
      </c>
      <c r="EJ237" s="344" t="s">
        <v>1970</v>
      </c>
      <c r="EK237" s="344" t="s">
        <v>1970</v>
      </c>
      <c r="EL237" s="344" t="s">
        <v>1970</v>
      </c>
      <c r="EM237" s="344" t="s">
        <v>1970</v>
      </c>
      <c r="EN237" s="344" t="s">
        <v>1970</v>
      </c>
      <c r="EO237" s="344" t="s">
        <v>1970</v>
      </c>
      <c r="EP237" s="344" t="s">
        <v>1970</v>
      </c>
      <c r="EQ237" s="344" t="s">
        <v>1970</v>
      </c>
      <c r="ER237" s="344" t="s">
        <v>1970</v>
      </c>
      <c r="ES237" s="344" t="s">
        <v>1970</v>
      </c>
      <c r="ET237" s="344"/>
      <c r="EU237" s="344"/>
      <c r="EV237" s="344"/>
      <c r="EW237" s="344"/>
      <c r="EX237" s="344"/>
      <c r="EY237" s="344"/>
      <c r="EZ237" s="344"/>
      <c r="FA237" s="344"/>
      <c r="FB237" s="344"/>
      <c r="FC237" s="344"/>
      <c r="FD237" s="344"/>
      <c r="FE237" s="344"/>
      <c r="FF237" s="344"/>
      <c r="FG237" s="344"/>
      <c r="FH237" s="344"/>
      <c r="FI237" s="344"/>
      <c r="FJ237" s="344"/>
      <c r="FK237" s="344"/>
      <c r="FL237" s="344"/>
      <c r="FM237" s="344"/>
      <c r="FN237" s="344"/>
      <c r="FO237" s="344"/>
      <c r="FP237" s="344"/>
      <c r="FQ237" s="344"/>
      <c r="FR237" s="344"/>
      <c r="FS237" s="344"/>
      <c r="FT237" s="344"/>
      <c r="FU237" s="344"/>
      <c r="FV237" s="344"/>
      <c r="FW237" s="344"/>
      <c r="FX237" s="344"/>
      <c r="FY237" s="344"/>
      <c r="FZ237" s="344"/>
      <c r="GA237" s="344"/>
      <c r="GB237" s="344"/>
      <c r="GC237" s="344"/>
      <c r="GD237" s="344"/>
      <c r="GE237" s="344"/>
      <c r="GF237" s="344"/>
      <c r="GG237" s="344"/>
      <c r="GH237" s="344"/>
      <c r="GI237" s="344"/>
      <c r="GJ237" s="344"/>
      <c r="GK237" s="344"/>
      <c r="GL237" s="344"/>
      <c r="GM237" s="344"/>
      <c r="GN237" s="344"/>
      <c r="GO237" s="344"/>
      <c r="GP237" s="344"/>
      <c r="GQ237" s="344"/>
      <c r="GR237" s="344"/>
      <c r="GS237" s="344"/>
      <c r="GT237" s="344"/>
      <c r="GU237" s="344"/>
      <c r="GV237" s="344"/>
      <c r="GW237" s="344"/>
      <c r="GX237" s="344"/>
      <c r="GY237" s="344"/>
      <c r="GZ237" s="344"/>
      <c r="HA237" s="344"/>
      <c r="HB237" s="344"/>
      <c r="HC237" s="344"/>
      <c r="HD237" s="344"/>
      <c r="HE237" s="344"/>
      <c r="HF237" s="344"/>
      <c r="HG237" s="344"/>
    </row>
    <row r="238" spans="1:215" ht="13.95" customHeight="1" x14ac:dyDescent="0.3">
      <c r="A238" s="2" t="s">
        <v>1177</v>
      </c>
      <c r="B238" s="2" t="s">
        <v>1172</v>
      </c>
      <c r="C238" s="2" t="s">
        <v>2164</v>
      </c>
      <c r="D238" s="2" t="s">
        <v>1180</v>
      </c>
      <c r="E238" s="2" t="s">
        <v>1977</v>
      </c>
      <c r="F238" s="2">
        <v>31</v>
      </c>
      <c r="G238" s="2">
        <v>29</v>
      </c>
      <c r="H238" s="2">
        <v>28</v>
      </c>
      <c r="I238" s="344" t="s">
        <v>2172</v>
      </c>
      <c r="J238" s="2" t="s">
        <v>1970</v>
      </c>
      <c r="K238" s="2" t="s">
        <v>1970</v>
      </c>
      <c r="L238" s="2" t="s">
        <v>1970</v>
      </c>
      <c r="M238" s="2" t="s">
        <v>1970</v>
      </c>
      <c r="N238" s="344" t="s">
        <v>1978</v>
      </c>
      <c r="O238" s="344" t="s">
        <v>1978</v>
      </c>
      <c r="P238" s="344" t="s">
        <v>1978</v>
      </c>
      <c r="Q238" s="344" t="s">
        <v>1978</v>
      </c>
      <c r="R238" s="344" t="s">
        <v>1978</v>
      </c>
      <c r="S238" s="344" t="s">
        <v>1978</v>
      </c>
      <c r="T238" s="344" t="s">
        <v>2170</v>
      </c>
      <c r="U238" s="2" t="s">
        <v>2165</v>
      </c>
      <c r="V238" s="344" t="s">
        <v>1970</v>
      </c>
      <c r="W238" s="344" t="s">
        <v>1970</v>
      </c>
      <c r="X238" s="344">
        <f>'A123'!J246</f>
        <v>42</v>
      </c>
      <c r="Y238" s="344">
        <f>'A123'!K246</f>
        <v>69</v>
      </c>
      <c r="Z238" s="344">
        <f>'A123'!L246</f>
        <v>2.1449275362318843</v>
      </c>
      <c r="AA238" s="2" t="s">
        <v>2165</v>
      </c>
      <c r="AB238" s="344" t="str">
        <f>入學要求!X247</f>
        <v>/</v>
      </c>
      <c r="AC238" s="344" t="str">
        <f>入學要求!Y247</f>
        <v>/</v>
      </c>
      <c r="AD238" s="2" t="s">
        <v>1977</v>
      </c>
      <c r="AE238" s="2" t="s">
        <v>2173</v>
      </c>
      <c r="AF238" s="2" t="s">
        <v>1970</v>
      </c>
      <c r="AG238" s="2" t="s">
        <v>1970</v>
      </c>
      <c r="AH238" s="2" t="s">
        <v>1970</v>
      </c>
      <c r="AI238" s="344" t="s">
        <v>1970</v>
      </c>
      <c r="AJ238" s="2" t="s">
        <v>2174</v>
      </c>
      <c r="AK238" s="2" t="s">
        <v>2175</v>
      </c>
      <c r="AL238" s="2" t="s">
        <v>1978</v>
      </c>
      <c r="AM238" s="2" t="s">
        <v>1978</v>
      </c>
      <c r="AN238" s="2" t="s">
        <v>1978</v>
      </c>
      <c r="AO238" s="344" t="s">
        <v>3384</v>
      </c>
      <c r="AP238" s="251" t="s">
        <v>3378</v>
      </c>
      <c r="AQ238" s="344" t="s">
        <v>1970</v>
      </c>
      <c r="AR238" s="344" t="s">
        <v>2150</v>
      </c>
      <c r="AS238" s="2" t="s">
        <v>3608</v>
      </c>
      <c r="AT238" s="2" t="s">
        <v>1970</v>
      </c>
      <c r="AU238" s="2" t="s">
        <v>1970</v>
      </c>
      <c r="AV238" s="344" t="s">
        <v>2596</v>
      </c>
      <c r="BB238" s="344" t="s">
        <v>1970</v>
      </c>
      <c r="BC238" s="344" t="s">
        <v>1970</v>
      </c>
      <c r="BD238" s="344" t="s">
        <v>1970</v>
      </c>
      <c r="BE238" s="344" t="s">
        <v>1970</v>
      </c>
      <c r="BF238" s="344" t="s">
        <v>1970</v>
      </c>
      <c r="BG238" s="344" t="s">
        <v>1970</v>
      </c>
      <c r="BH238" s="344" t="s">
        <v>1970</v>
      </c>
      <c r="BI238" s="344" t="s">
        <v>1970</v>
      </c>
      <c r="BJ238" s="344" t="s">
        <v>1970</v>
      </c>
      <c r="BK238" s="344" t="s">
        <v>1970</v>
      </c>
      <c r="BL238" s="344" t="s">
        <v>1970</v>
      </c>
      <c r="BM238" s="344" t="s">
        <v>1970</v>
      </c>
      <c r="BN238" s="344" t="s">
        <v>1970</v>
      </c>
      <c r="BO238" s="344" t="s">
        <v>1970</v>
      </c>
      <c r="BP238" s="344" t="s">
        <v>1970</v>
      </c>
      <c r="BQ238" s="344" t="s">
        <v>1970</v>
      </c>
      <c r="BR238" s="344" t="s">
        <v>1970</v>
      </c>
      <c r="BS238" s="344" t="s">
        <v>1970</v>
      </c>
      <c r="BT238" s="344" t="s">
        <v>1970</v>
      </c>
      <c r="BU238" s="344" t="s">
        <v>1970</v>
      </c>
      <c r="BV238" s="344" t="s">
        <v>1970</v>
      </c>
      <c r="BW238" s="344" t="s">
        <v>1970</v>
      </c>
      <c r="BX238" s="344" t="s">
        <v>1970</v>
      </c>
      <c r="BY238" s="344" t="s">
        <v>1970</v>
      </c>
      <c r="BZ238" s="344" t="s">
        <v>1970</v>
      </c>
      <c r="CA238" s="344" t="s">
        <v>1970</v>
      </c>
      <c r="CB238" s="344" t="s">
        <v>1970</v>
      </c>
      <c r="CC238" s="344" t="s">
        <v>1970</v>
      </c>
      <c r="CD238" s="344" t="s">
        <v>1970</v>
      </c>
      <c r="CE238" s="344" t="s">
        <v>1970</v>
      </c>
      <c r="CF238" s="344" t="s">
        <v>1970</v>
      </c>
      <c r="CG238" s="344" t="s">
        <v>1970</v>
      </c>
      <c r="CH238" s="344" t="s">
        <v>1970</v>
      </c>
      <c r="CI238" s="344" t="s">
        <v>1970</v>
      </c>
      <c r="CJ238" s="344" t="s">
        <v>1970</v>
      </c>
      <c r="CK238" s="344" t="s">
        <v>1970</v>
      </c>
      <c r="CL238" s="344" t="s">
        <v>1970</v>
      </c>
      <c r="CM238" s="344" t="s">
        <v>1970</v>
      </c>
      <c r="CN238" s="344" t="s">
        <v>1970</v>
      </c>
      <c r="CO238" s="344" t="s">
        <v>1970</v>
      </c>
      <c r="CP238" s="344" t="s">
        <v>1970</v>
      </c>
      <c r="CQ238" s="344" t="s">
        <v>1970</v>
      </c>
      <c r="CR238" s="344" t="s">
        <v>1970</v>
      </c>
      <c r="CS238" s="344" t="s">
        <v>1970</v>
      </c>
      <c r="CT238" s="344" t="s">
        <v>1970</v>
      </c>
      <c r="CU238" s="344" t="s">
        <v>1970</v>
      </c>
      <c r="CV238" s="344" t="s">
        <v>1970</v>
      </c>
      <c r="CW238" s="344" t="s">
        <v>1970</v>
      </c>
      <c r="CX238" s="344" t="s">
        <v>1970</v>
      </c>
      <c r="CY238" s="344" t="s">
        <v>1970</v>
      </c>
      <c r="CZ238" s="344" t="s">
        <v>1970</v>
      </c>
      <c r="DA238" s="344" t="s">
        <v>1970</v>
      </c>
      <c r="DB238" s="344" t="s">
        <v>1970</v>
      </c>
      <c r="DC238" s="344" t="s">
        <v>1970</v>
      </c>
      <c r="DD238" s="344" t="s">
        <v>1970</v>
      </c>
      <c r="DE238" s="344" t="s">
        <v>1970</v>
      </c>
      <c r="DF238" s="344" t="s">
        <v>1970</v>
      </c>
      <c r="DG238" s="344" t="s">
        <v>1970</v>
      </c>
      <c r="DH238" s="344" t="s">
        <v>1970</v>
      </c>
      <c r="DI238" s="344" t="s">
        <v>1970</v>
      </c>
      <c r="DJ238" s="344" t="s">
        <v>1970</v>
      </c>
      <c r="DK238" s="344" t="s">
        <v>1970</v>
      </c>
      <c r="DL238" s="344" t="s">
        <v>1970</v>
      </c>
      <c r="DM238" s="344" t="s">
        <v>1970</v>
      </c>
      <c r="DN238" s="344" t="s">
        <v>1970</v>
      </c>
      <c r="DO238" s="344" t="s">
        <v>1970</v>
      </c>
      <c r="DP238" s="344" t="s">
        <v>1970</v>
      </c>
      <c r="DQ238" s="344" t="s">
        <v>1970</v>
      </c>
      <c r="DR238" s="344" t="s">
        <v>1970</v>
      </c>
      <c r="DS238" s="344" t="s">
        <v>1970</v>
      </c>
      <c r="DT238" s="344" t="s">
        <v>1970</v>
      </c>
      <c r="DU238" s="344" t="s">
        <v>1970</v>
      </c>
      <c r="DV238" s="344" t="s">
        <v>1970</v>
      </c>
      <c r="DW238" s="344" t="s">
        <v>1970</v>
      </c>
      <c r="DX238" s="344" t="s">
        <v>1970</v>
      </c>
      <c r="DY238" s="344" t="s">
        <v>1970</v>
      </c>
      <c r="DZ238" s="344" t="s">
        <v>1970</v>
      </c>
      <c r="EA238" s="344" t="s">
        <v>1970</v>
      </c>
      <c r="EB238" s="344" t="s">
        <v>1970</v>
      </c>
      <c r="EC238" s="344" t="s">
        <v>1970</v>
      </c>
      <c r="ED238" s="344" t="s">
        <v>1970</v>
      </c>
      <c r="EE238" s="344" t="s">
        <v>1970</v>
      </c>
      <c r="EF238" s="344" t="s">
        <v>1970</v>
      </c>
      <c r="EG238" s="344" t="s">
        <v>1970</v>
      </c>
      <c r="EH238" s="344" t="s">
        <v>1970</v>
      </c>
      <c r="EI238" s="344" t="s">
        <v>1970</v>
      </c>
      <c r="EJ238" s="344" t="s">
        <v>1970</v>
      </c>
      <c r="EK238" s="344" t="s">
        <v>1970</v>
      </c>
      <c r="EL238" s="344" t="s">
        <v>1970</v>
      </c>
      <c r="EM238" s="344" t="s">
        <v>1970</v>
      </c>
      <c r="EN238" s="344" t="s">
        <v>1970</v>
      </c>
      <c r="EO238" s="344" t="s">
        <v>1970</v>
      </c>
      <c r="EP238" s="344" t="s">
        <v>1970</v>
      </c>
      <c r="EQ238" s="344" t="s">
        <v>1970</v>
      </c>
      <c r="ER238" s="344" t="s">
        <v>1970</v>
      </c>
      <c r="ES238" s="344" t="s">
        <v>1970</v>
      </c>
      <c r="ET238" s="344"/>
      <c r="EU238" s="344"/>
      <c r="EV238" s="344"/>
      <c r="EW238" s="344"/>
      <c r="EX238" s="344"/>
      <c r="EY238" s="344"/>
      <c r="EZ238" s="344"/>
      <c r="FA238" s="344"/>
      <c r="FB238" s="344"/>
      <c r="FC238" s="344"/>
      <c r="FD238" s="344"/>
      <c r="FE238" s="344"/>
      <c r="FF238" s="344"/>
      <c r="FG238" s="344"/>
      <c r="FH238" s="344"/>
      <c r="FI238" s="344"/>
      <c r="FJ238" s="344"/>
      <c r="FK238" s="344"/>
      <c r="FL238" s="344"/>
      <c r="FM238" s="344"/>
      <c r="FN238" s="344"/>
      <c r="FO238" s="344"/>
      <c r="FP238" s="344"/>
      <c r="FQ238" s="344"/>
      <c r="FR238" s="344"/>
      <c r="FS238" s="344"/>
      <c r="FT238" s="344"/>
      <c r="FU238" s="344"/>
      <c r="FV238" s="344"/>
      <c r="FW238" s="344"/>
      <c r="FX238" s="344"/>
      <c r="FY238" s="344"/>
      <c r="FZ238" s="344"/>
      <c r="GA238" s="344"/>
      <c r="GB238" s="344"/>
      <c r="GC238" s="344"/>
      <c r="GD238" s="344"/>
      <c r="GE238" s="344"/>
      <c r="GF238" s="344"/>
      <c r="GG238" s="344"/>
      <c r="GH238" s="344"/>
      <c r="GI238" s="344"/>
      <c r="GJ238" s="344"/>
      <c r="GK238" s="344"/>
      <c r="GL238" s="344"/>
      <c r="GM238" s="344"/>
      <c r="GN238" s="344"/>
      <c r="GO238" s="344"/>
      <c r="GP238" s="344"/>
      <c r="GQ238" s="344"/>
      <c r="GR238" s="344"/>
      <c r="GS238" s="344"/>
      <c r="GT238" s="344"/>
      <c r="GU238" s="344"/>
      <c r="GV238" s="344"/>
      <c r="GW238" s="344"/>
      <c r="GX238" s="344"/>
      <c r="GY238" s="344"/>
      <c r="GZ238" s="344"/>
      <c r="HA238" s="344"/>
      <c r="HB238" s="344"/>
      <c r="HC238" s="344"/>
      <c r="HD238" s="344"/>
      <c r="HE238" s="344"/>
      <c r="HF238" s="344"/>
      <c r="HG238" s="344"/>
    </row>
    <row r="239" spans="1:215" ht="13.95" customHeight="1" x14ac:dyDescent="0.3">
      <c r="A239" s="2" t="s">
        <v>1181</v>
      </c>
      <c r="B239" s="2" t="s">
        <v>1172</v>
      </c>
      <c r="C239" s="2" t="s">
        <v>2164</v>
      </c>
      <c r="D239" s="2" t="s">
        <v>1184</v>
      </c>
      <c r="E239" s="2" t="s">
        <v>1977</v>
      </c>
      <c r="F239" s="2">
        <v>29</v>
      </c>
      <c r="G239" s="2">
        <v>28</v>
      </c>
      <c r="H239" s="2">
        <v>26</v>
      </c>
      <c r="I239" s="344" t="s">
        <v>2172</v>
      </c>
      <c r="J239" s="2" t="s">
        <v>1970</v>
      </c>
      <c r="K239" s="2" t="s">
        <v>1970</v>
      </c>
      <c r="L239" s="2" t="s">
        <v>1970</v>
      </c>
      <c r="M239" s="2" t="s">
        <v>1970</v>
      </c>
      <c r="N239" s="344" t="s">
        <v>1978</v>
      </c>
      <c r="O239" s="344" t="s">
        <v>1978</v>
      </c>
      <c r="P239" s="344" t="s">
        <v>1978</v>
      </c>
      <c r="Q239" s="344" t="s">
        <v>1978</v>
      </c>
      <c r="R239" s="344" t="s">
        <v>1978</v>
      </c>
      <c r="S239" s="344" t="s">
        <v>1978</v>
      </c>
      <c r="T239" s="344" t="s">
        <v>2176</v>
      </c>
      <c r="U239" s="2" t="s">
        <v>2165</v>
      </c>
      <c r="V239" s="344" t="s">
        <v>1970</v>
      </c>
      <c r="W239" s="344" t="s">
        <v>1970</v>
      </c>
      <c r="X239" s="344">
        <f>'A123'!J247</f>
        <v>12</v>
      </c>
      <c r="Y239" s="344">
        <f>'A123'!K247</f>
        <v>7</v>
      </c>
      <c r="Z239" s="344">
        <f>'A123'!L247</f>
        <v>4.4285714285714288</v>
      </c>
      <c r="AA239" s="2" t="s">
        <v>2165</v>
      </c>
      <c r="AB239" s="344" t="str">
        <f>入學要求!X248</f>
        <v>申請人可遞交 一份 創意作品 (如 畫作、寫作 或 任何創作) 供學系作考慮。</v>
      </c>
      <c r="AC239" s="344" t="str">
        <f>入學要求!Y248</f>
        <v>作品集 及 推薦信(如有) 應直接以紙本方式向學系遞交。</v>
      </c>
      <c r="AD239" s="2" t="s">
        <v>1977</v>
      </c>
      <c r="AE239" s="2" t="s">
        <v>2173</v>
      </c>
      <c r="AF239" s="2" t="s">
        <v>1970</v>
      </c>
      <c r="AG239" s="2" t="s">
        <v>1970</v>
      </c>
      <c r="AH239" s="2" t="s">
        <v>1970</v>
      </c>
      <c r="AI239" s="344" t="s">
        <v>1970</v>
      </c>
      <c r="AJ239" s="2" t="s">
        <v>2174</v>
      </c>
      <c r="AK239" s="2" t="s">
        <v>2177</v>
      </c>
      <c r="AL239" s="2" t="s">
        <v>1978</v>
      </c>
      <c r="AM239" s="182" t="s">
        <v>2178</v>
      </c>
      <c r="AN239" s="2" t="s">
        <v>1978</v>
      </c>
      <c r="AO239" s="344" t="s">
        <v>3384</v>
      </c>
      <c r="AP239" s="251" t="s">
        <v>2619</v>
      </c>
      <c r="AQ239" s="344" t="s">
        <v>1970</v>
      </c>
      <c r="AR239" s="344" t="s">
        <v>2150</v>
      </c>
      <c r="AS239" s="2" t="s">
        <v>3620</v>
      </c>
      <c r="AT239" s="2" t="s">
        <v>3679</v>
      </c>
      <c r="AU239" s="2" t="s">
        <v>3699</v>
      </c>
      <c r="AV239" s="344" t="s">
        <v>2596</v>
      </c>
      <c r="BB239" s="344" t="s">
        <v>1970</v>
      </c>
      <c r="BC239" s="344" t="s">
        <v>1970</v>
      </c>
      <c r="BD239" s="344" t="s">
        <v>1970</v>
      </c>
      <c r="BE239" s="344" t="s">
        <v>1970</v>
      </c>
      <c r="BF239" s="344" t="s">
        <v>1970</v>
      </c>
      <c r="BG239" s="344" t="s">
        <v>1970</v>
      </c>
      <c r="BH239" s="344" t="s">
        <v>1970</v>
      </c>
      <c r="BI239" s="344" t="s">
        <v>1970</v>
      </c>
      <c r="BJ239" s="344" t="s">
        <v>1970</v>
      </c>
      <c r="BK239" s="344" t="s">
        <v>1970</v>
      </c>
      <c r="BL239" s="344" t="s">
        <v>1970</v>
      </c>
      <c r="BM239" s="344" t="s">
        <v>1970</v>
      </c>
      <c r="BN239" s="344" t="s">
        <v>1970</v>
      </c>
      <c r="BO239" s="344" t="s">
        <v>1970</v>
      </c>
      <c r="BP239" s="344" t="s">
        <v>1970</v>
      </c>
      <c r="BQ239" s="344" t="s">
        <v>1970</v>
      </c>
      <c r="BR239" s="344" t="s">
        <v>1970</v>
      </c>
      <c r="BS239" s="344" t="s">
        <v>1970</v>
      </c>
      <c r="BT239" s="344" t="s">
        <v>1970</v>
      </c>
      <c r="BU239" s="344" t="s">
        <v>1970</v>
      </c>
      <c r="BV239" s="344" t="s">
        <v>1970</v>
      </c>
      <c r="BW239" s="344" t="s">
        <v>1970</v>
      </c>
      <c r="BX239" s="344" t="s">
        <v>1970</v>
      </c>
      <c r="BY239" s="344" t="s">
        <v>1970</v>
      </c>
      <c r="BZ239" s="344" t="s">
        <v>1970</v>
      </c>
      <c r="CA239" s="344" t="s">
        <v>1970</v>
      </c>
      <c r="CB239" s="344" t="s">
        <v>1970</v>
      </c>
      <c r="CC239" s="344" t="s">
        <v>1970</v>
      </c>
      <c r="CD239" s="344" t="s">
        <v>1970</v>
      </c>
      <c r="CE239" s="344" t="s">
        <v>1970</v>
      </c>
      <c r="CF239" s="344" t="s">
        <v>1970</v>
      </c>
      <c r="CG239" s="344" t="s">
        <v>1970</v>
      </c>
      <c r="CH239" s="344" t="s">
        <v>1970</v>
      </c>
      <c r="CI239" s="344" t="s">
        <v>1970</v>
      </c>
      <c r="CJ239" s="344" t="s">
        <v>1970</v>
      </c>
      <c r="CK239" s="344" t="s">
        <v>1970</v>
      </c>
      <c r="CL239" s="344" t="s">
        <v>1970</v>
      </c>
      <c r="CM239" s="344" t="s">
        <v>1970</v>
      </c>
      <c r="CN239" s="344" t="s">
        <v>1970</v>
      </c>
      <c r="CO239" s="344" t="s">
        <v>1970</v>
      </c>
      <c r="CP239" s="344" t="s">
        <v>1970</v>
      </c>
      <c r="CQ239" s="344" t="s">
        <v>1970</v>
      </c>
      <c r="CR239" s="344" t="s">
        <v>1970</v>
      </c>
      <c r="CS239" s="344" t="s">
        <v>1970</v>
      </c>
      <c r="CT239" s="344" t="s">
        <v>1970</v>
      </c>
      <c r="CU239" s="344" t="s">
        <v>1970</v>
      </c>
      <c r="CV239" s="344" t="s">
        <v>1970</v>
      </c>
      <c r="CW239" s="344" t="s">
        <v>1970</v>
      </c>
      <c r="CX239" s="344" t="s">
        <v>1970</v>
      </c>
      <c r="CY239" s="344" t="s">
        <v>1970</v>
      </c>
      <c r="CZ239" s="344" t="s">
        <v>1970</v>
      </c>
      <c r="DA239" s="344" t="s">
        <v>1970</v>
      </c>
      <c r="DB239" s="344" t="s">
        <v>1970</v>
      </c>
      <c r="DC239" s="344" t="s">
        <v>1970</v>
      </c>
      <c r="DD239" s="344" t="s">
        <v>1970</v>
      </c>
      <c r="DE239" s="344" t="s">
        <v>1970</v>
      </c>
      <c r="DF239" s="344" t="s">
        <v>1970</v>
      </c>
      <c r="DG239" s="344" t="s">
        <v>1970</v>
      </c>
      <c r="DH239" s="344" t="s">
        <v>1970</v>
      </c>
      <c r="DI239" s="344" t="s">
        <v>1970</v>
      </c>
      <c r="DJ239" s="344" t="s">
        <v>1970</v>
      </c>
      <c r="DK239" s="344" t="s">
        <v>1970</v>
      </c>
      <c r="DL239" s="344" t="s">
        <v>1970</v>
      </c>
      <c r="DM239" s="344" t="s">
        <v>1970</v>
      </c>
      <c r="DN239" s="344" t="s">
        <v>1970</v>
      </c>
      <c r="DO239" s="344" t="s">
        <v>1970</v>
      </c>
      <c r="DP239" s="344" t="s">
        <v>1970</v>
      </c>
      <c r="DQ239" s="344" t="s">
        <v>1970</v>
      </c>
      <c r="DR239" s="344" t="s">
        <v>1970</v>
      </c>
      <c r="DS239" s="344" t="s">
        <v>1970</v>
      </c>
      <c r="DT239" s="344" t="s">
        <v>1970</v>
      </c>
      <c r="DU239" s="344" t="s">
        <v>1970</v>
      </c>
      <c r="DV239" s="344" t="s">
        <v>1970</v>
      </c>
      <c r="DW239" s="344" t="s">
        <v>1970</v>
      </c>
      <c r="DX239" s="344" t="s">
        <v>1970</v>
      </c>
      <c r="DY239" s="344" t="s">
        <v>1970</v>
      </c>
      <c r="DZ239" s="344" t="s">
        <v>1970</v>
      </c>
      <c r="EA239" s="344" t="s">
        <v>1970</v>
      </c>
      <c r="EB239" s="344" t="s">
        <v>1970</v>
      </c>
      <c r="EC239" s="344" t="s">
        <v>1970</v>
      </c>
      <c r="ED239" s="344" t="s">
        <v>1970</v>
      </c>
      <c r="EE239" s="344" t="s">
        <v>1970</v>
      </c>
      <c r="EF239" s="344" t="s">
        <v>1970</v>
      </c>
      <c r="EG239" s="344" t="s">
        <v>1970</v>
      </c>
      <c r="EH239" s="344" t="s">
        <v>1970</v>
      </c>
      <c r="EI239" s="344" t="s">
        <v>1970</v>
      </c>
      <c r="EJ239" s="344" t="s">
        <v>1970</v>
      </c>
      <c r="EK239" s="344" t="s">
        <v>1970</v>
      </c>
      <c r="EL239" s="344" t="s">
        <v>1970</v>
      </c>
      <c r="EM239" s="344" t="s">
        <v>1970</v>
      </c>
      <c r="EN239" s="344" t="s">
        <v>1970</v>
      </c>
      <c r="EO239" s="344" t="s">
        <v>1970</v>
      </c>
      <c r="EP239" s="344" t="s">
        <v>1970</v>
      </c>
      <c r="EQ239" s="344" t="s">
        <v>1970</v>
      </c>
      <c r="ER239" s="344" t="s">
        <v>1970</v>
      </c>
      <c r="ES239" s="344" t="s">
        <v>1970</v>
      </c>
      <c r="ET239" s="344"/>
      <c r="EU239" s="344"/>
      <c r="EV239" s="344"/>
      <c r="EW239" s="344"/>
      <c r="EX239" s="344"/>
      <c r="EY239" s="344"/>
      <c r="EZ239" s="344"/>
      <c r="FA239" s="344"/>
      <c r="FB239" s="344"/>
      <c r="FC239" s="344"/>
      <c r="FD239" s="344"/>
      <c r="FE239" s="344"/>
      <c r="FF239" s="344"/>
      <c r="FG239" s="344"/>
      <c r="FH239" s="344"/>
      <c r="FI239" s="344"/>
      <c r="FJ239" s="344"/>
      <c r="FK239" s="344"/>
      <c r="FL239" s="344"/>
      <c r="FM239" s="344"/>
      <c r="FN239" s="344"/>
      <c r="FO239" s="344"/>
      <c r="FP239" s="344"/>
      <c r="FQ239" s="344"/>
      <c r="FR239" s="344"/>
      <c r="FS239" s="344"/>
      <c r="FT239" s="344"/>
      <c r="FU239" s="344"/>
      <c r="FV239" s="344"/>
      <c r="FW239" s="344"/>
      <c r="FX239" s="344"/>
      <c r="FY239" s="344"/>
      <c r="FZ239" s="344"/>
      <c r="GA239" s="344"/>
      <c r="GB239" s="344"/>
      <c r="GC239" s="344"/>
      <c r="GD239" s="344"/>
      <c r="GE239" s="344"/>
      <c r="GF239" s="344"/>
      <c r="GG239" s="344"/>
      <c r="GH239" s="344"/>
      <c r="GI239" s="344"/>
      <c r="GJ239" s="344"/>
      <c r="GK239" s="344"/>
      <c r="GL239" s="344"/>
      <c r="GM239" s="344"/>
      <c r="GN239" s="344"/>
      <c r="GO239" s="344"/>
      <c r="GP239" s="344"/>
      <c r="GQ239" s="344"/>
      <c r="GR239" s="344"/>
      <c r="GS239" s="344"/>
      <c r="GT239" s="344"/>
      <c r="GU239" s="344"/>
      <c r="GV239" s="344"/>
      <c r="GW239" s="344"/>
      <c r="GX239" s="344"/>
      <c r="GY239" s="344"/>
      <c r="GZ239" s="344"/>
      <c r="HA239" s="344"/>
      <c r="HB239" s="344"/>
      <c r="HC239" s="344"/>
      <c r="HD239" s="344"/>
      <c r="HE239" s="344"/>
      <c r="HF239" s="344"/>
      <c r="HG239" s="344"/>
    </row>
    <row r="240" spans="1:215" ht="13.95" customHeight="1" x14ac:dyDescent="0.3">
      <c r="A240" s="2" t="s">
        <v>1186</v>
      </c>
      <c r="B240" s="2" t="s">
        <v>1172</v>
      </c>
      <c r="C240" s="2" t="s">
        <v>2164</v>
      </c>
      <c r="D240" s="2" t="s">
        <v>1189</v>
      </c>
      <c r="E240" s="2" t="s">
        <v>1977</v>
      </c>
      <c r="F240" s="2">
        <v>31</v>
      </c>
      <c r="G240" s="2">
        <v>28</v>
      </c>
      <c r="H240" s="2">
        <v>26</v>
      </c>
      <c r="I240" s="344" t="s">
        <v>2172</v>
      </c>
      <c r="J240" s="2" t="s">
        <v>1970</v>
      </c>
      <c r="K240" s="2" t="s">
        <v>1970</v>
      </c>
      <c r="L240" s="2" t="s">
        <v>1970</v>
      </c>
      <c r="M240" s="2" t="s">
        <v>1970</v>
      </c>
      <c r="N240" s="344" t="s">
        <v>1978</v>
      </c>
      <c r="O240" s="344" t="s">
        <v>1978</v>
      </c>
      <c r="P240" s="344" t="s">
        <v>1978</v>
      </c>
      <c r="Q240" s="344" t="s">
        <v>1978</v>
      </c>
      <c r="R240" s="344" t="s">
        <v>1978</v>
      </c>
      <c r="S240" s="344" t="s">
        <v>1978</v>
      </c>
      <c r="T240" s="344" t="s">
        <v>2179</v>
      </c>
      <c r="U240" s="2" t="s">
        <v>2165</v>
      </c>
      <c r="V240" s="344" t="s">
        <v>1970</v>
      </c>
      <c r="W240" s="344" t="s">
        <v>1970</v>
      </c>
      <c r="X240" s="344">
        <f>'A123'!J248</f>
        <v>17</v>
      </c>
      <c r="Y240" s="344">
        <f>'A123'!K248</f>
        <v>24</v>
      </c>
      <c r="Z240" s="344">
        <f>'A123'!L248</f>
        <v>2.75</v>
      </c>
      <c r="AA240" s="2" t="s">
        <v>2165</v>
      </c>
      <c r="AB240" s="344" t="str">
        <f>入學要求!X249</f>
        <v>/</v>
      </c>
      <c r="AC240" s="344" t="str">
        <f>入學要求!Y249</f>
        <v>/</v>
      </c>
      <c r="AD240" s="2" t="s">
        <v>1977</v>
      </c>
      <c r="AE240" s="2" t="s">
        <v>2173</v>
      </c>
      <c r="AF240" s="2" t="s">
        <v>1970</v>
      </c>
      <c r="AG240" s="2" t="s">
        <v>1970</v>
      </c>
      <c r="AH240" s="2" t="s">
        <v>1970</v>
      </c>
      <c r="AI240" s="344" t="s">
        <v>1970</v>
      </c>
      <c r="AJ240" s="2" t="s">
        <v>2152</v>
      </c>
      <c r="AK240" s="2" t="s">
        <v>1978</v>
      </c>
      <c r="AL240" s="2" t="s">
        <v>1978</v>
      </c>
      <c r="AM240" s="2" t="s">
        <v>1978</v>
      </c>
      <c r="AN240" s="2" t="s">
        <v>1978</v>
      </c>
      <c r="AO240" s="344" t="s">
        <v>3384</v>
      </c>
      <c r="AP240" s="251" t="s">
        <v>3379</v>
      </c>
      <c r="AQ240" s="344" t="s">
        <v>1970</v>
      </c>
      <c r="AR240" s="344" t="s">
        <v>2150</v>
      </c>
      <c r="AS240" s="2" t="s">
        <v>3620</v>
      </c>
      <c r="AT240" s="2" t="s">
        <v>3680</v>
      </c>
      <c r="AU240" s="2" t="s">
        <v>3700</v>
      </c>
      <c r="AV240" s="344" t="s">
        <v>2596</v>
      </c>
      <c r="BB240" s="344" t="s">
        <v>1970</v>
      </c>
      <c r="BC240" s="344" t="s">
        <v>1970</v>
      </c>
      <c r="BD240" s="344" t="s">
        <v>1970</v>
      </c>
      <c r="BE240" s="344" t="s">
        <v>1970</v>
      </c>
      <c r="BF240" s="344" t="s">
        <v>1970</v>
      </c>
      <c r="BG240" s="344" t="s">
        <v>1970</v>
      </c>
      <c r="BH240" s="344" t="s">
        <v>1970</v>
      </c>
      <c r="BI240" s="344" t="s">
        <v>1970</v>
      </c>
      <c r="BJ240" s="344" t="s">
        <v>1970</v>
      </c>
      <c r="BK240" s="344" t="s">
        <v>1970</v>
      </c>
      <c r="BL240" s="344" t="s">
        <v>1970</v>
      </c>
      <c r="BM240" s="344" t="s">
        <v>1970</v>
      </c>
      <c r="BN240" s="344" t="s">
        <v>1970</v>
      </c>
      <c r="BO240" s="344" t="s">
        <v>1970</v>
      </c>
      <c r="BP240" s="344" t="s">
        <v>1970</v>
      </c>
      <c r="BQ240" s="344" t="s">
        <v>1970</v>
      </c>
      <c r="BR240" s="344" t="s">
        <v>1970</v>
      </c>
      <c r="BS240" s="344" t="s">
        <v>1970</v>
      </c>
      <c r="BT240" s="344" t="s">
        <v>1970</v>
      </c>
      <c r="BU240" s="344" t="s">
        <v>1970</v>
      </c>
      <c r="BV240" s="344" t="s">
        <v>1970</v>
      </c>
      <c r="BW240" s="344" t="s">
        <v>1970</v>
      </c>
      <c r="BX240" s="344" t="s">
        <v>1970</v>
      </c>
      <c r="BY240" s="344" t="s">
        <v>1970</v>
      </c>
      <c r="BZ240" s="344" t="s">
        <v>1970</v>
      </c>
      <c r="CA240" s="344" t="s">
        <v>1970</v>
      </c>
      <c r="CB240" s="344" t="s">
        <v>1970</v>
      </c>
      <c r="CC240" s="344" t="s">
        <v>1970</v>
      </c>
      <c r="CD240" s="344" t="s">
        <v>1970</v>
      </c>
      <c r="CE240" s="344" t="s">
        <v>1970</v>
      </c>
      <c r="CF240" s="344" t="s">
        <v>1970</v>
      </c>
      <c r="CG240" s="344" t="s">
        <v>1970</v>
      </c>
      <c r="CH240" s="344" t="s">
        <v>1970</v>
      </c>
      <c r="CI240" s="344" t="s">
        <v>1970</v>
      </c>
      <c r="CJ240" s="344" t="s">
        <v>1970</v>
      </c>
      <c r="CK240" s="344" t="s">
        <v>1970</v>
      </c>
      <c r="CL240" s="344" t="s">
        <v>1970</v>
      </c>
      <c r="CM240" s="344" t="s">
        <v>1970</v>
      </c>
      <c r="CN240" s="344" t="s">
        <v>1970</v>
      </c>
      <c r="CO240" s="344" t="s">
        <v>1970</v>
      </c>
      <c r="CP240" s="344" t="s">
        <v>1970</v>
      </c>
      <c r="CQ240" s="344" t="s">
        <v>1970</v>
      </c>
      <c r="CR240" s="344" t="s">
        <v>1970</v>
      </c>
      <c r="CS240" s="344" t="s">
        <v>1970</v>
      </c>
      <c r="CT240" s="344" t="s">
        <v>1970</v>
      </c>
      <c r="CU240" s="344" t="s">
        <v>1970</v>
      </c>
      <c r="CV240" s="344" t="s">
        <v>1970</v>
      </c>
      <c r="CW240" s="344" t="s">
        <v>1970</v>
      </c>
      <c r="CX240" s="344" t="s">
        <v>1970</v>
      </c>
      <c r="CY240" s="344" t="s">
        <v>1970</v>
      </c>
      <c r="CZ240" s="344" t="s">
        <v>1970</v>
      </c>
      <c r="DA240" s="344" t="s">
        <v>1970</v>
      </c>
      <c r="DB240" s="344" t="s">
        <v>1970</v>
      </c>
      <c r="DC240" s="344" t="s">
        <v>1970</v>
      </c>
      <c r="DD240" s="344" t="s">
        <v>1970</v>
      </c>
      <c r="DE240" s="344" t="s">
        <v>1970</v>
      </c>
      <c r="DF240" s="344" t="s">
        <v>1970</v>
      </c>
      <c r="DG240" s="344" t="s">
        <v>1970</v>
      </c>
      <c r="DH240" s="344" t="s">
        <v>1970</v>
      </c>
      <c r="DI240" s="344" t="s">
        <v>1970</v>
      </c>
      <c r="DJ240" s="344" t="s">
        <v>1970</v>
      </c>
      <c r="DK240" s="344" t="s">
        <v>1970</v>
      </c>
      <c r="DL240" s="344" t="s">
        <v>1970</v>
      </c>
      <c r="DM240" s="344" t="s">
        <v>1970</v>
      </c>
      <c r="DN240" s="344" t="s">
        <v>1970</v>
      </c>
      <c r="DO240" s="344" t="s">
        <v>1970</v>
      </c>
      <c r="DP240" s="344" t="s">
        <v>1970</v>
      </c>
      <c r="DQ240" s="344" t="s">
        <v>1970</v>
      </c>
      <c r="DR240" s="344" t="s">
        <v>1970</v>
      </c>
      <c r="DS240" s="344" t="s">
        <v>1970</v>
      </c>
      <c r="DT240" s="344" t="s">
        <v>1970</v>
      </c>
      <c r="DU240" s="344" t="s">
        <v>1970</v>
      </c>
      <c r="DV240" s="344" t="s">
        <v>1970</v>
      </c>
      <c r="DW240" s="344" t="s">
        <v>1970</v>
      </c>
      <c r="DX240" s="344" t="s">
        <v>1970</v>
      </c>
      <c r="DY240" s="344" t="s">
        <v>1970</v>
      </c>
      <c r="DZ240" s="344" t="s">
        <v>1970</v>
      </c>
      <c r="EA240" s="344" t="s">
        <v>1970</v>
      </c>
      <c r="EB240" s="344" t="s">
        <v>1970</v>
      </c>
      <c r="EC240" s="344" t="s">
        <v>1970</v>
      </c>
      <c r="ED240" s="344" t="s">
        <v>1970</v>
      </c>
      <c r="EE240" s="344" t="s">
        <v>1970</v>
      </c>
      <c r="EF240" s="344" t="s">
        <v>1970</v>
      </c>
      <c r="EG240" s="344" t="s">
        <v>1970</v>
      </c>
      <c r="EH240" s="344" t="s">
        <v>1970</v>
      </c>
      <c r="EI240" s="344" t="s">
        <v>1970</v>
      </c>
      <c r="EJ240" s="344" t="s">
        <v>1970</v>
      </c>
      <c r="EK240" s="344" t="s">
        <v>1970</v>
      </c>
      <c r="EL240" s="344" t="s">
        <v>1970</v>
      </c>
      <c r="EM240" s="344" t="s">
        <v>1970</v>
      </c>
      <c r="EN240" s="344" t="s">
        <v>1970</v>
      </c>
      <c r="EO240" s="344" t="s">
        <v>1970</v>
      </c>
      <c r="EP240" s="344" t="s">
        <v>1970</v>
      </c>
      <c r="EQ240" s="344" t="s">
        <v>1970</v>
      </c>
      <c r="ER240" s="344" t="s">
        <v>1970</v>
      </c>
      <c r="ES240" s="344" t="s">
        <v>1970</v>
      </c>
      <c r="ET240" s="344"/>
      <c r="EU240" s="344"/>
      <c r="EV240" s="344"/>
      <c r="EW240" s="344"/>
      <c r="EX240" s="344"/>
      <c r="EY240" s="344"/>
      <c r="EZ240" s="344"/>
      <c r="FA240" s="344"/>
      <c r="FB240" s="344"/>
      <c r="FC240" s="344"/>
      <c r="FD240" s="344"/>
      <c r="FE240" s="344"/>
      <c r="FF240" s="344"/>
      <c r="FG240" s="344"/>
      <c r="FH240" s="344"/>
      <c r="FI240" s="344"/>
      <c r="FJ240" s="344"/>
      <c r="FK240" s="344"/>
      <c r="FL240" s="344"/>
      <c r="FM240" s="344"/>
      <c r="FN240" s="344"/>
      <c r="FO240" s="344"/>
      <c r="FP240" s="344"/>
      <c r="FQ240" s="344"/>
      <c r="FR240" s="344"/>
      <c r="FS240" s="344"/>
      <c r="FT240" s="344"/>
      <c r="FU240" s="344"/>
      <c r="FV240" s="344"/>
      <c r="FW240" s="344"/>
      <c r="FX240" s="344"/>
      <c r="FY240" s="344"/>
      <c r="FZ240" s="344"/>
      <c r="GA240" s="344"/>
      <c r="GB240" s="344"/>
      <c r="GC240" s="344"/>
      <c r="GD240" s="344"/>
      <c r="GE240" s="344"/>
      <c r="GF240" s="344"/>
      <c r="GG240" s="344"/>
      <c r="GH240" s="344"/>
      <c r="GI240" s="344"/>
      <c r="GJ240" s="344"/>
      <c r="GK240" s="344"/>
      <c r="GL240" s="344"/>
      <c r="GM240" s="344"/>
      <c r="GN240" s="344"/>
      <c r="GO240" s="344"/>
      <c r="GP240" s="344"/>
      <c r="GQ240" s="344"/>
      <c r="GR240" s="344"/>
      <c r="GS240" s="344"/>
      <c r="GT240" s="344"/>
      <c r="GU240" s="344"/>
      <c r="GV240" s="344"/>
      <c r="GW240" s="344"/>
      <c r="GX240" s="344"/>
      <c r="GY240" s="344"/>
      <c r="GZ240" s="344"/>
      <c r="HA240" s="344"/>
      <c r="HB240" s="344"/>
      <c r="HC240" s="344"/>
      <c r="HD240" s="344"/>
      <c r="HE240" s="344"/>
      <c r="HF240" s="344"/>
      <c r="HG240" s="344"/>
    </row>
    <row r="241" spans="1:215" ht="13.95" customHeight="1" x14ac:dyDescent="0.3">
      <c r="A241" s="2" t="s">
        <v>1190</v>
      </c>
      <c r="B241" s="2" t="s">
        <v>1172</v>
      </c>
      <c r="C241" s="2" t="s">
        <v>2180</v>
      </c>
      <c r="D241" s="2" t="s">
        <v>269</v>
      </c>
      <c r="E241" s="344" t="s">
        <v>1977</v>
      </c>
      <c r="F241" s="2">
        <v>26</v>
      </c>
      <c r="G241" s="2">
        <v>25</v>
      </c>
      <c r="H241" s="2">
        <v>24</v>
      </c>
      <c r="I241" s="344" t="s">
        <v>3317</v>
      </c>
      <c r="J241" s="182" t="s">
        <v>2182</v>
      </c>
      <c r="K241" s="2" t="s">
        <v>1970</v>
      </c>
      <c r="L241" s="2" t="s">
        <v>1970</v>
      </c>
      <c r="M241" s="2" t="s">
        <v>1970</v>
      </c>
      <c r="N241" s="344" t="s">
        <v>1978</v>
      </c>
      <c r="O241" s="344" t="s">
        <v>1978</v>
      </c>
      <c r="P241" s="344" t="s">
        <v>1978</v>
      </c>
      <c r="Q241" s="344" t="s">
        <v>1978</v>
      </c>
      <c r="R241" s="344" t="s">
        <v>1978</v>
      </c>
      <c r="S241" s="344" t="s">
        <v>1978</v>
      </c>
      <c r="T241" s="344" t="s">
        <v>2181</v>
      </c>
      <c r="U241" s="2" t="s">
        <v>2165</v>
      </c>
      <c r="V241" s="344" t="s">
        <v>1970</v>
      </c>
      <c r="W241" s="344" t="s">
        <v>1970</v>
      </c>
      <c r="X241" s="344">
        <f>'A123'!J249</f>
        <v>289</v>
      </c>
      <c r="Y241" s="344">
        <f>'A123'!K249</f>
        <v>328</v>
      </c>
      <c r="Z241" s="344">
        <f>'A123'!L249</f>
        <v>3.8201219512195124</v>
      </c>
      <c r="AA241" s="2" t="s">
        <v>2165</v>
      </c>
      <c r="AB241" s="344" t="str">
        <f>入學要求!X250</f>
        <v>/</v>
      </c>
      <c r="AC241" s="344" t="str">
        <f>入學要求!Y250</f>
        <v>/</v>
      </c>
      <c r="AD241" s="373" t="s">
        <v>2171</v>
      </c>
      <c r="AE241" s="2" t="s">
        <v>2167</v>
      </c>
      <c r="AF241" s="182" t="s">
        <v>2734</v>
      </c>
      <c r="AG241" s="2" t="s">
        <v>3309</v>
      </c>
      <c r="AH241" s="2" t="s">
        <v>1970</v>
      </c>
      <c r="AI241" s="344" t="s">
        <v>1970</v>
      </c>
      <c r="AJ241" s="2" t="s">
        <v>2183</v>
      </c>
      <c r="AK241" s="2" t="s">
        <v>2175</v>
      </c>
      <c r="AL241" s="2" t="s">
        <v>1978</v>
      </c>
      <c r="AO241" s="344" t="s">
        <v>3384</v>
      </c>
      <c r="AP241" s="251" t="s">
        <v>2619</v>
      </c>
      <c r="AQ241" s="344" t="s">
        <v>1970</v>
      </c>
      <c r="AR241" s="344" t="s">
        <v>2150</v>
      </c>
      <c r="AS241" s="2" t="s">
        <v>3608</v>
      </c>
      <c r="AT241" s="2" t="s">
        <v>1970</v>
      </c>
      <c r="AU241" s="2" t="s">
        <v>1970</v>
      </c>
      <c r="AV241" s="344" t="s">
        <v>2596</v>
      </c>
      <c r="BB241" s="344" t="s">
        <v>1970</v>
      </c>
      <c r="BC241" s="344" t="s">
        <v>1970</v>
      </c>
      <c r="BD241" s="344" t="s">
        <v>1970</v>
      </c>
      <c r="BE241" s="344" t="s">
        <v>1970</v>
      </c>
      <c r="BF241" s="344" t="s">
        <v>1970</v>
      </c>
      <c r="BG241" s="344" t="s">
        <v>1970</v>
      </c>
      <c r="BH241" s="344" t="s">
        <v>1970</v>
      </c>
      <c r="BI241" s="344" t="s">
        <v>1970</v>
      </c>
      <c r="BJ241" s="344" t="s">
        <v>1970</v>
      </c>
      <c r="BK241" s="344" t="s">
        <v>1970</v>
      </c>
      <c r="BL241" s="344" t="s">
        <v>1970</v>
      </c>
      <c r="BM241" s="344" t="s">
        <v>1970</v>
      </c>
      <c r="BN241" s="344" t="s">
        <v>1970</v>
      </c>
      <c r="BO241" s="344" t="s">
        <v>1970</v>
      </c>
      <c r="BP241" s="344" t="s">
        <v>1970</v>
      </c>
      <c r="BQ241" s="344" t="s">
        <v>1970</v>
      </c>
      <c r="BR241" s="344" t="s">
        <v>1970</v>
      </c>
      <c r="BS241" s="344" t="s">
        <v>1970</v>
      </c>
      <c r="BT241" s="344" t="s">
        <v>1970</v>
      </c>
      <c r="BU241" s="344" t="s">
        <v>1970</v>
      </c>
      <c r="BV241" s="344" t="s">
        <v>1970</v>
      </c>
      <c r="BW241" s="344" t="s">
        <v>1970</v>
      </c>
      <c r="BX241" s="344" t="s">
        <v>1970</v>
      </c>
      <c r="BY241" s="344" t="s">
        <v>1970</v>
      </c>
      <c r="BZ241" s="344" t="s">
        <v>1970</v>
      </c>
      <c r="CA241" s="344" t="s">
        <v>1970</v>
      </c>
      <c r="CB241" s="344" t="s">
        <v>1970</v>
      </c>
      <c r="CC241" s="344" t="s">
        <v>1970</v>
      </c>
      <c r="CD241" s="344" t="s">
        <v>1970</v>
      </c>
      <c r="CE241" s="344" t="s">
        <v>1970</v>
      </c>
      <c r="CF241" s="344" t="s">
        <v>1970</v>
      </c>
      <c r="CG241" s="344" t="s">
        <v>1970</v>
      </c>
      <c r="CH241" s="344" t="s">
        <v>1970</v>
      </c>
      <c r="CI241" s="344" t="s">
        <v>1970</v>
      </c>
      <c r="CJ241" s="344" t="s">
        <v>1970</v>
      </c>
      <c r="CK241" s="344" t="s">
        <v>1970</v>
      </c>
      <c r="CL241" s="344" t="s">
        <v>1970</v>
      </c>
      <c r="CM241" s="344" t="s">
        <v>1970</v>
      </c>
      <c r="CN241" s="344" t="s">
        <v>1970</v>
      </c>
      <c r="CO241" s="344" t="s">
        <v>1970</v>
      </c>
      <c r="CP241" s="344" t="s">
        <v>1970</v>
      </c>
      <c r="CQ241" s="344" t="s">
        <v>1970</v>
      </c>
      <c r="CR241" s="344" t="s">
        <v>1970</v>
      </c>
      <c r="CS241" s="344" t="s">
        <v>1970</v>
      </c>
      <c r="CT241" s="344" t="s">
        <v>1970</v>
      </c>
      <c r="CU241" s="344" t="s">
        <v>1970</v>
      </c>
      <c r="CV241" s="344" t="s">
        <v>1970</v>
      </c>
      <c r="CW241" s="344" t="s">
        <v>1970</v>
      </c>
      <c r="CX241" s="344" t="s">
        <v>1970</v>
      </c>
      <c r="CY241" s="344" t="s">
        <v>1970</v>
      </c>
      <c r="CZ241" s="344" t="s">
        <v>1970</v>
      </c>
      <c r="DA241" s="344" t="s">
        <v>1970</v>
      </c>
      <c r="DB241" s="344" t="s">
        <v>1970</v>
      </c>
      <c r="DC241" s="344" t="s">
        <v>1970</v>
      </c>
      <c r="DD241" s="344" t="s">
        <v>1970</v>
      </c>
      <c r="DE241" s="344" t="s">
        <v>1970</v>
      </c>
      <c r="DF241" s="344" t="s">
        <v>1970</v>
      </c>
      <c r="DG241" s="344" t="s">
        <v>1970</v>
      </c>
      <c r="DH241" s="344" t="s">
        <v>1970</v>
      </c>
      <c r="DI241" s="344" t="s">
        <v>1970</v>
      </c>
      <c r="DJ241" s="344" t="s">
        <v>1970</v>
      </c>
      <c r="DK241" s="344" t="s">
        <v>1970</v>
      </c>
      <c r="DL241" s="344" t="s">
        <v>1970</v>
      </c>
      <c r="DM241" s="344" t="s">
        <v>1970</v>
      </c>
      <c r="DN241" s="344" t="s">
        <v>1970</v>
      </c>
      <c r="DO241" s="344" t="s">
        <v>1970</v>
      </c>
      <c r="DP241" s="344" t="s">
        <v>1970</v>
      </c>
      <c r="DQ241" s="344" t="s">
        <v>1970</v>
      </c>
      <c r="DR241" s="344" t="s">
        <v>1970</v>
      </c>
      <c r="DS241" s="344" t="s">
        <v>1970</v>
      </c>
      <c r="DT241" s="344" t="s">
        <v>1970</v>
      </c>
      <c r="DU241" s="344" t="s">
        <v>1970</v>
      </c>
      <c r="DV241" s="344" t="s">
        <v>1970</v>
      </c>
      <c r="DW241" s="344" t="s">
        <v>1970</v>
      </c>
      <c r="DX241" s="344" t="s">
        <v>1970</v>
      </c>
      <c r="DY241" s="344" t="s">
        <v>1970</v>
      </c>
      <c r="DZ241" s="344" t="s">
        <v>1970</v>
      </c>
      <c r="EA241" s="344" t="s">
        <v>1970</v>
      </c>
      <c r="EB241" s="344" t="s">
        <v>1970</v>
      </c>
      <c r="EC241" s="344" t="s">
        <v>1970</v>
      </c>
      <c r="ED241" s="344" t="s">
        <v>1970</v>
      </c>
      <c r="EE241" s="344" t="s">
        <v>1970</v>
      </c>
      <c r="EF241" s="344" t="s">
        <v>1970</v>
      </c>
      <c r="EG241" s="344" t="s">
        <v>1970</v>
      </c>
      <c r="EH241" s="344" t="s">
        <v>1970</v>
      </c>
      <c r="EI241" s="344" t="s">
        <v>1970</v>
      </c>
      <c r="EJ241" s="344" t="s">
        <v>1970</v>
      </c>
      <c r="EK241" s="344" t="s">
        <v>1970</v>
      </c>
      <c r="EL241" s="344" t="s">
        <v>1970</v>
      </c>
      <c r="EM241" s="344" t="s">
        <v>1970</v>
      </c>
      <c r="EN241" s="344" t="s">
        <v>1970</v>
      </c>
      <c r="EO241" s="344" t="s">
        <v>1970</v>
      </c>
      <c r="EP241" s="344" t="s">
        <v>1970</v>
      </c>
      <c r="EQ241" s="344" t="s">
        <v>1970</v>
      </c>
      <c r="ER241" s="344" t="s">
        <v>1970</v>
      </c>
      <c r="ES241" s="344" t="s">
        <v>1970</v>
      </c>
      <c r="ET241" s="344"/>
      <c r="EU241" s="344"/>
      <c r="EV241" s="344"/>
      <c r="EW241" s="344"/>
      <c r="EX241" s="344"/>
      <c r="EY241" s="344"/>
      <c r="EZ241" s="344"/>
      <c r="FA241" s="344"/>
      <c r="FB241" s="344"/>
      <c r="FC241" s="344"/>
      <c r="FD241" s="344"/>
      <c r="FE241" s="344"/>
      <c r="FF241" s="344"/>
      <c r="FG241" s="344"/>
      <c r="FH241" s="344"/>
      <c r="FI241" s="344"/>
      <c r="FJ241" s="344"/>
      <c r="FK241" s="344"/>
      <c r="FL241" s="344"/>
      <c r="FM241" s="344"/>
      <c r="FN241" s="344"/>
      <c r="FO241" s="344"/>
      <c r="FP241" s="344"/>
      <c r="FQ241" s="344"/>
      <c r="FR241" s="344"/>
      <c r="FS241" s="344"/>
      <c r="FT241" s="344"/>
      <c r="FU241" s="344"/>
      <c r="FV241" s="344"/>
      <c r="FW241" s="344"/>
      <c r="FX241" s="344"/>
      <c r="FY241" s="344"/>
      <c r="FZ241" s="344"/>
      <c r="GA241" s="344"/>
      <c r="GB241" s="344"/>
      <c r="GC241" s="344"/>
      <c r="GD241" s="344"/>
      <c r="GE241" s="344"/>
      <c r="GF241" s="344"/>
      <c r="GG241" s="344"/>
      <c r="GH241" s="344"/>
      <c r="GI241" s="344"/>
      <c r="GJ241" s="344"/>
      <c r="GK241" s="344"/>
      <c r="GL241" s="344"/>
      <c r="GM241" s="344"/>
      <c r="GN241" s="344"/>
      <c r="GO241" s="344"/>
      <c r="GP241" s="344"/>
      <c r="GQ241" s="344"/>
      <c r="GR241" s="344"/>
      <c r="GS241" s="344"/>
      <c r="GT241" s="344"/>
      <c r="GU241" s="344"/>
      <c r="GV241" s="344"/>
      <c r="GW241" s="344"/>
      <c r="GX241" s="344"/>
      <c r="GY241" s="344"/>
      <c r="GZ241" s="344"/>
      <c r="HA241" s="344"/>
      <c r="HB241" s="344"/>
      <c r="HC241" s="344"/>
      <c r="HD241" s="344"/>
      <c r="HE241" s="344"/>
      <c r="HF241" s="344"/>
      <c r="HG241" s="344"/>
    </row>
    <row r="242" spans="1:215" ht="13.95" customHeight="1" x14ac:dyDescent="0.3">
      <c r="A242" s="2" t="s">
        <v>2184</v>
      </c>
      <c r="B242" s="2" t="s">
        <v>1172</v>
      </c>
      <c r="C242" s="2" t="s">
        <v>2180</v>
      </c>
      <c r="D242" s="2" t="s">
        <v>2185</v>
      </c>
      <c r="E242" s="11" t="s">
        <v>2916</v>
      </c>
      <c r="F242" s="2" t="s">
        <v>1970</v>
      </c>
      <c r="G242" s="2" t="s">
        <v>1970</v>
      </c>
      <c r="H242" s="2" t="s">
        <v>1970</v>
      </c>
      <c r="I242" s="344" t="s">
        <v>1978</v>
      </c>
      <c r="J242" s="2" t="s">
        <v>1970</v>
      </c>
      <c r="K242" s="2" t="s">
        <v>1970</v>
      </c>
      <c r="L242" s="2" t="s">
        <v>1970</v>
      </c>
      <c r="M242" s="2" t="s">
        <v>1970</v>
      </c>
      <c r="N242" s="344" t="s">
        <v>1978</v>
      </c>
      <c r="O242" s="344" t="s">
        <v>1978</v>
      </c>
      <c r="P242" s="344" t="s">
        <v>1978</v>
      </c>
      <c r="Q242" s="344" t="s">
        <v>1978</v>
      </c>
      <c r="R242" s="344" t="s">
        <v>1978</v>
      </c>
      <c r="S242" s="344" t="s">
        <v>1978</v>
      </c>
      <c r="T242" s="344" t="s">
        <v>2186</v>
      </c>
      <c r="U242" s="2" t="s">
        <v>2165</v>
      </c>
      <c r="V242" s="344" t="s">
        <v>1970</v>
      </c>
      <c r="W242" s="344" t="s">
        <v>1970</v>
      </c>
      <c r="X242" s="344">
        <f>'A123'!J250</f>
        <v>50</v>
      </c>
      <c r="Y242" s="344" t="str">
        <f>'A123'!K250</f>
        <v>/</v>
      </c>
      <c r="Z242" s="344" t="str">
        <f>'A123'!L250</f>
        <v>新科目</v>
      </c>
      <c r="AA242" s="2" t="s">
        <v>2165</v>
      </c>
      <c r="AB242" s="344" t="str">
        <f>入學要求!X251</f>
        <v>/</v>
      </c>
      <c r="AC242" s="344" t="str">
        <f>入學要求!Y251</f>
        <v>/</v>
      </c>
      <c r="AD242" s="373" t="s">
        <v>2171</v>
      </c>
      <c r="AE242" s="2" t="s">
        <v>2173</v>
      </c>
      <c r="AF242" s="2" t="s">
        <v>2734</v>
      </c>
      <c r="AG242" s="344" t="s">
        <v>3309</v>
      </c>
      <c r="AH242" s="2" t="s">
        <v>1970</v>
      </c>
      <c r="AI242" s="344" t="s">
        <v>1970</v>
      </c>
      <c r="AJ242" s="2" t="s">
        <v>2152</v>
      </c>
      <c r="AK242" s="2" t="s">
        <v>2183</v>
      </c>
      <c r="AL242" s="2" t="s">
        <v>2175</v>
      </c>
      <c r="AO242" s="344" t="s">
        <v>3384</v>
      </c>
      <c r="AP242" s="251" t="s">
        <v>2619</v>
      </c>
      <c r="AQ242" s="344" t="s">
        <v>1970</v>
      </c>
      <c r="AR242" s="344" t="s">
        <v>2150</v>
      </c>
      <c r="AT242" s="2" t="s">
        <v>1970</v>
      </c>
      <c r="AU242" s="2" t="s">
        <v>3701</v>
      </c>
      <c r="AV242" s="344" t="s">
        <v>2596</v>
      </c>
      <c r="BB242" s="344" t="s">
        <v>1970</v>
      </c>
      <c r="BC242" s="344" t="s">
        <v>1970</v>
      </c>
      <c r="BD242" s="344" t="s">
        <v>1970</v>
      </c>
      <c r="BE242" s="344" t="s">
        <v>1970</v>
      </c>
      <c r="BF242" s="344" t="s">
        <v>1970</v>
      </c>
      <c r="BG242" s="344" t="s">
        <v>1970</v>
      </c>
      <c r="BH242" s="344" t="s">
        <v>1970</v>
      </c>
      <c r="BI242" s="344" t="s">
        <v>1970</v>
      </c>
      <c r="BJ242" s="344" t="s">
        <v>1970</v>
      </c>
      <c r="BK242" s="344" t="s">
        <v>1970</v>
      </c>
      <c r="BL242" s="344" t="s">
        <v>1970</v>
      </c>
      <c r="BM242" s="344" t="s">
        <v>1970</v>
      </c>
      <c r="BN242" s="344" t="s">
        <v>1970</v>
      </c>
      <c r="BO242" s="344" t="s">
        <v>1970</v>
      </c>
      <c r="BP242" s="344" t="s">
        <v>1970</v>
      </c>
      <c r="BQ242" s="344" t="s">
        <v>1970</v>
      </c>
      <c r="BR242" s="344" t="s">
        <v>1970</v>
      </c>
      <c r="BS242" s="344" t="s">
        <v>1970</v>
      </c>
      <c r="BT242" s="344" t="s">
        <v>1970</v>
      </c>
      <c r="BU242" s="344" t="s">
        <v>1970</v>
      </c>
      <c r="BV242" s="344" t="s">
        <v>1970</v>
      </c>
      <c r="BW242" s="344" t="s">
        <v>1970</v>
      </c>
      <c r="BX242" s="344" t="s">
        <v>1970</v>
      </c>
      <c r="BY242" s="344" t="s">
        <v>1970</v>
      </c>
      <c r="BZ242" s="344" t="s">
        <v>1970</v>
      </c>
      <c r="CA242" s="344" t="s">
        <v>1970</v>
      </c>
      <c r="CB242" s="344" t="s">
        <v>1970</v>
      </c>
      <c r="CC242" s="344" t="s">
        <v>1970</v>
      </c>
      <c r="CD242" s="344" t="s">
        <v>1970</v>
      </c>
      <c r="CE242" s="344" t="s">
        <v>1970</v>
      </c>
      <c r="CF242" s="344" t="s">
        <v>1970</v>
      </c>
      <c r="CG242" s="344" t="s">
        <v>1970</v>
      </c>
      <c r="CH242" s="344" t="s">
        <v>1970</v>
      </c>
      <c r="CI242" s="344" t="s">
        <v>1970</v>
      </c>
      <c r="CJ242" s="344" t="s">
        <v>1970</v>
      </c>
      <c r="CK242" s="344" t="s">
        <v>1970</v>
      </c>
      <c r="CL242" s="344" t="s">
        <v>1970</v>
      </c>
      <c r="CM242" s="344" t="s">
        <v>1970</v>
      </c>
      <c r="CN242" s="344" t="s">
        <v>1970</v>
      </c>
      <c r="CO242" s="344" t="s">
        <v>1970</v>
      </c>
      <c r="CP242" s="344" t="s">
        <v>1970</v>
      </c>
      <c r="CQ242" s="344" t="s">
        <v>1970</v>
      </c>
      <c r="CR242" s="344" t="s">
        <v>1970</v>
      </c>
      <c r="CS242" s="344" t="s">
        <v>1970</v>
      </c>
      <c r="CT242" s="344" t="s">
        <v>1970</v>
      </c>
      <c r="CU242" s="344" t="s">
        <v>1970</v>
      </c>
      <c r="CV242" s="344" t="s">
        <v>1970</v>
      </c>
      <c r="CW242" s="344" t="s">
        <v>1970</v>
      </c>
      <c r="CX242" s="344" t="s">
        <v>1970</v>
      </c>
      <c r="CY242" s="344" t="s">
        <v>1970</v>
      </c>
      <c r="CZ242" s="344" t="s">
        <v>1970</v>
      </c>
      <c r="DA242" s="344" t="s">
        <v>1970</v>
      </c>
      <c r="DB242" s="344" t="s">
        <v>1970</v>
      </c>
      <c r="DC242" s="344" t="s">
        <v>1970</v>
      </c>
      <c r="DD242" s="344" t="s">
        <v>1970</v>
      </c>
      <c r="DE242" s="344" t="s">
        <v>1970</v>
      </c>
      <c r="DF242" s="344" t="s">
        <v>1970</v>
      </c>
      <c r="DG242" s="344" t="s">
        <v>1970</v>
      </c>
      <c r="DH242" s="344" t="s">
        <v>1970</v>
      </c>
      <c r="DI242" s="344" t="s">
        <v>1970</v>
      </c>
      <c r="DJ242" s="344" t="s">
        <v>1970</v>
      </c>
      <c r="DK242" s="344" t="s">
        <v>1970</v>
      </c>
      <c r="DL242" s="344" t="s">
        <v>1970</v>
      </c>
      <c r="DM242" s="344" t="s">
        <v>1970</v>
      </c>
      <c r="DN242" s="344" t="s">
        <v>1970</v>
      </c>
      <c r="DO242" s="344" t="s">
        <v>1970</v>
      </c>
      <c r="DP242" s="344" t="s">
        <v>1970</v>
      </c>
      <c r="DQ242" s="344" t="s">
        <v>1970</v>
      </c>
      <c r="DR242" s="344" t="s">
        <v>1970</v>
      </c>
      <c r="DS242" s="344" t="s">
        <v>1970</v>
      </c>
      <c r="DT242" s="344" t="s">
        <v>1970</v>
      </c>
      <c r="DU242" s="344" t="s">
        <v>1970</v>
      </c>
      <c r="DV242" s="344" t="s">
        <v>1970</v>
      </c>
      <c r="DW242" s="344" t="s">
        <v>1970</v>
      </c>
      <c r="DX242" s="344" t="s">
        <v>1970</v>
      </c>
      <c r="DY242" s="344" t="s">
        <v>1970</v>
      </c>
      <c r="DZ242" s="344" t="s">
        <v>1970</v>
      </c>
      <c r="EA242" s="344" t="s">
        <v>1970</v>
      </c>
      <c r="EB242" s="344" t="s">
        <v>1970</v>
      </c>
      <c r="EC242" s="344" t="s">
        <v>1970</v>
      </c>
      <c r="ED242" s="344" t="s">
        <v>1970</v>
      </c>
      <c r="EE242" s="344" t="s">
        <v>1970</v>
      </c>
      <c r="EF242" s="344" t="s">
        <v>1970</v>
      </c>
      <c r="EG242" s="344" t="s">
        <v>1970</v>
      </c>
      <c r="EH242" s="344" t="s">
        <v>1970</v>
      </c>
      <c r="EI242" s="344" t="s">
        <v>1970</v>
      </c>
      <c r="EJ242" s="344" t="s">
        <v>1970</v>
      </c>
      <c r="EK242" s="344" t="s">
        <v>1970</v>
      </c>
      <c r="EL242" s="344" t="s">
        <v>1970</v>
      </c>
      <c r="EM242" s="344" t="s">
        <v>1970</v>
      </c>
      <c r="EN242" s="344" t="s">
        <v>1970</v>
      </c>
      <c r="EO242" s="344" t="s">
        <v>1970</v>
      </c>
      <c r="EP242" s="344" t="s">
        <v>1970</v>
      </c>
      <c r="EQ242" s="344" t="s">
        <v>1970</v>
      </c>
      <c r="ER242" s="344" t="s">
        <v>1970</v>
      </c>
      <c r="ES242" s="344" t="s">
        <v>1970</v>
      </c>
      <c r="ET242" s="344"/>
      <c r="EU242" s="344"/>
      <c r="EV242" s="344"/>
      <c r="EW242" s="344"/>
      <c r="EX242" s="344"/>
      <c r="EY242" s="344"/>
      <c r="EZ242" s="344"/>
      <c r="FA242" s="344"/>
      <c r="FB242" s="344"/>
      <c r="FC242" s="344"/>
      <c r="FD242" s="344"/>
      <c r="FE242" s="344"/>
      <c r="FF242" s="344"/>
      <c r="FG242" s="344"/>
      <c r="FH242" s="344"/>
      <c r="FI242" s="344"/>
      <c r="FJ242" s="344"/>
      <c r="FK242" s="344"/>
      <c r="FL242" s="344"/>
      <c r="FM242" s="344"/>
      <c r="FN242" s="344"/>
      <c r="FO242" s="344"/>
      <c r="FP242" s="344"/>
      <c r="FQ242" s="344"/>
      <c r="FR242" s="344"/>
      <c r="FS242" s="344"/>
      <c r="FT242" s="344"/>
      <c r="FU242" s="344"/>
      <c r="FV242" s="344"/>
      <c r="FW242" s="344"/>
      <c r="FX242" s="344"/>
      <c r="FY242" s="344"/>
      <c r="FZ242" s="344"/>
      <c r="GA242" s="344"/>
      <c r="GB242" s="344"/>
      <c r="GC242" s="344"/>
      <c r="GD242" s="344"/>
      <c r="GE242" s="344"/>
      <c r="GF242" s="344"/>
      <c r="GG242" s="344"/>
      <c r="GH242" s="344"/>
      <c r="GI242" s="344"/>
      <c r="GJ242" s="344"/>
      <c r="GK242" s="344"/>
      <c r="GL242" s="344"/>
      <c r="GM242" s="344"/>
      <c r="GN242" s="344"/>
      <c r="GO242" s="344"/>
      <c r="GP242" s="344"/>
      <c r="GQ242" s="344"/>
      <c r="GR242" s="344"/>
      <c r="GS242" s="344"/>
      <c r="GT242" s="344"/>
      <c r="GU242" s="344"/>
      <c r="GV242" s="344"/>
      <c r="GW242" s="344"/>
      <c r="GX242" s="344"/>
      <c r="GY242" s="344"/>
      <c r="GZ242" s="344"/>
      <c r="HA242" s="344"/>
      <c r="HB242" s="344"/>
      <c r="HC242" s="344"/>
      <c r="HD242" s="344"/>
      <c r="HE242" s="344"/>
      <c r="HF242" s="344"/>
      <c r="HG242" s="344"/>
    </row>
    <row r="243" spans="1:215" ht="13.95" customHeight="1" x14ac:dyDescent="0.3">
      <c r="A243" s="2" t="s">
        <v>1298</v>
      </c>
      <c r="B243" s="2" t="s">
        <v>1172</v>
      </c>
      <c r="C243" s="2" t="s">
        <v>2188</v>
      </c>
      <c r="D243" s="2" t="s">
        <v>1301</v>
      </c>
      <c r="E243" s="2" t="s">
        <v>2153</v>
      </c>
      <c r="F243" s="2">
        <v>39</v>
      </c>
      <c r="G243" s="2">
        <v>36</v>
      </c>
      <c r="H243" s="2">
        <v>35</v>
      </c>
      <c r="I243" s="445" t="s">
        <v>3318</v>
      </c>
      <c r="J243" s="2" t="s">
        <v>2154</v>
      </c>
      <c r="K243" s="2" t="s">
        <v>3113</v>
      </c>
      <c r="L243" s="344" t="s">
        <v>1970</v>
      </c>
      <c r="M243" s="2" t="s">
        <v>1970</v>
      </c>
      <c r="N243" s="344" t="s">
        <v>1978</v>
      </c>
      <c r="O243" s="344" t="s">
        <v>1978</v>
      </c>
      <c r="P243" s="344" t="s">
        <v>1978</v>
      </c>
      <c r="Q243" s="344" t="s">
        <v>1978</v>
      </c>
      <c r="R243" s="344" t="s">
        <v>1978</v>
      </c>
      <c r="S243" s="344" t="s">
        <v>1978</v>
      </c>
      <c r="T243" s="344" t="s">
        <v>2189</v>
      </c>
      <c r="U243" s="2" t="s">
        <v>2165</v>
      </c>
      <c r="V243" s="344" t="s">
        <v>1970</v>
      </c>
      <c r="W243" s="344" t="s">
        <v>1970</v>
      </c>
      <c r="X243" s="344" t="str">
        <f>'A123'!J251</f>
        <v>220*</v>
      </c>
      <c r="Y243" s="344">
        <f>'A123'!K251</f>
        <v>90</v>
      </c>
      <c r="Z243" s="344">
        <f>'A123'!L251</f>
        <v>4.8111111111111109</v>
      </c>
      <c r="AA243" s="2" t="s">
        <v>2165</v>
      </c>
      <c r="AB243" s="344" t="str">
        <f>入學要求!X252</f>
        <v>/</v>
      </c>
      <c r="AC243" s="344" t="str">
        <f>入學要求!Y252</f>
        <v>/</v>
      </c>
      <c r="AD243" s="373" t="s">
        <v>2153</v>
      </c>
      <c r="AE243" s="2" t="s">
        <v>3369</v>
      </c>
      <c r="AF243" s="344" t="s">
        <v>2154</v>
      </c>
      <c r="AG243" s="2" t="s">
        <v>3112</v>
      </c>
      <c r="AH243" s="2" t="s">
        <v>3368</v>
      </c>
      <c r="AI243" s="344" t="s">
        <v>1970</v>
      </c>
      <c r="AO243" s="344" t="s">
        <v>3384</v>
      </c>
      <c r="AP243" s="251" t="s">
        <v>3380</v>
      </c>
      <c r="AQ243" s="344" t="s">
        <v>1970</v>
      </c>
      <c r="AR243" s="344" t="s">
        <v>2150</v>
      </c>
      <c r="AS243" s="2" t="s">
        <v>3620</v>
      </c>
      <c r="AT243" s="2" t="s">
        <v>3681</v>
      </c>
      <c r="AU243" s="2" t="s">
        <v>3702</v>
      </c>
      <c r="AV243" s="344" t="s">
        <v>2596</v>
      </c>
      <c r="BB243" s="344" t="s">
        <v>1970</v>
      </c>
      <c r="BC243" s="344" t="s">
        <v>1970</v>
      </c>
      <c r="BD243" s="344" t="s">
        <v>1970</v>
      </c>
      <c r="BE243" s="344" t="s">
        <v>1970</v>
      </c>
      <c r="BF243" s="344" t="s">
        <v>1970</v>
      </c>
      <c r="BG243" s="344" t="s">
        <v>1970</v>
      </c>
      <c r="BH243" s="344" t="s">
        <v>1970</v>
      </c>
      <c r="BI243" s="344" t="s">
        <v>1970</v>
      </c>
      <c r="BJ243" s="344" t="s">
        <v>1970</v>
      </c>
      <c r="BK243" s="344" t="s">
        <v>1970</v>
      </c>
      <c r="BL243" s="344" t="s">
        <v>1970</v>
      </c>
      <c r="BM243" s="344" t="s">
        <v>1970</v>
      </c>
      <c r="BN243" s="344" t="s">
        <v>1970</v>
      </c>
      <c r="BO243" s="344" t="s">
        <v>1970</v>
      </c>
      <c r="BP243" s="344" t="s">
        <v>1970</v>
      </c>
      <c r="BQ243" s="344" t="s">
        <v>1970</v>
      </c>
      <c r="BR243" s="344" t="s">
        <v>1970</v>
      </c>
      <c r="BS243" s="344" t="s">
        <v>1970</v>
      </c>
      <c r="BT243" s="344" t="s">
        <v>1970</v>
      </c>
      <c r="BU243" s="344" t="s">
        <v>1970</v>
      </c>
      <c r="BV243" s="344" t="s">
        <v>1970</v>
      </c>
      <c r="BW243" s="344" t="s">
        <v>1970</v>
      </c>
      <c r="BX243" s="344" t="s">
        <v>1970</v>
      </c>
      <c r="BY243" s="344" t="s">
        <v>1970</v>
      </c>
      <c r="BZ243" s="344" t="s">
        <v>1970</v>
      </c>
      <c r="CA243" s="344" t="s">
        <v>1970</v>
      </c>
      <c r="CB243" s="344" t="s">
        <v>1970</v>
      </c>
      <c r="CC243" s="344" t="s">
        <v>1970</v>
      </c>
      <c r="CD243" s="344" t="s">
        <v>1970</v>
      </c>
      <c r="CE243" s="344" t="s">
        <v>1970</v>
      </c>
      <c r="CF243" s="344" t="s">
        <v>1970</v>
      </c>
      <c r="CG243" s="344" t="s">
        <v>1970</v>
      </c>
      <c r="CH243" s="344" t="s">
        <v>1970</v>
      </c>
      <c r="CI243" s="344" t="s">
        <v>1970</v>
      </c>
      <c r="CJ243" s="344" t="s">
        <v>1970</v>
      </c>
      <c r="CK243" s="344" t="s">
        <v>1970</v>
      </c>
      <c r="CL243" s="344" t="s">
        <v>1970</v>
      </c>
      <c r="CM243" s="344" t="s">
        <v>1970</v>
      </c>
      <c r="CN243" s="344" t="s">
        <v>1970</v>
      </c>
      <c r="CO243" s="344" t="s">
        <v>1970</v>
      </c>
      <c r="CP243" s="344" t="s">
        <v>1970</v>
      </c>
      <c r="CQ243" s="344" t="s">
        <v>1970</v>
      </c>
      <c r="CR243" s="344" t="s">
        <v>1970</v>
      </c>
      <c r="CS243" s="344" t="s">
        <v>1970</v>
      </c>
      <c r="CT243" s="344" t="s">
        <v>1970</v>
      </c>
      <c r="CU243" s="344" t="s">
        <v>1970</v>
      </c>
      <c r="CV243" s="344" t="s">
        <v>1970</v>
      </c>
      <c r="CW243" s="344" t="s">
        <v>1970</v>
      </c>
      <c r="CX243" s="344" t="s">
        <v>1970</v>
      </c>
      <c r="CY243" s="344" t="s">
        <v>1970</v>
      </c>
      <c r="CZ243" s="344" t="s">
        <v>1970</v>
      </c>
      <c r="DA243" s="344" t="s">
        <v>1970</v>
      </c>
      <c r="DB243" s="344" t="s">
        <v>1970</v>
      </c>
      <c r="DC243" s="344" t="s">
        <v>1970</v>
      </c>
      <c r="DD243" s="344" t="s">
        <v>1970</v>
      </c>
      <c r="DE243" s="344" t="s">
        <v>1970</v>
      </c>
      <c r="DF243" s="344" t="s">
        <v>1970</v>
      </c>
      <c r="DG243" s="344" t="s">
        <v>1970</v>
      </c>
      <c r="DH243" s="344" t="s">
        <v>1970</v>
      </c>
      <c r="DI243" s="344" t="s">
        <v>1970</v>
      </c>
      <c r="DJ243" s="344" t="s">
        <v>1970</v>
      </c>
      <c r="DK243" s="344" t="s">
        <v>1970</v>
      </c>
      <c r="DL243" s="344" t="s">
        <v>1970</v>
      </c>
      <c r="DM243" s="344" t="s">
        <v>1970</v>
      </c>
      <c r="DN243" s="344" t="s">
        <v>1970</v>
      </c>
      <c r="DO243" s="344" t="s">
        <v>1970</v>
      </c>
      <c r="DP243" s="344" t="s">
        <v>1970</v>
      </c>
      <c r="DQ243" s="344" t="s">
        <v>1970</v>
      </c>
      <c r="DR243" s="344" t="s">
        <v>1970</v>
      </c>
      <c r="DS243" s="344" t="s">
        <v>1970</v>
      </c>
      <c r="DT243" s="344" t="s">
        <v>1970</v>
      </c>
      <c r="DU243" s="344" t="s">
        <v>1970</v>
      </c>
      <c r="DV243" s="344" t="s">
        <v>1970</v>
      </c>
      <c r="DW243" s="344" t="s">
        <v>1970</v>
      </c>
      <c r="DX243" s="344" t="s">
        <v>1970</v>
      </c>
      <c r="DY243" s="344" t="s">
        <v>1970</v>
      </c>
      <c r="DZ243" s="344" t="s">
        <v>1970</v>
      </c>
      <c r="EA243" s="344" t="s">
        <v>1970</v>
      </c>
      <c r="EB243" s="344" t="s">
        <v>1970</v>
      </c>
      <c r="EC243" s="344" t="s">
        <v>1970</v>
      </c>
      <c r="ED243" s="344" t="s">
        <v>1970</v>
      </c>
      <c r="EE243" s="344" t="s">
        <v>1970</v>
      </c>
      <c r="EF243" s="344" t="s">
        <v>1970</v>
      </c>
      <c r="EG243" s="344" t="s">
        <v>1970</v>
      </c>
      <c r="EH243" s="344" t="s">
        <v>1970</v>
      </c>
      <c r="EI243" s="344" t="s">
        <v>1970</v>
      </c>
      <c r="EJ243" s="344" t="s">
        <v>1970</v>
      </c>
      <c r="EK243" s="344" t="s">
        <v>1970</v>
      </c>
      <c r="EL243" s="344" t="s">
        <v>1970</v>
      </c>
      <c r="EM243" s="344" t="s">
        <v>1970</v>
      </c>
      <c r="EN243" s="344" t="s">
        <v>1970</v>
      </c>
      <c r="EO243" s="344" t="s">
        <v>1970</v>
      </c>
      <c r="EP243" s="344" t="s">
        <v>1970</v>
      </c>
      <c r="EQ243" s="344" t="s">
        <v>1970</v>
      </c>
      <c r="ER243" s="344" t="s">
        <v>1970</v>
      </c>
      <c r="ES243" s="344" t="s">
        <v>1970</v>
      </c>
      <c r="ET243" s="344"/>
      <c r="EU243" s="344"/>
      <c r="EV243" s="344"/>
      <c r="EW243" s="344"/>
      <c r="EX243" s="344"/>
      <c r="EY243" s="344"/>
      <c r="EZ243" s="344"/>
      <c r="FA243" s="344"/>
      <c r="FB243" s="344"/>
      <c r="FC243" s="344"/>
      <c r="FD243" s="344"/>
      <c r="FE243" s="344"/>
      <c r="FF243" s="344"/>
      <c r="FG243" s="344"/>
      <c r="FH243" s="344"/>
      <c r="FI243" s="344"/>
      <c r="FJ243" s="344"/>
      <c r="FK243" s="344"/>
      <c r="FL243" s="344"/>
      <c r="FM243" s="344"/>
      <c r="FN243" s="344"/>
      <c r="FO243" s="344"/>
      <c r="FP243" s="344"/>
      <c r="FQ243" s="344"/>
      <c r="FR243" s="344"/>
      <c r="FS243" s="344"/>
      <c r="FT243" s="344"/>
      <c r="FU243" s="344"/>
      <c r="FV243" s="344"/>
      <c r="FW243" s="344"/>
      <c r="FX243" s="344"/>
      <c r="FY243" s="344"/>
      <c r="FZ243" s="344"/>
      <c r="GA243" s="344"/>
      <c r="GB243" s="344"/>
      <c r="GC243" s="344"/>
      <c r="GD243" s="344"/>
      <c r="GE243" s="344"/>
      <c r="GF243" s="344"/>
      <c r="GG243" s="344"/>
      <c r="GH243" s="344"/>
      <c r="GI243" s="344"/>
      <c r="GJ243" s="344"/>
      <c r="GK243" s="344"/>
      <c r="GL243" s="344"/>
      <c r="GM243" s="344"/>
      <c r="GN243" s="344"/>
      <c r="GO243" s="344"/>
      <c r="GP243" s="344"/>
      <c r="GQ243" s="344"/>
      <c r="GR243" s="344"/>
      <c r="GS243" s="344"/>
      <c r="GT243" s="344"/>
      <c r="GU243" s="344"/>
      <c r="GV243" s="344"/>
      <c r="GW243" s="344"/>
      <c r="GX243" s="344"/>
      <c r="GY243" s="344"/>
      <c r="GZ243" s="344"/>
      <c r="HA243" s="344"/>
      <c r="HB243" s="344"/>
      <c r="HC243" s="344"/>
      <c r="HD243" s="344"/>
      <c r="HE243" s="344"/>
      <c r="HF243" s="344"/>
      <c r="HG243" s="344"/>
    </row>
    <row r="244" spans="1:215" ht="13.95" customHeight="1" x14ac:dyDescent="0.3">
      <c r="A244" s="2" t="s">
        <v>1302</v>
      </c>
      <c r="B244" s="2" t="s">
        <v>1172</v>
      </c>
      <c r="C244" s="2" t="s">
        <v>2188</v>
      </c>
      <c r="D244" s="2" t="s">
        <v>1305</v>
      </c>
      <c r="E244" s="344" t="s">
        <v>2153</v>
      </c>
      <c r="F244" s="2">
        <v>39</v>
      </c>
      <c r="G244" s="2">
        <v>36</v>
      </c>
      <c r="H244" s="2">
        <v>35</v>
      </c>
      <c r="I244" s="344" t="s">
        <v>1970</v>
      </c>
      <c r="J244" s="2" t="s">
        <v>3354</v>
      </c>
      <c r="K244" s="2" t="s">
        <v>3353</v>
      </c>
      <c r="L244" s="344" t="s">
        <v>1970</v>
      </c>
      <c r="M244" s="2" t="s">
        <v>1970</v>
      </c>
      <c r="N244" s="344" t="s">
        <v>1978</v>
      </c>
      <c r="O244" s="344" t="s">
        <v>1978</v>
      </c>
      <c r="P244" s="344" t="s">
        <v>1978</v>
      </c>
      <c r="Q244" s="344" t="s">
        <v>1978</v>
      </c>
      <c r="R244" s="344" t="s">
        <v>1978</v>
      </c>
      <c r="S244" s="344" t="s">
        <v>1978</v>
      </c>
      <c r="T244" s="344" t="s">
        <v>2190</v>
      </c>
      <c r="U244" s="2" t="s">
        <v>2165</v>
      </c>
      <c r="V244" s="344" t="s">
        <v>1970</v>
      </c>
      <c r="W244" s="344" t="s">
        <v>1970</v>
      </c>
      <c r="X244" s="344" t="str">
        <f>'A123'!J252</f>
        <v>220*</v>
      </c>
      <c r="Y244" s="344">
        <f>'A123'!K252</f>
        <v>163</v>
      </c>
      <c r="Z244" s="344">
        <f>'A123'!L252</f>
        <v>2.8098159509202456</v>
      </c>
      <c r="AA244" s="2" t="s">
        <v>2165</v>
      </c>
      <c r="AB244" s="344" t="str">
        <f>入學要求!X253</f>
        <v>/</v>
      </c>
      <c r="AC244" s="344" t="str">
        <f>入學要求!Y253</f>
        <v>/</v>
      </c>
      <c r="AD244" s="373" t="s">
        <v>2153</v>
      </c>
      <c r="AE244" s="344" t="s">
        <v>3369</v>
      </c>
      <c r="AF244" s="344" t="s">
        <v>2154</v>
      </c>
      <c r="AG244" s="2" t="s">
        <v>3112</v>
      </c>
      <c r="AH244" s="344" t="s">
        <v>3368</v>
      </c>
      <c r="AI244" s="344" t="s">
        <v>1970</v>
      </c>
      <c r="AO244" s="344" t="s">
        <v>3384</v>
      </c>
      <c r="AP244" s="251" t="s">
        <v>3380</v>
      </c>
      <c r="AQ244" s="344" t="s">
        <v>1970</v>
      </c>
      <c r="AR244" s="344" t="s">
        <v>2150</v>
      </c>
      <c r="AS244" s="2" t="s">
        <v>3603</v>
      </c>
      <c r="AT244" s="2" t="s">
        <v>1970</v>
      </c>
      <c r="AU244" s="2" t="s">
        <v>3701</v>
      </c>
      <c r="AV244" s="344" t="s">
        <v>2596</v>
      </c>
      <c r="BB244" s="344" t="s">
        <v>1970</v>
      </c>
      <c r="BC244" s="344" t="s">
        <v>1970</v>
      </c>
      <c r="BD244" s="344" t="s">
        <v>1970</v>
      </c>
      <c r="BE244" s="344" t="s">
        <v>1970</v>
      </c>
      <c r="BF244" s="344" t="s">
        <v>1970</v>
      </c>
      <c r="BG244" s="344" t="s">
        <v>1970</v>
      </c>
      <c r="BH244" s="344" t="s">
        <v>1970</v>
      </c>
      <c r="BI244" s="344" t="s">
        <v>1970</v>
      </c>
      <c r="BJ244" s="344" t="s">
        <v>1970</v>
      </c>
      <c r="BK244" s="344" t="s">
        <v>1970</v>
      </c>
      <c r="BL244" s="344" t="s">
        <v>1970</v>
      </c>
      <c r="BM244" s="344" t="s">
        <v>1970</v>
      </c>
      <c r="BN244" s="344" t="s">
        <v>1970</v>
      </c>
      <c r="BO244" s="344" t="s">
        <v>1970</v>
      </c>
      <c r="BP244" s="344" t="s">
        <v>1970</v>
      </c>
      <c r="BQ244" s="344" t="s">
        <v>1970</v>
      </c>
      <c r="BR244" s="344" t="s">
        <v>1970</v>
      </c>
      <c r="BS244" s="344" t="s">
        <v>1970</v>
      </c>
      <c r="BT244" s="344" t="s">
        <v>1970</v>
      </c>
      <c r="BU244" s="344" t="s">
        <v>1970</v>
      </c>
      <c r="BV244" s="344" t="s">
        <v>1970</v>
      </c>
      <c r="BW244" s="344" t="s">
        <v>1970</v>
      </c>
      <c r="BX244" s="344" t="s">
        <v>1970</v>
      </c>
      <c r="BY244" s="344" t="s">
        <v>1970</v>
      </c>
      <c r="BZ244" s="344" t="s">
        <v>1970</v>
      </c>
      <c r="CA244" s="344" t="s">
        <v>1970</v>
      </c>
      <c r="CB244" s="344" t="s">
        <v>1970</v>
      </c>
      <c r="CC244" s="344" t="s">
        <v>1970</v>
      </c>
      <c r="CD244" s="344" t="s">
        <v>1970</v>
      </c>
      <c r="CE244" s="344" t="s">
        <v>1970</v>
      </c>
      <c r="CF244" s="344" t="s">
        <v>1970</v>
      </c>
      <c r="CG244" s="344" t="s">
        <v>1970</v>
      </c>
      <c r="CH244" s="344" t="s">
        <v>1970</v>
      </c>
      <c r="CI244" s="344" t="s">
        <v>1970</v>
      </c>
      <c r="CJ244" s="344" t="s">
        <v>1970</v>
      </c>
      <c r="CK244" s="344" t="s">
        <v>1970</v>
      </c>
      <c r="CL244" s="344" t="s">
        <v>1970</v>
      </c>
      <c r="CM244" s="344" t="s">
        <v>1970</v>
      </c>
      <c r="CN244" s="344" t="s">
        <v>1970</v>
      </c>
      <c r="CO244" s="344" t="s">
        <v>1970</v>
      </c>
      <c r="CP244" s="344" t="s">
        <v>1970</v>
      </c>
      <c r="CQ244" s="344" t="s">
        <v>1970</v>
      </c>
      <c r="CR244" s="344" t="s">
        <v>1970</v>
      </c>
      <c r="CS244" s="344" t="s">
        <v>1970</v>
      </c>
      <c r="CT244" s="344" t="s">
        <v>1970</v>
      </c>
      <c r="CU244" s="344" t="s">
        <v>1970</v>
      </c>
      <c r="CV244" s="344" t="s">
        <v>1970</v>
      </c>
      <c r="CW244" s="344" t="s">
        <v>1970</v>
      </c>
      <c r="CX244" s="344" t="s">
        <v>1970</v>
      </c>
      <c r="CY244" s="344" t="s">
        <v>1970</v>
      </c>
      <c r="CZ244" s="344" t="s">
        <v>1970</v>
      </c>
      <c r="DA244" s="344" t="s">
        <v>1970</v>
      </c>
      <c r="DB244" s="344" t="s">
        <v>1970</v>
      </c>
      <c r="DC244" s="344" t="s">
        <v>1970</v>
      </c>
      <c r="DD244" s="344" t="s">
        <v>1970</v>
      </c>
      <c r="DE244" s="344" t="s">
        <v>1970</v>
      </c>
      <c r="DF244" s="344" t="s">
        <v>1970</v>
      </c>
      <c r="DG244" s="344" t="s">
        <v>1970</v>
      </c>
      <c r="DH244" s="344" t="s">
        <v>1970</v>
      </c>
      <c r="DI244" s="344" t="s">
        <v>1970</v>
      </c>
      <c r="DJ244" s="344" t="s">
        <v>1970</v>
      </c>
      <c r="DK244" s="344" t="s">
        <v>1970</v>
      </c>
      <c r="DL244" s="344" t="s">
        <v>1970</v>
      </c>
      <c r="DM244" s="344" t="s">
        <v>1970</v>
      </c>
      <c r="DN244" s="344" t="s">
        <v>1970</v>
      </c>
      <c r="DO244" s="344" t="s">
        <v>1970</v>
      </c>
      <c r="DP244" s="344" t="s">
        <v>1970</v>
      </c>
      <c r="DQ244" s="344" t="s">
        <v>1970</v>
      </c>
      <c r="DR244" s="344" t="s">
        <v>1970</v>
      </c>
      <c r="DS244" s="344" t="s">
        <v>1970</v>
      </c>
      <c r="DT244" s="344" t="s">
        <v>1970</v>
      </c>
      <c r="DU244" s="344" t="s">
        <v>1970</v>
      </c>
      <c r="DV244" s="344" t="s">
        <v>1970</v>
      </c>
      <c r="DW244" s="344" t="s">
        <v>1970</v>
      </c>
      <c r="DX244" s="344" t="s">
        <v>1970</v>
      </c>
      <c r="DY244" s="344" t="s">
        <v>1970</v>
      </c>
      <c r="DZ244" s="344" t="s">
        <v>1970</v>
      </c>
      <c r="EA244" s="344" t="s">
        <v>1970</v>
      </c>
      <c r="EB244" s="344" t="s">
        <v>1970</v>
      </c>
      <c r="EC244" s="344" t="s">
        <v>1970</v>
      </c>
      <c r="ED244" s="344" t="s">
        <v>1970</v>
      </c>
      <c r="EE244" s="344" t="s">
        <v>1970</v>
      </c>
      <c r="EF244" s="344" t="s">
        <v>1970</v>
      </c>
      <c r="EG244" s="344" t="s">
        <v>1970</v>
      </c>
      <c r="EH244" s="344" t="s">
        <v>1970</v>
      </c>
      <c r="EI244" s="344" t="s">
        <v>1970</v>
      </c>
      <c r="EJ244" s="344" t="s">
        <v>1970</v>
      </c>
      <c r="EK244" s="344" t="s">
        <v>1970</v>
      </c>
      <c r="EL244" s="344" t="s">
        <v>1970</v>
      </c>
      <c r="EM244" s="344" t="s">
        <v>1970</v>
      </c>
      <c r="EN244" s="344" t="s">
        <v>1970</v>
      </c>
      <c r="EO244" s="344" t="s">
        <v>1970</v>
      </c>
      <c r="EP244" s="344" t="s">
        <v>1970</v>
      </c>
      <c r="EQ244" s="344" t="s">
        <v>1970</v>
      </c>
      <c r="ER244" s="344" t="s">
        <v>1970</v>
      </c>
      <c r="ES244" s="344" t="s">
        <v>1970</v>
      </c>
    </row>
    <row r="245" spans="1:215" ht="13.95" customHeight="1" x14ac:dyDescent="0.3">
      <c r="A245" s="2" t="s">
        <v>1333</v>
      </c>
      <c r="B245" s="2" t="s">
        <v>1172</v>
      </c>
      <c r="C245" s="2" t="s">
        <v>2188</v>
      </c>
      <c r="D245" s="2" t="s">
        <v>1336</v>
      </c>
      <c r="E245" s="344" t="s">
        <v>2153</v>
      </c>
      <c r="F245" s="2">
        <v>46</v>
      </c>
      <c r="G245" s="2">
        <v>45</v>
      </c>
      <c r="H245" s="2">
        <v>44</v>
      </c>
      <c r="I245" s="344" t="s">
        <v>1970</v>
      </c>
      <c r="J245" s="344" t="s">
        <v>3354</v>
      </c>
      <c r="K245" s="344" t="s">
        <v>3353</v>
      </c>
      <c r="L245" s="344" t="s">
        <v>1970</v>
      </c>
      <c r="M245" s="2" t="s">
        <v>1970</v>
      </c>
      <c r="N245" s="344" t="s">
        <v>1978</v>
      </c>
      <c r="O245" s="344" t="s">
        <v>1978</v>
      </c>
      <c r="P245" s="344" t="s">
        <v>1978</v>
      </c>
      <c r="Q245" s="344" t="s">
        <v>1978</v>
      </c>
      <c r="R245" s="344" t="s">
        <v>1978</v>
      </c>
      <c r="S245" s="344" t="s">
        <v>1978</v>
      </c>
      <c r="T245" s="344" t="s">
        <v>2191</v>
      </c>
      <c r="U245" s="2" t="s">
        <v>2165</v>
      </c>
      <c r="V245" s="344" t="s">
        <v>1970</v>
      </c>
      <c r="W245" s="344" t="s">
        <v>1970</v>
      </c>
      <c r="X245" s="344">
        <f>'A123'!J253</f>
        <v>30</v>
      </c>
      <c r="Y245" s="344">
        <f>'A123'!K253</f>
        <v>23</v>
      </c>
      <c r="Z245" s="344">
        <f>'A123'!L253</f>
        <v>4.7391304347826084</v>
      </c>
      <c r="AA245" s="2" t="s">
        <v>2165</v>
      </c>
      <c r="AB245" s="344" t="str">
        <f>入學要求!X254</f>
        <v>/</v>
      </c>
      <c r="AC245" s="344" t="str">
        <f>入學要求!Y254</f>
        <v>/</v>
      </c>
      <c r="AD245" s="373" t="s">
        <v>1979</v>
      </c>
      <c r="AE245" s="344" t="s">
        <v>3369</v>
      </c>
      <c r="AF245" s="344" t="s">
        <v>2154</v>
      </c>
      <c r="AG245" s="2" t="s">
        <v>3112</v>
      </c>
      <c r="AH245" s="344" t="s">
        <v>3368</v>
      </c>
      <c r="AI245" s="344" t="s">
        <v>1970</v>
      </c>
      <c r="AO245" s="344" t="s">
        <v>3384</v>
      </c>
      <c r="AP245" s="251" t="s">
        <v>3380</v>
      </c>
      <c r="AQ245" s="344" t="s">
        <v>1970</v>
      </c>
      <c r="AR245" s="344" t="s">
        <v>2150</v>
      </c>
      <c r="AS245" s="2" t="s">
        <v>3603</v>
      </c>
      <c r="AT245" s="2" t="s">
        <v>1970</v>
      </c>
      <c r="AU245" s="2" t="s">
        <v>3703</v>
      </c>
      <c r="AV245" s="344" t="s">
        <v>2596</v>
      </c>
      <c r="BB245" s="344" t="s">
        <v>1970</v>
      </c>
      <c r="BC245" s="344" t="s">
        <v>1970</v>
      </c>
      <c r="BD245" s="344" t="s">
        <v>1970</v>
      </c>
      <c r="BE245" s="344" t="s">
        <v>1970</v>
      </c>
      <c r="BF245" s="344" t="s">
        <v>1970</v>
      </c>
      <c r="BG245" s="344" t="s">
        <v>1970</v>
      </c>
      <c r="BH245" s="344" t="s">
        <v>1970</v>
      </c>
      <c r="BI245" s="344" t="s">
        <v>1970</v>
      </c>
      <c r="BJ245" s="344" t="s">
        <v>1970</v>
      </c>
      <c r="BK245" s="344" t="s">
        <v>1970</v>
      </c>
      <c r="BL245" s="344" t="s">
        <v>1970</v>
      </c>
      <c r="BM245" s="344" t="s">
        <v>1970</v>
      </c>
      <c r="BN245" s="344" t="s">
        <v>1970</v>
      </c>
      <c r="BO245" s="344" t="s">
        <v>1970</v>
      </c>
      <c r="BP245" s="344" t="s">
        <v>1970</v>
      </c>
      <c r="BQ245" s="344" t="s">
        <v>1970</v>
      </c>
      <c r="BR245" s="344" t="s">
        <v>1970</v>
      </c>
      <c r="BS245" s="344" t="s">
        <v>1970</v>
      </c>
      <c r="BT245" s="344" t="s">
        <v>1970</v>
      </c>
      <c r="BU245" s="344" t="s">
        <v>1970</v>
      </c>
      <c r="BV245" s="344" t="s">
        <v>1970</v>
      </c>
      <c r="BW245" s="344" t="s">
        <v>1970</v>
      </c>
      <c r="BX245" s="344" t="s">
        <v>1970</v>
      </c>
      <c r="BY245" s="344" t="s">
        <v>1970</v>
      </c>
      <c r="BZ245" s="344" t="s">
        <v>1970</v>
      </c>
      <c r="CA245" s="344" t="s">
        <v>1970</v>
      </c>
      <c r="CB245" s="344" t="s">
        <v>1970</v>
      </c>
      <c r="CC245" s="344" t="s">
        <v>1970</v>
      </c>
      <c r="CD245" s="344" t="s">
        <v>1970</v>
      </c>
      <c r="CE245" s="344" t="s">
        <v>1970</v>
      </c>
      <c r="CF245" s="344" t="s">
        <v>1970</v>
      </c>
      <c r="CG245" s="344" t="s">
        <v>1970</v>
      </c>
      <c r="CH245" s="344" t="s">
        <v>1970</v>
      </c>
      <c r="CI245" s="344" t="s">
        <v>1970</v>
      </c>
      <c r="CJ245" s="344" t="s">
        <v>1970</v>
      </c>
      <c r="CK245" s="344" t="s">
        <v>1970</v>
      </c>
      <c r="CL245" s="344" t="s">
        <v>1970</v>
      </c>
      <c r="CM245" s="344" t="s">
        <v>1970</v>
      </c>
      <c r="CN245" s="344" t="s">
        <v>1970</v>
      </c>
      <c r="CO245" s="344" t="s">
        <v>1970</v>
      </c>
      <c r="CP245" s="344" t="s">
        <v>1970</v>
      </c>
      <c r="CQ245" s="344" t="s">
        <v>1970</v>
      </c>
      <c r="CR245" s="344" t="s">
        <v>1970</v>
      </c>
      <c r="CS245" s="344" t="s">
        <v>1970</v>
      </c>
      <c r="CT245" s="344" t="s">
        <v>1970</v>
      </c>
      <c r="CU245" s="344" t="s">
        <v>1970</v>
      </c>
      <c r="CV245" s="344" t="s">
        <v>1970</v>
      </c>
      <c r="CW245" s="344" t="s">
        <v>1970</v>
      </c>
      <c r="CX245" s="344" t="s">
        <v>1970</v>
      </c>
      <c r="CY245" s="344" t="s">
        <v>1970</v>
      </c>
      <c r="CZ245" s="344" t="s">
        <v>1970</v>
      </c>
      <c r="DA245" s="344" t="s">
        <v>1970</v>
      </c>
      <c r="DB245" s="344" t="s">
        <v>1970</v>
      </c>
      <c r="DC245" s="344" t="s">
        <v>1970</v>
      </c>
      <c r="DD245" s="344" t="s">
        <v>1970</v>
      </c>
      <c r="DE245" s="344" t="s">
        <v>1970</v>
      </c>
      <c r="DF245" s="344" t="s">
        <v>1970</v>
      </c>
      <c r="DG245" s="344" t="s">
        <v>1970</v>
      </c>
      <c r="DH245" s="344" t="s">
        <v>1970</v>
      </c>
      <c r="DI245" s="344" t="s">
        <v>1970</v>
      </c>
      <c r="DJ245" s="344" t="s">
        <v>1970</v>
      </c>
      <c r="DK245" s="344" t="s">
        <v>1970</v>
      </c>
      <c r="DL245" s="344" t="s">
        <v>1970</v>
      </c>
      <c r="DM245" s="344" t="s">
        <v>1970</v>
      </c>
      <c r="DN245" s="344" t="s">
        <v>1970</v>
      </c>
      <c r="DO245" s="344" t="s">
        <v>1970</v>
      </c>
      <c r="DP245" s="344" t="s">
        <v>1970</v>
      </c>
      <c r="DQ245" s="344" t="s">
        <v>1970</v>
      </c>
      <c r="DR245" s="344" t="s">
        <v>1970</v>
      </c>
      <c r="DS245" s="344" t="s">
        <v>1970</v>
      </c>
      <c r="DT245" s="344" t="s">
        <v>1970</v>
      </c>
      <c r="DU245" s="344" t="s">
        <v>1970</v>
      </c>
      <c r="DV245" s="344" t="s">
        <v>1970</v>
      </c>
      <c r="DW245" s="344" t="s">
        <v>1970</v>
      </c>
      <c r="DX245" s="344" t="s">
        <v>1970</v>
      </c>
      <c r="DY245" s="344" t="s">
        <v>1970</v>
      </c>
      <c r="DZ245" s="344" t="s">
        <v>1970</v>
      </c>
      <c r="EA245" s="344" t="s">
        <v>1970</v>
      </c>
      <c r="EB245" s="344" t="s">
        <v>1970</v>
      </c>
      <c r="EC245" s="344" t="s">
        <v>1970</v>
      </c>
      <c r="ED245" s="344" t="s">
        <v>1970</v>
      </c>
      <c r="EE245" s="344" t="s">
        <v>1970</v>
      </c>
      <c r="EF245" s="344" t="s">
        <v>1970</v>
      </c>
      <c r="EG245" s="344" t="s">
        <v>1970</v>
      </c>
      <c r="EH245" s="344" t="s">
        <v>1970</v>
      </c>
      <c r="EI245" s="344" t="s">
        <v>1970</v>
      </c>
      <c r="EJ245" s="344" t="s">
        <v>1970</v>
      </c>
      <c r="EK245" s="344" t="s">
        <v>1970</v>
      </c>
      <c r="EL245" s="344" t="s">
        <v>1970</v>
      </c>
      <c r="EM245" s="344" t="s">
        <v>1970</v>
      </c>
      <c r="EN245" s="344" t="s">
        <v>1970</v>
      </c>
      <c r="EO245" s="344" t="s">
        <v>1970</v>
      </c>
      <c r="EP245" s="344" t="s">
        <v>1970</v>
      </c>
      <c r="EQ245" s="344" t="s">
        <v>1970</v>
      </c>
      <c r="ER245" s="344" t="s">
        <v>1970</v>
      </c>
      <c r="ES245" s="344" t="s">
        <v>1970</v>
      </c>
    </row>
    <row r="246" spans="1:215" ht="13.95" customHeight="1" x14ac:dyDescent="0.3">
      <c r="A246" s="2" t="s">
        <v>1306</v>
      </c>
      <c r="B246" s="2" t="s">
        <v>1172</v>
      </c>
      <c r="C246" s="2" t="s">
        <v>2188</v>
      </c>
      <c r="D246" s="2" t="s">
        <v>1309</v>
      </c>
      <c r="E246" s="344" t="s">
        <v>2153</v>
      </c>
      <c r="F246" s="2">
        <v>39</v>
      </c>
      <c r="G246" s="2">
        <v>37</v>
      </c>
      <c r="H246" s="2">
        <v>36</v>
      </c>
      <c r="I246" s="445" t="s">
        <v>3318</v>
      </c>
      <c r="J246" s="344" t="s">
        <v>2154</v>
      </c>
      <c r="K246" s="344" t="s">
        <v>3113</v>
      </c>
      <c r="L246" s="344" t="s">
        <v>1970</v>
      </c>
      <c r="M246" s="2" t="s">
        <v>1970</v>
      </c>
      <c r="N246" s="344" t="s">
        <v>1978</v>
      </c>
      <c r="O246" s="344" t="s">
        <v>1978</v>
      </c>
      <c r="P246" s="344" t="s">
        <v>1978</v>
      </c>
      <c r="Q246" s="344" t="s">
        <v>1978</v>
      </c>
      <c r="R246" s="344" t="s">
        <v>1978</v>
      </c>
      <c r="S246" s="344" t="s">
        <v>1978</v>
      </c>
      <c r="T246" s="344" t="s">
        <v>2192</v>
      </c>
      <c r="U246" s="2" t="s">
        <v>2165</v>
      </c>
      <c r="V246" s="344" t="s">
        <v>1970</v>
      </c>
      <c r="W246" s="344" t="s">
        <v>1970</v>
      </c>
      <c r="X246" s="344">
        <f>'A123'!J254</f>
        <v>15</v>
      </c>
      <c r="Y246" s="344">
        <f>'A123'!K254</f>
        <v>22</v>
      </c>
      <c r="Z246" s="344">
        <f>'A123'!L254</f>
        <v>4.5909090909090908</v>
      </c>
      <c r="AA246" s="2" t="s">
        <v>2165</v>
      </c>
      <c r="AB246" s="344" t="str">
        <f>入學要求!X255</f>
        <v>以下一科選修取得Lv.3︰生物、化學、組合科學、物理、ICT、綜合科學</v>
      </c>
      <c r="AC246" s="344" t="str">
        <f>入學要求!Y255</f>
        <v>M1/2 應考獲Lv. 3 或以上</v>
      </c>
      <c r="AD246" s="373" t="s">
        <v>1979</v>
      </c>
      <c r="AE246" s="344" t="s">
        <v>3369</v>
      </c>
      <c r="AF246" s="344" t="s">
        <v>2154</v>
      </c>
      <c r="AG246" s="2" t="s">
        <v>3112</v>
      </c>
      <c r="AH246" s="344" t="s">
        <v>3368</v>
      </c>
      <c r="AI246" s="344" t="s">
        <v>1970</v>
      </c>
      <c r="AO246" s="344" t="s">
        <v>3384</v>
      </c>
      <c r="AP246" s="251" t="s">
        <v>3380</v>
      </c>
      <c r="AQ246" s="344" t="s">
        <v>1970</v>
      </c>
      <c r="AR246" s="344" t="s">
        <v>2150</v>
      </c>
      <c r="AS246" s="2" t="s">
        <v>3603</v>
      </c>
      <c r="AT246" s="2" t="s">
        <v>1970</v>
      </c>
      <c r="AU246" s="2" t="s">
        <v>3704</v>
      </c>
      <c r="AV246" s="344" t="s">
        <v>2596</v>
      </c>
      <c r="BB246" s="344" t="s">
        <v>1970</v>
      </c>
      <c r="BC246" s="344" t="s">
        <v>1970</v>
      </c>
      <c r="BD246" s="344" t="s">
        <v>1970</v>
      </c>
      <c r="BE246" s="344" t="s">
        <v>1970</v>
      </c>
      <c r="BF246" s="344" t="s">
        <v>1970</v>
      </c>
      <c r="BG246" s="344" t="s">
        <v>1970</v>
      </c>
      <c r="BH246" s="344" t="s">
        <v>1970</v>
      </c>
      <c r="BI246" s="344" t="s">
        <v>1970</v>
      </c>
      <c r="BJ246" s="344" t="s">
        <v>1970</v>
      </c>
      <c r="BK246" s="344" t="s">
        <v>1970</v>
      </c>
      <c r="BL246" s="344" t="s">
        <v>1970</v>
      </c>
      <c r="BM246" s="344" t="s">
        <v>1970</v>
      </c>
      <c r="BN246" s="344" t="s">
        <v>1970</v>
      </c>
      <c r="BO246" s="344" t="s">
        <v>1970</v>
      </c>
      <c r="BP246" s="344" t="s">
        <v>1970</v>
      </c>
      <c r="BQ246" s="344" t="s">
        <v>1970</v>
      </c>
      <c r="BR246" s="344" t="s">
        <v>1970</v>
      </c>
      <c r="BS246" s="344" t="s">
        <v>1970</v>
      </c>
      <c r="BT246" s="344" t="s">
        <v>1970</v>
      </c>
      <c r="BU246" s="344" t="s">
        <v>1970</v>
      </c>
      <c r="BV246" s="344" t="s">
        <v>1970</v>
      </c>
      <c r="BW246" s="344" t="s">
        <v>1970</v>
      </c>
      <c r="BX246" s="344" t="s">
        <v>1970</v>
      </c>
      <c r="BY246" s="344" t="s">
        <v>1970</v>
      </c>
      <c r="BZ246" s="344" t="s">
        <v>1970</v>
      </c>
      <c r="CA246" s="344" t="s">
        <v>1970</v>
      </c>
      <c r="CB246" s="344" t="s">
        <v>1970</v>
      </c>
      <c r="CC246" s="344" t="s">
        <v>1970</v>
      </c>
      <c r="CD246" s="344" t="s">
        <v>1970</v>
      </c>
      <c r="CE246" s="344" t="s">
        <v>1970</v>
      </c>
      <c r="CF246" s="344" t="s">
        <v>1970</v>
      </c>
      <c r="CG246" s="344" t="s">
        <v>1970</v>
      </c>
      <c r="CH246" s="344" t="s">
        <v>1970</v>
      </c>
      <c r="CI246" s="344" t="s">
        <v>1970</v>
      </c>
      <c r="CJ246" s="344" t="s">
        <v>1970</v>
      </c>
      <c r="CK246" s="344" t="s">
        <v>1970</v>
      </c>
      <c r="CL246" s="344" t="s">
        <v>1970</v>
      </c>
      <c r="CM246" s="344" t="s">
        <v>1970</v>
      </c>
      <c r="CN246" s="344" t="s">
        <v>1970</v>
      </c>
      <c r="CO246" s="344" t="s">
        <v>1970</v>
      </c>
      <c r="CP246" s="344" t="s">
        <v>1970</v>
      </c>
      <c r="CQ246" s="344" t="s">
        <v>1970</v>
      </c>
      <c r="CR246" s="344" t="s">
        <v>1970</v>
      </c>
      <c r="CS246" s="344" t="s">
        <v>1970</v>
      </c>
      <c r="CT246" s="344" t="s">
        <v>1970</v>
      </c>
      <c r="CU246" s="344" t="s">
        <v>1970</v>
      </c>
      <c r="CV246" s="344" t="s">
        <v>1970</v>
      </c>
      <c r="CW246" s="344" t="s">
        <v>1970</v>
      </c>
      <c r="CX246" s="344" t="s">
        <v>1970</v>
      </c>
      <c r="CY246" s="344" t="s">
        <v>1970</v>
      </c>
      <c r="CZ246" s="344" t="s">
        <v>1970</v>
      </c>
      <c r="DA246" s="344" t="s">
        <v>1970</v>
      </c>
      <c r="DB246" s="344" t="s">
        <v>1970</v>
      </c>
      <c r="DC246" s="344" t="s">
        <v>1970</v>
      </c>
      <c r="DD246" s="344" t="s">
        <v>1970</v>
      </c>
      <c r="DE246" s="344" t="s">
        <v>1970</v>
      </c>
      <c r="DF246" s="344" t="s">
        <v>1970</v>
      </c>
      <c r="DG246" s="344" t="s">
        <v>1970</v>
      </c>
      <c r="DH246" s="344" t="s">
        <v>1970</v>
      </c>
      <c r="DI246" s="344" t="s">
        <v>1970</v>
      </c>
      <c r="DJ246" s="344" t="s">
        <v>1970</v>
      </c>
      <c r="DK246" s="344" t="s">
        <v>1970</v>
      </c>
      <c r="DL246" s="344" t="s">
        <v>1970</v>
      </c>
      <c r="DM246" s="344" t="s">
        <v>1970</v>
      </c>
      <c r="DN246" s="344" t="s">
        <v>1970</v>
      </c>
      <c r="DO246" s="344" t="s">
        <v>1970</v>
      </c>
      <c r="DP246" s="344" t="s">
        <v>1970</v>
      </c>
      <c r="DQ246" s="344" t="s">
        <v>1970</v>
      </c>
      <c r="DR246" s="344" t="s">
        <v>1970</v>
      </c>
      <c r="DS246" s="344" t="s">
        <v>1970</v>
      </c>
      <c r="DT246" s="344" t="s">
        <v>1970</v>
      </c>
      <c r="DU246" s="344" t="s">
        <v>1970</v>
      </c>
      <c r="DV246" s="344" t="s">
        <v>1970</v>
      </c>
      <c r="DW246" s="344" t="s">
        <v>1970</v>
      </c>
      <c r="DX246" s="344" t="s">
        <v>1970</v>
      </c>
      <c r="DY246" s="344" t="s">
        <v>1970</v>
      </c>
      <c r="DZ246" s="344" t="s">
        <v>1970</v>
      </c>
      <c r="EA246" s="344" t="s">
        <v>1970</v>
      </c>
      <c r="EB246" s="344" t="s">
        <v>1970</v>
      </c>
      <c r="EC246" s="344" t="s">
        <v>1970</v>
      </c>
      <c r="ED246" s="344" t="s">
        <v>1970</v>
      </c>
      <c r="EE246" s="344" t="s">
        <v>1970</v>
      </c>
      <c r="EF246" s="344" t="s">
        <v>1970</v>
      </c>
      <c r="EG246" s="344" t="s">
        <v>1970</v>
      </c>
      <c r="EH246" s="344" t="s">
        <v>1970</v>
      </c>
      <c r="EI246" s="344" t="s">
        <v>1970</v>
      </c>
      <c r="EJ246" s="344" t="s">
        <v>1970</v>
      </c>
      <c r="EK246" s="344" t="s">
        <v>1970</v>
      </c>
      <c r="EL246" s="344" t="s">
        <v>1970</v>
      </c>
      <c r="EM246" s="344" t="s">
        <v>1970</v>
      </c>
      <c r="EN246" s="344" t="s">
        <v>1970</v>
      </c>
      <c r="EO246" s="344" t="s">
        <v>1970</v>
      </c>
      <c r="EP246" s="344" t="s">
        <v>1970</v>
      </c>
      <c r="EQ246" s="344" t="s">
        <v>1970</v>
      </c>
      <c r="ER246" s="344" t="s">
        <v>1970</v>
      </c>
      <c r="ES246" s="344" t="s">
        <v>1970</v>
      </c>
    </row>
    <row r="247" spans="1:215" ht="13.95" customHeight="1" x14ac:dyDescent="0.3">
      <c r="A247" s="2" t="s">
        <v>1313</v>
      </c>
      <c r="B247" s="2" t="s">
        <v>1172</v>
      </c>
      <c r="C247" s="2" t="s">
        <v>2188</v>
      </c>
      <c r="D247" s="2" t="s">
        <v>1316</v>
      </c>
      <c r="E247" s="344" t="s">
        <v>2153</v>
      </c>
      <c r="F247" s="2">
        <v>50</v>
      </c>
      <c r="G247" s="2">
        <v>47</v>
      </c>
      <c r="H247" s="2">
        <v>45</v>
      </c>
      <c r="I247" s="344" t="s">
        <v>1970</v>
      </c>
      <c r="J247" s="344" t="s">
        <v>3354</v>
      </c>
      <c r="K247" s="344" t="s">
        <v>3353</v>
      </c>
      <c r="L247" s="344" t="s">
        <v>1970</v>
      </c>
      <c r="M247" s="2" t="s">
        <v>1970</v>
      </c>
      <c r="N247" s="344" t="s">
        <v>1978</v>
      </c>
      <c r="O247" s="344" t="s">
        <v>1978</v>
      </c>
      <c r="P247" s="344" t="s">
        <v>1978</v>
      </c>
      <c r="Q247" s="344" t="s">
        <v>1978</v>
      </c>
      <c r="R247" s="344" t="s">
        <v>1978</v>
      </c>
      <c r="S247" s="344" t="s">
        <v>1978</v>
      </c>
      <c r="T247" s="344" t="s">
        <v>2193</v>
      </c>
      <c r="U247" s="2" t="s">
        <v>2165</v>
      </c>
      <c r="V247" s="344" t="s">
        <v>1970</v>
      </c>
      <c r="W247" s="344" t="s">
        <v>1970</v>
      </c>
      <c r="X247" s="344">
        <f>'A123'!J255</f>
        <v>80</v>
      </c>
      <c r="Y247" s="344">
        <f>'A123'!K255</f>
        <v>68</v>
      </c>
      <c r="Z247" s="344">
        <f>'A123'!L255</f>
        <v>1.8970588235294117</v>
      </c>
      <c r="AA247" s="2" t="s">
        <v>2165</v>
      </c>
      <c r="AB247" s="344" t="str">
        <f>入學要求!X256</f>
        <v>/</v>
      </c>
      <c r="AC247" s="344" t="str">
        <f>入學要求!Y256</f>
        <v>/</v>
      </c>
      <c r="AD247" s="373" t="s">
        <v>1979</v>
      </c>
      <c r="AE247" s="344" t="s">
        <v>3369</v>
      </c>
      <c r="AF247" s="344" t="s">
        <v>2154</v>
      </c>
      <c r="AG247" s="2" t="s">
        <v>3112</v>
      </c>
      <c r="AH247" s="344" t="s">
        <v>3368</v>
      </c>
      <c r="AI247" s="344" t="s">
        <v>1970</v>
      </c>
      <c r="AO247" s="344" t="s">
        <v>3384</v>
      </c>
      <c r="AP247" s="251" t="s">
        <v>3380</v>
      </c>
      <c r="AQ247" s="344" t="s">
        <v>1970</v>
      </c>
      <c r="AR247" s="344" t="s">
        <v>2150</v>
      </c>
      <c r="AS247" s="2" t="s">
        <v>3608</v>
      </c>
      <c r="AT247" s="2" t="s">
        <v>1970</v>
      </c>
      <c r="AU247" s="2" t="s">
        <v>1970</v>
      </c>
      <c r="AV247" s="344" t="s">
        <v>2596</v>
      </c>
      <c r="BB247" s="344" t="s">
        <v>1970</v>
      </c>
      <c r="BC247" s="344" t="s">
        <v>1970</v>
      </c>
      <c r="BD247" s="344" t="s">
        <v>1970</v>
      </c>
      <c r="BE247" s="344" t="s">
        <v>1970</v>
      </c>
      <c r="BF247" s="344" t="s">
        <v>1970</v>
      </c>
      <c r="BG247" s="344" t="s">
        <v>1970</v>
      </c>
      <c r="BH247" s="344" t="s">
        <v>1970</v>
      </c>
      <c r="BI247" s="344" t="s">
        <v>1970</v>
      </c>
      <c r="BJ247" s="344" t="s">
        <v>1970</v>
      </c>
      <c r="BK247" s="344" t="s">
        <v>1970</v>
      </c>
      <c r="BL247" s="344" t="s">
        <v>1970</v>
      </c>
      <c r="BM247" s="344" t="s">
        <v>1970</v>
      </c>
      <c r="BN247" s="344" t="s">
        <v>1970</v>
      </c>
      <c r="BO247" s="344" t="s">
        <v>1970</v>
      </c>
      <c r="BP247" s="344" t="s">
        <v>1970</v>
      </c>
      <c r="BQ247" s="344" t="s">
        <v>1970</v>
      </c>
      <c r="BR247" s="344" t="s">
        <v>1970</v>
      </c>
      <c r="BS247" s="344" t="s">
        <v>1970</v>
      </c>
      <c r="BT247" s="344" t="s">
        <v>1970</v>
      </c>
      <c r="BU247" s="344" t="s">
        <v>1970</v>
      </c>
      <c r="BV247" s="344" t="s">
        <v>1970</v>
      </c>
      <c r="BW247" s="344" t="s">
        <v>1970</v>
      </c>
      <c r="BX247" s="344" t="s">
        <v>1970</v>
      </c>
      <c r="BY247" s="344" t="s">
        <v>1970</v>
      </c>
      <c r="BZ247" s="344" t="s">
        <v>1970</v>
      </c>
      <c r="CA247" s="344" t="s">
        <v>1970</v>
      </c>
      <c r="CB247" s="344" t="s">
        <v>1970</v>
      </c>
      <c r="CC247" s="344" t="s">
        <v>1970</v>
      </c>
      <c r="CD247" s="344" t="s">
        <v>1970</v>
      </c>
      <c r="CE247" s="344" t="s">
        <v>1970</v>
      </c>
      <c r="CF247" s="344" t="s">
        <v>1970</v>
      </c>
      <c r="CG247" s="344" t="s">
        <v>1970</v>
      </c>
      <c r="CH247" s="344" t="s">
        <v>1970</v>
      </c>
      <c r="CI247" s="344" t="s">
        <v>1970</v>
      </c>
      <c r="CJ247" s="344" t="s">
        <v>1970</v>
      </c>
      <c r="CK247" s="344" t="s">
        <v>1970</v>
      </c>
      <c r="CL247" s="344" t="s">
        <v>1970</v>
      </c>
      <c r="CM247" s="344" t="s">
        <v>1970</v>
      </c>
      <c r="CN247" s="344" t="s">
        <v>1970</v>
      </c>
      <c r="CO247" s="344" t="s">
        <v>1970</v>
      </c>
      <c r="CP247" s="344" t="s">
        <v>1970</v>
      </c>
      <c r="CQ247" s="344" t="s">
        <v>1970</v>
      </c>
      <c r="CR247" s="344" t="s">
        <v>1970</v>
      </c>
      <c r="CS247" s="344" t="s">
        <v>1970</v>
      </c>
      <c r="CT247" s="344" t="s">
        <v>1970</v>
      </c>
      <c r="CU247" s="344" t="s">
        <v>1970</v>
      </c>
      <c r="CV247" s="344" t="s">
        <v>1970</v>
      </c>
      <c r="CW247" s="344" t="s">
        <v>1970</v>
      </c>
      <c r="CX247" s="344" t="s">
        <v>1970</v>
      </c>
      <c r="CY247" s="344" t="s">
        <v>1970</v>
      </c>
      <c r="CZ247" s="344" t="s">
        <v>1970</v>
      </c>
      <c r="DA247" s="344" t="s">
        <v>1970</v>
      </c>
      <c r="DB247" s="344" t="s">
        <v>1970</v>
      </c>
      <c r="DC247" s="344" t="s">
        <v>1970</v>
      </c>
      <c r="DD247" s="344" t="s">
        <v>1970</v>
      </c>
      <c r="DE247" s="344" t="s">
        <v>1970</v>
      </c>
      <c r="DF247" s="344" t="s">
        <v>1970</v>
      </c>
      <c r="DG247" s="344" t="s">
        <v>1970</v>
      </c>
      <c r="DH247" s="344" t="s">
        <v>1970</v>
      </c>
      <c r="DI247" s="344" t="s">
        <v>1970</v>
      </c>
      <c r="DJ247" s="344" t="s">
        <v>1970</v>
      </c>
      <c r="DK247" s="344" t="s">
        <v>1970</v>
      </c>
      <c r="DL247" s="344" t="s">
        <v>1970</v>
      </c>
      <c r="DM247" s="344" t="s">
        <v>1970</v>
      </c>
      <c r="DN247" s="344" t="s">
        <v>1970</v>
      </c>
      <c r="DO247" s="344" t="s">
        <v>1970</v>
      </c>
      <c r="DP247" s="344" t="s">
        <v>1970</v>
      </c>
      <c r="DQ247" s="344" t="s">
        <v>1970</v>
      </c>
      <c r="DR247" s="344" t="s">
        <v>1970</v>
      </c>
      <c r="DS247" s="344" t="s">
        <v>1970</v>
      </c>
      <c r="DT247" s="344" t="s">
        <v>1970</v>
      </c>
      <c r="DU247" s="344" t="s">
        <v>1970</v>
      </c>
      <c r="DV247" s="344" t="s">
        <v>1970</v>
      </c>
      <c r="DW247" s="344" t="s">
        <v>1970</v>
      </c>
      <c r="DX247" s="344" t="s">
        <v>1970</v>
      </c>
      <c r="DY247" s="344" t="s">
        <v>1970</v>
      </c>
      <c r="DZ247" s="344" t="s">
        <v>1970</v>
      </c>
      <c r="EA247" s="344" t="s">
        <v>1970</v>
      </c>
      <c r="EB247" s="344" t="s">
        <v>1970</v>
      </c>
      <c r="EC247" s="344" t="s">
        <v>1970</v>
      </c>
      <c r="ED247" s="344" t="s">
        <v>1970</v>
      </c>
      <c r="EE247" s="344" t="s">
        <v>1970</v>
      </c>
      <c r="EF247" s="344" t="s">
        <v>1970</v>
      </c>
      <c r="EG247" s="344" t="s">
        <v>1970</v>
      </c>
      <c r="EH247" s="344" t="s">
        <v>1970</v>
      </c>
      <c r="EI247" s="344" t="s">
        <v>1970</v>
      </c>
      <c r="EJ247" s="344" t="s">
        <v>1970</v>
      </c>
      <c r="EK247" s="344" t="s">
        <v>1970</v>
      </c>
      <c r="EL247" s="344" t="s">
        <v>1970</v>
      </c>
      <c r="EM247" s="344" t="s">
        <v>1970</v>
      </c>
      <c r="EN247" s="344" t="s">
        <v>1970</v>
      </c>
      <c r="EO247" s="344" t="s">
        <v>1970</v>
      </c>
      <c r="EP247" s="344" t="s">
        <v>1970</v>
      </c>
      <c r="EQ247" s="344" t="s">
        <v>1970</v>
      </c>
      <c r="ER247" s="344" t="s">
        <v>1970</v>
      </c>
      <c r="ES247" s="344" t="s">
        <v>1970</v>
      </c>
    </row>
    <row r="248" spans="1:215" ht="13.95" customHeight="1" x14ac:dyDescent="0.3">
      <c r="A248" s="2" t="s">
        <v>1325</v>
      </c>
      <c r="B248" s="2" t="s">
        <v>1172</v>
      </c>
      <c r="C248" s="2" t="s">
        <v>2188</v>
      </c>
      <c r="D248" s="2" t="s">
        <v>1328</v>
      </c>
      <c r="E248" s="2" t="s">
        <v>2916</v>
      </c>
      <c r="F248" s="2" t="s">
        <v>1970</v>
      </c>
      <c r="G248" s="2" t="s">
        <v>1970</v>
      </c>
      <c r="H248" s="2" t="s">
        <v>1970</v>
      </c>
      <c r="I248" s="344" t="s">
        <v>1970</v>
      </c>
      <c r="J248" s="2" t="s">
        <v>1970</v>
      </c>
      <c r="K248" s="2" t="s">
        <v>1970</v>
      </c>
      <c r="L248" s="2" t="s">
        <v>1970</v>
      </c>
      <c r="M248" s="2" t="s">
        <v>1970</v>
      </c>
      <c r="N248" s="344" t="s">
        <v>1978</v>
      </c>
      <c r="O248" s="344" t="s">
        <v>1978</v>
      </c>
      <c r="P248" s="344" t="s">
        <v>1978</v>
      </c>
      <c r="Q248" s="344" t="s">
        <v>1978</v>
      </c>
      <c r="R248" s="344" t="s">
        <v>1978</v>
      </c>
      <c r="S248" s="344" t="s">
        <v>1978</v>
      </c>
      <c r="T248" s="344" t="s">
        <v>1326</v>
      </c>
      <c r="U248" s="2" t="s">
        <v>2165</v>
      </c>
      <c r="V248" s="344" t="s">
        <v>1970</v>
      </c>
      <c r="W248" s="344" t="s">
        <v>1970</v>
      </c>
      <c r="X248" s="344">
        <f>'A123'!J256</f>
        <v>25</v>
      </c>
      <c r="Y248" s="344" t="str">
        <f>'A123'!K256</f>
        <v>/</v>
      </c>
      <c r="Z248" s="344" t="str">
        <f>'A123'!L256</f>
        <v>新科目</v>
      </c>
      <c r="AA248" s="2" t="s">
        <v>2165</v>
      </c>
      <c r="AB248" s="344" t="str">
        <f>入學要求!X257</f>
        <v>以下一科選修取得Lv.3︰生物、化學、組合科學、物理、ICT、綜合科學</v>
      </c>
      <c r="AC248" s="344" t="str">
        <f>入學要求!Y257</f>
        <v>M1/2 需考獲Lv. 3 或以上</v>
      </c>
      <c r="AD248" s="373" t="s">
        <v>1979</v>
      </c>
      <c r="AE248" s="344" t="s">
        <v>3369</v>
      </c>
      <c r="AF248" s="344" t="s">
        <v>3355</v>
      </c>
      <c r="AG248" s="2" t="s">
        <v>2738</v>
      </c>
      <c r="AH248" s="2" t="s">
        <v>3310</v>
      </c>
      <c r="AI248" s="344" t="s">
        <v>3368</v>
      </c>
      <c r="AO248" s="344" t="s">
        <v>3384</v>
      </c>
      <c r="AP248" s="251" t="s">
        <v>3381</v>
      </c>
      <c r="AQ248" s="344" t="s">
        <v>1970</v>
      </c>
      <c r="AR248" s="344" t="s">
        <v>2150</v>
      </c>
      <c r="AS248" s="2" t="s">
        <v>3620</v>
      </c>
      <c r="AT248" s="2" t="s">
        <v>3682</v>
      </c>
      <c r="AU248" s="2" t="s">
        <v>3705</v>
      </c>
      <c r="AV248" s="344" t="s">
        <v>2596</v>
      </c>
      <c r="BB248" s="344" t="s">
        <v>1970</v>
      </c>
      <c r="BC248" s="344" t="s">
        <v>1970</v>
      </c>
      <c r="BD248" s="344" t="s">
        <v>1970</v>
      </c>
      <c r="BE248" s="344" t="s">
        <v>1970</v>
      </c>
      <c r="BF248" s="344" t="s">
        <v>1970</v>
      </c>
      <c r="BG248" s="344" t="s">
        <v>1970</v>
      </c>
      <c r="BH248" s="344" t="s">
        <v>1970</v>
      </c>
      <c r="BI248" s="344" t="s">
        <v>1970</v>
      </c>
      <c r="BJ248" s="344" t="s">
        <v>1970</v>
      </c>
      <c r="BK248" s="344" t="s">
        <v>1970</v>
      </c>
      <c r="BL248" s="344" t="s">
        <v>1970</v>
      </c>
      <c r="BM248" s="344" t="s">
        <v>1970</v>
      </c>
      <c r="BN248" s="344" t="s">
        <v>1970</v>
      </c>
      <c r="BO248" s="344" t="s">
        <v>1970</v>
      </c>
      <c r="BP248" s="344" t="s">
        <v>1970</v>
      </c>
      <c r="BQ248" s="344" t="s">
        <v>1970</v>
      </c>
      <c r="BR248" s="344" t="s">
        <v>1970</v>
      </c>
      <c r="BS248" s="344" t="s">
        <v>1970</v>
      </c>
      <c r="BT248" s="344" t="s">
        <v>1970</v>
      </c>
      <c r="BU248" s="344" t="s">
        <v>1970</v>
      </c>
      <c r="BV248" s="344" t="s">
        <v>1970</v>
      </c>
      <c r="BW248" s="344" t="s">
        <v>1970</v>
      </c>
      <c r="BX248" s="344" t="s">
        <v>1970</v>
      </c>
      <c r="BY248" s="344" t="s">
        <v>1970</v>
      </c>
      <c r="BZ248" s="344" t="s">
        <v>1970</v>
      </c>
      <c r="CA248" s="344" t="s">
        <v>1970</v>
      </c>
      <c r="CB248" s="344" t="s">
        <v>1970</v>
      </c>
      <c r="CC248" s="344" t="s">
        <v>1970</v>
      </c>
      <c r="CD248" s="344" t="s">
        <v>1970</v>
      </c>
      <c r="CE248" s="344" t="s">
        <v>1970</v>
      </c>
      <c r="CF248" s="344" t="s">
        <v>1970</v>
      </c>
      <c r="CG248" s="344" t="s">
        <v>1970</v>
      </c>
      <c r="CH248" s="344" t="s">
        <v>1970</v>
      </c>
      <c r="CI248" s="344" t="s">
        <v>1970</v>
      </c>
      <c r="CJ248" s="344" t="s">
        <v>1970</v>
      </c>
      <c r="CK248" s="344" t="s">
        <v>1970</v>
      </c>
      <c r="CL248" s="344" t="s">
        <v>1970</v>
      </c>
      <c r="CM248" s="344" t="s">
        <v>1970</v>
      </c>
      <c r="CN248" s="344" t="s">
        <v>1970</v>
      </c>
      <c r="CO248" s="344" t="s">
        <v>1970</v>
      </c>
      <c r="CP248" s="344" t="s">
        <v>1970</v>
      </c>
      <c r="CQ248" s="344" t="s">
        <v>1970</v>
      </c>
      <c r="CR248" s="344" t="s">
        <v>1970</v>
      </c>
      <c r="CS248" s="344" t="s">
        <v>1970</v>
      </c>
      <c r="CT248" s="344" t="s">
        <v>1970</v>
      </c>
      <c r="CU248" s="344" t="s">
        <v>1970</v>
      </c>
      <c r="CV248" s="344" t="s">
        <v>1970</v>
      </c>
      <c r="CW248" s="344" t="s">
        <v>1970</v>
      </c>
      <c r="CX248" s="344" t="s">
        <v>1970</v>
      </c>
      <c r="CY248" s="344" t="s">
        <v>1970</v>
      </c>
      <c r="CZ248" s="344" t="s">
        <v>1970</v>
      </c>
      <c r="DA248" s="344" t="s">
        <v>1970</v>
      </c>
      <c r="DB248" s="344" t="s">
        <v>1970</v>
      </c>
      <c r="DC248" s="344" t="s">
        <v>1970</v>
      </c>
      <c r="DD248" s="344" t="s">
        <v>1970</v>
      </c>
      <c r="DE248" s="344" t="s">
        <v>1970</v>
      </c>
      <c r="DF248" s="344" t="s">
        <v>1970</v>
      </c>
      <c r="DG248" s="344" t="s">
        <v>1970</v>
      </c>
      <c r="DH248" s="344" t="s">
        <v>1970</v>
      </c>
      <c r="DI248" s="344" t="s">
        <v>1970</v>
      </c>
      <c r="DJ248" s="344" t="s">
        <v>1970</v>
      </c>
      <c r="DK248" s="344" t="s">
        <v>1970</v>
      </c>
      <c r="DL248" s="344" t="s">
        <v>1970</v>
      </c>
      <c r="DM248" s="344" t="s">
        <v>1970</v>
      </c>
      <c r="DN248" s="344" t="s">
        <v>1970</v>
      </c>
      <c r="DO248" s="344" t="s">
        <v>1970</v>
      </c>
      <c r="DP248" s="344" t="s">
        <v>1970</v>
      </c>
      <c r="DQ248" s="344" t="s">
        <v>1970</v>
      </c>
      <c r="DR248" s="344" t="s">
        <v>1970</v>
      </c>
      <c r="DS248" s="344" t="s">
        <v>1970</v>
      </c>
      <c r="DT248" s="344" t="s">
        <v>1970</v>
      </c>
      <c r="DU248" s="344" t="s">
        <v>1970</v>
      </c>
      <c r="DV248" s="344" t="s">
        <v>1970</v>
      </c>
      <c r="DW248" s="344" t="s">
        <v>1970</v>
      </c>
      <c r="DX248" s="344" t="s">
        <v>1970</v>
      </c>
      <c r="DY248" s="344" t="s">
        <v>1970</v>
      </c>
      <c r="DZ248" s="344" t="s">
        <v>1970</v>
      </c>
      <c r="EA248" s="344" t="s">
        <v>1970</v>
      </c>
      <c r="EB248" s="344" t="s">
        <v>1970</v>
      </c>
      <c r="EC248" s="344" t="s">
        <v>1970</v>
      </c>
      <c r="ED248" s="344" t="s">
        <v>1970</v>
      </c>
      <c r="EE248" s="344" t="s">
        <v>1970</v>
      </c>
      <c r="EF248" s="344" t="s">
        <v>1970</v>
      </c>
      <c r="EG248" s="344" t="s">
        <v>1970</v>
      </c>
      <c r="EH248" s="344" t="s">
        <v>1970</v>
      </c>
      <c r="EI248" s="344" t="s">
        <v>1970</v>
      </c>
      <c r="EJ248" s="344" t="s">
        <v>1970</v>
      </c>
      <c r="EK248" s="344" t="s">
        <v>1970</v>
      </c>
      <c r="EL248" s="344" t="s">
        <v>1970</v>
      </c>
      <c r="EM248" s="344" t="s">
        <v>1970</v>
      </c>
      <c r="EN248" s="344" t="s">
        <v>1970</v>
      </c>
      <c r="EO248" s="344" t="s">
        <v>1970</v>
      </c>
      <c r="EP248" s="344" t="s">
        <v>1970</v>
      </c>
      <c r="EQ248" s="344" t="s">
        <v>1970</v>
      </c>
      <c r="ER248" s="344" t="s">
        <v>1970</v>
      </c>
      <c r="ES248" s="344" t="s">
        <v>1970</v>
      </c>
    </row>
    <row r="249" spans="1:215" ht="13.95" customHeight="1" x14ac:dyDescent="0.3">
      <c r="A249" s="2" t="s">
        <v>1337</v>
      </c>
      <c r="B249" s="2" t="s">
        <v>1172</v>
      </c>
      <c r="C249" s="2" t="s">
        <v>2188</v>
      </c>
      <c r="D249" s="2" t="s">
        <v>1340</v>
      </c>
      <c r="E249" s="344" t="s">
        <v>2153</v>
      </c>
      <c r="F249" s="2">
        <v>52</v>
      </c>
      <c r="G249" s="2">
        <v>49</v>
      </c>
      <c r="H249" s="2">
        <v>48</v>
      </c>
      <c r="I249" s="344" t="s">
        <v>1970</v>
      </c>
      <c r="J249" s="2" t="s">
        <v>3355</v>
      </c>
      <c r="K249" s="2" t="s">
        <v>2685</v>
      </c>
      <c r="L249" s="2" t="s">
        <v>3081</v>
      </c>
      <c r="M249" s="344" t="s">
        <v>1970</v>
      </c>
      <c r="N249" s="344" t="s">
        <v>1978</v>
      </c>
      <c r="O249" s="344" t="s">
        <v>1978</v>
      </c>
      <c r="P249" s="344" t="s">
        <v>1978</v>
      </c>
      <c r="Q249" s="344" t="s">
        <v>1978</v>
      </c>
      <c r="R249" s="344" t="s">
        <v>1978</v>
      </c>
      <c r="S249" s="344" t="s">
        <v>1978</v>
      </c>
      <c r="T249" s="344" t="s">
        <v>2194</v>
      </c>
      <c r="U249" s="2" t="s">
        <v>2165</v>
      </c>
      <c r="V249" s="344" t="s">
        <v>1970</v>
      </c>
      <c r="W249" s="344" t="s">
        <v>1970</v>
      </c>
      <c r="X249" s="344">
        <f>'A123'!J257</f>
        <v>25</v>
      </c>
      <c r="Y249" s="344">
        <f>'A123'!K257</f>
        <v>18</v>
      </c>
      <c r="Z249" s="344">
        <f>'A123'!L257</f>
        <v>5.5555555555555554</v>
      </c>
      <c r="AA249" s="2" t="s">
        <v>2165</v>
      </c>
      <c r="AB249" s="344" t="str">
        <f>入學要求!X258</f>
        <v>M1/2 需考獲Lv. 3 或以上</v>
      </c>
      <c r="AC249" s="344" t="str">
        <f>入學要求!Y258</f>
        <v>/</v>
      </c>
      <c r="AD249" s="373" t="s">
        <v>1979</v>
      </c>
      <c r="AE249" s="344" t="s">
        <v>3369</v>
      </c>
      <c r="AF249" s="344" t="s">
        <v>3355</v>
      </c>
      <c r="AG249" s="2" t="s">
        <v>2738</v>
      </c>
      <c r="AH249" s="2" t="s">
        <v>3310</v>
      </c>
      <c r="AI249" s="344" t="s">
        <v>3368</v>
      </c>
      <c r="AO249" s="344" t="s">
        <v>3384</v>
      </c>
      <c r="AP249" s="251" t="s">
        <v>3380</v>
      </c>
      <c r="AQ249" s="344" t="s">
        <v>1970</v>
      </c>
      <c r="AR249" s="344" t="s">
        <v>2150</v>
      </c>
      <c r="AS249" s="2" t="s">
        <v>3608</v>
      </c>
      <c r="AT249" s="2" t="s">
        <v>1970</v>
      </c>
      <c r="AU249" s="2" t="s">
        <v>1970</v>
      </c>
      <c r="AV249" s="344" t="s">
        <v>2596</v>
      </c>
      <c r="BB249" s="344" t="s">
        <v>1970</v>
      </c>
      <c r="BC249" s="344" t="s">
        <v>1970</v>
      </c>
      <c r="BD249" s="344" t="s">
        <v>1970</v>
      </c>
      <c r="BE249" s="344" t="s">
        <v>1970</v>
      </c>
      <c r="BF249" s="344" t="s">
        <v>1970</v>
      </c>
      <c r="BG249" s="344" t="s">
        <v>1970</v>
      </c>
      <c r="BH249" s="344" t="s">
        <v>1970</v>
      </c>
      <c r="BI249" s="344" t="s">
        <v>1970</v>
      </c>
      <c r="BJ249" s="344" t="s">
        <v>1970</v>
      </c>
      <c r="BK249" s="344" t="s">
        <v>1970</v>
      </c>
      <c r="BL249" s="344" t="s">
        <v>1970</v>
      </c>
      <c r="BM249" s="344" t="s">
        <v>1970</v>
      </c>
      <c r="BN249" s="344" t="s">
        <v>1970</v>
      </c>
      <c r="BO249" s="344" t="s">
        <v>1970</v>
      </c>
      <c r="BP249" s="344" t="s">
        <v>1970</v>
      </c>
      <c r="BQ249" s="344" t="s">
        <v>1970</v>
      </c>
      <c r="BR249" s="344" t="s">
        <v>1970</v>
      </c>
      <c r="BS249" s="344" t="s">
        <v>1970</v>
      </c>
      <c r="BT249" s="344" t="s">
        <v>1970</v>
      </c>
      <c r="BU249" s="344" t="s">
        <v>1970</v>
      </c>
      <c r="BV249" s="344" t="s">
        <v>1970</v>
      </c>
      <c r="BW249" s="344" t="s">
        <v>1970</v>
      </c>
      <c r="BX249" s="344" t="s">
        <v>1970</v>
      </c>
      <c r="BY249" s="344" t="s">
        <v>1970</v>
      </c>
      <c r="BZ249" s="344" t="s">
        <v>1970</v>
      </c>
      <c r="CA249" s="344" t="s">
        <v>1970</v>
      </c>
      <c r="CB249" s="344" t="s">
        <v>1970</v>
      </c>
      <c r="CC249" s="344" t="s">
        <v>1970</v>
      </c>
      <c r="CD249" s="344" t="s">
        <v>1970</v>
      </c>
      <c r="CE249" s="344" t="s">
        <v>1970</v>
      </c>
      <c r="CF249" s="344" t="s">
        <v>1970</v>
      </c>
      <c r="CG249" s="344" t="s">
        <v>1970</v>
      </c>
      <c r="CH249" s="344" t="s">
        <v>1970</v>
      </c>
      <c r="CI249" s="344" t="s">
        <v>1970</v>
      </c>
      <c r="CJ249" s="344" t="s">
        <v>1970</v>
      </c>
      <c r="CK249" s="344" t="s">
        <v>1970</v>
      </c>
      <c r="CL249" s="344" t="s">
        <v>1970</v>
      </c>
      <c r="CM249" s="344" t="s">
        <v>1970</v>
      </c>
      <c r="CN249" s="344" t="s">
        <v>1970</v>
      </c>
      <c r="CO249" s="344" t="s">
        <v>1970</v>
      </c>
      <c r="CP249" s="344" t="s">
        <v>1970</v>
      </c>
      <c r="CQ249" s="344" t="s">
        <v>1970</v>
      </c>
      <c r="CR249" s="344" t="s">
        <v>1970</v>
      </c>
      <c r="CS249" s="344" t="s">
        <v>1970</v>
      </c>
      <c r="CT249" s="344" t="s">
        <v>1970</v>
      </c>
      <c r="CU249" s="344" t="s">
        <v>1970</v>
      </c>
      <c r="CV249" s="344" t="s">
        <v>1970</v>
      </c>
      <c r="CW249" s="344" t="s">
        <v>1970</v>
      </c>
      <c r="CX249" s="344" t="s">
        <v>1970</v>
      </c>
      <c r="CY249" s="344" t="s">
        <v>1970</v>
      </c>
      <c r="CZ249" s="344" t="s">
        <v>1970</v>
      </c>
      <c r="DA249" s="344" t="s">
        <v>1970</v>
      </c>
      <c r="DB249" s="344" t="s">
        <v>1970</v>
      </c>
      <c r="DC249" s="344" t="s">
        <v>1970</v>
      </c>
      <c r="DD249" s="344" t="s">
        <v>1970</v>
      </c>
      <c r="DE249" s="344" t="s">
        <v>1970</v>
      </c>
      <c r="DF249" s="344" t="s">
        <v>1970</v>
      </c>
      <c r="DG249" s="344" t="s">
        <v>1970</v>
      </c>
      <c r="DH249" s="344" t="s">
        <v>1970</v>
      </c>
      <c r="DI249" s="344" t="s">
        <v>1970</v>
      </c>
      <c r="DJ249" s="344" t="s">
        <v>1970</v>
      </c>
      <c r="DK249" s="344" t="s">
        <v>1970</v>
      </c>
      <c r="DL249" s="344" t="s">
        <v>1970</v>
      </c>
      <c r="DM249" s="344" t="s">
        <v>1970</v>
      </c>
      <c r="DN249" s="344" t="s">
        <v>1970</v>
      </c>
      <c r="DO249" s="344" t="s">
        <v>1970</v>
      </c>
      <c r="DP249" s="344" t="s">
        <v>1970</v>
      </c>
      <c r="DQ249" s="344" t="s">
        <v>1970</v>
      </c>
      <c r="DR249" s="344" t="s">
        <v>1970</v>
      </c>
      <c r="DS249" s="344" t="s">
        <v>1970</v>
      </c>
      <c r="DT249" s="344" t="s">
        <v>1970</v>
      </c>
      <c r="DU249" s="344" t="s">
        <v>1970</v>
      </c>
      <c r="DV249" s="344" t="s">
        <v>1970</v>
      </c>
      <c r="DW249" s="344" t="s">
        <v>1970</v>
      </c>
      <c r="DX249" s="344" t="s">
        <v>1970</v>
      </c>
      <c r="DY249" s="344" t="s">
        <v>1970</v>
      </c>
      <c r="DZ249" s="344" t="s">
        <v>1970</v>
      </c>
      <c r="EA249" s="344" t="s">
        <v>1970</v>
      </c>
      <c r="EB249" s="344" t="s">
        <v>1970</v>
      </c>
      <c r="EC249" s="344" t="s">
        <v>1970</v>
      </c>
      <c r="ED249" s="344" t="s">
        <v>1970</v>
      </c>
      <c r="EE249" s="344" t="s">
        <v>1970</v>
      </c>
      <c r="EF249" s="344" t="s">
        <v>1970</v>
      </c>
      <c r="EG249" s="344" t="s">
        <v>1970</v>
      </c>
      <c r="EH249" s="344" t="s">
        <v>1970</v>
      </c>
      <c r="EI249" s="344" t="s">
        <v>1970</v>
      </c>
      <c r="EJ249" s="344" t="s">
        <v>1970</v>
      </c>
      <c r="EK249" s="344" t="s">
        <v>1970</v>
      </c>
      <c r="EL249" s="344" t="s">
        <v>1970</v>
      </c>
      <c r="EM249" s="344" t="s">
        <v>1970</v>
      </c>
      <c r="EN249" s="344" t="s">
        <v>1970</v>
      </c>
      <c r="EO249" s="344" t="s">
        <v>1970</v>
      </c>
      <c r="EP249" s="344" t="s">
        <v>1970</v>
      </c>
      <c r="EQ249" s="344" t="s">
        <v>1970</v>
      </c>
      <c r="ER249" s="344" t="s">
        <v>1970</v>
      </c>
      <c r="ES249" s="344" t="s">
        <v>1970</v>
      </c>
    </row>
    <row r="250" spans="1:215" ht="13.95" customHeight="1" x14ac:dyDescent="0.3">
      <c r="A250" s="2" t="s">
        <v>1341</v>
      </c>
      <c r="B250" s="2" t="s">
        <v>1172</v>
      </c>
      <c r="C250" s="2" t="s">
        <v>2188</v>
      </c>
      <c r="D250" s="2" t="s">
        <v>1344</v>
      </c>
      <c r="E250" s="344" t="s">
        <v>2153</v>
      </c>
      <c r="F250" s="2">
        <v>54</v>
      </c>
      <c r="G250" s="2">
        <v>52</v>
      </c>
      <c r="H250" s="2">
        <v>50</v>
      </c>
      <c r="I250" s="344" t="s">
        <v>1970</v>
      </c>
      <c r="J250" s="344" t="s">
        <v>3354</v>
      </c>
      <c r="K250" s="344" t="s">
        <v>3353</v>
      </c>
      <c r="L250" s="344" t="s">
        <v>1970</v>
      </c>
      <c r="M250" s="2" t="s">
        <v>1970</v>
      </c>
      <c r="N250" s="344" t="s">
        <v>1978</v>
      </c>
      <c r="O250" s="344" t="s">
        <v>1978</v>
      </c>
      <c r="P250" s="344" t="s">
        <v>1978</v>
      </c>
      <c r="Q250" s="344" t="s">
        <v>1978</v>
      </c>
      <c r="R250" s="344" t="s">
        <v>1978</v>
      </c>
      <c r="S250" s="344" t="s">
        <v>1978</v>
      </c>
      <c r="T250" s="344" t="s">
        <v>1342</v>
      </c>
      <c r="U250" s="2" t="s">
        <v>2165</v>
      </c>
      <c r="V250" s="344" t="s">
        <v>1970</v>
      </c>
      <c r="W250" s="344" t="s">
        <v>1970</v>
      </c>
      <c r="X250" s="344">
        <f>'A123'!J258</f>
        <v>31</v>
      </c>
      <c r="Y250" s="344">
        <f>'A123'!K258</f>
        <v>10</v>
      </c>
      <c r="Z250" s="344">
        <f>'A123'!L258</f>
        <v>6.3</v>
      </c>
      <c r="AA250" s="2" t="s">
        <v>2165</v>
      </c>
      <c r="AB250" s="344" t="str">
        <f>入學要求!X259</f>
        <v>/</v>
      </c>
      <c r="AC250" s="344" t="str">
        <f>入學要求!Y259</f>
        <v>/</v>
      </c>
      <c r="AD250" s="373" t="s">
        <v>1979</v>
      </c>
      <c r="AE250" s="344" t="s">
        <v>3369</v>
      </c>
      <c r="AF250" s="344" t="s">
        <v>2154</v>
      </c>
      <c r="AG250" s="2" t="s">
        <v>3112</v>
      </c>
      <c r="AH250" s="344" t="s">
        <v>3368</v>
      </c>
      <c r="AI250" s="344" t="s">
        <v>1970</v>
      </c>
      <c r="AO250" s="344" t="s">
        <v>3384</v>
      </c>
      <c r="AP250" s="251" t="s">
        <v>3380</v>
      </c>
      <c r="AQ250" s="344" t="s">
        <v>1970</v>
      </c>
      <c r="AR250" s="344" t="s">
        <v>2150</v>
      </c>
      <c r="AS250" s="2" t="s">
        <v>3603</v>
      </c>
      <c r="AT250" s="2" t="s">
        <v>3683</v>
      </c>
      <c r="AU250" s="2" t="s">
        <v>3706</v>
      </c>
      <c r="AV250" s="344" t="s">
        <v>2596</v>
      </c>
      <c r="BB250" s="344" t="s">
        <v>1970</v>
      </c>
      <c r="BC250" s="344" t="s">
        <v>1970</v>
      </c>
      <c r="BD250" s="344" t="s">
        <v>1970</v>
      </c>
      <c r="BE250" s="344" t="s">
        <v>1970</v>
      </c>
      <c r="BF250" s="344" t="s">
        <v>1970</v>
      </c>
      <c r="BG250" s="344" t="s">
        <v>1970</v>
      </c>
      <c r="BH250" s="344" t="s">
        <v>1970</v>
      </c>
      <c r="BI250" s="344" t="s">
        <v>1970</v>
      </c>
      <c r="BJ250" s="344" t="s">
        <v>1970</v>
      </c>
      <c r="BK250" s="344" t="s">
        <v>1970</v>
      </c>
      <c r="BL250" s="344" t="s">
        <v>1970</v>
      </c>
      <c r="BM250" s="344" t="s">
        <v>1970</v>
      </c>
      <c r="BN250" s="344" t="s">
        <v>1970</v>
      </c>
      <c r="BO250" s="344" t="s">
        <v>1970</v>
      </c>
      <c r="BP250" s="344" t="s">
        <v>1970</v>
      </c>
      <c r="BQ250" s="344" t="s">
        <v>1970</v>
      </c>
      <c r="BR250" s="344" t="s">
        <v>1970</v>
      </c>
      <c r="BS250" s="344" t="s">
        <v>1970</v>
      </c>
      <c r="BT250" s="344" t="s">
        <v>1970</v>
      </c>
      <c r="BU250" s="344" t="s">
        <v>1970</v>
      </c>
      <c r="BV250" s="344" t="s">
        <v>1970</v>
      </c>
      <c r="BW250" s="344" t="s">
        <v>1970</v>
      </c>
      <c r="BX250" s="344" t="s">
        <v>1970</v>
      </c>
      <c r="BY250" s="344" t="s">
        <v>1970</v>
      </c>
      <c r="BZ250" s="344" t="s">
        <v>1970</v>
      </c>
      <c r="CA250" s="344" t="s">
        <v>1970</v>
      </c>
      <c r="CB250" s="344" t="s">
        <v>1970</v>
      </c>
      <c r="CC250" s="344" t="s">
        <v>1970</v>
      </c>
      <c r="CD250" s="344" t="s">
        <v>1970</v>
      </c>
      <c r="CE250" s="344" t="s">
        <v>1970</v>
      </c>
      <c r="CF250" s="344" t="s">
        <v>1970</v>
      </c>
      <c r="CG250" s="344" t="s">
        <v>1970</v>
      </c>
      <c r="CH250" s="344" t="s">
        <v>1970</v>
      </c>
      <c r="CI250" s="344" t="s">
        <v>1970</v>
      </c>
      <c r="CJ250" s="344" t="s">
        <v>1970</v>
      </c>
      <c r="CK250" s="344" t="s">
        <v>1970</v>
      </c>
      <c r="CL250" s="344" t="s">
        <v>1970</v>
      </c>
      <c r="CM250" s="344" t="s">
        <v>1970</v>
      </c>
      <c r="CN250" s="344" t="s">
        <v>1970</v>
      </c>
      <c r="CO250" s="344" t="s">
        <v>1970</v>
      </c>
      <c r="CP250" s="344" t="s">
        <v>1970</v>
      </c>
      <c r="CQ250" s="344" t="s">
        <v>1970</v>
      </c>
      <c r="CR250" s="344" t="s">
        <v>1970</v>
      </c>
      <c r="CS250" s="344" t="s">
        <v>1970</v>
      </c>
      <c r="CT250" s="344" t="s">
        <v>1970</v>
      </c>
      <c r="CU250" s="344" t="s">
        <v>1970</v>
      </c>
      <c r="CV250" s="344" t="s">
        <v>1970</v>
      </c>
      <c r="CW250" s="344" t="s">
        <v>1970</v>
      </c>
      <c r="CX250" s="344" t="s">
        <v>1970</v>
      </c>
      <c r="CY250" s="344" t="s">
        <v>1970</v>
      </c>
      <c r="CZ250" s="344" t="s">
        <v>1970</v>
      </c>
      <c r="DA250" s="344" t="s">
        <v>1970</v>
      </c>
      <c r="DB250" s="344" t="s">
        <v>1970</v>
      </c>
      <c r="DC250" s="344" t="s">
        <v>1970</v>
      </c>
      <c r="DD250" s="344" t="s">
        <v>1970</v>
      </c>
      <c r="DE250" s="344" t="s">
        <v>1970</v>
      </c>
      <c r="DF250" s="344" t="s">
        <v>1970</v>
      </c>
      <c r="DG250" s="344" t="s">
        <v>1970</v>
      </c>
      <c r="DH250" s="344" t="s">
        <v>1970</v>
      </c>
      <c r="DI250" s="344" t="s">
        <v>1970</v>
      </c>
      <c r="DJ250" s="344" t="s">
        <v>1970</v>
      </c>
      <c r="DK250" s="344" t="s">
        <v>1970</v>
      </c>
      <c r="DL250" s="344" t="s">
        <v>1970</v>
      </c>
      <c r="DM250" s="344" t="s">
        <v>1970</v>
      </c>
      <c r="DN250" s="344" t="s">
        <v>1970</v>
      </c>
      <c r="DO250" s="344" t="s">
        <v>1970</v>
      </c>
      <c r="DP250" s="344" t="s">
        <v>1970</v>
      </c>
      <c r="DQ250" s="344" t="s">
        <v>1970</v>
      </c>
      <c r="DR250" s="344" t="s">
        <v>1970</v>
      </c>
      <c r="DS250" s="344" t="s">
        <v>1970</v>
      </c>
      <c r="DT250" s="344" t="s">
        <v>1970</v>
      </c>
      <c r="DU250" s="344" t="s">
        <v>1970</v>
      </c>
      <c r="DV250" s="344" t="s">
        <v>1970</v>
      </c>
      <c r="DW250" s="344" t="s">
        <v>1970</v>
      </c>
      <c r="DX250" s="344" t="s">
        <v>1970</v>
      </c>
      <c r="DY250" s="344" t="s">
        <v>1970</v>
      </c>
      <c r="DZ250" s="344" t="s">
        <v>1970</v>
      </c>
      <c r="EA250" s="344" t="s">
        <v>1970</v>
      </c>
      <c r="EB250" s="344" t="s">
        <v>1970</v>
      </c>
      <c r="EC250" s="344" t="s">
        <v>1970</v>
      </c>
      <c r="ED250" s="344" t="s">
        <v>1970</v>
      </c>
      <c r="EE250" s="344" t="s">
        <v>1970</v>
      </c>
      <c r="EF250" s="344" t="s">
        <v>1970</v>
      </c>
      <c r="EG250" s="344" t="s">
        <v>1970</v>
      </c>
      <c r="EH250" s="344" t="s">
        <v>1970</v>
      </c>
      <c r="EI250" s="344" t="s">
        <v>1970</v>
      </c>
      <c r="EJ250" s="344" t="s">
        <v>1970</v>
      </c>
      <c r="EK250" s="344" t="s">
        <v>1970</v>
      </c>
      <c r="EL250" s="344" t="s">
        <v>1970</v>
      </c>
      <c r="EM250" s="344" t="s">
        <v>1970</v>
      </c>
      <c r="EN250" s="344" t="s">
        <v>1970</v>
      </c>
      <c r="EO250" s="344" t="s">
        <v>1970</v>
      </c>
      <c r="EP250" s="344" t="s">
        <v>1970</v>
      </c>
      <c r="EQ250" s="344" t="s">
        <v>1970</v>
      </c>
      <c r="ER250" s="344" t="s">
        <v>1970</v>
      </c>
      <c r="ES250" s="344" t="s">
        <v>1970</v>
      </c>
    </row>
    <row r="251" spans="1:215" ht="13.95" customHeight="1" x14ac:dyDescent="0.3">
      <c r="A251" s="2" t="s">
        <v>1207</v>
      </c>
      <c r="B251" s="2" t="s">
        <v>1172</v>
      </c>
      <c r="C251" s="2" t="s">
        <v>2195</v>
      </c>
      <c r="D251" s="2" t="s">
        <v>1210</v>
      </c>
      <c r="E251" s="2" t="s">
        <v>2153</v>
      </c>
      <c r="F251" s="2">
        <v>47</v>
      </c>
      <c r="G251" s="2">
        <v>46</v>
      </c>
      <c r="H251" s="2">
        <v>45</v>
      </c>
      <c r="I251" s="2" t="s">
        <v>3361</v>
      </c>
      <c r="J251" s="2" t="s">
        <v>3358</v>
      </c>
      <c r="K251" s="2" t="s">
        <v>3356</v>
      </c>
      <c r="L251" s="2" t="s">
        <v>1970</v>
      </c>
      <c r="M251" s="2" t="s">
        <v>1970</v>
      </c>
      <c r="N251" s="344" t="s">
        <v>1978</v>
      </c>
      <c r="O251" s="344" t="s">
        <v>1978</v>
      </c>
      <c r="P251" s="344" t="s">
        <v>1978</v>
      </c>
      <c r="Q251" s="344" t="s">
        <v>1978</v>
      </c>
      <c r="R251" s="344" t="s">
        <v>1978</v>
      </c>
      <c r="S251" s="344" t="s">
        <v>1978</v>
      </c>
      <c r="T251" s="344" t="s">
        <v>1208</v>
      </c>
      <c r="U251" s="2" t="s">
        <v>2165</v>
      </c>
      <c r="V251" s="344" t="s">
        <v>1970</v>
      </c>
      <c r="W251" s="344" t="s">
        <v>1970</v>
      </c>
      <c r="X251" s="344">
        <f>'A123'!J259</f>
        <v>90</v>
      </c>
      <c r="Y251" s="344">
        <f>'A123'!K259</f>
        <v>57</v>
      </c>
      <c r="Z251" s="344">
        <f>'A123'!L259</f>
        <v>4.3157894736842106</v>
      </c>
      <c r="AA251" s="2" t="s">
        <v>2165</v>
      </c>
      <c r="AB251" s="344" t="str">
        <f>入學要求!X260</f>
        <v>以下一科選修取得Lv.3︰生物、化學、組合科學、物理、綜合科學</v>
      </c>
      <c r="AC251" s="344" t="str">
        <f>入學要求!Y260</f>
        <v>/</v>
      </c>
      <c r="AD251" s="351" t="s">
        <v>1979</v>
      </c>
      <c r="AE251" s="344" t="s">
        <v>3361</v>
      </c>
      <c r="AF251" s="344" t="s">
        <v>3358</v>
      </c>
      <c r="AG251" s="344" t="s">
        <v>3356</v>
      </c>
      <c r="AH251" s="2" t="s">
        <v>1970</v>
      </c>
      <c r="AI251" s="344" t="s">
        <v>1970</v>
      </c>
      <c r="AJ251" s="344" t="s">
        <v>2152</v>
      </c>
      <c r="AK251" s="344" t="s">
        <v>2183</v>
      </c>
      <c r="AL251" s="344" t="s">
        <v>2175</v>
      </c>
      <c r="AO251" s="344" t="s">
        <v>3384</v>
      </c>
      <c r="AP251" s="251" t="s">
        <v>3378</v>
      </c>
      <c r="AQ251" s="344" t="s">
        <v>1970</v>
      </c>
      <c r="AR251" s="427" t="s">
        <v>3385</v>
      </c>
      <c r="AS251" s="2" t="s">
        <v>3620</v>
      </c>
      <c r="AT251" s="2" t="s">
        <v>3678</v>
      </c>
      <c r="AU251" s="2" t="s">
        <v>3636</v>
      </c>
      <c r="AV251" s="344" t="s">
        <v>2596</v>
      </c>
      <c r="BB251" s="344" t="s">
        <v>1970</v>
      </c>
      <c r="BC251" s="344" t="s">
        <v>1970</v>
      </c>
      <c r="BD251" s="344" t="s">
        <v>1970</v>
      </c>
      <c r="BE251" s="344" t="s">
        <v>1970</v>
      </c>
      <c r="BF251" s="344" t="s">
        <v>1970</v>
      </c>
      <c r="BG251" s="344" t="s">
        <v>1970</v>
      </c>
      <c r="BH251" s="344" t="s">
        <v>1970</v>
      </c>
      <c r="BI251" s="344" t="s">
        <v>1970</v>
      </c>
      <c r="BJ251" s="344" t="s">
        <v>1970</v>
      </c>
      <c r="BK251" s="344" t="s">
        <v>1970</v>
      </c>
      <c r="BL251" s="344" t="s">
        <v>1970</v>
      </c>
      <c r="BM251" s="344" t="s">
        <v>1970</v>
      </c>
      <c r="BN251" s="344" t="s">
        <v>1970</v>
      </c>
      <c r="BO251" s="344" t="s">
        <v>1970</v>
      </c>
      <c r="BP251" s="344" t="s">
        <v>1970</v>
      </c>
      <c r="BQ251" s="344" t="s">
        <v>1970</v>
      </c>
      <c r="BR251" s="344" t="s">
        <v>1970</v>
      </c>
      <c r="BS251" s="344" t="s">
        <v>1970</v>
      </c>
      <c r="BT251" s="344" t="s">
        <v>1970</v>
      </c>
      <c r="BU251" s="344" t="s">
        <v>1970</v>
      </c>
      <c r="BV251" s="344" t="s">
        <v>1970</v>
      </c>
      <c r="BW251" s="344" t="s">
        <v>1970</v>
      </c>
      <c r="BX251" s="344" t="s">
        <v>1970</v>
      </c>
      <c r="BY251" s="344" t="s">
        <v>1970</v>
      </c>
      <c r="BZ251" s="344" t="s">
        <v>1970</v>
      </c>
      <c r="CA251" s="344" t="s">
        <v>1970</v>
      </c>
      <c r="CB251" s="344" t="s">
        <v>1970</v>
      </c>
      <c r="CC251" s="344" t="s">
        <v>1970</v>
      </c>
      <c r="CD251" s="344" t="s">
        <v>1970</v>
      </c>
      <c r="CE251" s="344" t="s">
        <v>1970</v>
      </c>
      <c r="CF251" s="344" t="s">
        <v>1970</v>
      </c>
      <c r="CG251" s="344" t="s">
        <v>1970</v>
      </c>
      <c r="CH251" s="344" t="s">
        <v>1970</v>
      </c>
      <c r="CI251" s="344" t="s">
        <v>1970</v>
      </c>
      <c r="CJ251" s="344" t="s">
        <v>1970</v>
      </c>
      <c r="CK251" s="344" t="s">
        <v>1970</v>
      </c>
      <c r="CL251" s="344" t="s">
        <v>1970</v>
      </c>
      <c r="CM251" s="344" t="s">
        <v>1970</v>
      </c>
      <c r="CN251" s="344" t="s">
        <v>1970</v>
      </c>
      <c r="CO251" s="344" t="s">
        <v>1970</v>
      </c>
      <c r="CP251" s="344" t="s">
        <v>1970</v>
      </c>
      <c r="CQ251" s="344" t="s">
        <v>1970</v>
      </c>
      <c r="CR251" s="344" t="s">
        <v>1970</v>
      </c>
      <c r="CS251" s="344" t="s">
        <v>1970</v>
      </c>
      <c r="CT251" s="344" t="s">
        <v>1970</v>
      </c>
      <c r="CU251" s="344" t="s">
        <v>1970</v>
      </c>
      <c r="CV251" s="344" t="s">
        <v>1970</v>
      </c>
      <c r="CW251" s="344" t="s">
        <v>1970</v>
      </c>
      <c r="CX251" s="344" t="s">
        <v>1970</v>
      </c>
      <c r="CY251" s="344" t="s">
        <v>1970</v>
      </c>
      <c r="CZ251" s="344" t="s">
        <v>1970</v>
      </c>
      <c r="DA251" s="344" t="s">
        <v>1970</v>
      </c>
      <c r="DB251" s="344" t="s">
        <v>1970</v>
      </c>
      <c r="DC251" s="344" t="s">
        <v>1970</v>
      </c>
      <c r="DD251" s="344" t="s">
        <v>1970</v>
      </c>
      <c r="DE251" s="344" t="s">
        <v>1970</v>
      </c>
      <c r="DF251" s="344" t="s">
        <v>1970</v>
      </c>
      <c r="DG251" s="344" t="s">
        <v>1970</v>
      </c>
      <c r="DH251" s="344" t="s">
        <v>1970</v>
      </c>
      <c r="DI251" s="344" t="s">
        <v>1970</v>
      </c>
      <c r="DJ251" s="344" t="s">
        <v>1970</v>
      </c>
      <c r="DK251" s="344" t="s">
        <v>1970</v>
      </c>
      <c r="DL251" s="344" t="s">
        <v>1970</v>
      </c>
      <c r="DM251" s="344" t="s">
        <v>1970</v>
      </c>
      <c r="DN251" s="344" t="s">
        <v>1970</v>
      </c>
      <c r="DO251" s="344" t="s">
        <v>1970</v>
      </c>
      <c r="DP251" s="344" t="s">
        <v>1970</v>
      </c>
      <c r="DQ251" s="344" t="s">
        <v>1970</v>
      </c>
      <c r="DR251" s="344" t="s">
        <v>1970</v>
      </c>
      <c r="DS251" s="344" t="s">
        <v>1970</v>
      </c>
      <c r="DT251" s="344" t="s">
        <v>1970</v>
      </c>
      <c r="DU251" s="344" t="s">
        <v>1970</v>
      </c>
      <c r="DV251" s="344" t="s">
        <v>1970</v>
      </c>
      <c r="DW251" s="344" t="s">
        <v>1970</v>
      </c>
      <c r="DX251" s="344" t="s">
        <v>1970</v>
      </c>
      <c r="DY251" s="344" t="s">
        <v>1970</v>
      </c>
      <c r="DZ251" s="344" t="s">
        <v>1970</v>
      </c>
      <c r="EA251" s="344" t="s">
        <v>1970</v>
      </c>
      <c r="EB251" s="344" t="s">
        <v>1970</v>
      </c>
      <c r="EC251" s="344" t="s">
        <v>1970</v>
      </c>
      <c r="ED251" s="344" t="s">
        <v>1970</v>
      </c>
      <c r="EE251" s="344" t="s">
        <v>1970</v>
      </c>
      <c r="EF251" s="344" t="s">
        <v>1970</v>
      </c>
      <c r="EG251" s="344" t="s">
        <v>1970</v>
      </c>
      <c r="EH251" s="344" t="s">
        <v>1970</v>
      </c>
      <c r="EI251" s="344" t="s">
        <v>1970</v>
      </c>
      <c r="EJ251" s="344" t="s">
        <v>1970</v>
      </c>
      <c r="EK251" s="344" t="s">
        <v>1970</v>
      </c>
      <c r="EL251" s="344" t="s">
        <v>1970</v>
      </c>
      <c r="EM251" s="344" t="s">
        <v>1970</v>
      </c>
      <c r="EN251" s="344" t="s">
        <v>1970</v>
      </c>
      <c r="EO251" s="344" t="s">
        <v>1970</v>
      </c>
      <c r="EP251" s="344" t="s">
        <v>1970</v>
      </c>
      <c r="EQ251" s="344" t="s">
        <v>1970</v>
      </c>
      <c r="ER251" s="344" t="s">
        <v>1970</v>
      </c>
      <c r="ES251" s="344" t="s">
        <v>1970</v>
      </c>
    </row>
    <row r="252" spans="1:215" ht="13.95" customHeight="1" x14ac:dyDescent="0.3">
      <c r="A252" s="2" t="s">
        <v>1191</v>
      </c>
      <c r="B252" s="2" t="s">
        <v>1172</v>
      </c>
      <c r="C252" s="2" t="s">
        <v>2196</v>
      </c>
      <c r="D252" s="2" t="s">
        <v>1194</v>
      </c>
      <c r="E252" s="2" t="s">
        <v>2171</v>
      </c>
      <c r="F252" s="2">
        <v>33</v>
      </c>
      <c r="G252" s="2">
        <v>31</v>
      </c>
      <c r="H252" s="2">
        <v>29</v>
      </c>
      <c r="I252" s="388" t="s">
        <v>2722</v>
      </c>
      <c r="J252" s="2" t="s">
        <v>1970</v>
      </c>
      <c r="K252" s="2" t="s">
        <v>2685</v>
      </c>
      <c r="L252" s="2" t="s">
        <v>3311</v>
      </c>
      <c r="M252" s="2" t="s">
        <v>1970</v>
      </c>
      <c r="N252" s="344" t="s">
        <v>1978</v>
      </c>
      <c r="O252" s="344" t="s">
        <v>1978</v>
      </c>
      <c r="P252" s="344" t="s">
        <v>1978</v>
      </c>
      <c r="Q252" s="344" t="s">
        <v>1978</v>
      </c>
      <c r="R252" s="344" t="s">
        <v>1978</v>
      </c>
      <c r="S252" s="344" t="s">
        <v>1978</v>
      </c>
      <c r="T252" s="344" t="s">
        <v>1192</v>
      </c>
      <c r="U252" s="2" t="s">
        <v>2165</v>
      </c>
      <c r="V252" s="344" t="s">
        <v>1970</v>
      </c>
      <c r="W252" s="344" t="s">
        <v>1970</v>
      </c>
      <c r="X252" s="344">
        <f>'A123'!J260</f>
        <v>17</v>
      </c>
      <c r="Y252" s="344">
        <f>'A123'!K260</f>
        <v>27</v>
      </c>
      <c r="Z252" s="344">
        <f>'A123'!L260</f>
        <v>7.9629629629629628</v>
      </c>
      <c r="AA252" s="2" t="s">
        <v>2165</v>
      </c>
      <c r="AB252" s="344" t="str">
        <f>入學要求!X261</f>
        <v>/</v>
      </c>
      <c r="AC252" s="344" t="str">
        <f>入學要求!Y261</f>
        <v>/</v>
      </c>
      <c r="AD252" s="351" t="s">
        <v>2171</v>
      </c>
      <c r="AE252" s="388" t="s">
        <v>2722</v>
      </c>
      <c r="AF252" s="344" t="s">
        <v>1970</v>
      </c>
      <c r="AG252" s="2" t="s">
        <v>2738</v>
      </c>
      <c r="AH252" s="2" t="s">
        <v>3311</v>
      </c>
      <c r="AI252" s="344" t="s">
        <v>1970</v>
      </c>
      <c r="AJ252" s="2" t="s">
        <v>3330</v>
      </c>
      <c r="AK252" s="2" t="s">
        <v>3331</v>
      </c>
      <c r="AL252" s="2" t="s">
        <v>3332</v>
      </c>
      <c r="AO252" s="344" t="s">
        <v>3384</v>
      </c>
      <c r="AP252" s="251" t="s">
        <v>2619</v>
      </c>
      <c r="AQ252" s="344" t="s">
        <v>1970</v>
      </c>
      <c r="AR252" s="344" t="s">
        <v>2150</v>
      </c>
      <c r="AS252" s="2" t="s">
        <v>3620</v>
      </c>
      <c r="AT252" s="2" t="s">
        <v>3684</v>
      </c>
      <c r="AU252" s="2" t="s">
        <v>3706</v>
      </c>
      <c r="AV252" s="344" t="s">
        <v>2596</v>
      </c>
      <c r="BB252" s="344" t="s">
        <v>1970</v>
      </c>
      <c r="BC252" s="344" t="s">
        <v>1970</v>
      </c>
      <c r="BD252" s="344" t="s">
        <v>1970</v>
      </c>
      <c r="BE252" s="344" t="s">
        <v>1970</v>
      </c>
      <c r="BF252" s="344" t="s">
        <v>1970</v>
      </c>
      <c r="BG252" s="344" t="s">
        <v>1970</v>
      </c>
      <c r="BH252" s="344" t="s">
        <v>1970</v>
      </c>
      <c r="BI252" s="344" t="s">
        <v>1970</v>
      </c>
      <c r="BJ252" s="344" t="s">
        <v>1970</v>
      </c>
      <c r="BK252" s="344" t="s">
        <v>1970</v>
      </c>
      <c r="BL252" s="344" t="s">
        <v>1970</v>
      </c>
      <c r="BM252" s="344" t="s">
        <v>1970</v>
      </c>
      <c r="BN252" s="344" t="s">
        <v>1970</v>
      </c>
      <c r="BO252" s="344" t="s">
        <v>1970</v>
      </c>
      <c r="BP252" s="344" t="s">
        <v>1970</v>
      </c>
      <c r="BQ252" s="344" t="s">
        <v>1970</v>
      </c>
      <c r="BR252" s="344" t="s">
        <v>1970</v>
      </c>
      <c r="BS252" s="344" t="s">
        <v>1970</v>
      </c>
      <c r="BT252" s="344" t="s">
        <v>1970</v>
      </c>
      <c r="BU252" s="344" t="s">
        <v>1970</v>
      </c>
      <c r="BV252" s="344" t="s">
        <v>1970</v>
      </c>
      <c r="BW252" s="344" t="s">
        <v>1970</v>
      </c>
      <c r="BX252" s="344" t="s">
        <v>1970</v>
      </c>
      <c r="BY252" s="344" t="s">
        <v>1970</v>
      </c>
      <c r="BZ252" s="344" t="s">
        <v>1970</v>
      </c>
      <c r="CA252" s="344" t="s">
        <v>1970</v>
      </c>
      <c r="CB252" s="344" t="s">
        <v>1970</v>
      </c>
      <c r="CC252" s="344" t="s">
        <v>1970</v>
      </c>
      <c r="CD252" s="344" t="s">
        <v>1970</v>
      </c>
      <c r="CE252" s="344" t="s">
        <v>1970</v>
      </c>
      <c r="CF252" s="344" t="s">
        <v>1970</v>
      </c>
      <c r="CG252" s="344" t="s">
        <v>1970</v>
      </c>
      <c r="CH252" s="344" t="s">
        <v>1970</v>
      </c>
      <c r="CI252" s="344" t="s">
        <v>1970</v>
      </c>
      <c r="CJ252" s="344" t="s">
        <v>1970</v>
      </c>
      <c r="CK252" s="344" t="s">
        <v>1970</v>
      </c>
      <c r="CL252" s="344" t="s">
        <v>1970</v>
      </c>
      <c r="CM252" s="344" t="s">
        <v>1970</v>
      </c>
      <c r="CN252" s="344" t="s">
        <v>1970</v>
      </c>
      <c r="CO252" s="344" t="s">
        <v>1970</v>
      </c>
      <c r="CP252" s="344" t="s">
        <v>1970</v>
      </c>
      <c r="CQ252" s="344" t="s">
        <v>1970</v>
      </c>
      <c r="CR252" s="344" t="s">
        <v>1970</v>
      </c>
      <c r="CS252" s="344" t="s">
        <v>1970</v>
      </c>
      <c r="CT252" s="344" t="s">
        <v>1970</v>
      </c>
      <c r="CU252" s="344" t="s">
        <v>1970</v>
      </c>
      <c r="CV252" s="344" t="s">
        <v>1970</v>
      </c>
      <c r="CW252" s="344" t="s">
        <v>1970</v>
      </c>
      <c r="CX252" s="344" t="s">
        <v>1970</v>
      </c>
      <c r="CY252" s="344" t="s">
        <v>1970</v>
      </c>
      <c r="CZ252" s="344" t="s">
        <v>1970</v>
      </c>
      <c r="DA252" s="344" t="s">
        <v>1970</v>
      </c>
      <c r="DB252" s="344" t="s">
        <v>1970</v>
      </c>
      <c r="DC252" s="344" t="s">
        <v>1970</v>
      </c>
      <c r="DD252" s="344" t="s">
        <v>1970</v>
      </c>
      <c r="DE252" s="344" t="s">
        <v>1970</v>
      </c>
      <c r="DF252" s="344" t="s">
        <v>1970</v>
      </c>
      <c r="DG252" s="344" t="s">
        <v>1970</v>
      </c>
      <c r="DH252" s="344" t="s">
        <v>1970</v>
      </c>
      <c r="DI252" s="344" t="s">
        <v>1970</v>
      </c>
      <c r="DJ252" s="344" t="s">
        <v>1970</v>
      </c>
      <c r="DK252" s="344" t="s">
        <v>1970</v>
      </c>
      <c r="DL252" s="344" t="s">
        <v>1970</v>
      </c>
      <c r="DM252" s="344" t="s">
        <v>1970</v>
      </c>
      <c r="DN252" s="344" t="s">
        <v>1970</v>
      </c>
      <c r="DO252" s="344" t="s">
        <v>1970</v>
      </c>
      <c r="DP252" s="344" t="s">
        <v>1970</v>
      </c>
      <c r="DQ252" s="344" t="s">
        <v>1970</v>
      </c>
      <c r="DR252" s="344" t="s">
        <v>1970</v>
      </c>
      <c r="DS252" s="344" t="s">
        <v>1970</v>
      </c>
      <c r="DT252" s="344" t="s">
        <v>1970</v>
      </c>
      <c r="DU252" s="344" t="s">
        <v>1970</v>
      </c>
      <c r="DV252" s="344" t="s">
        <v>1970</v>
      </c>
      <c r="DW252" s="344" t="s">
        <v>1970</v>
      </c>
      <c r="DX252" s="344" t="s">
        <v>1970</v>
      </c>
      <c r="DY252" s="344" t="s">
        <v>1970</v>
      </c>
      <c r="DZ252" s="344" t="s">
        <v>1970</v>
      </c>
      <c r="EA252" s="344" t="s">
        <v>1970</v>
      </c>
      <c r="EB252" s="344" t="s">
        <v>1970</v>
      </c>
      <c r="EC252" s="344" t="s">
        <v>1970</v>
      </c>
      <c r="ED252" s="344" t="s">
        <v>1970</v>
      </c>
      <c r="EE252" s="344" t="s">
        <v>1970</v>
      </c>
      <c r="EF252" s="344" t="s">
        <v>1970</v>
      </c>
      <c r="EG252" s="344" t="s">
        <v>1970</v>
      </c>
      <c r="EH252" s="344" t="s">
        <v>1970</v>
      </c>
      <c r="EI252" s="344" t="s">
        <v>1970</v>
      </c>
      <c r="EJ252" s="344" t="s">
        <v>1970</v>
      </c>
      <c r="EK252" s="344" t="s">
        <v>1970</v>
      </c>
      <c r="EL252" s="344" t="s">
        <v>1970</v>
      </c>
      <c r="EM252" s="344" t="s">
        <v>1970</v>
      </c>
      <c r="EN252" s="344" t="s">
        <v>1970</v>
      </c>
      <c r="EO252" s="344" t="s">
        <v>1970</v>
      </c>
      <c r="EP252" s="344" t="s">
        <v>1970</v>
      </c>
      <c r="EQ252" s="344" t="s">
        <v>1970</v>
      </c>
      <c r="ER252" s="344" t="s">
        <v>1970</v>
      </c>
      <c r="ES252" s="344" t="s">
        <v>1970</v>
      </c>
    </row>
    <row r="253" spans="1:215" x14ac:dyDescent="0.3">
      <c r="A253" s="2" t="s">
        <v>1199</v>
      </c>
      <c r="B253" s="2" t="s">
        <v>1172</v>
      </c>
      <c r="C253" s="2" t="s">
        <v>2196</v>
      </c>
      <c r="D253" s="2" t="s">
        <v>1202</v>
      </c>
      <c r="E253" s="344" t="s">
        <v>2171</v>
      </c>
      <c r="F253" s="2">
        <v>35</v>
      </c>
      <c r="G253" s="2">
        <v>33</v>
      </c>
      <c r="H253" s="2">
        <v>32</v>
      </c>
      <c r="I253" s="344" t="s">
        <v>3359</v>
      </c>
      <c r="J253" s="2" t="s">
        <v>1970</v>
      </c>
      <c r="K253" s="2" t="s">
        <v>2876</v>
      </c>
      <c r="L253" s="2" t="s">
        <v>3311</v>
      </c>
      <c r="M253" s="2" t="s">
        <v>1970</v>
      </c>
      <c r="N253" s="344" t="s">
        <v>1978</v>
      </c>
      <c r="O253" s="344" t="s">
        <v>1978</v>
      </c>
      <c r="P253" s="344" t="s">
        <v>1978</v>
      </c>
      <c r="Q253" s="344" t="s">
        <v>1978</v>
      </c>
      <c r="R253" s="344" t="s">
        <v>1978</v>
      </c>
      <c r="S253" s="344" t="s">
        <v>1978</v>
      </c>
      <c r="T253" s="344" t="s">
        <v>2197</v>
      </c>
      <c r="U253" s="2" t="s">
        <v>2165</v>
      </c>
      <c r="V253" s="344" t="s">
        <v>1970</v>
      </c>
      <c r="W253" s="344" t="s">
        <v>1970</v>
      </c>
      <c r="X253" s="344">
        <f>'A123'!J261</f>
        <v>17</v>
      </c>
      <c r="Y253" s="344">
        <f>'A123'!K261</f>
        <v>19</v>
      </c>
      <c r="Z253" s="344">
        <f>'A123'!L261</f>
        <v>6.4736842105263159</v>
      </c>
      <c r="AA253" s="2" t="s">
        <v>2165</v>
      </c>
      <c r="AB253" s="344" t="str">
        <f>入學要求!X262</f>
        <v>/</v>
      </c>
      <c r="AC253" s="344" t="str">
        <f>入學要求!Y262</f>
        <v>/</v>
      </c>
      <c r="AD253" s="351" t="s">
        <v>2171</v>
      </c>
      <c r="AE253" s="344" t="s">
        <v>3359</v>
      </c>
      <c r="AF253" s="344" t="s">
        <v>1970</v>
      </c>
      <c r="AG253" s="2" t="s">
        <v>2876</v>
      </c>
      <c r="AH253" s="2" t="s">
        <v>3311</v>
      </c>
      <c r="AI253" s="344" t="s">
        <v>1970</v>
      </c>
      <c r="AO253" s="344" t="s">
        <v>3384</v>
      </c>
      <c r="AP253" s="251" t="s">
        <v>2619</v>
      </c>
      <c r="AQ253" s="344" t="s">
        <v>1970</v>
      </c>
      <c r="AR253" s="344" t="s">
        <v>2150</v>
      </c>
      <c r="AS253" s="2" t="s">
        <v>3620</v>
      </c>
      <c r="AT253" s="2" t="s">
        <v>3685</v>
      </c>
      <c r="AU253" s="2" t="s">
        <v>3705</v>
      </c>
      <c r="AV253" s="344" t="s">
        <v>2596</v>
      </c>
      <c r="BB253" s="344" t="s">
        <v>1970</v>
      </c>
      <c r="BC253" s="344" t="s">
        <v>1970</v>
      </c>
      <c r="BD253" s="344" t="s">
        <v>1970</v>
      </c>
      <c r="BE253" s="344" t="s">
        <v>1970</v>
      </c>
      <c r="BF253" s="344" t="s">
        <v>1970</v>
      </c>
      <c r="BG253" s="344" t="s">
        <v>1970</v>
      </c>
      <c r="BH253" s="344" t="s">
        <v>1970</v>
      </c>
      <c r="BI253" s="344" t="s">
        <v>1970</v>
      </c>
      <c r="BJ253" s="344" t="s">
        <v>1970</v>
      </c>
      <c r="BK253" s="344" t="s">
        <v>1970</v>
      </c>
      <c r="BL253" s="344" t="s">
        <v>1970</v>
      </c>
      <c r="BM253" s="344" t="s">
        <v>1970</v>
      </c>
      <c r="BN253" s="344" t="s">
        <v>1970</v>
      </c>
      <c r="BO253" s="344" t="s">
        <v>1970</v>
      </c>
      <c r="BP253" s="344" t="s">
        <v>1970</v>
      </c>
      <c r="BQ253" s="344" t="s">
        <v>1970</v>
      </c>
      <c r="BR253" s="344" t="s">
        <v>1970</v>
      </c>
      <c r="BS253" s="344" t="s">
        <v>1970</v>
      </c>
      <c r="BT253" s="344" t="s">
        <v>1970</v>
      </c>
      <c r="BU253" s="344" t="s">
        <v>1970</v>
      </c>
      <c r="BV253" s="344" t="s">
        <v>1970</v>
      </c>
      <c r="BW253" s="344" t="s">
        <v>1970</v>
      </c>
      <c r="BX253" s="344" t="s">
        <v>1970</v>
      </c>
      <c r="BY253" s="344" t="s">
        <v>1970</v>
      </c>
      <c r="BZ253" s="344" t="s">
        <v>1970</v>
      </c>
      <c r="CA253" s="344" t="s">
        <v>1970</v>
      </c>
      <c r="CB253" s="344" t="s">
        <v>1970</v>
      </c>
      <c r="CC253" s="344" t="s">
        <v>1970</v>
      </c>
      <c r="CD253" s="344" t="s">
        <v>1970</v>
      </c>
      <c r="CE253" s="344" t="s">
        <v>1970</v>
      </c>
      <c r="CF253" s="344" t="s">
        <v>1970</v>
      </c>
      <c r="CG253" s="344" t="s">
        <v>1970</v>
      </c>
      <c r="CH253" s="344" t="s">
        <v>1970</v>
      </c>
      <c r="CI253" s="344" t="s">
        <v>1970</v>
      </c>
      <c r="CJ253" s="344" t="s">
        <v>1970</v>
      </c>
      <c r="CK253" s="344" t="s">
        <v>1970</v>
      </c>
      <c r="CL253" s="344" t="s">
        <v>1970</v>
      </c>
      <c r="CM253" s="344" t="s">
        <v>1970</v>
      </c>
      <c r="CN253" s="344" t="s">
        <v>1970</v>
      </c>
      <c r="CO253" s="344" t="s">
        <v>1970</v>
      </c>
      <c r="CP253" s="344" t="s">
        <v>1970</v>
      </c>
      <c r="CQ253" s="344" t="s">
        <v>1970</v>
      </c>
      <c r="CR253" s="344" t="s">
        <v>1970</v>
      </c>
      <c r="CS253" s="344" t="s">
        <v>1970</v>
      </c>
      <c r="CT253" s="344" t="s">
        <v>1970</v>
      </c>
      <c r="CU253" s="344" t="s">
        <v>1970</v>
      </c>
      <c r="CV253" s="344" t="s">
        <v>1970</v>
      </c>
      <c r="CW253" s="344" t="s">
        <v>1970</v>
      </c>
      <c r="CX253" s="344" t="s">
        <v>1970</v>
      </c>
      <c r="CY253" s="344" t="s">
        <v>1970</v>
      </c>
      <c r="CZ253" s="344" t="s">
        <v>1970</v>
      </c>
      <c r="DA253" s="344" t="s">
        <v>1970</v>
      </c>
      <c r="DB253" s="344" t="s">
        <v>1970</v>
      </c>
      <c r="DC253" s="344" t="s">
        <v>1970</v>
      </c>
      <c r="DD253" s="344" t="s">
        <v>1970</v>
      </c>
      <c r="DE253" s="344" t="s">
        <v>1970</v>
      </c>
      <c r="DF253" s="344" t="s">
        <v>1970</v>
      </c>
      <c r="DG253" s="344" t="s">
        <v>1970</v>
      </c>
      <c r="DH253" s="344" t="s">
        <v>1970</v>
      </c>
      <c r="DI253" s="344" t="s">
        <v>1970</v>
      </c>
      <c r="DJ253" s="344" t="s">
        <v>1970</v>
      </c>
      <c r="DK253" s="344" t="s">
        <v>1970</v>
      </c>
      <c r="DL253" s="344" t="s">
        <v>1970</v>
      </c>
      <c r="DM253" s="344" t="s">
        <v>1970</v>
      </c>
      <c r="DN253" s="344" t="s">
        <v>1970</v>
      </c>
      <c r="DO253" s="344" t="s">
        <v>1970</v>
      </c>
      <c r="DP253" s="344" t="s">
        <v>1970</v>
      </c>
      <c r="DQ253" s="344" t="s">
        <v>1970</v>
      </c>
      <c r="DR253" s="344" t="s">
        <v>1970</v>
      </c>
      <c r="DS253" s="344" t="s">
        <v>1970</v>
      </c>
      <c r="DT253" s="344" t="s">
        <v>1970</v>
      </c>
      <c r="DU253" s="344" t="s">
        <v>1970</v>
      </c>
      <c r="DV253" s="344" t="s">
        <v>1970</v>
      </c>
      <c r="DW253" s="344" t="s">
        <v>1970</v>
      </c>
      <c r="DX253" s="344" t="s">
        <v>1970</v>
      </c>
      <c r="DY253" s="344" t="s">
        <v>1970</v>
      </c>
      <c r="DZ253" s="344" t="s">
        <v>1970</v>
      </c>
      <c r="EA253" s="344" t="s">
        <v>1970</v>
      </c>
      <c r="EB253" s="344" t="s">
        <v>1970</v>
      </c>
      <c r="EC253" s="344" t="s">
        <v>1970</v>
      </c>
      <c r="ED253" s="344" t="s">
        <v>1970</v>
      </c>
      <c r="EE253" s="344" t="s">
        <v>1970</v>
      </c>
      <c r="EF253" s="344" t="s">
        <v>1970</v>
      </c>
      <c r="EG253" s="344" t="s">
        <v>1970</v>
      </c>
      <c r="EH253" s="344" t="s">
        <v>1970</v>
      </c>
      <c r="EI253" s="344" t="s">
        <v>1970</v>
      </c>
      <c r="EJ253" s="344" t="s">
        <v>1970</v>
      </c>
      <c r="EK253" s="344" t="s">
        <v>1970</v>
      </c>
      <c r="EL253" s="344" t="s">
        <v>1970</v>
      </c>
      <c r="EM253" s="344" t="s">
        <v>1970</v>
      </c>
      <c r="EN253" s="344" t="s">
        <v>1970</v>
      </c>
      <c r="EO253" s="344" t="s">
        <v>1970</v>
      </c>
      <c r="EP253" s="344" t="s">
        <v>1970</v>
      </c>
      <c r="EQ253" s="344" t="s">
        <v>1970</v>
      </c>
      <c r="ER253" s="344" t="s">
        <v>1970</v>
      </c>
      <c r="ES253" s="344" t="s">
        <v>1970</v>
      </c>
    </row>
    <row r="254" spans="1:215" x14ac:dyDescent="0.3">
      <c r="A254" s="2" t="s">
        <v>1203</v>
      </c>
      <c r="B254" s="2" t="s">
        <v>1172</v>
      </c>
      <c r="C254" s="2" t="s">
        <v>2196</v>
      </c>
      <c r="D254" s="2" t="s">
        <v>1206</v>
      </c>
      <c r="E254" s="344" t="s">
        <v>2171</v>
      </c>
      <c r="F254" s="2">
        <v>27</v>
      </c>
      <c r="G254" s="2">
        <v>26</v>
      </c>
      <c r="H254" s="2">
        <v>25</v>
      </c>
      <c r="I254" s="344" t="s">
        <v>2911</v>
      </c>
      <c r="J254" s="2" t="s">
        <v>1970</v>
      </c>
      <c r="K254" s="2" t="s">
        <v>2738</v>
      </c>
      <c r="L254" s="2" t="s">
        <v>3312</v>
      </c>
      <c r="M254" s="2" t="s">
        <v>1970</v>
      </c>
      <c r="N254" s="344" t="s">
        <v>1978</v>
      </c>
      <c r="O254" s="344" t="s">
        <v>1978</v>
      </c>
      <c r="P254" s="344" t="s">
        <v>1978</v>
      </c>
      <c r="Q254" s="344" t="s">
        <v>1978</v>
      </c>
      <c r="R254" s="344" t="s">
        <v>1978</v>
      </c>
      <c r="S254" s="344" t="s">
        <v>1978</v>
      </c>
      <c r="T254" s="344" t="s">
        <v>2198</v>
      </c>
      <c r="U254" s="2" t="s">
        <v>2165</v>
      </c>
      <c r="V254" s="344" t="s">
        <v>1970</v>
      </c>
      <c r="W254" s="344" t="s">
        <v>1970</v>
      </c>
      <c r="X254" s="344">
        <f>'A123'!J262</f>
        <v>18</v>
      </c>
      <c r="Y254" s="344">
        <f>'A123'!K262</f>
        <v>18</v>
      </c>
      <c r="Z254" s="344">
        <f>'A123'!L262</f>
        <v>16.666666666666668</v>
      </c>
      <c r="AA254" s="2" t="s">
        <v>2165</v>
      </c>
      <c r="AB254" s="344" t="str">
        <f>入學要求!X263</f>
        <v>/</v>
      </c>
      <c r="AC254" s="344" t="str">
        <f>入學要求!Y263</f>
        <v>/</v>
      </c>
      <c r="AD254" s="351" t="s">
        <v>2171</v>
      </c>
      <c r="AE254" s="344" t="s">
        <v>2911</v>
      </c>
      <c r="AF254" s="344" t="s">
        <v>1970</v>
      </c>
      <c r="AG254" s="2" t="s">
        <v>2738</v>
      </c>
      <c r="AH254" s="2" t="s">
        <v>3312</v>
      </c>
      <c r="AI254" s="344" t="s">
        <v>1970</v>
      </c>
      <c r="AO254" s="344" t="s">
        <v>3384</v>
      </c>
      <c r="AP254" s="251" t="s">
        <v>2619</v>
      </c>
      <c r="AQ254" s="344" t="s">
        <v>1970</v>
      </c>
      <c r="AR254" s="344" t="s">
        <v>2150</v>
      </c>
      <c r="AS254" s="2" t="s">
        <v>3620</v>
      </c>
      <c r="AT254" s="2" t="s">
        <v>3686</v>
      </c>
      <c r="AU254" s="2" t="s">
        <v>3706</v>
      </c>
      <c r="AV254" s="344" t="s">
        <v>2596</v>
      </c>
      <c r="BB254" s="344" t="s">
        <v>1970</v>
      </c>
      <c r="BC254" s="344" t="s">
        <v>1970</v>
      </c>
      <c r="BD254" s="344" t="s">
        <v>1970</v>
      </c>
      <c r="BE254" s="344" t="s">
        <v>1970</v>
      </c>
      <c r="BF254" s="344" t="s">
        <v>1970</v>
      </c>
      <c r="BG254" s="344" t="s">
        <v>1970</v>
      </c>
      <c r="BH254" s="344" t="s">
        <v>1970</v>
      </c>
      <c r="BI254" s="344" t="s">
        <v>1970</v>
      </c>
      <c r="BJ254" s="344" t="s">
        <v>1970</v>
      </c>
      <c r="BK254" s="344" t="s">
        <v>1970</v>
      </c>
      <c r="BL254" s="344" t="s">
        <v>1970</v>
      </c>
      <c r="BM254" s="344" t="s">
        <v>1970</v>
      </c>
      <c r="BN254" s="344" t="s">
        <v>1970</v>
      </c>
      <c r="BO254" s="344" t="s">
        <v>1970</v>
      </c>
      <c r="BP254" s="344" t="s">
        <v>1970</v>
      </c>
      <c r="BQ254" s="344" t="s">
        <v>1970</v>
      </c>
      <c r="BR254" s="344" t="s">
        <v>1970</v>
      </c>
      <c r="BS254" s="344" t="s">
        <v>1970</v>
      </c>
      <c r="BT254" s="344" t="s">
        <v>1970</v>
      </c>
      <c r="BU254" s="344" t="s">
        <v>1970</v>
      </c>
      <c r="BV254" s="344" t="s">
        <v>1970</v>
      </c>
      <c r="BW254" s="344" t="s">
        <v>1970</v>
      </c>
      <c r="BX254" s="344" t="s">
        <v>1970</v>
      </c>
      <c r="BY254" s="344" t="s">
        <v>1970</v>
      </c>
      <c r="BZ254" s="344" t="s">
        <v>1970</v>
      </c>
      <c r="CA254" s="344" t="s">
        <v>1970</v>
      </c>
      <c r="CB254" s="344" t="s">
        <v>1970</v>
      </c>
      <c r="CC254" s="344" t="s">
        <v>1970</v>
      </c>
      <c r="CD254" s="344" t="s">
        <v>1970</v>
      </c>
      <c r="CE254" s="344" t="s">
        <v>1970</v>
      </c>
      <c r="CF254" s="344" t="s">
        <v>1970</v>
      </c>
      <c r="CG254" s="344" t="s">
        <v>1970</v>
      </c>
      <c r="CH254" s="344" t="s">
        <v>1970</v>
      </c>
      <c r="CI254" s="344" t="s">
        <v>1970</v>
      </c>
      <c r="CJ254" s="344" t="s">
        <v>1970</v>
      </c>
      <c r="CK254" s="344" t="s">
        <v>1970</v>
      </c>
      <c r="CL254" s="344" t="s">
        <v>1970</v>
      </c>
      <c r="CM254" s="344" t="s">
        <v>1970</v>
      </c>
      <c r="CN254" s="344" t="s">
        <v>1970</v>
      </c>
      <c r="CO254" s="344" t="s">
        <v>1970</v>
      </c>
      <c r="CP254" s="344" t="s">
        <v>1970</v>
      </c>
      <c r="CQ254" s="344" t="s">
        <v>1970</v>
      </c>
      <c r="CR254" s="344" t="s">
        <v>1970</v>
      </c>
      <c r="CS254" s="344" t="s">
        <v>1970</v>
      </c>
      <c r="CT254" s="344" t="s">
        <v>1970</v>
      </c>
      <c r="CU254" s="344" t="s">
        <v>1970</v>
      </c>
      <c r="CV254" s="344" t="s">
        <v>1970</v>
      </c>
      <c r="CW254" s="344" t="s">
        <v>1970</v>
      </c>
      <c r="CX254" s="344" t="s">
        <v>1970</v>
      </c>
      <c r="CY254" s="344" t="s">
        <v>1970</v>
      </c>
      <c r="CZ254" s="344" t="s">
        <v>1970</v>
      </c>
      <c r="DA254" s="344" t="s">
        <v>1970</v>
      </c>
      <c r="DB254" s="344" t="s">
        <v>1970</v>
      </c>
      <c r="DC254" s="344" t="s">
        <v>1970</v>
      </c>
      <c r="DD254" s="344" t="s">
        <v>1970</v>
      </c>
      <c r="DE254" s="344" t="s">
        <v>1970</v>
      </c>
      <c r="DF254" s="344" t="s">
        <v>1970</v>
      </c>
      <c r="DG254" s="344" t="s">
        <v>1970</v>
      </c>
      <c r="DH254" s="344" t="s">
        <v>1970</v>
      </c>
      <c r="DI254" s="344" t="s">
        <v>1970</v>
      </c>
      <c r="DJ254" s="344" t="s">
        <v>1970</v>
      </c>
      <c r="DK254" s="344" t="s">
        <v>1970</v>
      </c>
      <c r="DL254" s="344" t="s">
        <v>1970</v>
      </c>
      <c r="DM254" s="344" t="s">
        <v>1970</v>
      </c>
      <c r="DN254" s="344" t="s">
        <v>1970</v>
      </c>
      <c r="DO254" s="344" t="s">
        <v>1970</v>
      </c>
      <c r="DP254" s="344" t="s">
        <v>1970</v>
      </c>
      <c r="DQ254" s="344" t="s">
        <v>1970</v>
      </c>
      <c r="DR254" s="344" t="s">
        <v>1970</v>
      </c>
      <c r="DS254" s="344" t="s">
        <v>1970</v>
      </c>
      <c r="DT254" s="344" t="s">
        <v>1970</v>
      </c>
      <c r="DU254" s="344" t="s">
        <v>1970</v>
      </c>
      <c r="DV254" s="344" t="s">
        <v>1970</v>
      </c>
      <c r="DW254" s="344" t="s">
        <v>1970</v>
      </c>
      <c r="DX254" s="344" t="s">
        <v>1970</v>
      </c>
      <c r="DY254" s="344" t="s">
        <v>1970</v>
      </c>
      <c r="DZ254" s="344" t="s">
        <v>1970</v>
      </c>
      <c r="EA254" s="344" t="s">
        <v>1970</v>
      </c>
      <c r="EB254" s="344" t="s">
        <v>1970</v>
      </c>
      <c r="EC254" s="344" t="s">
        <v>1970</v>
      </c>
      <c r="ED254" s="344" t="s">
        <v>1970</v>
      </c>
      <c r="EE254" s="344" t="s">
        <v>1970</v>
      </c>
      <c r="EF254" s="344" t="s">
        <v>1970</v>
      </c>
      <c r="EG254" s="344" t="s">
        <v>1970</v>
      </c>
      <c r="EH254" s="344" t="s">
        <v>1970</v>
      </c>
      <c r="EI254" s="344" t="s">
        <v>1970</v>
      </c>
      <c r="EJ254" s="344" t="s">
        <v>1970</v>
      </c>
      <c r="EK254" s="344" t="s">
        <v>1970</v>
      </c>
      <c r="EL254" s="344" t="s">
        <v>1970</v>
      </c>
      <c r="EM254" s="344" t="s">
        <v>1970</v>
      </c>
      <c r="EN254" s="344" t="s">
        <v>1970</v>
      </c>
      <c r="EO254" s="344" t="s">
        <v>1970</v>
      </c>
      <c r="EP254" s="344" t="s">
        <v>1970</v>
      </c>
      <c r="EQ254" s="344" t="s">
        <v>1970</v>
      </c>
      <c r="ER254" s="344" t="s">
        <v>1970</v>
      </c>
      <c r="ES254" s="344" t="s">
        <v>1970</v>
      </c>
    </row>
    <row r="255" spans="1:215" x14ac:dyDescent="0.3">
      <c r="A255" s="2" t="s">
        <v>1211</v>
      </c>
      <c r="B255" s="2" t="s">
        <v>1172</v>
      </c>
      <c r="C255" s="2" t="s">
        <v>2196</v>
      </c>
      <c r="D255" s="2" t="s">
        <v>1214</v>
      </c>
      <c r="E255" s="344" t="s">
        <v>2171</v>
      </c>
      <c r="F255" s="2">
        <v>59</v>
      </c>
      <c r="G255" s="2">
        <v>56</v>
      </c>
      <c r="H255" s="2">
        <v>55</v>
      </c>
      <c r="I255" s="344" t="s">
        <v>3360</v>
      </c>
      <c r="J255" s="344" t="s">
        <v>3358</v>
      </c>
      <c r="K255" s="2" t="s">
        <v>3362</v>
      </c>
      <c r="L255" s="2" t="s">
        <v>2738</v>
      </c>
      <c r="M255" s="2" t="s">
        <v>3363</v>
      </c>
      <c r="N255" s="344" t="s">
        <v>1978</v>
      </c>
      <c r="O255" s="344" t="s">
        <v>1978</v>
      </c>
      <c r="P255" s="344" t="s">
        <v>1978</v>
      </c>
      <c r="Q255" s="344" t="s">
        <v>1978</v>
      </c>
      <c r="R255" s="344" t="s">
        <v>1978</v>
      </c>
      <c r="S255" s="344" t="s">
        <v>1978</v>
      </c>
      <c r="T255" s="344" t="s">
        <v>2199</v>
      </c>
      <c r="U255" s="2" t="s">
        <v>2165</v>
      </c>
      <c r="V255" s="344" t="s">
        <v>1970</v>
      </c>
      <c r="W255" s="344" t="s">
        <v>1970</v>
      </c>
      <c r="X255" s="344">
        <f>'A123'!J263</f>
        <v>16</v>
      </c>
      <c r="Y255" s="344">
        <f>'A123'!K263</f>
        <v>18</v>
      </c>
      <c r="Z255" s="344">
        <f>'A123'!L263</f>
        <v>4.8888888888888893</v>
      </c>
      <c r="AA255" s="2" t="s">
        <v>2165</v>
      </c>
      <c r="AB255" s="344" t="str">
        <f>入學要求!X264</f>
        <v>以下一科選修取得Lv.3︰生物、化學、組合科學、物理、綜合科學</v>
      </c>
      <c r="AC255" s="344" t="str">
        <f>入學要求!Y264</f>
        <v>/</v>
      </c>
      <c r="AD255" s="351" t="s">
        <v>2171</v>
      </c>
      <c r="AE255" s="344" t="s">
        <v>3360</v>
      </c>
      <c r="AF255" s="344" t="s">
        <v>3358</v>
      </c>
      <c r="AG255" s="2" t="s">
        <v>3313</v>
      </c>
      <c r="AH255" s="2" t="s">
        <v>2738</v>
      </c>
      <c r="AI255" s="344" t="s">
        <v>1970</v>
      </c>
      <c r="AO255" s="344" t="s">
        <v>3384</v>
      </c>
      <c r="AP255" s="251" t="s">
        <v>3378</v>
      </c>
      <c r="AQ255" s="344" t="s">
        <v>1970</v>
      </c>
      <c r="AR255" s="344" t="s">
        <v>2150</v>
      </c>
      <c r="AS255" s="2" t="s">
        <v>3620</v>
      </c>
      <c r="AT255" s="2" t="s">
        <v>3687</v>
      </c>
      <c r="AU255" s="2" t="s">
        <v>3701</v>
      </c>
      <c r="AV255" s="344" t="s">
        <v>2596</v>
      </c>
      <c r="BB255" s="344" t="s">
        <v>1970</v>
      </c>
      <c r="BC255" s="344" t="s">
        <v>1970</v>
      </c>
      <c r="BD255" s="344" t="s">
        <v>1970</v>
      </c>
      <c r="BE255" s="344" t="s">
        <v>1970</v>
      </c>
      <c r="BF255" s="344" t="s">
        <v>1970</v>
      </c>
      <c r="BG255" s="344" t="s">
        <v>1970</v>
      </c>
      <c r="BH255" s="344" t="s">
        <v>1970</v>
      </c>
      <c r="BI255" s="344" t="s">
        <v>1970</v>
      </c>
      <c r="BJ255" s="344" t="s">
        <v>1970</v>
      </c>
      <c r="BK255" s="344" t="s">
        <v>1970</v>
      </c>
      <c r="BL255" s="344" t="s">
        <v>1970</v>
      </c>
      <c r="BM255" s="344" t="s">
        <v>1970</v>
      </c>
      <c r="BN255" s="344" t="s">
        <v>1970</v>
      </c>
      <c r="BO255" s="344" t="s">
        <v>1970</v>
      </c>
      <c r="BP255" s="344" t="s">
        <v>1970</v>
      </c>
      <c r="BQ255" s="344" t="s">
        <v>1970</v>
      </c>
      <c r="BR255" s="344" t="s">
        <v>1970</v>
      </c>
      <c r="BS255" s="344" t="s">
        <v>1970</v>
      </c>
      <c r="BT255" s="344" t="s">
        <v>1970</v>
      </c>
      <c r="BU255" s="344" t="s">
        <v>1970</v>
      </c>
      <c r="BV255" s="344" t="s">
        <v>1970</v>
      </c>
      <c r="BW255" s="344" t="s">
        <v>1970</v>
      </c>
      <c r="BX255" s="344" t="s">
        <v>1970</v>
      </c>
      <c r="BY255" s="344" t="s">
        <v>1970</v>
      </c>
      <c r="BZ255" s="344" t="s">
        <v>1970</v>
      </c>
      <c r="CA255" s="344" t="s">
        <v>1970</v>
      </c>
      <c r="CB255" s="344" t="s">
        <v>1970</v>
      </c>
      <c r="CC255" s="344" t="s">
        <v>1970</v>
      </c>
      <c r="CD255" s="344" t="s">
        <v>1970</v>
      </c>
      <c r="CE255" s="344" t="s">
        <v>1970</v>
      </c>
      <c r="CF255" s="344" t="s">
        <v>1970</v>
      </c>
      <c r="CG255" s="344" t="s">
        <v>1970</v>
      </c>
      <c r="CH255" s="344" t="s">
        <v>1970</v>
      </c>
      <c r="CI255" s="344" t="s">
        <v>1970</v>
      </c>
      <c r="CJ255" s="344" t="s">
        <v>1970</v>
      </c>
      <c r="CK255" s="344" t="s">
        <v>1970</v>
      </c>
      <c r="CL255" s="344" t="s">
        <v>1970</v>
      </c>
      <c r="CM255" s="344" t="s">
        <v>1970</v>
      </c>
      <c r="CN255" s="344" t="s">
        <v>1970</v>
      </c>
      <c r="CO255" s="344" t="s">
        <v>1970</v>
      </c>
      <c r="CP255" s="344" t="s">
        <v>1970</v>
      </c>
      <c r="CQ255" s="344" t="s">
        <v>1970</v>
      </c>
      <c r="CR255" s="344" t="s">
        <v>1970</v>
      </c>
      <c r="CS255" s="344" t="s">
        <v>1970</v>
      </c>
      <c r="CT255" s="344" t="s">
        <v>1970</v>
      </c>
      <c r="CU255" s="344" t="s">
        <v>1970</v>
      </c>
      <c r="CV255" s="344" t="s">
        <v>1970</v>
      </c>
      <c r="CW255" s="344" t="s">
        <v>1970</v>
      </c>
      <c r="CX255" s="344" t="s">
        <v>1970</v>
      </c>
      <c r="CY255" s="344" t="s">
        <v>1970</v>
      </c>
      <c r="CZ255" s="344" t="s">
        <v>1970</v>
      </c>
      <c r="DA255" s="344" t="s">
        <v>1970</v>
      </c>
      <c r="DB255" s="344" t="s">
        <v>1970</v>
      </c>
      <c r="DC255" s="344" t="s">
        <v>1970</v>
      </c>
      <c r="DD255" s="344" t="s">
        <v>1970</v>
      </c>
      <c r="DE255" s="344" t="s">
        <v>1970</v>
      </c>
      <c r="DF255" s="344" t="s">
        <v>1970</v>
      </c>
      <c r="DG255" s="344" t="s">
        <v>1970</v>
      </c>
      <c r="DH255" s="344" t="s">
        <v>1970</v>
      </c>
      <c r="DI255" s="344" t="s">
        <v>1970</v>
      </c>
      <c r="DJ255" s="344" t="s">
        <v>1970</v>
      </c>
      <c r="DK255" s="344" t="s">
        <v>1970</v>
      </c>
      <c r="DL255" s="344" t="s">
        <v>1970</v>
      </c>
      <c r="DM255" s="344" t="s">
        <v>1970</v>
      </c>
      <c r="DN255" s="344" t="s">
        <v>1970</v>
      </c>
      <c r="DO255" s="344" t="s">
        <v>1970</v>
      </c>
      <c r="DP255" s="344" t="s">
        <v>1970</v>
      </c>
      <c r="DQ255" s="344" t="s">
        <v>1970</v>
      </c>
      <c r="DR255" s="344" t="s">
        <v>1970</v>
      </c>
      <c r="DS255" s="344" t="s">
        <v>1970</v>
      </c>
      <c r="DT255" s="344" t="s">
        <v>1970</v>
      </c>
      <c r="DU255" s="344" t="s">
        <v>1970</v>
      </c>
      <c r="DV255" s="344" t="s">
        <v>1970</v>
      </c>
      <c r="DW255" s="344" t="s">
        <v>1970</v>
      </c>
      <c r="DX255" s="344" t="s">
        <v>1970</v>
      </c>
      <c r="DY255" s="344" t="s">
        <v>1970</v>
      </c>
      <c r="DZ255" s="344" t="s">
        <v>1970</v>
      </c>
      <c r="EA255" s="344" t="s">
        <v>1970</v>
      </c>
      <c r="EB255" s="344" t="s">
        <v>1970</v>
      </c>
      <c r="EC255" s="344" t="s">
        <v>1970</v>
      </c>
      <c r="ED255" s="344" t="s">
        <v>1970</v>
      </c>
      <c r="EE255" s="344" t="s">
        <v>1970</v>
      </c>
      <c r="EF255" s="344" t="s">
        <v>1970</v>
      </c>
      <c r="EG255" s="344" t="s">
        <v>1970</v>
      </c>
      <c r="EH255" s="344" t="s">
        <v>1970</v>
      </c>
      <c r="EI255" s="344" t="s">
        <v>1970</v>
      </c>
      <c r="EJ255" s="344" t="s">
        <v>1970</v>
      </c>
      <c r="EK255" s="344" t="s">
        <v>1970</v>
      </c>
      <c r="EL255" s="344" t="s">
        <v>1970</v>
      </c>
      <c r="EM255" s="344" t="s">
        <v>1970</v>
      </c>
      <c r="EN255" s="344" t="s">
        <v>1970</v>
      </c>
      <c r="EO255" s="344" t="s">
        <v>1970</v>
      </c>
      <c r="EP255" s="344" t="s">
        <v>1970</v>
      </c>
      <c r="EQ255" s="344" t="s">
        <v>1970</v>
      </c>
      <c r="ER255" s="344" t="s">
        <v>1970</v>
      </c>
      <c r="ES255" s="344" t="s">
        <v>1970</v>
      </c>
    </row>
    <row r="256" spans="1:215" x14ac:dyDescent="0.3">
      <c r="A256" s="2" t="s">
        <v>1216</v>
      </c>
      <c r="B256" s="2" t="s">
        <v>1172</v>
      </c>
      <c r="C256" s="2" t="s">
        <v>2196</v>
      </c>
      <c r="D256" s="2" t="s">
        <v>1219</v>
      </c>
      <c r="E256" s="2" t="s">
        <v>1979</v>
      </c>
      <c r="F256" s="2">
        <v>39</v>
      </c>
      <c r="G256" s="2">
        <v>38</v>
      </c>
      <c r="H256" s="2">
        <v>36</v>
      </c>
      <c r="I256" s="344" t="s">
        <v>1978</v>
      </c>
      <c r="J256" s="2" t="s">
        <v>1970</v>
      </c>
      <c r="K256" s="2" t="s">
        <v>1970</v>
      </c>
      <c r="L256" s="2" t="s">
        <v>1970</v>
      </c>
      <c r="M256" s="2" t="s">
        <v>1970</v>
      </c>
      <c r="N256" s="344" t="s">
        <v>1978</v>
      </c>
      <c r="O256" s="344" t="s">
        <v>1978</v>
      </c>
      <c r="P256" s="344" t="s">
        <v>1978</v>
      </c>
      <c r="Q256" s="344" t="s">
        <v>1978</v>
      </c>
      <c r="R256" s="344" t="s">
        <v>1978</v>
      </c>
      <c r="S256" s="344" t="s">
        <v>1978</v>
      </c>
      <c r="T256" s="344" t="s">
        <v>2200</v>
      </c>
      <c r="U256" s="2" t="s">
        <v>2165</v>
      </c>
      <c r="V256" s="344" t="s">
        <v>1970</v>
      </c>
      <c r="W256" s="344" t="s">
        <v>1970</v>
      </c>
      <c r="X256" s="344">
        <f>'A123'!J264</f>
        <v>48</v>
      </c>
      <c r="Y256" s="344">
        <f>'A123'!K264</f>
        <v>54</v>
      </c>
      <c r="Z256" s="344">
        <f>'A123'!L264</f>
        <v>2.7592592592592591</v>
      </c>
      <c r="AA256" s="2" t="s">
        <v>2165</v>
      </c>
      <c r="AB256" s="344" t="str">
        <f>入學要求!X265</f>
        <v>/</v>
      </c>
      <c r="AC256" s="344" t="str">
        <f>入學要求!Y265</f>
        <v>/</v>
      </c>
      <c r="AD256" s="2" t="s">
        <v>1979</v>
      </c>
      <c r="AE256" s="2" t="s">
        <v>1970</v>
      </c>
      <c r="AF256" s="2" t="s">
        <v>1970</v>
      </c>
      <c r="AG256" s="2" t="s">
        <v>1970</v>
      </c>
      <c r="AH256" s="2" t="s">
        <v>1970</v>
      </c>
      <c r="AI256" s="344" t="s">
        <v>1970</v>
      </c>
      <c r="AO256" s="344" t="s">
        <v>3384</v>
      </c>
      <c r="AP256" s="344" t="s">
        <v>2619</v>
      </c>
      <c r="AQ256" s="344" t="s">
        <v>1970</v>
      </c>
      <c r="AR256" s="344" t="s">
        <v>2150</v>
      </c>
      <c r="AS256" s="2" t="s">
        <v>3620</v>
      </c>
      <c r="AT256" s="2" t="s">
        <v>3681</v>
      </c>
      <c r="AU256" s="2" t="s">
        <v>3702</v>
      </c>
      <c r="AV256" s="344" t="s">
        <v>2596</v>
      </c>
      <c r="BB256" s="344" t="s">
        <v>1970</v>
      </c>
      <c r="BC256" s="344" t="s">
        <v>1970</v>
      </c>
      <c r="BD256" s="344" t="s">
        <v>1970</v>
      </c>
      <c r="BE256" s="344" t="s">
        <v>1970</v>
      </c>
      <c r="BF256" s="344" t="s">
        <v>1970</v>
      </c>
      <c r="BG256" s="344" t="s">
        <v>1970</v>
      </c>
      <c r="BH256" s="344" t="s">
        <v>1970</v>
      </c>
      <c r="BI256" s="344" t="s">
        <v>1970</v>
      </c>
      <c r="BJ256" s="344" t="s">
        <v>1970</v>
      </c>
      <c r="BK256" s="344" t="s">
        <v>1970</v>
      </c>
      <c r="BL256" s="344" t="s">
        <v>1970</v>
      </c>
      <c r="BM256" s="344" t="s">
        <v>1970</v>
      </c>
      <c r="BN256" s="344" t="s">
        <v>1970</v>
      </c>
      <c r="BO256" s="344" t="s">
        <v>1970</v>
      </c>
      <c r="BP256" s="344" t="s">
        <v>1970</v>
      </c>
      <c r="BQ256" s="344" t="s">
        <v>1970</v>
      </c>
      <c r="BR256" s="344" t="s">
        <v>1970</v>
      </c>
      <c r="BS256" s="344" t="s">
        <v>1970</v>
      </c>
      <c r="BT256" s="344" t="s">
        <v>1970</v>
      </c>
      <c r="BU256" s="344" t="s">
        <v>1970</v>
      </c>
      <c r="BV256" s="344" t="s">
        <v>1970</v>
      </c>
      <c r="BW256" s="344" t="s">
        <v>1970</v>
      </c>
      <c r="BX256" s="344" t="s">
        <v>1970</v>
      </c>
      <c r="BY256" s="344" t="s">
        <v>1970</v>
      </c>
      <c r="BZ256" s="344" t="s">
        <v>1970</v>
      </c>
      <c r="CA256" s="344" t="s">
        <v>1970</v>
      </c>
      <c r="CB256" s="344" t="s">
        <v>1970</v>
      </c>
      <c r="CC256" s="344" t="s">
        <v>1970</v>
      </c>
      <c r="CD256" s="344" t="s">
        <v>1970</v>
      </c>
      <c r="CE256" s="344" t="s">
        <v>1970</v>
      </c>
      <c r="CF256" s="344" t="s">
        <v>1970</v>
      </c>
      <c r="CG256" s="344" t="s">
        <v>1970</v>
      </c>
      <c r="CH256" s="344" t="s">
        <v>1970</v>
      </c>
      <c r="CI256" s="344" t="s">
        <v>1970</v>
      </c>
      <c r="CJ256" s="344" t="s">
        <v>1970</v>
      </c>
      <c r="CK256" s="344" t="s">
        <v>1970</v>
      </c>
      <c r="CL256" s="344" t="s">
        <v>1970</v>
      </c>
      <c r="CM256" s="344" t="s">
        <v>1970</v>
      </c>
      <c r="CN256" s="344" t="s">
        <v>1970</v>
      </c>
      <c r="CO256" s="344" t="s">
        <v>1970</v>
      </c>
      <c r="CP256" s="344" t="s">
        <v>1970</v>
      </c>
      <c r="CQ256" s="344" t="s">
        <v>1970</v>
      </c>
      <c r="CR256" s="344" t="s">
        <v>1970</v>
      </c>
      <c r="CS256" s="344" t="s">
        <v>1970</v>
      </c>
      <c r="CT256" s="344" t="s">
        <v>1970</v>
      </c>
      <c r="CU256" s="344" t="s">
        <v>1970</v>
      </c>
      <c r="CV256" s="344" t="s">
        <v>1970</v>
      </c>
      <c r="CW256" s="344" t="s">
        <v>1970</v>
      </c>
      <c r="CX256" s="344" t="s">
        <v>1970</v>
      </c>
      <c r="CY256" s="344" t="s">
        <v>1970</v>
      </c>
      <c r="CZ256" s="344" t="s">
        <v>1970</v>
      </c>
      <c r="DA256" s="344" t="s">
        <v>1970</v>
      </c>
      <c r="DB256" s="344" t="s">
        <v>1970</v>
      </c>
      <c r="DC256" s="344" t="s">
        <v>1970</v>
      </c>
      <c r="DD256" s="344" t="s">
        <v>1970</v>
      </c>
      <c r="DE256" s="344" t="s">
        <v>1970</v>
      </c>
      <c r="DF256" s="344" t="s">
        <v>1970</v>
      </c>
      <c r="DG256" s="344" t="s">
        <v>1970</v>
      </c>
      <c r="DH256" s="344" t="s">
        <v>1970</v>
      </c>
      <c r="DI256" s="344" t="s">
        <v>1970</v>
      </c>
      <c r="DJ256" s="344" t="s">
        <v>1970</v>
      </c>
      <c r="DK256" s="344" t="s">
        <v>1970</v>
      </c>
      <c r="DL256" s="344" t="s">
        <v>1970</v>
      </c>
      <c r="DM256" s="344" t="s">
        <v>1970</v>
      </c>
      <c r="DN256" s="344" t="s">
        <v>1970</v>
      </c>
      <c r="DO256" s="344" t="s">
        <v>1970</v>
      </c>
      <c r="DP256" s="344" t="s">
        <v>1970</v>
      </c>
      <c r="DQ256" s="344" t="s">
        <v>1970</v>
      </c>
      <c r="DR256" s="344" t="s">
        <v>1970</v>
      </c>
      <c r="DS256" s="344" t="s">
        <v>1970</v>
      </c>
      <c r="DT256" s="344" t="s">
        <v>1970</v>
      </c>
      <c r="DU256" s="344" t="s">
        <v>1970</v>
      </c>
      <c r="DV256" s="344" t="s">
        <v>1970</v>
      </c>
      <c r="DW256" s="344" t="s">
        <v>1970</v>
      </c>
      <c r="DX256" s="344" t="s">
        <v>1970</v>
      </c>
      <c r="DY256" s="344" t="s">
        <v>1970</v>
      </c>
      <c r="DZ256" s="344" t="s">
        <v>1970</v>
      </c>
      <c r="EA256" s="344" t="s">
        <v>1970</v>
      </c>
      <c r="EB256" s="344" t="s">
        <v>1970</v>
      </c>
      <c r="EC256" s="344" t="s">
        <v>1970</v>
      </c>
      <c r="ED256" s="344" t="s">
        <v>1970</v>
      </c>
      <c r="EE256" s="344" t="s">
        <v>1970</v>
      </c>
      <c r="EF256" s="344" t="s">
        <v>1970</v>
      </c>
      <c r="EG256" s="344" t="s">
        <v>1970</v>
      </c>
      <c r="EH256" s="344" t="s">
        <v>1970</v>
      </c>
      <c r="EI256" s="344" t="s">
        <v>1970</v>
      </c>
      <c r="EJ256" s="344" t="s">
        <v>1970</v>
      </c>
      <c r="EK256" s="344" t="s">
        <v>1970</v>
      </c>
      <c r="EL256" s="344" t="s">
        <v>1970</v>
      </c>
      <c r="EM256" s="344" t="s">
        <v>1970</v>
      </c>
      <c r="EN256" s="344" t="s">
        <v>1970</v>
      </c>
      <c r="EO256" s="344" t="s">
        <v>1970</v>
      </c>
      <c r="EP256" s="344" t="s">
        <v>1970</v>
      </c>
      <c r="EQ256" s="344" t="s">
        <v>1970</v>
      </c>
      <c r="ER256" s="344" t="s">
        <v>1970</v>
      </c>
      <c r="ES256" s="344" t="s">
        <v>1970</v>
      </c>
    </row>
    <row r="257" spans="1:149" s="344" customFormat="1" x14ac:dyDescent="0.3">
      <c r="A257" s="344" t="s">
        <v>2623</v>
      </c>
      <c r="B257" s="344" t="s">
        <v>1172</v>
      </c>
      <c r="C257" s="344" t="s">
        <v>2201</v>
      </c>
      <c r="D257" s="344" t="s">
        <v>2624</v>
      </c>
      <c r="E257" s="351" t="s">
        <v>2916</v>
      </c>
      <c r="F257" s="344" t="s">
        <v>1978</v>
      </c>
      <c r="G257" s="344" t="s">
        <v>1978</v>
      </c>
      <c r="H257" s="344" t="s">
        <v>1978</v>
      </c>
      <c r="I257" s="344" t="s">
        <v>1978</v>
      </c>
      <c r="J257" s="344" t="s">
        <v>1970</v>
      </c>
      <c r="K257" s="344" t="s">
        <v>1970</v>
      </c>
      <c r="L257" s="344" t="s">
        <v>1970</v>
      </c>
      <c r="M257" s="344" t="s">
        <v>1970</v>
      </c>
      <c r="T257" s="344" t="s">
        <v>3333</v>
      </c>
      <c r="U257" s="344" t="s">
        <v>2165</v>
      </c>
      <c r="V257" s="344" t="s">
        <v>1970</v>
      </c>
      <c r="W257" s="344" t="s">
        <v>1970</v>
      </c>
      <c r="X257" s="344">
        <f>'A123'!J265</f>
        <v>30</v>
      </c>
      <c r="Y257" s="344" t="str">
        <f>'A123'!K265</f>
        <v>/</v>
      </c>
      <c r="Z257" s="344" t="str">
        <f>'A123'!L265</f>
        <v>新科目</v>
      </c>
      <c r="AA257" s="344" t="s">
        <v>2165</v>
      </c>
      <c r="AB257" s="344" t="str">
        <f>入學要求!X266</f>
        <v>M1/2 需考獲Lv. 3 或以上</v>
      </c>
      <c r="AC257" s="344" t="str">
        <f>入學要求!Y266</f>
        <v>/</v>
      </c>
      <c r="AD257" s="373" t="s">
        <v>2171</v>
      </c>
      <c r="AE257" s="344" t="s">
        <v>3370</v>
      </c>
      <c r="AF257" s="344" t="s">
        <v>2696</v>
      </c>
      <c r="AG257" s="344" t="s">
        <v>1970</v>
      </c>
      <c r="AH257" s="344" t="s">
        <v>1970</v>
      </c>
      <c r="AI257" s="344" t="s">
        <v>1970</v>
      </c>
      <c r="AO257" s="344" t="s">
        <v>3384</v>
      </c>
      <c r="AP257" s="251" t="s">
        <v>3382</v>
      </c>
      <c r="AQ257" s="344" t="s">
        <v>1970</v>
      </c>
      <c r="AR257" s="344" t="s">
        <v>2150</v>
      </c>
      <c r="AS257" s="344" t="s">
        <v>3620</v>
      </c>
      <c r="AT257" s="344" t="s">
        <v>3688</v>
      </c>
      <c r="AU257" s="344" t="s">
        <v>3707</v>
      </c>
      <c r="AV257" s="344" t="s">
        <v>2596</v>
      </c>
    </row>
    <row r="258" spans="1:149" x14ac:dyDescent="0.3">
      <c r="A258" s="2" t="s">
        <v>1348</v>
      </c>
      <c r="B258" s="2" t="s">
        <v>1172</v>
      </c>
      <c r="C258" s="2" t="s">
        <v>2201</v>
      </c>
      <c r="D258" s="2" t="s">
        <v>1351</v>
      </c>
      <c r="E258" s="344" t="s">
        <v>1977</v>
      </c>
      <c r="F258" s="2">
        <v>31</v>
      </c>
      <c r="G258" s="2">
        <v>30</v>
      </c>
      <c r="H258" s="2">
        <v>29</v>
      </c>
      <c r="I258" s="344" t="s">
        <v>3364</v>
      </c>
      <c r="J258" s="344" t="s">
        <v>2696</v>
      </c>
      <c r="K258" s="2" t="s">
        <v>1970</v>
      </c>
      <c r="L258" s="2" t="s">
        <v>1970</v>
      </c>
      <c r="M258" s="2" t="s">
        <v>1970</v>
      </c>
      <c r="N258" s="344" t="s">
        <v>1978</v>
      </c>
      <c r="O258" s="344" t="s">
        <v>1978</v>
      </c>
      <c r="P258" s="344" t="s">
        <v>1978</v>
      </c>
      <c r="Q258" s="344" t="s">
        <v>1978</v>
      </c>
      <c r="R258" s="344" t="s">
        <v>1978</v>
      </c>
      <c r="S258" s="344" t="s">
        <v>1978</v>
      </c>
      <c r="T258" s="344" t="s">
        <v>2202</v>
      </c>
      <c r="U258" s="344" t="s">
        <v>2165</v>
      </c>
      <c r="V258" s="344" t="s">
        <v>1970</v>
      </c>
      <c r="W258" s="344" t="s">
        <v>1970</v>
      </c>
      <c r="X258" s="344">
        <f>'A123'!J266</f>
        <v>35</v>
      </c>
      <c r="Y258" s="344">
        <f>'A123'!K266</f>
        <v>18</v>
      </c>
      <c r="Z258" s="344">
        <f>'A123'!L266</f>
        <v>4.2777777777777777</v>
      </c>
      <c r="AA258" s="2" t="s">
        <v>2165</v>
      </c>
      <c r="AB258" s="344" t="str">
        <f>入學要求!X267</f>
        <v>以下一科選修取得Lv.3︰物理、組合科學(物理)</v>
      </c>
      <c r="AC258" s="344" t="str">
        <f>入學要求!Y267</f>
        <v>M1/2 應考獲Lv. 3 或以上</v>
      </c>
      <c r="AD258" s="351" t="s">
        <v>2171</v>
      </c>
      <c r="AE258" s="2" t="s">
        <v>3364</v>
      </c>
      <c r="AF258" s="344" t="s">
        <v>2696</v>
      </c>
      <c r="AG258" s="2" t="s">
        <v>1970</v>
      </c>
      <c r="AH258" s="2" t="s">
        <v>1970</v>
      </c>
      <c r="AI258" s="344" t="s">
        <v>1970</v>
      </c>
      <c r="AO258" s="344" t="s">
        <v>3384</v>
      </c>
      <c r="AP258" s="251" t="s">
        <v>3382</v>
      </c>
      <c r="AQ258" s="344" t="s">
        <v>1970</v>
      </c>
      <c r="AR258" s="344" t="s">
        <v>2150</v>
      </c>
      <c r="AS258" s="2" t="s">
        <v>3620</v>
      </c>
      <c r="AT258" s="2" t="s">
        <v>3689</v>
      </c>
      <c r="AU258" s="564">
        <v>46935</v>
      </c>
      <c r="AV258" s="344" t="s">
        <v>2596</v>
      </c>
      <c r="AW258" s="564"/>
      <c r="AX258" s="564"/>
      <c r="AY258" s="564"/>
      <c r="AZ258" s="564"/>
      <c r="BA258" s="564"/>
      <c r="BB258" s="344" t="s">
        <v>1970</v>
      </c>
      <c r="BC258" s="344" t="s">
        <v>1970</v>
      </c>
      <c r="BD258" s="344" t="s">
        <v>1970</v>
      </c>
      <c r="BE258" s="344" t="s">
        <v>1970</v>
      </c>
      <c r="BF258" s="344" t="s">
        <v>1970</v>
      </c>
      <c r="BG258" s="344" t="s">
        <v>1970</v>
      </c>
      <c r="BH258" s="344" t="s">
        <v>1970</v>
      </c>
      <c r="BI258" s="344" t="s">
        <v>1970</v>
      </c>
      <c r="BJ258" s="344" t="s">
        <v>1970</v>
      </c>
      <c r="BK258" s="344" t="s">
        <v>1970</v>
      </c>
      <c r="BL258" s="344" t="s">
        <v>1970</v>
      </c>
      <c r="BM258" s="344" t="s">
        <v>1970</v>
      </c>
      <c r="BN258" s="344" t="s">
        <v>1970</v>
      </c>
      <c r="BO258" s="344" t="s">
        <v>1970</v>
      </c>
      <c r="BP258" s="344" t="s">
        <v>1970</v>
      </c>
      <c r="BQ258" s="344" t="s">
        <v>1970</v>
      </c>
      <c r="BR258" s="344" t="s">
        <v>1970</v>
      </c>
      <c r="BS258" s="344" t="s">
        <v>1970</v>
      </c>
      <c r="BT258" s="344" t="s">
        <v>1970</v>
      </c>
      <c r="BU258" s="344" t="s">
        <v>1970</v>
      </c>
      <c r="BV258" s="344" t="s">
        <v>1970</v>
      </c>
      <c r="BW258" s="344" t="s">
        <v>1970</v>
      </c>
      <c r="BX258" s="344" t="s">
        <v>1970</v>
      </c>
      <c r="BY258" s="344" t="s">
        <v>1970</v>
      </c>
      <c r="BZ258" s="344" t="s">
        <v>1970</v>
      </c>
      <c r="CA258" s="344" t="s">
        <v>1970</v>
      </c>
      <c r="CB258" s="344" t="s">
        <v>1970</v>
      </c>
      <c r="CC258" s="344" t="s">
        <v>1970</v>
      </c>
      <c r="CD258" s="344" t="s">
        <v>1970</v>
      </c>
      <c r="CE258" s="344" t="s">
        <v>1970</v>
      </c>
      <c r="CF258" s="344" t="s">
        <v>1970</v>
      </c>
      <c r="CG258" s="344" t="s">
        <v>1970</v>
      </c>
      <c r="CH258" s="344" t="s">
        <v>1970</v>
      </c>
      <c r="CI258" s="344" t="s">
        <v>1970</v>
      </c>
      <c r="CJ258" s="344" t="s">
        <v>1970</v>
      </c>
      <c r="CK258" s="344" t="s">
        <v>1970</v>
      </c>
      <c r="CL258" s="344" t="s">
        <v>1970</v>
      </c>
      <c r="CM258" s="344" t="s">
        <v>1970</v>
      </c>
      <c r="CN258" s="344" t="s">
        <v>1970</v>
      </c>
      <c r="CO258" s="344" t="s">
        <v>1970</v>
      </c>
      <c r="CP258" s="344" t="s">
        <v>1970</v>
      </c>
      <c r="CQ258" s="344" t="s">
        <v>1970</v>
      </c>
      <c r="CR258" s="344" t="s">
        <v>1970</v>
      </c>
      <c r="CS258" s="344" t="s">
        <v>1970</v>
      </c>
      <c r="CT258" s="344" t="s">
        <v>1970</v>
      </c>
      <c r="CU258" s="344" t="s">
        <v>1970</v>
      </c>
      <c r="CV258" s="344" t="s">
        <v>1970</v>
      </c>
      <c r="CW258" s="344" t="s">
        <v>1970</v>
      </c>
      <c r="CX258" s="344" t="s">
        <v>1970</v>
      </c>
      <c r="CY258" s="344" t="s">
        <v>1970</v>
      </c>
      <c r="CZ258" s="344" t="s">
        <v>1970</v>
      </c>
      <c r="DA258" s="344" t="s">
        <v>1970</v>
      </c>
      <c r="DB258" s="344" t="s">
        <v>1970</v>
      </c>
      <c r="DC258" s="344" t="s">
        <v>1970</v>
      </c>
      <c r="DD258" s="344" t="s">
        <v>1970</v>
      </c>
      <c r="DE258" s="344" t="s">
        <v>1970</v>
      </c>
      <c r="DF258" s="344" t="s">
        <v>1970</v>
      </c>
      <c r="DG258" s="344" t="s">
        <v>1970</v>
      </c>
      <c r="DH258" s="344" t="s">
        <v>1970</v>
      </c>
      <c r="DI258" s="344" t="s">
        <v>1970</v>
      </c>
      <c r="DJ258" s="344" t="s">
        <v>1970</v>
      </c>
      <c r="DK258" s="344" t="s">
        <v>1970</v>
      </c>
      <c r="DL258" s="344" t="s">
        <v>1970</v>
      </c>
      <c r="DM258" s="344" t="s">
        <v>1970</v>
      </c>
      <c r="DN258" s="344" t="s">
        <v>1970</v>
      </c>
      <c r="DO258" s="344" t="s">
        <v>1970</v>
      </c>
      <c r="DP258" s="344" t="s">
        <v>1970</v>
      </c>
      <c r="DQ258" s="344" t="s">
        <v>1970</v>
      </c>
      <c r="DR258" s="344" t="s">
        <v>1970</v>
      </c>
      <c r="DS258" s="344" t="s">
        <v>1970</v>
      </c>
      <c r="DT258" s="344" t="s">
        <v>1970</v>
      </c>
      <c r="DU258" s="344" t="s">
        <v>1970</v>
      </c>
      <c r="DV258" s="344" t="s">
        <v>1970</v>
      </c>
      <c r="DW258" s="344" t="s">
        <v>1970</v>
      </c>
      <c r="DX258" s="344" t="s">
        <v>1970</v>
      </c>
      <c r="DY258" s="344" t="s">
        <v>1970</v>
      </c>
      <c r="DZ258" s="344" t="s">
        <v>1970</v>
      </c>
      <c r="EA258" s="344" t="s">
        <v>1970</v>
      </c>
      <c r="EB258" s="344" t="s">
        <v>1970</v>
      </c>
      <c r="EC258" s="344" t="s">
        <v>1970</v>
      </c>
      <c r="ED258" s="344" t="s">
        <v>1970</v>
      </c>
      <c r="EE258" s="344" t="s">
        <v>1970</v>
      </c>
      <c r="EF258" s="344" t="s">
        <v>1970</v>
      </c>
      <c r="EG258" s="344" t="s">
        <v>1970</v>
      </c>
      <c r="EH258" s="344" t="s">
        <v>1970</v>
      </c>
      <c r="EI258" s="344" t="s">
        <v>1970</v>
      </c>
      <c r="EJ258" s="344" t="s">
        <v>1970</v>
      </c>
      <c r="EK258" s="344" t="s">
        <v>1970</v>
      </c>
      <c r="EL258" s="344" t="s">
        <v>1970</v>
      </c>
      <c r="EM258" s="344" t="s">
        <v>1970</v>
      </c>
      <c r="EN258" s="344" t="s">
        <v>1970</v>
      </c>
      <c r="EO258" s="344" t="s">
        <v>1970</v>
      </c>
      <c r="EP258" s="344" t="s">
        <v>1970</v>
      </c>
      <c r="EQ258" s="344" t="s">
        <v>1970</v>
      </c>
      <c r="ER258" s="344" t="s">
        <v>1970</v>
      </c>
      <c r="ES258" s="344" t="s">
        <v>1970</v>
      </c>
    </row>
    <row r="259" spans="1:149" x14ac:dyDescent="0.3">
      <c r="A259" s="2" t="s">
        <v>1352</v>
      </c>
      <c r="B259" s="2" t="s">
        <v>1172</v>
      </c>
      <c r="C259" s="2" t="s">
        <v>2201</v>
      </c>
      <c r="D259" s="2" t="s">
        <v>1355</v>
      </c>
      <c r="E259" s="344" t="s">
        <v>1977</v>
      </c>
      <c r="F259" s="2">
        <v>34</v>
      </c>
      <c r="G259" s="2">
        <v>31</v>
      </c>
      <c r="H259" s="2">
        <v>29</v>
      </c>
      <c r="I259" s="344" t="s">
        <v>3364</v>
      </c>
      <c r="J259" s="344" t="s">
        <v>2696</v>
      </c>
      <c r="K259" s="2" t="s">
        <v>1970</v>
      </c>
      <c r="L259" s="2" t="s">
        <v>1970</v>
      </c>
      <c r="M259" s="2" t="s">
        <v>1970</v>
      </c>
      <c r="N259" s="344" t="s">
        <v>1978</v>
      </c>
      <c r="O259" s="344" t="s">
        <v>1978</v>
      </c>
      <c r="P259" s="344" t="s">
        <v>1978</v>
      </c>
      <c r="Q259" s="344" t="s">
        <v>1978</v>
      </c>
      <c r="R259" s="344" t="s">
        <v>1978</v>
      </c>
      <c r="S259" s="344" t="s">
        <v>1978</v>
      </c>
      <c r="T259" s="344" t="s">
        <v>1353</v>
      </c>
      <c r="U259" s="2" t="s">
        <v>2165</v>
      </c>
      <c r="V259" s="344" t="s">
        <v>1970</v>
      </c>
      <c r="W259" s="344" t="s">
        <v>1970</v>
      </c>
      <c r="X259" s="344" t="str">
        <f>'A123'!J267</f>
        <v>355*</v>
      </c>
      <c r="Y259" s="344">
        <f>'A123'!K267</f>
        <v>18</v>
      </c>
      <c r="Z259" s="344">
        <f>'A123'!L267</f>
        <v>2.2777777777777777</v>
      </c>
      <c r="AA259" s="2" t="s">
        <v>2165</v>
      </c>
      <c r="AB259" s="344" t="str">
        <f>入學要求!X268</f>
        <v>以下一科選修取得Lv.3︰物理、組合科學(物理)</v>
      </c>
      <c r="AC259" s="344" t="str">
        <f>入學要求!Y268</f>
        <v>M1/2 應考獲Lv. 3 或以上</v>
      </c>
      <c r="AD259" s="351" t="s">
        <v>2171</v>
      </c>
      <c r="AE259" s="2" t="s">
        <v>3364</v>
      </c>
      <c r="AF259" s="344" t="s">
        <v>2696</v>
      </c>
      <c r="AG259" s="2" t="s">
        <v>1970</v>
      </c>
      <c r="AH259" s="2" t="s">
        <v>1970</v>
      </c>
      <c r="AI259" s="344" t="s">
        <v>1970</v>
      </c>
      <c r="AO259" s="344" t="s">
        <v>3384</v>
      </c>
      <c r="AP259" s="251" t="s">
        <v>3378</v>
      </c>
      <c r="AQ259" s="344" t="s">
        <v>1970</v>
      </c>
      <c r="AR259" s="344" t="s">
        <v>2150</v>
      </c>
      <c r="AS259" s="2" t="s">
        <v>3620</v>
      </c>
      <c r="AT259" s="2" t="s">
        <v>3688</v>
      </c>
      <c r="AU259" s="2" t="s">
        <v>3707</v>
      </c>
      <c r="AV259" s="344" t="s">
        <v>2596</v>
      </c>
      <c r="BB259" s="344" t="s">
        <v>1970</v>
      </c>
      <c r="BC259" s="344" t="s">
        <v>1970</v>
      </c>
      <c r="BD259" s="344" t="s">
        <v>1970</v>
      </c>
      <c r="BE259" s="344" t="s">
        <v>1970</v>
      </c>
      <c r="BF259" s="344" t="s">
        <v>1970</v>
      </c>
      <c r="BG259" s="344" t="s">
        <v>1970</v>
      </c>
      <c r="BH259" s="344" t="s">
        <v>1970</v>
      </c>
      <c r="BI259" s="344" t="s">
        <v>1970</v>
      </c>
      <c r="BJ259" s="344" t="s">
        <v>1970</v>
      </c>
      <c r="BK259" s="344" t="s">
        <v>1970</v>
      </c>
      <c r="BL259" s="344" t="s">
        <v>1970</v>
      </c>
      <c r="BM259" s="344" t="s">
        <v>1970</v>
      </c>
      <c r="BN259" s="344" t="s">
        <v>1970</v>
      </c>
      <c r="BO259" s="344" t="s">
        <v>1970</v>
      </c>
      <c r="BP259" s="344" t="s">
        <v>1970</v>
      </c>
      <c r="BQ259" s="344" t="s">
        <v>1970</v>
      </c>
      <c r="BR259" s="344" t="s">
        <v>1970</v>
      </c>
      <c r="BS259" s="344" t="s">
        <v>1970</v>
      </c>
      <c r="BT259" s="344" t="s">
        <v>1970</v>
      </c>
      <c r="BU259" s="344" t="s">
        <v>1970</v>
      </c>
      <c r="BV259" s="344" t="s">
        <v>1970</v>
      </c>
      <c r="BW259" s="344" t="s">
        <v>1970</v>
      </c>
      <c r="BX259" s="344" t="s">
        <v>1970</v>
      </c>
      <c r="BY259" s="344" t="s">
        <v>1970</v>
      </c>
      <c r="BZ259" s="344" t="s">
        <v>1970</v>
      </c>
      <c r="CA259" s="344" t="s">
        <v>1970</v>
      </c>
      <c r="CB259" s="344" t="s">
        <v>1970</v>
      </c>
      <c r="CC259" s="344" t="s">
        <v>1970</v>
      </c>
      <c r="CD259" s="344" t="s">
        <v>1970</v>
      </c>
      <c r="CE259" s="344" t="s">
        <v>1970</v>
      </c>
      <c r="CF259" s="344" t="s">
        <v>1970</v>
      </c>
      <c r="CG259" s="344" t="s">
        <v>1970</v>
      </c>
      <c r="CH259" s="344" t="s">
        <v>1970</v>
      </c>
      <c r="CI259" s="344" t="s">
        <v>1970</v>
      </c>
      <c r="CJ259" s="344" t="s">
        <v>1970</v>
      </c>
      <c r="CK259" s="344" t="s">
        <v>1970</v>
      </c>
      <c r="CL259" s="344" t="s">
        <v>1970</v>
      </c>
      <c r="CM259" s="344" t="s">
        <v>1970</v>
      </c>
      <c r="CN259" s="344" t="s">
        <v>1970</v>
      </c>
      <c r="CO259" s="344" t="s">
        <v>1970</v>
      </c>
      <c r="CP259" s="344" t="s">
        <v>1970</v>
      </c>
      <c r="CQ259" s="344" t="s">
        <v>1970</v>
      </c>
      <c r="CR259" s="344" t="s">
        <v>1970</v>
      </c>
      <c r="CS259" s="344" t="s">
        <v>1970</v>
      </c>
      <c r="CT259" s="344" t="s">
        <v>1970</v>
      </c>
      <c r="CU259" s="344" t="s">
        <v>1970</v>
      </c>
      <c r="CV259" s="344" t="s">
        <v>1970</v>
      </c>
      <c r="CW259" s="344" t="s">
        <v>1970</v>
      </c>
      <c r="CX259" s="344" t="s">
        <v>1970</v>
      </c>
      <c r="CY259" s="344" t="s">
        <v>1970</v>
      </c>
      <c r="CZ259" s="344" t="s">
        <v>1970</v>
      </c>
      <c r="DA259" s="344" t="s">
        <v>1970</v>
      </c>
      <c r="DB259" s="344" t="s">
        <v>1970</v>
      </c>
      <c r="DC259" s="344" t="s">
        <v>1970</v>
      </c>
      <c r="DD259" s="344" t="s">
        <v>1970</v>
      </c>
      <c r="DE259" s="344" t="s">
        <v>1970</v>
      </c>
      <c r="DF259" s="344" t="s">
        <v>1970</v>
      </c>
      <c r="DG259" s="344" t="s">
        <v>1970</v>
      </c>
      <c r="DH259" s="344" t="s">
        <v>1970</v>
      </c>
      <c r="DI259" s="344" t="s">
        <v>1970</v>
      </c>
      <c r="DJ259" s="344" t="s">
        <v>1970</v>
      </c>
      <c r="DK259" s="344" t="s">
        <v>1970</v>
      </c>
      <c r="DL259" s="344" t="s">
        <v>1970</v>
      </c>
      <c r="DM259" s="344" t="s">
        <v>1970</v>
      </c>
      <c r="DN259" s="344" t="s">
        <v>1970</v>
      </c>
      <c r="DO259" s="344" t="s">
        <v>1970</v>
      </c>
      <c r="DP259" s="344" t="s">
        <v>1970</v>
      </c>
      <c r="DQ259" s="344" t="s">
        <v>1970</v>
      </c>
      <c r="DR259" s="344" t="s">
        <v>1970</v>
      </c>
      <c r="DS259" s="344" t="s">
        <v>1970</v>
      </c>
      <c r="DT259" s="344" t="s">
        <v>1970</v>
      </c>
      <c r="DU259" s="344" t="s">
        <v>1970</v>
      </c>
      <c r="DV259" s="344" t="s">
        <v>1970</v>
      </c>
      <c r="DW259" s="344" t="s">
        <v>1970</v>
      </c>
      <c r="DX259" s="344" t="s">
        <v>1970</v>
      </c>
      <c r="DY259" s="344" t="s">
        <v>1970</v>
      </c>
      <c r="DZ259" s="344" t="s">
        <v>1970</v>
      </c>
      <c r="EA259" s="344" t="s">
        <v>1970</v>
      </c>
      <c r="EB259" s="344" t="s">
        <v>1970</v>
      </c>
      <c r="EC259" s="344" t="s">
        <v>1970</v>
      </c>
      <c r="ED259" s="344" t="s">
        <v>1970</v>
      </c>
      <c r="EE259" s="344" t="s">
        <v>1970</v>
      </c>
      <c r="EF259" s="344" t="s">
        <v>1970</v>
      </c>
      <c r="EG259" s="344" t="s">
        <v>1970</v>
      </c>
      <c r="EH259" s="344" t="s">
        <v>1970</v>
      </c>
      <c r="EI259" s="344" t="s">
        <v>1970</v>
      </c>
      <c r="EJ259" s="344" t="s">
        <v>1970</v>
      </c>
      <c r="EK259" s="344" t="s">
        <v>1970</v>
      </c>
      <c r="EL259" s="344" t="s">
        <v>1970</v>
      </c>
      <c r="EM259" s="344" t="s">
        <v>1970</v>
      </c>
      <c r="EN259" s="344" t="s">
        <v>1970</v>
      </c>
      <c r="EO259" s="344" t="s">
        <v>1970</v>
      </c>
      <c r="EP259" s="344" t="s">
        <v>1970</v>
      </c>
      <c r="EQ259" s="344" t="s">
        <v>1970</v>
      </c>
      <c r="ER259" s="344" t="s">
        <v>1970</v>
      </c>
      <c r="ES259" s="344" t="s">
        <v>1970</v>
      </c>
    </row>
    <row r="260" spans="1:149" x14ac:dyDescent="0.3">
      <c r="A260" s="2" t="s">
        <v>1362</v>
      </c>
      <c r="B260" s="2" t="s">
        <v>1172</v>
      </c>
      <c r="C260" s="2" t="s">
        <v>2201</v>
      </c>
      <c r="D260" s="2" t="s">
        <v>1365</v>
      </c>
      <c r="E260" s="344" t="s">
        <v>1977</v>
      </c>
      <c r="F260" s="2">
        <v>27</v>
      </c>
      <c r="G260" s="2">
        <v>26</v>
      </c>
      <c r="H260" s="2">
        <v>25</v>
      </c>
      <c r="I260" s="344" t="s">
        <v>3364</v>
      </c>
      <c r="J260" s="344" t="s">
        <v>2696</v>
      </c>
      <c r="K260" s="2" t="s">
        <v>1970</v>
      </c>
      <c r="L260" s="2" t="s">
        <v>1970</v>
      </c>
      <c r="M260" s="2" t="s">
        <v>1970</v>
      </c>
      <c r="N260" s="344" t="s">
        <v>1978</v>
      </c>
      <c r="O260" s="344" t="s">
        <v>1978</v>
      </c>
      <c r="P260" s="344" t="s">
        <v>1978</v>
      </c>
      <c r="Q260" s="344" t="s">
        <v>1978</v>
      </c>
      <c r="R260" s="344" t="s">
        <v>1978</v>
      </c>
      <c r="S260" s="344" t="s">
        <v>1978</v>
      </c>
      <c r="T260" s="344" t="s">
        <v>2203</v>
      </c>
      <c r="U260" s="2" t="s">
        <v>2165</v>
      </c>
      <c r="V260" s="344" t="s">
        <v>1970</v>
      </c>
      <c r="W260" s="344" t="s">
        <v>1970</v>
      </c>
      <c r="X260" s="344">
        <f>'A123'!J268</f>
        <v>18</v>
      </c>
      <c r="Y260" s="344">
        <f>'A123'!K268</f>
        <v>12</v>
      </c>
      <c r="Z260" s="344">
        <f>'A123'!L268</f>
        <v>5.583333333333333</v>
      </c>
      <c r="AA260" s="2" t="s">
        <v>2165</v>
      </c>
      <c r="AB260" s="344" t="str">
        <f>入學要求!X269</f>
        <v>以下一科選修取得Lv.3︰生物、化學、組合科學、物理、綜合科學</v>
      </c>
      <c r="AC260" s="344" t="str">
        <f>入學要求!Y269</f>
        <v>M1/2 應考獲Lv. 3 或以上</v>
      </c>
      <c r="AD260" s="351" t="s">
        <v>2171</v>
      </c>
      <c r="AE260" s="2" t="s">
        <v>3364</v>
      </c>
      <c r="AF260" s="344" t="s">
        <v>2696</v>
      </c>
      <c r="AG260" s="2" t="s">
        <v>1970</v>
      </c>
      <c r="AH260" s="2" t="s">
        <v>1970</v>
      </c>
      <c r="AI260" s="344" t="s">
        <v>1970</v>
      </c>
      <c r="AO260" s="344" t="s">
        <v>3384</v>
      </c>
      <c r="AP260" s="251" t="s">
        <v>3382</v>
      </c>
      <c r="AQ260" s="344" t="s">
        <v>1970</v>
      </c>
      <c r="AR260" s="344" t="s">
        <v>2150</v>
      </c>
      <c r="AS260" s="2" t="s">
        <v>3620</v>
      </c>
      <c r="AT260" s="564">
        <v>46905</v>
      </c>
      <c r="AU260" s="564">
        <v>47300</v>
      </c>
      <c r="AV260" s="344" t="s">
        <v>2596</v>
      </c>
      <c r="AW260" s="564"/>
      <c r="AX260" s="564"/>
      <c r="AY260" s="564"/>
      <c r="AZ260" s="564"/>
      <c r="BA260" s="564"/>
      <c r="BB260" s="344" t="s">
        <v>1970</v>
      </c>
      <c r="BC260" s="344" t="s">
        <v>1970</v>
      </c>
      <c r="BD260" s="344" t="s">
        <v>1970</v>
      </c>
      <c r="BE260" s="344" t="s">
        <v>1970</v>
      </c>
      <c r="BF260" s="344" t="s">
        <v>1970</v>
      </c>
      <c r="BG260" s="344" t="s">
        <v>1970</v>
      </c>
      <c r="BH260" s="344" t="s">
        <v>1970</v>
      </c>
      <c r="BI260" s="344" t="s">
        <v>1970</v>
      </c>
      <c r="BJ260" s="344" t="s">
        <v>1970</v>
      </c>
      <c r="BK260" s="344" t="s">
        <v>1970</v>
      </c>
      <c r="BL260" s="344" t="s">
        <v>1970</v>
      </c>
      <c r="BM260" s="344" t="s">
        <v>1970</v>
      </c>
      <c r="BN260" s="344" t="s">
        <v>1970</v>
      </c>
      <c r="BO260" s="344" t="s">
        <v>1970</v>
      </c>
      <c r="BP260" s="344" t="s">
        <v>1970</v>
      </c>
      <c r="BQ260" s="344" t="s">
        <v>1970</v>
      </c>
      <c r="BR260" s="344" t="s">
        <v>1970</v>
      </c>
      <c r="BS260" s="344" t="s">
        <v>1970</v>
      </c>
      <c r="BT260" s="344" t="s">
        <v>1970</v>
      </c>
      <c r="BU260" s="344" t="s">
        <v>1970</v>
      </c>
      <c r="BV260" s="344" t="s">
        <v>1970</v>
      </c>
      <c r="BW260" s="344" t="s">
        <v>1970</v>
      </c>
      <c r="BX260" s="344" t="s">
        <v>1970</v>
      </c>
      <c r="BY260" s="344" t="s">
        <v>1970</v>
      </c>
      <c r="BZ260" s="344" t="s">
        <v>1970</v>
      </c>
      <c r="CA260" s="344" t="s">
        <v>1970</v>
      </c>
      <c r="CB260" s="344" t="s">
        <v>1970</v>
      </c>
      <c r="CC260" s="344" t="s">
        <v>1970</v>
      </c>
      <c r="CD260" s="344" t="s">
        <v>1970</v>
      </c>
      <c r="CE260" s="344" t="s">
        <v>1970</v>
      </c>
      <c r="CF260" s="344" t="s">
        <v>1970</v>
      </c>
      <c r="CG260" s="344" t="s">
        <v>1970</v>
      </c>
      <c r="CH260" s="344" t="s">
        <v>1970</v>
      </c>
      <c r="CI260" s="344" t="s">
        <v>1970</v>
      </c>
      <c r="CJ260" s="344" t="s">
        <v>1970</v>
      </c>
      <c r="CK260" s="344" t="s">
        <v>1970</v>
      </c>
      <c r="CL260" s="344" t="s">
        <v>1970</v>
      </c>
      <c r="CM260" s="344" t="s">
        <v>1970</v>
      </c>
      <c r="CN260" s="344" t="s">
        <v>1970</v>
      </c>
      <c r="CO260" s="344" t="s">
        <v>1970</v>
      </c>
      <c r="CP260" s="344" t="s">
        <v>1970</v>
      </c>
      <c r="CQ260" s="344" t="s">
        <v>1970</v>
      </c>
      <c r="CR260" s="344" t="s">
        <v>1970</v>
      </c>
      <c r="CS260" s="344" t="s">
        <v>1970</v>
      </c>
      <c r="CT260" s="344" t="s">
        <v>1970</v>
      </c>
      <c r="CU260" s="344" t="s">
        <v>1970</v>
      </c>
      <c r="CV260" s="344" t="s">
        <v>1970</v>
      </c>
      <c r="CW260" s="344" t="s">
        <v>1970</v>
      </c>
      <c r="CX260" s="344" t="s">
        <v>1970</v>
      </c>
      <c r="CY260" s="344" t="s">
        <v>1970</v>
      </c>
      <c r="CZ260" s="344" t="s">
        <v>1970</v>
      </c>
      <c r="DA260" s="344" t="s">
        <v>1970</v>
      </c>
      <c r="DB260" s="344" t="s">
        <v>1970</v>
      </c>
      <c r="DC260" s="344" t="s">
        <v>1970</v>
      </c>
      <c r="DD260" s="344" t="s">
        <v>1970</v>
      </c>
      <c r="DE260" s="344" t="s">
        <v>1970</v>
      </c>
      <c r="DF260" s="344" t="s">
        <v>1970</v>
      </c>
      <c r="DG260" s="344" t="s">
        <v>1970</v>
      </c>
      <c r="DH260" s="344" t="s">
        <v>1970</v>
      </c>
      <c r="DI260" s="344" t="s">
        <v>1970</v>
      </c>
      <c r="DJ260" s="344" t="s">
        <v>1970</v>
      </c>
      <c r="DK260" s="344" t="s">
        <v>1970</v>
      </c>
      <c r="DL260" s="344" t="s">
        <v>1970</v>
      </c>
      <c r="DM260" s="344" t="s">
        <v>1970</v>
      </c>
      <c r="DN260" s="344" t="s">
        <v>1970</v>
      </c>
      <c r="DO260" s="344" t="s">
        <v>1970</v>
      </c>
      <c r="DP260" s="344" t="s">
        <v>1970</v>
      </c>
      <c r="DQ260" s="344" t="s">
        <v>1970</v>
      </c>
      <c r="DR260" s="344" t="s">
        <v>1970</v>
      </c>
      <c r="DS260" s="344" t="s">
        <v>1970</v>
      </c>
      <c r="DT260" s="344" t="s">
        <v>1970</v>
      </c>
      <c r="DU260" s="344" t="s">
        <v>1970</v>
      </c>
      <c r="DV260" s="344" t="s">
        <v>1970</v>
      </c>
      <c r="DW260" s="344" t="s">
        <v>1970</v>
      </c>
      <c r="DX260" s="344" t="s">
        <v>1970</v>
      </c>
      <c r="DY260" s="344" t="s">
        <v>1970</v>
      </c>
      <c r="DZ260" s="344" t="s">
        <v>1970</v>
      </c>
      <c r="EA260" s="344" t="s">
        <v>1970</v>
      </c>
      <c r="EB260" s="344" t="s">
        <v>1970</v>
      </c>
      <c r="EC260" s="344" t="s">
        <v>1970</v>
      </c>
      <c r="ED260" s="344" t="s">
        <v>1970</v>
      </c>
      <c r="EE260" s="344" t="s">
        <v>1970</v>
      </c>
      <c r="EF260" s="344" t="s">
        <v>1970</v>
      </c>
      <c r="EG260" s="344" t="s">
        <v>1970</v>
      </c>
      <c r="EH260" s="344" t="s">
        <v>1970</v>
      </c>
      <c r="EI260" s="344" t="s">
        <v>1970</v>
      </c>
      <c r="EJ260" s="344" t="s">
        <v>1970</v>
      </c>
      <c r="EK260" s="344" t="s">
        <v>1970</v>
      </c>
      <c r="EL260" s="344" t="s">
        <v>1970</v>
      </c>
      <c r="EM260" s="344" t="s">
        <v>1970</v>
      </c>
      <c r="EN260" s="344" t="s">
        <v>1970</v>
      </c>
      <c r="EO260" s="344" t="s">
        <v>1970</v>
      </c>
      <c r="EP260" s="344" t="s">
        <v>1970</v>
      </c>
      <c r="EQ260" s="344" t="s">
        <v>1970</v>
      </c>
      <c r="ER260" s="344" t="s">
        <v>1970</v>
      </c>
      <c r="ES260" s="344" t="s">
        <v>1970</v>
      </c>
    </row>
    <row r="261" spans="1:149" x14ac:dyDescent="0.3">
      <c r="A261" s="2" t="s">
        <v>1367</v>
      </c>
      <c r="B261" s="2" t="s">
        <v>1172</v>
      </c>
      <c r="C261" s="2" t="s">
        <v>2201</v>
      </c>
      <c r="D261" s="2" t="s">
        <v>1370</v>
      </c>
      <c r="E261" s="344" t="s">
        <v>1977</v>
      </c>
      <c r="F261" s="2">
        <v>27</v>
      </c>
      <c r="G261" s="2">
        <v>25</v>
      </c>
      <c r="H261" s="2">
        <v>23</v>
      </c>
      <c r="I261" s="344" t="s">
        <v>3364</v>
      </c>
      <c r="J261" s="344" t="s">
        <v>2696</v>
      </c>
      <c r="K261" s="2" t="s">
        <v>1970</v>
      </c>
      <c r="L261" s="2" t="s">
        <v>1970</v>
      </c>
      <c r="M261" s="2" t="s">
        <v>1970</v>
      </c>
      <c r="N261" s="344" t="s">
        <v>1978</v>
      </c>
      <c r="O261" s="344" t="s">
        <v>1978</v>
      </c>
      <c r="P261" s="344" t="s">
        <v>1978</v>
      </c>
      <c r="Q261" s="344" t="s">
        <v>1978</v>
      </c>
      <c r="R261" s="344" t="s">
        <v>1978</v>
      </c>
      <c r="S261" s="344" t="s">
        <v>1978</v>
      </c>
      <c r="T261" s="344" t="s">
        <v>2204</v>
      </c>
      <c r="U261" s="2" t="s">
        <v>2165</v>
      </c>
      <c r="V261" s="344" t="s">
        <v>1970</v>
      </c>
      <c r="W261" s="344" t="s">
        <v>1970</v>
      </c>
      <c r="X261" s="344" t="str">
        <f>'A123'!J269</f>
        <v>355*</v>
      </c>
      <c r="Y261" s="344">
        <f>'A123'!K269</f>
        <v>260</v>
      </c>
      <c r="Z261" s="344">
        <f>'A123'!L269</f>
        <v>3.2209302325581395</v>
      </c>
      <c r="AA261" s="2" t="s">
        <v>2165</v>
      </c>
      <c r="AB261" s="344" t="str">
        <f>入學要求!X270</f>
        <v>以下一科選修取得Lv.3︰物理、組合科學(物理)</v>
      </c>
      <c r="AC261" s="344" t="str">
        <f>入學要求!Y270</f>
        <v>M1/2 應考獲Lv. 3 或以上</v>
      </c>
      <c r="AD261" s="351" t="s">
        <v>2171</v>
      </c>
      <c r="AE261" s="2" t="s">
        <v>3364</v>
      </c>
      <c r="AF261" s="344" t="s">
        <v>2696</v>
      </c>
      <c r="AG261" s="2" t="s">
        <v>1970</v>
      </c>
      <c r="AH261" s="2" t="s">
        <v>1970</v>
      </c>
      <c r="AI261" s="344" t="s">
        <v>1970</v>
      </c>
      <c r="AO261" s="344" t="s">
        <v>3384</v>
      </c>
      <c r="AP261" s="251" t="s">
        <v>3382</v>
      </c>
      <c r="AQ261" s="344" t="s">
        <v>1970</v>
      </c>
      <c r="AR261" s="344" t="s">
        <v>2150</v>
      </c>
      <c r="AS261" s="2" t="s">
        <v>3620</v>
      </c>
      <c r="AT261" s="2" t="s">
        <v>3690</v>
      </c>
      <c r="AU261" s="2" t="s">
        <v>3701</v>
      </c>
      <c r="AV261" s="344" t="s">
        <v>2596</v>
      </c>
      <c r="BB261" s="344" t="s">
        <v>1970</v>
      </c>
      <c r="BC261" s="344" t="s">
        <v>1970</v>
      </c>
      <c r="BD261" s="344" t="s">
        <v>1970</v>
      </c>
      <c r="BE261" s="344" t="s">
        <v>1970</v>
      </c>
      <c r="BF261" s="344" t="s">
        <v>1970</v>
      </c>
      <c r="BG261" s="344" t="s">
        <v>1970</v>
      </c>
      <c r="BH261" s="344" t="s">
        <v>1970</v>
      </c>
      <c r="BI261" s="344" t="s">
        <v>1970</v>
      </c>
      <c r="BJ261" s="344" t="s">
        <v>1970</v>
      </c>
      <c r="BK261" s="344" t="s">
        <v>1970</v>
      </c>
      <c r="BL261" s="344" t="s">
        <v>1970</v>
      </c>
      <c r="BM261" s="344" t="s">
        <v>1970</v>
      </c>
      <c r="BN261" s="344" t="s">
        <v>1970</v>
      </c>
      <c r="BO261" s="344" t="s">
        <v>1970</v>
      </c>
      <c r="BP261" s="344" t="s">
        <v>1970</v>
      </c>
      <c r="BQ261" s="344" t="s">
        <v>1970</v>
      </c>
      <c r="BR261" s="344" t="s">
        <v>1970</v>
      </c>
      <c r="BS261" s="344" t="s">
        <v>1970</v>
      </c>
      <c r="BT261" s="344" t="s">
        <v>1970</v>
      </c>
      <c r="BU261" s="344" t="s">
        <v>1970</v>
      </c>
      <c r="BV261" s="344" t="s">
        <v>1970</v>
      </c>
      <c r="BW261" s="344" t="s">
        <v>1970</v>
      </c>
      <c r="BX261" s="344" t="s">
        <v>1970</v>
      </c>
      <c r="BY261" s="344" t="s">
        <v>1970</v>
      </c>
      <c r="BZ261" s="344" t="s">
        <v>1970</v>
      </c>
      <c r="CA261" s="344" t="s">
        <v>1970</v>
      </c>
      <c r="CB261" s="344" t="s">
        <v>1970</v>
      </c>
      <c r="CC261" s="344" t="s">
        <v>1970</v>
      </c>
      <c r="CD261" s="344" t="s">
        <v>1970</v>
      </c>
      <c r="CE261" s="344" t="s">
        <v>1970</v>
      </c>
      <c r="CF261" s="344" t="s">
        <v>1970</v>
      </c>
      <c r="CG261" s="344" t="s">
        <v>1970</v>
      </c>
      <c r="CH261" s="344" t="s">
        <v>1970</v>
      </c>
      <c r="CI261" s="344" t="s">
        <v>1970</v>
      </c>
      <c r="CJ261" s="344" t="s">
        <v>1970</v>
      </c>
      <c r="CK261" s="344" t="s">
        <v>1970</v>
      </c>
      <c r="CL261" s="344" t="s">
        <v>1970</v>
      </c>
      <c r="CM261" s="344" t="s">
        <v>1970</v>
      </c>
      <c r="CN261" s="344" t="s">
        <v>1970</v>
      </c>
      <c r="CO261" s="344" t="s">
        <v>1970</v>
      </c>
      <c r="CP261" s="344" t="s">
        <v>1970</v>
      </c>
      <c r="CQ261" s="344" t="s">
        <v>1970</v>
      </c>
      <c r="CR261" s="344" t="s">
        <v>1970</v>
      </c>
      <c r="CS261" s="344" t="s">
        <v>1970</v>
      </c>
      <c r="CT261" s="344" t="s">
        <v>1970</v>
      </c>
      <c r="CU261" s="344" t="s">
        <v>1970</v>
      </c>
      <c r="CV261" s="344" t="s">
        <v>1970</v>
      </c>
      <c r="CW261" s="344" t="s">
        <v>1970</v>
      </c>
      <c r="CX261" s="344" t="s">
        <v>1970</v>
      </c>
      <c r="CY261" s="344" t="s">
        <v>1970</v>
      </c>
      <c r="CZ261" s="344" t="s">
        <v>1970</v>
      </c>
      <c r="DA261" s="344" t="s">
        <v>1970</v>
      </c>
      <c r="DB261" s="344" t="s">
        <v>1970</v>
      </c>
      <c r="DC261" s="344" t="s">
        <v>1970</v>
      </c>
      <c r="DD261" s="344" t="s">
        <v>1970</v>
      </c>
      <c r="DE261" s="344" t="s">
        <v>1970</v>
      </c>
      <c r="DF261" s="344" t="s">
        <v>1970</v>
      </c>
      <c r="DG261" s="344" t="s">
        <v>1970</v>
      </c>
      <c r="DH261" s="344" t="s">
        <v>1970</v>
      </c>
      <c r="DI261" s="344" t="s">
        <v>1970</v>
      </c>
      <c r="DJ261" s="344" t="s">
        <v>1970</v>
      </c>
      <c r="DK261" s="344" t="s">
        <v>1970</v>
      </c>
      <c r="DL261" s="344" t="s">
        <v>1970</v>
      </c>
      <c r="DM261" s="344" t="s">
        <v>1970</v>
      </c>
      <c r="DN261" s="344" t="s">
        <v>1970</v>
      </c>
      <c r="DO261" s="344" t="s">
        <v>1970</v>
      </c>
      <c r="DP261" s="344" t="s">
        <v>1970</v>
      </c>
      <c r="DQ261" s="344" t="s">
        <v>1970</v>
      </c>
      <c r="DR261" s="344" t="s">
        <v>1970</v>
      </c>
      <c r="DS261" s="344" t="s">
        <v>1970</v>
      </c>
      <c r="DT261" s="344" t="s">
        <v>1970</v>
      </c>
      <c r="DU261" s="344" t="s">
        <v>1970</v>
      </c>
      <c r="DV261" s="344" t="s">
        <v>1970</v>
      </c>
      <c r="DW261" s="344" t="s">
        <v>1970</v>
      </c>
      <c r="DX261" s="344" t="s">
        <v>1970</v>
      </c>
      <c r="DY261" s="344" t="s">
        <v>1970</v>
      </c>
      <c r="DZ261" s="344" t="s">
        <v>1970</v>
      </c>
      <c r="EA261" s="344" t="s">
        <v>1970</v>
      </c>
      <c r="EB261" s="344" t="s">
        <v>1970</v>
      </c>
      <c r="EC261" s="344" t="s">
        <v>1970</v>
      </c>
      <c r="ED261" s="344" t="s">
        <v>1970</v>
      </c>
      <c r="EE261" s="344" t="s">
        <v>1970</v>
      </c>
      <c r="EF261" s="344" t="s">
        <v>1970</v>
      </c>
      <c r="EG261" s="344" t="s">
        <v>1970</v>
      </c>
      <c r="EH261" s="344" t="s">
        <v>1970</v>
      </c>
      <c r="EI261" s="344" t="s">
        <v>1970</v>
      </c>
      <c r="EJ261" s="344" t="s">
        <v>1970</v>
      </c>
      <c r="EK261" s="344" t="s">
        <v>1970</v>
      </c>
      <c r="EL261" s="344" t="s">
        <v>1970</v>
      </c>
      <c r="EM261" s="344" t="s">
        <v>1970</v>
      </c>
      <c r="EN261" s="344" t="s">
        <v>1970</v>
      </c>
      <c r="EO261" s="344" t="s">
        <v>1970</v>
      </c>
      <c r="EP261" s="344" t="s">
        <v>1970</v>
      </c>
      <c r="EQ261" s="344" t="s">
        <v>1970</v>
      </c>
      <c r="ER261" s="344" t="s">
        <v>1970</v>
      </c>
      <c r="ES261" s="344" t="s">
        <v>1970</v>
      </c>
    </row>
    <row r="262" spans="1:149" x14ac:dyDescent="0.3">
      <c r="A262" s="2" t="s">
        <v>1195</v>
      </c>
      <c r="B262" s="2" t="s">
        <v>1172</v>
      </c>
      <c r="C262" s="2" t="s">
        <v>2155</v>
      </c>
      <c r="D262" s="2" t="s">
        <v>1198</v>
      </c>
      <c r="E262" s="2" t="s">
        <v>2153</v>
      </c>
      <c r="F262" s="2">
        <v>41</v>
      </c>
      <c r="G262" s="2">
        <v>39</v>
      </c>
      <c r="H262" s="2">
        <v>37</v>
      </c>
      <c r="I262" s="344" t="s">
        <v>2682</v>
      </c>
      <c r="J262" s="344" t="s">
        <v>1970</v>
      </c>
      <c r="K262" s="2" t="s">
        <v>1970</v>
      </c>
      <c r="L262" s="2" t="s">
        <v>1970</v>
      </c>
      <c r="M262" s="2" t="s">
        <v>1970</v>
      </c>
      <c r="N262" s="344" t="s">
        <v>1978</v>
      </c>
      <c r="O262" s="344" t="s">
        <v>1978</v>
      </c>
      <c r="P262" s="344" t="s">
        <v>1978</v>
      </c>
      <c r="Q262" s="344" t="s">
        <v>1978</v>
      </c>
      <c r="R262" s="344" t="s">
        <v>1978</v>
      </c>
      <c r="S262" s="344" t="s">
        <v>1978</v>
      </c>
      <c r="T262" s="344" t="s">
        <v>2205</v>
      </c>
      <c r="U262" s="2" t="s">
        <v>2165</v>
      </c>
      <c r="V262" s="344" t="s">
        <v>1970</v>
      </c>
      <c r="W262" s="344" t="s">
        <v>1970</v>
      </c>
      <c r="X262" s="344">
        <f>'A123'!J270</f>
        <v>20</v>
      </c>
      <c r="Y262" s="344">
        <f>'A123'!K270</f>
        <v>20</v>
      </c>
      <c r="Z262" s="344">
        <f>'A123'!L270</f>
        <v>1.55</v>
      </c>
      <c r="AA262" s="2" t="s">
        <v>2165</v>
      </c>
      <c r="AB262" s="344" t="str">
        <f>入學要求!X271</f>
        <v>/</v>
      </c>
      <c r="AC262" s="344" t="str">
        <f>入學要求!Y271</f>
        <v>/</v>
      </c>
      <c r="AD262" s="344" t="s">
        <v>1979</v>
      </c>
      <c r="AE262" s="344" t="s">
        <v>2682</v>
      </c>
      <c r="AF262" s="2" t="s">
        <v>1970</v>
      </c>
      <c r="AG262" s="2" t="s">
        <v>1970</v>
      </c>
      <c r="AH262" s="2" t="s">
        <v>1970</v>
      </c>
      <c r="AI262" s="344" t="s">
        <v>1970</v>
      </c>
      <c r="AO262" s="344" t="s">
        <v>3384</v>
      </c>
      <c r="AP262" s="251" t="s">
        <v>3378</v>
      </c>
      <c r="AQ262" s="344" t="s">
        <v>1970</v>
      </c>
      <c r="AR262" s="344" t="s">
        <v>2150</v>
      </c>
      <c r="AS262" s="2" t="s">
        <v>3620</v>
      </c>
      <c r="AT262" s="2" t="s">
        <v>3691</v>
      </c>
      <c r="AU262" s="564">
        <v>47300</v>
      </c>
      <c r="AV262" s="344" t="s">
        <v>2596</v>
      </c>
      <c r="AW262" s="564"/>
      <c r="AX262" s="564"/>
      <c r="AY262" s="564"/>
      <c r="AZ262" s="564"/>
      <c r="BA262" s="564"/>
      <c r="BB262" s="344" t="s">
        <v>1970</v>
      </c>
      <c r="BC262" s="344" t="s">
        <v>1970</v>
      </c>
      <c r="BD262" s="344" t="s">
        <v>1970</v>
      </c>
      <c r="BE262" s="344" t="s">
        <v>1970</v>
      </c>
      <c r="BF262" s="344" t="s">
        <v>1970</v>
      </c>
      <c r="BG262" s="344" t="s">
        <v>1970</v>
      </c>
      <c r="BH262" s="344" t="s">
        <v>1970</v>
      </c>
      <c r="BI262" s="344" t="s">
        <v>1970</v>
      </c>
      <c r="BJ262" s="344" t="s">
        <v>1970</v>
      </c>
      <c r="BK262" s="344" t="s">
        <v>1970</v>
      </c>
      <c r="BL262" s="344" t="s">
        <v>1970</v>
      </c>
      <c r="BM262" s="344" t="s">
        <v>1970</v>
      </c>
      <c r="BN262" s="344" t="s">
        <v>1970</v>
      </c>
      <c r="BO262" s="344" t="s">
        <v>1970</v>
      </c>
      <c r="BP262" s="344" t="s">
        <v>1970</v>
      </c>
      <c r="BQ262" s="344" t="s">
        <v>1970</v>
      </c>
      <c r="BR262" s="344" t="s">
        <v>1970</v>
      </c>
      <c r="BS262" s="344" t="s">
        <v>1970</v>
      </c>
      <c r="BT262" s="344" t="s">
        <v>1970</v>
      </c>
      <c r="BU262" s="344" t="s">
        <v>1970</v>
      </c>
      <c r="BV262" s="344" t="s">
        <v>1970</v>
      </c>
      <c r="BW262" s="344" t="s">
        <v>1970</v>
      </c>
      <c r="BX262" s="344" t="s">
        <v>1970</v>
      </c>
      <c r="BY262" s="344" t="s">
        <v>1970</v>
      </c>
      <c r="BZ262" s="344" t="s">
        <v>1970</v>
      </c>
      <c r="CA262" s="344" t="s">
        <v>1970</v>
      </c>
      <c r="CB262" s="344" t="s">
        <v>1970</v>
      </c>
      <c r="CC262" s="344" t="s">
        <v>1970</v>
      </c>
      <c r="CD262" s="344" t="s">
        <v>1970</v>
      </c>
      <c r="CE262" s="344" t="s">
        <v>1970</v>
      </c>
      <c r="CF262" s="344" t="s">
        <v>1970</v>
      </c>
      <c r="CG262" s="344" t="s">
        <v>1970</v>
      </c>
      <c r="CH262" s="344" t="s">
        <v>1970</v>
      </c>
      <c r="CI262" s="344" t="s">
        <v>1970</v>
      </c>
      <c r="CJ262" s="344" t="s">
        <v>1970</v>
      </c>
      <c r="CK262" s="344" t="s">
        <v>1970</v>
      </c>
      <c r="CL262" s="344" t="s">
        <v>1970</v>
      </c>
      <c r="CM262" s="344" t="s">
        <v>1970</v>
      </c>
      <c r="CN262" s="344" t="s">
        <v>1970</v>
      </c>
      <c r="CO262" s="344" t="s">
        <v>1970</v>
      </c>
      <c r="CP262" s="344" t="s">
        <v>1970</v>
      </c>
      <c r="CQ262" s="344" t="s">
        <v>1970</v>
      </c>
      <c r="CR262" s="344" t="s">
        <v>1970</v>
      </c>
      <c r="CS262" s="344" t="s">
        <v>1970</v>
      </c>
      <c r="CT262" s="344" t="s">
        <v>1970</v>
      </c>
      <c r="CU262" s="344" t="s">
        <v>1970</v>
      </c>
      <c r="CV262" s="344" t="s">
        <v>1970</v>
      </c>
      <c r="CW262" s="344" t="s">
        <v>1970</v>
      </c>
      <c r="CX262" s="344" t="s">
        <v>1970</v>
      </c>
      <c r="CY262" s="344" t="s">
        <v>1970</v>
      </c>
      <c r="CZ262" s="344" t="s">
        <v>1970</v>
      </c>
      <c r="DA262" s="344" t="s">
        <v>1970</v>
      </c>
      <c r="DB262" s="344" t="s">
        <v>1970</v>
      </c>
      <c r="DC262" s="344" t="s">
        <v>1970</v>
      </c>
      <c r="DD262" s="344" t="s">
        <v>1970</v>
      </c>
      <c r="DE262" s="344" t="s">
        <v>1970</v>
      </c>
      <c r="DF262" s="344" t="s">
        <v>1970</v>
      </c>
      <c r="DG262" s="344" t="s">
        <v>1970</v>
      </c>
      <c r="DH262" s="344" t="s">
        <v>1970</v>
      </c>
      <c r="DI262" s="344" t="s">
        <v>1970</v>
      </c>
      <c r="DJ262" s="344" t="s">
        <v>1970</v>
      </c>
      <c r="DK262" s="344" t="s">
        <v>1970</v>
      </c>
      <c r="DL262" s="344" t="s">
        <v>1970</v>
      </c>
      <c r="DM262" s="344" t="s">
        <v>1970</v>
      </c>
      <c r="DN262" s="344" t="s">
        <v>1970</v>
      </c>
      <c r="DO262" s="344" t="s">
        <v>1970</v>
      </c>
      <c r="DP262" s="344" t="s">
        <v>1970</v>
      </c>
      <c r="DQ262" s="344" t="s">
        <v>1970</v>
      </c>
      <c r="DR262" s="344" t="s">
        <v>1970</v>
      </c>
      <c r="DS262" s="344" t="s">
        <v>1970</v>
      </c>
      <c r="DT262" s="344" t="s">
        <v>1970</v>
      </c>
      <c r="DU262" s="344" t="s">
        <v>1970</v>
      </c>
      <c r="DV262" s="344" t="s">
        <v>1970</v>
      </c>
      <c r="DW262" s="344" t="s">
        <v>1970</v>
      </c>
      <c r="DX262" s="344" t="s">
        <v>1970</v>
      </c>
      <c r="DY262" s="344" t="s">
        <v>1970</v>
      </c>
      <c r="DZ262" s="344" t="s">
        <v>1970</v>
      </c>
      <c r="EA262" s="344" t="s">
        <v>1970</v>
      </c>
      <c r="EB262" s="344" t="s">
        <v>1970</v>
      </c>
      <c r="EC262" s="344" t="s">
        <v>1970</v>
      </c>
      <c r="ED262" s="344" t="s">
        <v>1970</v>
      </c>
      <c r="EE262" s="344" t="s">
        <v>1970</v>
      </c>
      <c r="EF262" s="344" t="s">
        <v>1970</v>
      </c>
      <c r="EG262" s="344" t="s">
        <v>1970</v>
      </c>
      <c r="EH262" s="344" t="s">
        <v>1970</v>
      </c>
      <c r="EI262" s="344" t="s">
        <v>1970</v>
      </c>
      <c r="EJ262" s="344" t="s">
        <v>1970</v>
      </c>
      <c r="EK262" s="344" t="s">
        <v>1970</v>
      </c>
      <c r="EL262" s="344" t="s">
        <v>1970</v>
      </c>
      <c r="EM262" s="344" t="s">
        <v>1970</v>
      </c>
      <c r="EN262" s="344" t="s">
        <v>1970</v>
      </c>
      <c r="EO262" s="344" t="s">
        <v>1970</v>
      </c>
      <c r="EP262" s="344" t="s">
        <v>1970</v>
      </c>
      <c r="EQ262" s="344" t="s">
        <v>1970</v>
      </c>
      <c r="ER262" s="344" t="s">
        <v>1970</v>
      </c>
      <c r="ES262" s="344" t="s">
        <v>1970</v>
      </c>
    </row>
    <row r="263" spans="1:149" x14ac:dyDescent="0.3">
      <c r="A263" s="2" t="s">
        <v>1253</v>
      </c>
      <c r="B263" s="2" t="s">
        <v>1172</v>
      </c>
      <c r="C263" s="2" t="s">
        <v>2155</v>
      </c>
      <c r="D263" s="2" t="s">
        <v>1063</v>
      </c>
      <c r="E263" s="344" t="s">
        <v>2153</v>
      </c>
      <c r="F263" s="2">
        <v>38</v>
      </c>
      <c r="G263" s="2">
        <v>36</v>
      </c>
      <c r="H263" s="2">
        <v>35</v>
      </c>
      <c r="I263" s="344" t="s">
        <v>2682</v>
      </c>
      <c r="J263" s="2" t="s">
        <v>1970</v>
      </c>
      <c r="K263" s="2" t="s">
        <v>1970</v>
      </c>
      <c r="L263" s="2" t="s">
        <v>1970</v>
      </c>
      <c r="M263" s="2" t="s">
        <v>1970</v>
      </c>
      <c r="N263" s="344" t="s">
        <v>1978</v>
      </c>
      <c r="O263" s="344" t="s">
        <v>1978</v>
      </c>
      <c r="P263" s="344" t="s">
        <v>1978</v>
      </c>
      <c r="Q263" s="344" t="s">
        <v>1978</v>
      </c>
      <c r="R263" s="344" t="s">
        <v>1978</v>
      </c>
      <c r="S263" s="344" t="s">
        <v>1978</v>
      </c>
      <c r="T263" s="344" t="s">
        <v>2206</v>
      </c>
      <c r="U263" s="2" t="s">
        <v>2165</v>
      </c>
      <c r="V263" s="344" t="s">
        <v>1970</v>
      </c>
      <c r="W263" s="344" t="s">
        <v>1970</v>
      </c>
      <c r="X263" s="344">
        <f>'A123'!J271</f>
        <v>93</v>
      </c>
      <c r="Y263" s="344">
        <f>'A123'!K271</f>
        <v>70</v>
      </c>
      <c r="Z263" s="344">
        <f>'A123'!L271</f>
        <v>3.2285714285714286</v>
      </c>
      <c r="AA263" s="2" t="s">
        <v>2165</v>
      </c>
      <c r="AB263" s="344" t="str">
        <f>入學要求!X272</f>
        <v>/</v>
      </c>
      <c r="AC263" s="344" t="str">
        <f>入學要求!Y272</f>
        <v>/</v>
      </c>
      <c r="AD263" s="344" t="s">
        <v>1979</v>
      </c>
      <c r="AE263" s="344" t="s">
        <v>2682</v>
      </c>
      <c r="AF263" s="2" t="s">
        <v>1970</v>
      </c>
      <c r="AG263" s="2" t="s">
        <v>1970</v>
      </c>
      <c r="AH263" s="2" t="s">
        <v>1970</v>
      </c>
      <c r="AI263" s="344" t="s">
        <v>1970</v>
      </c>
      <c r="AO263" s="344" t="s">
        <v>3384</v>
      </c>
      <c r="AP263" s="251" t="s">
        <v>3378</v>
      </c>
      <c r="AQ263" s="344" t="s">
        <v>1970</v>
      </c>
      <c r="AR263" s="344" t="s">
        <v>2150</v>
      </c>
      <c r="AS263" s="2" t="s">
        <v>3620</v>
      </c>
      <c r="AT263" s="2" t="s">
        <v>3692</v>
      </c>
      <c r="AU263" s="2" t="s">
        <v>3706</v>
      </c>
      <c r="AV263" s="344" t="s">
        <v>2596</v>
      </c>
      <c r="BB263" s="344" t="s">
        <v>1970</v>
      </c>
      <c r="BC263" s="344" t="s">
        <v>1970</v>
      </c>
      <c r="BD263" s="344" t="s">
        <v>1970</v>
      </c>
      <c r="BE263" s="344" t="s">
        <v>1970</v>
      </c>
      <c r="BF263" s="344" t="s">
        <v>1970</v>
      </c>
      <c r="BG263" s="344" t="s">
        <v>1970</v>
      </c>
      <c r="BH263" s="344" t="s">
        <v>1970</v>
      </c>
      <c r="BI263" s="344" t="s">
        <v>1970</v>
      </c>
      <c r="BJ263" s="344" t="s">
        <v>1970</v>
      </c>
      <c r="BK263" s="344" t="s">
        <v>1970</v>
      </c>
      <c r="BL263" s="344" t="s">
        <v>1970</v>
      </c>
      <c r="BM263" s="344" t="s">
        <v>1970</v>
      </c>
      <c r="BN263" s="344" t="s">
        <v>1970</v>
      </c>
      <c r="BO263" s="344" t="s">
        <v>1970</v>
      </c>
      <c r="BP263" s="344" t="s">
        <v>1970</v>
      </c>
      <c r="BQ263" s="344" t="s">
        <v>1970</v>
      </c>
      <c r="BR263" s="344" t="s">
        <v>1970</v>
      </c>
      <c r="BS263" s="344" t="s">
        <v>1970</v>
      </c>
      <c r="BT263" s="344" t="s">
        <v>1970</v>
      </c>
      <c r="BU263" s="344" t="s">
        <v>1970</v>
      </c>
      <c r="BV263" s="344" t="s">
        <v>1970</v>
      </c>
      <c r="BW263" s="344" t="s">
        <v>1970</v>
      </c>
      <c r="BX263" s="344" t="s">
        <v>1970</v>
      </c>
      <c r="BY263" s="344" t="s">
        <v>1970</v>
      </c>
      <c r="BZ263" s="344" t="s">
        <v>1970</v>
      </c>
      <c r="CA263" s="344" t="s">
        <v>1970</v>
      </c>
      <c r="CB263" s="344" t="s">
        <v>1970</v>
      </c>
      <c r="CC263" s="344" t="s">
        <v>1970</v>
      </c>
      <c r="CD263" s="344" t="s">
        <v>1970</v>
      </c>
      <c r="CE263" s="344" t="s">
        <v>1970</v>
      </c>
      <c r="CF263" s="344" t="s">
        <v>1970</v>
      </c>
      <c r="CG263" s="344" t="s">
        <v>1970</v>
      </c>
      <c r="CH263" s="344" t="s">
        <v>1970</v>
      </c>
      <c r="CI263" s="344" t="s">
        <v>1970</v>
      </c>
      <c r="CJ263" s="344" t="s">
        <v>1970</v>
      </c>
      <c r="CK263" s="344" t="s">
        <v>1970</v>
      </c>
      <c r="CL263" s="344" t="s">
        <v>1970</v>
      </c>
      <c r="CM263" s="344" t="s">
        <v>1970</v>
      </c>
      <c r="CN263" s="344" t="s">
        <v>1970</v>
      </c>
      <c r="CO263" s="344" t="s">
        <v>1970</v>
      </c>
      <c r="CP263" s="344" t="s">
        <v>1970</v>
      </c>
      <c r="CQ263" s="344" t="s">
        <v>1970</v>
      </c>
      <c r="CR263" s="344" t="s">
        <v>1970</v>
      </c>
      <c r="CS263" s="344" t="s">
        <v>1970</v>
      </c>
      <c r="CT263" s="344" t="s">
        <v>1970</v>
      </c>
      <c r="CU263" s="344" t="s">
        <v>1970</v>
      </c>
      <c r="CV263" s="344" t="s">
        <v>1970</v>
      </c>
      <c r="CW263" s="344" t="s">
        <v>1970</v>
      </c>
      <c r="CX263" s="344" t="s">
        <v>1970</v>
      </c>
      <c r="CY263" s="344" t="s">
        <v>1970</v>
      </c>
      <c r="CZ263" s="344" t="s">
        <v>1970</v>
      </c>
      <c r="DA263" s="344" t="s">
        <v>1970</v>
      </c>
      <c r="DB263" s="344" t="s">
        <v>1970</v>
      </c>
      <c r="DC263" s="344" t="s">
        <v>1970</v>
      </c>
      <c r="DD263" s="344" t="s">
        <v>1970</v>
      </c>
      <c r="DE263" s="344" t="s">
        <v>1970</v>
      </c>
      <c r="DF263" s="344" t="s">
        <v>1970</v>
      </c>
      <c r="DG263" s="344" t="s">
        <v>1970</v>
      </c>
      <c r="DH263" s="344" t="s">
        <v>1970</v>
      </c>
      <c r="DI263" s="344" t="s">
        <v>1970</v>
      </c>
      <c r="DJ263" s="344" t="s">
        <v>1970</v>
      </c>
      <c r="DK263" s="344" t="s">
        <v>1970</v>
      </c>
      <c r="DL263" s="344" t="s">
        <v>1970</v>
      </c>
      <c r="DM263" s="344" t="s">
        <v>1970</v>
      </c>
      <c r="DN263" s="344" t="s">
        <v>1970</v>
      </c>
      <c r="DO263" s="344" t="s">
        <v>1970</v>
      </c>
      <c r="DP263" s="344" t="s">
        <v>1970</v>
      </c>
      <c r="DQ263" s="344" t="s">
        <v>1970</v>
      </c>
      <c r="DR263" s="344" t="s">
        <v>1970</v>
      </c>
      <c r="DS263" s="344" t="s">
        <v>1970</v>
      </c>
      <c r="DT263" s="344" t="s">
        <v>1970</v>
      </c>
      <c r="DU263" s="344" t="s">
        <v>1970</v>
      </c>
      <c r="DV263" s="344" t="s">
        <v>1970</v>
      </c>
      <c r="DW263" s="344" t="s">
        <v>1970</v>
      </c>
      <c r="DX263" s="344" t="s">
        <v>1970</v>
      </c>
      <c r="DY263" s="344" t="s">
        <v>1970</v>
      </c>
      <c r="DZ263" s="344" t="s">
        <v>1970</v>
      </c>
      <c r="EA263" s="344" t="s">
        <v>1970</v>
      </c>
      <c r="EB263" s="344" t="s">
        <v>1970</v>
      </c>
      <c r="EC263" s="344" t="s">
        <v>1970</v>
      </c>
      <c r="ED263" s="344" t="s">
        <v>1970</v>
      </c>
      <c r="EE263" s="344" t="s">
        <v>1970</v>
      </c>
      <c r="EF263" s="344" t="s">
        <v>1970</v>
      </c>
      <c r="EG263" s="344" t="s">
        <v>1970</v>
      </c>
      <c r="EH263" s="344" t="s">
        <v>1970</v>
      </c>
      <c r="EI263" s="344" t="s">
        <v>1970</v>
      </c>
      <c r="EJ263" s="344" t="s">
        <v>1970</v>
      </c>
      <c r="EK263" s="344" t="s">
        <v>1970</v>
      </c>
      <c r="EL263" s="344" t="s">
        <v>1970</v>
      </c>
      <c r="EM263" s="344" t="s">
        <v>1970</v>
      </c>
      <c r="EN263" s="344" t="s">
        <v>1970</v>
      </c>
      <c r="EO263" s="344" t="s">
        <v>1970</v>
      </c>
      <c r="EP263" s="344" t="s">
        <v>1970</v>
      </c>
      <c r="EQ263" s="344" t="s">
        <v>1970</v>
      </c>
      <c r="ER263" s="344" t="s">
        <v>1970</v>
      </c>
      <c r="ES263" s="344" t="s">
        <v>1970</v>
      </c>
    </row>
    <row r="264" spans="1:149" x14ac:dyDescent="0.3">
      <c r="A264" s="2" t="s">
        <v>1254</v>
      </c>
      <c r="B264" s="2" t="s">
        <v>1172</v>
      </c>
      <c r="C264" s="2" t="s">
        <v>2207</v>
      </c>
      <c r="D264" s="2" t="s">
        <v>1257</v>
      </c>
      <c r="E264" s="2" t="s">
        <v>1977</v>
      </c>
      <c r="F264" s="2">
        <v>34</v>
      </c>
      <c r="G264" s="2">
        <v>34</v>
      </c>
      <c r="H264" s="2">
        <v>33</v>
      </c>
      <c r="I264" s="344" t="s">
        <v>3314</v>
      </c>
      <c r="J264" s="2" t="s">
        <v>1970</v>
      </c>
      <c r="K264" s="2" t="s">
        <v>1970</v>
      </c>
      <c r="L264" s="2" t="s">
        <v>1970</v>
      </c>
      <c r="M264" s="2" t="s">
        <v>1970</v>
      </c>
      <c r="N264" s="344" t="s">
        <v>1978</v>
      </c>
      <c r="O264" s="344" t="s">
        <v>1978</v>
      </c>
      <c r="P264" s="344" t="s">
        <v>1978</v>
      </c>
      <c r="Q264" s="344" t="s">
        <v>1978</v>
      </c>
      <c r="R264" s="344" t="s">
        <v>1978</v>
      </c>
      <c r="S264" s="344" t="s">
        <v>1978</v>
      </c>
      <c r="T264" s="344" t="s">
        <v>1255</v>
      </c>
      <c r="U264" s="2" t="s">
        <v>2165</v>
      </c>
      <c r="V264" s="344" t="s">
        <v>1970</v>
      </c>
      <c r="W264" s="344" t="s">
        <v>1970</v>
      </c>
      <c r="X264" s="344" t="str">
        <f>'A123'!J272</f>
        <v>210*</v>
      </c>
      <c r="Y264" s="344">
        <f>'A123'!K272</f>
        <v>4</v>
      </c>
      <c r="Z264" s="344">
        <f>'A123'!L272</f>
        <v>12.5</v>
      </c>
      <c r="AA264" s="2" t="s">
        <v>2165</v>
      </c>
      <c r="AB264" s="344" t="str">
        <f>入學要求!X273</f>
        <v>如欲升讀至MBBS，申請人必須有修讀化學 或 組合科學(化學)。</v>
      </c>
      <c r="AC264" s="344" t="str">
        <f>入學要求!Y273</f>
        <v>/</v>
      </c>
      <c r="AD264" s="373" t="s">
        <v>2171</v>
      </c>
      <c r="AE264" s="2" t="s">
        <v>2173</v>
      </c>
      <c r="AF264" s="344" t="s">
        <v>3371</v>
      </c>
      <c r="AG264" s="344" t="s">
        <v>3372</v>
      </c>
      <c r="AH264" s="2" t="s">
        <v>1970</v>
      </c>
      <c r="AI264" s="344" t="s">
        <v>1970</v>
      </c>
      <c r="AO264" s="344" t="s">
        <v>3384</v>
      </c>
      <c r="AP264" s="251" t="s">
        <v>2619</v>
      </c>
      <c r="AQ264" s="344" t="s">
        <v>1970</v>
      </c>
      <c r="AR264" s="344" t="s">
        <v>2150</v>
      </c>
      <c r="AV264" s="344" t="s">
        <v>2596</v>
      </c>
      <c r="BB264" s="344" t="s">
        <v>1970</v>
      </c>
      <c r="BC264" s="344" t="s">
        <v>1970</v>
      </c>
      <c r="BD264" s="344" t="s">
        <v>1970</v>
      </c>
      <c r="BE264" s="344" t="s">
        <v>1970</v>
      </c>
      <c r="BF264" s="344" t="s">
        <v>1970</v>
      </c>
      <c r="BG264" s="344" t="s">
        <v>1970</v>
      </c>
      <c r="BH264" s="344" t="s">
        <v>1970</v>
      </c>
      <c r="BI264" s="344" t="s">
        <v>1970</v>
      </c>
      <c r="BJ264" s="344" t="s">
        <v>1970</v>
      </c>
      <c r="BK264" s="344" t="s">
        <v>1970</v>
      </c>
      <c r="BL264" s="344" t="s">
        <v>1970</v>
      </c>
      <c r="BM264" s="344" t="s">
        <v>1970</v>
      </c>
      <c r="BN264" s="344" t="s">
        <v>1970</v>
      </c>
      <c r="BO264" s="344" t="s">
        <v>1970</v>
      </c>
      <c r="BP264" s="344" t="s">
        <v>1970</v>
      </c>
      <c r="BQ264" s="344" t="s">
        <v>1970</v>
      </c>
      <c r="BR264" s="344" t="s">
        <v>1970</v>
      </c>
      <c r="BS264" s="344" t="s">
        <v>1970</v>
      </c>
      <c r="BT264" s="344" t="s">
        <v>1970</v>
      </c>
      <c r="BU264" s="344" t="s">
        <v>1970</v>
      </c>
      <c r="BV264" s="344" t="s">
        <v>1970</v>
      </c>
      <c r="BW264" s="344" t="s">
        <v>1970</v>
      </c>
      <c r="BX264" s="344" t="s">
        <v>1970</v>
      </c>
      <c r="BY264" s="344" t="s">
        <v>1970</v>
      </c>
      <c r="BZ264" s="344" t="s">
        <v>1970</v>
      </c>
      <c r="CA264" s="344" t="s">
        <v>1970</v>
      </c>
      <c r="CB264" s="344" t="s">
        <v>1970</v>
      </c>
      <c r="CC264" s="344" t="s">
        <v>1970</v>
      </c>
      <c r="CD264" s="344" t="s">
        <v>1970</v>
      </c>
      <c r="CE264" s="344" t="s">
        <v>1970</v>
      </c>
      <c r="CF264" s="344" t="s">
        <v>1970</v>
      </c>
      <c r="CG264" s="344" t="s">
        <v>1970</v>
      </c>
      <c r="CH264" s="344" t="s">
        <v>1970</v>
      </c>
      <c r="CI264" s="344" t="s">
        <v>1970</v>
      </c>
      <c r="CJ264" s="344" t="s">
        <v>1970</v>
      </c>
      <c r="CK264" s="344" t="s">
        <v>1970</v>
      </c>
      <c r="CL264" s="344" t="s">
        <v>1970</v>
      </c>
      <c r="CM264" s="344" t="s">
        <v>1970</v>
      </c>
      <c r="CN264" s="344" t="s">
        <v>1970</v>
      </c>
      <c r="CO264" s="344" t="s">
        <v>1970</v>
      </c>
      <c r="CP264" s="344" t="s">
        <v>1970</v>
      </c>
      <c r="CQ264" s="344" t="s">
        <v>1970</v>
      </c>
      <c r="CR264" s="344" t="s">
        <v>1970</v>
      </c>
      <c r="CS264" s="344" t="s">
        <v>1970</v>
      </c>
      <c r="CT264" s="344" t="s">
        <v>1970</v>
      </c>
      <c r="CU264" s="344" t="s">
        <v>1970</v>
      </c>
      <c r="CV264" s="344" t="s">
        <v>1970</v>
      </c>
      <c r="CW264" s="344" t="s">
        <v>1970</v>
      </c>
      <c r="CX264" s="344" t="s">
        <v>1970</v>
      </c>
      <c r="CY264" s="344" t="s">
        <v>1970</v>
      </c>
      <c r="CZ264" s="344" t="s">
        <v>1970</v>
      </c>
      <c r="DA264" s="344" t="s">
        <v>1970</v>
      </c>
      <c r="DB264" s="344" t="s">
        <v>1970</v>
      </c>
      <c r="DC264" s="344" t="s">
        <v>1970</v>
      </c>
      <c r="DD264" s="344" t="s">
        <v>1970</v>
      </c>
      <c r="DE264" s="344" t="s">
        <v>1970</v>
      </c>
      <c r="DF264" s="344" t="s">
        <v>1970</v>
      </c>
      <c r="DG264" s="344" t="s">
        <v>1970</v>
      </c>
      <c r="DH264" s="344" t="s">
        <v>1970</v>
      </c>
      <c r="DI264" s="344" t="s">
        <v>1970</v>
      </c>
      <c r="DJ264" s="344" t="s">
        <v>1970</v>
      </c>
      <c r="DK264" s="344" t="s">
        <v>1970</v>
      </c>
      <c r="DL264" s="344" t="s">
        <v>1970</v>
      </c>
      <c r="DM264" s="344" t="s">
        <v>1970</v>
      </c>
      <c r="DN264" s="344" t="s">
        <v>1970</v>
      </c>
      <c r="DO264" s="344" t="s">
        <v>1970</v>
      </c>
      <c r="DP264" s="344" t="s">
        <v>1970</v>
      </c>
      <c r="DQ264" s="344" t="s">
        <v>1970</v>
      </c>
      <c r="DR264" s="344" t="s">
        <v>1970</v>
      </c>
      <c r="DS264" s="344" t="s">
        <v>1970</v>
      </c>
      <c r="DT264" s="344" t="s">
        <v>1970</v>
      </c>
      <c r="DU264" s="344" t="s">
        <v>1970</v>
      </c>
      <c r="DV264" s="344" t="s">
        <v>1970</v>
      </c>
      <c r="DW264" s="344" t="s">
        <v>1970</v>
      </c>
      <c r="DX264" s="344" t="s">
        <v>1970</v>
      </c>
      <c r="DY264" s="344" t="s">
        <v>1970</v>
      </c>
      <c r="DZ264" s="344" t="s">
        <v>1970</v>
      </c>
      <c r="EA264" s="344" t="s">
        <v>1970</v>
      </c>
      <c r="EB264" s="344" t="s">
        <v>1970</v>
      </c>
      <c r="EC264" s="344" t="s">
        <v>1970</v>
      </c>
      <c r="ED264" s="344" t="s">
        <v>1970</v>
      </c>
      <c r="EE264" s="344" t="s">
        <v>1970</v>
      </c>
      <c r="EF264" s="344" t="s">
        <v>1970</v>
      </c>
      <c r="EG264" s="344" t="s">
        <v>1970</v>
      </c>
      <c r="EH264" s="344" t="s">
        <v>1970</v>
      </c>
      <c r="EI264" s="344" t="s">
        <v>1970</v>
      </c>
      <c r="EJ264" s="344" t="s">
        <v>1970</v>
      </c>
      <c r="EK264" s="344" t="s">
        <v>1970</v>
      </c>
      <c r="EL264" s="344" t="s">
        <v>1970</v>
      </c>
      <c r="EM264" s="344" t="s">
        <v>1970</v>
      </c>
      <c r="EN264" s="344" t="s">
        <v>1970</v>
      </c>
      <c r="EO264" s="344" t="s">
        <v>1970</v>
      </c>
      <c r="EP264" s="344" t="s">
        <v>1970</v>
      </c>
      <c r="EQ264" s="344" t="s">
        <v>1970</v>
      </c>
      <c r="ER264" s="344" t="s">
        <v>1970</v>
      </c>
      <c r="ES264" s="344" t="s">
        <v>1970</v>
      </c>
    </row>
    <row r="265" spans="1:149" x14ac:dyDescent="0.3">
      <c r="A265" s="2" t="s">
        <v>1258</v>
      </c>
      <c r="B265" s="2" t="s">
        <v>1172</v>
      </c>
      <c r="C265" s="2" t="s">
        <v>2207</v>
      </c>
      <c r="D265" s="2" t="s">
        <v>1261</v>
      </c>
      <c r="E265" s="2" t="s">
        <v>1979</v>
      </c>
      <c r="F265" s="2">
        <v>47</v>
      </c>
      <c r="G265" s="2">
        <v>45</v>
      </c>
      <c r="H265" s="2">
        <v>42</v>
      </c>
      <c r="I265" s="344" t="s">
        <v>1970</v>
      </c>
      <c r="J265" s="2" t="s">
        <v>1970</v>
      </c>
      <c r="K265" s="2" t="s">
        <v>1970</v>
      </c>
      <c r="L265" s="2" t="s">
        <v>1970</v>
      </c>
      <c r="M265" s="2" t="s">
        <v>1970</v>
      </c>
      <c r="N265" s="344" t="s">
        <v>1978</v>
      </c>
      <c r="O265" s="344" t="s">
        <v>1978</v>
      </c>
      <c r="P265" s="344" t="s">
        <v>1978</v>
      </c>
      <c r="Q265" s="344" t="s">
        <v>1978</v>
      </c>
      <c r="R265" s="344" t="s">
        <v>1978</v>
      </c>
      <c r="S265" s="344" t="s">
        <v>1978</v>
      </c>
      <c r="T265" s="344" t="s">
        <v>2208</v>
      </c>
      <c r="U265" s="2" t="s">
        <v>2165</v>
      </c>
      <c r="V265" s="344" t="s">
        <v>1970</v>
      </c>
      <c r="W265" s="344" t="s">
        <v>1970</v>
      </c>
      <c r="X265" s="344">
        <f>'A123'!J273</f>
        <v>295</v>
      </c>
      <c r="Y265" s="344">
        <f>'A123'!K273</f>
        <v>135</v>
      </c>
      <c r="Z265" s="344">
        <f>'A123'!L273</f>
        <v>2.9629629629629628</v>
      </c>
      <c r="AA265" s="2" t="s">
        <v>2165</v>
      </c>
      <c r="AB265" s="344" t="str">
        <f>入學要求!X274</f>
        <v>以下一科選修取得Lv.3︰化學、組合科學(化學)</v>
      </c>
      <c r="AC265" s="344" t="str">
        <f>入學要求!Y274</f>
        <v>/</v>
      </c>
      <c r="AD265" s="2" t="s">
        <v>1979</v>
      </c>
      <c r="AE265" s="2" t="s">
        <v>1970</v>
      </c>
      <c r="AF265" s="2" t="s">
        <v>1970</v>
      </c>
      <c r="AG265" s="2" t="s">
        <v>1970</v>
      </c>
      <c r="AH265" s="2" t="s">
        <v>1970</v>
      </c>
      <c r="AI265" s="344" t="s">
        <v>1970</v>
      </c>
      <c r="AO265" s="344" t="s">
        <v>3384</v>
      </c>
      <c r="AP265" s="251" t="s">
        <v>3383</v>
      </c>
      <c r="AQ265" s="344" t="s">
        <v>1970</v>
      </c>
      <c r="AR265" s="427" t="s">
        <v>3385</v>
      </c>
      <c r="AS265" s="2" t="s">
        <v>3603</v>
      </c>
      <c r="AT265" s="2" t="s">
        <v>1970</v>
      </c>
      <c r="AU265" s="2" t="s">
        <v>3707</v>
      </c>
      <c r="AV265" s="344" t="s">
        <v>2596</v>
      </c>
      <c r="BB265" s="344" t="s">
        <v>1970</v>
      </c>
      <c r="BC265" s="344" t="s">
        <v>1970</v>
      </c>
      <c r="BD265" s="344" t="s">
        <v>1970</v>
      </c>
      <c r="BE265" s="344" t="s">
        <v>1970</v>
      </c>
      <c r="BF265" s="344" t="s">
        <v>1970</v>
      </c>
      <c r="BG265" s="344" t="s">
        <v>1970</v>
      </c>
      <c r="BH265" s="344" t="s">
        <v>1970</v>
      </c>
      <c r="BI265" s="344" t="s">
        <v>1970</v>
      </c>
      <c r="BJ265" s="344" t="s">
        <v>1970</v>
      </c>
      <c r="BK265" s="344" t="s">
        <v>1970</v>
      </c>
      <c r="BL265" s="344" t="s">
        <v>1970</v>
      </c>
      <c r="BM265" s="344" t="s">
        <v>1970</v>
      </c>
      <c r="BN265" s="344" t="s">
        <v>1970</v>
      </c>
      <c r="BO265" s="344" t="s">
        <v>1970</v>
      </c>
      <c r="BP265" s="344" t="s">
        <v>1970</v>
      </c>
      <c r="BQ265" s="344" t="s">
        <v>1970</v>
      </c>
      <c r="BR265" s="344" t="s">
        <v>1970</v>
      </c>
      <c r="BS265" s="344" t="s">
        <v>1970</v>
      </c>
      <c r="BT265" s="344" t="s">
        <v>1970</v>
      </c>
      <c r="BU265" s="344" t="s">
        <v>1970</v>
      </c>
      <c r="BV265" s="344" t="s">
        <v>1970</v>
      </c>
      <c r="BW265" s="344" t="s">
        <v>1970</v>
      </c>
      <c r="BX265" s="344" t="s">
        <v>1970</v>
      </c>
      <c r="BY265" s="344" t="s">
        <v>1970</v>
      </c>
      <c r="BZ265" s="344" t="s">
        <v>1970</v>
      </c>
      <c r="CA265" s="344" t="s">
        <v>1970</v>
      </c>
      <c r="CB265" s="344" t="s">
        <v>1970</v>
      </c>
      <c r="CC265" s="344" t="s">
        <v>1970</v>
      </c>
      <c r="CD265" s="344" t="s">
        <v>1970</v>
      </c>
      <c r="CE265" s="344" t="s">
        <v>1970</v>
      </c>
      <c r="CF265" s="344" t="s">
        <v>1970</v>
      </c>
      <c r="CG265" s="344" t="s">
        <v>1970</v>
      </c>
      <c r="CH265" s="344" t="s">
        <v>1970</v>
      </c>
      <c r="CI265" s="344" t="s">
        <v>1970</v>
      </c>
      <c r="CJ265" s="344" t="s">
        <v>1970</v>
      </c>
      <c r="CK265" s="344" t="s">
        <v>1970</v>
      </c>
      <c r="CL265" s="344" t="s">
        <v>1970</v>
      </c>
      <c r="CM265" s="344" t="s">
        <v>1970</v>
      </c>
      <c r="CN265" s="344" t="s">
        <v>1970</v>
      </c>
      <c r="CO265" s="344" t="s">
        <v>1970</v>
      </c>
      <c r="CP265" s="344" t="s">
        <v>1970</v>
      </c>
      <c r="CQ265" s="344" t="s">
        <v>1970</v>
      </c>
      <c r="CR265" s="344" t="s">
        <v>1970</v>
      </c>
      <c r="CS265" s="344" t="s">
        <v>1970</v>
      </c>
      <c r="CT265" s="344" t="s">
        <v>1970</v>
      </c>
      <c r="CU265" s="344" t="s">
        <v>1970</v>
      </c>
      <c r="CV265" s="344" t="s">
        <v>1970</v>
      </c>
      <c r="CW265" s="344" t="s">
        <v>1970</v>
      </c>
      <c r="CX265" s="344" t="s">
        <v>1970</v>
      </c>
      <c r="CY265" s="344" t="s">
        <v>1970</v>
      </c>
      <c r="CZ265" s="344" t="s">
        <v>1970</v>
      </c>
      <c r="DA265" s="344" t="s">
        <v>1970</v>
      </c>
      <c r="DB265" s="344" t="s">
        <v>1970</v>
      </c>
      <c r="DC265" s="344" t="s">
        <v>1970</v>
      </c>
      <c r="DD265" s="344" t="s">
        <v>1970</v>
      </c>
      <c r="DE265" s="344" t="s">
        <v>1970</v>
      </c>
      <c r="DF265" s="344" t="s">
        <v>1970</v>
      </c>
      <c r="DG265" s="344" t="s">
        <v>1970</v>
      </c>
      <c r="DH265" s="344" t="s">
        <v>1970</v>
      </c>
      <c r="DI265" s="344" t="s">
        <v>1970</v>
      </c>
      <c r="DJ265" s="344" t="s">
        <v>1970</v>
      </c>
      <c r="DK265" s="344" t="s">
        <v>1970</v>
      </c>
      <c r="DL265" s="344" t="s">
        <v>1970</v>
      </c>
      <c r="DM265" s="344" t="s">
        <v>1970</v>
      </c>
      <c r="DN265" s="344" t="s">
        <v>1970</v>
      </c>
      <c r="DO265" s="344" t="s">
        <v>1970</v>
      </c>
      <c r="DP265" s="344" t="s">
        <v>1970</v>
      </c>
      <c r="DQ265" s="344" t="s">
        <v>1970</v>
      </c>
      <c r="DR265" s="344" t="s">
        <v>1970</v>
      </c>
      <c r="DS265" s="344" t="s">
        <v>1970</v>
      </c>
      <c r="DT265" s="344" t="s">
        <v>1970</v>
      </c>
      <c r="DU265" s="344" t="s">
        <v>1970</v>
      </c>
      <c r="DV265" s="344" t="s">
        <v>1970</v>
      </c>
      <c r="DW265" s="344" t="s">
        <v>1970</v>
      </c>
      <c r="DX265" s="344" t="s">
        <v>1970</v>
      </c>
      <c r="DY265" s="344" t="s">
        <v>1970</v>
      </c>
      <c r="DZ265" s="344" t="s">
        <v>1970</v>
      </c>
      <c r="EA265" s="344" t="s">
        <v>1970</v>
      </c>
      <c r="EB265" s="344" t="s">
        <v>1970</v>
      </c>
      <c r="EC265" s="344" t="s">
        <v>1970</v>
      </c>
      <c r="ED265" s="344" t="s">
        <v>1970</v>
      </c>
      <c r="EE265" s="344" t="s">
        <v>1970</v>
      </c>
      <c r="EF265" s="344" t="s">
        <v>1970</v>
      </c>
      <c r="EG265" s="344" t="s">
        <v>1970</v>
      </c>
      <c r="EH265" s="344" t="s">
        <v>1970</v>
      </c>
      <c r="EI265" s="344" t="s">
        <v>1970</v>
      </c>
      <c r="EJ265" s="344" t="s">
        <v>1970</v>
      </c>
      <c r="EK265" s="344" t="s">
        <v>1970</v>
      </c>
      <c r="EL265" s="344" t="s">
        <v>1970</v>
      </c>
      <c r="EM265" s="344" t="s">
        <v>1970</v>
      </c>
      <c r="EN265" s="344" t="s">
        <v>1970</v>
      </c>
      <c r="EO265" s="344" t="s">
        <v>1970</v>
      </c>
      <c r="EP265" s="344" t="s">
        <v>1970</v>
      </c>
      <c r="EQ265" s="344" t="s">
        <v>1970</v>
      </c>
      <c r="ER265" s="344" t="s">
        <v>1970</v>
      </c>
      <c r="ES265" s="344" t="s">
        <v>1970</v>
      </c>
    </row>
    <row r="266" spans="1:149" x14ac:dyDescent="0.3">
      <c r="A266" s="2" t="s">
        <v>1262</v>
      </c>
      <c r="B266" s="2" t="s">
        <v>1172</v>
      </c>
      <c r="C266" s="2" t="s">
        <v>2207</v>
      </c>
      <c r="D266" s="2" t="s">
        <v>1265</v>
      </c>
      <c r="E266" s="2" t="s">
        <v>1977</v>
      </c>
      <c r="F266" s="2">
        <v>26</v>
      </c>
      <c r="G266" s="2">
        <v>25</v>
      </c>
      <c r="H266" s="2">
        <v>25</v>
      </c>
      <c r="I266" s="445" t="s">
        <v>3314</v>
      </c>
      <c r="J266" s="2" t="s">
        <v>1970</v>
      </c>
      <c r="K266" s="2" t="s">
        <v>1970</v>
      </c>
      <c r="L266" s="2" t="s">
        <v>1970</v>
      </c>
      <c r="M266" s="2" t="s">
        <v>1970</v>
      </c>
      <c r="N266" s="344" t="s">
        <v>1978</v>
      </c>
      <c r="O266" s="344" t="s">
        <v>1978</v>
      </c>
      <c r="P266" s="344" t="s">
        <v>1978</v>
      </c>
      <c r="Q266" s="344" t="s">
        <v>1978</v>
      </c>
      <c r="R266" s="344" t="s">
        <v>1978</v>
      </c>
      <c r="S266" s="344" t="s">
        <v>1978</v>
      </c>
      <c r="T266" s="344" t="s">
        <v>2209</v>
      </c>
      <c r="U266" s="2" t="s">
        <v>2165</v>
      </c>
      <c r="V266" s="344" t="s">
        <v>1970</v>
      </c>
      <c r="W266" s="344" t="s">
        <v>1970</v>
      </c>
      <c r="X266" s="344" t="str">
        <f>'A123'!J274</f>
        <v>210*</v>
      </c>
      <c r="Y266" s="344">
        <f>'A123'!K274</f>
        <v>171</v>
      </c>
      <c r="Z266" s="344">
        <f>'A123'!L274</f>
        <v>7.581818181818182</v>
      </c>
      <c r="AA266" s="2" t="s">
        <v>2165</v>
      </c>
      <c r="AB266" s="344" t="str">
        <f>入學要求!X275</f>
        <v>/</v>
      </c>
      <c r="AC266" s="344" t="str">
        <f>入學要求!Y275</f>
        <v>/</v>
      </c>
      <c r="AD266" s="373" t="s">
        <v>2171</v>
      </c>
      <c r="AE266" s="2" t="s">
        <v>2173</v>
      </c>
      <c r="AF266" s="344" t="s">
        <v>3371</v>
      </c>
      <c r="AG266" s="344" t="s">
        <v>3372</v>
      </c>
      <c r="AH266" s="2" t="s">
        <v>1970</v>
      </c>
      <c r="AI266" s="344" t="s">
        <v>1970</v>
      </c>
      <c r="AO266" s="344" t="s">
        <v>3384</v>
      </c>
      <c r="AP266" s="251" t="s">
        <v>2619</v>
      </c>
      <c r="AQ266" s="344" t="s">
        <v>1970</v>
      </c>
      <c r="AR266" s="344" t="s">
        <v>2150</v>
      </c>
      <c r="AS266" s="2" t="s">
        <v>3620</v>
      </c>
      <c r="AT266" s="2" t="s">
        <v>3693</v>
      </c>
      <c r="AU266" s="2" t="s">
        <v>3706</v>
      </c>
      <c r="AV266" s="344" t="s">
        <v>2596</v>
      </c>
      <c r="BB266" s="344" t="s">
        <v>1970</v>
      </c>
      <c r="BC266" s="344" t="s">
        <v>1970</v>
      </c>
      <c r="BD266" s="344" t="s">
        <v>1970</v>
      </c>
      <c r="BE266" s="344" t="s">
        <v>1970</v>
      </c>
      <c r="BF266" s="344" t="s">
        <v>1970</v>
      </c>
      <c r="BG266" s="344" t="s">
        <v>1970</v>
      </c>
      <c r="BH266" s="344" t="s">
        <v>1970</v>
      </c>
      <c r="BI266" s="344" t="s">
        <v>1970</v>
      </c>
      <c r="BJ266" s="344" t="s">
        <v>1970</v>
      </c>
      <c r="BK266" s="344" t="s">
        <v>1970</v>
      </c>
      <c r="BL266" s="344" t="s">
        <v>1970</v>
      </c>
      <c r="BM266" s="344" t="s">
        <v>1970</v>
      </c>
      <c r="BN266" s="344" t="s">
        <v>1970</v>
      </c>
      <c r="BO266" s="344" t="s">
        <v>1970</v>
      </c>
      <c r="BP266" s="344" t="s">
        <v>1970</v>
      </c>
      <c r="BQ266" s="344" t="s">
        <v>1970</v>
      </c>
      <c r="BR266" s="344" t="s">
        <v>1970</v>
      </c>
      <c r="BS266" s="344" t="s">
        <v>1970</v>
      </c>
      <c r="BT266" s="344" t="s">
        <v>1970</v>
      </c>
      <c r="BU266" s="344" t="s">
        <v>1970</v>
      </c>
      <c r="BV266" s="344" t="s">
        <v>1970</v>
      </c>
      <c r="BW266" s="344" t="s">
        <v>1970</v>
      </c>
      <c r="BX266" s="344" t="s">
        <v>1970</v>
      </c>
      <c r="BY266" s="344" t="s">
        <v>1970</v>
      </c>
      <c r="BZ266" s="344" t="s">
        <v>1970</v>
      </c>
      <c r="CA266" s="344" t="s">
        <v>1970</v>
      </c>
      <c r="CB266" s="344" t="s">
        <v>1970</v>
      </c>
      <c r="CC266" s="344" t="s">
        <v>1970</v>
      </c>
      <c r="CD266" s="344" t="s">
        <v>1970</v>
      </c>
      <c r="CE266" s="344" t="s">
        <v>1970</v>
      </c>
      <c r="CF266" s="344" t="s">
        <v>1970</v>
      </c>
      <c r="CG266" s="344" t="s">
        <v>1970</v>
      </c>
      <c r="CH266" s="344" t="s">
        <v>1970</v>
      </c>
      <c r="CI266" s="344" t="s">
        <v>1970</v>
      </c>
      <c r="CJ266" s="344" t="s">
        <v>1970</v>
      </c>
      <c r="CK266" s="344" t="s">
        <v>1970</v>
      </c>
      <c r="CL266" s="344" t="s">
        <v>1970</v>
      </c>
      <c r="CM266" s="344" t="s">
        <v>1970</v>
      </c>
      <c r="CN266" s="344" t="s">
        <v>1970</v>
      </c>
      <c r="CO266" s="344" t="s">
        <v>1970</v>
      </c>
      <c r="CP266" s="344" t="s">
        <v>1970</v>
      </c>
      <c r="CQ266" s="344" t="s">
        <v>1970</v>
      </c>
      <c r="CR266" s="344" t="s">
        <v>1970</v>
      </c>
      <c r="CS266" s="344" t="s">
        <v>1970</v>
      </c>
      <c r="CT266" s="344" t="s">
        <v>1970</v>
      </c>
      <c r="CU266" s="344" t="s">
        <v>1970</v>
      </c>
      <c r="CV266" s="344" t="s">
        <v>1970</v>
      </c>
      <c r="CW266" s="344" t="s">
        <v>1970</v>
      </c>
      <c r="CX266" s="344" t="s">
        <v>1970</v>
      </c>
      <c r="CY266" s="344" t="s">
        <v>1970</v>
      </c>
      <c r="CZ266" s="344" t="s">
        <v>1970</v>
      </c>
      <c r="DA266" s="344" t="s">
        <v>1970</v>
      </c>
      <c r="DB266" s="344" t="s">
        <v>1970</v>
      </c>
      <c r="DC266" s="344" t="s">
        <v>1970</v>
      </c>
      <c r="DD266" s="344" t="s">
        <v>1970</v>
      </c>
      <c r="DE266" s="344" t="s">
        <v>1970</v>
      </c>
      <c r="DF266" s="344" t="s">
        <v>1970</v>
      </c>
      <c r="DG266" s="344" t="s">
        <v>1970</v>
      </c>
      <c r="DH266" s="344" t="s">
        <v>1970</v>
      </c>
      <c r="DI266" s="344" t="s">
        <v>1970</v>
      </c>
      <c r="DJ266" s="344" t="s">
        <v>1970</v>
      </c>
      <c r="DK266" s="344" t="s">
        <v>1970</v>
      </c>
      <c r="DL266" s="344" t="s">
        <v>1970</v>
      </c>
      <c r="DM266" s="344" t="s">
        <v>1970</v>
      </c>
      <c r="DN266" s="344" t="s">
        <v>1970</v>
      </c>
      <c r="DO266" s="344" t="s">
        <v>1970</v>
      </c>
      <c r="DP266" s="344" t="s">
        <v>1970</v>
      </c>
      <c r="DQ266" s="344" t="s">
        <v>1970</v>
      </c>
      <c r="DR266" s="344" t="s">
        <v>1970</v>
      </c>
      <c r="DS266" s="344" t="s">
        <v>1970</v>
      </c>
      <c r="DT266" s="344" t="s">
        <v>1970</v>
      </c>
      <c r="DU266" s="344" t="s">
        <v>1970</v>
      </c>
      <c r="DV266" s="344" t="s">
        <v>1970</v>
      </c>
      <c r="DW266" s="344" t="s">
        <v>1970</v>
      </c>
      <c r="DX266" s="344" t="s">
        <v>1970</v>
      </c>
      <c r="DY266" s="344" t="s">
        <v>1970</v>
      </c>
      <c r="DZ266" s="344" t="s">
        <v>1970</v>
      </c>
      <c r="EA266" s="344" t="s">
        <v>1970</v>
      </c>
      <c r="EB266" s="344" t="s">
        <v>1970</v>
      </c>
      <c r="EC266" s="344" t="s">
        <v>1970</v>
      </c>
      <c r="ED266" s="344" t="s">
        <v>1970</v>
      </c>
      <c r="EE266" s="344" t="s">
        <v>1970</v>
      </c>
      <c r="EF266" s="344" t="s">
        <v>1970</v>
      </c>
      <c r="EG266" s="344" t="s">
        <v>1970</v>
      </c>
      <c r="EH266" s="344" t="s">
        <v>1970</v>
      </c>
      <c r="EI266" s="344" t="s">
        <v>1970</v>
      </c>
      <c r="EJ266" s="344" t="s">
        <v>1970</v>
      </c>
      <c r="EK266" s="344" t="s">
        <v>1970</v>
      </c>
      <c r="EL266" s="344" t="s">
        <v>1970</v>
      </c>
      <c r="EM266" s="344" t="s">
        <v>1970</v>
      </c>
      <c r="EN266" s="344" t="s">
        <v>1970</v>
      </c>
      <c r="EO266" s="344" t="s">
        <v>1970</v>
      </c>
      <c r="EP266" s="344" t="s">
        <v>1970</v>
      </c>
      <c r="EQ266" s="344" t="s">
        <v>1970</v>
      </c>
      <c r="ER266" s="344" t="s">
        <v>1970</v>
      </c>
      <c r="ES266" s="344" t="s">
        <v>1970</v>
      </c>
    </row>
    <row r="267" spans="1:149" x14ac:dyDescent="0.3">
      <c r="A267" s="2" t="s">
        <v>2210</v>
      </c>
      <c r="B267" s="2" t="s">
        <v>1172</v>
      </c>
      <c r="C267" s="2" t="s">
        <v>2207</v>
      </c>
      <c r="D267" s="2" t="s">
        <v>2211</v>
      </c>
      <c r="E267" s="2" t="s">
        <v>2916</v>
      </c>
      <c r="F267" s="2" t="s">
        <v>1970</v>
      </c>
      <c r="G267" s="2" t="s">
        <v>1970</v>
      </c>
      <c r="H267" s="2" t="s">
        <v>1970</v>
      </c>
      <c r="I267" s="344" t="s">
        <v>1970</v>
      </c>
      <c r="J267" s="2" t="s">
        <v>1970</v>
      </c>
      <c r="K267" s="2" t="s">
        <v>1970</v>
      </c>
      <c r="L267" s="2" t="s">
        <v>1970</v>
      </c>
      <c r="M267" s="2" t="s">
        <v>1970</v>
      </c>
      <c r="N267" s="344" t="s">
        <v>1978</v>
      </c>
      <c r="O267" s="344" t="s">
        <v>1978</v>
      </c>
      <c r="P267" s="344" t="s">
        <v>1978</v>
      </c>
      <c r="Q267" s="344" t="s">
        <v>1978</v>
      </c>
      <c r="R267" s="344" t="s">
        <v>1978</v>
      </c>
      <c r="S267" s="344" t="s">
        <v>1978</v>
      </c>
      <c r="T267" s="344" t="s">
        <v>2212</v>
      </c>
      <c r="U267" s="2" t="s">
        <v>2165</v>
      </c>
      <c r="V267" s="344" t="s">
        <v>1970</v>
      </c>
      <c r="W267" s="344" t="s">
        <v>1970</v>
      </c>
      <c r="X267" s="344">
        <f>'A123'!J275</f>
        <v>15</v>
      </c>
      <c r="Y267" s="344" t="str">
        <f>'A123'!K275</f>
        <v>/</v>
      </c>
      <c r="Z267" s="344" t="str">
        <f>'A123'!L275</f>
        <v>新科目</v>
      </c>
      <c r="AA267" s="2" t="s">
        <v>2165</v>
      </c>
      <c r="AB267" s="344" t="str">
        <f>入學要求!X276</f>
        <v>以下一科選修取得Lv.3︰生物、化學、組合科學</v>
      </c>
      <c r="AC267" s="344" t="str">
        <f>入學要求!Y276</f>
        <v>/</v>
      </c>
      <c r="AD267" s="2" t="s">
        <v>1979</v>
      </c>
      <c r="AE267" s="2" t="s">
        <v>1970</v>
      </c>
      <c r="AF267" s="2" t="s">
        <v>1970</v>
      </c>
      <c r="AG267" s="2" t="s">
        <v>1970</v>
      </c>
      <c r="AH267" s="2" t="s">
        <v>1970</v>
      </c>
      <c r="AI267" s="344" t="s">
        <v>1970</v>
      </c>
      <c r="AO267" s="344" t="s">
        <v>3384</v>
      </c>
      <c r="AP267" s="251" t="s">
        <v>3383</v>
      </c>
      <c r="AQ267" s="344" t="s">
        <v>1970</v>
      </c>
      <c r="AR267" s="427" t="s">
        <v>3385</v>
      </c>
      <c r="AS267" s="2" t="s">
        <v>3620</v>
      </c>
      <c r="AT267" s="2" t="s">
        <v>3694</v>
      </c>
      <c r="AU267" s="2" t="s">
        <v>3699</v>
      </c>
      <c r="AV267" s="344" t="s">
        <v>2596</v>
      </c>
      <c r="BB267" s="344" t="s">
        <v>1970</v>
      </c>
      <c r="BC267" s="344" t="s">
        <v>1970</v>
      </c>
      <c r="BD267" s="344" t="s">
        <v>1970</v>
      </c>
      <c r="BE267" s="344" t="s">
        <v>1970</v>
      </c>
      <c r="BF267" s="344" t="s">
        <v>1970</v>
      </c>
      <c r="BG267" s="344" t="s">
        <v>1970</v>
      </c>
      <c r="BH267" s="344" t="s">
        <v>1970</v>
      </c>
      <c r="BI267" s="344" t="s">
        <v>1970</v>
      </c>
      <c r="BJ267" s="344" t="s">
        <v>1970</v>
      </c>
      <c r="BK267" s="344" t="s">
        <v>1970</v>
      </c>
      <c r="BL267" s="344" t="s">
        <v>1970</v>
      </c>
      <c r="BM267" s="344" t="s">
        <v>1970</v>
      </c>
      <c r="BN267" s="344" t="s">
        <v>1970</v>
      </c>
      <c r="BO267" s="344" t="s">
        <v>1970</v>
      </c>
      <c r="BP267" s="344" t="s">
        <v>1970</v>
      </c>
      <c r="BQ267" s="344" t="s">
        <v>1970</v>
      </c>
      <c r="BR267" s="344" t="s">
        <v>1970</v>
      </c>
      <c r="BS267" s="344" t="s">
        <v>1970</v>
      </c>
      <c r="BT267" s="344" t="s">
        <v>1970</v>
      </c>
      <c r="BU267" s="344" t="s">
        <v>1970</v>
      </c>
      <c r="BV267" s="344" t="s">
        <v>1970</v>
      </c>
      <c r="BW267" s="344" t="s">
        <v>1970</v>
      </c>
      <c r="BX267" s="344" t="s">
        <v>1970</v>
      </c>
      <c r="BY267" s="344" t="s">
        <v>1970</v>
      </c>
      <c r="BZ267" s="344" t="s">
        <v>1970</v>
      </c>
      <c r="CA267" s="344" t="s">
        <v>1970</v>
      </c>
      <c r="CB267" s="344" t="s">
        <v>1970</v>
      </c>
      <c r="CC267" s="344" t="s">
        <v>1970</v>
      </c>
      <c r="CD267" s="344" t="s">
        <v>1970</v>
      </c>
      <c r="CE267" s="344" t="s">
        <v>1970</v>
      </c>
      <c r="CF267" s="344" t="s">
        <v>1970</v>
      </c>
      <c r="CG267" s="344" t="s">
        <v>1970</v>
      </c>
      <c r="CH267" s="344" t="s">
        <v>1970</v>
      </c>
      <c r="CI267" s="344" t="s">
        <v>1970</v>
      </c>
      <c r="CJ267" s="344" t="s">
        <v>1970</v>
      </c>
      <c r="CK267" s="344" t="s">
        <v>1970</v>
      </c>
      <c r="CL267" s="344" t="s">
        <v>1970</v>
      </c>
      <c r="CM267" s="344" t="s">
        <v>1970</v>
      </c>
      <c r="CN267" s="344" t="s">
        <v>1970</v>
      </c>
      <c r="CO267" s="344" t="s">
        <v>1970</v>
      </c>
      <c r="CP267" s="344" t="s">
        <v>1970</v>
      </c>
      <c r="CQ267" s="344" t="s">
        <v>1970</v>
      </c>
      <c r="CR267" s="344" t="s">
        <v>1970</v>
      </c>
      <c r="CS267" s="344" t="s">
        <v>1970</v>
      </c>
      <c r="CT267" s="344" t="s">
        <v>1970</v>
      </c>
      <c r="CU267" s="344" t="s">
        <v>1970</v>
      </c>
      <c r="CV267" s="344" t="s">
        <v>1970</v>
      </c>
      <c r="CW267" s="344" t="s">
        <v>1970</v>
      </c>
      <c r="CX267" s="344" t="s">
        <v>1970</v>
      </c>
      <c r="CY267" s="344" t="s">
        <v>1970</v>
      </c>
      <c r="CZ267" s="344" t="s">
        <v>1970</v>
      </c>
      <c r="DA267" s="344" t="s">
        <v>1970</v>
      </c>
      <c r="DB267" s="344" t="s">
        <v>1970</v>
      </c>
      <c r="DC267" s="344" t="s">
        <v>1970</v>
      </c>
      <c r="DD267" s="344" t="s">
        <v>1970</v>
      </c>
      <c r="DE267" s="344" t="s">
        <v>1970</v>
      </c>
      <c r="DF267" s="344" t="s">
        <v>1970</v>
      </c>
      <c r="DG267" s="344" t="s">
        <v>1970</v>
      </c>
      <c r="DH267" s="344" t="s">
        <v>1970</v>
      </c>
      <c r="DI267" s="344" t="s">
        <v>1970</v>
      </c>
      <c r="DJ267" s="344" t="s">
        <v>1970</v>
      </c>
      <c r="DK267" s="344" t="s">
        <v>1970</v>
      </c>
      <c r="DL267" s="344" t="s">
        <v>1970</v>
      </c>
      <c r="DM267" s="344" t="s">
        <v>1970</v>
      </c>
      <c r="DN267" s="344" t="s">
        <v>1970</v>
      </c>
      <c r="DO267" s="344" t="s">
        <v>1970</v>
      </c>
      <c r="DP267" s="344" t="s">
        <v>1970</v>
      </c>
      <c r="DQ267" s="344" t="s">
        <v>1970</v>
      </c>
      <c r="DR267" s="344" t="s">
        <v>1970</v>
      </c>
      <c r="DS267" s="344" t="s">
        <v>1970</v>
      </c>
      <c r="DT267" s="344" t="s">
        <v>1970</v>
      </c>
      <c r="DU267" s="344" t="s">
        <v>1970</v>
      </c>
      <c r="DV267" s="344" t="s">
        <v>1970</v>
      </c>
      <c r="DW267" s="344" t="s">
        <v>1970</v>
      </c>
      <c r="DX267" s="344" t="s">
        <v>1970</v>
      </c>
      <c r="DY267" s="344" t="s">
        <v>1970</v>
      </c>
      <c r="DZ267" s="344" t="s">
        <v>1970</v>
      </c>
      <c r="EA267" s="344" t="s">
        <v>1970</v>
      </c>
      <c r="EB267" s="344" t="s">
        <v>1970</v>
      </c>
      <c r="EC267" s="344" t="s">
        <v>1970</v>
      </c>
      <c r="ED267" s="344" t="s">
        <v>1970</v>
      </c>
      <c r="EE267" s="344" t="s">
        <v>1970</v>
      </c>
      <c r="EF267" s="344" t="s">
        <v>1970</v>
      </c>
      <c r="EG267" s="344" t="s">
        <v>1970</v>
      </c>
      <c r="EH267" s="344" t="s">
        <v>1970</v>
      </c>
      <c r="EI267" s="344" t="s">
        <v>1970</v>
      </c>
      <c r="EJ267" s="344" t="s">
        <v>1970</v>
      </c>
      <c r="EK267" s="344" t="s">
        <v>1970</v>
      </c>
      <c r="EL267" s="344" t="s">
        <v>1970</v>
      </c>
      <c r="EM267" s="344" t="s">
        <v>1970</v>
      </c>
      <c r="EN267" s="344" t="s">
        <v>1970</v>
      </c>
      <c r="EO267" s="344" t="s">
        <v>1970</v>
      </c>
      <c r="EP267" s="344" t="s">
        <v>1970</v>
      </c>
      <c r="EQ267" s="344" t="s">
        <v>1970</v>
      </c>
      <c r="ER267" s="344" t="s">
        <v>1970</v>
      </c>
      <c r="ES267" s="344" t="s">
        <v>1970</v>
      </c>
    </row>
    <row r="268" spans="1:149" x14ac:dyDescent="0.3">
      <c r="A268" s="2" t="s">
        <v>1270</v>
      </c>
      <c r="B268" s="2" t="s">
        <v>1172</v>
      </c>
      <c r="C268" s="2" t="s">
        <v>2207</v>
      </c>
      <c r="D268" s="2" t="s">
        <v>1273</v>
      </c>
      <c r="E268" s="2" t="s">
        <v>1977</v>
      </c>
      <c r="F268" s="2">
        <v>31</v>
      </c>
      <c r="G268" s="2">
        <v>28</v>
      </c>
      <c r="H268" s="2">
        <v>27</v>
      </c>
      <c r="I268" s="445" t="s">
        <v>3314</v>
      </c>
      <c r="J268" s="2" t="s">
        <v>1970</v>
      </c>
      <c r="K268" s="2" t="s">
        <v>1970</v>
      </c>
      <c r="L268" s="2" t="s">
        <v>1970</v>
      </c>
      <c r="M268" s="2" t="s">
        <v>1970</v>
      </c>
      <c r="N268" s="344" t="s">
        <v>1978</v>
      </c>
      <c r="O268" s="344" t="s">
        <v>1978</v>
      </c>
      <c r="P268" s="344" t="s">
        <v>1978</v>
      </c>
      <c r="Q268" s="344" t="s">
        <v>1978</v>
      </c>
      <c r="R268" s="344" t="s">
        <v>1978</v>
      </c>
      <c r="S268" s="344" t="s">
        <v>1978</v>
      </c>
      <c r="T268" s="344" t="s">
        <v>1271</v>
      </c>
      <c r="U268" s="2" t="s">
        <v>2165</v>
      </c>
      <c r="V268" s="344" t="s">
        <v>1970</v>
      </c>
      <c r="W268" s="344" t="s">
        <v>1970</v>
      </c>
      <c r="X268" s="344">
        <f>'A123'!J276</f>
        <v>24</v>
      </c>
      <c r="Y268" s="344">
        <f>'A123'!K276</f>
        <v>18</v>
      </c>
      <c r="Z268" s="344">
        <f>'A123'!L276</f>
        <v>6.166666666666667</v>
      </c>
      <c r="AA268" s="2" t="s">
        <v>2165</v>
      </c>
      <c r="AB268" s="344" t="str">
        <f>入學要求!X277</f>
        <v>以下一科選修取得Lv.3︰生物、化學、組合科學、物理、綜合科學</v>
      </c>
      <c r="AC268" s="344" t="str">
        <f>入學要求!Y277</f>
        <v>/</v>
      </c>
      <c r="AD268" s="373" t="s">
        <v>2171</v>
      </c>
      <c r="AE268" s="2" t="s">
        <v>2173</v>
      </c>
      <c r="AF268" s="344" t="s">
        <v>3371</v>
      </c>
      <c r="AG268" s="344" t="s">
        <v>3372</v>
      </c>
      <c r="AH268" s="2" t="s">
        <v>1970</v>
      </c>
      <c r="AI268" s="344" t="s">
        <v>1970</v>
      </c>
      <c r="AO268" s="344" t="s">
        <v>3384</v>
      </c>
      <c r="AP268" s="251" t="s">
        <v>2619</v>
      </c>
      <c r="AQ268" s="344" t="s">
        <v>1970</v>
      </c>
      <c r="AR268" s="344" t="s">
        <v>2150</v>
      </c>
      <c r="AS268" s="2" t="s">
        <v>3620</v>
      </c>
      <c r="AT268" s="2" t="s">
        <v>3695</v>
      </c>
      <c r="AU268" s="2" t="s">
        <v>3700</v>
      </c>
      <c r="AV268" s="344" t="s">
        <v>2596</v>
      </c>
      <c r="BB268" s="344" t="s">
        <v>1970</v>
      </c>
      <c r="BC268" s="344" t="s">
        <v>1970</v>
      </c>
      <c r="BD268" s="344" t="s">
        <v>1970</v>
      </c>
      <c r="BE268" s="344" t="s">
        <v>1970</v>
      </c>
      <c r="BF268" s="344" t="s">
        <v>1970</v>
      </c>
      <c r="BG268" s="344" t="s">
        <v>1970</v>
      </c>
      <c r="BH268" s="344" t="s">
        <v>1970</v>
      </c>
      <c r="BI268" s="344" t="s">
        <v>1970</v>
      </c>
      <c r="BJ268" s="344" t="s">
        <v>1970</v>
      </c>
      <c r="BK268" s="344" t="s">
        <v>1970</v>
      </c>
      <c r="BL268" s="344" t="s">
        <v>1970</v>
      </c>
      <c r="BM268" s="344" t="s">
        <v>1970</v>
      </c>
      <c r="BN268" s="344" t="s">
        <v>1970</v>
      </c>
      <c r="BO268" s="344" t="s">
        <v>1970</v>
      </c>
      <c r="BP268" s="344" t="s">
        <v>1970</v>
      </c>
      <c r="BQ268" s="344" t="s">
        <v>1970</v>
      </c>
      <c r="BR268" s="344" t="s">
        <v>1970</v>
      </c>
      <c r="BS268" s="344" t="s">
        <v>1970</v>
      </c>
      <c r="BT268" s="344" t="s">
        <v>1970</v>
      </c>
      <c r="BU268" s="344" t="s">
        <v>1970</v>
      </c>
      <c r="BV268" s="344" t="s">
        <v>1970</v>
      </c>
      <c r="BW268" s="344" t="s">
        <v>1970</v>
      </c>
      <c r="BX268" s="344" t="s">
        <v>1970</v>
      </c>
      <c r="BY268" s="344" t="s">
        <v>1970</v>
      </c>
      <c r="BZ268" s="344" t="s">
        <v>1970</v>
      </c>
      <c r="CA268" s="344" t="s">
        <v>1970</v>
      </c>
      <c r="CB268" s="344" t="s">
        <v>1970</v>
      </c>
      <c r="CC268" s="344" t="s">
        <v>1970</v>
      </c>
      <c r="CD268" s="344" t="s">
        <v>1970</v>
      </c>
      <c r="CE268" s="344" t="s">
        <v>1970</v>
      </c>
      <c r="CF268" s="344" t="s">
        <v>1970</v>
      </c>
      <c r="CG268" s="344" t="s">
        <v>1970</v>
      </c>
      <c r="CH268" s="344" t="s">
        <v>1970</v>
      </c>
      <c r="CI268" s="344" t="s">
        <v>1970</v>
      </c>
      <c r="CJ268" s="344" t="s">
        <v>1970</v>
      </c>
      <c r="CK268" s="344" t="s">
        <v>1970</v>
      </c>
      <c r="CL268" s="344" t="s">
        <v>1970</v>
      </c>
      <c r="CM268" s="344" t="s">
        <v>1970</v>
      </c>
      <c r="CN268" s="344" t="s">
        <v>1970</v>
      </c>
      <c r="CO268" s="344" t="s">
        <v>1970</v>
      </c>
      <c r="CP268" s="344" t="s">
        <v>1970</v>
      </c>
      <c r="CQ268" s="344" t="s">
        <v>1970</v>
      </c>
      <c r="CR268" s="344" t="s">
        <v>1970</v>
      </c>
      <c r="CS268" s="344" t="s">
        <v>1970</v>
      </c>
      <c r="CT268" s="344" t="s">
        <v>1970</v>
      </c>
      <c r="CU268" s="344" t="s">
        <v>1970</v>
      </c>
      <c r="CV268" s="344" t="s">
        <v>1970</v>
      </c>
      <c r="CW268" s="344" t="s">
        <v>1970</v>
      </c>
      <c r="CX268" s="344" t="s">
        <v>1970</v>
      </c>
      <c r="CY268" s="344" t="s">
        <v>1970</v>
      </c>
      <c r="CZ268" s="344" t="s">
        <v>1970</v>
      </c>
      <c r="DA268" s="344" t="s">
        <v>1970</v>
      </c>
      <c r="DB268" s="344" t="s">
        <v>1970</v>
      </c>
      <c r="DC268" s="344" t="s">
        <v>1970</v>
      </c>
      <c r="DD268" s="344" t="s">
        <v>1970</v>
      </c>
      <c r="DE268" s="344" t="s">
        <v>1970</v>
      </c>
      <c r="DF268" s="344" t="s">
        <v>1970</v>
      </c>
      <c r="DG268" s="344" t="s">
        <v>1970</v>
      </c>
      <c r="DH268" s="344" t="s">
        <v>1970</v>
      </c>
      <c r="DI268" s="344" t="s">
        <v>1970</v>
      </c>
      <c r="DJ268" s="344" t="s">
        <v>1970</v>
      </c>
      <c r="DK268" s="344" t="s">
        <v>1970</v>
      </c>
      <c r="DL268" s="344" t="s">
        <v>1970</v>
      </c>
      <c r="DM268" s="344" t="s">
        <v>1970</v>
      </c>
      <c r="DN268" s="344" t="s">
        <v>1970</v>
      </c>
      <c r="DO268" s="344" t="s">
        <v>1970</v>
      </c>
      <c r="DP268" s="344" t="s">
        <v>1970</v>
      </c>
      <c r="DQ268" s="344" t="s">
        <v>1970</v>
      </c>
      <c r="DR268" s="344" t="s">
        <v>1970</v>
      </c>
      <c r="DS268" s="344" t="s">
        <v>1970</v>
      </c>
      <c r="DT268" s="344" t="s">
        <v>1970</v>
      </c>
      <c r="DU268" s="344" t="s">
        <v>1970</v>
      </c>
      <c r="DV268" s="344" t="s">
        <v>1970</v>
      </c>
      <c r="DW268" s="344" t="s">
        <v>1970</v>
      </c>
      <c r="DX268" s="344" t="s">
        <v>1970</v>
      </c>
      <c r="DY268" s="344" t="s">
        <v>1970</v>
      </c>
      <c r="DZ268" s="344" t="s">
        <v>1970</v>
      </c>
      <c r="EA268" s="344" t="s">
        <v>1970</v>
      </c>
      <c r="EB268" s="344" t="s">
        <v>1970</v>
      </c>
      <c r="EC268" s="344" t="s">
        <v>1970</v>
      </c>
      <c r="ED268" s="344" t="s">
        <v>1970</v>
      </c>
      <c r="EE268" s="344" t="s">
        <v>1970</v>
      </c>
      <c r="EF268" s="344" t="s">
        <v>1970</v>
      </c>
      <c r="EG268" s="344" t="s">
        <v>1970</v>
      </c>
      <c r="EH268" s="344" t="s">
        <v>1970</v>
      </c>
      <c r="EI268" s="344" t="s">
        <v>1970</v>
      </c>
      <c r="EJ268" s="344" t="s">
        <v>1970</v>
      </c>
      <c r="EK268" s="344" t="s">
        <v>1970</v>
      </c>
      <c r="EL268" s="344" t="s">
        <v>1970</v>
      </c>
      <c r="EM268" s="344" t="s">
        <v>1970</v>
      </c>
      <c r="EN268" s="344" t="s">
        <v>1970</v>
      </c>
      <c r="EO268" s="344" t="s">
        <v>1970</v>
      </c>
      <c r="EP268" s="344" t="s">
        <v>1970</v>
      </c>
      <c r="EQ268" s="344" t="s">
        <v>1970</v>
      </c>
      <c r="ER268" s="344" t="s">
        <v>1970</v>
      </c>
      <c r="ES268" s="344" t="s">
        <v>1970</v>
      </c>
    </row>
    <row r="269" spans="1:149" x14ac:dyDescent="0.3">
      <c r="A269" s="2" t="s">
        <v>1274</v>
      </c>
      <c r="B269" s="2" t="s">
        <v>1172</v>
      </c>
      <c r="C269" s="2" t="s">
        <v>2207</v>
      </c>
      <c r="D269" s="2" t="s">
        <v>1276</v>
      </c>
      <c r="E269" s="2" t="s">
        <v>1979</v>
      </c>
      <c r="F269" s="2">
        <v>39</v>
      </c>
      <c r="G269" s="2">
        <v>38</v>
      </c>
      <c r="H269" s="2">
        <v>37</v>
      </c>
      <c r="I269" s="344" t="s">
        <v>1970</v>
      </c>
      <c r="J269" s="2" t="s">
        <v>1970</v>
      </c>
      <c r="K269" s="2" t="s">
        <v>1970</v>
      </c>
      <c r="L269" s="2" t="s">
        <v>1970</v>
      </c>
      <c r="M269" s="2" t="s">
        <v>1970</v>
      </c>
      <c r="N269" s="344" t="s">
        <v>1978</v>
      </c>
      <c r="O269" s="344" t="s">
        <v>1978</v>
      </c>
      <c r="P269" s="344" t="s">
        <v>1978</v>
      </c>
      <c r="Q269" s="344" t="s">
        <v>1978</v>
      </c>
      <c r="R269" s="344" t="s">
        <v>1978</v>
      </c>
      <c r="S269" s="344" t="s">
        <v>1978</v>
      </c>
      <c r="T269" s="344" t="s">
        <v>365</v>
      </c>
      <c r="U269" s="2" t="s">
        <v>2165</v>
      </c>
      <c r="V269" s="344" t="s">
        <v>1970</v>
      </c>
      <c r="W269" s="344" t="s">
        <v>1970</v>
      </c>
      <c r="X269" s="344">
        <f>'A123'!J277</f>
        <v>35</v>
      </c>
      <c r="Y269" s="344">
        <f>'A123'!K277</f>
        <v>29</v>
      </c>
      <c r="Z269" s="344">
        <f>'A123'!L277</f>
        <v>4.2068965517241379</v>
      </c>
      <c r="AA269" s="2" t="s">
        <v>2165</v>
      </c>
      <c r="AB269" s="344" t="str">
        <f>入學要求!X278</f>
        <v>以下一科選修取得Lv.3︰化學、組合科學(化學)</v>
      </c>
      <c r="AC269" s="344" t="str">
        <f>入學要求!Y278</f>
        <v>/</v>
      </c>
      <c r="AD269" s="2" t="s">
        <v>1979</v>
      </c>
      <c r="AE269" s="2" t="s">
        <v>1970</v>
      </c>
      <c r="AF269" s="2" t="s">
        <v>1970</v>
      </c>
      <c r="AG269" s="2" t="s">
        <v>1970</v>
      </c>
      <c r="AH269" s="2" t="s">
        <v>1970</v>
      </c>
      <c r="AI269" s="344" t="s">
        <v>1970</v>
      </c>
      <c r="AO269" s="344" t="s">
        <v>3384</v>
      </c>
      <c r="AP269" s="251" t="s">
        <v>3383</v>
      </c>
      <c r="AQ269" s="344" t="s">
        <v>1970</v>
      </c>
      <c r="AR269" s="427" t="s">
        <v>3385</v>
      </c>
      <c r="AS269" s="2" t="s">
        <v>3620</v>
      </c>
      <c r="AT269" s="2" t="s">
        <v>3695</v>
      </c>
      <c r="AU269" s="2" t="s">
        <v>3700</v>
      </c>
      <c r="AV269" s="344" t="s">
        <v>2596</v>
      </c>
      <c r="BB269" s="344" t="s">
        <v>1970</v>
      </c>
      <c r="BC269" s="344" t="s">
        <v>1970</v>
      </c>
      <c r="BD269" s="344" t="s">
        <v>1970</v>
      </c>
      <c r="BE269" s="344" t="s">
        <v>1970</v>
      </c>
      <c r="BF269" s="344" t="s">
        <v>1970</v>
      </c>
      <c r="BG269" s="344" t="s">
        <v>1970</v>
      </c>
      <c r="BH269" s="344" t="s">
        <v>1970</v>
      </c>
      <c r="BI269" s="344" t="s">
        <v>1970</v>
      </c>
      <c r="BJ269" s="344" t="s">
        <v>1970</v>
      </c>
      <c r="BK269" s="344" t="s">
        <v>1970</v>
      </c>
      <c r="BL269" s="344" t="s">
        <v>1970</v>
      </c>
      <c r="BM269" s="344" t="s">
        <v>1970</v>
      </c>
      <c r="BN269" s="344" t="s">
        <v>1970</v>
      </c>
      <c r="BO269" s="344" t="s">
        <v>1970</v>
      </c>
      <c r="BP269" s="344" t="s">
        <v>1970</v>
      </c>
      <c r="BQ269" s="344" t="s">
        <v>1970</v>
      </c>
      <c r="BR269" s="344" t="s">
        <v>1970</v>
      </c>
      <c r="BS269" s="344" t="s">
        <v>1970</v>
      </c>
      <c r="BT269" s="344" t="s">
        <v>1970</v>
      </c>
      <c r="BU269" s="344" t="s">
        <v>1970</v>
      </c>
      <c r="BV269" s="344" t="s">
        <v>1970</v>
      </c>
      <c r="BW269" s="344" t="s">
        <v>1970</v>
      </c>
      <c r="BX269" s="344" t="s">
        <v>1970</v>
      </c>
      <c r="BY269" s="344" t="s">
        <v>1970</v>
      </c>
      <c r="BZ269" s="344" t="s">
        <v>1970</v>
      </c>
      <c r="CA269" s="344" t="s">
        <v>1970</v>
      </c>
      <c r="CB269" s="344" t="s">
        <v>1970</v>
      </c>
      <c r="CC269" s="344" t="s">
        <v>1970</v>
      </c>
      <c r="CD269" s="344" t="s">
        <v>1970</v>
      </c>
      <c r="CE269" s="344" t="s">
        <v>1970</v>
      </c>
      <c r="CF269" s="344" t="s">
        <v>1970</v>
      </c>
      <c r="CG269" s="344" t="s">
        <v>1970</v>
      </c>
      <c r="CH269" s="344" t="s">
        <v>1970</v>
      </c>
      <c r="CI269" s="344" t="s">
        <v>1970</v>
      </c>
      <c r="CJ269" s="344" t="s">
        <v>1970</v>
      </c>
      <c r="CK269" s="344" t="s">
        <v>1970</v>
      </c>
      <c r="CL269" s="344" t="s">
        <v>1970</v>
      </c>
      <c r="CM269" s="344" t="s">
        <v>1970</v>
      </c>
      <c r="CN269" s="344" t="s">
        <v>1970</v>
      </c>
      <c r="CO269" s="344" t="s">
        <v>1970</v>
      </c>
      <c r="CP269" s="344" t="s">
        <v>1970</v>
      </c>
      <c r="CQ269" s="344" t="s">
        <v>1970</v>
      </c>
      <c r="CR269" s="344" t="s">
        <v>1970</v>
      </c>
      <c r="CS269" s="344" t="s">
        <v>1970</v>
      </c>
      <c r="CT269" s="344" t="s">
        <v>1970</v>
      </c>
      <c r="CU269" s="344" t="s">
        <v>1970</v>
      </c>
      <c r="CV269" s="344" t="s">
        <v>1970</v>
      </c>
      <c r="CW269" s="344" t="s">
        <v>1970</v>
      </c>
      <c r="CX269" s="344" t="s">
        <v>1970</v>
      </c>
      <c r="CY269" s="344" t="s">
        <v>1970</v>
      </c>
      <c r="CZ269" s="344" t="s">
        <v>1970</v>
      </c>
      <c r="DA269" s="344" t="s">
        <v>1970</v>
      </c>
      <c r="DB269" s="344" t="s">
        <v>1970</v>
      </c>
      <c r="DC269" s="344" t="s">
        <v>1970</v>
      </c>
      <c r="DD269" s="344" t="s">
        <v>1970</v>
      </c>
      <c r="DE269" s="344" t="s">
        <v>1970</v>
      </c>
      <c r="DF269" s="344" t="s">
        <v>1970</v>
      </c>
      <c r="DG269" s="344" t="s">
        <v>1970</v>
      </c>
      <c r="DH269" s="344" t="s">
        <v>1970</v>
      </c>
      <c r="DI269" s="344" t="s">
        <v>1970</v>
      </c>
      <c r="DJ269" s="344" t="s">
        <v>1970</v>
      </c>
      <c r="DK269" s="344" t="s">
        <v>1970</v>
      </c>
      <c r="DL269" s="344" t="s">
        <v>1970</v>
      </c>
      <c r="DM269" s="344" t="s">
        <v>1970</v>
      </c>
      <c r="DN269" s="344" t="s">
        <v>1970</v>
      </c>
      <c r="DO269" s="344" t="s">
        <v>1970</v>
      </c>
      <c r="DP269" s="344" t="s">
        <v>1970</v>
      </c>
      <c r="DQ269" s="344" t="s">
        <v>1970</v>
      </c>
      <c r="DR269" s="344" t="s">
        <v>1970</v>
      </c>
      <c r="DS269" s="344" t="s">
        <v>1970</v>
      </c>
      <c r="DT269" s="344" t="s">
        <v>1970</v>
      </c>
      <c r="DU269" s="344" t="s">
        <v>1970</v>
      </c>
      <c r="DV269" s="344" t="s">
        <v>1970</v>
      </c>
      <c r="DW269" s="344" t="s">
        <v>1970</v>
      </c>
      <c r="DX269" s="344" t="s">
        <v>1970</v>
      </c>
      <c r="DY269" s="344" t="s">
        <v>1970</v>
      </c>
      <c r="DZ269" s="344" t="s">
        <v>1970</v>
      </c>
      <c r="EA269" s="344" t="s">
        <v>1970</v>
      </c>
      <c r="EB269" s="344" t="s">
        <v>1970</v>
      </c>
      <c r="EC269" s="344" t="s">
        <v>1970</v>
      </c>
      <c r="ED269" s="344" t="s">
        <v>1970</v>
      </c>
      <c r="EE269" s="344" t="s">
        <v>1970</v>
      </c>
      <c r="EF269" s="344" t="s">
        <v>1970</v>
      </c>
      <c r="EG269" s="344" t="s">
        <v>1970</v>
      </c>
      <c r="EH269" s="344" t="s">
        <v>1970</v>
      </c>
      <c r="EI269" s="344" t="s">
        <v>1970</v>
      </c>
      <c r="EJ269" s="344" t="s">
        <v>1970</v>
      </c>
      <c r="EK269" s="344" t="s">
        <v>1970</v>
      </c>
      <c r="EL269" s="344" t="s">
        <v>1970</v>
      </c>
      <c r="EM269" s="344" t="s">
        <v>1970</v>
      </c>
      <c r="EN269" s="344" t="s">
        <v>1970</v>
      </c>
      <c r="EO269" s="344" t="s">
        <v>1970</v>
      </c>
      <c r="EP269" s="344" t="s">
        <v>1970</v>
      </c>
      <c r="EQ269" s="344" t="s">
        <v>1970</v>
      </c>
      <c r="ER269" s="344" t="s">
        <v>1970</v>
      </c>
      <c r="ES269" s="344" t="s">
        <v>1970</v>
      </c>
    </row>
    <row r="270" spans="1:149" x14ac:dyDescent="0.3">
      <c r="A270" s="2" t="s">
        <v>1358</v>
      </c>
      <c r="B270" s="2" t="s">
        <v>1172</v>
      </c>
      <c r="C270" s="2" t="s">
        <v>2207</v>
      </c>
      <c r="D270" s="2" t="s">
        <v>1361</v>
      </c>
      <c r="E270" s="2" t="s">
        <v>1979</v>
      </c>
      <c r="F270" s="2">
        <v>41</v>
      </c>
      <c r="G270" s="2">
        <v>41</v>
      </c>
      <c r="H270" s="2">
        <v>40</v>
      </c>
      <c r="I270" s="344" t="s">
        <v>1970</v>
      </c>
      <c r="J270" s="2" t="s">
        <v>1970</v>
      </c>
      <c r="K270" s="2" t="s">
        <v>1970</v>
      </c>
      <c r="L270" s="2" t="s">
        <v>1970</v>
      </c>
      <c r="M270" s="2" t="s">
        <v>1970</v>
      </c>
      <c r="N270" s="344" t="s">
        <v>1978</v>
      </c>
      <c r="O270" s="344" t="s">
        <v>1978</v>
      </c>
      <c r="P270" s="344" t="s">
        <v>1978</v>
      </c>
      <c r="Q270" s="344" t="s">
        <v>1978</v>
      </c>
      <c r="R270" s="344" t="s">
        <v>1978</v>
      </c>
      <c r="S270" s="344" t="s">
        <v>1978</v>
      </c>
      <c r="T270" s="344" t="s">
        <v>2213</v>
      </c>
      <c r="U270" s="2" t="s">
        <v>2165</v>
      </c>
      <c r="V270" s="344" t="s">
        <v>1970</v>
      </c>
      <c r="W270" s="344" t="s">
        <v>1970</v>
      </c>
      <c r="X270" s="344">
        <f>'A123'!J278</f>
        <v>38</v>
      </c>
      <c r="Y270" s="344">
        <f>'A123'!K278</f>
        <v>28</v>
      </c>
      <c r="Z270" s="344">
        <f>'A123'!L278</f>
        <v>6.5357142857142856</v>
      </c>
      <c r="AA270" s="2" t="s">
        <v>2165</v>
      </c>
      <c r="AB270" s="344" t="str">
        <f>入學要求!X279</f>
        <v>以下一科選修取得Lv.3︰生物、化學、組合科學</v>
      </c>
      <c r="AC270" s="344" t="str">
        <f>入學要求!Y279</f>
        <v>/</v>
      </c>
      <c r="AD270" s="2" t="s">
        <v>1979</v>
      </c>
      <c r="AE270" s="2" t="s">
        <v>1970</v>
      </c>
      <c r="AF270" s="2" t="s">
        <v>1970</v>
      </c>
      <c r="AG270" s="2" t="s">
        <v>1970</v>
      </c>
      <c r="AH270" s="2" t="s">
        <v>1970</v>
      </c>
      <c r="AI270" s="344" t="s">
        <v>1970</v>
      </c>
      <c r="AO270" s="344" t="s">
        <v>3384</v>
      </c>
      <c r="AP270" s="251" t="s">
        <v>3383</v>
      </c>
      <c r="AQ270" s="344" t="s">
        <v>1970</v>
      </c>
      <c r="AR270" s="427" t="s">
        <v>3385</v>
      </c>
      <c r="AS270" s="2" t="s">
        <v>3620</v>
      </c>
      <c r="AT270" s="2" t="s">
        <v>3695</v>
      </c>
      <c r="AU270" s="2" t="s">
        <v>3700</v>
      </c>
      <c r="AV270" s="344" t="s">
        <v>2596</v>
      </c>
      <c r="BB270" s="344" t="s">
        <v>1970</v>
      </c>
      <c r="BC270" s="344" t="s">
        <v>1970</v>
      </c>
      <c r="BD270" s="344" t="s">
        <v>1970</v>
      </c>
      <c r="BE270" s="344" t="s">
        <v>1970</v>
      </c>
      <c r="BF270" s="344" t="s">
        <v>1970</v>
      </c>
      <c r="BG270" s="344" t="s">
        <v>1970</v>
      </c>
      <c r="BH270" s="344" t="s">
        <v>1970</v>
      </c>
      <c r="BI270" s="344" t="s">
        <v>1970</v>
      </c>
      <c r="BJ270" s="344" t="s">
        <v>1970</v>
      </c>
      <c r="BK270" s="344" t="s">
        <v>1970</v>
      </c>
      <c r="BL270" s="344" t="s">
        <v>1970</v>
      </c>
      <c r="BM270" s="344" t="s">
        <v>1970</v>
      </c>
      <c r="BN270" s="344" t="s">
        <v>1970</v>
      </c>
      <c r="BO270" s="344" t="s">
        <v>1970</v>
      </c>
      <c r="BP270" s="344" t="s">
        <v>1970</v>
      </c>
      <c r="BQ270" s="344" t="s">
        <v>1970</v>
      </c>
      <c r="BR270" s="344" t="s">
        <v>1970</v>
      </c>
      <c r="BS270" s="344" t="s">
        <v>1970</v>
      </c>
      <c r="BT270" s="344" t="s">
        <v>1970</v>
      </c>
      <c r="BU270" s="344" t="s">
        <v>1970</v>
      </c>
      <c r="BV270" s="344" t="s">
        <v>1970</v>
      </c>
      <c r="BW270" s="344" t="s">
        <v>1970</v>
      </c>
      <c r="BX270" s="344" t="s">
        <v>1970</v>
      </c>
      <c r="BY270" s="344" t="s">
        <v>1970</v>
      </c>
      <c r="BZ270" s="344" t="s">
        <v>1970</v>
      </c>
      <c r="CA270" s="344" t="s">
        <v>1970</v>
      </c>
      <c r="CB270" s="344" t="s">
        <v>1970</v>
      </c>
      <c r="CC270" s="344" t="s">
        <v>1970</v>
      </c>
      <c r="CD270" s="344" t="s">
        <v>1970</v>
      </c>
      <c r="CE270" s="344" t="s">
        <v>1970</v>
      </c>
      <c r="CF270" s="344" t="s">
        <v>1970</v>
      </c>
      <c r="CG270" s="344" t="s">
        <v>1970</v>
      </c>
      <c r="CH270" s="344" t="s">
        <v>1970</v>
      </c>
      <c r="CI270" s="344" t="s">
        <v>1970</v>
      </c>
      <c r="CJ270" s="344" t="s">
        <v>1970</v>
      </c>
      <c r="CK270" s="344" t="s">
        <v>1970</v>
      </c>
      <c r="CL270" s="344" t="s">
        <v>1970</v>
      </c>
      <c r="CM270" s="344" t="s">
        <v>1970</v>
      </c>
      <c r="CN270" s="344" t="s">
        <v>1970</v>
      </c>
      <c r="CO270" s="344" t="s">
        <v>1970</v>
      </c>
      <c r="CP270" s="344" t="s">
        <v>1970</v>
      </c>
      <c r="CQ270" s="344" t="s">
        <v>1970</v>
      </c>
      <c r="CR270" s="344" t="s">
        <v>1970</v>
      </c>
      <c r="CS270" s="344" t="s">
        <v>1970</v>
      </c>
      <c r="CT270" s="344" t="s">
        <v>1970</v>
      </c>
      <c r="CU270" s="344" t="s">
        <v>1970</v>
      </c>
      <c r="CV270" s="344" t="s">
        <v>1970</v>
      </c>
      <c r="CW270" s="344" t="s">
        <v>1970</v>
      </c>
      <c r="CX270" s="344" t="s">
        <v>1970</v>
      </c>
      <c r="CY270" s="344" t="s">
        <v>1970</v>
      </c>
      <c r="CZ270" s="344" t="s">
        <v>1970</v>
      </c>
      <c r="DA270" s="344" t="s">
        <v>1970</v>
      </c>
      <c r="DB270" s="344" t="s">
        <v>1970</v>
      </c>
      <c r="DC270" s="344" t="s">
        <v>1970</v>
      </c>
      <c r="DD270" s="344" t="s">
        <v>1970</v>
      </c>
      <c r="DE270" s="344" t="s">
        <v>1970</v>
      </c>
      <c r="DF270" s="344" t="s">
        <v>1970</v>
      </c>
      <c r="DG270" s="344" t="s">
        <v>1970</v>
      </c>
      <c r="DH270" s="344" t="s">
        <v>1970</v>
      </c>
      <c r="DI270" s="344" t="s">
        <v>1970</v>
      </c>
      <c r="DJ270" s="344" t="s">
        <v>1970</v>
      </c>
      <c r="DK270" s="344" t="s">
        <v>1970</v>
      </c>
      <c r="DL270" s="344" t="s">
        <v>1970</v>
      </c>
      <c r="DM270" s="344" t="s">
        <v>1970</v>
      </c>
      <c r="DN270" s="344" t="s">
        <v>1970</v>
      </c>
      <c r="DO270" s="344" t="s">
        <v>1970</v>
      </c>
      <c r="DP270" s="344" t="s">
        <v>1970</v>
      </c>
      <c r="DQ270" s="344" t="s">
        <v>1970</v>
      </c>
      <c r="DR270" s="344" t="s">
        <v>1970</v>
      </c>
      <c r="DS270" s="344" t="s">
        <v>1970</v>
      </c>
      <c r="DT270" s="344" t="s">
        <v>1970</v>
      </c>
      <c r="DU270" s="344" t="s">
        <v>1970</v>
      </c>
      <c r="DV270" s="344" t="s">
        <v>1970</v>
      </c>
      <c r="DW270" s="344" t="s">
        <v>1970</v>
      </c>
      <c r="DX270" s="344" t="s">
        <v>1970</v>
      </c>
      <c r="DY270" s="344" t="s">
        <v>1970</v>
      </c>
      <c r="DZ270" s="344" t="s">
        <v>1970</v>
      </c>
      <c r="EA270" s="344" t="s">
        <v>1970</v>
      </c>
      <c r="EB270" s="344" t="s">
        <v>1970</v>
      </c>
      <c r="EC270" s="344" t="s">
        <v>1970</v>
      </c>
      <c r="ED270" s="344" t="s">
        <v>1970</v>
      </c>
      <c r="EE270" s="344" t="s">
        <v>1970</v>
      </c>
      <c r="EF270" s="344" t="s">
        <v>1970</v>
      </c>
      <c r="EG270" s="344" t="s">
        <v>1970</v>
      </c>
      <c r="EH270" s="344" t="s">
        <v>1970</v>
      </c>
      <c r="EI270" s="344" t="s">
        <v>1970</v>
      </c>
      <c r="EJ270" s="344" t="s">
        <v>1970</v>
      </c>
      <c r="EK270" s="344" t="s">
        <v>1970</v>
      </c>
      <c r="EL270" s="344" t="s">
        <v>1970</v>
      </c>
      <c r="EM270" s="344" t="s">
        <v>1970</v>
      </c>
      <c r="EN270" s="344" t="s">
        <v>1970</v>
      </c>
      <c r="EO270" s="344" t="s">
        <v>1970</v>
      </c>
      <c r="EP270" s="344" t="s">
        <v>1970</v>
      </c>
      <c r="EQ270" s="344" t="s">
        <v>1970</v>
      </c>
      <c r="ER270" s="344" t="s">
        <v>1970</v>
      </c>
      <c r="ES270" s="344" t="s">
        <v>1970</v>
      </c>
    </row>
    <row r="271" spans="1:149" x14ac:dyDescent="0.3">
      <c r="A271" s="2" t="s">
        <v>1277</v>
      </c>
      <c r="B271" s="2" t="s">
        <v>1172</v>
      </c>
      <c r="C271" s="2" t="s">
        <v>2159</v>
      </c>
      <c r="D271" s="2" t="s">
        <v>1280</v>
      </c>
      <c r="E271" s="2" t="s">
        <v>2153</v>
      </c>
      <c r="F271" s="2">
        <v>82</v>
      </c>
      <c r="G271" s="2">
        <v>73</v>
      </c>
      <c r="H271" s="2">
        <v>71</v>
      </c>
      <c r="I271" s="344" t="s">
        <v>3366</v>
      </c>
      <c r="J271" s="344" t="s">
        <v>3357</v>
      </c>
      <c r="K271" s="2" t="s">
        <v>3367</v>
      </c>
      <c r="L271" s="2" t="s">
        <v>3363</v>
      </c>
      <c r="M271" s="2" t="s">
        <v>1970</v>
      </c>
      <c r="N271" s="344" t="s">
        <v>1978</v>
      </c>
      <c r="O271" s="344" t="s">
        <v>1978</v>
      </c>
      <c r="P271" s="344" t="s">
        <v>1978</v>
      </c>
      <c r="Q271" s="344" t="s">
        <v>1978</v>
      </c>
      <c r="R271" s="344" t="s">
        <v>1978</v>
      </c>
      <c r="S271" s="344" t="s">
        <v>1978</v>
      </c>
      <c r="T271" s="344" t="s">
        <v>1278</v>
      </c>
      <c r="U271" s="2" t="s">
        <v>2165</v>
      </c>
      <c r="V271" s="344" t="s">
        <v>1970</v>
      </c>
      <c r="W271" s="344" t="s">
        <v>1970</v>
      </c>
      <c r="X271" s="344">
        <f>'A123'!J279</f>
        <v>24</v>
      </c>
      <c r="Y271" s="344">
        <f>'A123'!K279</f>
        <v>17</v>
      </c>
      <c r="Z271" s="344">
        <f>'A123'!L279</f>
        <v>3</v>
      </c>
      <c r="AA271" s="2" t="s">
        <v>2165</v>
      </c>
      <c r="AB271" s="344" t="str">
        <f>入學要求!X280</f>
        <v>以下兩科選修取得Lv.3︰生物、化學、組合科學、物理 | M1/2 需考獲Lv. 4 或以上</v>
      </c>
      <c r="AC271" s="344" t="str">
        <f>入學要求!Y280</f>
        <v>英文科考獲 Lv.4 及 理科及數學考獲優異成績的考生，將會按個別情況考慮。</v>
      </c>
      <c r="AD271" s="373" t="s">
        <v>2171</v>
      </c>
      <c r="AE271" s="344" t="s">
        <v>3374</v>
      </c>
      <c r="AF271" s="344" t="s">
        <v>3357</v>
      </c>
      <c r="AG271" s="2" t="s">
        <v>1970</v>
      </c>
      <c r="AH271" s="2" t="s">
        <v>1970</v>
      </c>
      <c r="AI271" s="344" t="s">
        <v>1970</v>
      </c>
      <c r="AO271" s="344" t="s">
        <v>3384</v>
      </c>
      <c r="AP271" s="251" t="s">
        <v>3378</v>
      </c>
      <c r="AQ271" s="344" t="s">
        <v>1970</v>
      </c>
      <c r="AR271" s="344" t="s">
        <v>2150</v>
      </c>
      <c r="AS271" s="2" t="s">
        <v>3620</v>
      </c>
      <c r="AT271" s="2" t="s">
        <v>3695</v>
      </c>
      <c r="AU271" s="2" t="s">
        <v>3700</v>
      </c>
      <c r="AV271" s="344" t="s">
        <v>2596</v>
      </c>
      <c r="BB271" s="344" t="s">
        <v>1970</v>
      </c>
      <c r="BC271" s="344" t="s">
        <v>1970</v>
      </c>
      <c r="BD271" s="344" t="s">
        <v>1970</v>
      </c>
      <c r="BE271" s="344" t="s">
        <v>1970</v>
      </c>
      <c r="BF271" s="344" t="s">
        <v>1970</v>
      </c>
      <c r="BG271" s="344" t="s">
        <v>1970</v>
      </c>
      <c r="BH271" s="344" t="s">
        <v>1970</v>
      </c>
      <c r="BI271" s="344" t="s">
        <v>1970</v>
      </c>
      <c r="BJ271" s="344" t="s">
        <v>1970</v>
      </c>
      <c r="BK271" s="344" t="s">
        <v>1970</v>
      </c>
      <c r="BL271" s="344" t="s">
        <v>1970</v>
      </c>
      <c r="BM271" s="344" t="s">
        <v>1970</v>
      </c>
      <c r="BN271" s="344" t="s">
        <v>1970</v>
      </c>
      <c r="BO271" s="344" t="s">
        <v>1970</v>
      </c>
      <c r="BP271" s="344" t="s">
        <v>1970</v>
      </c>
      <c r="BQ271" s="344" t="s">
        <v>1970</v>
      </c>
      <c r="BR271" s="344" t="s">
        <v>1970</v>
      </c>
      <c r="BS271" s="344" t="s">
        <v>1970</v>
      </c>
      <c r="BT271" s="344" t="s">
        <v>1970</v>
      </c>
      <c r="BU271" s="344" t="s">
        <v>1970</v>
      </c>
      <c r="BV271" s="344" t="s">
        <v>1970</v>
      </c>
      <c r="BW271" s="344" t="s">
        <v>1970</v>
      </c>
      <c r="BX271" s="344" t="s">
        <v>1970</v>
      </c>
      <c r="BY271" s="344" t="s">
        <v>1970</v>
      </c>
      <c r="BZ271" s="344" t="s">
        <v>1970</v>
      </c>
      <c r="CA271" s="344" t="s">
        <v>1970</v>
      </c>
      <c r="CB271" s="344" t="s">
        <v>1970</v>
      </c>
      <c r="CC271" s="344" t="s">
        <v>1970</v>
      </c>
      <c r="CD271" s="344" t="s">
        <v>1970</v>
      </c>
      <c r="CE271" s="344" t="s">
        <v>1970</v>
      </c>
      <c r="CF271" s="344" t="s">
        <v>1970</v>
      </c>
      <c r="CG271" s="344" t="s">
        <v>1970</v>
      </c>
      <c r="CH271" s="344" t="s">
        <v>1970</v>
      </c>
      <c r="CI271" s="344" t="s">
        <v>1970</v>
      </c>
      <c r="CJ271" s="344" t="s">
        <v>1970</v>
      </c>
      <c r="CK271" s="344" t="s">
        <v>1970</v>
      </c>
      <c r="CL271" s="344" t="s">
        <v>1970</v>
      </c>
      <c r="CM271" s="344" t="s">
        <v>1970</v>
      </c>
      <c r="CN271" s="344" t="s">
        <v>1970</v>
      </c>
      <c r="CO271" s="344" t="s">
        <v>1970</v>
      </c>
      <c r="CP271" s="344" t="s">
        <v>1970</v>
      </c>
      <c r="CQ271" s="344" t="s">
        <v>1970</v>
      </c>
      <c r="CR271" s="344" t="s">
        <v>1970</v>
      </c>
      <c r="CS271" s="344" t="s">
        <v>1970</v>
      </c>
      <c r="CT271" s="344" t="s">
        <v>1970</v>
      </c>
      <c r="CU271" s="344" t="s">
        <v>1970</v>
      </c>
      <c r="CV271" s="344" t="s">
        <v>1970</v>
      </c>
      <c r="CW271" s="344" t="s">
        <v>1970</v>
      </c>
      <c r="CX271" s="344" t="s">
        <v>1970</v>
      </c>
      <c r="CY271" s="344" t="s">
        <v>1970</v>
      </c>
      <c r="CZ271" s="344" t="s">
        <v>1970</v>
      </c>
      <c r="DA271" s="344" t="s">
        <v>1970</v>
      </c>
      <c r="DB271" s="344" t="s">
        <v>1970</v>
      </c>
      <c r="DC271" s="344" t="s">
        <v>1970</v>
      </c>
      <c r="DD271" s="344" t="s">
        <v>1970</v>
      </c>
      <c r="DE271" s="344" t="s">
        <v>1970</v>
      </c>
      <c r="DF271" s="344" t="s">
        <v>1970</v>
      </c>
      <c r="DG271" s="344" t="s">
        <v>1970</v>
      </c>
      <c r="DH271" s="344" t="s">
        <v>1970</v>
      </c>
      <c r="DI271" s="344" t="s">
        <v>1970</v>
      </c>
      <c r="DJ271" s="344" t="s">
        <v>1970</v>
      </c>
      <c r="DK271" s="344" t="s">
        <v>1970</v>
      </c>
      <c r="DL271" s="344" t="s">
        <v>1970</v>
      </c>
      <c r="DM271" s="344" t="s">
        <v>1970</v>
      </c>
      <c r="DN271" s="344" t="s">
        <v>1970</v>
      </c>
      <c r="DO271" s="344" t="s">
        <v>1970</v>
      </c>
      <c r="DP271" s="344" t="s">
        <v>1970</v>
      </c>
      <c r="DQ271" s="344" t="s">
        <v>1970</v>
      </c>
      <c r="DR271" s="344" t="s">
        <v>1970</v>
      </c>
      <c r="DS271" s="344" t="s">
        <v>1970</v>
      </c>
      <c r="DT271" s="344" t="s">
        <v>1970</v>
      </c>
      <c r="DU271" s="344" t="s">
        <v>1970</v>
      </c>
      <c r="DV271" s="344" t="s">
        <v>1970</v>
      </c>
      <c r="DW271" s="344" t="s">
        <v>1970</v>
      </c>
      <c r="DX271" s="344" t="s">
        <v>1970</v>
      </c>
      <c r="DY271" s="344" t="s">
        <v>1970</v>
      </c>
      <c r="DZ271" s="344" t="s">
        <v>1970</v>
      </c>
      <c r="EA271" s="344" t="s">
        <v>1970</v>
      </c>
      <c r="EB271" s="344" t="s">
        <v>1970</v>
      </c>
      <c r="EC271" s="344" t="s">
        <v>1970</v>
      </c>
      <c r="ED271" s="344" t="s">
        <v>1970</v>
      </c>
      <c r="EE271" s="344" t="s">
        <v>1970</v>
      </c>
      <c r="EF271" s="344" t="s">
        <v>1970</v>
      </c>
      <c r="EG271" s="344" t="s">
        <v>1970</v>
      </c>
      <c r="EH271" s="344" t="s">
        <v>1970</v>
      </c>
      <c r="EI271" s="344" t="s">
        <v>1970</v>
      </c>
      <c r="EJ271" s="344" t="s">
        <v>1970</v>
      </c>
      <c r="EK271" s="344" t="s">
        <v>1970</v>
      </c>
      <c r="EL271" s="344" t="s">
        <v>1970</v>
      </c>
      <c r="EM271" s="344" t="s">
        <v>1970</v>
      </c>
      <c r="EN271" s="344" t="s">
        <v>1970</v>
      </c>
      <c r="EO271" s="344" t="s">
        <v>1970</v>
      </c>
      <c r="EP271" s="344" t="s">
        <v>1970</v>
      </c>
      <c r="EQ271" s="344" t="s">
        <v>1970</v>
      </c>
      <c r="ER271" s="344" t="s">
        <v>1970</v>
      </c>
      <c r="ES271" s="344" t="s">
        <v>1970</v>
      </c>
    </row>
    <row r="272" spans="1:149" x14ac:dyDescent="0.3">
      <c r="A272" s="2" t="s">
        <v>1291</v>
      </c>
      <c r="B272" s="2" t="s">
        <v>1172</v>
      </c>
      <c r="C272" s="2" t="s">
        <v>2159</v>
      </c>
      <c r="D272" s="2" t="s">
        <v>1294</v>
      </c>
      <c r="E272" s="2" t="s">
        <v>2153</v>
      </c>
      <c r="F272" s="2">
        <v>54</v>
      </c>
      <c r="G272" s="2">
        <v>51</v>
      </c>
      <c r="H272" s="2">
        <v>48</v>
      </c>
      <c r="I272" s="344" t="s">
        <v>3355</v>
      </c>
      <c r="J272" s="2" t="s">
        <v>1970</v>
      </c>
      <c r="K272" s="2" t="s">
        <v>3315</v>
      </c>
      <c r="L272" s="2" t="s">
        <v>1970</v>
      </c>
      <c r="M272" s="2" t="s">
        <v>1970</v>
      </c>
      <c r="N272" s="344" t="s">
        <v>1978</v>
      </c>
      <c r="O272" s="344" t="s">
        <v>1978</v>
      </c>
      <c r="P272" s="344" t="s">
        <v>1978</v>
      </c>
      <c r="Q272" s="344" t="s">
        <v>1978</v>
      </c>
      <c r="R272" s="344" t="s">
        <v>1978</v>
      </c>
      <c r="S272" s="344" t="s">
        <v>1978</v>
      </c>
      <c r="T272" s="344" t="s">
        <v>2214</v>
      </c>
      <c r="U272" s="2" t="s">
        <v>2165</v>
      </c>
      <c r="V272" s="344" t="s">
        <v>1970</v>
      </c>
      <c r="W272" s="344" t="s">
        <v>1970</v>
      </c>
      <c r="X272" s="344">
        <f>'A123'!J280</f>
        <v>50</v>
      </c>
      <c r="Y272" s="344">
        <f>'A123'!K280</f>
        <v>62</v>
      </c>
      <c r="Z272" s="344">
        <f>'A123'!L280</f>
        <v>2.629032258064516</v>
      </c>
      <c r="AA272" s="2" t="s">
        <v>2165</v>
      </c>
      <c r="AB272" s="344" t="str">
        <f>入學要求!X281</f>
        <v>M1/2 需考獲Lv. 4 或以上</v>
      </c>
      <c r="AC272" s="344" t="str">
        <f>入學要求!Y281</f>
        <v>/</v>
      </c>
      <c r="AD272" s="373" t="s">
        <v>2171</v>
      </c>
      <c r="AE272" s="2" t="s">
        <v>1970</v>
      </c>
      <c r="AF272" s="2" t="s">
        <v>1970</v>
      </c>
      <c r="AG272" s="2" t="s">
        <v>3316</v>
      </c>
      <c r="AH272" s="2" t="s">
        <v>1970</v>
      </c>
      <c r="AI272" s="344" t="s">
        <v>1970</v>
      </c>
      <c r="AO272" s="344" t="s">
        <v>3384</v>
      </c>
      <c r="AP272" s="251" t="s">
        <v>3378</v>
      </c>
      <c r="AQ272" s="344" t="s">
        <v>1970</v>
      </c>
      <c r="AR272" s="344" t="s">
        <v>2150</v>
      </c>
      <c r="AS272" s="2" t="s">
        <v>3608</v>
      </c>
      <c r="AT272" s="2" t="s">
        <v>1970</v>
      </c>
      <c r="AU272" s="2" t="s">
        <v>1970</v>
      </c>
      <c r="AV272" s="344" t="s">
        <v>2596</v>
      </c>
      <c r="BB272" s="344" t="s">
        <v>1970</v>
      </c>
      <c r="BC272" s="344" t="s">
        <v>1970</v>
      </c>
      <c r="BD272" s="344" t="s">
        <v>1970</v>
      </c>
      <c r="BE272" s="344" t="s">
        <v>1970</v>
      </c>
      <c r="BF272" s="344" t="s">
        <v>1970</v>
      </c>
      <c r="BG272" s="344" t="s">
        <v>1970</v>
      </c>
      <c r="BH272" s="344" t="s">
        <v>1970</v>
      </c>
      <c r="BI272" s="344" t="s">
        <v>1970</v>
      </c>
      <c r="BJ272" s="344" t="s">
        <v>1970</v>
      </c>
      <c r="BK272" s="344" t="s">
        <v>1970</v>
      </c>
      <c r="BL272" s="344" t="s">
        <v>1970</v>
      </c>
      <c r="BM272" s="344" t="s">
        <v>1970</v>
      </c>
      <c r="BN272" s="344" t="s">
        <v>1970</v>
      </c>
      <c r="BO272" s="344" t="s">
        <v>1970</v>
      </c>
      <c r="BP272" s="344" t="s">
        <v>1970</v>
      </c>
      <c r="BQ272" s="344" t="s">
        <v>1970</v>
      </c>
      <c r="BR272" s="344" t="s">
        <v>1970</v>
      </c>
      <c r="BS272" s="344" t="s">
        <v>1970</v>
      </c>
      <c r="BT272" s="344" t="s">
        <v>1970</v>
      </c>
      <c r="BU272" s="344" t="s">
        <v>1970</v>
      </c>
      <c r="BV272" s="344" t="s">
        <v>1970</v>
      </c>
      <c r="BW272" s="344" t="s">
        <v>1970</v>
      </c>
      <c r="BX272" s="344" t="s">
        <v>1970</v>
      </c>
      <c r="BY272" s="344" t="s">
        <v>1970</v>
      </c>
      <c r="BZ272" s="344" t="s">
        <v>1970</v>
      </c>
      <c r="CA272" s="344" t="s">
        <v>1970</v>
      </c>
      <c r="CB272" s="344" t="s">
        <v>1970</v>
      </c>
      <c r="CC272" s="344" t="s">
        <v>1970</v>
      </c>
      <c r="CD272" s="344" t="s">
        <v>1970</v>
      </c>
      <c r="CE272" s="344" t="s">
        <v>1970</v>
      </c>
      <c r="CF272" s="344" t="s">
        <v>1970</v>
      </c>
      <c r="CG272" s="344" t="s">
        <v>1970</v>
      </c>
      <c r="CH272" s="344" t="s">
        <v>1970</v>
      </c>
      <c r="CI272" s="344" t="s">
        <v>1970</v>
      </c>
      <c r="CJ272" s="344" t="s">
        <v>1970</v>
      </c>
      <c r="CK272" s="344" t="s">
        <v>1970</v>
      </c>
      <c r="CL272" s="344" t="s">
        <v>1970</v>
      </c>
      <c r="CM272" s="344" t="s">
        <v>1970</v>
      </c>
      <c r="CN272" s="344" t="s">
        <v>1970</v>
      </c>
      <c r="CO272" s="344" t="s">
        <v>1970</v>
      </c>
      <c r="CP272" s="344" t="s">
        <v>1970</v>
      </c>
      <c r="CQ272" s="344" t="s">
        <v>1970</v>
      </c>
      <c r="CR272" s="344" t="s">
        <v>1970</v>
      </c>
      <c r="CS272" s="344" t="s">
        <v>1970</v>
      </c>
      <c r="CT272" s="344" t="s">
        <v>1970</v>
      </c>
      <c r="CU272" s="344" t="s">
        <v>1970</v>
      </c>
      <c r="CV272" s="344" t="s">
        <v>1970</v>
      </c>
      <c r="CW272" s="344" t="s">
        <v>1970</v>
      </c>
      <c r="CX272" s="344" t="s">
        <v>1970</v>
      </c>
      <c r="CY272" s="344" t="s">
        <v>1970</v>
      </c>
      <c r="CZ272" s="344" t="s">
        <v>1970</v>
      </c>
      <c r="DA272" s="344" t="s">
        <v>1970</v>
      </c>
      <c r="DB272" s="344" t="s">
        <v>1970</v>
      </c>
      <c r="DC272" s="344" t="s">
        <v>1970</v>
      </c>
      <c r="DD272" s="344" t="s">
        <v>1970</v>
      </c>
      <c r="DE272" s="344" t="s">
        <v>1970</v>
      </c>
      <c r="DF272" s="344" t="s">
        <v>1970</v>
      </c>
      <c r="DG272" s="344" t="s">
        <v>1970</v>
      </c>
      <c r="DH272" s="344" t="s">
        <v>1970</v>
      </c>
      <c r="DI272" s="344" t="s">
        <v>1970</v>
      </c>
      <c r="DJ272" s="344" t="s">
        <v>1970</v>
      </c>
      <c r="DK272" s="344" t="s">
        <v>1970</v>
      </c>
      <c r="DL272" s="344" t="s">
        <v>1970</v>
      </c>
      <c r="DM272" s="344" t="s">
        <v>1970</v>
      </c>
      <c r="DN272" s="344" t="s">
        <v>1970</v>
      </c>
      <c r="DO272" s="344" t="s">
        <v>1970</v>
      </c>
      <c r="DP272" s="344" t="s">
        <v>1970</v>
      </c>
      <c r="DQ272" s="344" t="s">
        <v>1970</v>
      </c>
      <c r="DR272" s="344" t="s">
        <v>1970</v>
      </c>
      <c r="DS272" s="344" t="s">
        <v>1970</v>
      </c>
      <c r="DT272" s="344" t="s">
        <v>1970</v>
      </c>
      <c r="DU272" s="344" t="s">
        <v>1970</v>
      </c>
      <c r="DV272" s="344" t="s">
        <v>1970</v>
      </c>
      <c r="DW272" s="344" t="s">
        <v>1970</v>
      </c>
      <c r="DX272" s="344" t="s">
        <v>1970</v>
      </c>
      <c r="DY272" s="344" t="s">
        <v>1970</v>
      </c>
      <c r="DZ272" s="344" t="s">
        <v>1970</v>
      </c>
      <c r="EA272" s="344" t="s">
        <v>1970</v>
      </c>
      <c r="EB272" s="344" t="s">
        <v>1970</v>
      </c>
      <c r="EC272" s="344" t="s">
        <v>1970</v>
      </c>
      <c r="ED272" s="344" t="s">
        <v>1970</v>
      </c>
      <c r="EE272" s="344" t="s">
        <v>1970</v>
      </c>
      <c r="EF272" s="344" t="s">
        <v>1970</v>
      </c>
      <c r="EG272" s="344" t="s">
        <v>1970</v>
      </c>
      <c r="EH272" s="344" t="s">
        <v>1970</v>
      </c>
      <c r="EI272" s="344" t="s">
        <v>1970</v>
      </c>
      <c r="EJ272" s="344" t="s">
        <v>1970</v>
      </c>
      <c r="EK272" s="344" t="s">
        <v>1970</v>
      </c>
      <c r="EL272" s="344" t="s">
        <v>1970</v>
      </c>
      <c r="EM272" s="344" t="s">
        <v>1970</v>
      </c>
      <c r="EN272" s="344" t="s">
        <v>1970</v>
      </c>
      <c r="EO272" s="344" t="s">
        <v>1970</v>
      </c>
      <c r="EP272" s="344" t="s">
        <v>1970</v>
      </c>
      <c r="EQ272" s="344" t="s">
        <v>1970</v>
      </c>
      <c r="ER272" s="344" t="s">
        <v>1970</v>
      </c>
      <c r="ES272" s="344" t="s">
        <v>1970</v>
      </c>
    </row>
    <row r="273" spans="1:149" x14ac:dyDescent="0.3">
      <c r="A273" s="2" t="s">
        <v>1329</v>
      </c>
      <c r="B273" s="2" t="s">
        <v>1172</v>
      </c>
      <c r="C273" s="2" t="s">
        <v>2159</v>
      </c>
      <c r="D273" s="2" t="s">
        <v>1332</v>
      </c>
      <c r="E273" s="2" t="s">
        <v>2916</v>
      </c>
      <c r="F273" s="2" t="s">
        <v>1970</v>
      </c>
      <c r="G273" s="2" t="s">
        <v>1970</v>
      </c>
      <c r="H273" s="2" t="s">
        <v>1970</v>
      </c>
      <c r="I273" s="344" t="s">
        <v>1970</v>
      </c>
      <c r="J273" s="2" t="s">
        <v>1970</v>
      </c>
      <c r="K273" s="2" t="s">
        <v>1970</v>
      </c>
      <c r="L273" s="2" t="s">
        <v>1970</v>
      </c>
      <c r="M273" s="2" t="s">
        <v>1970</v>
      </c>
      <c r="N273" s="344" t="s">
        <v>1978</v>
      </c>
      <c r="O273" s="344" t="s">
        <v>1978</v>
      </c>
      <c r="P273" s="344" t="s">
        <v>1978</v>
      </c>
      <c r="Q273" s="344" t="s">
        <v>1978</v>
      </c>
      <c r="R273" s="344" t="s">
        <v>1978</v>
      </c>
      <c r="S273" s="344" t="s">
        <v>1978</v>
      </c>
      <c r="T273" s="344" t="s">
        <v>1330</v>
      </c>
      <c r="U273" s="2" t="s">
        <v>2165</v>
      </c>
      <c r="V273" s="344" t="s">
        <v>1970</v>
      </c>
      <c r="W273" s="344" t="s">
        <v>1970</v>
      </c>
      <c r="X273" s="344">
        <f>'A123'!J281</f>
        <v>20</v>
      </c>
      <c r="Y273" s="344" t="str">
        <f>'A123'!K281</f>
        <v>/</v>
      </c>
      <c r="Z273" s="344" t="str">
        <f>'A123'!L281</f>
        <v>新科目</v>
      </c>
      <c r="AA273" s="2" t="s">
        <v>2165</v>
      </c>
      <c r="AB273" s="344" t="str">
        <f>入學要求!X282</f>
        <v>以下一科選修取得Lv.3︰生物、化學、組合科學、物理、綜合科學</v>
      </c>
      <c r="AC273" s="344" t="str">
        <f>入學要求!Y282</f>
        <v>/</v>
      </c>
      <c r="AD273" s="373" t="s">
        <v>2153</v>
      </c>
      <c r="AE273" s="344" t="s">
        <v>3375</v>
      </c>
      <c r="AF273" s="344" t="s">
        <v>3358</v>
      </c>
      <c r="AG273" s="2" t="s">
        <v>3376</v>
      </c>
      <c r="AH273" s="2" t="s">
        <v>1970</v>
      </c>
      <c r="AI273" s="344" t="s">
        <v>1970</v>
      </c>
      <c r="AO273" s="344" t="s">
        <v>3384</v>
      </c>
      <c r="AP273" s="251" t="s">
        <v>3378</v>
      </c>
      <c r="AQ273" s="344" t="s">
        <v>1970</v>
      </c>
      <c r="AR273" s="344" t="s">
        <v>2150</v>
      </c>
      <c r="AS273" s="2" t="s">
        <v>3620</v>
      </c>
      <c r="AT273" s="2" t="s">
        <v>3696</v>
      </c>
      <c r="AU273" s="2" t="s">
        <v>3706</v>
      </c>
      <c r="AV273" s="344" t="s">
        <v>2596</v>
      </c>
      <c r="BB273" s="344" t="s">
        <v>1970</v>
      </c>
      <c r="BC273" s="344" t="s">
        <v>1970</v>
      </c>
      <c r="BD273" s="344" t="s">
        <v>1970</v>
      </c>
      <c r="BE273" s="344" t="s">
        <v>1970</v>
      </c>
      <c r="BF273" s="344" t="s">
        <v>1970</v>
      </c>
      <c r="BG273" s="344" t="s">
        <v>1970</v>
      </c>
      <c r="BH273" s="344" t="s">
        <v>1970</v>
      </c>
      <c r="BI273" s="344" t="s">
        <v>1970</v>
      </c>
      <c r="BJ273" s="344" t="s">
        <v>1970</v>
      </c>
      <c r="BK273" s="344" t="s">
        <v>1970</v>
      </c>
      <c r="BL273" s="344" t="s">
        <v>1970</v>
      </c>
      <c r="BM273" s="344" t="s">
        <v>1970</v>
      </c>
      <c r="BN273" s="344" t="s">
        <v>1970</v>
      </c>
      <c r="BO273" s="344" t="s">
        <v>1970</v>
      </c>
      <c r="BP273" s="344" t="s">
        <v>1970</v>
      </c>
      <c r="BQ273" s="344" t="s">
        <v>1970</v>
      </c>
      <c r="BR273" s="344" t="s">
        <v>1970</v>
      </c>
      <c r="BS273" s="344" t="s">
        <v>1970</v>
      </c>
      <c r="BT273" s="344" t="s">
        <v>1970</v>
      </c>
      <c r="BU273" s="344" t="s">
        <v>1970</v>
      </c>
      <c r="BV273" s="344" t="s">
        <v>1970</v>
      </c>
      <c r="BW273" s="344" t="s">
        <v>1970</v>
      </c>
      <c r="BX273" s="344" t="s">
        <v>1970</v>
      </c>
      <c r="BY273" s="344" t="s">
        <v>1970</v>
      </c>
      <c r="BZ273" s="344" t="s">
        <v>1970</v>
      </c>
      <c r="CA273" s="344" t="s">
        <v>1970</v>
      </c>
      <c r="CB273" s="344" t="s">
        <v>1970</v>
      </c>
      <c r="CC273" s="344" t="s">
        <v>1970</v>
      </c>
      <c r="CD273" s="344" t="s">
        <v>1970</v>
      </c>
      <c r="CE273" s="344" t="s">
        <v>1970</v>
      </c>
      <c r="CF273" s="344" t="s">
        <v>1970</v>
      </c>
      <c r="CG273" s="344" t="s">
        <v>1970</v>
      </c>
      <c r="CH273" s="344" t="s">
        <v>1970</v>
      </c>
      <c r="CI273" s="344" t="s">
        <v>1970</v>
      </c>
      <c r="CJ273" s="344" t="s">
        <v>1970</v>
      </c>
      <c r="CK273" s="344" t="s">
        <v>1970</v>
      </c>
      <c r="CL273" s="344" t="s">
        <v>1970</v>
      </c>
      <c r="CM273" s="344" t="s">
        <v>1970</v>
      </c>
      <c r="CN273" s="344" t="s">
        <v>1970</v>
      </c>
      <c r="CO273" s="344" t="s">
        <v>1970</v>
      </c>
      <c r="CP273" s="344" t="s">
        <v>1970</v>
      </c>
      <c r="CQ273" s="344" t="s">
        <v>1970</v>
      </c>
      <c r="CR273" s="344" t="s">
        <v>1970</v>
      </c>
      <c r="CS273" s="344" t="s">
        <v>1970</v>
      </c>
      <c r="CT273" s="344" t="s">
        <v>1970</v>
      </c>
      <c r="CU273" s="344" t="s">
        <v>1970</v>
      </c>
      <c r="CV273" s="344" t="s">
        <v>1970</v>
      </c>
      <c r="CW273" s="344" t="s">
        <v>1970</v>
      </c>
      <c r="CX273" s="344" t="s">
        <v>1970</v>
      </c>
      <c r="CY273" s="344" t="s">
        <v>1970</v>
      </c>
      <c r="CZ273" s="344" t="s">
        <v>1970</v>
      </c>
      <c r="DA273" s="344" t="s">
        <v>1970</v>
      </c>
      <c r="DB273" s="344" t="s">
        <v>1970</v>
      </c>
      <c r="DC273" s="344" t="s">
        <v>1970</v>
      </c>
      <c r="DD273" s="344" t="s">
        <v>1970</v>
      </c>
      <c r="DE273" s="344" t="s">
        <v>1970</v>
      </c>
      <c r="DF273" s="344" t="s">
        <v>1970</v>
      </c>
      <c r="DG273" s="344" t="s">
        <v>1970</v>
      </c>
      <c r="DH273" s="344" t="s">
        <v>1970</v>
      </c>
      <c r="DI273" s="344" t="s">
        <v>1970</v>
      </c>
      <c r="DJ273" s="344" t="s">
        <v>1970</v>
      </c>
      <c r="DK273" s="344" t="s">
        <v>1970</v>
      </c>
      <c r="DL273" s="344" t="s">
        <v>1970</v>
      </c>
      <c r="DM273" s="344" t="s">
        <v>1970</v>
      </c>
      <c r="DN273" s="344" t="s">
        <v>1970</v>
      </c>
      <c r="DO273" s="344" t="s">
        <v>1970</v>
      </c>
      <c r="DP273" s="344" t="s">
        <v>1970</v>
      </c>
      <c r="DQ273" s="344" t="s">
        <v>1970</v>
      </c>
      <c r="DR273" s="344" t="s">
        <v>1970</v>
      </c>
      <c r="DS273" s="344" t="s">
        <v>1970</v>
      </c>
      <c r="DT273" s="344" t="s">
        <v>1970</v>
      </c>
      <c r="DU273" s="344" t="s">
        <v>1970</v>
      </c>
      <c r="DV273" s="344" t="s">
        <v>1970</v>
      </c>
      <c r="DW273" s="344" t="s">
        <v>1970</v>
      </c>
      <c r="DX273" s="344" t="s">
        <v>1970</v>
      </c>
      <c r="DY273" s="344" t="s">
        <v>1970</v>
      </c>
      <c r="DZ273" s="344" t="s">
        <v>1970</v>
      </c>
      <c r="EA273" s="344" t="s">
        <v>1970</v>
      </c>
      <c r="EB273" s="344" t="s">
        <v>1970</v>
      </c>
      <c r="EC273" s="344" t="s">
        <v>1970</v>
      </c>
      <c r="ED273" s="344" t="s">
        <v>1970</v>
      </c>
      <c r="EE273" s="344" t="s">
        <v>1970</v>
      </c>
      <c r="EF273" s="344" t="s">
        <v>1970</v>
      </c>
      <c r="EG273" s="344" t="s">
        <v>1970</v>
      </c>
      <c r="EH273" s="344" t="s">
        <v>1970</v>
      </c>
      <c r="EI273" s="344" t="s">
        <v>1970</v>
      </c>
      <c r="EJ273" s="344" t="s">
        <v>1970</v>
      </c>
      <c r="EK273" s="344" t="s">
        <v>1970</v>
      </c>
      <c r="EL273" s="344" t="s">
        <v>1970</v>
      </c>
      <c r="EM273" s="344" t="s">
        <v>1970</v>
      </c>
      <c r="EN273" s="344" t="s">
        <v>1970</v>
      </c>
      <c r="EO273" s="344" t="s">
        <v>1970</v>
      </c>
      <c r="EP273" s="344" t="s">
        <v>1970</v>
      </c>
      <c r="EQ273" s="344" t="s">
        <v>1970</v>
      </c>
      <c r="ER273" s="344" t="s">
        <v>1970</v>
      </c>
      <c r="ES273" s="344" t="s">
        <v>1970</v>
      </c>
    </row>
    <row r="274" spans="1:149" x14ac:dyDescent="0.3">
      <c r="A274" s="2" t="s">
        <v>1345</v>
      </c>
      <c r="B274" s="2" t="s">
        <v>1172</v>
      </c>
      <c r="C274" s="2" t="s">
        <v>2159</v>
      </c>
      <c r="D274" s="2" t="s">
        <v>373</v>
      </c>
      <c r="E274" s="2" t="s">
        <v>2171</v>
      </c>
      <c r="F274" s="2">
        <v>46</v>
      </c>
      <c r="G274" s="2">
        <v>41</v>
      </c>
      <c r="H274" s="2">
        <v>39</v>
      </c>
      <c r="I274" s="344" t="s">
        <v>3360</v>
      </c>
      <c r="J274" s="344" t="s">
        <v>3358</v>
      </c>
      <c r="K274" s="344" t="s">
        <v>3362</v>
      </c>
      <c r="L274" s="344" t="s">
        <v>2738</v>
      </c>
      <c r="M274" s="344" t="s">
        <v>3363</v>
      </c>
      <c r="N274" s="344" t="s">
        <v>1978</v>
      </c>
      <c r="O274" s="344" t="s">
        <v>1978</v>
      </c>
      <c r="P274" s="344" t="s">
        <v>1978</v>
      </c>
      <c r="Q274" s="344" t="s">
        <v>1978</v>
      </c>
      <c r="R274" s="344" t="s">
        <v>1978</v>
      </c>
      <c r="S274" s="344" t="s">
        <v>1978</v>
      </c>
      <c r="T274" s="344" t="s">
        <v>2215</v>
      </c>
      <c r="U274" s="2" t="s">
        <v>2165</v>
      </c>
      <c r="V274" s="344" t="s">
        <v>1970</v>
      </c>
      <c r="W274" s="344" t="s">
        <v>1970</v>
      </c>
      <c r="X274" s="344">
        <f>'A123'!J282</f>
        <v>305</v>
      </c>
      <c r="Y274" s="344">
        <f>'A123'!K282</f>
        <v>243</v>
      </c>
      <c r="Z274" s="344">
        <f>'A123'!L282</f>
        <v>4.761316872427984</v>
      </c>
      <c r="AA274" s="2" t="s">
        <v>2165</v>
      </c>
      <c r="AB274" s="344" t="str">
        <f>入學要求!X283</f>
        <v>以下一科選修取得Lv.3︰生物、化學、組合科學、物理、綜合科學</v>
      </c>
      <c r="AC274" s="344" t="str">
        <f>入學要求!Y283</f>
        <v>/</v>
      </c>
      <c r="AD274" s="373" t="s">
        <v>2171</v>
      </c>
      <c r="AE274" s="344" t="s">
        <v>3360</v>
      </c>
      <c r="AF274" s="344" t="s">
        <v>3358</v>
      </c>
      <c r="AG274" s="2" t="s">
        <v>3377</v>
      </c>
      <c r="AH274" s="2" t="s">
        <v>2738</v>
      </c>
      <c r="AI274" s="344" t="s">
        <v>1970</v>
      </c>
      <c r="AO274" s="344" t="s">
        <v>3384</v>
      </c>
      <c r="AP274" s="251" t="s">
        <v>3378</v>
      </c>
      <c r="AQ274" s="344" t="s">
        <v>1970</v>
      </c>
      <c r="AR274" s="344" t="s">
        <v>2150</v>
      </c>
      <c r="AS274" s="2" t="s">
        <v>3620</v>
      </c>
      <c r="AT274" s="2" t="s">
        <v>3695</v>
      </c>
      <c r="AU274" s="2" t="s">
        <v>3700</v>
      </c>
      <c r="AV274" s="344" t="s">
        <v>2596</v>
      </c>
      <c r="BB274" s="344" t="s">
        <v>1970</v>
      </c>
      <c r="BC274" s="344" t="s">
        <v>1970</v>
      </c>
      <c r="BD274" s="344" t="s">
        <v>1970</v>
      </c>
      <c r="BE274" s="344" t="s">
        <v>1970</v>
      </c>
      <c r="BF274" s="344" t="s">
        <v>1970</v>
      </c>
      <c r="BG274" s="344" t="s">
        <v>1970</v>
      </c>
      <c r="BH274" s="344" t="s">
        <v>1970</v>
      </c>
      <c r="BI274" s="344" t="s">
        <v>1970</v>
      </c>
      <c r="BJ274" s="344" t="s">
        <v>1970</v>
      </c>
      <c r="BK274" s="344" t="s">
        <v>1970</v>
      </c>
      <c r="BL274" s="344" t="s">
        <v>1970</v>
      </c>
      <c r="BM274" s="344" t="s">
        <v>1970</v>
      </c>
      <c r="BN274" s="344" t="s">
        <v>1970</v>
      </c>
      <c r="BO274" s="344" t="s">
        <v>1970</v>
      </c>
      <c r="BP274" s="344" t="s">
        <v>1970</v>
      </c>
      <c r="BQ274" s="344" t="s">
        <v>1970</v>
      </c>
      <c r="BR274" s="344" t="s">
        <v>1970</v>
      </c>
      <c r="BS274" s="344" t="s">
        <v>1970</v>
      </c>
      <c r="BT274" s="344" t="s">
        <v>1970</v>
      </c>
      <c r="BU274" s="344" t="s">
        <v>1970</v>
      </c>
      <c r="BV274" s="344" t="s">
        <v>1970</v>
      </c>
      <c r="BW274" s="344" t="s">
        <v>1970</v>
      </c>
      <c r="BX274" s="344" t="s">
        <v>1970</v>
      </c>
      <c r="BY274" s="344" t="s">
        <v>1970</v>
      </c>
      <c r="BZ274" s="344" t="s">
        <v>1970</v>
      </c>
      <c r="CA274" s="344" t="s">
        <v>1970</v>
      </c>
      <c r="CB274" s="344" t="s">
        <v>1970</v>
      </c>
      <c r="CC274" s="344" t="s">
        <v>1970</v>
      </c>
      <c r="CD274" s="344" t="s">
        <v>1970</v>
      </c>
      <c r="CE274" s="344" t="s">
        <v>1970</v>
      </c>
      <c r="CF274" s="344" t="s">
        <v>1970</v>
      </c>
      <c r="CG274" s="344" t="s">
        <v>1970</v>
      </c>
      <c r="CH274" s="344" t="s">
        <v>1970</v>
      </c>
      <c r="CI274" s="344" t="s">
        <v>1970</v>
      </c>
      <c r="CJ274" s="344" t="s">
        <v>1970</v>
      </c>
      <c r="CK274" s="344" t="s">
        <v>1970</v>
      </c>
      <c r="CL274" s="344" t="s">
        <v>1970</v>
      </c>
      <c r="CM274" s="344" t="s">
        <v>1970</v>
      </c>
      <c r="CN274" s="344" t="s">
        <v>1970</v>
      </c>
      <c r="CO274" s="344" t="s">
        <v>1970</v>
      </c>
      <c r="CP274" s="344" t="s">
        <v>1970</v>
      </c>
      <c r="CQ274" s="344" t="s">
        <v>1970</v>
      </c>
      <c r="CR274" s="344" t="s">
        <v>1970</v>
      </c>
      <c r="CS274" s="344" t="s">
        <v>1970</v>
      </c>
      <c r="CT274" s="344" t="s">
        <v>1970</v>
      </c>
      <c r="CU274" s="344" t="s">
        <v>1970</v>
      </c>
      <c r="CV274" s="344" t="s">
        <v>1970</v>
      </c>
      <c r="CW274" s="344" t="s">
        <v>1970</v>
      </c>
      <c r="CX274" s="344" t="s">
        <v>1970</v>
      </c>
      <c r="CY274" s="344" t="s">
        <v>1970</v>
      </c>
      <c r="CZ274" s="344" t="s">
        <v>1970</v>
      </c>
      <c r="DA274" s="344" t="s">
        <v>1970</v>
      </c>
      <c r="DB274" s="344" t="s">
        <v>1970</v>
      </c>
      <c r="DC274" s="344" t="s">
        <v>1970</v>
      </c>
      <c r="DD274" s="344" t="s">
        <v>1970</v>
      </c>
      <c r="DE274" s="344" t="s">
        <v>1970</v>
      </c>
      <c r="DF274" s="344" t="s">
        <v>1970</v>
      </c>
      <c r="DG274" s="344" t="s">
        <v>1970</v>
      </c>
      <c r="DH274" s="344" t="s">
        <v>1970</v>
      </c>
      <c r="DI274" s="344" t="s">
        <v>1970</v>
      </c>
      <c r="DJ274" s="344" t="s">
        <v>1970</v>
      </c>
      <c r="DK274" s="344" t="s">
        <v>1970</v>
      </c>
      <c r="DL274" s="344" t="s">
        <v>1970</v>
      </c>
      <c r="DM274" s="344" t="s">
        <v>1970</v>
      </c>
      <c r="DN274" s="344" t="s">
        <v>1970</v>
      </c>
      <c r="DO274" s="344" t="s">
        <v>1970</v>
      </c>
      <c r="DP274" s="344" t="s">
        <v>1970</v>
      </c>
      <c r="DQ274" s="344" t="s">
        <v>1970</v>
      </c>
      <c r="DR274" s="344" t="s">
        <v>1970</v>
      </c>
      <c r="DS274" s="344" t="s">
        <v>1970</v>
      </c>
      <c r="DT274" s="344" t="s">
        <v>1970</v>
      </c>
      <c r="DU274" s="344" t="s">
        <v>1970</v>
      </c>
      <c r="DV274" s="344" t="s">
        <v>1970</v>
      </c>
      <c r="DW274" s="344" t="s">
        <v>1970</v>
      </c>
      <c r="DX274" s="344" t="s">
        <v>1970</v>
      </c>
      <c r="DY274" s="344" t="s">
        <v>1970</v>
      </c>
      <c r="DZ274" s="344" t="s">
        <v>1970</v>
      </c>
      <c r="EA274" s="344" t="s">
        <v>1970</v>
      </c>
      <c r="EB274" s="344" t="s">
        <v>1970</v>
      </c>
      <c r="EC274" s="344" t="s">
        <v>1970</v>
      </c>
      <c r="ED274" s="344" t="s">
        <v>1970</v>
      </c>
      <c r="EE274" s="344" t="s">
        <v>1970</v>
      </c>
      <c r="EF274" s="344" t="s">
        <v>1970</v>
      </c>
      <c r="EG274" s="344" t="s">
        <v>1970</v>
      </c>
      <c r="EH274" s="344" t="s">
        <v>1970</v>
      </c>
      <c r="EI274" s="344" t="s">
        <v>1970</v>
      </c>
      <c r="EJ274" s="344" t="s">
        <v>1970</v>
      </c>
      <c r="EK274" s="344" t="s">
        <v>1970</v>
      </c>
      <c r="EL274" s="344" t="s">
        <v>1970</v>
      </c>
      <c r="EM274" s="344" t="s">
        <v>1970</v>
      </c>
      <c r="EN274" s="344" t="s">
        <v>1970</v>
      </c>
      <c r="EO274" s="344" t="s">
        <v>1970</v>
      </c>
      <c r="EP274" s="344" t="s">
        <v>1970</v>
      </c>
      <c r="EQ274" s="344" t="s">
        <v>1970</v>
      </c>
      <c r="ER274" s="344" t="s">
        <v>1970</v>
      </c>
      <c r="ES274" s="344" t="s">
        <v>1970</v>
      </c>
    </row>
    <row r="275" spans="1:149" x14ac:dyDescent="0.3">
      <c r="A275" s="2" t="s">
        <v>1283</v>
      </c>
      <c r="B275" s="2" t="s">
        <v>1172</v>
      </c>
      <c r="C275" s="2" t="s">
        <v>2216</v>
      </c>
      <c r="D275" s="2" t="s">
        <v>2217</v>
      </c>
      <c r="E275" s="2" t="s">
        <v>2916</v>
      </c>
      <c r="F275" s="2" t="s">
        <v>1970</v>
      </c>
      <c r="G275" s="2" t="s">
        <v>1970</v>
      </c>
      <c r="H275" s="2" t="s">
        <v>1970</v>
      </c>
      <c r="I275" s="344" t="s">
        <v>1970</v>
      </c>
      <c r="J275" s="2" t="s">
        <v>1970</v>
      </c>
      <c r="K275" s="2" t="s">
        <v>1970</v>
      </c>
      <c r="L275" s="2" t="s">
        <v>1970</v>
      </c>
      <c r="M275" s="2" t="s">
        <v>1970</v>
      </c>
      <c r="N275" s="344" t="s">
        <v>1978</v>
      </c>
      <c r="O275" s="344" t="s">
        <v>1978</v>
      </c>
      <c r="P275" s="344" t="s">
        <v>1978</v>
      </c>
      <c r="Q275" s="344" t="s">
        <v>1978</v>
      </c>
      <c r="R275" s="344" t="s">
        <v>1978</v>
      </c>
      <c r="S275" s="344" t="s">
        <v>1978</v>
      </c>
      <c r="T275" s="344" t="s">
        <v>2218</v>
      </c>
      <c r="U275" s="2" t="s">
        <v>2165</v>
      </c>
      <c r="V275" s="344" t="s">
        <v>1970</v>
      </c>
      <c r="W275" s="344" t="s">
        <v>1970</v>
      </c>
      <c r="X275" s="344">
        <f>'A123'!J283</f>
        <v>70</v>
      </c>
      <c r="Y275" s="344" t="str">
        <f>'A123'!K283</f>
        <v>/</v>
      </c>
      <c r="Z275" s="344" t="str">
        <f>'A123'!L283</f>
        <v>新科目</v>
      </c>
      <c r="AA275" s="2" t="s">
        <v>2165</v>
      </c>
      <c r="AB275" s="344" t="str">
        <f>入學要求!X284</f>
        <v>/</v>
      </c>
      <c r="AC275" s="344" t="str">
        <f>入學要求!Y284</f>
        <v>/</v>
      </c>
      <c r="AD275" s="2" t="s">
        <v>1977</v>
      </c>
      <c r="AE275" s="2" t="s">
        <v>2173</v>
      </c>
      <c r="AF275" s="2" t="s">
        <v>1970</v>
      </c>
      <c r="AG275" s="2" t="s">
        <v>1970</v>
      </c>
      <c r="AH275" s="2" t="s">
        <v>1970</v>
      </c>
      <c r="AI275" s="344" t="s">
        <v>1970</v>
      </c>
      <c r="AO275" s="344" t="s">
        <v>3384</v>
      </c>
      <c r="AP275" s="251" t="s">
        <v>3378</v>
      </c>
      <c r="AQ275" s="344" t="s">
        <v>1970</v>
      </c>
      <c r="AR275" s="344" t="s">
        <v>2150</v>
      </c>
      <c r="AS275" s="2" t="s">
        <v>3620</v>
      </c>
      <c r="AT275" s="2" t="s">
        <v>3697</v>
      </c>
      <c r="AU275" s="2" t="s">
        <v>3706</v>
      </c>
      <c r="AV275" s="344" t="s">
        <v>2596</v>
      </c>
      <c r="BB275" s="344" t="s">
        <v>1970</v>
      </c>
      <c r="BC275" s="344" t="s">
        <v>1970</v>
      </c>
      <c r="BD275" s="344" t="s">
        <v>1970</v>
      </c>
      <c r="BE275" s="344" t="s">
        <v>1970</v>
      </c>
      <c r="BF275" s="344" t="s">
        <v>1970</v>
      </c>
      <c r="BG275" s="344" t="s">
        <v>1970</v>
      </c>
      <c r="BH275" s="344" t="s">
        <v>1970</v>
      </c>
      <c r="BI275" s="344" t="s">
        <v>1970</v>
      </c>
      <c r="BJ275" s="344" t="s">
        <v>1970</v>
      </c>
      <c r="BK275" s="344" t="s">
        <v>1970</v>
      </c>
      <c r="BL275" s="344" t="s">
        <v>1970</v>
      </c>
      <c r="BM275" s="344" t="s">
        <v>1970</v>
      </c>
      <c r="BN275" s="344" t="s">
        <v>1970</v>
      </c>
      <c r="BO275" s="344" t="s">
        <v>1970</v>
      </c>
      <c r="BP275" s="344" t="s">
        <v>1970</v>
      </c>
      <c r="BQ275" s="344" t="s">
        <v>1970</v>
      </c>
      <c r="BR275" s="344" t="s">
        <v>1970</v>
      </c>
      <c r="BS275" s="344" t="s">
        <v>1970</v>
      </c>
      <c r="BT275" s="344" t="s">
        <v>1970</v>
      </c>
      <c r="BU275" s="344" t="s">
        <v>1970</v>
      </c>
      <c r="BV275" s="344" t="s">
        <v>1970</v>
      </c>
      <c r="BW275" s="344" t="s">
        <v>1970</v>
      </c>
      <c r="BX275" s="344" t="s">
        <v>1970</v>
      </c>
      <c r="BY275" s="344" t="s">
        <v>1970</v>
      </c>
      <c r="BZ275" s="344" t="s">
        <v>1970</v>
      </c>
      <c r="CA275" s="344" t="s">
        <v>1970</v>
      </c>
      <c r="CB275" s="344" t="s">
        <v>1970</v>
      </c>
      <c r="CC275" s="344" t="s">
        <v>1970</v>
      </c>
      <c r="CD275" s="344" t="s">
        <v>1970</v>
      </c>
      <c r="CE275" s="344" t="s">
        <v>1970</v>
      </c>
      <c r="CF275" s="344" t="s">
        <v>1970</v>
      </c>
      <c r="CG275" s="344" t="s">
        <v>1970</v>
      </c>
      <c r="CH275" s="344" t="s">
        <v>1970</v>
      </c>
      <c r="CI275" s="344" t="s">
        <v>1970</v>
      </c>
      <c r="CJ275" s="344" t="s">
        <v>1970</v>
      </c>
      <c r="CK275" s="344" t="s">
        <v>1970</v>
      </c>
      <c r="CL275" s="344" t="s">
        <v>1970</v>
      </c>
      <c r="CM275" s="344" t="s">
        <v>1970</v>
      </c>
      <c r="CN275" s="344" t="s">
        <v>1970</v>
      </c>
      <c r="CO275" s="344" t="s">
        <v>1970</v>
      </c>
      <c r="CP275" s="344" t="s">
        <v>1970</v>
      </c>
      <c r="CQ275" s="344" t="s">
        <v>1970</v>
      </c>
      <c r="CR275" s="344" t="s">
        <v>1970</v>
      </c>
      <c r="CS275" s="344" t="s">
        <v>1970</v>
      </c>
      <c r="CT275" s="344" t="s">
        <v>1970</v>
      </c>
      <c r="CU275" s="344" t="s">
        <v>1970</v>
      </c>
      <c r="CV275" s="344" t="s">
        <v>1970</v>
      </c>
      <c r="CW275" s="344" t="s">
        <v>1970</v>
      </c>
      <c r="CX275" s="344" t="s">
        <v>1970</v>
      </c>
      <c r="CY275" s="344" t="s">
        <v>1970</v>
      </c>
      <c r="CZ275" s="344" t="s">
        <v>1970</v>
      </c>
      <c r="DA275" s="344" t="s">
        <v>1970</v>
      </c>
      <c r="DB275" s="344" t="s">
        <v>1970</v>
      </c>
      <c r="DC275" s="344" t="s">
        <v>1970</v>
      </c>
      <c r="DD275" s="344" t="s">
        <v>1970</v>
      </c>
      <c r="DE275" s="344" t="s">
        <v>1970</v>
      </c>
      <c r="DF275" s="344" t="s">
        <v>1970</v>
      </c>
      <c r="DG275" s="344" t="s">
        <v>1970</v>
      </c>
      <c r="DH275" s="344" t="s">
        <v>1970</v>
      </c>
      <c r="DI275" s="344" t="s">
        <v>1970</v>
      </c>
      <c r="DJ275" s="344" t="s">
        <v>1970</v>
      </c>
      <c r="DK275" s="344" t="s">
        <v>1970</v>
      </c>
      <c r="DL275" s="344" t="s">
        <v>1970</v>
      </c>
      <c r="DM275" s="344" t="s">
        <v>1970</v>
      </c>
      <c r="DN275" s="344" t="s">
        <v>1970</v>
      </c>
      <c r="DO275" s="344" t="s">
        <v>1970</v>
      </c>
      <c r="DP275" s="344" t="s">
        <v>1970</v>
      </c>
      <c r="DQ275" s="344" t="s">
        <v>1970</v>
      </c>
      <c r="DR275" s="344" t="s">
        <v>1970</v>
      </c>
      <c r="DS275" s="344" t="s">
        <v>1970</v>
      </c>
      <c r="DT275" s="344" t="s">
        <v>1970</v>
      </c>
      <c r="DU275" s="344" t="s">
        <v>1970</v>
      </c>
      <c r="DV275" s="344" t="s">
        <v>1970</v>
      </c>
      <c r="DW275" s="344" t="s">
        <v>1970</v>
      </c>
      <c r="DX275" s="344" t="s">
        <v>1970</v>
      </c>
      <c r="DY275" s="344" t="s">
        <v>1970</v>
      </c>
      <c r="DZ275" s="344" t="s">
        <v>1970</v>
      </c>
      <c r="EA275" s="344" t="s">
        <v>1970</v>
      </c>
      <c r="EB275" s="344" t="s">
        <v>1970</v>
      </c>
      <c r="EC275" s="344" t="s">
        <v>1970</v>
      </c>
      <c r="ED275" s="344" t="s">
        <v>1970</v>
      </c>
      <c r="EE275" s="344" t="s">
        <v>1970</v>
      </c>
      <c r="EF275" s="344" t="s">
        <v>1970</v>
      </c>
      <c r="EG275" s="344" t="s">
        <v>1970</v>
      </c>
      <c r="EH275" s="344" t="s">
        <v>1970</v>
      </c>
      <c r="EI275" s="344" t="s">
        <v>1970</v>
      </c>
      <c r="EJ275" s="344" t="s">
        <v>1970</v>
      </c>
      <c r="EK275" s="344" t="s">
        <v>1970</v>
      </c>
      <c r="EL275" s="344" t="s">
        <v>1970</v>
      </c>
      <c r="EM275" s="344" t="s">
        <v>1970</v>
      </c>
      <c r="EN275" s="344" t="s">
        <v>1970</v>
      </c>
      <c r="EO275" s="344" t="s">
        <v>1970</v>
      </c>
      <c r="EP275" s="344" t="s">
        <v>1970</v>
      </c>
      <c r="EQ275" s="344" t="s">
        <v>1970</v>
      </c>
      <c r="ER275" s="344" t="s">
        <v>1970</v>
      </c>
      <c r="ES275" s="344" t="s">
        <v>1970</v>
      </c>
    </row>
    <row r="276" spans="1:149" x14ac:dyDescent="0.3">
      <c r="A276" s="2" t="s">
        <v>1287</v>
      </c>
      <c r="B276" s="2" t="s">
        <v>1172</v>
      </c>
      <c r="C276" s="2" t="s">
        <v>2216</v>
      </c>
      <c r="D276" s="2" t="s">
        <v>1290</v>
      </c>
      <c r="E276" s="2" t="s">
        <v>1977</v>
      </c>
      <c r="F276" s="2">
        <v>29</v>
      </c>
      <c r="G276" s="2">
        <v>26</v>
      </c>
      <c r="H276" s="2">
        <v>25</v>
      </c>
      <c r="I276" s="445" t="s">
        <v>3314</v>
      </c>
      <c r="J276" s="2" t="s">
        <v>1970</v>
      </c>
      <c r="K276" s="2" t="s">
        <v>1970</v>
      </c>
      <c r="L276" s="2" t="s">
        <v>1970</v>
      </c>
      <c r="M276" s="2" t="s">
        <v>1970</v>
      </c>
      <c r="N276" s="344" t="s">
        <v>1978</v>
      </c>
      <c r="O276" s="344" t="s">
        <v>1978</v>
      </c>
      <c r="P276" s="344" t="s">
        <v>1978</v>
      </c>
      <c r="Q276" s="344" t="s">
        <v>1978</v>
      </c>
      <c r="R276" s="344" t="s">
        <v>1978</v>
      </c>
      <c r="S276" s="344" t="s">
        <v>1978</v>
      </c>
      <c r="T276" s="344" t="s">
        <v>2219</v>
      </c>
      <c r="U276" s="2" t="s">
        <v>2165</v>
      </c>
      <c r="V276" s="344" t="s">
        <v>1970</v>
      </c>
      <c r="W276" s="344" t="s">
        <v>1970</v>
      </c>
      <c r="X276" s="344">
        <f>'A123'!J284</f>
        <v>114</v>
      </c>
      <c r="Y276" s="344">
        <f>'A123'!K284</f>
        <v>143</v>
      </c>
      <c r="Z276" s="344">
        <f>'A123'!L284</f>
        <v>3.6433566433566433</v>
      </c>
      <c r="AA276" s="2" t="s">
        <v>2165</v>
      </c>
      <c r="AB276" s="344" t="str">
        <f>入學要求!X285</f>
        <v>/</v>
      </c>
      <c r="AC276" s="344" t="str">
        <f>入學要求!Y285</f>
        <v>/</v>
      </c>
      <c r="AD276" s="2" t="s">
        <v>1977</v>
      </c>
      <c r="AE276" s="2" t="s">
        <v>2173</v>
      </c>
      <c r="AF276" s="2" t="s">
        <v>1970</v>
      </c>
      <c r="AG276" s="2" t="s">
        <v>1970</v>
      </c>
      <c r="AH276" s="2" t="s">
        <v>1970</v>
      </c>
      <c r="AI276" s="344" t="s">
        <v>1970</v>
      </c>
      <c r="AO276" s="344" t="s">
        <v>3384</v>
      </c>
      <c r="AP276" s="251" t="s">
        <v>3378</v>
      </c>
      <c r="AQ276" s="344" t="s">
        <v>1970</v>
      </c>
      <c r="AR276" s="344" t="s">
        <v>2150</v>
      </c>
      <c r="AS276" s="2" t="s">
        <v>3620</v>
      </c>
      <c r="AT276" s="2" t="s">
        <v>3695</v>
      </c>
      <c r="AU276" s="2" t="s">
        <v>3700</v>
      </c>
      <c r="AV276" s="344" t="s">
        <v>2596</v>
      </c>
      <c r="BB276" s="344" t="s">
        <v>1970</v>
      </c>
      <c r="BC276" s="344" t="s">
        <v>1970</v>
      </c>
      <c r="BD276" s="344" t="s">
        <v>1970</v>
      </c>
      <c r="BE276" s="344" t="s">
        <v>1970</v>
      </c>
      <c r="BF276" s="344" t="s">
        <v>1970</v>
      </c>
      <c r="BG276" s="344" t="s">
        <v>1970</v>
      </c>
      <c r="BH276" s="344" t="s">
        <v>1970</v>
      </c>
      <c r="BI276" s="344" t="s">
        <v>1970</v>
      </c>
      <c r="BJ276" s="344" t="s">
        <v>1970</v>
      </c>
      <c r="BK276" s="344" t="s">
        <v>1970</v>
      </c>
      <c r="BL276" s="344" t="s">
        <v>1970</v>
      </c>
      <c r="BM276" s="344" t="s">
        <v>1970</v>
      </c>
      <c r="BN276" s="344" t="s">
        <v>1970</v>
      </c>
      <c r="BO276" s="344" t="s">
        <v>1970</v>
      </c>
      <c r="BP276" s="344" t="s">
        <v>1970</v>
      </c>
      <c r="BQ276" s="344" t="s">
        <v>1970</v>
      </c>
      <c r="BR276" s="344" t="s">
        <v>1970</v>
      </c>
      <c r="BS276" s="344" t="s">
        <v>1970</v>
      </c>
      <c r="BT276" s="344" t="s">
        <v>1970</v>
      </c>
      <c r="BU276" s="344" t="s">
        <v>1970</v>
      </c>
      <c r="BV276" s="344" t="s">
        <v>1970</v>
      </c>
      <c r="BW276" s="344" t="s">
        <v>1970</v>
      </c>
      <c r="BX276" s="344" t="s">
        <v>1970</v>
      </c>
      <c r="BY276" s="344" t="s">
        <v>1970</v>
      </c>
      <c r="BZ276" s="344" t="s">
        <v>1970</v>
      </c>
      <c r="CA276" s="344" t="s">
        <v>1970</v>
      </c>
      <c r="CB276" s="344" t="s">
        <v>1970</v>
      </c>
      <c r="CC276" s="344" t="s">
        <v>1970</v>
      </c>
      <c r="CD276" s="344" t="s">
        <v>1970</v>
      </c>
      <c r="CE276" s="344" t="s">
        <v>1970</v>
      </c>
      <c r="CF276" s="344" t="s">
        <v>1970</v>
      </c>
      <c r="CG276" s="344" t="s">
        <v>1970</v>
      </c>
      <c r="CH276" s="344" t="s">
        <v>1970</v>
      </c>
      <c r="CI276" s="344" t="s">
        <v>1970</v>
      </c>
      <c r="CJ276" s="344" t="s">
        <v>1970</v>
      </c>
      <c r="CK276" s="344" t="s">
        <v>1970</v>
      </c>
      <c r="CL276" s="344" t="s">
        <v>1970</v>
      </c>
      <c r="CM276" s="344" t="s">
        <v>1970</v>
      </c>
      <c r="CN276" s="344" t="s">
        <v>1970</v>
      </c>
      <c r="CO276" s="344" t="s">
        <v>1970</v>
      </c>
      <c r="CP276" s="344" t="s">
        <v>1970</v>
      </c>
      <c r="CQ276" s="344" t="s">
        <v>1970</v>
      </c>
      <c r="CR276" s="344" t="s">
        <v>1970</v>
      </c>
      <c r="CS276" s="344" t="s">
        <v>1970</v>
      </c>
      <c r="CT276" s="344" t="s">
        <v>1970</v>
      </c>
      <c r="CU276" s="344" t="s">
        <v>1970</v>
      </c>
      <c r="CV276" s="344" t="s">
        <v>1970</v>
      </c>
      <c r="CW276" s="344" t="s">
        <v>1970</v>
      </c>
      <c r="CX276" s="344" t="s">
        <v>1970</v>
      </c>
      <c r="CY276" s="344" t="s">
        <v>1970</v>
      </c>
      <c r="CZ276" s="344" t="s">
        <v>1970</v>
      </c>
      <c r="DA276" s="344" t="s">
        <v>1970</v>
      </c>
      <c r="DB276" s="344" t="s">
        <v>1970</v>
      </c>
      <c r="DC276" s="344" t="s">
        <v>1970</v>
      </c>
      <c r="DD276" s="344" t="s">
        <v>1970</v>
      </c>
      <c r="DE276" s="344" t="s">
        <v>1970</v>
      </c>
      <c r="DF276" s="344" t="s">
        <v>1970</v>
      </c>
      <c r="DG276" s="344" t="s">
        <v>1970</v>
      </c>
      <c r="DH276" s="344" t="s">
        <v>1970</v>
      </c>
      <c r="DI276" s="344" t="s">
        <v>1970</v>
      </c>
      <c r="DJ276" s="344" t="s">
        <v>1970</v>
      </c>
      <c r="DK276" s="344" t="s">
        <v>1970</v>
      </c>
      <c r="DL276" s="344" t="s">
        <v>1970</v>
      </c>
      <c r="DM276" s="344" t="s">
        <v>1970</v>
      </c>
      <c r="DN276" s="344" t="s">
        <v>1970</v>
      </c>
      <c r="DO276" s="344" t="s">
        <v>1970</v>
      </c>
      <c r="DP276" s="344" t="s">
        <v>1970</v>
      </c>
      <c r="DQ276" s="344" t="s">
        <v>1970</v>
      </c>
      <c r="DR276" s="344" t="s">
        <v>1970</v>
      </c>
      <c r="DS276" s="344" t="s">
        <v>1970</v>
      </c>
      <c r="DT276" s="344" t="s">
        <v>1970</v>
      </c>
      <c r="DU276" s="344" t="s">
        <v>1970</v>
      </c>
      <c r="DV276" s="344" t="s">
        <v>1970</v>
      </c>
      <c r="DW276" s="344" t="s">
        <v>1970</v>
      </c>
      <c r="DX276" s="344" t="s">
        <v>1970</v>
      </c>
      <c r="DY276" s="344" t="s">
        <v>1970</v>
      </c>
      <c r="DZ276" s="344" t="s">
        <v>1970</v>
      </c>
      <c r="EA276" s="344" t="s">
        <v>1970</v>
      </c>
      <c r="EB276" s="344" t="s">
        <v>1970</v>
      </c>
      <c r="EC276" s="344" t="s">
        <v>1970</v>
      </c>
      <c r="ED276" s="344" t="s">
        <v>1970</v>
      </c>
      <c r="EE276" s="344" t="s">
        <v>1970</v>
      </c>
      <c r="EF276" s="344" t="s">
        <v>1970</v>
      </c>
      <c r="EG276" s="344" t="s">
        <v>1970</v>
      </c>
      <c r="EH276" s="344" t="s">
        <v>1970</v>
      </c>
      <c r="EI276" s="344" t="s">
        <v>1970</v>
      </c>
      <c r="EJ276" s="344" t="s">
        <v>1970</v>
      </c>
      <c r="EK276" s="344" t="s">
        <v>1970</v>
      </c>
      <c r="EL276" s="344" t="s">
        <v>1970</v>
      </c>
      <c r="EM276" s="344" t="s">
        <v>1970</v>
      </c>
      <c r="EN276" s="344" t="s">
        <v>1970</v>
      </c>
      <c r="EO276" s="344" t="s">
        <v>1970</v>
      </c>
      <c r="EP276" s="344" t="s">
        <v>1970</v>
      </c>
      <c r="EQ276" s="344" t="s">
        <v>1970</v>
      </c>
      <c r="ER276" s="344" t="s">
        <v>1970</v>
      </c>
      <c r="ES276" s="344" t="s">
        <v>1970</v>
      </c>
    </row>
    <row r="277" spans="1:149" x14ac:dyDescent="0.3">
      <c r="A277" s="2" t="s">
        <v>1295</v>
      </c>
      <c r="B277" s="2" t="s">
        <v>1172</v>
      </c>
      <c r="C277" s="2" t="s">
        <v>2216</v>
      </c>
      <c r="D277" s="2" t="s">
        <v>1297</v>
      </c>
      <c r="E277" s="2" t="s">
        <v>1977</v>
      </c>
      <c r="F277" s="2">
        <v>29</v>
      </c>
      <c r="G277" s="2">
        <v>28</v>
      </c>
      <c r="H277" s="2">
        <v>26</v>
      </c>
      <c r="I277" s="445" t="s">
        <v>3314</v>
      </c>
      <c r="J277" s="2" t="s">
        <v>1970</v>
      </c>
      <c r="K277" s="2" t="s">
        <v>1970</v>
      </c>
      <c r="L277" s="2" t="s">
        <v>1970</v>
      </c>
      <c r="M277" s="2" t="s">
        <v>1970</v>
      </c>
      <c r="N277" s="344" t="s">
        <v>1978</v>
      </c>
      <c r="O277" s="344" t="s">
        <v>1978</v>
      </c>
      <c r="P277" s="344" t="s">
        <v>1978</v>
      </c>
      <c r="Q277" s="344" t="s">
        <v>1978</v>
      </c>
      <c r="R277" s="344" t="s">
        <v>1978</v>
      </c>
      <c r="S277" s="344" t="s">
        <v>1978</v>
      </c>
      <c r="T277" s="344" t="s">
        <v>398</v>
      </c>
      <c r="U277" s="2" t="s">
        <v>2165</v>
      </c>
      <c r="V277" s="344" t="s">
        <v>1970</v>
      </c>
      <c r="W277" s="344" t="s">
        <v>1970</v>
      </c>
      <c r="X277" s="344">
        <f>'A123'!J285</f>
        <v>30</v>
      </c>
      <c r="Y277" s="344">
        <f>'A123'!K285</f>
        <v>22</v>
      </c>
      <c r="Z277" s="344">
        <f>'A123'!L285</f>
        <v>9.6363636363636367</v>
      </c>
      <c r="AA277" s="2" t="s">
        <v>2165</v>
      </c>
      <c r="AB277" s="344" t="str">
        <f>入學要求!X286</f>
        <v>/</v>
      </c>
      <c r="AC277" s="344" t="str">
        <f>入學要求!Y286</f>
        <v>/</v>
      </c>
      <c r="AD277" s="2" t="s">
        <v>1977</v>
      </c>
      <c r="AE277" s="2" t="s">
        <v>2173</v>
      </c>
      <c r="AF277" s="2" t="s">
        <v>1970</v>
      </c>
      <c r="AG277" s="2" t="s">
        <v>1970</v>
      </c>
      <c r="AH277" s="2" t="s">
        <v>1970</v>
      </c>
      <c r="AI277" s="344" t="s">
        <v>1970</v>
      </c>
      <c r="AO277" s="344" t="s">
        <v>3384</v>
      </c>
      <c r="AP277" s="251" t="s">
        <v>3378</v>
      </c>
      <c r="AQ277" s="344" t="s">
        <v>1970</v>
      </c>
      <c r="AR277" s="344" t="s">
        <v>2150</v>
      </c>
      <c r="AS277" s="2" t="s">
        <v>3620</v>
      </c>
      <c r="AT277" s="2" t="s">
        <v>3695</v>
      </c>
      <c r="AU277" s="2" t="s">
        <v>3700</v>
      </c>
      <c r="AV277" s="344" t="s">
        <v>2596</v>
      </c>
      <c r="BB277" s="344" t="s">
        <v>1970</v>
      </c>
      <c r="BC277" s="344" t="s">
        <v>1970</v>
      </c>
      <c r="BD277" s="344" t="s">
        <v>1970</v>
      </c>
      <c r="BE277" s="344" t="s">
        <v>1970</v>
      </c>
      <c r="BF277" s="344" t="s">
        <v>1970</v>
      </c>
      <c r="BG277" s="344" t="s">
        <v>1970</v>
      </c>
      <c r="BH277" s="344" t="s">
        <v>1970</v>
      </c>
      <c r="BI277" s="344" t="s">
        <v>1970</v>
      </c>
      <c r="BJ277" s="344" t="s">
        <v>1970</v>
      </c>
      <c r="BK277" s="344" t="s">
        <v>1970</v>
      </c>
      <c r="BL277" s="344" t="s">
        <v>1970</v>
      </c>
      <c r="BM277" s="344" t="s">
        <v>1970</v>
      </c>
      <c r="BN277" s="344" t="s">
        <v>1970</v>
      </c>
      <c r="BO277" s="344" t="s">
        <v>1970</v>
      </c>
      <c r="BP277" s="344" t="s">
        <v>1970</v>
      </c>
      <c r="BQ277" s="344" t="s">
        <v>1970</v>
      </c>
      <c r="BR277" s="344" t="s">
        <v>1970</v>
      </c>
      <c r="BS277" s="344" t="s">
        <v>1970</v>
      </c>
      <c r="BT277" s="344" t="s">
        <v>1970</v>
      </c>
      <c r="BU277" s="344" t="s">
        <v>1970</v>
      </c>
      <c r="BV277" s="344" t="s">
        <v>1970</v>
      </c>
      <c r="BW277" s="344" t="s">
        <v>1970</v>
      </c>
      <c r="BX277" s="344" t="s">
        <v>1970</v>
      </c>
      <c r="BY277" s="344" t="s">
        <v>1970</v>
      </c>
      <c r="BZ277" s="344" t="s">
        <v>1970</v>
      </c>
      <c r="CA277" s="344" t="s">
        <v>1970</v>
      </c>
      <c r="CB277" s="344" t="s">
        <v>1970</v>
      </c>
      <c r="CC277" s="344" t="s">
        <v>1970</v>
      </c>
      <c r="CD277" s="344" t="s">
        <v>1970</v>
      </c>
      <c r="CE277" s="344" t="s">
        <v>1970</v>
      </c>
      <c r="CF277" s="344" t="s">
        <v>1970</v>
      </c>
      <c r="CG277" s="344" t="s">
        <v>1970</v>
      </c>
      <c r="CH277" s="344" t="s">
        <v>1970</v>
      </c>
      <c r="CI277" s="344" t="s">
        <v>1970</v>
      </c>
      <c r="CJ277" s="344" t="s">
        <v>1970</v>
      </c>
      <c r="CK277" s="344" t="s">
        <v>1970</v>
      </c>
      <c r="CL277" s="344" t="s">
        <v>1970</v>
      </c>
      <c r="CM277" s="344" t="s">
        <v>1970</v>
      </c>
      <c r="CN277" s="344" t="s">
        <v>1970</v>
      </c>
      <c r="CO277" s="344" t="s">
        <v>1970</v>
      </c>
      <c r="CP277" s="344" t="s">
        <v>1970</v>
      </c>
      <c r="CQ277" s="344" t="s">
        <v>1970</v>
      </c>
      <c r="CR277" s="344" t="s">
        <v>1970</v>
      </c>
      <c r="CS277" s="344" t="s">
        <v>1970</v>
      </c>
      <c r="CT277" s="344" t="s">
        <v>1970</v>
      </c>
      <c r="CU277" s="344" t="s">
        <v>1970</v>
      </c>
      <c r="CV277" s="344" t="s">
        <v>1970</v>
      </c>
      <c r="CW277" s="344" t="s">
        <v>1970</v>
      </c>
      <c r="CX277" s="344" t="s">
        <v>1970</v>
      </c>
      <c r="CY277" s="344" t="s">
        <v>1970</v>
      </c>
      <c r="CZ277" s="344" t="s">
        <v>1970</v>
      </c>
      <c r="DA277" s="344" t="s">
        <v>1970</v>
      </c>
      <c r="DB277" s="344" t="s">
        <v>1970</v>
      </c>
      <c r="DC277" s="344" t="s">
        <v>1970</v>
      </c>
      <c r="DD277" s="344" t="s">
        <v>1970</v>
      </c>
      <c r="DE277" s="344" t="s">
        <v>1970</v>
      </c>
      <c r="DF277" s="344" t="s">
        <v>1970</v>
      </c>
      <c r="DG277" s="344" t="s">
        <v>1970</v>
      </c>
      <c r="DH277" s="344" t="s">
        <v>1970</v>
      </c>
      <c r="DI277" s="344" t="s">
        <v>1970</v>
      </c>
      <c r="DJ277" s="344" t="s">
        <v>1970</v>
      </c>
      <c r="DK277" s="344" t="s">
        <v>1970</v>
      </c>
      <c r="DL277" s="344" t="s">
        <v>1970</v>
      </c>
      <c r="DM277" s="344" t="s">
        <v>1970</v>
      </c>
      <c r="DN277" s="344" t="s">
        <v>1970</v>
      </c>
      <c r="DO277" s="344" t="s">
        <v>1970</v>
      </c>
      <c r="DP277" s="344" t="s">
        <v>1970</v>
      </c>
      <c r="DQ277" s="344" t="s">
        <v>1970</v>
      </c>
      <c r="DR277" s="344" t="s">
        <v>1970</v>
      </c>
      <c r="DS277" s="344" t="s">
        <v>1970</v>
      </c>
      <c r="DT277" s="344" t="s">
        <v>1970</v>
      </c>
      <c r="DU277" s="344" t="s">
        <v>1970</v>
      </c>
      <c r="DV277" s="344" t="s">
        <v>1970</v>
      </c>
      <c r="DW277" s="344" t="s">
        <v>1970</v>
      </c>
      <c r="DX277" s="344" t="s">
        <v>1970</v>
      </c>
      <c r="DY277" s="344" t="s">
        <v>1970</v>
      </c>
      <c r="DZ277" s="344" t="s">
        <v>1970</v>
      </c>
      <c r="EA277" s="344" t="s">
        <v>1970</v>
      </c>
      <c r="EB277" s="344" t="s">
        <v>1970</v>
      </c>
      <c r="EC277" s="344" t="s">
        <v>1970</v>
      </c>
      <c r="ED277" s="344" t="s">
        <v>1970</v>
      </c>
      <c r="EE277" s="344" t="s">
        <v>1970</v>
      </c>
      <c r="EF277" s="344" t="s">
        <v>1970</v>
      </c>
      <c r="EG277" s="344" t="s">
        <v>1970</v>
      </c>
      <c r="EH277" s="344" t="s">
        <v>1970</v>
      </c>
      <c r="EI277" s="344" t="s">
        <v>1970</v>
      </c>
      <c r="EJ277" s="344" t="s">
        <v>1970</v>
      </c>
      <c r="EK277" s="344" t="s">
        <v>1970</v>
      </c>
      <c r="EL277" s="344" t="s">
        <v>1970</v>
      </c>
      <c r="EM277" s="344" t="s">
        <v>1970</v>
      </c>
      <c r="EN277" s="344" t="s">
        <v>1970</v>
      </c>
      <c r="EO277" s="344" t="s">
        <v>1970</v>
      </c>
      <c r="EP277" s="344" t="s">
        <v>1970</v>
      </c>
      <c r="EQ277" s="344" t="s">
        <v>1970</v>
      </c>
      <c r="ER277" s="344" t="s">
        <v>1970</v>
      </c>
      <c r="ES277" s="344" t="s">
        <v>1970</v>
      </c>
    </row>
    <row r="278" spans="1:149" x14ac:dyDescent="0.3">
      <c r="A278" s="2" t="s">
        <v>1317</v>
      </c>
      <c r="B278" s="2" t="s">
        <v>1172</v>
      </c>
      <c r="C278" s="2" t="s">
        <v>2216</v>
      </c>
      <c r="D278" s="2" t="s">
        <v>1320</v>
      </c>
      <c r="E278" s="2" t="s">
        <v>1979</v>
      </c>
      <c r="F278" s="2">
        <v>42</v>
      </c>
      <c r="G278" s="2">
        <v>41</v>
      </c>
      <c r="H278" s="2">
        <v>38</v>
      </c>
      <c r="I278" s="344" t="s">
        <v>1970</v>
      </c>
      <c r="J278" s="2" t="s">
        <v>1970</v>
      </c>
      <c r="K278" s="2" t="s">
        <v>1970</v>
      </c>
      <c r="L278" s="2" t="s">
        <v>1970</v>
      </c>
      <c r="M278" s="2" t="s">
        <v>1970</v>
      </c>
      <c r="N278" s="344" t="s">
        <v>1978</v>
      </c>
      <c r="O278" s="344" t="s">
        <v>1978</v>
      </c>
      <c r="P278" s="344" t="s">
        <v>1978</v>
      </c>
      <c r="Q278" s="344" t="s">
        <v>1978</v>
      </c>
      <c r="R278" s="344" t="s">
        <v>1978</v>
      </c>
      <c r="S278" s="344" t="s">
        <v>1978</v>
      </c>
      <c r="T278" s="344" t="s">
        <v>2220</v>
      </c>
      <c r="U278" s="2" t="s">
        <v>2165</v>
      </c>
      <c r="V278" s="344" t="s">
        <v>1970</v>
      </c>
      <c r="W278" s="344" t="s">
        <v>1970</v>
      </c>
      <c r="X278" s="344">
        <f>'A123'!J286</f>
        <v>50</v>
      </c>
      <c r="Y278" s="344">
        <f>'A123'!K286</f>
        <v>37</v>
      </c>
      <c r="Z278" s="344">
        <f>'A123'!L286</f>
        <v>2.1621621621621623</v>
      </c>
      <c r="AA278" s="2" t="s">
        <v>2165</v>
      </c>
      <c r="AB278" s="344" t="str">
        <f>入學要求!X287</f>
        <v>/</v>
      </c>
      <c r="AC278" s="344" t="str">
        <f>入學要求!Y287</f>
        <v>/</v>
      </c>
      <c r="AD278" s="2" t="s">
        <v>1979</v>
      </c>
      <c r="AE278" s="2" t="s">
        <v>1970</v>
      </c>
      <c r="AF278" s="2" t="s">
        <v>1970</v>
      </c>
      <c r="AG278" s="2" t="s">
        <v>1970</v>
      </c>
      <c r="AH278" s="2" t="s">
        <v>1970</v>
      </c>
      <c r="AI278" s="344" t="s">
        <v>1970</v>
      </c>
      <c r="AO278" s="344" t="s">
        <v>3384</v>
      </c>
      <c r="AP278" s="251" t="s">
        <v>3378</v>
      </c>
      <c r="AQ278" s="344" t="s">
        <v>1970</v>
      </c>
      <c r="AR278" s="344" t="s">
        <v>2150</v>
      </c>
      <c r="AS278" s="2" t="s">
        <v>3620</v>
      </c>
      <c r="AT278" s="2" t="s">
        <v>3695</v>
      </c>
      <c r="AU278" s="2" t="s">
        <v>3700</v>
      </c>
      <c r="AV278" s="344" t="s">
        <v>2596</v>
      </c>
      <c r="BB278" s="344" t="s">
        <v>1970</v>
      </c>
      <c r="BC278" s="344" t="s">
        <v>1970</v>
      </c>
      <c r="BD278" s="344" t="s">
        <v>1970</v>
      </c>
      <c r="BE278" s="344" t="s">
        <v>1970</v>
      </c>
      <c r="BF278" s="344" t="s">
        <v>1970</v>
      </c>
      <c r="BG278" s="344" t="s">
        <v>1970</v>
      </c>
      <c r="BH278" s="344" t="s">
        <v>1970</v>
      </c>
      <c r="BI278" s="344" t="s">
        <v>1970</v>
      </c>
      <c r="BJ278" s="344" t="s">
        <v>1970</v>
      </c>
      <c r="BK278" s="344" t="s">
        <v>1970</v>
      </c>
      <c r="BL278" s="344" t="s">
        <v>1970</v>
      </c>
      <c r="BM278" s="344" t="s">
        <v>1970</v>
      </c>
      <c r="BN278" s="344" t="s">
        <v>1970</v>
      </c>
      <c r="BO278" s="344" t="s">
        <v>1970</v>
      </c>
      <c r="BP278" s="344" t="s">
        <v>1970</v>
      </c>
      <c r="BQ278" s="344" t="s">
        <v>1970</v>
      </c>
      <c r="BR278" s="344" t="s">
        <v>1970</v>
      </c>
      <c r="BS278" s="344" t="s">
        <v>1970</v>
      </c>
      <c r="BT278" s="344" t="s">
        <v>1970</v>
      </c>
      <c r="BU278" s="344" t="s">
        <v>1970</v>
      </c>
      <c r="BV278" s="344" t="s">
        <v>1970</v>
      </c>
      <c r="BW278" s="344" t="s">
        <v>1970</v>
      </c>
      <c r="BX278" s="344" t="s">
        <v>1970</v>
      </c>
      <c r="BY278" s="344" t="s">
        <v>1970</v>
      </c>
      <c r="BZ278" s="344" t="s">
        <v>1970</v>
      </c>
      <c r="CA278" s="344" t="s">
        <v>1970</v>
      </c>
      <c r="CB278" s="344" t="s">
        <v>1970</v>
      </c>
      <c r="CC278" s="344" t="s">
        <v>1970</v>
      </c>
      <c r="CD278" s="344" t="s">
        <v>1970</v>
      </c>
      <c r="CE278" s="344" t="s">
        <v>1970</v>
      </c>
      <c r="CF278" s="344" t="s">
        <v>1970</v>
      </c>
      <c r="CG278" s="344" t="s">
        <v>1970</v>
      </c>
      <c r="CH278" s="344" t="s">
        <v>1970</v>
      </c>
      <c r="CI278" s="344" t="s">
        <v>1970</v>
      </c>
      <c r="CJ278" s="344" t="s">
        <v>1970</v>
      </c>
      <c r="CK278" s="344" t="s">
        <v>1970</v>
      </c>
      <c r="CL278" s="344" t="s">
        <v>1970</v>
      </c>
      <c r="CM278" s="344" t="s">
        <v>1970</v>
      </c>
      <c r="CN278" s="344" t="s">
        <v>1970</v>
      </c>
      <c r="CO278" s="344" t="s">
        <v>1970</v>
      </c>
      <c r="CP278" s="344" t="s">
        <v>1970</v>
      </c>
      <c r="CQ278" s="344" t="s">
        <v>1970</v>
      </c>
      <c r="CR278" s="344" t="s">
        <v>1970</v>
      </c>
      <c r="CS278" s="344" t="s">
        <v>1970</v>
      </c>
      <c r="CT278" s="344" t="s">
        <v>1970</v>
      </c>
      <c r="CU278" s="344" t="s">
        <v>1970</v>
      </c>
      <c r="CV278" s="344" t="s">
        <v>1970</v>
      </c>
      <c r="CW278" s="344" t="s">
        <v>1970</v>
      </c>
      <c r="CX278" s="344" t="s">
        <v>1970</v>
      </c>
      <c r="CY278" s="344" t="s">
        <v>1970</v>
      </c>
      <c r="CZ278" s="344" t="s">
        <v>1970</v>
      </c>
      <c r="DA278" s="344" t="s">
        <v>1970</v>
      </c>
      <c r="DB278" s="344" t="s">
        <v>1970</v>
      </c>
      <c r="DC278" s="344" t="s">
        <v>1970</v>
      </c>
      <c r="DD278" s="344" t="s">
        <v>1970</v>
      </c>
      <c r="DE278" s="344" t="s">
        <v>1970</v>
      </c>
      <c r="DF278" s="344" t="s">
        <v>1970</v>
      </c>
      <c r="DG278" s="344" t="s">
        <v>1970</v>
      </c>
      <c r="DH278" s="344" t="s">
        <v>1970</v>
      </c>
      <c r="DI278" s="344" t="s">
        <v>1970</v>
      </c>
      <c r="DJ278" s="344" t="s">
        <v>1970</v>
      </c>
      <c r="DK278" s="344" t="s">
        <v>1970</v>
      </c>
      <c r="DL278" s="344" t="s">
        <v>1970</v>
      </c>
      <c r="DM278" s="344" t="s">
        <v>1970</v>
      </c>
      <c r="DN278" s="344" t="s">
        <v>1970</v>
      </c>
      <c r="DO278" s="344" t="s">
        <v>1970</v>
      </c>
      <c r="DP278" s="344" t="s">
        <v>1970</v>
      </c>
      <c r="DQ278" s="344" t="s">
        <v>1970</v>
      </c>
      <c r="DR278" s="344" t="s">
        <v>1970</v>
      </c>
      <c r="DS278" s="344" t="s">
        <v>1970</v>
      </c>
      <c r="DT278" s="344" t="s">
        <v>1970</v>
      </c>
      <c r="DU278" s="344" t="s">
        <v>1970</v>
      </c>
      <c r="DV278" s="344" t="s">
        <v>1970</v>
      </c>
      <c r="DW278" s="344" t="s">
        <v>1970</v>
      </c>
      <c r="DX278" s="344" t="s">
        <v>1970</v>
      </c>
      <c r="DY278" s="344" t="s">
        <v>1970</v>
      </c>
      <c r="DZ278" s="344" t="s">
        <v>1970</v>
      </c>
      <c r="EA278" s="344" t="s">
        <v>1970</v>
      </c>
      <c r="EB278" s="344" t="s">
        <v>1970</v>
      </c>
      <c r="EC278" s="344" t="s">
        <v>1970</v>
      </c>
      <c r="ED278" s="344" t="s">
        <v>1970</v>
      </c>
      <c r="EE278" s="344" t="s">
        <v>1970</v>
      </c>
      <c r="EF278" s="344" t="s">
        <v>1970</v>
      </c>
      <c r="EG278" s="344" t="s">
        <v>1970</v>
      </c>
      <c r="EH278" s="344" t="s">
        <v>1970</v>
      </c>
      <c r="EI278" s="344" t="s">
        <v>1970</v>
      </c>
      <c r="EJ278" s="344" t="s">
        <v>1970</v>
      </c>
      <c r="EK278" s="344" t="s">
        <v>1970</v>
      </c>
      <c r="EL278" s="344" t="s">
        <v>1970</v>
      </c>
      <c r="EM278" s="344" t="s">
        <v>1970</v>
      </c>
      <c r="EN278" s="344" t="s">
        <v>1970</v>
      </c>
      <c r="EO278" s="344" t="s">
        <v>1970</v>
      </c>
      <c r="EP278" s="344" t="s">
        <v>1970</v>
      </c>
      <c r="EQ278" s="344" t="s">
        <v>1970</v>
      </c>
      <c r="ER278" s="344" t="s">
        <v>1970</v>
      </c>
      <c r="ES278" s="344" t="s">
        <v>1970</v>
      </c>
    </row>
    <row r="279" spans="1:149" x14ac:dyDescent="0.3">
      <c r="A279" s="2" t="s">
        <v>1321</v>
      </c>
      <c r="B279" s="2" t="s">
        <v>1172</v>
      </c>
      <c r="C279" s="2" t="s">
        <v>2216</v>
      </c>
      <c r="D279" s="2" t="s">
        <v>1324</v>
      </c>
      <c r="E279" s="2" t="s">
        <v>1977</v>
      </c>
      <c r="F279" s="2">
        <v>31</v>
      </c>
      <c r="G279" s="2">
        <v>29</v>
      </c>
      <c r="H279" s="2">
        <v>28</v>
      </c>
      <c r="I279" s="445" t="s">
        <v>3314</v>
      </c>
      <c r="J279" s="2" t="s">
        <v>1970</v>
      </c>
      <c r="K279" s="2" t="s">
        <v>1970</v>
      </c>
      <c r="L279" s="2" t="s">
        <v>1970</v>
      </c>
      <c r="M279" s="2" t="s">
        <v>1970</v>
      </c>
      <c r="N279" s="344" t="s">
        <v>1978</v>
      </c>
      <c r="O279" s="344" t="s">
        <v>1978</v>
      </c>
      <c r="P279" s="344" t="s">
        <v>1978</v>
      </c>
      <c r="Q279" s="344" t="s">
        <v>1978</v>
      </c>
      <c r="R279" s="344" t="s">
        <v>1978</v>
      </c>
      <c r="S279" s="344" t="s">
        <v>1978</v>
      </c>
      <c r="T279" s="344" t="s">
        <v>2221</v>
      </c>
      <c r="U279" s="2" t="s">
        <v>2165</v>
      </c>
      <c r="V279" s="344" t="s">
        <v>1970</v>
      </c>
      <c r="W279" s="344" t="s">
        <v>1970</v>
      </c>
      <c r="X279" s="344">
        <f>'A123'!J287</f>
        <v>19</v>
      </c>
      <c r="Y279" s="344">
        <f>'A123'!K287</f>
        <v>11</v>
      </c>
      <c r="Z279" s="344">
        <f>'A123'!L287</f>
        <v>7</v>
      </c>
      <c r="AA279" s="2" t="s">
        <v>2165</v>
      </c>
      <c r="AB279" s="344" t="str">
        <f>入學要求!X288</f>
        <v>/</v>
      </c>
      <c r="AC279" s="344" t="str">
        <f>入學要求!Y288</f>
        <v>/</v>
      </c>
      <c r="AD279" s="2" t="s">
        <v>1977</v>
      </c>
      <c r="AE279" s="2" t="s">
        <v>2173</v>
      </c>
      <c r="AF279" s="2" t="s">
        <v>1970</v>
      </c>
      <c r="AG279" s="2" t="s">
        <v>1970</v>
      </c>
      <c r="AH279" s="2" t="s">
        <v>1970</v>
      </c>
      <c r="AI279" s="344" t="s">
        <v>1970</v>
      </c>
      <c r="AO279" s="344" t="s">
        <v>3384</v>
      </c>
      <c r="AP279" s="251" t="s">
        <v>3378</v>
      </c>
      <c r="AQ279" s="344" t="s">
        <v>1970</v>
      </c>
      <c r="AR279" s="344" t="s">
        <v>2150</v>
      </c>
      <c r="AS279" s="2" t="s">
        <v>3608</v>
      </c>
      <c r="AT279" s="2" t="s">
        <v>1970</v>
      </c>
      <c r="AU279" s="2" t="s">
        <v>1970</v>
      </c>
      <c r="AV279" s="344" t="s">
        <v>2596</v>
      </c>
      <c r="BB279" s="344" t="s">
        <v>1970</v>
      </c>
      <c r="BC279" s="344" t="s">
        <v>1970</v>
      </c>
      <c r="BD279" s="344" t="s">
        <v>1970</v>
      </c>
      <c r="BE279" s="344" t="s">
        <v>1970</v>
      </c>
      <c r="BF279" s="344" t="s">
        <v>1970</v>
      </c>
      <c r="BG279" s="344" t="s">
        <v>1970</v>
      </c>
      <c r="BH279" s="344" t="s">
        <v>1970</v>
      </c>
      <c r="BI279" s="344" t="s">
        <v>1970</v>
      </c>
      <c r="BJ279" s="344" t="s">
        <v>1970</v>
      </c>
      <c r="BK279" s="344" t="s">
        <v>1970</v>
      </c>
      <c r="BL279" s="344" t="s">
        <v>1970</v>
      </c>
      <c r="BM279" s="344" t="s">
        <v>1970</v>
      </c>
      <c r="BN279" s="344" t="s">
        <v>1970</v>
      </c>
      <c r="BO279" s="344" t="s">
        <v>1970</v>
      </c>
      <c r="BP279" s="344" t="s">
        <v>1970</v>
      </c>
      <c r="BQ279" s="344" t="s">
        <v>1970</v>
      </c>
      <c r="BR279" s="344" t="s">
        <v>1970</v>
      </c>
      <c r="BS279" s="344" t="s">
        <v>1970</v>
      </c>
      <c r="BT279" s="344" t="s">
        <v>1970</v>
      </c>
      <c r="BU279" s="344" t="s">
        <v>1970</v>
      </c>
      <c r="BV279" s="344" t="s">
        <v>1970</v>
      </c>
      <c r="BW279" s="344" t="s">
        <v>1970</v>
      </c>
      <c r="BX279" s="344" t="s">
        <v>1970</v>
      </c>
      <c r="BY279" s="344" t="s">
        <v>1970</v>
      </c>
      <c r="BZ279" s="344" t="s">
        <v>1970</v>
      </c>
      <c r="CA279" s="344" t="s">
        <v>1970</v>
      </c>
      <c r="CB279" s="344" t="s">
        <v>1970</v>
      </c>
      <c r="CC279" s="344" t="s">
        <v>1970</v>
      </c>
      <c r="CD279" s="344" t="s">
        <v>1970</v>
      </c>
      <c r="CE279" s="344" t="s">
        <v>1970</v>
      </c>
      <c r="CF279" s="344" t="s">
        <v>1970</v>
      </c>
      <c r="CG279" s="344" t="s">
        <v>1970</v>
      </c>
      <c r="CH279" s="344" t="s">
        <v>1970</v>
      </c>
      <c r="CI279" s="344" t="s">
        <v>1970</v>
      </c>
      <c r="CJ279" s="344" t="s">
        <v>1970</v>
      </c>
      <c r="CK279" s="344" t="s">
        <v>1970</v>
      </c>
      <c r="CL279" s="344" t="s">
        <v>1970</v>
      </c>
      <c r="CM279" s="344" t="s">
        <v>1970</v>
      </c>
      <c r="CN279" s="344" t="s">
        <v>1970</v>
      </c>
      <c r="CO279" s="344" t="s">
        <v>1970</v>
      </c>
      <c r="CP279" s="344" t="s">
        <v>1970</v>
      </c>
      <c r="CQ279" s="344" t="s">
        <v>1970</v>
      </c>
      <c r="CR279" s="344" t="s">
        <v>1970</v>
      </c>
      <c r="CS279" s="344" t="s">
        <v>1970</v>
      </c>
      <c r="CT279" s="344" t="s">
        <v>1970</v>
      </c>
      <c r="CU279" s="344" t="s">
        <v>1970</v>
      </c>
      <c r="CV279" s="344" t="s">
        <v>1970</v>
      </c>
      <c r="CW279" s="344" t="s">
        <v>1970</v>
      </c>
      <c r="CX279" s="344" t="s">
        <v>1970</v>
      </c>
      <c r="CY279" s="344" t="s">
        <v>1970</v>
      </c>
      <c r="CZ279" s="344" t="s">
        <v>1970</v>
      </c>
      <c r="DA279" s="344" t="s">
        <v>1970</v>
      </c>
      <c r="DB279" s="344" t="s">
        <v>1970</v>
      </c>
      <c r="DC279" s="344" t="s">
        <v>1970</v>
      </c>
      <c r="DD279" s="344" t="s">
        <v>1970</v>
      </c>
      <c r="DE279" s="344" t="s">
        <v>1970</v>
      </c>
      <c r="DF279" s="344" t="s">
        <v>1970</v>
      </c>
      <c r="DG279" s="344" t="s">
        <v>1970</v>
      </c>
      <c r="DH279" s="344" t="s">
        <v>1970</v>
      </c>
      <c r="DI279" s="344" t="s">
        <v>1970</v>
      </c>
      <c r="DJ279" s="344" t="s">
        <v>1970</v>
      </c>
      <c r="DK279" s="344" t="s">
        <v>1970</v>
      </c>
      <c r="DL279" s="344" t="s">
        <v>1970</v>
      </c>
      <c r="DM279" s="344" t="s">
        <v>1970</v>
      </c>
      <c r="DN279" s="344" t="s">
        <v>1970</v>
      </c>
      <c r="DO279" s="344" t="s">
        <v>1970</v>
      </c>
      <c r="DP279" s="344" t="s">
        <v>1970</v>
      </c>
      <c r="DQ279" s="344" t="s">
        <v>1970</v>
      </c>
      <c r="DR279" s="344" t="s">
        <v>1970</v>
      </c>
      <c r="DS279" s="344" t="s">
        <v>1970</v>
      </c>
      <c r="DT279" s="344" t="s">
        <v>1970</v>
      </c>
      <c r="DU279" s="344" t="s">
        <v>1970</v>
      </c>
      <c r="DV279" s="344" t="s">
        <v>1970</v>
      </c>
      <c r="DW279" s="344" t="s">
        <v>1970</v>
      </c>
      <c r="DX279" s="344" t="s">
        <v>1970</v>
      </c>
      <c r="DY279" s="344" t="s">
        <v>1970</v>
      </c>
      <c r="DZ279" s="344" t="s">
        <v>1970</v>
      </c>
      <c r="EA279" s="344" t="s">
        <v>1970</v>
      </c>
      <c r="EB279" s="344" t="s">
        <v>1970</v>
      </c>
      <c r="EC279" s="344" t="s">
        <v>1970</v>
      </c>
      <c r="ED279" s="344" t="s">
        <v>1970</v>
      </c>
      <c r="EE279" s="344" t="s">
        <v>1970</v>
      </c>
      <c r="EF279" s="344" t="s">
        <v>1970</v>
      </c>
      <c r="EG279" s="344" t="s">
        <v>1970</v>
      </c>
      <c r="EH279" s="344" t="s">
        <v>1970</v>
      </c>
      <c r="EI279" s="344" t="s">
        <v>1970</v>
      </c>
      <c r="EJ279" s="344" t="s">
        <v>1970</v>
      </c>
      <c r="EK279" s="344" t="s">
        <v>1970</v>
      </c>
      <c r="EL279" s="344" t="s">
        <v>1970</v>
      </c>
      <c r="EM279" s="344" t="s">
        <v>1970</v>
      </c>
      <c r="EN279" s="344" t="s">
        <v>1970</v>
      </c>
      <c r="EO279" s="344" t="s">
        <v>1970</v>
      </c>
      <c r="EP279" s="344" t="s">
        <v>1970</v>
      </c>
      <c r="EQ279" s="344" t="s">
        <v>1970</v>
      </c>
      <c r="ER279" s="344" t="s">
        <v>1970</v>
      </c>
      <c r="ES279" s="344" t="s">
        <v>1970</v>
      </c>
    </row>
    <row r="280" spans="1:149" x14ac:dyDescent="0.3">
      <c r="A280" s="2" t="s">
        <v>1225</v>
      </c>
      <c r="B280" s="2" t="s">
        <v>1172</v>
      </c>
      <c r="C280" s="2" t="s">
        <v>2222</v>
      </c>
      <c r="D280" s="2" t="s">
        <v>1228</v>
      </c>
      <c r="E280" s="2" t="s">
        <v>1977</v>
      </c>
      <c r="F280" s="2">
        <v>31</v>
      </c>
      <c r="G280" s="2">
        <v>29</v>
      </c>
      <c r="H280" s="2">
        <v>28</v>
      </c>
      <c r="I280" s="445" t="s">
        <v>3314</v>
      </c>
      <c r="J280" s="2" t="s">
        <v>1970</v>
      </c>
      <c r="K280" s="2" t="s">
        <v>1970</v>
      </c>
      <c r="L280" s="2" t="s">
        <v>1970</v>
      </c>
      <c r="M280" s="2" t="s">
        <v>1970</v>
      </c>
      <c r="N280" s="344" t="s">
        <v>1978</v>
      </c>
      <c r="O280" s="344" t="s">
        <v>1978</v>
      </c>
      <c r="P280" s="344" t="s">
        <v>1978</v>
      </c>
      <c r="Q280" s="344" t="s">
        <v>1978</v>
      </c>
      <c r="R280" s="344" t="s">
        <v>1978</v>
      </c>
      <c r="S280" s="344" t="s">
        <v>1978</v>
      </c>
      <c r="T280" s="344" t="s">
        <v>2223</v>
      </c>
      <c r="U280" s="2" t="s">
        <v>2165</v>
      </c>
      <c r="V280" s="344" t="s">
        <v>1970</v>
      </c>
      <c r="W280" s="344" t="s">
        <v>1970</v>
      </c>
      <c r="X280" s="344">
        <f>'A123'!J288</f>
        <v>24</v>
      </c>
      <c r="Y280" s="344">
        <f>'A123'!K288</f>
        <v>15</v>
      </c>
      <c r="Z280" s="344">
        <f>'A123'!L288</f>
        <v>2.7333333333333334</v>
      </c>
      <c r="AA280" s="2" t="s">
        <v>2165</v>
      </c>
      <c r="AB280" s="344" t="str">
        <f>入學要求!X289</f>
        <v>英文科考獲 Lv.4 及 其他科目考獲優異成績的考生，將會按個別情況考慮。</v>
      </c>
      <c r="AC280" s="344" t="str">
        <f>入學要求!Y289</f>
        <v>M1/2 應考獲Lv. 3 或以上</v>
      </c>
      <c r="AD280" s="2" t="s">
        <v>1977</v>
      </c>
      <c r="AE280" s="2" t="s">
        <v>2173</v>
      </c>
      <c r="AF280" s="2" t="s">
        <v>1970</v>
      </c>
      <c r="AG280" s="2" t="s">
        <v>2738</v>
      </c>
      <c r="AH280" s="2" t="s">
        <v>1970</v>
      </c>
      <c r="AI280" s="344" t="s">
        <v>1970</v>
      </c>
      <c r="AO280" s="344" t="s">
        <v>3384</v>
      </c>
      <c r="AP280" s="251" t="s">
        <v>3378</v>
      </c>
      <c r="AQ280" s="344" t="s">
        <v>1970</v>
      </c>
      <c r="AR280" s="344" t="s">
        <v>2150</v>
      </c>
      <c r="AS280" s="2" t="s">
        <v>3620</v>
      </c>
      <c r="AT280" s="2" t="s">
        <v>3684</v>
      </c>
      <c r="AU280" s="2" t="s">
        <v>3706</v>
      </c>
      <c r="AV280" s="344" t="s">
        <v>2596</v>
      </c>
      <c r="BB280" s="344" t="s">
        <v>1970</v>
      </c>
      <c r="BC280" s="344" t="s">
        <v>1970</v>
      </c>
      <c r="BD280" s="344" t="s">
        <v>1970</v>
      </c>
      <c r="BE280" s="344" t="s">
        <v>1970</v>
      </c>
      <c r="BF280" s="344" t="s">
        <v>1970</v>
      </c>
      <c r="BG280" s="344" t="s">
        <v>1970</v>
      </c>
      <c r="BH280" s="344" t="s">
        <v>1970</v>
      </c>
      <c r="BI280" s="344" t="s">
        <v>1970</v>
      </c>
      <c r="BJ280" s="344" t="s">
        <v>1970</v>
      </c>
      <c r="BK280" s="344" t="s">
        <v>1970</v>
      </c>
      <c r="BL280" s="344" t="s">
        <v>1970</v>
      </c>
      <c r="BM280" s="344" t="s">
        <v>1970</v>
      </c>
      <c r="BN280" s="344" t="s">
        <v>1970</v>
      </c>
      <c r="BO280" s="344" t="s">
        <v>1970</v>
      </c>
      <c r="BP280" s="344" t="s">
        <v>1970</v>
      </c>
      <c r="BQ280" s="344" t="s">
        <v>1970</v>
      </c>
      <c r="BR280" s="344" t="s">
        <v>1970</v>
      </c>
      <c r="BS280" s="344" t="s">
        <v>1970</v>
      </c>
      <c r="BT280" s="344" t="s">
        <v>1970</v>
      </c>
      <c r="BU280" s="344" t="s">
        <v>1970</v>
      </c>
      <c r="BV280" s="344" t="s">
        <v>1970</v>
      </c>
      <c r="BW280" s="344" t="s">
        <v>1970</v>
      </c>
      <c r="BX280" s="344" t="s">
        <v>1970</v>
      </c>
      <c r="BY280" s="344" t="s">
        <v>1970</v>
      </c>
      <c r="BZ280" s="344" t="s">
        <v>1970</v>
      </c>
      <c r="CA280" s="344" t="s">
        <v>1970</v>
      </c>
      <c r="CB280" s="344" t="s">
        <v>1970</v>
      </c>
      <c r="CC280" s="344" t="s">
        <v>1970</v>
      </c>
      <c r="CD280" s="344" t="s">
        <v>1970</v>
      </c>
      <c r="CE280" s="344" t="s">
        <v>1970</v>
      </c>
      <c r="CF280" s="344" t="s">
        <v>1970</v>
      </c>
      <c r="CG280" s="344" t="s">
        <v>1970</v>
      </c>
      <c r="CH280" s="344" t="s">
        <v>1970</v>
      </c>
      <c r="CI280" s="344" t="s">
        <v>1970</v>
      </c>
      <c r="CJ280" s="344" t="s">
        <v>1970</v>
      </c>
      <c r="CK280" s="344" t="s">
        <v>1970</v>
      </c>
      <c r="CL280" s="344" t="s">
        <v>1970</v>
      </c>
      <c r="CM280" s="344" t="s">
        <v>1970</v>
      </c>
      <c r="CN280" s="344" t="s">
        <v>1970</v>
      </c>
      <c r="CO280" s="344" t="s">
        <v>1970</v>
      </c>
      <c r="CP280" s="344" t="s">
        <v>1970</v>
      </c>
      <c r="CQ280" s="344" t="s">
        <v>1970</v>
      </c>
      <c r="CR280" s="344" t="s">
        <v>1970</v>
      </c>
      <c r="CS280" s="344" t="s">
        <v>1970</v>
      </c>
      <c r="CT280" s="344" t="s">
        <v>1970</v>
      </c>
      <c r="CU280" s="344" t="s">
        <v>1970</v>
      </c>
      <c r="CV280" s="344" t="s">
        <v>1970</v>
      </c>
      <c r="CW280" s="344" t="s">
        <v>1970</v>
      </c>
      <c r="CX280" s="344" t="s">
        <v>1970</v>
      </c>
      <c r="CY280" s="344" t="s">
        <v>1970</v>
      </c>
      <c r="CZ280" s="344" t="s">
        <v>1970</v>
      </c>
      <c r="DA280" s="344" t="s">
        <v>1970</v>
      </c>
      <c r="DB280" s="344" t="s">
        <v>1970</v>
      </c>
      <c r="DC280" s="344" t="s">
        <v>1970</v>
      </c>
      <c r="DD280" s="344" t="s">
        <v>1970</v>
      </c>
      <c r="DE280" s="344" t="s">
        <v>1970</v>
      </c>
      <c r="DF280" s="344" t="s">
        <v>1970</v>
      </c>
      <c r="DG280" s="344" t="s">
        <v>1970</v>
      </c>
      <c r="DH280" s="344" t="s">
        <v>1970</v>
      </c>
      <c r="DI280" s="344" t="s">
        <v>1970</v>
      </c>
      <c r="DJ280" s="344" t="s">
        <v>1970</v>
      </c>
      <c r="DK280" s="344" t="s">
        <v>1970</v>
      </c>
      <c r="DL280" s="344" t="s">
        <v>1970</v>
      </c>
      <c r="DM280" s="344" t="s">
        <v>1970</v>
      </c>
      <c r="DN280" s="344" t="s">
        <v>1970</v>
      </c>
      <c r="DO280" s="344" t="s">
        <v>1970</v>
      </c>
      <c r="DP280" s="344" t="s">
        <v>1970</v>
      </c>
      <c r="DQ280" s="344" t="s">
        <v>1970</v>
      </c>
      <c r="DR280" s="344" t="s">
        <v>1970</v>
      </c>
      <c r="DS280" s="344" t="s">
        <v>1970</v>
      </c>
      <c r="DT280" s="344" t="s">
        <v>1970</v>
      </c>
      <c r="DU280" s="344" t="s">
        <v>1970</v>
      </c>
      <c r="DV280" s="344" t="s">
        <v>1970</v>
      </c>
      <c r="DW280" s="344" t="s">
        <v>1970</v>
      </c>
      <c r="DX280" s="344" t="s">
        <v>1970</v>
      </c>
      <c r="DY280" s="344" t="s">
        <v>1970</v>
      </c>
      <c r="DZ280" s="344" t="s">
        <v>1970</v>
      </c>
      <c r="EA280" s="344" t="s">
        <v>1970</v>
      </c>
      <c r="EB280" s="344" t="s">
        <v>1970</v>
      </c>
      <c r="EC280" s="344" t="s">
        <v>1970</v>
      </c>
      <c r="ED280" s="344" t="s">
        <v>1970</v>
      </c>
      <c r="EE280" s="344" t="s">
        <v>1970</v>
      </c>
      <c r="EF280" s="344" t="s">
        <v>1970</v>
      </c>
      <c r="EG280" s="344" t="s">
        <v>1970</v>
      </c>
      <c r="EH280" s="344" t="s">
        <v>1970</v>
      </c>
      <c r="EI280" s="344" t="s">
        <v>1970</v>
      </c>
      <c r="EJ280" s="344" t="s">
        <v>1970</v>
      </c>
      <c r="EK280" s="344" t="s">
        <v>1970</v>
      </c>
      <c r="EL280" s="344" t="s">
        <v>1970</v>
      </c>
      <c r="EM280" s="344" t="s">
        <v>1970</v>
      </c>
      <c r="EN280" s="344" t="s">
        <v>1970</v>
      </c>
      <c r="EO280" s="344" t="s">
        <v>1970</v>
      </c>
      <c r="EP280" s="344" t="s">
        <v>1970</v>
      </c>
      <c r="EQ280" s="344" t="s">
        <v>1970</v>
      </c>
      <c r="ER280" s="344" t="s">
        <v>1970</v>
      </c>
      <c r="ES280" s="344" t="s">
        <v>1970</v>
      </c>
    </row>
    <row r="281" spans="1:149" x14ac:dyDescent="0.3">
      <c r="A281" s="2" t="s">
        <v>1229</v>
      </c>
      <c r="B281" s="2" t="s">
        <v>1172</v>
      </c>
      <c r="C281" s="2" t="s">
        <v>2222</v>
      </c>
      <c r="D281" s="2" t="s">
        <v>1232</v>
      </c>
      <c r="E281" s="2" t="s">
        <v>2153</v>
      </c>
      <c r="F281" s="2">
        <v>72</v>
      </c>
      <c r="G281" s="2">
        <v>68</v>
      </c>
      <c r="H281" s="2">
        <v>63</v>
      </c>
      <c r="I281" s="344" t="s">
        <v>3355</v>
      </c>
      <c r="J281" s="2" t="s">
        <v>1970</v>
      </c>
      <c r="K281" s="2" t="s">
        <v>3315</v>
      </c>
      <c r="L281" s="2" t="s">
        <v>3365</v>
      </c>
      <c r="M281" s="2" t="s">
        <v>1970</v>
      </c>
      <c r="N281" s="344" t="s">
        <v>1978</v>
      </c>
      <c r="O281" s="344" t="s">
        <v>1978</v>
      </c>
      <c r="P281" s="344" t="s">
        <v>1978</v>
      </c>
      <c r="Q281" s="344" t="s">
        <v>1978</v>
      </c>
      <c r="R281" s="344" t="s">
        <v>1978</v>
      </c>
      <c r="S281" s="344" t="s">
        <v>1978</v>
      </c>
      <c r="T281" s="344" t="s">
        <v>1230</v>
      </c>
      <c r="U281" s="2" t="s">
        <v>2165</v>
      </c>
      <c r="V281" s="344" t="s">
        <v>1970</v>
      </c>
      <c r="W281" s="344" t="s">
        <v>1970</v>
      </c>
      <c r="X281" s="344">
        <f>'A123'!J289</f>
        <v>15</v>
      </c>
      <c r="Y281" s="344">
        <f>'A123'!K289</f>
        <v>12</v>
      </c>
      <c r="Z281" s="344">
        <f>'A123'!L289</f>
        <v>4.25</v>
      </c>
      <c r="AA281" s="2" t="s">
        <v>2165</v>
      </c>
      <c r="AB281" s="344" t="str">
        <f>入學要求!X290</f>
        <v>M1/2 需考獲Lv. 4 或以上</v>
      </c>
      <c r="AC281" s="344" t="str">
        <f>入學要求!Y290</f>
        <v>/</v>
      </c>
      <c r="AD281" s="373" t="s">
        <v>2171</v>
      </c>
      <c r="AE281" s="344" t="s">
        <v>3373</v>
      </c>
      <c r="AF281" s="2" t="s">
        <v>1970</v>
      </c>
      <c r="AG281" s="2" t="s">
        <v>3315</v>
      </c>
      <c r="AH281" s="344" t="s">
        <v>3365</v>
      </c>
      <c r="AI281" s="344" t="s">
        <v>1970</v>
      </c>
      <c r="AO281" s="344" t="s">
        <v>3384</v>
      </c>
      <c r="AP281" s="251" t="s">
        <v>3378</v>
      </c>
      <c r="AQ281" s="344" t="s">
        <v>1970</v>
      </c>
      <c r="AR281" s="344" t="s">
        <v>2150</v>
      </c>
      <c r="AS281" s="2" t="s">
        <v>3620</v>
      </c>
      <c r="AT281" s="2" t="s">
        <v>3684</v>
      </c>
      <c r="AU281" s="2" t="s">
        <v>3706</v>
      </c>
      <c r="AV281" s="344" t="s">
        <v>2596</v>
      </c>
      <c r="BB281" s="344" t="s">
        <v>1970</v>
      </c>
      <c r="BC281" s="344" t="s">
        <v>1970</v>
      </c>
      <c r="BD281" s="344" t="s">
        <v>1970</v>
      </c>
      <c r="BE281" s="344" t="s">
        <v>1970</v>
      </c>
      <c r="BF281" s="344" t="s">
        <v>1970</v>
      </c>
      <c r="BG281" s="344" t="s">
        <v>1970</v>
      </c>
      <c r="BH281" s="344" t="s">
        <v>1970</v>
      </c>
      <c r="BI281" s="344" t="s">
        <v>1970</v>
      </c>
      <c r="BJ281" s="344" t="s">
        <v>1970</v>
      </c>
      <c r="BK281" s="344" t="s">
        <v>1970</v>
      </c>
      <c r="BL281" s="344" t="s">
        <v>1970</v>
      </c>
      <c r="BM281" s="344" t="s">
        <v>1970</v>
      </c>
      <c r="BN281" s="344" t="s">
        <v>1970</v>
      </c>
      <c r="BO281" s="344" t="s">
        <v>1970</v>
      </c>
      <c r="BP281" s="344" t="s">
        <v>1970</v>
      </c>
      <c r="BQ281" s="344" t="s">
        <v>1970</v>
      </c>
      <c r="BR281" s="344" t="s">
        <v>1970</v>
      </c>
      <c r="BS281" s="344" t="s">
        <v>1970</v>
      </c>
      <c r="BT281" s="344" t="s">
        <v>1970</v>
      </c>
      <c r="BU281" s="344" t="s">
        <v>1970</v>
      </c>
      <c r="BV281" s="344" t="s">
        <v>1970</v>
      </c>
      <c r="BW281" s="344" t="s">
        <v>1970</v>
      </c>
      <c r="BX281" s="344" t="s">
        <v>1970</v>
      </c>
      <c r="BY281" s="344" t="s">
        <v>1970</v>
      </c>
      <c r="BZ281" s="344" t="s">
        <v>1970</v>
      </c>
      <c r="CA281" s="344" t="s">
        <v>1970</v>
      </c>
      <c r="CB281" s="344" t="s">
        <v>1970</v>
      </c>
      <c r="CC281" s="344" t="s">
        <v>1970</v>
      </c>
      <c r="CD281" s="344" t="s">
        <v>1970</v>
      </c>
      <c r="CE281" s="344" t="s">
        <v>1970</v>
      </c>
      <c r="CF281" s="344" t="s">
        <v>1970</v>
      </c>
      <c r="CG281" s="344" t="s">
        <v>1970</v>
      </c>
      <c r="CH281" s="344" t="s">
        <v>1970</v>
      </c>
      <c r="CI281" s="344" t="s">
        <v>1970</v>
      </c>
      <c r="CJ281" s="344" t="s">
        <v>1970</v>
      </c>
      <c r="CK281" s="344" t="s">
        <v>1970</v>
      </c>
      <c r="CL281" s="344" t="s">
        <v>1970</v>
      </c>
      <c r="CM281" s="344" t="s">
        <v>1970</v>
      </c>
      <c r="CN281" s="344" t="s">
        <v>1970</v>
      </c>
      <c r="CO281" s="344" t="s">
        <v>1970</v>
      </c>
      <c r="CP281" s="344" t="s">
        <v>1970</v>
      </c>
      <c r="CQ281" s="344" t="s">
        <v>1970</v>
      </c>
      <c r="CR281" s="344" t="s">
        <v>1970</v>
      </c>
      <c r="CS281" s="344" t="s">
        <v>1970</v>
      </c>
      <c r="CT281" s="344" t="s">
        <v>1970</v>
      </c>
      <c r="CU281" s="344" t="s">
        <v>1970</v>
      </c>
      <c r="CV281" s="344" t="s">
        <v>1970</v>
      </c>
      <c r="CW281" s="344" t="s">
        <v>1970</v>
      </c>
      <c r="CX281" s="344" t="s">
        <v>1970</v>
      </c>
      <c r="CY281" s="344" t="s">
        <v>1970</v>
      </c>
      <c r="CZ281" s="344" t="s">
        <v>1970</v>
      </c>
      <c r="DA281" s="344" t="s">
        <v>1970</v>
      </c>
      <c r="DB281" s="344" t="s">
        <v>1970</v>
      </c>
      <c r="DC281" s="344" t="s">
        <v>1970</v>
      </c>
      <c r="DD281" s="344" t="s">
        <v>1970</v>
      </c>
      <c r="DE281" s="344" t="s">
        <v>1970</v>
      </c>
      <c r="DF281" s="344" t="s">
        <v>1970</v>
      </c>
      <c r="DG281" s="344" t="s">
        <v>1970</v>
      </c>
      <c r="DH281" s="344" t="s">
        <v>1970</v>
      </c>
      <c r="DI281" s="344" t="s">
        <v>1970</v>
      </c>
      <c r="DJ281" s="344" t="s">
        <v>1970</v>
      </c>
      <c r="DK281" s="344" t="s">
        <v>1970</v>
      </c>
      <c r="DL281" s="344" t="s">
        <v>1970</v>
      </c>
      <c r="DM281" s="344" t="s">
        <v>1970</v>
      </c>
      <c r="DN281" s="344" t="s">
        <v>1970</v>
      </c>
      <c r="DO281" s="344" t="s">
        <v>1970</v>
      </c>
      <c r="DP281" s="344" t="s">
        <v>1970</v>
      </c>
      <c r="DQ281" s="344" t="s">
        <v>1970</v>
      </c>
      <c r="DR281" s="344" t="s">
        <v>1970</v>
      </c>
      <c r="DS281" s="344" t="s">
        <v>1970</v>
      </c>
      <c r="DT281" s="344" t="s">
        <v>1970</v>
      </c>
      <c r="DU281" s="344" t="s">
        <v>1970</v>
      </c>
      <c r="DV281" s="344" t="s">
        <v>1970</v>
      </c>
      <c r="DW281" s="344" t="s">
        <v>1970</v>
      </c>
      <c r="DX281" s="344" t="s">
        <v>1970</v>
      </c>
      <c r="DY281" s="344" t="s">
        <v>1970</v>
      </c>
      <c r="DZ281" s="344" t="s">
        <v>1970</v>
      </c>
      <c r="EA281" s="344" t="s">
        <v>1970</v>
      </c>
      <c r="EB281" s="344" t="s">
        <v>1970</v>
      </c>
      <c r="EC281" s="344" t="s">
        <v>1970</v>
      </c>
      <c r="ED281" s="344" t="s">
        <v>1970</v>
      </c>
      <c r="EE281" s="344" t="s">
        <v>1970</v>
      </c>
      <c r="EF281" s="344" t="s">
        <v>1970</v>
      </c>
      <c r="EG281" s="344" t="s">
        <v>1970</v>
      </c>
      <c r="EH281" s="344" t="s">
        <v>1970</v>
      </c>
      <c r="EI281" s="344" t="s">
        <v>1970</v>
      </c>
      <c r="EJ281" s="344" t="s">
        <v>1970</v>
      </c>
      <c r="EK281" s="344" t="s">
        <v>1970</v>
      </c>
      <c r="EL281" s="344" t="s">
        <v>1970</v>
      </c>
      <c r="EM281" s="344" t="s">
        <v>1970</v>
      </c>
      <c r="EN281" s="344" t="s">
        <v>1970</v>
      </c>
      <c r="EO281" s="344" t="s">
        <v>1970</v>
      </c>
      <c r="EP281" s="344" t="s">
        <v>1970</v>
      </c>
      <c r="EQ281" s="344" t="s">
        <v>1970</v>
      </c>
      <c r="ER281" s="344" t="s">
        <v>1970</v>
      </c>
      <c r="ES281" s="344" t="s">
        <v>1970</v>
      </c>
    </row>
    <row r="282" spans="1:149" x14ac:dyDescent="0.3">
      <c r="A282" s="2" t="s">
        <v>1233</v>
      </c>
      <c r="B282" s="2" t="s">
        <v>1172</v>
      </c>
      <c r="C282" s="2" t="s">
        <v>2222</v>
      </c>
      <c r="D282" s="2" t="s">
        <v>1236</v>
      </c>
      <c r="E282" s="2" t="s">
        <v>1979</v>
      </c>
      <c r="F282" s="2" t="s">
        <v>1970</v>
      </c>
      <c r="G282" s="2" t="s">
        <v>1970</v>
      </c>
      <c r="H282" s="2" t="s">
        <v>1970</v>
      </c>
      <c r="I282" s="344" t="s">
        <v>3319</v>
      </c>
      <c r="J282" s="2" t="s">
        <v>1970</v>
      </c>
      <c r="K282" s="2" t="s">
        <v>1970</v>
      </c>
      <c r="L282" s="2" t="s">
        <v>1970</v>
      </c>
      <c r="M282" s="2" t="s">
        <v>1970</v>
      </c>
      <c r="N282" s="344" t="s">
        <v>1978</v>
      </c>
      <c r="O282" s="344" t="s">
        <v>1978</v>
      </c>
      <c r="P282" s="344" t="s">
        <v>1978</v>
      </c>
      <c r="Q282" s="344" t="s">
        <v>1978</v>
      </c>
      <c r="R282" s="344" t="s">
        <v>1978</v>
      </c>
      <c r="S282" s="344" t="s">
        <v>1978</v>
      </c>
      <c r="T282" s="344" t="s">
        <v>2224</v>
      </c>
      <c r="U282" s="2" t="s">
        <v>2165</v>
      </c>
      <c r="V282" s="344" t="s">
        <v>1970</v>
      </c>
      <c r="W282" s="344" t="s">
        <v>1970</v>
      </c>
      <c r="X282" s="344">
        <f>'A123'!J290</f>
        <v>13</v>
      </c>
      <c r="Y282" s="344">
        <f>'A123'!K290</f>
        <v>1</v>
      </c>
      <c r="Z282" s="344">
        <f>'A123'!L290</f>
        <v>58</v>
      </c>
      <c r="AA282" s="2" t="s">
        <v>2165</v>
      </c>
      <c r="AB282" s="344" t="str">
        <f>入學要求!X291</f>
        <v>/</v>
      </c>
      <c r="AC282" s="344" t="str">
        <f>入學要求!Y291</f>
        <v>/</v>
      </c>
      <c r="AD282" s="2" t="s">
        <v>1979</v>
      </c>
      <c r="AE282" s="2" t="s">
        <v>2173</v>
      </c>
      <c r="AF282" s="2" t="s">
        <v>1970</v>
      </c>
      <c r="AG282" s="2" t="s">
        <v>1970</v>
      </c>
      <c r="AH282" s="2" t="s">
        <v>1970</v>
      </c>
      <c r="AI282" s="344" t="s">
        <v>1970</v>
      </c>
      <c r="AO282" s="344" t="s">
        <v>3384</v>
      </c>
      <c r="AP282" s="251" t="s">
        <v>2619</v>
      </c>
      <c r="AQ282" s="344" t="s">
        <v>1970</v>
      </c>
      <c r="AR282" s="344" t="s">
        <v>2150</v>
      </c>
      <c r="AS282" s="2" t="s">
        <v>3620</v>
      </c>
      <c r="AT282" s="564">
        <v>44713</v>
      </c>
      <c r="AU282" s="564">
        <v>47300</v>
      </c>
      <c r="AV282" s="344" t="s">
        <v>2596</v>
      </c>
      <c r="AW282" s="564"/>
      <c r="AX282" s="564"/>
      <c r="AY282" s="564"/>
      <c r="AZ282" s="564"/>
      <c r="BA282" s="564"/>
      <c r="BB282" s="344" t="s">
        <v>1970</v>
      </c>
      <c r="BC282" s="344" t="s">
        <v>1970</v>
      </c>
      <c r="BD282" s="344" t="s">
        <v>1970</v>
      </c>
      <c r="BE282" s="344" t="s">
        <v>1970</v>
      </c>
      <c r="BF282" s="344" t="s">
        <v>1970</v>
      </c>
      <c r="BG282" s="344" t="s">
        <v>1970</v>
      </c>
      <c r="BH282" s="344" t="s">
        <v>1970</v>
      </c>
      <c r="BI282" s="344" t="s">
        <v>1970</v>
      </c>
      <c r="BJ282" s="344" t="s">
        <v>1970</v>
      </c>
      <c r="BK282" s="344" t="s">
        <v>1970</v>
      </c>
      <c r="BL282" s="344" t="s">
        <v>1970</v>
      </c>
      <c r="BM282" s="344" t="s">
        <v>1970</v>
      </c>
      <c r="BN282" s="344" t="s">
        <v>1970</v>
      </c>
      <c r="BO282" s="344" t="s">
        <v>1970</v>
      </c>
      <c r="BP282" s="344" t="s">
        <v>1970</v>
      </c>
      <c r="BQ282" s="344" t="s">
        <v>1970</v>
      </c>
      <c r="BR282" s="344" t="s">
        <v>1970</v>
      </c>
      <c r="BS282" s="344" t="s">
        <v>1970</v>
      </c>
      <c r="BT282" s="344" t="s">
        <v>1970</v>
      </c>
      <c r="BU282" s="344" t="s">
        <v>1970</v>
      </c>
      <c r="BV282" s="344" t="s">
        <v>1970</v>
      </c>
      <c r="BW282" s="344" t="s">
        <v>1970</v>
      </c>
      <c r="BX282" s="344" t="s">
        <v>1970</v>
      </c>
      <c r="BY282" s="344" t="s">
        <v>1970</v>
      </c>
      <c r="BZ282" s="344" t="s">
        <v>1970</v>
      </c>
      <c r="CA282" s="344" t="s">
        <v>1970</v>
      </c>
      <c r="CB282" s="344" t="s">
        <v>1970</v>
      </c>
      <c r="CC282" s="344" t="s">
        <v>1970</v>
      </c>
      <c r="CD282" s="344" t="s">
        <v>1970</v>
      </c>
      <c r="CE282" s="344" t="s">
        <v>1970</v>
      </c>
      <c r="CF282" s="344" t="s">
        <v>1970</v>
      </c>
      <c r="CG282" s="344" t="s">
        <v>1970</v>
      </c>
      <c r="CH282" s="344" t="s">
        <v>1970</v>
      </c>
      <c r="CI282" s="344" t="s">
        <v>1970</v>
      </c>
      <c r="CJ282" s="344" t="s">
        <v>1970</v>
      </c>
      <c r="CK282" s="344" t="s">
        <v>1970</v>
      </c>
      <c r="CL282" s="344" t="s">
        <v>1970</v>
      </c>
      <c r="CM282" s="344" t="s">
        <v>1970</v>
      </c>
      <c r="CN282" s="344" t="s">
        <v>1970</v>
      </c>
      <c r="CO282" s="344" t="s">
        <v>1970</v>
      </c>
      <c r="CP282" s="344" t="s">
        <v>1970</v>
      </c>
      <c r="CQ282" s="344" t="s">
        <v>1970</v>
      </c>
      <c r="CR282" s="344" t="s">
        <v>1970</v>
      </c>
      <c r="CS282" s="344" t="s">
        <v>1970</v>
      </c>
      <c r="CT282" s="344" t="s">
        <v>1970</v>
      </c>
      <c r="CU282" s="344" t="s">
        <v>1970</v>
      </c>
      <c r="CV282" s="344" t="s">
        <v>1970</v>
      </c>
      <c r="CW282" s="344" t="s">
        <v>1970</v>
      </c>
      <c r="CX282" s="344" t="s">
        <v>1970</v>
      </c>
      <c r="CY282" s="344" t="s">
        <v>1970</v>
      </c>
      <c r="CZ282" s="344" t="s">
        <v>1970</v>
      </c>
      <c r="DA282" s="344" t="s">
        <v>1970</v>
      </c>
      <c r="DB282" s="344" t="s">
        <v>1970</v>
      </c>
      <c r="DC282" s="344" t="s">
        <v>1970</v>
      </c>
      <c r="DD282" s="344" t="s">
        <v>1970</v>
      </c>
      <c r="DE282" s="344" t="s">
        <v>1970</v>
      </c>
      <c r="DF282" s="344" t="s">
        <v>1970</v>
      </c>
      <c r="DG282" s="344" t="s">
        <v>1970</v>
      </c>
      <c r="DH282" s="344" t="s">
        <v>1970</v>
      </c>
      <c r="DI282" s="344" t="s">
        <v>1970</v>
      </c>
      <c r="DJ282" s="344" t="s">
        <v>1970</v>
      </c>
      <c r="DK282" s="344" t="s">
        <v>1970</v>
      </c>
      <c r="DL282" s="344" t="s">
        <v>1970</v>
      </c>
      <c r="DM282" s="344" t="s">
        <v>1970</v>
      </c>
      <c r="DN282" s="344" t="s">
        <v>1970</v>
      </c>
      <c r="DO282" s="344" t="s">
        <v>1970</v>
      </c>
      <c r="DP282" s="344" t="s">
        <v>1970</v>
      </c>
      <c r="DQ282" s="344" t="s">
        <v>1970</v>
      </c>
      <c r="DR282" s="344" t="s">
        <v>1970</v>
      </c>
      <c r="DS282" s="344" t="s">
        <v>1970</v>
      </c>
      <c r="DT282" s="344" t="s">
        <v>1970</v>
      </c>
      <c r="DU282" s="344" t="s">
        <v>1970</v>
      </c>
      <c r="DV282" s="344" t="s">
        <v>1970</v>
      </c>
      <c r="DW282" s="344" t="s">
        <v>1970</v>
      </c>
      <c r="DX282" s="344" t="s">
        <v>1970</v>
      </c>
      <c r="DY282" s="344" t="s">
        <v>1970</v>
      </c>
      <c r="DZ282" s="344" t="s">
        <v>1970</v>
      </c>
      <c r="EA282" s="344" t="s">
        <v>1970</v>
      </c>
      <c r="EB282" s="344" t="s">
        <v>1970</v>
      </c>
      <c r="EC282" s="344" t="s">
        <v>1970</v>
      </c>
      <c r="ED282" s="344" t="s">
        <v>1970</v>
      </c>
      <c r="EE282" s="344" t="s">
        <v>1970</v>
      </c>
      <c r="EF282" s="344" t="s">
        <v>1970</v>
      </c>
      <c r="EG282" s="344" t="s">
        <v>1970</v>
      </c>
      <c r="EH282" s="344" t="s">
        <v>1970</v>
      </c>
      <c r="EI282" s="344" t="s">
        <v>1970</v>
      </c>
      <c r="EJ282" s="344" t="s">
        <v>1970</v>
      </c>
      <c r="EK282" s="344" t="s">
        <v>1970</v>
      </c>
      <c r="EL282" s="344" t="s">
        <v>1970</v>
      </c>
      <c r="EM282" s="344" t="s">
        <v>1970</v>
      </c>
      <c r="EN282" s="344" t="s">
        <v>1970</v>
      </c>
      <c r="EO282" s="344" t="s">
        <v>1970</v>
      </c>
      <c r="EP282" s="344" t="s">
        <v>1970</v>
      </c>
      <c r="EQ282" s="344" t="s">
        <v>1970</v>
      </c>
      <c r="ER282" s="344" t="s">
        <v>1970</v>
      </c>
      <c r="ES282" s="344" t="s">
        <v>1970</v>
      </c>
    </row>
    <row r="283" spans="1:149" x14ac:dyDescent="0.3">
      <c r="A283" s="2" t="s">
        <v>1237</v>
      </c>
      <c r="B283" s="2" t="s">
        <v>1172</v>
      </c>
      <c r="C283" s="2" t="s">
        <v>2222</v>
      </c>
      <c r="D283" s="2" t="s">
        <v>1240</v>
      </c>
      <c r="E283" s="2" t="s">
        <v>2153</v>
      </c>
      <c r="F283" s="2">
        <v>38</v>
      </c>
      <c r="G283" s="2">
        <v>36</v>
      </c>
      <c r="H283" s="2">
        <v>35</v>
      </c>
      <c r="I283" s="344" t="s">
        <v>3319</v>
      </c>
      <c r="J283" s="344" t="s">
        <v>2154</v>
      </c>
      <c r="K283" s="2" t="s">
        <v>1970</v>
      </c>
      <c r="L283" s="2" t="s">
        <v>1970</v>
      </c>
      <c r="M283" s="2" t="s">
        <v>1970</v>
      </c>
      <c r="N283" s="344" t="s">
        <v>1978</v>
      </c>
      <c r="O283" s="344" t="s">
        <v>1978</v>
      </c>
      <c r="P283" s="344" t="s">
        <v>1978</v>
      </c>
      <c r="Q283" s="344" t="s">
        <v>1978</v>
      </c>
      <c r="R283" s="344" t="s">
        <v>1978</v>
      </c>
      <c r="S283" s="344" t="s">
        <v>1978</v>
      </c>
      <c r="T283" s="344" t="s">
        <v>2225</v>
      </c>
      <c r="U283" s="2" t="s">
        <v>2165</v>
      </c>
      <c r="V283" s="344" t="s">
        <v>1970</v>
      </c>
      <c r="W283" s="344" t="s">
        <v>1970</v>
      </c>
      <c r="X283" s="344">
        <f>'A123'!J291</f>
        <v>24</v>
      </c>
      <c r="Y283" s="344">
        <f>'A123'!K291</f>
        <v>16</v>
      </c>
      <c r="Z283" s="344">
        <f>'A123'!L291</f>
        <v>3.375</v>
      </c>
      <c r="AA283" s="2" t="s">
        <v>2165</v>
      </c>
      <c r="AB283" s="344" t="str">
        <f>入學要求!X292</f>
        <v>/</v>
      </c>
      <c r="AC283" s="344" t="str">
        <f>入學要求!Y292</f>
        <v>/</v>
      </c>
      <c r="AD283" s="2" t="s">
        <v>2153</v>
      </c>
      <c r="AE283" s="2" t="s">
        <v>3364</v>
      </c>
      <c r="AF283" s="344" t="s">
        <v>2154</v>
      </c>
      <c r="AG283" s="2" t="s">
        <v>1970</v>
      </c>
      <c r="AH283" s="2" t="s">
        <v>1970</v>
      </c>
      <c r="AI283" s="344" t="s">
        <v>1970</v>
      </c>
      <c r="AO283" s="344" t="s">
        <v>3384</v>
      </c>
      <c r="AP283" s="251" t="s">
        <v>3378</v>
      </c>
      <c r="AQ283" s="344" t="s">
        <v>1970</v>
      </c>
      <c r="AR283" s="344" t="s">
        <v>2150</v>
      </c>
      <c r="AS283" s="2" t="s">
        <v>3620</v>
      </c>
      <c r="AT283" s="2" t="s">
        <v>3698</v>
      </c>
      <c r="AU283" s="2" t="s">
        <v>3706</v>
      </c>
      <c r="AV283" s="344" t="s">
        <v>2596</v>
      </c>
      <c r="BB283" s="344" t="s">
        <v>1970</v>
      </c>
      <c r="BC283" s="344" t="s">
        <v>1970</v>
      </c>
      <c r="BD283" s="344" t="s">
        <v>1970</v>
      </c>
      <c r="BE283" s="344" t="s">
        <v>1970</v>
      </c>
      <c r="BF283" s="344" t="s">
        <v>1970</v>
      </c>
      <c r="BG283" s="344" t="s">
        <v>1970</v>
      </c>
      <c r="BH283" s="344" t="s">
        <v>1970</v>
      </c>
      <c r="BI283" s="344" t="s">
        <v>1970</v>
      </c>
      <c r="BJ283" s="344" t="s">
        <v>1970</v>
      </c>
      <c r="BK283" s="344" t="s">
        <v>1970</v>
      </c>
      <c r="BL283" s="344" t="s">
        <v>1970</v>
      </c>
      <c r="BM283" s="344" t="s">
        <v>1970</v>
      </c>
      <c r="BN283" s="344" t="s">
        <v>1970</v>
      </c>
      <c r="BO283" s="344" t="s">
        <v>1970</v>
      </c>
      <c r="BP283" s="344" t="s">
        <v>1970</v>
      </c>
      <c r="BQ283" s="344" t="s">
        <v>1970</v>
      </c>
      <c r="BR283" s="344" t="s">
        <v>1970</v>
      </c>
      <c r="BS283" s="344" t="s">
        <v>1970</v>
      </c>
      <c r="BT283" s="344" t="s">
        <v>1970</v>
      </c>
      <c r="BU283" s="344" t="s">
        <v>1970</v>
      </c>
      <c r="BV283" s="344" t="s">
        <v>1970</v>
      </c>
      <c r="BW283" s="344" t="s">
        <v>1970</v>
      </c>
      <c r="BX283" s="344" t="s">
        <v>1970</v>
      </c>
      <c r="BY283" s="344" t="s">
        <v>1970</v>
      </c>
      <c r="BZ283" s="344" t="s">
        <v>1970</v>
      </c>
      <c r="CA283" s="344" t="s">
        <v>1970</v>
      </c>
      <c r="CB283" s="344" t="s">
        <v>1970</v>
      </c>
      <c r="CC283" s="344" t="s">
        <v>1970</v>
      </c>
      <c r="CD283" s="344" t="s">
        <v>1970</v>
      </c>
      <c r="CE283" s="344" t="s">
        <v>1970</v>
      </c>
      <c r="CF283" s="344" t="s">
        <v>1970</v>
      </c>
      <c r="CG283" s="344" t="s">
        <v>1970</v>
      </c>
      <c r="CH283" s="344" t="s">
        <v>1970</v>
      </c>
      <c r="CI283" s="344" t="s">
        <v>1970</v>
      </c>
      <c r="CJ283" s="344" t="s">
        <v>1970</v>
      </c>
      <c r="CK283" s="344" t="s">
        <v>1970</v>
      </c>
      <c r="CL283" s="344" t="s">
        <v>1970</v>
      </c>
      <c r="CM283" s="344" t="s">
        <v>1970</v>
      </c>
      <c r="CN283" s="344" t="s">
        <v>1970</v>
      </c>
      <c r="CO283" s="344" t="s">
        <v>1970</v>
      </c>
      <c r="CP283" s="344" t="s">
        <v>1970</v>
      </c>
      <c r="CQ283" s="344" t="s">
        <v>1970</v>
      </c>
      <c r="CR283" s="344" t="s">
        <v>1970</v>
      </c>
      <c r="CS283" s="344" t="s">
        <v>1970</v>
      </c>
      <c r="CT283" s="344" t="s">
        <v>1970</v>
      </c>
      <c r="CU283" s="344" t="s">
        <v>1970</v>
      </c>
      <c r="CV283" s="344" t="s">
        <v>1970</v>
      </c>
      <c r="CW283" s="344" t="s">
        <v>1970</v>
      </c>
      <c r="CX283" s="344" t="s">
        <v>1970</v>
      </c>
      <c r="CY283" s="344" t="s">
        <v>1970</v>
      </c>
      <c r="CZ283" s="344" t="s">
        <v>1970</v>
      </c>
      <c r="DA283" s="344" t="s">
        <v>1970</v>
      </c>
      <c r="DB283" s="344" t="s">
        <v>1970</v>
      </c>
      <c r="DC283" s="344" t="s">
        <v>1970</v>
      </c>
      <c r="DD283" s="344" t="s">
        <v>1970</v>
      </c>
      <c r="DE283" s="344" t="s">
        <v>1970</v>
      </c>
      <c r="DF283" s="344" t="s">
        <v>1970</v>
      </c>
      <c r="DG283" s="344" t="s">
        <v>1970</v>
      </c>
      <c r="DH283" s="344" t="s">
        <v>1970</v>
      </c>
      <c r="DI283" s="344" t="s">
        <v>1970</v>
      </c>
      <c r="DJ283" s="344" t="s">
        <v>1970</v>
      </c>
      <c r="DK283" s="344" t="s">
        <v>1970</v>
      </c>
      <c r="DL283" s="344" t="s">
        <v>1970</v>
      </c>
      <c r="DM283" s="344" t="s">
        <v>1970</v>
      </c>
      <c r="DN283" s="344" t="s">
        <v>1970</v>
      </c>
      <c r="DO283" s="344" t="s">
        <v>1970</v>
      </c>
      <c r="DP283" s="344" t="s">
        <v>1970</v>
      </c>
      <c r="DQ283" s="344" t="s">
        <v>1970</v>
      </c>
      <c r="DR283" s="344" t="s">
        <v>1970</v>
      </c>
      <c r="DS283" s="344" t="s">
        <v>1970</v>
      </c>
      <c r="DT283" s="344" t="s">
        <v>1970</v>
      </c>
      <c r="DU283" s="344" t="s">
        <v>1970</v>
      </c>
      <c r="DV283" s="344" t="s">
        <v>1970</v>
      </c>
      <c r="DW283" s="344" t="s">
        <v>1970</v>
      </c>
      <c r="DX283" s="344" t="s">
        <v>1970</v>
      </c>
      <c r="DY283" s="344" t="s">
        <v>1970</v>
      </c>
      <c r="DZ283" s="344" t="s">
        <v>1970</v>
      </c>
      <c r="EA283" s="344" t="s">
        <v>1970</v>
      </c>
      <c r="EB283" s="344" t="s">
        <v>1970</v>
      </c>
      <c r="EC283" s="344" t="s">
        <v>1970</v>
      </c>
      <c r="ED283" s="344" t="s">
        <v>1970</v>
      </c>
      <c r="EE283" s="344" t="s">
        <v>1970</v>
      </c>
      <c r="EF283" s="344" t="s">
        <v>1970</v>
      </c>
      <c r="EG283" s="344" t="s">
        <v>1970</v>
      </c>
      <c r="EH283" s="344" t="s">
        <v>1970</v>
      </c>
      <c r="EI283" s="344" t="s">
        <v>1970</v>
      </c>
      <c r="EJ283" s="344" t="s">
        <v>1970</v>
      </c>
      <c r="EK283" s="344" t="s">
        <v>1970</v>
      </c>
      <c r="EL283" s="344" t="s">
        <v>1970</v>
      </c>
      <c r="EM283" s="344" t="s">
        <v>1970</v>
      </c>
      <c r="EN283" s="344" t="s">
        <v>1970</v>
      </c>
      <c r="EO283" s="344" t="s">
        <v>1970</v>
      </c>
      <c r="EP283" s="344" t="s">
        <v>1970</v>
      </c>
      <c r="EQ283" s="344" t="s">
        <v>1970</v>
      </c>
      <c r="ER283" s="344" t="s">
        <v>1970</v>
      </c>
      <c r="ES283" s="344" t="s">
        <v>1970</v>
      </c>
    </row>
    <row r="284" spans="1:149" x14ac:dyDescent="0.3">
      <c r="A284" s="2" t="s">
        <v>1241</v>
      </c>
      <c r="B284" s="2" t="s">
        <v>1172</v>
      </c>
      <c r="C284" s="2" t="s">
        <v>2222</v>
      </c>
      <c r="D284" s="2" t="s">
        <v>1244</v>
      </c>
      <c r="E284" s="2" t="s">
        <v>1977</v>
      </c>
      <c r="F284" s="2">
        <v>32</v>
      </c>
      <c r="G284" s="2">
        <v>29</v>
      </c>
      <c r="H284" s="2">
        <v>28</v>
      </c>
      <c r="I284" s="445" t="s">
        <v>3314</v>
      </c>
      <c r="J284" s="2" t="s">
        <v>1970</v>
      </c>
      <c r="K284" s="2" t="s">
        <v>1970</v>
      </c>
      <c r="L284" s="2" t="s">
        <v>1970</v>
      </c>
      <c r="M284" s="2" t="s">
        <v>1970</v>
      </c>
      <c r="N284" s="344" t="s">
        <v>1978</v>
      </c>
      <c r="O284" s="344" t="s">
        <v>1978</v>
      </c>
      <c r="P284" s="344" t="s">
        <v>1978</v>
      </c>
      <c r="Q284" s="344" t="s">
        <v>1978</v>
      </c>
      <c r="R284" s="344" t="s">
        <v>1978</v>
      </c>
      <c r="S284" s="344" t="s">
        <v>1978</v>
      </c>
      <c r="T284" s="344" t="s">
        <v>2226</v>
      </c>
      <c r="U284" s="2" t="s">
        <v>2165</v>
      </c>
      <c r="V284" s="344" t="s">
        <v>1970</v>
      </c>
      <c r="W284" s="344" t="s">
        <v>1970</v>
      </c>
      <c r="X284" s="344">
        <f>'A123'!J292</f>
        <v>18</v>
      </c>
      <c r="Y284" s="344">
        <f>'A123'!K292</f>
        <v>14</v>
      </c>
      <c r="Z284" s="344">
        <f>'A123'!L292</f>
        <v>2.2142857142857144</v>
      </c>
      <c r="AA284" s="2" t="s">
        <v>2165</v>
      </c>
      <c r="AB284" s="344" t="str">
        <f>入學要求!X293</f>
        <v>/</v>
      </c>
      <c r="AC284" s="344" t="str">
        <f>入學要求!Y293</f>
        <v>/</v>
      </c>
      <c r="AD284" s="2" t="s">
        <v>1977</v>
      </c>
      <c r="AE284" s="2" t="s">
        <v>2173</v>
      </c>
      <c r="AF284" s="2" t="s">
        <v>1970</v>
      </c>
      <c r="AG284" s="2" t="s">
        <v>1970</v>
      </c>
      <c r="AH284" s="2" t="s">
        <v>1970</v>
      </c>
      <c r="AI284" s="344" t="s">
        <v>1970</v>
      </c>
      <c r="AO284" s="344" t="s">
        <v>3384</v>
      </c>
      <c r="AP284" s="251" t="s">
        <v>3379</v>
      </c>
      <c r="AQ284" s="344" t="s">
        <v>1970</v>
      </c>
      <c r="AR284" s="344" t="s">
        <v>2150</v>
      </c>
      <c r="AS284" s="2" t="s">
        <v>3620</v>
      </c>
      <c r="AT284" s="2" t="s">
        <v>3684</v>
      </c>
      <c r="AU284" s="2" t="s">
        <v>3706</v>
      </c>
      <c r="AV284" s="344" t="s">
        <v>2596</v>
      </c>
      <c r="BB284" s="344" t="s">
        <v>1970</v>
      </c>
      <c r="BC284" s="344" t="s">
        <v>1970</v>
      </c>
      <c r="BD284" s="344" t="s">
        <v>1970</v>
      </c>
      <c r="BE284" s="344" t="s">
        <v>1970</v>
      </c>
      <c r="BF284" s="344" t="s">
        <v>1970</v>
      </c>
      <c r="BG284" s="344" t="s">
        <v>1970</v>
      </c>
      <c r="BH284" s="344" t="s">
        <v>1970</v>
      </c>
      <c r="BI284" s="344" t="s">
        <v>1970</v>
      </c>
      <c r="BJ284" s="344" t="s">
        <v>1970</v>
      </c>
      <c r="BK284" s="344" t="s">
        <v>1970</v>
      </c>
      <c r="BL284" s="344" t="s">
        <v>1970</v>
      </c>
      <c r="BM284" s="344" t="s">
        <v>1970</v>
      </c>
      <c r="BN284" s="344" t="s">
        <v>1970</v>
      </c>
      <c r="BO284" s="344" t="s">
        <v>1970</v>
      </c>
      <c r="BP284" s="344" t="s">
        <v>1970</v>
      </c>
      <c r="BQ284" s="344" t="s">
        <v>1970</v>
      </c>
      <c r="BR284" s="344" t="s">
        <v>1970</v>
      </c>
      <c r="BS284" s="344" t="s">
        <v>1970</v>
      </c>
      <c r="BT284" s="344" t="s">
        <v>1970</v>
      </c>
      <c r="BU284" s="344" t="s">
        <v>1970</v>
      </c>
      <c r="BV284" s="344" t="s">
        <v>1970</v>
      </c>
      <c r="BW284" s="344" t="s">
        <v>1970</v>
      </c>
      <c r="BX284" s="344" t="s">
        <v>1970</v>
      </c>
      <c r="BY284" s="344" t="s">
        <v>1970</v>
      </c>
      <c r="BZ284" s="344" t="s">
        <v>1970</v>
      </c>
      <c r="CA284" s="344" t="s">
        <v>1970</v>
      </c>
      <c r="CB284" s="344" t="s">
        <v>1970</v>
      </c>
      <c r="CC284" s="344" t="s">
        <v>1970</v>
      </c>
      <c r="CD284" s="344" t="s">
        <v>1970</v>
      </c>
      <c r="CE284" s="344" t="s">
        <v>1970</v>
      </c>
      <c r="CF284" s="344" t="s">
        <v>1970</v>
      </c>
      <c r="CG284" s="344" t="s">
        <v>1970</v>
      </c>
      <c r="CH284" s="344" t="s">
        <v>1970</v>
      </c>
      <c r="CI284" s="344" t="s">
        <v>1970</v>
      </c>
      <c r="CJ284" s="344" t="s">
        <v>1970</v>
      </c>
      <c r="CK284" s="344" t="s">
        <v>1970</v>
      </c>
      <c r="CL284" s="344" t="s">
        <v>1970</v>
      </c>
      <c r="CM284" s="344" t="s">
        <v>1970</v>
      </c>
      <c r="CN284" s="344" t="s">
        <v>1970</v>
      </c>
      <c r="CO284" s="344" t="s">
        <v>1970</v>
      </c>
      <c r="CP284" s="344" t="s">
        <v>1970</v>
      </c>
      <c r="CQ284" s="344" t="s">
        <v>1970</v>
      </c>
      <c r="CR284" s="344" t="s">
        <v>1970</v>
      </c>
      <c r="CS284" s="344" t="s">
        <v>1970</v>
      </c>
      <c r="CT284" s="344" t="s">
        <v>1970</v>
      </c>
      <c r="CU284" s="344" t="s">
        <v>1970</v>
      </c>
      <c r="CV284" s="344" t="s">
        <v>1970</v>
      </c>
      <c r="CW284" s="344" t="s">
        <v>1970</v>
      </c>
      <c r="CX284" s="344" t="s">
        <v>1970</v>
      </c>
      <c r="CY284" s="344" t="s">
        <v>1970</v>
      </c>
      <c r="CZ284" s="344" t="s">
        <v>1970</v>
      </c>
      <c r="DA284" s="344" t="s">
        <v>1970</v>
      </c>
      <c r="DB284" s="344" t="s">
        <v>1970</v>
      </c>
      <c r="DC284" s="344" t="s">
        <v>1970</v>
      </c>
      <c r="DD284" s="344" t="s">
        <v>1970</v>
      </c>
      <c r="DE284" s="344" t="s">
        <v>1970</v>
      </c>
      <c r="DF284" s="344" t="s">
        <v>1970</v>
      </c>
      <c r="DG284" s="344" t="s">
        <v>1970</v>
      </c>
      <c r="DH284" s="344" t="s">
        <v>1970</v>
      </c>
      <c r="DI284" s="344" t="s">
        <v>1970</v>
      </c>
      <c r="DJ284" s="344" t="s">
        <v>1970</v>
      </c>
      <c r="DK284" s="344" t="s">
        <v>1970</v>
      </c>
      <c r="DL284" s="344" t="s">
        <v>1970</v>
      </c>
      <c r="DM284" s="344" t="s">
        <v>1970</v>
      </c>
      <c r="DN284" s="344" t="s">
        <v>1970</v>
      </c>
      <c r="DO284" s="344" t="s">
        <v>1970</v>
      </c>
      <c r="DP284" s="344" t="s">
        <v>1970</v>
      </c>
      <c r="DQ284" s="344" t="s">
        <v>1970</v>
      </c>
      <c r="DR284" s="344" t="s">
        <v>1970</v>
      </c>
      <c r="DS284" s="344" t="s">
        <v>1970</v>
      </c>
      <c r="DT284" s="344" t="s">
        <v>1970</v>
      </c>
      <c r="DU284" s="344" t="s">
        <v>1970</v>
      </c>
      <c r="DV284" s="344" t="s">
        <v>1970</v>
      </c>
      <c r="DW284" s="344" t="s">
        <v>1970</v>
      </c>
      <c r="DX284" s="344" t="s">
        <v>1970</v>
      </c>
      <c r="DY284" s="344" t="s">
        <v>1970</v>
      </c>
      <c r="DZ284" s="344" t="s">
        <v>1970</v>
      </c>
      <c r="EA284" s="344" t="s">
        <v>1970</v>
      </c>
      <c r="EB284" s="344" t="s">
        <v>1970</v>
      </c>
      <c r="EC284" s="344" t="s">
        <v>1970</v>
      </c>
      <c r="ED284" s="344" t="s">
        <v>1970</v>
      </c>
      <c r="EE284" s="344" t="s">
        <v>1970</v>
      </c>
      <c r="EF284" s="344" t="s">
        <v>1970</v>
      </c>
      <c r="EG284" s="344" t="s">
        <v>1970</v>
      </c>
      <c r="EH284" s="344" t="s">
        <v>1970</v>
      </c>
      <c r="EI284" s="344" t="s">
        <v>1970</v>
      </c>
      <c r="EJ284" s="344" t="s">
        <v>1970</v>
      </c>
      <c r="EK284" s="344" t="s">
        <v>1970</v>
      </c>
      <c r="EL284" s="344" t="s">
        <v>1970</v>
      </c>
      <c r="EM284" s="344" t="s">
        <v>1970</v>
      </c>
      <c r="EN284" s="344" t="s">
        <v>1970</v>
      </c>
      <c r="EO284" s="344" t="s">
        <v>1970</v>
      </c>
      <c r="EP284" s="344" t="s">
        <v>1970</v>
      </c>
      <c r="EQ284" s="344" t="s">
        <v>1970</v>
      </c>
      <c r="ER284" s="344" t="s">
        <v>1970</v>
      </c>
      <c r="ES284" s="344" t="s">
        <v>1970</v>
      </c>
    </row>
    <row r="285" spans="1:149" s="344" customFormat="1" x14ac:dyDescent="0.3">
      <c r="I285" s="445"/>
      <c r="X285" s="344">
        <f>'A123'!J293</f>
        <v>0</v>
      </c>
      <c r="Y285" s="344">
        <f>'A123'!K293</f>
        <v>0</v>
      </c>
      <c r="Z285" s="344">
        <f>'A123'!L293</f>
        <v>0</v>
      </c>
    </row>
    <row r="286" spans="1:149" s="344" customFormat="1" x14ac:dyDescent="0.3">
      <c r="I286" s="445"/>
      <c r="X286" s="344">
        <f>'A123'!J294</f>
        <v>0</v>
      </c>
      <c r="Y286" s="344">
        <f>'A123'!K294</f>
        <v>0</v>
      </c>
      <c r="Z286" s="344">
        <f>'A123'!L294</f>
        <v>0</v>
      </c>
    </row>
    <row r="287" spans="1:149" x14ac:dyDescent="0.3">
      <c r="A287" s="2" t="s">
        <v>3426</v>
      </c>
      <c r="B287" s="2" t="s">
        <v>2346</v>
      </c>
      <c r="C287" s="2" t="s">
        <v>2180</v>
      </c>
      <c r="D287" s="2" t="s">
        <v>3424</v>
      </c>
      <c r="E287" s="2" t="s">
        <v>2171</v>
      </c>
      <c r="F287" s="2" t="s">
        <v>1978</v>
      </c>
      <c r="G287" s="2">
        <f>SUMIF(DF287:DM287,TRUE,CX287:DE287)</f>
        <v>25.000000000244999</v>
      </c>
      <c r="H287" s="2">
        <f>SUMIF(BZ287:CG287,TRUE,BR287:BY287)</f>
        <v>24.500000000204999</v>
      </c>
      <c r="I287" s="2" t="s">
        <v>1978</v>
      </c>
      <c r="J287" s="2" t="s">
        <v>1970</v>
      </c>
      <c r="K287" s="450" t="s">
        <v>3411</v>
      </c>
      <c r="L287" s="450" t="s">
        <v>1970</v>
      </c>
      <c r="M287" s="450" t="s">
        <v>1970</v>
      </c>
      <c r="N287" s="344" t="s">
        <v>1978</v>
      </c>
      <c r="O287" s="344" t="s">
        <v>1978</v>
      </c>
      <c r="P287" s="344" t="s">
        <v>1978</v>
      </c>
      <c r="Q287" s="344" t="s">
        <v>1978</v>
      </c>
      <c r="R287" s="344" t="s">
        <v>1978</v>
      </c>
      <c r="S287" s="344" t="s">
        <v>1978</v>
      </c>
      <c r="T287" s="2" t="s">
        <v>1373</v>
      </c>
      <c r="U287" s="2" t="s">
        <v>2150</v>
      </c>
      <c r="V287" s="344" t="s">
        <v>1970</v>
      </c>
      <c r="W287" s="344" t="s">
        <v>1970</v>
      </c>
      <c r="X287" s="344">
        <f>'A123'!J295</f>
        <v>45</v>
      </c>
      <c r="Y287" s="344">
        <f>'A123'!K295</f>
        <v>58</v>
      </c>
      <c r="Z287" s="344">
        <f>'A123'!L295</f>
        <v>6.8035714285714288</v>
      </c>
      <c r="AA287" s="344" t="s">
        <v>2150</v>
      </c>
      <c r="AB287" s="2" t="str">
        <f>入學要求!X296</f>
        <v>/</v>
      </c>
      <c r="AC287" s="344" t="str">
        <f>入學要求!Y296</f>
        <v>/</v>
      </c>
      <c r="AD287" s="344" t="s">
        <v>2171</v>
      </c>
      <c r="AE287" s="344" t="s">
        <v>1970</v>
      </c>
      <c r="AF287" s="344" t="s">
        <v>1970</v>
      </c>
      <c r="AG287" s="450" t="s">
        <v>3411</v>
      </c>
      <c r="AH287" s="450" t="s">
        <v>1970</v>
      </c>
      <c r="AI287" s="450" t="s">
        <v>1970</v>
      </c>
      <c r="AJ287" s="2" t="s">
        <v>1970</v>
      </c>
      <c r="AK287" s="2" t="s">
        <v>1970</v>
      </c>
      <c r="AL287" s="2" t="s">
        <v>1970</v>
      </c>
      <c r="AM287" s="2" t="s">
        <v>1970</v>
      </c>
      <c r="AN287" s="2" t="s">
        <v>1970</v>
      </c>
      <c r="AO287" s="2" t="s">
        <v>1970</v>
      </c>
      <c r="AP287" s="344" t="s">
        <v>1970</v>
      </c>
      <c r="AQ287" s="344" t="s">
        <v>1970</v>
      </c>
      <c r="AR287" s="344" t="s">
        <v>2150</v>
      </c>
      <c r="AS287" s="381" t="s">
        <v>2369</v>
      </c>
      <c r="AT287" s="450"/>
      <c r="AV287" s="344" t="s">
        <v>2632</v>
      </c>
      <c r="BB287" s="2">
        <v>1.5</v>
      </c>
      <c r="BC287" s="2">
        <v>1.5</v>
      </c>
      <c r="BD287" s="2">
        <v>1</v>
      </c>
      <c r="BE287" s="2">
        <v>1</v>
      </c>
      <c r="BF287" s="344"/>
      <c r="BG287" s="344">
        <v>1.5</v>
      </c>
      <c r="BH287" s="344">
        <v>1</v>
      </c>
      <c r="BJ287" s="2">
        <v>5.00000000001</v>
      </c>
      <c r="BK287" s="2">
        <v>3.00000000002</v>
      </c>
      <c r="BL287" s="2">
        <v>3.00000000003</v>
      </c>
      <c r="BM287" s="2">
        <v>5.00000000004</v>
      </c>
      <c r="BN287" s="2">
        <v>5.0000000000000002E-11</v>
      </c>
      <c r="BO287" s="2">
        <v>3.00000000006</v>
      </c>
      <c r="BP287" s="2">
        <v>2.00000000007</v>
      </c>
      <c r="BR287" s="344">
        <f t="shared" ref="BR287" si="536">BB287*BJ287</f>
        <v>7.5000000000149996</v>
      </c>
      <c r="BS287" s="344">
        <f t="shared" ref="BS287" si="537">BC287*BK287</f>
        <v>4.50000000003</v>
      </c>
      <c r="BT287" s="344">
        <f t="shared" ref="BT287" si="538">BD287*BL287</f>
        <v>3.00000000003</v>
      </c>
      <c r="BU287" s="344">
        <f t="shared" ref="BU287" si="539">BE287*BM287</f>
        <v>5.00000000004</v>
      </c>
      <c r="BV287" s="344">
        <f t="shared" ref="BV287" si="540">BF287*BN287</f>
        <v>0</v>
      </c>
      <c r="BW287" s="344">
        <f t="shared" ref="BW287" si="541">BG287*BO287</f>
        <v>4.50000000009</v>
      </c>
      <c r="BX287" s="344">
        <f t="shared" ref="BX287" si="542">BH287*BP287</f>
        <v>2.00000000007</v>
      </c>
      <c r="BY287" s="344">
        <f t="shared" ref="BY287:BY304" si="543">AU287*BQ287</f>
        <v>0</v>
      </c>
      <c r="BZ287" s="451" t="b">
        <f>IF(BR287&gt;LARGE($BR287:$BY287,6),TRUE)</f>
        <v>1</v>
      </c>
      <c r="CA287" s="451" t="b">
        <f t="shared" ref="CA287:CG287" si="544">IF(BS287&gt;LARGE($BR287:$BY287,6),TRUE)</f>
        <v>1</v>
      </c>
      <c r="CB287" s="451" t="b">
        <f t="shared" si="544"/>
        <v>1</v>
      </c>
      <c r="CC287" s="451" t="b">
        <f t="shared" si="544"/>
        <v>1</v>
      </c>
      <c r="CD287" s="451" t="b">
        <f t="shared" si="544"/>
        <v>0</v>
      </c>
      <c r="CE287" s="451" t="b">
        <f t="shared" si="544"/>
        <v>1</v>
      </c>
      <c r="CF287" s="451" t="b">
        <f t="shared" si="544"/>
        <v>0</v>
      </c>
      <c r="CG287" s="451" t="b">
        <f t="shared" si="544"/>
        <v>0</v>
      </c>
      <c r="CH287" s="344">
        <v>1.5</v>
      </c>
      <c r="CI287" s="344">
        <v>1.5</v>
      </c>
      <c r="CJ287" s="344">
        <v>1</v>
      </c>
      <c r="CK287" s="344">
        <v>1</v>
      </c>
      <c r="CL287" s="344"/>
      <c r="CM287" s="344">
        <v>1.5</v>
      </c>
      <c r="CN287" s="344">
        <v>1</v>
      </c>
      <c r="CO287" s="449">
        <v>25</v>
      </c>
      <c r="CP287" s="449">
        <v>6.00000000001</v>
      </c>
      <c r="CQ287" s="449">
        <v>3.00000000002</v>
      </c>
      <c r="CR287" s="449">
        <v>2.00000000003</v>
      </c>
      <c r="CS287" s="449">
        <v>4.00000000004</v>
      </c>
      <c r="CT287" s="449">
        <v>5.0000000000000002E-11</v>
      </c>
      <c r="CU287" s="449">
        <v>3.00000000006</v>
      </c>
      <c r="CV287" s="449">
        <v>3.00000000007</v>
      </c>
      <c r="CX287" s="344">
        <f>CH287*CP287</f>
        <v>9.0000000000149996</v>
      </c>
      <c r="CY287" s="344">
        <f t="shared" ref="CY287:DD287" si="545">CI287*CQ287</f>
        <v>4.50000000003</v>
      </c>
      <c r="CZ287" s="344">
        <f t="shared" si="545"/>
        <v>2.00000000003</v>
      </c>
      <c r="DA287" s="344">
        <f t="shared" si="545"/>
        <v>4.00000000004</v>
      </c>
      <c r="DB287" s="344">
        <f t="shared" si="545"/>
        <v>0</v>
      </c>
      <c r="DC287" s="344">
        <f t="shared" si="545"/>
        <v>4.50000000009</v>
      </c>
      <c r="DD287" s="344">
        <f t="shared" si="545"/>
        <v>3.00000000007</v>
      </c>
      <c r="DE287" s="344">
        <f>CG287*CW287</f>
        <v>0</v>
      </c>
      <c r="DF287" s="451" t="b">
        <f>IF(CX287&gt;LARGE($CX287:$DE287,6),TRUE)</f>
        <v>1</v>
      </c>
      <c r="DG287" s="451" t="b">
        <f t="shared" ref="DG287:DM287" si="546">IF(CY287&gt;LARGE($CX287:$DE287,6),TRUE)</f>
        <v>1</v>
      </c>
      <c r="DH287" s="451" t="b">
        <f t="shared" si="546"/>
        <v>0</v>
      </c>
      <c r="DI287" s="451" t="b">
        <f t="shared" si="546"/>
        <v>1</v>
      </c>
      <c r="DJ287" s="451" t="b">
        <f t="shared" si="546"/>
        <v>0</v>
      </c>
      <c r="DK287" s="451" t="b">
        <f t="shared" si="546"/>
        <v>1</v>
      </c>
      <c r="DL287" s="451" t="b">
        <f t="shared" si="546"/>
        <v>1</v>
      </c>
      <c r="DM287" s="451" t="b">
        <f t="shared" si="546"/>
        <v>0</v>
      </c>
    </row>
    <row r="288" spans="1:149" x14ac:dyDescent="0.3">
      <c r="A288" s="2" t="s">
        <v>1376</v>
      </c>
      <c r="B288" s="344" t="s">
        <v>2346</v>
      </c>
      <c r="C288" s="2" t="s">
        <v>3425</v>
      </c>
      <c r="D288" s="2" t="s">
        <v>1382</v>
      </c>
      <c r="E288" s="344" t="s">
        <v>2171</v>
      </c>
      <c r="F288" s="344" t="s">
        <v>1978</v>
      </c>
      <c r="G288" s="344">
        <f t="shared" ref="G288:G304" si="547">SUMIF(DF288:DM288,TRUE,CX288:DE288)</f>
        <v>25.000000000209997</v>
      </c>
      <c r="H288" s="344">
        <f t="shared" ref="H288:H304" si="548">SUMIF(BZ288:CG288,TRUE,BR288:BY288)</f>
        <v>24.000000000209997</v>
      </c>
      <c r="I288" s="2" t="s">
        <v>1970</v>
      </c>
      <c r="J288" s="2" t="s">
        <v>1970</v>
      </c>
      <c r="K288" s="450" t="s">
        <v>2740</v>
      </c>
      <c r="L288" s="450" t="s">
        <v>2867</v>
      </c>
      <c r="M288" s="450" t="s">
        <v>1970</v>
      </c>
      <c r="N288" s="344" t="s">
        <v>1978</v>
      </c>
      <c r="O288" s="344" t="s">
        <v>1978</v>
      </c>
      <c r="P288" s="344" t="s">
        <v>1978</v>
      </c>
      <c r="Q288" s="344" t="s">
        <v>1978</v>
      </c>
      <c r="R288" s="344" t="s">
        <v>1978</v>
      </c>
      <c r="S288" s="344" t="s">
        <v>1978</v>
      </c>
      <c r="T288" s="2" t="s">
        <v>1380</v>
      </c>
      <c r="U288" s="344" t="s">
        <v>2150</v>
      </c>
      <c r="V288" s="344" t="s">
        <v>1970</v>
      </c>
      <c r="W288" s="344" t="s">
        <v>1970</v>
      </c>
      <c r="X288" s="344">
        <f>'A123'!J296</f>
        <v>20</v>
      </c>
      <c r="Y288" s="344">
        <f>'A123'!K296</f>
        <v>12</v>
      </c>
      <c r="Z288" s="344">
        <f>'A123'!L296</f>
        <v>10.7</v>
      </c>
      <c r="AA288" s="344" t="s">
        <v>2150</v>
      </c>
      <c r="AB288" s="344" t="str">
        <f>入學要求!X297</f>
        <v>/</v>
      </c>
      <c r="AC288" s="344" t="str">
        <f>入學要求!Y297</f>
        <v>/</v>
      </c>
      <c r="AD288" s="344" t="s">
        <v>2171</v>
      </c>
      <c r="AE288" s="344" t="s">
        <v>1970</v>
      </c>
      <c r="AF288" s="344" t="s">
        <v>1970</v>
      </c>
      <c r="AG288" s="450" t="s">
        <v>2740</v>
      </c>
      <c r="AH288" s="450" t="s">
        <v>2867</v>
      </c>
      <c r="AI288" s="450" t="s">
        <v>1970</v>
      </c>
      <c r="AJ288" s="2" t="s">
        <v>1970</v>
      </c>
      <c r="AK288" s="2" t="s">
        <v>1970</v>
      </c>
      <c r="AL288" s="2" t="s">
        <v>1970</v>
      </c>
      <c r="AM288" s="2" t="s">
        <v>1970</v>
      </c>
      <c r="AN288" s="2" t="s">
        <v>1970</v>
      </c>
      <c r="AO288" s="2" t="s">
        <v>1970</v>
      </c>
      <c r="AP288" s="344" t="s">
        <v>1970</v>
      </c>
      <c r="AQ288" s="344" t="s">
        <v>1970</v>
      </c>
      <c r="AR288" s="344" t="s">
        <v>2150</v>
      </c>
      <c r="AS288" s="381" t="s">
        <v>2369</v>
      </c>
      <c r="AT288" s="450"/>
      <c r="AV288" s="344" t="s">
        <v>2632</v>
      </c>
      <c r="BB288" s="2">
        <v>1</v>
      </c>
      <c r="BC288" s="2">
        <v>2</v>
      </c>
      <c r="BD288" s="2">
        <v>1</v>
      </c>
      <c r="BE288" s="2">
        <v>1.5</v>
      </c>
      <c r="BG288" s="2">
        <v>1</v>
      </c>
      <c r="BH288" s="2">
        <v>1</v>
      </c>
      <c r="BJ288" s="2">
        <v>5.00000000001</v>
      </c>
      <c r="BK288" s="2">
        <v>3.00000000002</v>
      </c>
      <c r="BL288" s="2">
        <v>4.00000000003</v>
      </c>
      <c r="BM288" s="2">
        <v>4.00000000004</v>
      </c>
      <c r="BN288" s="2">
        <v>5.0000000000000002E-11</v>
      </c>
      <c r="BO288" s="2">
        <v>3.00000000006</v>
      </c>
      <c r="BP288" s="2">
        <v>3.00000000007</v>
      </c>
      <c r="BR288" s="2">
        <f t="shared" ref="BR288" si="549">BB288*BJ288</f>
        <v>5.00000000001</v>
      </c>
      <c r="BS288" s="2">
        <f t="shared" ref="BS288" si="550">BC288*BK288</f>
        <v>6.00000000004</v>
      </c>
      <c r="BT288" s="2">
        <f t="shared" ref="BT288" si="551">BD288*BL288</f>
        <v>4.00000000003</v>
      </c>
      <c r="BU288" s="2">
        <f t="shared" ref="BU288" si="552">BE288*BM288</f>
        <v>6.00000000006</v>
      </c>
      <c r="BV288" s="2">
        <f t="shared" ref="BV288" si="553">BF288*BN288</f>
        <v>0</v>
      </c>
      <c r="BW288" s="2">
        <f t="shared" ref="BW288" si="554">BG288*BO288</f>
        <v>3.00000000006</v>
      </c>
      <c r="BX288" s="2">
        <f t="shared" ref="BX288" si="555">BH288*BP288</f>
        <v>3.00000000007</v>
      </c>
      <c r="BY288" s="2">
        <f t="shared" si="543"/>
        <v>0</v>
      </c>
      <c r="BZ288" s="451" t="b">
        <f t="shared" ref="BZ288:BZ304" si="556">IF(BR288&gt;LARGE($BR288:$BY288,6),TRUE)</f>
        <v>1</v>
      </c>
      <c r="CA288" s="451" t="b">
        <f t="shared" ref="CA288:CA304" si="557">IF(BS288&gt;LARGE($BR288:$BY288,6),TRUE)</f>
        <v>1</v>
      </c>
      <c r="CB288" s="451" t="b">
        <f t="shared" ref="CB288:CB304" si="558">IF(BT288&gt;LARGE($BR288:$BY288,6),TRUE)</f>
        <v>1</v>
      </c>
      <c r="CC288" s="451" t="b">
        <f t="shared" ref="CC288:CC304" si="559">IF(BU288&gt;LARGE($BR288:$BY288,6),TRUE)</f>
        <v>1</v>
      </c>
      <c r="CD288" s="451" t="b">
        <f t="shared" ref="CD288:CD304" si="560">IF(BV288&gt;LARGE($BR288:$BY288,6),TRUE)</f>
        <v>0</v>
      </c>
      <c r="CE288" s="451" t="b">
        <f t="shared" ref="CE288:CE304" si="561">IF(BW288&gt;LARGE($BR288:$BY288,6),TRUE)</f>
        <v>0</v>
      </c>
      <c r="CF288" s="451" t="b">
        <f t="shared" ref="CF288:CF304" si="562">IF(BX288&gt;LARGE($BR288:$BY288,6),TRUE)</f>
        <v>1</v>
      </c>
      <c r="CG288" s="451" t="b">
        <f t="shared" ref="CG288:CG304" si="563">IF(BY288&gt;LARGE($BR288:$BY288,6),TRUE)</f>
        <v>0</v>
      </c>
      <c r="CH288" s="344">
        <v>1</v>
      </c>
      <c r="CI288" s="344">
        <v>2</v>
      </c>
      <c r="CJ288" s="344">
        <v>1</v>
      </c>
      <c r="CK288" s="344">
        <v>1.5</v>
      </c>
      <c r="CL288" s="344"/>
      <c r="CM288" s="344">
        <v>1</v>
      </c>
      <c r="CN288" s="344">
        <v>1</v>
      </c>
      <c r="CO288" s="449">
        <v>25</v>
      </c>
      <c r="CP288" s="449">
        <v>4.00000000001</v>
      </c>
      <c r="CQ288" s="449">
        <v>4.00000000002</v>
      </c>
      <c r="CR288" s="449">
        <v>4.00000000003</v>
      </c>
      <c r="CS288" s="449">
        <v>4.00000000004</v>
      </c>
      <c r="CT288" s="449">
        <v>5.0000000000000002E-11</v>
      </c>
      <c r="CU288" s="449">
        <v>3.00000000006</v>
      </c>
      <c r="CV288" s="449">
        <v>3.00000000007</v>
      </c>
      <c r="CX288" s="344">
        <f t="shared" ref="CX288:CX304" si="564">CH288*CP288</f>
        <v>4.00000000001</v>
      </c>
      <c r="CY288" s="344">
        <f t="shared" ref="CY288:CY304" si="565">CI288*CQ288</f>
        <v>8.00000000004</v>
      </c>
      <c r="CZ288" s="344">
        <f t="shared" ref="CZ288:CZ304" si="566">CJ288*CR288</f>
        <v>4.00000000003</v>
      </c>
      <c r="DA288" s="344">
        <f t="shared" ref="DA288:DA304" si="567">CK288*CS288</f>
        <v>6.00000000006</v>
      </c>
      <c r="DB288" s="344">
        <f t="shared" ref="DB288:DB304" si="568">CL288*CT288</f>
        <v>0</v>
      </c>
      <c r="DC288" s="344">
        <f t="shared" ref="DC288:DC304" si="569">CM288*CU288</f>
        <v>3.00000000006</v>
      </c>
      <c r="DD288" s="344">
        <f t="shared" ref="DD288:DD304" si="570">CN288*CV288</f>
        <v>3.00000000007</v>
      </c>
      <c r="DE288" s="344">
        <f t="shared" ref="DE288:DE304" si="571">CG288*CW288</f>
        <v>0</v>
      </c>
      <c r="DF288" s="451" t="b">
        <f t="shared" ref="DF288:DF304" si="572">IF(CX288&gt;LARGE($CX288:$DE288,6),TRUE)</f>
        <v>1</v>
      </c>
      <c r="DG288" s="451" t="b">
        <f t="shared" ref="DG288:DG304" si="573">IF(CY288&gt;LARGE($CX288:$DE288,6),TRUE)</f>
        <v>1</v>
      </c>
      <c r="DH288" s="451" t="b">
        <f t="shared" ref="DH288:DH304" si="574">IF(CZ288&gt;LARGE($CX288:$DE288,6),TRUE)</f>
        <v>1</v>
      </c>
      <c r="DI288" s="451" t="b">
        <f t="shared" ref="DI288:DI304" si="575">IF(DA288&gt;LARGE($CX288:$DE288,6),TRUE)</f>
        <v>1</v>
      </c>
      <c r="DJ288" s="451" t="b">
        <f t="shared" ref="DJ288:DJ304" si="576">IF(DB288&gt;LARGE($CX288:$DE288,6),TRUE)</f>
        <v>0</v>
      </c>
      <c r="DK288" s="451" t="b">
        <f t="shared" ref="DK288:DK304" si="577">IF(DC288&gt;LARGE($CX288:$DE288,6),TRUE)</f>
        <v>0</v>
      </c>
      <c r="DL288" s="451" t="b">
        <f t="shared" ref="DL288:DL304" si="578">IF(DD288&gt;LARGE($CX288:$DE288,6),TRUE)</f>
        <v>1</v>
      </c>
      <c r="DM288" s="451" t="b">
        <f t="shared" ref="DM288:DM304" si="579">IF(DE288&gt;LARGE($CX288:$DE288,6),TRUE)</f>
        <v>0</v>
      </c>
    </row>
    <row r="289" spans="1:117" x14ac:dyDescent="0.3">
      <c r="A289" s="2" t="s">
        <v>1383</v>
      </c>
      <c r="B289" s="344" t="s">
        <v>2346</v>
      </c>
      <c r="C289" s="344" t="s">
        <v>2180</v>
      </c>
      <c r="D289" s="2" t="s">
        <v>1386</v>
      </c>
      <c r="E289" s="344" t="s">
        <v>2916</v>
      </c>
      <c r="F289" s="344" t="s">
        <v>1978</v>
      </c>
      <c r="G289" s="344" t="s">
        <v>1978</v>
      </c>
      <c r="H289" s="344" t="s">
        <v>1978</v>
      </c>
      <c r="I289" s="2" t="s">
        <v>1970</v>
      </c>
      <c r="J289" s="2" t="s">
        <v>1970</v>
      </c>
      <c r="K289" s="381" t="s">
        <v>1970</v>
      </c>
      <c r="L289" s="381" t="s">
        <v>1970</v>
      </c>
      <c r="M289" s="381" t="s">
        <v>1970</v>
      </c>
      <c r="N289" s="381" t="s">
        <v>1978</v>
      </c>
      <c r="O289" s="381" t="s">
        <v>1978</v>
      </c>
      <c r="P289" s="381" t="s">
        <v>1978</v>
      </c>
      <c r="Q289" s="381" t="s">
        <v>1978</v>
      </c>
      <c r="R289" s="381" t="s">
        <v>1978</v>
      </c>
      <c r="S289" s="381" t="s">
        <v>1978</v>
      </c>
      <c r="T289" s="381" t="s">
        <v>1384</v>
      </c>
      <c r="U289" s="344" t="s">
        <v>2150</v>
      </c>
      <c r="V289" s="344" t="s">
        <v>1970</v>
      </c>
      <c r="W289" s="344" t="s">
        <v>1970</v>
      </c>
      <c r="X289" s="344">
        <f>'A123'!J297</f>
        <v>15</v>
      </c>
      <c r="Y289" s="344" t="str">
        <f>'A123'!K297</f>
        <v>/</v>
      </c>
      <c r="Z289" s="344" t="str">
        <f>'A123'!L297</f>
        <v>新科目</v>
      </c>
      <c r="AA289" s="344" t="s">
        <v>2150</v>
      </c>
      <c r="AB289" s="344" t="str">
        <f>入學要求!X298</f>
        <v>/</v>
      </c>
      <c r="AC289" s="344" t="str">
        <f>入學要求!Y298</f>
        <v>/</v>
      </c>
      <c r="AD289" s="344" t="s">
        <v>1977</v>
      </c>
      <c r="AE289" s="344" t="s">
        <v>1970</v>
      </c>
      <c r="AF289" s="344" t="s">
        <v>1970</v>
      </c>
      <c r="AG289" s="381" t="s">
        <v>3399</v>
      </c>
      <c r="AH289" s="381" t="s">
        <v>3401</v>
      </c>
      <c r="AI289" s="381" t="s">
        <v>1970</v>
      </c>
      <c r="AJ289" s="381" t="s">
        <v>1970</v>
      </c>
      <c r="AK289" s="381" t="s">
        <v>1970</v>
      </c>
      <c r="AL289" s="381" t="s">
        <v>1970</v>
      </c>
      <c r="AM289" s="381" t="s">
        <v>1970</v>
      </c>
      <c r="AN289" s="2" t="s">
        <v>1970</v>
      </c>
      <c r="AO289" s="2" t="s">
        <v>1970</v>
      </c>
      <c r="AP289" s="344" t="s">
        <v>1970</v>
      </c>
      <c r="AQ289" s="344" t="s">
        <v>1970</v>
      </c>
      <c r="AR289" s="344" t="s">
        <v>2150</v>
      </c>
      <c r="AS289" s="381" t="s">
        <v>2369</v>
      </c>
      <c r="AT289" s="450"/>
      <c r="AV289" s="344" t="s">
        <v>2632</v>
      </c>
      <c r="BB289" s="344"/>
      <c r="BC289" s="344"/>
      <c r="BD289" s="344"/>
      <c r="BG289" s="344"/>
      <c r="BH289" s="344"/>
      <c r="BJ289" s="2">
        <v>9.9999999999999994E-12</v>
      </c>
      <c r="BK289" s="2">
        <v>1.9999999999999999E-11</v>
      </c>
      <c r="BL289" s="2">
        <v>3E-11</v>
      </c>
      <c r="BM289" s="2">
        <v>3.9999999999999998E-11</v>
      </c>
      <c r="BN289" s="2">
        <v>5.0000000000000002E-11</v>
      </c>
      <c r="BO289" s="2">
        <v>6E-11</v>
      </c>
      <c r="BP289" s="2">
        <v>7.0000000000000004E-11</v>
      </c>
      <c r="BR289" s="2">
        <f t="shared" ref="BR289:BR300" si="580">BB289*BJ289</f>
        <v>0</v>
      </c>
      <c r="BS289" s="2">
        <f t="shared" ref="BS289:BS300" si="581">BC289*BK289</f>
        <v>0</v>
      </c>
      <c r="BT289" s="2">
        <f t="shared" ref="BT289:BT300" si="582">BD289*BL289</f>
        <v>0</v>
      </c>
      <c r="BU289" s="2">
        <f t="shared" ref="BU289:BU300" si="583">BE289*BM289</f>
        <v>0</v>
      </c>
      <c r="BV289" s="2">
        <f t="shared" ref="BV289:BV300" si="584">BF289*BN289</f>
        <v>0</v>
      </c>
      <c r="BW289" s="2">
        <f t="shared" ref="BW289:BW300" si="585">BG289*BO289</f>
        <v>0</v>
      </c>
      <c r="BX289" s="2">
        <f t="shared" ref="BX289:BX300" si="586">BH289*BP289</f>
        <v>0</v>
      </c>
      <c r="BY289" s="2">
        <f t="shared" si="543"/>
        <v>0</v>
      </c>
      <c r="BZ289" s="451" t="b">
        <f t="shared" si="556"/>
        <v>0</v>
      </c>
      <c r="CA289" s="451" t="b">
        <f t="shared" si="557"/>
        <v>0</v>
      </c>
      <c r="CB289" s="451" t="b">
        <f t="shared" si="558"/>
        <v>0</v>
      </c>
      <c r="CC289" s="451" t="b">
        <f t="shared" si="559"/>
        <v>0</v>
      </c>
      <c r="CD289" s="451" t="b">
        <f t="shared" si="560"/>
        <v>0</v>
      </c>
      <c r="CE289" s="451" t="b">
        <f t="shared" si="561"/>
        <v>0</v>
      </c>
      <c r="CF289" s="451" t="b">
        <f t="shared" si="562"/>
        <v>0</v>
      </c>
      <c r="CG289" s="451" t="b">
        <f t="shared" si="563"/>
        <v>0</v>
      </c>
      <c r="CH289" s="344"/>
      <c r="CI289" s="344"/>
      <c r="CJ289" s="344"/>
      <c r="CK289" s="344"/>
      <c r="CL289" s="344"/>
      <c r="CM289" s="344"/>
      <c r="CN289" s="344"/>
      <c r="CO289" s="449"/>
      <c r="CP289" s="449">
        <v>9.9999999999999994E-12</v>
      </c>
      <c r="CQ289" s="449">
        <v>1.9999999999999999E-11</v>
      </c>
      <c r="CR289" s="449">
        <v>3E-11</v>
      </c>
      <c r="CS289" s="449">
        <v>3.9999999999999998E-11</v>
      </c>
      <c r="CT289" s="449">
        <v>5.0000000000000002E-11</v>
      </c>
      <c r="CU289" s="449">
        <v>6E-11</v>
      </c>
      <c r="CV289" s="449">
        <v>7.0000000000000004E-11</v>
      </c>
      <c r="CX289" s="344">
        <f t="shared" si="564"/>
        <v>0</v>
      </c>
      <c r="CY289" s="344">
        <f t="shared" si="565"/>
        <v>0</v>
      </c>
      <c r="CZ289" s="344">
        <f t="shared" si="566"/>
        <v>0</v>
      </c>
      <c r="DA289" s="344">
        <f t="shared" si="567"/>
        <v>0</v>
      </c>
      <c r="DB289" s="344">
        <f t="shared" si="568"/>
        <v>0</v>
      </c>
      <c r="DC289" s="344">
        <f t="shared" si="569"/>
        <v>0</v>
      </c>
      <c r="DD289" s="344">
        <f t="shared" si="570"/>
        <v>0</v>
      </c>
      <c r="DE289" s="344">
        <f t="shared" si="571"/>
        <v>0</v>
      </c>
      <c r="DF289" s="451" t="b">
        <f t="shared" si="572"/>
        <v>0</v>
      </c>
      <c r="DG289" s="451" t="b">
        <f t="shared" si="573"/>
        <v>0</v>
      </c>
      <c r="DH289" s="451" t="b">
        <f t="shared" si="574"/>
        <v>0</v>
      </c>
      <c r="DI289" s="451" t="b">
        <f t="shared" si="575"/>
        <v>0</v>
      </c>
      <c r="DJ289" s="451" t="b">
        <f t="shared" si="576"/>
        <v>0</v>
      </c>
      <c r="DK289" s="451" t="b">
        <f t="shared" si="577"/>
        <v>0</v>
      </c>
      <c r="DL289" s="451" t="b">
        <f t="shared" si="578"/>
        <v>0</v>
      </c>
      <c r="DM289" s="451" t="b">
        <f t="shared" si="579"/>
        <v>0</v>
      </c>
    </row>
    <row r="290" spans="1:117" x14ac:dyDescent="0.3">
      <c r="A290" s="2" t="s">
        <v>1387</v>
      </c>
      <c r="B290" s="344" t="s">
        <v>2346</v>
      </c>
      <c r="C290" s="2" t="s">
        <v>2149</v>
      </c>
      <c r="D290" s="2" t="s">
        <v>1390</v>
      </c>
      <c r="E290" s="344" t="s">
        <v>1977</v>
      </c>
      <c r="F290" s="344" t="s">
        <v>1978</v>
      </c>
      <c r="G290" s="344">
        <f t="shared" si="547"/>
        <v>23.000000000204999</v>
      </c>
      <c r="H290" s="344">
        <f t="shared" si="548"/>
        <v>22.500000000255</v>
      </c>
      <c r="I290" s="2" t="s">
        <v>1970</v>
      </c>
      <c r="J290" s="2" t="s">
        <v>1970</v>
      </c>
      <c r="K290" s="450" t="s">
        <v>2740</v>
      </c>
      <c r="L290" s="450" t="s">
        <v>2777</v>
      </c>
      <c r="M290" s="450" t="s">
        <v>1970</v>
      </c>
      <c r="N290" s="344" t="s">
        <v>1978</v>
      </c>
      <c r="O290" s="344" t="s">
        <v>1978</v>
      </c>
      <c r="P290" s="344" t="s">
        <v>1978</v>
      </c>
      <c r="Q290" s="344" t="s">
        <v>1978</v>
      </c>
      <c r="R290" s="344" t="s">
        <v>1978</v>
      </c>
      <c r="S290" s="344" t="s">
        <v>1978</v>
      </c>
      <c r="T290" s="2" t="s">
        <v>1388</v>
      </c>
      <c r="U290" s="344" t="s">
        <v>2150</v>
      </c>
      <c r="V290" s="344" t="s">
        <v>1970</v>
      </c>
      <c r="W290" s="344" t="s">
        <v>1970</v>
      </c>
      <c r="X290" s="344">
        <f>'A123'!J298</f>
        <v>144</v>
      </c>
      <c r="Y290" s="344">
        <f>'A123'!K298</f>
        <v>200</v>
      </c>
      <c r="Z290" s="344">
        <f>'A123'!L298</f>
        <v>5.6428571428571432</v>
      </c>
      <c r="AA290" s="344" t="s">
        <v>2150</v>
      </c>
      <c r="AB290" s="344" t="str">
        <f>入學要求!X299</f>
        <v>/</v>
      </c>
      <c r="AC290" s="344" t="str">
        <f>入學要求!Y299</f>
        <v>/</v>
      </c>
      <c r="AD290" s="344" t="s">
        <v>1977</v>
      </c>
      <c r="AE290" s="344" t="s">
        <v>1970</v>
      </c>
      <c r="AF290" s="344" t="s">
        <v>1970</v>
      </c>
      <c r="AG290" s="450" t="s">
        <v>2740</v>
      </c>
      <c r="AH290" s="450" t="s">
        <v>2777</v>
      </c>
      <c r="AI290" s="450" t="s">
        <v>1970</v>
      </c>
      <c r="AJ290" s="2" t="s">
        <v>1970</v>
      </c>
      <c r="AK290" s="2" t="s">
        <v>1970</v>
      </c>
      <c r="AL290" s="2" t="s">
        <v>1970</v>
      </c>
      <c r="AM290" s="2" t="s">
        <v>1970</v>
      </c>
      <c r="AN290" s="2" t="s">
        <v>1970</v>
      </c>
      <c r="AO290" s="2" t="s">
        <v>1970</v>
      </c>
      <c r="AP290" s="344" t="s">
        <v>1970</v>
      </c>
      <c r="AQ290" s="344" t="s">
        <v>1970</v>
      </c>
      <c r="AR290" s="344" t="s">
        <v>2150</v>
      </c>
      <c r="AS290" s="381" t="s">
        <v>2369</v>
      </c>
      <c r="AT290" s="450"/>
      <c r="AV290" s="344" t="s">
        <v>2632</v>
      </c>
      <c r="BB290" s="2">
        <v>1</v>
      </c>
      <c r="BC290" s="2">
        <v>2</v>
      </c>
      <c r="BD290" s="2">
        <v>1.5</v>
      </c>
      <c r="BE290" s="2">
        <v>1</v>
      </c>
      <c r="BG290" s="344">
        <v>1</v>
      </c>
      <c r="BH290" s="344">
        <v>1</v>
      </c>
      <c r="BJ290" s="2">
        <v>4.00000000001</v>
      </c>
      <c r="BK290" s="2">
        <v>3.00000000002</v>
      </c>
      <c r="BL290" s="2">
        <v>3.00000000003</v>
      </c>
      <c r="BM290" s="2">
        <v>4.00000000004</v>
      </c>
      <c r="BN290" s="2">
        <v>5.0000000000000002E-11</v>
      </c>
      <c r="BO290" s="2">
        <v>4.00000000006</v>
      </c>
      <c r="BP290" s="2">
        <v>4.00000000007</v>
      </c>
      <c r="BR290" s="2">
        <f t="shared" si="580"/>
        <v>4.00000000001</v>
      </c>
      <c r="BS290" s="2">
        <f t="shared" si="581"/>
        <v>6.00000000004</v>
      </c>
      <c r="BT290" s="2">
        <f t="shared" si="582"/>
        <v>4.5000000000450004</v>
      </c>
      <c r="BU290" s="2">
        <f t="shared" si="583"/>
        <v>4.00000000004</v>
      </c>
      <c r="BV290" s="2">
        <f t="shared" si="584"/>
        <v>0</v>
      </c>
      <c r="BW290" s="2">
        <f t="shared" si="585"/>
        <v>4.00000000006</v>
      </c>
      <c r="BX290" s="2">
        <f t="shared" si="586"/>
        <v>4.00000000007</v>
      </c>
      <c r="BY290" s="2">
        <f t="shared" si="543"/>
        <v>0</v>
      </c>
      <c r="BZ290" s="451" t="b">
        <f t="shared" si="556"/>
        <v>0</v>
      </c>
      <c r="CA290" s="451" t="b">
        <f t="shared" si="557"/>
        <v>1</v>
      </c>
      <c r="CB290" s="451" t="b">
        <f t="shared" si="558"/>
        <v>1</v>
      </c>
      <c r="CC290" s="451" t="b">
        <f t="shared" si="559"/>
        <v>1</v>
      </c>
      <c r="CD290" s="451" t="b">
        <f t="shared" si="560"/>
        <v>0</v>
      </c>
      <c r="CE290" s="451" t="b">
        <f t="shared" si="561"/>
        <v>1</v>
      </c>
      <c r="CF290" s="451" t="b">
        <f t="shared" si="562"/>
        <v>1</v>
      </c>
      <c r="CG290" s="451" t="b">
        <f t="shared" si="563"/>
        <v>0</v>
      </c>
      <c r="CH290" s="344">
        <v>1</v>
      </c>
      <c r="CI290" s="344">
        <v>2</v>
      </c>
      <c r="CJ290" s="344">
        <v>1.5</v>
      </c>
      <c r="CK290" s="344">
        <v>1</v>
      </c>
      <c r="CL290" s="344"/>
      <c r="CM290" s="344">
        <v>1</v>
      </c>
      <c r="CN290" s="344">
        <v>1</v>
      </c>
      <c r="CO290" s="449">
        <v>23</v>
      </c>
      <c r="CP290" s="449">
        <v>4.00000000001</v>
      </c>
      <c r="CQ290" s="449">
        <v>3.00000000002</v>
      </c>
      <c r="CR290" s="449">
        <v>4.00000000003</v>
      </c>
      <c r="CS290" s="449">
        <v>4.00000000004</v>
      </c>
      <c r="CT290" s="449">
        <v>5.0000000000000002E-11</v>
      </c>
      <c r="CU290" s="449">
        <v>3.00000000006</v>
      </c>
      <c r="CV290" s="449">
        <v>3.00000000007</v>
      </c>
      <c r="CX290" s="344">
        <f t="shared" si="564"/>
        <v>4.00000000001</v>
      </c>
      <c r="CY290" s="344">
        <f t="shared" si="565"/>
        <v>6.00000000004</v>
      </c>
      <c r="CZ290" s="344">
        <f t="shared" si="566"/>
        <v>6.0000000000450004</v>
      </c>
      <c r="DA290" s="344">
        <f t="shared" si="567"/>
        <v>4.00000000004</v>
      </c>
      <c r="DB290" s="344">
        <f t="shared" si="568"/>
        <v>0</v>
      </c>
      <c r="DC290" s="344">
        <f t="shared" si="569"/>
        <v>3.00000000006</v>
      </c>
      <c r="DD290" s="344">
        <f t="shared" si="570"/>
        <v>3.00000000007</v>
      </c>
      <c r="DE290" s="344">
        <f t="shared" si="571"/>
        <v>0</v>
      </c>
      <c r="DF290" s="451" t="b">
        <f t="shared" si="572"/>
        <v>1</v>
      </c>
      <c r="DG290" s="451" t="b">
        <f t="shared" si="573"/>
        <v>1</v>
      </c>
      <c r="DH290" s="451" t="b">
        <f t="shared" si="574"/>
        <v>1</v>
      </c>
      <c r="DI290" s="451" t="b">
        <f t="shared" si="575"/>
        <v>1</v>
      </c>
      <c r="DJ290" s="451" t="b">
        <f t="shared" si="576"/>
        <v>0</v>
      </c>
      <c r="DK290" s="451" t="b">
        <f t="shared" si="577"/>
        <v>0</v>
      </c>
      <c r="DL290" s="451" t="b">
        <f t="shared" si="578"/>
        <v>1</v>
      </c>
      <c r="DM290" s="451" t="b">
        <f t="shared" si="579"/>
        <v>0</v>
      </c>
    </row>
    <row r="291" spans="1:117" x14ac:dyDescent="0.3">
      <c r="A291" s="2" t="s">
        <v>1391</v>
      </c>
      <c r="B291" s="344" t="s">
        <v>2346</v>
      </c>
      <c r="C291" s="2" t="s">
        <v>2180</v>
      </c>
      <c r="D291" s="2" t="s">
        <v>1397</v>
      </c>
      <c r="E291" s="344" t="s">
        <v>1977</v>
      </c>
      <c r="F291" s="344" t="s">
        <v>1978</v>
      </c>
      <c r="G291" s="344">
        <f t="shared" si="547"/>
        <v>25.500000000224997</v>
      </c>
      <c r="H291" s="344">
        <f t="shared" si="548"/>
        <v>24.500000000259998</v>
      </c>
      <c r="I291" s="2" t="s">
        <v>1970</v>
      </c>
      <c r="J291" s="2" t="s">
        <v>1970</v>
      </c>
      <c r="K291" s="450" t="s">
        <v>2740</v>
      </c>
      <c r="L291" s="450" t="s">
        <v>3403</v>
      </c>
      <c r="M291" s="450" t="s">
        <v>1970</v>
      </c>
      <c r="N291" s="344" t="s">
        <v>1978</v>
      </c>
      <c r="O291" s="344" t="s">
        <v>1978</v>
      </c>
      <c r="P291" s="344" t="s">
        <v>1978</v>
      </c>
      <c r="Q291" s="344" t="s">
        <v>1978</v>
      </c>
      <c r="R291" s="344" t="s">
        <v>1978</v>
      </c>
      <c r="S291" s="344" t="s">
        <v>1978</v>
      </c>
      <c r="T291" s="2" t="s">
        <v>1395</v>
      </c>
      <c r="U291" s="344" t="s">
        <v>2150</v>
      </c>
      <c r="V291" s="344" t="s">
        <v>1970</v>
      </c>
      <c r="W291" s="344" t="s">
        <v>1970</v>
      </c>
      <c r="X291" s="344">
        <f>'A123'!J299</f>
        <v>38</v>
      </c>
      <c r="Y291" s="344">
        <f>'A123'!K299</f>
        <v>48</v>
      </c>
      <c r="Z291" s="344">
        <f>'A123'!L299</f>
        <v>5.0270270270270272</v>
      </c>
      <c r="AA291" s="344" t="s">
        <v>2150</v>
      </c>
      <c r="AB291" s="344" t="str">
        <f>入學要求!X300</f>
        <v>/</v>
      </c>
      <c r="AC291" s="344" t="str">
        <f>入學要求!Y300</f>
        <v>/</v>
      </c>
      <c r="AD291" s="344" t="s">
        <v>1977</v>
      </c>
      <c r="AE291" s="344" t="s">
        <v>1970</v>
      </c>
      <c r="AF291" s="344" t="s">
        <v>1970</v>
      </c>
      <c r="AG291" s="450" t="s">
        <v>2740</v>
      </c>
      <c r="AH291" s="450" t="s">
        <v>3403</v>
      </c>
      <c r="AI291" s="450" t="s">
        <v>1970</v>
      </c>
      <c r="AJ291" s="2" t="s">
        <v>1970</v>
      </c>
      <c r="AK291" s="2" t="s">
        <v>1970</v>
      </c>
      <c r="AL291" s="2" t="s">
        <v>1970</v>
      </c>
      <c r="AM291" s="2" t="s">
        <v>1970</v>
      </c>
      <c r="AN291" s="2" t="s">
        <v>1970</v>
      </c>
      <c r="AO291" s="2" t="s">
        <v>1970</v>
      </c>
      <c r="AP291" s="344" t="s">
        <v>1970</v>
      </c>
      <c r="AQ291" s="344" t="s">
        <v>1970</v>
      </c>
      <c r="AR291" s="344" t="s">
        <v>2150</v>
      </c>
      <c r="AS291" s="381" t="s">
        <v>2369</v>
      </c>
      <c r="AT291" s="450"/>
      <c r="AV291" s="344" t="s">
        <v>2632</v>
      </c>
      <c r="BB291" s="2">
        <v>1.5</v>
      </c>
      <c r="BC291" s="2">
        <v>2</v>
      </c>
      <c r="BD291" s="2">
        <v>1</v>
      </c>
      <c r="BE291" s="2">
        <v>1</v>
      </c>
      <c r="BG291" s="344">
        <v>1</v>
      </c>
      <c r="BH291" s="344">
        <v>1.5</v>
      </c>
      <c r="BJ291" s="2">
        <v>4.00000000001</v>
      </c>
      <c r="BK291" s="2">
        <v>3.00000000002</v>
      </c>
      <c r="BL291" s="2">
        <v>4.00000000003</v>
      </c>
      <c r="BM291" s="2">
        <v>4.00000000004</v>
      </c>
      <c r="BN291" s="2">
        <v>5.0000000000000002E-11</v>
      </c>
      <c r="BO291" s="2">
        <v>4.00000000006</v>
      </c>
      <c r="BP291" s="2">
        <v>3.00000000007</v>
      </c>
      <c r="BR291" s="2">
        <f t="shared" si="580"/>
        <v>6.0000000000149996</v>
      </c>
      <c r="BS291" s="2">
        <f t="shared" si="581"/>
        <v>6.00000000004</v>
      </c>
      <c r="BT291" s="2">
        <f t="shared" si="582"/>
        <v>4.00000000003</v>
      </c>
      <c r="BU291" s="2">
        <f t="shared" si="583"/>
        <v>4.00000000004</v>
      </c>
      <c r="BV291" s="2">
        <f t="shared" si="584"/>
        <v>0</v>
      </c>
      <c r="BW291" s="2">
        <f t="shared" si="585"/>
        <v>4.00000000006</v>
      </c>
      <c r="BX291" s="2">
        <f t="shared" si="586"/>
        <v>4.5000000001050005</v>
      </c>
      <c r="BY291" s="2">
        <f t="shared" si="543"/>
        <v>0</v>
      </c>
      <c r="BZ291" s="451" t="b">
        <f t="shared" si="556"/>
        <v>1</v>
      </c>
      <c r="CA291" s="451" t="b">
        <f t="shared" si="557"/>
        <v>1</v>
      </c>
      <c r="CB291" s="451" t="b">
        <f t="shared" si="558"/>
        <v>0</v>
      </c>
      <c r="CC291" s="451" t="b">
        <f t="shared" si="559"/>
        <v>1</v>
      </c>
      <c r="CD291" s="451" t="b">
        <f t="shared" si="560"/>
        <v>0</v>
      </c>
      <c r="CE291" s="451" t="b">
        <f t="shared" si="561"/>
        <v>1</v>
      </c>
      <c r="CF291" s="451" t="b">
        <f t="shared" si="562"/>
        <v>1</v>
      </c>
      <c r="CG291" s="451" t="b">
        <f t="shared" si="563"/>
        <v>0</v>
      </c>
      <c r="CH291" s="344">
        <v>1.5</v>
      </c>
      <c r="CI291" s="344">
        <v>2</v>
      </c>
      <c r="CJ291" s="344">
        <v>1</v>
      </c>
      <c r="CK291" s="344">
        <v>1</v>
      </c>
      <c r="CL291" s="344"/>
      <c r="CM291" s="344">
        <v>1</v>
      </c>
      <c r="CN291" s="344">
        <v>1</v>
      </c>
      <c r="CO291" s="449">
        <v>25.5</v>
      </c>
      <c r="CP291" s="449">
        <v>5.00000000001</v>
      </c>
      <c r="CQ291" s="449">
        <v>3.00000000002</v>
      </c>
      <c r="CR291" s="449">
        <v>3.00000000003</v>
      </c>
      <c r="CS291" s="449">
        <v>4.00000000004</v>
      </c>
      <c r="CT291" s="449">
        <v>5.0000000000000002E-11</v>
      </c>
      <c r="CU291" s="449">
        <v>4.00000000006</v>
      </c>
      <c r="CV291" s="449">
        <v>4.00000000007</v>
      </c>
      <c r="CX291" s="344">
        <f t="shared" si="564"/>
        <v>7.5000000000149996</v>
      </c>
      <c r="CY291" s="344">
        <f t="shared" si="565"/>
        <v>6.00000000004</v>
      </c>
      <c r="CZ291" s="344">
        <f t="shared" si="566"/>
        <v>3.00000000003</v>
      </c>
      <c r="DA291" s="344">
        <f t="shared" si="567"/>
        <v>4.00000000004</v>
      </c>
      <c r="DB291" s="344">
        <f t="shared" si="568"/>
        <v>0</v>
      </c>
      <c r="DC291" s="344">
        <f t="shared" si="569"/>
        <v>4.00000000006</v>
      </c>
      <c r="DD291" s="344">
        <f t="shared" si="570"/>
        <v>4.00000000007</v>
      </c>
      <c r="DE291" s="344">
        <f t="shared" si="571"/>
        <v>0</v>
      </c>
      <c r="DF291" s="451" t="b">
        <f t="shared" si="572"/>
        <v>1</v>
      </c>
      <c r="DG291" s="451" t="b">
        <f t="shared" si="573"/>
        <v>1</v>
      </c>
      <c r="DH291" s="451" t="b">
        <f t="shared" si="574"/>
        <v>0</v>
      </c>
      <c r="DI291" s="451" t="b">
        <f t="shared" si="575"/>
        <v>1</v>
      </c>
      <c r="DJ291" s="451" t="b">
        <f t="shared" si="576"/>
        <v>0</v>
      </c>
      <c r="DK291" s="451" t="b">
        <f t="shared" si="577"/>
        <v>1</v>
      </c>
      <c r="DL291" s="451" t="b">
        <f t="shared" si="578"/>
        <v>1</v>
      </c>
      <c r="DM291" s="451" t="b">
        <f t="shared" si="579"/>
        <v>0</v>
      </c>
    </row>
    <row r="292" spans="1:117" x14ac:dyDescent="0.3">
      <c r="A292" s="2" t="s">
        <v>1398</v>
      </c>
      <c r="B292" s="344" t="s">
        <v>2346</v>
      </c>
      <c r="C292" s="2" t="s">
        <v>2149</v>
      </c>
      <c r="D292" s="2" t="s">
        <v>1401</v>
      </c>
      <c r="E292" s="344" t="s">
        <v>1977</v>
      </c>
      <c r="F292" s="344" t="s">
        <v>1978</v>
      </c>
      <c r="G292" s="344">
        <f t="shared" si="547"/>
        <v>23.500000000204999</v>
      </c>
      <c r="H292" s="344">
        <f t="shared" si="548"/>
        <v>23.000000000224997</v>
      </c>
      <c r="I292" s="2" t="s">
        <v>1970</v>
      </c>
      <c r="J292" s="2" t="s">
        <v>1970</v>
      </c>
      <c r="K292" s="450" t="s">
        <v>2740</v>
      </c>
      <c r="L292" s="450" t="s">
        <v>2777</v>
      </c>
      <c r="M292" s="450" t="s">
        <v>1970</v>
      </c>
      <c r="N292" s="344" t="s">
        <v>1978</v>
      </c>
      <c r="O292" s="344" t="s">
        <v>1978</v>
      </c>
      <c r="P292" s="344" t="s">
        <v>1978</v>
      </c>
      <c r="Q292" s="344" t="s">
        <v>1978</v>
      </c>
      <c r="R292" s="344" t="s">
        <v>1978</v>
      </c>
      <c r="S292" s="344" t="s">
        <v>1978</v>
      </c>
      <c r="T292" s="2" t="s">
        <v>1399</v>
      </c>
      <c r="U292" s="344" t="s">
        <v>2150</v>
      </c>
      <c r="V292" s="344" t="s">
        <v>1970</v>
      </c>
      <c r="W292" s="344" t="s">
        <v>1970</v>
      </c>
      <c r="X292" s="344">
        <f>'A123'!J300</f>
        <v>25</v>
      </c>
      <c r="Y292" s="344">
        <f>'A123'!K300</f>
        <v>45</v>
      </c>
      <c r="Z292" s="344">
        <f>'A123'!L300</f>
        <v>7.6944444444444446</v>
      </c>
      <c r="AA292" s="344" t="s">
        <v>2150</v>
      </c>
      <c r="AB292" s="344" t="str">
        <f>入學要求!X301</f>
        <v>/</v>
      </c>
      <c r="AC292" s="344" t="str">
        <f>入學要求!Y301</f>
        <v>/</v>
      </c>
      <c r="AD292" s="344" t="s">
        <v>1977</v>
      </c>
      <c r="AE292" s="344" t="s">
        <v>1970</v>
      </c>
      <c r="AF292" s="344" t="s">
        <v>1970</v>
      </c>
      <c r="AG292" s="450" t="s">
        <v>2740</v>
      </c>
      <c r="AH292" s="450" t="s">
        <v>2777</v>
      </c>
      <c r="AI292" s="450" t="s">
        <v>1970</v>
      </c>
      <c r="AJ292" s="2" t="s">
        <v>1970</v>
      </c>
      <c r="AK292" s="2" t="s">
        <v>1970</v>
      </c>
      <c r="AL292" s="2" t="s">
        <v>1970</v>
      </c>
      <c r="AM292" s="2" t="s">
        <v>1970</v>
      </c>
      <c r="AN292" s="2" t="s">
        <v>1970</v>
      </c>
      <c r="AO292" s="2" t="s">
        <v>1970</v>
      </c>
      <c r="AP292" s="344" t="s">
        <v>1970</v>
      </c>
      <c r="AQ292" s="344" t="s">
        <v>1970</v>
      </c>
      <c r="AR292" s="344" t="s">
        <v>2150</v>
      </c>
      <c r="AS292" s="381" t="s">
        <v>2369</v>
      </c>
      <c r="AT292" s="450"/>
      <c r="AV292" s="344" t="s">
        <v>2632</v>
      </c>
      <c r="BB292" s="2">
        <v>1</v>
      </c>
      <c r="BC292" s="2">
        <v>2</v>
      </c>
      <c r="BD292" s="2">
        <v>1.5</v>
      </c>
      <c r="BE292" s="2">
        <v>1</v>
      </c>
      <c r="BG292" s="344">
        <v>1</v>
      </c>
      <c r="BH292" s="344">
        <v>1</v>
      </c>
      <c r="BJ292" s="2">
        <v>4.00000000001</v>
      </c>
      <c r="BK292" s="2">
        <v>3.00000000002</v>
      </c>
      <c r="BL292" s="2">
        <v>4.00000000003</v>
      </c>
      <c r="BM292" s="2">
        <v>3.00000000004</v>
      </c>
      <c r="BN292" s="2">
        <v>5.0000000000000002E-11</v>
      </c>
      <c r="BO292" s="2">
        <v>4.00000000006</v>
      </c>
      <c r="BP292" s="2">
        <v>3.00000000007</v>
      </c>
      <c r="BR292" s="2">
        <f t="shared" si="580"/>
        <v>4.00000000001</v>
      </c>
      <c r="BS292" s="2">
        <f t="shared" si="581"/>
        <v>6.00000000004</v>
      </c>
      <c r="BT292" s="2">
        <f t="shared" si="582"/>
        <v>6.0000000000450004</v>
      </c>
      <c r="BU292" s="2">
        <f t="shared" si="583"/>
        <v>3.00000000004</v>
      </c>
      <c r="BV292" s="2">
        <f t="shared" si="584"/>
        <v>0</v>
      </c>
      <c r="BW292" s="2">
        <f t="shared" si="585"/>
        <v>4.00000000006</v>
      </c>
      <c r="BX292" s="2">
        <f t="shared" si="586"/>
        <v>3.00000000007</v>
      </c>
      <c r="BY292" s="2">
        <f t="shared" si="543"/>
        <v>0</v>
      </c>
      <c r="BZ292" s="451" t="b">
        <f t="shared" si="556"/>
        <v>1</v>
      </c>
      <c r="CA292" s="451" t="b">
        <f t="shared" si="557"/>
        <v>1</v>
      </c>
      <c r="CB292" s="451" t="b">
        <f t="shared" si="558"/>
        <v>1</v>
      </c>
      <c r="CC292" s="451" t="b">
        <f t="shared" si="559"/>
        <v>0</v>
      </c>
      <c r="CD292" s="451" t="b">
        <f t="shared" si="560"/>
        <v>0</v>
      </c>
      <c r="CE292" s="451" t="b">
        <f t="shared" si="561"/>
        <v>1</v>
      </c>
      <c r="CF292" s="451" t="b">
        <f t="shared" si="562"/>
        <v>1</v>
      </c>
      <c r="CG292" s="451" t="b">
        <f t="shared" si="563"/>
        <v>0</v>
      </c>
      <c r="CH292" s="344">
        <v>1</v>
      </c>
      <c r="CI292" s="344">
        <v>2</v>
      </c>
      <c r="CJ292" s="344">
        <v>1.5</v>
      </c>
      <c r="CK292" s="344">
        <v>1</v>
      </c>
      <c r="CL292" s="344"/>
      <c r="CM292" s="344">
        <v>1</v>
      </c>
      <c r="CN292" s="344">
        <v>1</v>
      </c>
      <c r="CO292" s="449">
        <v>23.5</v>
      </c>
      <c r="CP292" s="449">
        <v>4.00000000001</v>
      </c>
      <c r="CQ292" s="449">
        <v>4.00000000002</v>
      </c>
      <c r="CR292" s="449">
        <v>3.00000000003</v>
      </c>
      <c r="CS292" s="449">
        <v>4.00000000004</v>
      </c>
      <c r="CT292" s="449">
        <v>5.0000000000000002E-11</v>
      </c>
      <c r="CU292" s="449">
        <v>3.00000000006</v>
      </c>
      <c r="CV292" s="449">
        <v>3.00000000007</v>
      </c>
      <c r="CX292" s="344">
        <f t="shared" si="564"/>
        <v>4.00000000001</v>
      </c>
      <c r="CY292" s="344">
        <f t="shared" si="565"/>
        <v>8.00000000004</v>
      </c>
      <c r="CZ292" s="344">
        <f t="shared" si="566"/>
        <v>4.5000000000450004</v>
      </c>
      <c r="DA292" s="344">
        <f t="shared" si="567"/>
        <v>4.00000000004</v>
      </c>
      <c r="DB292" s="344">
        <f t="shared" si="568"/>
        <v>0</v>
      </c>
      <c r="DC292" s="344">
        <f t="shared" si="569"/>
        <v>3.00000000006</v>
      </c>
      <c r="DD292" s="344">
        <f t="shared" si="570"/>
        <v>3.00000000007</v>
      </c>
      <c r="DE292" s="344">
        <f t="shared" si="571"/>
        <v>0</v>
      </c>
      <c r="DF292" s="451" t="b">
        <f t="shared" si="572"/>
        <v>1</v>
      </c>
      <c r="DG292" s="451" t="b">
        <f t="shared" si="573"/>
        <v>1</v>
      </c>
      <c r="DH292" s="451" t="b">
        <f t="shared" si="574"/>
        <v>1</v>
      </c>
      <c r="DI292" s="451" t="b">
        <f t="shared" si="575"/>
        <v>1</v>
      </c>
      <c r="DJ292" s="451" t="b">
        <f t="shared" si="576"/>
        <v>0</v>
      </c>
      <c r="DK292" s="451" t="b">
        <f t="shared" si="577"/>
        <v>0</v>
      </c>
      <c r="DL292" s="451" t="b">
        <f t="shared" si="578"/>
        <v>1</v>
      </c>
      <c r="DM292" s="451" t="b">
        <f t="shared" si="579"/>
        <v>0</v>
      </c>
    </row>
    <row r="293" spans="1:117" x14ac:dyDescent="0.3">
      <c r="A293" s="2" t="s">
        <v>1402</v>
      </c>
      <c r="B293" s="344" t="s">
        <v>2346</v>
      </c>
      <c r="C293" s="344" t="s">
        <v>2149</v>
      </c>
      <c r="D293" s="2" t="s">
        <v>1405</v>
      </c>
      <c r="E293" s="344" t="s">
        <v>1977</v>
      </c>
      <c r="F293" s="344" t="s">
        <v>1978</v>
      </c>
      <c r="G293" s="344">
        <f t="shared" si="547"/>
        <v>28.000000000269999</v>
      </c>
      <c r="H293" s="344">
        <f t="shared" si="548"/>
        <v>26.000000000269996</v>
      </c>
      <c r="I293" s="2" t="s">
        <v>1970</v>
      </c>
      <c r="J293" s="2" t="s">
        <v>1970</v>
      </c>
      <c r="K293" s="450" t="s">
        <v>3405</v>
      </c>
      <c r="L293" s="450" t="s">
        <v>3407</v>
      </c>
      <c r="M293" s="344" t="s">
        <v>1970</v>
      </c>
      <c r="N293" s="344" t="s">
        <v>1978</v>
      </c>
      <c r="O293" s="344" t="s">
        <v>1978</v>
      </c>
      <c r="P293" s="344" t="s">
        <v>1978</v>
      </c>
      <c r="Q293" s="344" t="s">
        <v>1978</v>
      </c>
      <c r="R293" s="344" t="s">
        <v>1978</v>
      </c>
      <c r="S293" s="344" t="s">
        <v>1978</v>
      </c>
      <c r="T293" s="2" t="s">
        <v>1403</v>
      </c>
      <c r="U293" s="344" t="s">
        <v>2150</v>
      </c>
      <c r="V293" s="344" t="s">
        <v>1970</v>
      </c>
      <c r="W293" s="344" t="s">
        <v>1970</v>
      </c>
      <c r="X293" s="344">
        <f>'A123'!J301</f>
        <v>25</v>
      </c>
      <c r="Y293" s="344">
        <f>'A123'!K301</f>
        <v>28</v>
      </c>
      <c r="Z293" s="344">
        <f>'A123'!L301</f>
        <v>5.5238095238095237</v>
      </c>
      <c r="AA293" s="344" t="s">
        <v>2150</v>
      </c>
      <c r="AB293" s="344" t="str">
        <f>入學要求!X302</f>
        <v>/</v>
      </c>
      <c r="AC293" s="344" t="str">
        <f>入學要求!Y302</f>
        <v>/</v>
      </c>
      <c r="AD293" s="344" t="s">
        <v>1977</v>
      </c>
      <c r="AE293" s="344" t="s">
        <v>1970</v>
      </c>
      <c r="AF293" s="344" t="s">
        <v>1970</v>
      </c>
      <c r="AG293" s="450" t="s">
        <v>3405</v>
      </c>
      <c r="AH293" s="450" t="s">
        <v>3407</v>
      </c>
      <c r="AI293" s="344" t="s">
        <v>1970</v>
      </c>
      <c r="AJ293" s="2" t="s">
        <v>1970</v>
      </c>
      <c r="AK293" s="2" t="s">
        <v>1970</v>
      </c>
      <c r="AL293" s="2" t="s">
        <v>1970</v>
      </c>
      <c r="AM293" s="2" t="s">
        <v>1970</v>
      </c>
      <c r="AN293" s="2" t="s">
        <v>1970</v>
      </c>
      <c r="AO293" s="2" t="s">
        <v>1970</v>
      </c>
      <c r="AP293" s="344" t="s">
        <v>1970</v>
      </c>
      <c r="AQ293" s="344" t="s">
        <v>1970</v>
      </c>
      <c r="AR293" s="344" t="s">
        <v>2150</v>
      </c>
      <c r="AS293" s="381" t="s">
        <v>2369</v>
      </c>
      <c r="AV293" s="344" t="s">
        <v>2632</v>
      </c>
      <c r="BB293" s="2">
        <v>1</v>
      </c>
      <c r="BC293" s="2">
        <v>2</v>
      </c>
      <c r="BD293" s="2">
        <v>2</v>
      </c>
      <c r="BE293" s="2">
        <v>1</v>
      </c>
      <c r="BG293" s="344">
        <v>1</v>
      </c>
      <c r="BH293" s="344">
        <v>1</v>
      </c>
      <c r="BJ293" s="2">
        <v>3.00000000001</v>
      </c>
      <c r="BK293" s="2">
        <v>3.00000000002</v>
      </c>
      <c r="BL293" s="2">
        <v>4.00000000003</v>
      </c>
      <c r="BM293" s="2">
        <v>4.00000000004</v>
      </c>
      <c r="BN293" s="2">
        <v>5.0000000000000002E-11</v>
      </c>
      <c r="BO293" s="2">
        <v>4.00000000006</v>
      </c>
      <c r="BP293" s="2">
        <v>4.00000000007</v>
      </c>
      <c r="BR293" s="2">
        <f t="shared" si="580"/>
        <v>3.00000000001</v>
      </c>
      <c r="BS293" s="2">
        <f t="shared" si="581"/>
        <v>6.00000000004</v>
      </c>
      <c r="BT293" s="2">
        <f t="shared" si="582"/>
        <v>8.00000000006</v>
      </c>
      <c r="BU293" s="2">
        <f t="shared" si="583"/>
        <v>4.00000000004</v>
      </c>
      <c r="BV293" s="2">
        <f t="shared" si="584"/>
        <v>0</v>
      </c>
      <c r="BW293" s="2">
        <f t="shared" si="585"/>
        <v>4.00000000006</v>
      </c>
      <c r="BX293" s="2">
        <f t="shared" si="586"/>
        <v>4.00000000007</v>
      </c>
      <c r="BY293" s="2">
        <f t="shared" si="543"/>
        <v>0</v>
      </c>
      <c r="BZ293" s="451" t="b">
        <f t="shared" si="556"/>
        <v>0</v>
      </c>
      <c r="CA293" s="451" t="b">
        <f t="shared" si="557"/>
        <v>1</v>
      </c>
      <c r="CB293" s="451" t="b">
        <f t="shared" si="558"/>
        <v>1</v>
      </c>
      <c r="CC293" s="451" t="b">
        <f t="shared" si="559"/>
        <v>1</v>
      </c>
      <c r="CD293" s="451" t="b">
        <f t="shared" si="560"/>
        <v>0</v>
      </c>
      <c r="CE293" s="451" t="b">
        <f t="shared" si="561"/>
        <v>1</v>
      </c>
      <c r="CF293" s="451" t="b">
        <f t="shared" si="562"/>
        <v>1</v>
      </c>
      <c r="CG293" s="451" t="b">
        <f t="shared" si="563"/>
        <v>0</v>
      </c>
      <c r="CH293" s="344">
        <v>1</v>
      </c>
      <c r="CI293" s="344">
        <v>2</v>
      </c>
      <c r="CJ293" s="344">
        <v>2</v>
      </c>
      <c r="CK293" s="344">
        <v>1</v>
      </c>
      <c r="CL293" s="344"/>
      <c r="CM293" s="344">
        <v>2</v>
      </c>
      <c r="CN293" s="344">
        <v>1</v>
      </c>
      <c r="CO293" s="449">
        <v>28</v>
      </c>
      <c r="CP293" s="449">
        <v>4.00000000001</v>
      </c>
      <c r="CQ293" s="449">
        <v>3.00000000002</v>
      </c>
      <c r="CR293" s="449">
        <v>4.00000000003</v>
      </c>
      <c r="CS293" s="449">
        <v>4.00000000004</v>
      </c>
      <c r="CT293" s="449">
        <v>5.0000000000000002E-11</v>
      </c>
      <c r="CU293" s="449">
        <v>3.00000000006</v>
      </c>
      <c r="CV293" s="449">
        <v>3.00000000007</v>
      </c>
      <c r="CX293" s="344">
        <f t="shared" si="564"/>
        <v>4.00000000001</v>
      </c>
      <c r="CY293" s="344">
        <f t="shared" si="565"/>
        <v>6.00000000004</v>
      </c>
      <c r="CZ293" s="344">
        <f t="shared" si="566"/>
        <v>8.00000000006</v>
      </c>
      <c r="DA293" s="344">
        <f t="shared" si="567"/>
        <v>4.00000000004</v>
      </c>
      <c r="DB293" s="344">
        <f t="shared" si="568"/>
        <v>0</v>
      </c>
      <c r="DC293" s="344">
        <f t="shared" si="569"/>
        <v>6.00000000012</v>
      </c>
      <c r="DD293" s="344">
        <f t="shared" si="570"/>
        <v>3.00000000007</v>
      </c>
      <c r="DE293" s="344">
        <f t="shared" si="571"/>
        <v>0</v>
      </c>
      <c r="DF293" s="451" t="b">
        <f t="shared" si="572"/>
        <v>1</v>
      </c>
      <c r="DG293" s="451" t="b">
        <f t="shared" si="573"/>
        <v>1</v>
      </c>
      <c r="DH293" s="451" t="b">
        <f t="shared" si="574"/>
        <v>1</v>
      </c>
      <c r="DI293" s="451" t="b">
        <f t="shared" si="575"/>
        <v>1</v>
      </c>
      <c r="DJ293" s="451" t="b">
        <f t="shared" si="576"/>
        <v>0</v>
      </c>
      <c r="DK293" s="451" t="b">
        <f t="shared" si="577"/>
        <v>1</v>
      </c>
      <c r="DL293" s="451" t="b">
        <f t="shared" si="578"/>
        <v>0</v>
      </c>
      <c r="DM293" s="451" t="b">
        <f t="shared" si="579"/>
        <v>0</v>
      </c>
    </row>
    <row r="294" spans="1:117" x14ac:dyDescent="0.3">
      <c r="A294" s="2" t="s">
        <v>1410</v>
      </c>
      <c r="B294" s="344" t="s">
        <v>2346</v>
      </c>
      <c r="C294" s="344" t="s">
        <v>2216</v>
      </c>
      <c r="D294" s="2" t="s">
        <v>1413</v>
      </c>
      <c r="E294" s="344" t="s">
        <v>2916</v>
      </c>
      <c r="F294" s="344" t="s">
        <v>1978</v>
      </c>
      <c r="G294" s="344">
        <f t="shared" si="547"/>
        <v>25.500000000214996</v>
      </c>
      <c r="H294" s="344">
        <f t="shared" si="548"/>
        <v>24.500000000274998</v>
      </c>
      <c r="I294" s="2" t="s">
        <v>3420</v>
      </c>
      <c r="J294" s="2" t="s">
        <v>3421</v>
      </c>
      <c r="K294" s="450" t="s">
        <v>2740</v>
      </c>
      <c r="L294" s="450" t="s">
        <v>3409</v>
      </c>
      <c r="M294" s="450" t="s">
        <v>3423</v>
      </c>
      <c r="N294" s="344" t="s">
        <v>1978</v>
      </c>
      <c r="O294" s="344" t="s">
        <v>1978</v>
      </c>
      <c r="P294" s="344" t="s">
        <v>1978</v>
      </c>
      <c r="Q294" s="344" t="s">
        <v>1978</v>
      </c>
      <c r="R294" s="344" t="s">
        <v>1978</v>
      </c>
      <c r="S294" s="344" t="s">
        <v>1978</v>
      </c>
      <c r="T294" s="2" t="s">
        <v>1411</v>
      </c>
      <c r="U294" s="344" t="s">
        <v>2150</v>
      </c>
      <c r="V294" s="344" t="s">
        <v>1970</v>
      </c>
      <c r="W294" s="344" t="s">
        <v>1970</v>
      </c>
      <c r="X294" s="344">
        <f>'A123'!J302</f>
        <v>19</v>
      </c>
      <c r="Y294" s="344" t="str">
        <f>'A123'!K302</f>
        <v>/</v>
      </c>
      <c r="Z294" s="344" t="str">
        <f>'A123'!L302</f>
        <v>新科目</v>
      </c>
      <c r="AA294" s="344" t="s">
        <v>2150</v>
      </c>
      <c r="AB294" s="344" t="str">
        <f>入學要求!X303</f>
        <v>/</v>
      </c>
      <c r="AC294" s="344" t="str">
        <f>入學要求!Y303</f>
        <v>/</v>
      </c>
      <c r="AD294" s="344" t="s">
        <v>1977</v>
      </c>
      <c r="AE294" s="344" t="s">
        <v>1970</v>
      </c>
      <c r="AF294" s="344" t="s">
        <v>1970</v>
      </c>
      <c r="AG294" s="450" t="s">
        <v>2740</v>
      </c>
      <c r="AH294" s="450" t="s">
        <v>3409</v>
      </c>
      <c r="AI294" s="450" t="s">
        <v>1970</v>
      </c>
      <c r="AJ294" s="2" t="s">
        <v>1970</v>
      </c>
      <c r="AK294" s="2" t="s">
        <v>1970</v>
      </c>
      <c r="AL294" s="2" t="s">
        <v>1970</v>
      </c>
      <c r="AM294" s="2" t="s">
        <v>1970</v>
      </c>
      <c r="AN294" s="2" t="s">
        <v>1970</v>
      </c>
      <c r="AO294" s="2" t="s">
        <v>1970</v>
      </c>
      <c r="AP294" s="344" t="s">
        <v>1970</v>
      </c>
      <c r="AQ294" s="344" t="s">
        <v>1970</v>
      </c>
      <c r="AR294" s="344" t="s">
        <v>2150</v>
      </c>
      <c r="AS294" s="381" t="s">
        <v>2369</v>
      </c>
      <c r="AU294" s="344"/>
      <c r="AV294" s="344" t="s">
        <v>2632</v>
      </c>
      <c r="BB294" s="2">
        <v>1</v>
      </c>
      <c r="BC294" s="2">
        <v>2</v>
      </c>
      <c r="BD294" s="2">
        <v>1.5</v>
      </c>
      <c r="BE294" s="2">
        <v>1.5</v>
      </c>
      <c r="BG294" s="344">
        <v>1</v>
      </c>
      <c r="BH294" s="344">
        <v>1</v>
      </c>
      <c r="BJ294" s="344">
        <v>4.00000000001</v>
      </c>
      <c r="BK294" s="344">
        <v>3.00000000002</v>
      </c>
      <c r="BL294" s="344">
        <v>4.00000000003</v>
      </c>
      <c r="BM294" s="344">
        <v>3.00000000004</v>
      </c>
      <c r="BN294" s="344">
        <v>5.0000000000000002E-11</v>
      </c>
      <c r="BO294" s="344">
        <v>4.00000000006</v>
      </c>
      <c r="BP294" s="344">
        <v>4.00000000007</v>
      </c>
      <c r="BR294" s="2">
        <f t="shared" ref="BR294:BX294" si="587">BB294*BJ294</f>
        <v>4.00000000001</v>
      </c>
      <c r="BS294" s="2">
        <f t="shared" si="587"/>
        <v>6.00000000004</v>
      </c>
      <c r="BT294" s="2">
        <f t="shared" si="587"/>
        <v>6.0000000000450004</v>
      </c>
      <c r="BU294" s="2">
        <f t="shared" si="587"/>
        <v>4.50000000006</v>
      </c>
      <c r="BV294" s="2">
        <f t="shared" si="587"/>
        <v>0</v>
      </c>
      <c r="BW294" s="2">
        <f t="shared" si="587"/>
        <v>4.00000000006</v>
      </c>
      <c r="BX294" s="2">
        <f t="shared" si="587"/>
        <v>4.00000000007</v>
      </c>
      <c r="BY294" s="2">
        <f t="shared" si="543"/>
        <v>0</v>
      </c>
      <c r="BZ294" s="451" t="b">
        <f t="shared" si="556"/>
        <v>0</v>
      </c>
      <c r="CA294" s="451" t="b">
        <f t="shared" si="557"/>
        <v>1</v>
      </c>
      <c r="CB294" s="451" t="b">
        <f t="shared" si="558"/>
        <v>1</v>
      </c>
      <c r="CC294" s="451" t="b">
        <f t="shared" si="559"/>
        <v>1</v>
      </c>
      <c r="CD294" s="451" t="b">
        <f t="shared" si="560"/>
        <v>0</v>
      </c>
      <c r="CE294" s="451" t="b">
        <f t="shared" si="561"/>
        <v>1</v>
      </c>
      <c r="CF294" s="451" t="b">
        <f t="shared" si="562"/>
        <v>1</v>
      </c>
      <c r="CG294" s="451" t="b">
        <f t="shared" si="563"/>
        <v>0</v>
      </c>
      <c r="CH294" s="344">
        <v>1</v>
      </c>
      <c r="CI294" s="344">
        <v>2</v>
      </c>
      <c r="CJ294" s="344">
        <v>1.5</v>
      </c>
      <c r="CK294" s="344">
        <v>1.5</v>
      </c>
      <c r="CL294" s="344"/>
      <c r="CM294" s="344">
        <v>1</v>
      </c>
      <c r="CN294" s="344">
        <v>1</v>
      </c>
      <c r="CO294" s="449">
        <v>25.5</v>
      </c>
      <c r="CP294" s="449">
        <v>5.00000000001</v>
      </c>
      <c r="CQ294" s="449">
        <v>3.00000000002</v>
      </c>
      <c r="CR294" s="449">
        <v>4.00000000003</v>
      </c>
      <c r="CS294" s="449">
        <v>3.00000000004</v>
      </c>
      <c r="CT294" s="449">
        <v>5.0000000000000002E-11</v>
      </c>
      <c r="CU294" s="449">
        <v>4.00000000006</v>
      </c>
      <c r="CV294" s="449">
        <v>3.00000000007</v>
      </c>
      <c r="CX294" s="344">
        <f t="shared" si="564"/>
        <v>5.00000000001</v>
      </c>
      <c r="CY294" s="344">
        <f t="shared" si="565"/>
        <v>6.00000000004</v>
      </c>
      <c r="CZ294" s="344">
        <f t="shared" si="566"/>
        <v>6.0000000000450004</v>
      </c>
      <c r="DA294" s="344">
        <f t="shared" si="567"/>
        <v>4.50000000006</v>
      </c>
      <c r="DB294" s="344">
        <f t="shared" si="568"/>
        <v>0</v>
      </c>
      <c r="DC294" s="344">
        <f t="shared" si="569"/>
        <v>4.00000000006</v>
      </c>
      <c r="DD294" s="344">
        <f t="shared" si="570"/>
        <v>3.00000000007</v>
      </c>
      <c r="DE294" s="344">
        <f t="shared" si="571"/>
        <v>0</v>
      </c>
      <c r="DF294" s="451" t="b">
        <f t="shared" si="572"/>
        <v>1</v>
      </c>
      <c r="DG294" s="451" t="b">
        <f t="shared" si="573"/>
        <v>1</v>
      </c>
      <c r="DH294" s="451" t="b">
        <f t="shared" si="574"/>
        <v>1</v>
      </c>
      <c r="DI294" s="451" t="b">
        <f t="shared" si="575"/>
        <v>1</v>
      </c>
      <c r="DJ294" s="451" t="b">
        <f t="shared" si="576"/>
        <v>0</v>
      </c>
      <c r="DK294" s="451" t="b">
        <f t="shared" si="577"/>
        <v>1</v>
      </c>
      <c r="DL294" s="451" t="b">
        <f t="shared" si="578"/>
        <v>0</v>
      </c>
      <c r="DM294" s="451" t="b">
        <f t="shared" si="579"/>
        <v>0</v>
      </c>
    </row>
    <row r="295" spans="1:117" x14ac:dyDescent="0.3">
      <c r="A295" s="2" t="s">
        <v>1414</v>
      </c>
      <c r="B295" s="344" t="s">
        <v>2346</v>
      </c>
      <c r="C295" s="344" t="s">
        <v>2216</v>
      </c>
      <c r="D295" s="2" t="s">
        <v>1417</v>
      </c>
      <c r="E295" s="344" t="s">
        <v>2916</v>
      </c>
      <c r="F295" s="344" t="s">
        <v>1978</v>
      </c>
      <c r="G295" s="344">
        <f t="shared" si="547"/>
        <v>25.500000000214996</v>
      </c>
      <c r="H295" s="344">
        <f t="shared" si="548"/>
        <v>24.500000000274998</v>
      </c>
      <c r="I295" s="344" t="s">
        <v>3420</v>
      </c>
      <c r="J295" s="344" t="s">
        <v>3421</v>
      </c>
      <c r="K295" s="450" t="s">
        <v>2740</v>
      </c>
      <c r="L295" s="450" t="s">
        <v>3409</v>
      </c>
      <c r="M295" s="450" t="s">
        <v>3423</v>
      </c>
      <c r="N295" s="344" t="s">
        <v>1978</v>
      </c>
      <c r="O295" s="344" t="s">
        <v>1978</v>
      </c>
      <c r="P295" s="344" t="s">
        <v>1978</v>
      </c>
      <c r="Q295" s="344" t="s">
        <v>1978</v>
      </c>
      <c r="R295" s="344" t="s">
        <v>1978</v>
      </c>
      <c r="S295" s="344" t="s">
        <v>1978</v>
      </c>
      <c r="T295" s="2" t="s">
        <v>1415</v>
      </c>
      <c r="U295" s="344" t="s">
        <v>2150</v>
      </c>
      <c r="V295" s="344" t="s">
        <v>1970</v>
      </c>
      <c r="W295" s="344" t="s">
        <v>1970</v>
      </c>
      <c r="X295" s="344">
        <f>'A123'!J303</f>
        <v>19</v>
      </c>
      <c r="Y295" s="344" t="str">
        <f>'A123'!K303</f>
        <v>/</v>
      </c>
      <c r="Z295" s="344" t="str">
        <f>'A123'!L303</f>
        <v>新科目</v>
      </c>
      <c r="AA295" s="344" t="s">
        <v>2150</v>
      </c>
      <c r="AB295" s="344" t="str">
        <f>入學要求!X304</f>
        <v>/</v>
      </c>
      <c r="AC295" s="344" t="str">
        <f>入學要求!Y304</f>
        <v>/</v>
      </c>
      <c r="AD295" s="344" t="s">
        <v>1977</v>
      </c>
      <c r="AE295" s="344" t="s">
        <v>1970</v>
      </c>
      <c r="AF295" s="344" t="s">
        <v>1970</v>
      </c>
      <c r="AG295" s="344" t="s">
        <v>2740</v>
      </c>
      <c r="AH295" s="344" t="s">
        <v>3413</v>
      </c>
      <c r="AI295" s="344" t="s">
        <v>1970</v>
      </c>
      <c r="AJ295" s="2" t="s">
        <v>1970</v>
      </c>
      <c r="AK295" s="2" t="s">
        <v>1970</v>
      </c>
      <c r="AL295" s="2" t="s">
        <v>1970</v>
      </c>
      <c r="AM295" s="2" t="s">
        <v>1970</v>
      </c>
      <c r="AN295" s="2" t="s">
        <v>1970</v>
      </c>
      <c r="AO295" s="2" t="s">
        <v>1970</v>
      </c>
      <c r="AP295" s="344" t="s">
        <v>1970</v>
      </c>
      <c r="AQ295" s="344" t="s">
        <v>1970</v>
      </c>
      <c r="AR295" s="344" t="s">
        <v>2150</v>
      </c>
      <c r="AS295" s="381" t="s">
        <v>2369</v>
      </c>
      <c r="AU295" s="344"/>
      <c r="AV295" s="344" t="s">
        <v>2632</v>
      </c>
      <c r="BB295" s="344">
        <v>1</v>
      </c>
      <c r="BC295" s="344">
        <v>2</v>
      </c>
      <c r="BD295" s="344">
        <v>1.5</v>
      </c>
      <c r="BE295" s="344">
        <v>1.5</v>
      </c>
      <c r="BF295" s="344"/>
      <c r="BG295" s="344">
        <v>1</v>
      </c>
      <c r="BH295" s="344">
        <v>1</v>
      </c>
      <c r="BJ295" s="344">
        <v>4.00000000001</v>
      </c>
      <c r="BK295" s="344">
        <v>3.00000000002</v>
      </c>
      <c r="BL295" s="344">
        <v>4.00000000003</v>
      </c>
      <c r="BM295" s="344">
        <v>3.00000000004</v>
      </c>
      <c r="BN295" s="344">
        <v>5.0000000000000002E-11</v>
      </c>
      <c r="BO295" s="344">
        <v>4.00000000006</v>
      </c>
      <c r="BP295" s="344">
        <v>4.00000000007</v>
      </c>
      <c r="BR295" s="2">
        <f t="shared" si="580"/>
        <v>4.00000000001</v>
      </c>
      <c r="BS295" s="2">
        <f t="shared" si="581"/>
        <v>6.00000000004</v>
      </c>
      <c r="BT295" s="2">
        <f t="shared" si="582"/>
        <v>6.0000000000450004</v>
      </c>
      <c r="BU295" s="2">
        <f t="shared" si="583"/>
        <v>4.50000000006</v>
      </c>
      <c r="BV295" s="2">
        <f t="shared" si="584"/>
        <v>0</v>
      </c>
      <c r="BW295" s="2">
        <f t="shared" si="585"/>
        <v>4.00000000006</v>
      </c>
      <c r="BX295" s="2">
        <f t="shared" si="586"/>
        <v>4.00000000007</v>
      </c>
      <c r="BY295" s="2">
        <f t="shared" si="543"/>
        <v>0</v>
      </c>
      <c r="BZ295" s="451" t="b">
        <f t="shared" si="556"/>
        <v>0</v>
      </c>
      <c r="CA295" s="451" t="b">
        <f t="shared" si="557"/>
        <v>1</v>
      </c>
      <c r="CB295" s="451" t="b">
        <f t="shared" si="558"/>
        <v>1</v>
      </c>
      <c r="CC295" s="451" t="b">
        <f t="shared" si="559"/>
        <v>1</v>
      </c>
      <c r="CD295" s="451" t="b">
        <f t="shared" si="560"/>
        <v>0</v>
      </c>
      <c r="CE295" s="451" t="b">
        <f t="shared" si="561"/>
        <v>1</v>
      </c>
      <c r="CF295" s="451" t="b">
        <f t="shared" si="562"/>
        <v>1</v>
      </c>
      <c r="CG295" s="451" t="b">
        <f t="shared" si="563"/>
        <v>0</v>
      </c>
      <c r="CH295" s="344">
        <v>1</v>
      </c>
      <c r="CI295" s="344">
        <v>2</v>
      </c>
      <c r="CJ295" s="344">
        <v>1.5</v>
      </c>
      <c r="CK295" s="344">
        <v>1.5</v>
      </c>
      <c r="CL295" s="344"/>
      <c r="CM295" s="344">
        <v>1</v>
      </c>
      <c r="CN295" s="344">
        <v>1</v>
      </c>
      <c r="CO295" s="449">
        <v>25.5</v>
      </c>
      <c r="CP295" s="449">
        <v>5.00000000001</v>
      </c>
      <c r="CQ295" s="449">
        <v>3.00000000002</v>
      </c>
      <c r="CR295" s="449">
        <v>4.00000000003</v>
      </c>
      <c r="CS295" s="449">
        <v>3.00000000004</v>
      </c>
      <c r="CT295" s="449">
        <v>5.0000000000000002E-11</v>
      </c>
      <c r="CU295" s="449">
        <v>4.00000000006</v>
      </c>
      <c r="CV295" s="449">
        <v>3.00000000007</v>
      </c>
      <c r="CX295" s="344">
        <f t="shared" si="564"/>
        <v>5.00000000001</v>
      </c>
      <c r="CY295" s="344">
        <f t="shared" si="565"/>
        <v>6.00000000004</v>
      </c>
      <c r="CZ295" s="344">
        <f t="shared" si="566"/>
        <v>6.0000000000450004</v>
      </c>
      <c r="DA295" s="344">
        <f t="shared" si="567"/>
        <v>4.50000000006</v>
      </c>
      <c r="DB295" s="344">
        <f t="shared" si="568"/>
        <v>0</v>
      </c>
      <c r="DC295" s="344">
        <f t="shared" si="569"/>
        <v>4.00000000006</v>
      </c>
      <c r="DD295" s="344">
        <f t="shared" si="570"/>
        <v>3.00000000007</v>
      </c>
      <c r="DE295" s="344">
        <f t="shared" si="571"/>
        <v>0</v>
      </c>
      <c r="DF295" s="451" t="b">
        <f t="shared" si="572"/>
        <v>1</v>
      </c>
      <c r="DG295" s="451" t="b">
        <f t="shared" si="573"/>
        <v>1</v>
      </c>
      <c r="DH295" s="451" t="b">
        <f t="shared" si="574"/>
        <v>1</v>
      </c>
      <c r="DI295" s="451" t="b">
        <f t="shared" si="575"/>
        <v>1</v>
      </c>
      <c r="DJ295" s="451" t="b">
        <f t="shared" si="576"/>
        <v>0</v>
      </c>
      <c r="DK295" s="451" t="b">
        <f t="shared" si="577"/>
        <v>1</v>
      </c>
      <c r="DL295" s="451" t="b">
        <f t="shared" si="578"/>
        <v>0</v>
      </c>
      <c r="DM295" s="451" t="b">
        <f t="shared" si="579"/>
        <v>0</v>
      </c>
    </row>
    <row r="296" spans="1:117" x14ac:dyDescent="0.3">
      <c r="A296" s="2" t="s">
        <v>1418</v>
      </c>
      <c r="B296" s="344" t="s">
        <v>2346</v>
      </c>
      <c r="C296" s="344" t="s">
        <v>2216</v>
      </c>
      <c r="D296" s="2" t="s">
        <v>1421</v>
      </c>
      <c r="E296" s="344" t="s">
        <v>2916</v>
      </c>
      <c r="F296" s="344" t="s">
        <v>1978</v>
      </c>
      <c r="G296" s="344">
        <f t="shared" si="547"/>
        <v>25.500000000214996</v>
      </c>
      <c r="H296" s="344">
        <f t="shared" si="548"/>
        <v>24.500000000274998</v>
      </c>
      <c r="I296" s="344" t="s">
        <v>3420</v>
      </c>
      <c r="J296" s="344" t="s">
        <v>3421</v>
      </c>
      <c r="K296" s="450" t="s">
        <v>2739</v>
      </c>
      <c r="L296" s="450" t="s">
        <v>3408</v>
      </c>
      <c r="M296" s="450" t="s">
        <v>3422</v>
      </c>
      <c r="N296" s="344" t="s">
        <v>1978</v>
      </c>
      <c r="O296" s="344" t="s">
        <v>1978</v>
      </c>
      <c r="P296" s="344" t="s">
        <v>1978</v>
      </c>
      <c r="Q296" s="344" t="s">
        <v>1978</v>
      </c>
      <c r="R296" s="344" t="s">
        <v>1978</v>
      </c>
      <c r="S296" s="344" t="s">
        <v>1978</v>
      </c>
      <c r="T296" s="2" t="s">
        <v>1419</v>
      </c>
      <c r="U296" s="344" t="s">
        <v>2150</v>
      </c>
      <c r="V296" s="344" t="s">
        <v>1970</v>
      </c>
      <c r="W296" s="344" t="s">
        <v>1970</v>
      </c>
      <c r="X296" s="344">
        <f>'A123'!J304</f>
        <v>20</v>
      </c>
      <c r="Y296" s="344" t="str">
        <f>'A123'!K304</f>
        <v>/</v>
      </c>
      <c r="Z296" s="344" t="str">
        <f>'A123'!L304</f>
        <v>新科目</v>
      </c>
      <c r="AA296" s="344" t="s">
        <v>2150</v>
      </c>
      <c r="AB296" s="344" t="str">
        <f>入學要求!X305</f>
        <v>/</v>
      </c>
      <c r="AC296" s="344" t="str">
        <f>入學要求!Y305</f>
        <v>/</v>
      </c>
      <c r="AD296" s="344" t="s">
        <v>1977</v>
      </c>
      <c r="AE296" s="344" t="s">
        <v>1970</v>
      </c>
      <c r="AF296" s="344" t="s">
        <v>1970</v>
      </c>
      <c r="AG296" s="344" t="s">
        <v>2740</v>
      </c>
      <c r="AH296" s="344" t="s">
        <v>3409</v>
      </c>
      <c r="AI296" s="344" t="s">
        <v>1970</v>
      </c>
      <c r="AJ296" s="2" t="s">
        <v>1970</v>
      </c>
      <c r="AK296" s="2" t="s">
        <v>1970</v>
      </c>
      <c r="AL296" s="2" t="s">
        <v>1970</v>
      </c>
      <c r="AM296" s="2" t="s">
        <v>1970</v>
      </c>
      <c r="AN296" s="2" t="s">
        <v>1970</v>
      </c>
      <c r="AO296" s="2" t="s">
        <v>1970</v>
      </c>
      <c r="AP296" s="344" t="s">
        <v>1970</v>
      </c>
      <c r="AQ296" s="344" t="s">
        <v>1970</v>
      </c>
      <c r="AR296" s="344" t="s">
        <v>2150</v>
      </c>
      <c r="AS296" s="381" t="s">
        <v>2369</v>
      </c>
      <c r="AU296" s="344"/>
      <c r="AV296" s="344" t="s">
        <v>2632</v>
      </c>
      <c r="BB296" s="344">
        <v>1</v>
      </c>
      <c r="BC296" s="344">
        <v>2</v>
      </c>
      <c r="BD296" s="344">
        <v>1.5</v>
      </c>
      <c r="BE296" s="344">
        <v>1.5</v>
      </c>
      <c r="BF296" s="344"/>
      <c r="BG296" s="344">
        <v>1</v>
      </c>
      <c r="BH296" s="344">
        <v>1</v>
      </c>
      <c r="BJ296" s="344">
        <v>4.00000000001</v>
      </c>
      <c r="BK296" s="344">
        <v>3.00000000002</v>
      </c>
      <c r="BL296" s="344">
        <v>4.00000000003</v>
      </c>
      <c r="BM296" s="344">
        <v>3.00000000004</v>
      </c>
      <c r="BN296" s="344">
        <v>5.0000000000000002E-11</v>
      </c>
      <c r="BO296" s="344">
        <v>4.00000000006</v>
      </c>
      <c r="BP296" s="344">
        <v>4.00000000007</v>
      </c>
      <c r="BR296" s="2">
        <f t="shared" si="580"/>
        <v>4.00000000001</v>
      </c>
      <c r="BS296" s="2">
        <f t="shared" si="581"/>
        <v>6.00000000004</v>
      </c>
      <c r="BT296" s="2">
        <f t="shared" si="582"/>
        <v>6.0000000000450004</v>
      </c>
      <c r="BU296" s="2">
        <f t="shared" si="583"/>
        <v>4.50000000006</v>
      </c>
      <c r="BV296" s="2">
        <f t="shared" si="584"/>
        <v>0</v>
      </c>
      <c r="BW296" s="2">
        <f t="shared" si="585"/>
        <v>4.00000000006</v>
      </c>
      <c r="BX296" s="2">
        <f t="shared" si="586"/>
        <v>4.00000000007</v>
      </c>
      <c r="BY296" s="2">
        <f t="shared" si="543"/>
        <v>0</v>
      </c>
      <c r="BZ296" s="451" t="b">
        <f t="shared" si="556"/>
        <v>0</v>
      </c>
      <c r="CA296" s="451" t="b">
        <f t="shared" si="557"/>
        <v>1</v>
      </c>
      <c r="CB296" s="451" t="b">
        <f t="shared" si="558"/>
        <v>1</v>
      </c>
      <c r="CC296" s="451" t="b">
        <f t="shared" si="559"/>
        <v>1</v>
      </c>
      <c r="CD296" s="451" t="b">
        <f t="shared" si="560"/>
        <v>0</v>
      </c>
      <c r="CE296" s="451" t="b">
        <f t="shared" si="561"/>
        <v>1</v>
      </c>
      <c r="CF296" s="451" t="b">
        <f t="shared" si="562"/>
        <v>1</v>
      </c>
      <c r="CG296" s="451" t="b">
        <f t="shared" si="563"/>
        <v>0</v>
      </c>
      <c r="CH296" s="344">
        <v>1</v>
      </c>
      <c r="CI296" s="344">
        <v>2</v>
      </c>
      <c r="CJ296" s="344">
        <v>1.5</v>
      </c>
      <c r="CK296" s="344">
        <v>1.5</v>
      </c>
      <c r="CL296" s="344"/>
      <c r="CM296" s="344">
        <v>1</v>
      </c>
      <c r="CN296" s="344">
        <v>1</v>
      </c>
      <c r="CO296" s="449">
        <v>25.5</v>
      </c>
      <c r="CP296" s="449">
        <v>5.00000000001</v>
      </c>
      <c r="CQ296" s="449">
        <v>3.00000000002</v>
      </c>
      <c r="CR296" s="449">
        <v>4.00000000003</v>
      </c>
      <c r="CS296" s="449">
        <v>3.00000000004</v>
      </c>
      <c r="CT296" s="449">
        <v>5.0000000000000002E-11</v>
      </c>
      <c r="CU296" s="449">
        <v>4.00000000006</v>
      </c>
      <c r="CV296" s="449">
        <v>3.00000000007</v>
      </c>
      <c r="CX296" s="344">
        <f t="shared" si="564"/>
        <v>5.00000000001</v>
      </c>
      <c r="CY296" s="344">
        <f t="shared" si="565"/>
        <v>6.00000000004</v>
      </c>
      <c r="CZ296" s="344">
        <f t="shared" si="566"/>
        <v>6.0000000000450004</v>
      </c>
      <c r="DA296" s="344">
        <f t="shared" si="567"/>
        <v>4.50000000006</v>
      </c>
      <c r="DB296" s="344">
        <f t="shared" si="568"/>
        <v>0</v>
      </c>
      <c r="DC296" s="344">
        <f t="shared" si="569"/>
        <v>4.00000000006</v>
      </c>
      <c r="DD296" s="344">
        <f t="shared" si="570"/>
        <v>3.00000000007</v>
      </c>
      <c r="DE296" s="344">
        <f t="shared" si="571"/>
        <v>0</v>
      </c>
      <c r="DF296" s="451" t="b">
        <f t="shared" si="572"/>
        <v>1</v>
      </c>
      <c r="DG296" s="451" t="b">
        <f t="shared" si="573"/>
        <v>1</v>
      </c>
      <c r="DH296" s="451" t="b">
        <f t="shared" si="574"/>
        <v>1</v>
      </c>
      <c r="DI296" s="451" t="b">
        <f t="shared" si="575"/>
        <v>1</v>
      </c>
      <c r="DJ296" s="451" t="b">
        <f t="shared" si="576"/>
        <v>0</v>
      </c>
      <c r="DK296" s="451" t="b">
        <f t="shared" si="577"/>
        <v>1</v>
      </c>
      <c r="DL296" s="451" t="b">
        <f t="shared" si="578"/>
        <v>0</v>
      </c>
      <c r="DM296" s="451" t="b">
        <f t="shared" si="579"/>
        <v>0</v>
      </c>
    </row>
    <row r="297" spans="1:117" x14ac:dyDescent="0.3">
      <c r="A297" s="2" t="s">
        <v>1422</v>
      </c>
      <c r="B297" s="344" t="s">
        <v>2346</v>
      </c>
      <c r="C297" s="344" t="s">
        <v>2216</v>
      </c>
      <c r="D297" s="2" t="s">
        <v>1425</v>
      </c>
      <c r="E297" s="344" t="s">
        <v>2916</v>
      </c>
      <c r="F297" s="344" t="s">
        <v>1978</v>
      </c>
      <c r="G297" s="344">
        <f t="shared" si="547"/>
        <v>25.500000000214996</v>
      </c>
      <c r="H297" s="344">
        <f t="shared" si="548"/>
        <v>24.500000000274998</v>
      </c>
      <c r="I297" s="344" t="s">
        <v>3420</v>
      </c>
      <c r="J297" s="344" t="s">
        <v>3421</v>
      </c>
      <c r="K297" s="450" t="s">
        <v>2739</v>
      </c>
      <c r="L297" s="450" t="s">
        <v>3408</v>
      </c>
      <c r="M297" s="450" t="s">
        <v>3422</v>
      </c>
      <c r="N297" s="344" t="s">
        <v>1978</v>
      </c>
      <c r="O297" s="344" t="s">
        <v>1978</v>
      </c>
      <c r="P297" s="344" t="s">
        <v>1978</v>
      </c>
      <c r="Q297" s="344" t="s">
        <v>1978</v>
      </c>
      <c r="R297" s="344" t="s">
        <v>1978</v>
      </c>
      <c r="S297" s="344" t="s">
        <v>1978</v>
      </c>
      <c r="T297" s="2" t="s">
        <v>1423</v>
      </c>
      <c r="U297" s="344" t="s">
        <v>2150</v>
      </c>
      <c r="V297" s="344" t="s">
        <v>1970</v>
      </c>
      <c r="W297" s="344" t="s">
        <v>1970</v>
      </c>
      <c r="X297" s="344">
        <f>'A123'!J305</f>
        <v>20</v>
      </c>
      <c r="Y297" s="344" t="str">
        <f>'A123'!K305</f>
        <v>/</v>
      </c>
      <c r="Z297" s="344" t="str">
        <f>'A123'!L305</f>
        <v>新科目</v>
      </c>
      <c r="AA297" s="344" t="s">
        <v>2150</v>
      </c>
      <c r="AB297" s="344" t="str">
        <f>入學要求!X306</f>
        <v>/</v>
      </c>
      <c r="AC297" s="344" t="str">
        <f>入學要求!Y306</f>
        <v>/</v>
      </c>
      <c r="AD297" s="344" t="s">
        <v>1977</v>
      </c>
      <c r="AE297" s="344" t="s">
        <v>1970</v>
      </c>
      <c r="AF297" s="344" t="s">
        <v>1970</v>
      </c>
      <c r="AG297" s="344" t="s">
        <v>2740</v>
      </c>
      <c r="AH297" s="344" t="s">
        <v>3409</v>
      </c>
      <c r="AI297" s="344" t="s">
        <v>1970</v>
      </c>
      <c r="AJ297" s="2" t="s">
        <v>1970</v>
      </c>
      <c r="AK297" s="2" t="s">
        <v>1970</v>
      </c>
      <c r="AL297" s="2" t="s">
        <v>1970</v>
      </c>
      <c r="AM297" s="2" t="s">
        <v>1970</v>
      </c>
      <c r="AN297" s="2" t="s">
        <v>1970</v>
      </c>
      <c r="AO297" s="2" t="s">
        <v>1970</v>
      </c>
      <c r="AP297" s="344" t="s">
        <v>1970</v>
      </c>
      <c r="AQ297" s="344" t="s">
        <v>1970</v>
      </c>
      <c r="AR297" s="344" t="s">
        <v>2150</v>
      </c>
      <c r="AS297" s="381" t="s">
        <v>2369</v>
      </c>
      <c r="AU297" s="344"/>
      <c r="AV297" s="344" t="s">
        <v>2632</v>
      </c>
      <c r="BB297" s="344">
        <v>1</v>
      </c>
      <c r="BC297" s="344">
        <v>2</v>
      </c>
      <c r="BD297" s="344">
        <v>1.5</v>
      </c>
      <c r="BE297" s="344">
        <v>1.5</v>
      </c>
      <c r="BF297" s="344"/>
      <c r="BG297" s="344">
        <v>1</v>
      </c>
      <c r="BH297" s="344">
        <v>1</v>
      </c>
      <c r="BJ297" s="344">
        <v>4.00000000001</v>
      </c>
      <c r="BK297" s="344">
        <v>3.00000000002</v>
      </c>
      <c r="BL297" s="344">
        <v>4.00000000003</v>
      </c>
      <c r="BM297" s="344">
        <v>3.00000000004</v>
      </c>
      <c r="BN297" s="344">
        <v>5.0000000000000002E-11</v>
      </c>
      <c r="BO297" s="344">
        <v>4.00000000006</v>
      </c>
      <c r="BP297" s="344">
        <v>4.00000000007</v>
      </c>
      <c r="BR297" s="2">
        <f t="shared" si="580"/>
        <v>4.00000000001</v>
      </c>
      <c r="BS297" s="2">
        <f t="shared" si="581"/>
        <v>6.00000000004</v>
      </c>
      <c r="BT297" s="2">
        <f t="shared" si="582"/>
        <v>6.0000000000450004</v>
      </c>
      <c r="BU297" s="2">
        <f t="shared" si="583"/>
        <v>4.50000000006</v>
      </c>
      <c r="BV297" s="2">
        <f t="shared" si="584"/>
        <v>0</v>
      </c>
      <c r="BW297" s="2">
        <f t="shared" si="585"/>
        <v>4.00000000006</v>
      </c>
      <c r="BX297" s="2">
        <f t="shared" si="586"/>
        <v>4.00000000007</v>
      </c>
      <c r="BY297" s="2">
        <f t="shared" si="543"/>
        <v>0</v>
      </c>
      <c r="BZ297" s="451" t="b">
        <f t="shared" si="556"/>
        <v>0</v>
      </c>
      <c r="CA297" s="451" t="b">
        <f t="shared" si="557"/>
        <v>1</v>
      </c>
      <c r="CB297" s="451" t="b">
        <f t="shared" si="558"/>
        <v>1</v>
      </c>
      <c r="CC297" s="451" t="b">
        <f t="shared" si="559"/>
        <v>1</v>
      </c>
      <c r="CD297" s="451" t="b">
        <f t="shared" si="560"/>
        <v>0</v>
      </c>
      <c r="CE297" s="451" t="b">
        <f t="shared" si="561"/>
        <v>1</v>
      </c>
      <c r="CF297" s="451" t="b">
        <f t="shared" si="562"/>
        <v>1</v>
      </c>
      <c r="CG297" s="451" t="b">
        <f t="shared" si="563"/>
        <v>0</v>
      </c>
      <c r="CH297" s="344">
        <v>1</v>
      </c>
      <c r="CI297" s="344">
        <v>2</v>
      </c>
      <c r="CJ297" s="344">
        <v>1.5</v>
      </c>
      <c r="CK297" s="344">
        <v>1.5</v>
      </c>
      <c r="CL297" s="344"/>
      <c r="CM297" s="344">
        <v>1</v>
      </c>
      <c r="CN297" s="344">
        <v>1</v>
      </c>
      <c r="CO297" s="449">
        <v>25.5</v>
      </c>
      <c r="CP297" s="449">
        <v>5.00000000001</v>
      </c>
      <c r="CQ297" s="449">
        <v>3.00000000002</v>
      </c>
      <c r="CR297" s="449">
        <v>4.00000000003</v>
      </c>
      <c r="CS297" s="449">
        <v>3.00000000004</v>
      </c>
      <c r="CT297" s="449">
        <v>5.0000000000000002E-11</v>
      </c>
      <c r="CU297" s="449">
        <v>4.00000000006</v>
      </c>
      <c r="CV297" s="449">
        <v>3.00000000007</v>
      </c>
      <c r="CX297" s="344">
        <f t="shared" si="564"/>
        <v>5.00000000001</v>
      </c>
      <c r="CY297" s="344">
        <f t="shared" si="565"/>
        <v>6.00000000004</v>
      </c>
      <c r="CZ297" s="344">
        <f t="shared" si="566"/>
        <v>6.0000000000450004</v>
      </c>
      <c r="DA297" s="344">
        <f t="shared" si="567"/>
        <v>4.50000000006</v>
      </c>
      <c r="DB297" s="344">
        <f t="shared" si="568"/>
        <v>0</v>
      </c>
      <c r="DC297" s="344">
        <f t="shared" si="569"/>
        <v>4.00000000006</v>
      </c>
      <c r="DD297" s="344">
        <f t="shared" si="570"/>
        <v>3.00000000007</v>
      </c>
      <c r="DE297" s="344">
        <f t="shared" si="571"/>
        <v>0</v>
      </c>
      <c r="DF297" s="451" t="b">
        <f t="shared" si="572"/>
        <v>1</v>
      </c>
      <c r="DG297" s="451" t="b">
        <f t="shared" si="573"/>
        <v>1</v>
      </c>
      <c r="DH297" s="451" t="b">
        <f t="shared" si="574"/>
        <v>1</v>
      </c>
      <c r="DI297" s="451" t="b">
        <f t="shared" si="575"/>
        <v>1</v>
      </c>
      <c r="DJ297" s="451" t="b">
        <f t="shared" si="576"/>
        <v>0</v>
      </c>
      <c r="DK297" s="451" t="b">
        <f t="shared" si="577"/>
        <v>1</v>
      </c>
      <c r="DL297" s="451" t="b">
        <f t="shared" si="578"/>
        <v>0</v>
      </c>
      <c r="DM297" s="451" t="b">
        <f t="shared" si="579"/>
        <v>0</v>
      </c>
    </row>
    <row r="298" spans="1:117" x14ac:dyDescent="0.3">
      <c r="A298" s="2" t="s">
        <v>1426</v>
      </c>
      <c r="B298" s="344" t="s">
        <v>2346</v>
      </c>
      <c r="C298" s="344" t="s">
        <v>2216</v>
      </c>
      <c r="D298" s="2" t="s">
        <v>1429</v>
      </c>
      <c r="E298" s="344" t="s">
        <v>2916</v>
      </c>
      <c r="F298" s="344" t="s">
        <v>1978</v>
      </c>
      <c r="G298" s="344">
        <f t="shared" si="547"/>
        <v>25.500000000214996</v>
      </c>
      <c r="H298" s="344">
        <f t="shared" si="548"/>
        <v>24.500000000274998</v>
      </c>
      <c r="I298" s="344" t="s">
        <v>3420</v>
      </c>
      <c r="J298" s="344" t="s">
        <v>3421</v>
      </c>
      <c r="K298" s="450" t="s">
        <v>2739</v>
      </c>
      <c r="L298" s="450" t="s">
        <v>3408</v>
      </c>
      <c r="M298" s="450" t="s">
        <v>3422</v>
      </c>
      <c r="N298" s="344" t="s">
        <v>1978</v>
      </c>
      <c r="O298" s="344" t="s">
        <v>1978</v>
      </c>
      <c r="P298" s="344" t="s">
        <v>1978</v>
      </c>
      <c r="Q298" s="344" t="s">
        <v>1978</v>
      </c>
      <c r="R298" s="344" t="s">
        <v>1978</v>
      </c>
      <c r="S298" s="344" t="s">
        <v>1978</v>
      </c>
      <c r="T298" s="2" t="s">
        <v>1427</v>
      </c>
      <c r="U298" s="344" t="s">
        <v>2150</v>
      </c>
      <c r="V298" s="344" t="s">
        <v>1970</v>
      </c>
      <c r="W298" s="344" t="s">
        <v>1970</v>
      </c>
      <c r="X298" s="344">
        <f>'A123'!J306</f>
        <v>15</v>
      </c>
      <c r="Y298" s="344" t="str">
        <f>'A123'!K306</f>
        <v>/</v>
      </c>
      <c r="Z298" s="344" t="str">
        <f>'A123'!L306</f>
        <v>新科目</v>
      </c>
      <c r="AA298" s="344" t="s">
        <v>2150</v>
      </c>
      <c r="AB298" s="344" t="str">
        <f>入學要求!X307</f>
        <v>/</v>
      </c>
      <c r="AC298" s="344" t="str">
        <f>入學要求!Y307</f>
        <v>/</v>
      </c>
      <c r="AD298" s="344" t="s">
        <v>1977</v>
      </c>
      <c r="AE298" s="344" t="s">
        <v>1970</v>
      </c>
      <c r="AF298" s="344" t="s">
        <v>1970</v>
      </c>
      <c r="AG298" s="344" t="s">
        <v>3416</v>
      </c>
      <c r="AH298" s="344" t="s">
        <v>1970</v>
      </c>
      <c r="AI298" s="344" t="s">
        <v>1970</v>
      </c>
      <c r="AJ298" s="2" t="s">
        <v>1970</v>
      </c>
      <c r="AK298" s="2" t="s">
        <v>1970</v>
      </c>
      <c r="AL298" s="2" t="s">
        <v>1970</v>
      </c>
      <c r="AM298" s="2" t="s">
        <v>1970</v>
      </c>
      <c r="AN298" s="2" t="s">
        <v>1970</v>
      </c>
      <c r="AO298" s="2" t="s">
        <v>1970</v>
      </c>
      <c r="AP298" s="344" t="s">
        <v>1970</v>
      </c>
      <c r="AQ298" s="344" t="s">
        <v>1970</v>
      </c>
      <c r="AR298" s="344" t="s">
        <v>2150</v>
      </c>
      <c r="AS298" s="381" t="s">
        <v>2369</v>
      </c>
      <c r="AU298" s="344"/>
      <c r="AV298" s="344" t="s">
        <v>2632</v>
      </c>
      <c r="BB298" s="344">
        <v>1</v>
      </c>
      <c r="BC298" s="344">
        <v>2</v>
      </c>
      <c r="BD298" s="344">
        <v>1.5</v>
      </c>
      <c r="BE298" s="344">
        <v>1.5</v>
      </c>
      <c r="BF298" s="344"/>
      <c r="BG298" s="344">
        <v>1</v>
      </c>
      <c r="BH298" s="344">
        <v>1</v>
      </c>
      <c r="BJ298" s="344">
        <v>4.00000000001</v>
      </c>
      <c r="BK298" s="344">
        <v>3.00000000002</v>
      </c>
      <c r="BL298" s="344">
        <v>4.00000000003</v>
      </c>
      <c r="BM298" s="344">
        <v>3.00000000004</v>
      </c>
      <c r="BN298" s="344">
        <v>5.0000000000000002E-11</v>
      </c>
      <c r="BO298" s="344">
        <v>4.00000000006</v>
      </c>
      <c r="BP298" s="344">
        <v>4.00000000007</v>
      </c>
      <c r="BR298" s="2">
        <f t="shared" si="580"/>
        <v>4.00000000001</v>
      </c>
      <c r="BS298" s="2">
        <f t="shared" si="581"/>
        <v>6.00000000004</v>
      </c>
      <c r="BT298" s="2">
        <f t="shared" si="582"/>
        <v>6.0000000000450004</v>
      </c>
      <c r="BU298" s="2">
        <f t="shared" si="583"/>
        <v>4.50000000006</v>
      </c>
      <c r="BV298" s="2">
        <f t="shared" si="584"/>
        <v>0</v>
      </c>
      <c r="BW298" s="2">
        <f t="shared" si="585"/>
        <v>4.00000000006</v>
      </c>
      <c r="BX298" s="2">
        <f t="shared" si="586"/>
        <v>4.00000000007</v>
      </c>
      <c r="BY298" s="2">
        <f t="shared" si="543"/>
        <v>0</v>
      </c>
      <c r="BZ298" s="451" t="b">
        <f t="shared" si="556"/>
        <v>0</v>
      </c>
      <c r="CA298" s="451" t="b">
        <f t="shared" si="557"/>
        <v>1</v>
      </c>
      <c r="CB298" s="451" t="b">
        <f t="shared" si="558"/>
        <v>1</v>
      </c>
      <c r="CC298" s="451" t="b">
        <f t="shared" si="559"/>
        <v>1</v>
      </c>
      <c r="CD298" s="451" t="b">
        <f t="shared" si="560"/>
        <v>0</v>
      </c>
      <c r="CE298" s="451" t="b">
        <f t="shared" si="561"/>
        <v>1</v>
      </c>
      <c r="CF298" s="451" t="b">
        <f t="shared" si="562"/>
        <v>1</v>
      </c>
      <c r="CG298" s="451" t="b">
        <f t="shared" si="563"/>
        <v>0</v>
      </c>
      <c r="CH298" s="344">
        <v>1</v>
      </c>
      <c r="CI298" s="344">
        <v>2</v>
      </c>
      <c r="CJ298" s="344">
        <v>1.5</v>
      </c>
      <c r="CK298" s="344">
        <v>1.5</v>
      </c>
      <c r="CL298" s="344"/>
      <c r="CM298" s="344">
        <v>1</v>
      </c>
      <c r="CN298" s="344">
        <v>1</v>
      </c>
      <c r="CO298" s="449">
        <v>25.5</v>
      </c>
      <c r="CP298" s="449">
        <v>5.00000000001</v>
      </c>
      <c r="CQ298" s="449">
        <v>3.00000000002</v>
      </c>
      <c r="CR298" s="449">
        <v>4.00000000003</v>
      </c>
      <c r="CS298" s="449">
        <v>3.00000000004</v>
      </c>
      <c r="CT298" s="449">
        <v>5.0000000000000002E-11</v>
      </c>
      <c r="CU298" s="449">
        <v>4.00000000006</v>
      </c>
      <c r="CV298" s="449">
        <v>3.00000000007</v>
      </c>
      <c r="CX298" s="344">
        <f t="shared" si="564"/>
        <v>5.00000000001</v>
      </c>
      <c r="CY298" s="344">
        <f t="shared" si="565"/>
        <v>6.00000000004</v>
      </c>
      <c r="CZ298" s="344">
        <f t="shared" si="566"/>
        <v>6.0000000000450004</v>
      </c>
      <c r="DA298" s="344">
        <f t="shared" si="567"/>
        <v>4.50000000006</v>
      </c>
      <c r="DB298" s="344">
        <f t="shared" si="568"/>
        <v>0</v>
      </c>
      <c r="DC298" s="344">
        <f t="shared" si="569"/>
        <v>4.00000000006</v>
      </c>
      <c r="DD298" s="344">
        <f t="shared" si="570"/>
        <v>3.00000000007</v>
      </c>
      <c r="DE298" s="344">
        <f t="shared" si="571"/>
        <v>0</v>
      </c>
      <c r="DF298" s="451" t="b">
        <f t="shared" si="572"/>
        <v>1</v>
      </c>
      <c r="DG298" s="451" t="b">
        <f t="shared" si="573"/>
        <v>1</v>
      </c>
      <c r="DH298" s="451" t="b">
        <f t="shared" si="574"/>
        <v>1</v>
      </c>
      <c r="DI298" s="451" t="b">
        <f t="shared" si="575"/>
        <v>1</v>
      </c>
      <c r="DJ298" s="451" t="b">
        <f t="shared" si="576"/>
        <v>0</v>
      </c>
      <c r="DK298" s="451" t="b">
        <f t="shared" si="577"/>
        <v>1</v>
      </c>
      <c r="DL298" s="451" t="b">
        <f t="shared" si="578"/>
        <v>0</v>
      </c>
      <c r="DM298" s="451" t="b">
        <f t="shared" si="579"/>
        <v>0</v>
      </c>
    </row>
    <row r="299" spans="1:117" x14ac:dyDescent="0.3">
      <c r="A299" s="2" t="s">
        <v>1430</v>
      </c>
      <c r="B299" s="344" t="s">
        <v>2346</v>
      </c>
      <c r="C299" s="344" t="s">
        <v>2216</v>
      </c>
      <c r="D299" s="2" t="s">
        <v>1433</v>
      </c>
      <c r="E299" s="344" t="s">
        <v>2916</v>
      </c>
      <c r="F299" s="344" t="s">
        <v>1978</v>
      </c>
      <c r="G299" s="344">
        <f t="shared" si="547"/>
        <v>25.500000000214996</v>
      </c>
      <c r="H299" s="344">
        <f t="shared" si="548"/>
        <v>24.500000000274998</v>
      </c>
      <c r="I299" s="344" t="s">
        <v>3420</v>
      </c>
      <c r="J299" s="344" t="s">
        <v>3421</v>
      </c>
      <c r="K299" s="450" t="s">
        <v>2739</v>
      </c>
      <c r="L299" s="450" t="s">
        <v>3408</v>
      </c>
      <c r="M299" s="450" t="s">
        <v>3422</v>
      </c>
      <c r="N299" s="344" t="s">
        <v>1978</v>
      </c>
      <c r="O299" s="344" t="s">
        <v>1978</v>
      </c>
      <c r="P299" s="344" t="s">
        <v>1978</v>
      </c>
      <c r="Q299" s="344" t="s">
        <v>1978</v>
      </c>
      <c r="R299" s="344" t="s">
        <v>1978</v>
      </c>
      <c r="S299" s="344" t="s">
        <v>1978</v>
      </c>
      <c r="T299" s="2" t="s">
        <v>1431</v>
      </c>
      <c r="U299" s="344" t="s">
        <v>2150</v>
      </c>
      <c r="V299" s="344" t="s">
        <v>1970</v>
      </c>
      <c r="W299" s="344" t="s">
        <v>1970</v>
      </c>
      <c r="X299" s="344">
        <f>'A123'!J307</f>
        <v>20</v>
      </c>
      <c r="Y299" s="344" t="str">
        <f>'A123'!K307</f>
        <v>/</v>
      </c>
      <c r="Z299" s="344" t="str">
        <f>'A123'!L307</f>
        <v>新科目</v>
      </c>
      <c r="AA299" s="344" t="s">
        <v>2150</v>
      </c>
      <c r="AB299" s="344" t="str">
        <f>入學要求!X308</f>
        <v>/</v>
      </c>
      <c r="AC299" s="344" t="str">
        <f>入學要求!Y308</f>
        <v>/</v>
      </c>
      <c r="AD299" s="344" t="s">
        <v>1977</v>
      </c>
      <c r="AE299" s="344" t="s">
        <v>1970</v>
      </c>
      <c r="AF299" s="344" t="s">
        <v>1970</v>
      </c>
      <c r="AG299" s="344" t="s">
        <v>2740</v>
      </c>
      <c r="AH299" s="344" t="s">
        <v>3409</v>
      </c>
      <c r="AI299" s="344" t="s">
        <v>1970</v>
      </c>
      <c r="AJ299" s="2" t="s">
        <v>1970</v>
      </c>
      <c r="AK299" s="2" t="s">
        <v>1970</v>
      </c>
      <c r="AL299" s="2" t="s">
        <v>1970</v>
      </c>
      <c r="AM299" s="2" t="s">
        <v>1970</v>
      </c>
      <c r="AN299" s="2" t="s">
        <v>1970</v>
      </c>
      <c r="AO299" s="2" t="s">
        <v>1970</v>
      </c>
      <c r="AP299" s="344" t="s">
        <v>1970</v>
      </c>
      <c r="AQ299" s="344" t="s">
        <v>1970</v>
      </c>
      <c r="AR299" s="344" t="s">
        <v>2150</v>
      </c>
      <c r="AS299" s="381" t="s">
        <v>2369</v>
      </c>
      <c r="AU299" s="344"/>
      <c r="AV299" s="344" t="s">
        <v>2632</v>
      </c>
      <c r="BB299" s="344">
        <v>1</v>
      </c>
      <c r="BC299" s="344">
        <v>2</v>
      </c>
      <c r="BD299" s="344">
        <v>1.5</v>
      </c>
      <c r="BE299" s="344">
        <v>1.5</v>
      </c>
      <c r="BF299" s="344"/>
      <c r="BG299" s="344">
        <v>1</v>
      </c>
      <c r="BH299" s="344">
        <v>1</v>
      </c>
      <c r="BJ299" s="344">
        <v>4.00000000001</v>
      </c>
      <c r="BK299" s="344">
        <v>3.00000000002</v>
      </c>
      <c r="BL299" s="344">
        <v>4.00000000003</v>
      </c>
      <c r="BM299" s="344">
        <v>3.00000000004</v>
      </c>
      <c r="BN299" s="344">
        <v>5.0000000000000002E-11</v>
      </c>
      <c r="BO299" s="344">
        <v>4.00000000006</v>
      </c>
      <c r="BP299" s="344">
        <v>4.00000000007</v>
      </c>
      <c r="BR299" s="2">
        <f t="shared" si="580"/>
        <v>4.00000000001</v>
      </c>
      <c r="BS299" s="2">
        <f t="shared" si="581"/>
        <v>6.00000000004</v>
      </c>
      <c r="BT299" s="2">
        <f t="shared" si="582"/>
        <v>6.0000000000450004</v>
      </c>
      <c r="BU299" s="2">
        <f t="shared" si="583"/>
        <v>4.50000000006</v>
      </c>
      <c r="BV299" s="2">
        <f t="shared" si="584"/>
        <v>0</v>
      </c>
      <c r="BW299" s="2">
        <f t="shared" si="585"/>
        <v>4.00000000006</v>
      </c>
      <c r="BX299" s="2">
        <f t="shared" si="586"/>
        <v>4.00000000007</v>
      </c>
      <c r="BY299" s="2">
        <f t="shared" si="543"/>
        <v>0</v>
      </c>
      <c r="BZ299" s="451" t="b">
        <f t="shared" si="556"/>
        <v>0</v>
      </c>
      <c r="CA299" s="451" t="b">
        <f t="shared" si="557"/>
        <v>1</v>
      </c>
      <c r="CB299" s="451" t="b">
        <f t="shared" si="558"/>
        <v>1</v>
      </c>
      <c r="CC299" s="451" t="b">
        <f t="shared" si="559"/>
        <v>1</v>
      </c>
      <c r="CD299" s="451" t="b">
        <f t="shared" si="560"/>
        <v>0</v>
      </c>
      <c r="CE299" s="451" t="b">
        <f t="shared" si="561"/>
        <v>1</v>
      </c>
      <c r="CF299" s="451" t="b">
        <f t="shared" si="562"/>
        <v>1</v>
      </c>
      <c r="CG299" s="451" t="b">
        <f t="shared" si="563"/>
        <v>0</v>
      </c>
      <c r="CH299" s="344">
        <v>1</v>
      </c>
      <c r="CI299" s="344">
        <v>2</v>
      </c>
      <c r="CJ299" s="344">
        <v>1.5</v>
      </c>
      <c r="CK299" s="344">
        <v>1.5</v>
      </c>
      <c r="CL299" s="344"/>
      <c r="CM299" s="344">
        <v>1</v>
      </c>
      <c r="CN299" s="344">
        <v>1</v>
      </c>
      <c r="CO299" s="449">
        <v>25.5</v>
      </c>
      <c r="CP299" s="449">
        <v>5.00000000001</v>
      </c>
      <c r="CQ299" s="449">
        <v>3.00000000002</v>
      </c>
      <c r="CR299" s="449">
        <v>4.00000000003</v>
      </c>
      <c r="CS299" s="449">
        <v>3.00000000004</v>
      </c>
      <c r="CT299" s="449">
        <v>5.0000000000000002E-11</v>
      </c>
      <c r="CU299" s="449">
        <v>4.00000000006</v>
      </c>
      <c r="CV299" s="449">
        <v>3.00000000007</v>
      </c>
      <c r="CX299" s="344">
        <f t="shared" si="564"/>
        <v>5.00000000001</v>
      </c>
      <c r="CY299" s="344">
        <f t="shared" si="565"/>
        <v>6.00000000004</v>
      </c>
      <c r="CZ299" s="344">
        <f t="shared" si="566"/>
        <v>6.0000000000450004</v>
      </c>
      <c r="DA299" s="344">
        <f t="shared" si="567"/>
        <v>4.50000000006</v>
      </c>
      <c r="DB299" s="344">
        <f t="shared" si="568"/>
        <v>0</v>
      </c>
      <c r="DC299" s="344">
        <f t="shared" si="569"/>
        <v>4.00000000006</v>
      </c>
      <c r="DD299" s="344">
        <f t="shared" si="570"/>
        <v>3.00000000007</v>
      </c>
      <c r="DE299" s="344">
        <f t="shared" si="571"/>
        <v>0</v>
      </c>
      <c r="DF299" s="451" t="b">
        <f t="shared" si="572"/>
        <v>1</v>
      </c>
      <c r="DG299" s="451" t="b">
        <f t="shared" si="573"/>
        <v>1</v>
      </c>
      <c r="DH299" s="451" t="b">
        <f t="shared" si="574"/>
        <v>1</v>
      </c>
      <c r="DI299" s="451" t="b">
        <f t="shared" si="575"/>
        <v>1</v>
      </c>
      <c r="DJ299" s="451" t="b">
        <f t="shared" si="576"/>
        <v>0</v>
      </c>
      <c r="DK299" s="451" t="b">
        <f t="shared" si="577"/>
        <v>1</v>
      </c>
      <c r="DL299" s="451" t="b">
        <f t="shared" si="578"/>
        <v>0</v>
      </c>
      <c r="DM299" s="451" t="b">
        <f t="shared" si="579"/>
        <v>0</v>
      </c>
    </row>
    <row r="300" spans="1:117" x14ac:dyDescent="0.3">
      <c r="A300" s="2" t="s">
        <v>1434</v>
      </c>
      <c r="B300" s="344" t="s">
        <v>2346</v>
      </c>
      <c r="C300" s="2" t="s">
        <v>2180</v>
      </c>
      <c r="D300" s="2" t="s">
        <v>1437</v>
      </c>
      <c r="E300" s="344" t="s">
        <v>1977</v>
      </c>
      <c r="F300" s="344" t="s">
        <v>1978</v>
      </c>
      <c r="G300" s="344">
        <f t="shared" si="547"/>
        <v>26.000000000235001</v>
      </c>
      <c r="H300" s="344">
        <f t="shared" si="548"/>
        <v>25.500000000224997</v>
      </c>
      <c r="I300" s="2" t="s">
        <v>1970</v>
      </c>
      <c r="J300" s="2" t="s">
        <v>1970</v>
      </c>
      <c r="K300" s="450" t="s">
        <v>2731</v>
      </c>
      <c r="L300" s="450" t="s">
        <v>3418</v>
      </c>
      <c r="M300" s="344" t="s">
        <v>1970</v>
      </c>
      <c r="N300" s="344" t="s">
        <v>1978</v>
      </c>
      <c r="O300" s="344" t="s">
        <v>1978</v>
      </c>
      <c r="P300" s="344" t="s">
        <v>1978</v>
      </c>
      <c r="Q300" s="344" t="s">
        <v>1978</v>
      </c>
      <c r="R300" s="344" t="s">
        <v>1978</v>
      </c>
      <c r="S300" s="344" t="s">
        <v>1978</v>
      </c>
      <c r="T300" s="2" t="s">
        <v>1435</v>
      </c>
      <c r="U300" s="344" t="s">
        <v>2150</v>
      </c>
      <c r="V300" s="344" t="s">
        <v>1970</v>
      </c>
      <c r="W300" s="344" t="s">
        <v>1970</v>
      </c>
      <c r="X300" s="344">
        <f>'A123'!J308</f>
        <v>19</v>
      </c>
      <c r="Y300" s="344">
        <f>'A123'!K308</f>
        <v>36</v>
      </c>
      <c r="Z300" s="344">
        <f>'A123'!L308</f>
        <v>7.04</v>
      </c>
      <c r="AA300" s="344" t="s">
        <v>2150</v>
      </c>
      <c r="AB300" s="344" t="str">
        <f>入學要求!X309</f>
        <v>/</v>
      </c>
      <c r="AC300" s="344" t="str">
        <f>入學要求!Y309</f>
        <v>/</v>
      </c>
      <c r="AD300" s="344" t="s">
        <v>1977</v>
      </c>
      <c r="AE300" s="344" t="s">
        <v>1970</v>
      </c>
      <c r="AF300" s="344" t="s">
        <v>1970</v>
      </c>
      <c r="AG300" s="450" t="s">
        <v>2731</v>
      </c>
      <c r="AH300" s="450" t="s">
        <v>3418</v>
      </c>
      <c r="AI300" s="344" t="s">
        <v>1970</v>
      </c>
      <c r="AJ300" s="2" t="s">
        <v>1970</v>
      </c>
      <c r="AK300" s="2" t="s">
        <v>1970</v>
      </c>
      <c r="AL300" s="2" t="s">
        <v>1970</v>
      </c>
      <c r="AM300" s="2" t="s">
        <v>1970</v>
      </c>
      <c r="AN300" s="2" t="s">
        <v>1970</v>
      </c>
      <c r="AO300" s="2" t="s">
        <v>1970</v>
      </c>
      <c r="AP300" s="344" t="s">
        <v>1970</v>
      </c>
      <c r="AQ300" s="344" t="s">
        <v>1970</v>
      </c>
      <c r="AR300" s="344" t="s">
        <v>2150</v>
      </c>
      <c r="AS300" s="381" t="s">
        <v>2369</v>
      </c>
      <c r="AV300" s="344" t="s">
        <v>2632</v>
      </c>
      <c r="BB300" s="2">
        <v>1.5</v>
      </c>
      <c r="BC300" s="2">
        <v>2.5</v>
      </c>
      <c r="BD300" s="2">
        <v>1</v>
      </c>
      <c r="BE300" s="2">
        <v>1</v>
      </c>
      <c r="BG300" s="344">
        <v>1</v>
      </c>
      <c r="BH300" s="344">
        <v>1</v>
      </c>
      <c r="BJ300" s="2">
        <v>3.00000000001</v>
      </c>
      <c r="BK300" s="2">
        <v>4.00000000002</v>
      </c>
      <c r="BL300" s="2">
        <v>4.00000000003</v>
      </c>
      <c r="BM300" s="2">
        <v>2.00000000004</v>
      </c>
      <c r="BN300" s="2">
        <v>5.0000000000000002E-11</v>
      </c>
      <c r="BO300" s="2">
        <v>4.00000000006</v>
      </c>
      <c r="BP300" s="2">
        <v>3.00000000007</v>
      </c>
      <c r="BR300" s="2">
        <f t="shared" si="580"/>
        <v>4.5000000000149996</v>
      </c>
      <c r="BS300" s="2">
        <f t="shared" si="581"/>
        <v>10.000000000050001</v>
      </c>
      <c r="BT300" s="2">
        <f t="shared" si="582"/>
        <v>4.00000000003</v>
      </c>
      <c r="BU300" s="2">
        <f t="shared" si="583"/>
        <v>2.00000000004</v>
      </c>
      <c r="BV300" s="2">
        <f t="shared" si="584"/>
        <v>0</v>
      </c>
      <c r="BW300" s="2">
        <f t="shared" si="585"/>
        <v>4.00000000006</v>
      </c>
      <c r="BX300" s="2">
        <f t="shared" si="586"/>
        <v>3.00000000007</v>
      </c>
      <c r="BY300" s="2">
        <f t="shared" si="543"/>
        <v>0</v>
      </c>
      <c r="BZ300" s="451" t="b">
        <f t="shared" si="556"/>
        <v>1</v>
      </c>
      <c r="CA300" s="451" t="b">
        <f t="shared" si="557"/>
        <v>1</v>
      </c>
      <c r="CB300" s="451" t="b">
        <f t="shared" si="558"/>
        <v>1</v>
      </c>
      <c r="CC300" s="451" t="b">
        <f t="shared" si="559"/>
        <v>0</v>
      </c>
      <c r="CD300" s="451" t="b">
        <f t="shared" si="560"/>
        <v>0</v>
      </c>
      <c r="CE300" s="451" t="b">
        <f t="shared" si="561"/>
        <v>1</v>
      </c>
      <c r="CF300" s="451" t="b">
        <f t="shared" si="562"/>
        <v>1</v>
      </c>
      <c r="CG300" s="451" t="b">
        <f t="shared" si="563"/>
        <v>0</v>
      </c>
      <c r="CH300" s="344">
        <v>1.5</v>
      </c>
      <c r="CI300" s="344">
        <v>2.5</v>
      </c>
      <c r="CJ300" s="344">
        <v>1</v>
      </c>
      <c r="CK300" s="344">
        <v>1</v>
      </c>
      <c r="CL300" s="344"/>
      <c r="CM300" s="344">
        <v>1</v>
      </c>
      <c r="CN300" s="344">
        <v>1</v>
      </c>
      <c r="CO300" s="449">
        <v>26</v>
      </c>
      <c r="CP300" s="449">
        <v>4.00000000001</v>
      </c>
      <c r="CQ300" s="449">
        <v>4.00000000002</v>
      </c>
      <c r="CR300" s="449">
        <v>3.00000000003</v>
      </c>
      <c r="CS300" s="449">
        <v>3.00000000004</v>
      </c>
      <c r="CT300" s="449">
        <v>5.0000000000000002E-11</v>
      </c>
      <c r="CU300" s="449">
        <v>4.00000000006</v>
      </c>
      <c r="CV300" s="449">
        <v>3.00000000007</v>
      </c>
      <c r="CX300" s="344">
        <f t="shared" si="564"/>
        <v>6.0000000000149996</v>
      </c>
      <c r="CY300" s="344">
        <f t="shared" si="565"/>
        <v>10.000000000050001</v>
      </c>
      <c r="CZ300" s="344">
        <f t="shared" si="566"/>
        <v>3.00000000003</v>
      </c>
      <c r="DA300" s="344">
        <f t="shared" si="567"/>
        <v>3.00000000004</v>
      </c>
      <c r="DB300" s="344">
        <f t="shared" si="568"/>
        <v>0</v>
      </c>
      <c r="DC300" s="344">
        <f t="shared" si="569"/>
        <v>4.00000000006</v>
      </c>
      <c r="DD300" s="344">
        <f t="shared" si="570"/>
        <v>3.00000000007</v>
      </c>
      <c r="DE300" s="344">
        <f t="shared" si="571"/>
        <v>0</v>
      </c>
      <c r="DF300" s="451" t="b">
        <f t="shared" si="572"/>
        <v>1</v>
      </c>
      <c r="DG300" s="451" t="b">
        <f t="shared" si="573"/>
        <v>1</v>
      </c>
      <c r="DH300" s="451" t="b">
        <f t="shared" si="574"/>
        <v>0</v>
      </c>
      <c r="DI300" s="451" t="b">
        <f t="shared" si="575"/>
        <v>1</v>
      </c>
      <c r="DJ300" s="451" t="b">
        <f t="shared" si="576"/>
        <v>0</v>
      </c>
      <c r="DK300" s="451" t="b">
        <f t="shared" si="577"/>
        <v>1</v>
      </c>
      <c r="DL300" s="451" t="b">
        <f t="shared" si="578"/>
        <v>1</v>
      </c>
      <c r="DM300" s="451" t="b">
        <f t="shared" si="579"/>
        <v>0</v>
      </c>
    </row>
    <row r="301" spans="1:117" x14ac:dyDescent="0.3">
      <c r="A301" s="2" t="s">
        <v>1439</v>
      </c>
      <c r="B301" s="344" t="s">
        <v>2346</v>
      </c>
      <c r="C301" s="2" t="s">
        <v>2180</v>
      </c>
      <c r="D301" s="2" t="s">
        <v>1442</v>
      </c>
      <c r="E301" s="344" t="s">
        <v>1977</v>
      </c>
      <c r="F301" s="344" t="s">
        <v>1978</v>
      </c>
      <c r="G301" s="344">
        <f t="shared" si="547"/>
        <v>25.000000000184997</v>
      </c>
      <c r="H301" s="344">
        <f>24.5</f>
        <v>24.5</v>
      </c>
      <c r="I301" s="2" t="s">
        <v>1970</v>
      </c>
      <c r="J301" s="2" t="s">
        <v>1970</v>
      </c>
      <c r="K301" s="450" t="s">
        <v>2740</v>
      </c>
      <c r="L301" s="450" t="s">
        <v>2691</v>
      </c>
      <c r="M301" s="344" t="s">
        <v>1970</v>
      </c>
      <c r="N301" s="344" t="s">
        <v>1978</v>
      </c>
      <c r="O301" s="344" t="s">
        <v>1978</v>
      </c>
      <c r="P301" s="344" t="s">
        <v>1978</v>
      </c>
      <c r="Q301" s="344" t="s">
        <v>1978</v>
      </c>
      <c r="R301" s="344" t="s">
        <v>1978</v>
      </c>
      <c r="S301" s="344" t="s">
        <v>1978</v>
      </c>
      <c r="T301" s="2" t="s">
        <v>1440</v>
      </c>
      <c r="U301" s="344" t="s">
        <v>2150</v>
      </c>
      <c r="V301" s="344" t="s">
        <v>1970</v>
      </c>
      <c r="W301" s="344" t="s">
        <v>1970</v>
      </c>
      <c r="X301" s="344">
        <f>'A123'!J309</f>
        <v>29</v>
      </c>
      <c r="Y301" s="344">
        <f>'A123'!K309</f>
        <v>36</v>
      </c>
      <c r="Z301" s="344">
        <f>'A123'!L309</f>
        <v>7.2666666666666666</v>
      </c>
      <c r="AA301" s="344" t="s">
        <v>2150</v>
      </c>
      <c r="AB301" s="344" t="str">
        <f>入學要求!X310</f>
        <v>/</v>
      </c>
      <c r="AC301" s="344" t="str">
        <f>入學要求!Y310</f>
        <v>/</v>
      </c>
      <c r="AD301" s="344" t="s">
        <v>1977</v>
      </c>
      <c r="AE301" s="344" t="s">
        <v>1970</v>
      </c>
      <c r="AF301" s="344" t="s">
        <v>1970</v>
      </c>
      <c r="AG301" s="450" t="s">
        <v>2740</v>
      </c>
      <c r="AH301" s="450" t="s">
        <v>2691</v>
      </c>
      <c r="AI301" s="344" t="s">
        <v>1970</v>
      </c>
      <c r="AJ301" s="2" t="s">
        <v>1970</v>
      </c>
      <c r="AK301" s="2" t="s">
        <v>1970</v>
      </c>
      <c r="AL301" s="2" t="s">
        <v>1970</v>
      </c>
      <c r="AM301" s="2" t="s">
        <v>1970</v>
      </c>
      <c r="AN301" s="2" t="s">
        <v>1970</v>
      </c>
      <c r="AO301" s="2" t="s">
        <v>1970</v>
      </c>
      <c r="AP301" s="344" t="s">
        <v>1970</v>
      </c>
      <c r="AQ301" s="344" t="s">
        <v>1970</v>
      </c>
      <c r="AR301" s="344" t="s">
        <v>2150</v>
      </c>
      <c r="AS301" s="381" t="s">
        <v>2369</v>
      </c>
      <c r="AV301" s="344" t="s">
        <v>2632</v>
      </c>
      <c r="AX301" s="344" t="s">
        <v>3804</v>
      </c>
      <c r="AY301" s="344" t="s">
        <v>3805</v>
      </c>
      <c r="BB301" s="2">
        <v>1.5</v>
      </c>
      <c r="BC301" s="2">
        <v>2</v>
      </c>
      <c r="BD301" s="2">
        <v>1</v>
      </c>
      <c r="BE301" s="2">
        <v>1</v>
      </c>
      <c r="BG301" s="344">
        <v>1</v>
      </c>
      <c r="BH301" s="344">
        <v>1</v>
      </c>
      <c r="BJ301" s="2">
        <v>5.00000000001</v>
      </c>
      <c r="BK301" s="2">
        <v>3.00000000002</v>
      </c>
      <c r="BL301" s="2">
        <v>3.00000000003</v>
      </c>
      <c r="BM301" s="2">
        <v>4.00000000004</v>
      </c>
      <c r="BN301" s="2">
        <v>5.0000000000000002E-11</v>
      </c>
      <c r="BO301" s="2">
        <v>3.00000000006</v>
      </c>
      <c r="BP301" s="2">
        <v>2.00000000007</v>
      </c>
      <c r="BR301" s="2">
        <f t="shared" ref="BR301:BX304" si="588">BB301*BJ301</f>
        <v>7.5000000000149996</v>
      </c>
      <c r="BS301" s="2">
        <f t="shared" si="588"/>
        <v>6.00000000004</v>
      </c>
      <c r="BT301" s="2">
        <f t="shared" si="588"/>
        <v>3.00000000003</v>
      </c>
      <c r="BU301" s="2">
        <f t="shared" si="588"/>
        <v>4.00000000004</v>
      </c>
      <c r="BV301" s="2">
        <f t="shared" si="588"/>
        <v>0</v>
      </c>
      <c r="BW301" s="2">
        <f t="shared" si="588"/>
        <v>3.00000000006</v>
      </c>
      <c r="BX301" s="2">
        <f t="shared" si="588"/>
        <v>2.00000000007</v>
      </c>
      <c r="BY301" s="2">
        <f t="shared" si="543"/>
        <v>0</v>
      </c>
      <c r="BZ301" s="451" t="b">
        <f t="shared" si="556"/>
        <v>1</v>
      </c>
      <c r="CA301" s="451" t="b">
        <f t="shared" si="557"/>
        <v>1</v>
      </c>
      <c r="CB301" s="451" t="b">
        <f t="shared" si="558"/>
        <v>1</v>
      </c>
      <c r="CC301" s="451" t="b">
        <f t="shared" si="559"/>
        <v>1</v>
      </c>
      <c r="CD301" s="451" t="b">
        <f t="shared" si="560"/>
        <v>0</v>
      </c>
      <c r="CE301" s="451" t="b">
        <f t="shared" si="561"/>
        <v>1</v>
      </c>
      <c r="CF301" s="451" t="b">
        <f t="shared" si="562"/>
        <v>0</v>
      </c>
      <c r="CG301" s="451" t="b">
        <f t="shared" si="563"/>
        <v>0</v>
      </c>
      <c r="CH301" s="344">
        <v>1.5</v>
      </c>
      <c r="CI301" s="344">
        <v>2</v>
      </c>
      <c r="CJ301" s="344">
        <v>1</v>
      </c>
      <c r="CK301" s="344">
        <v>1</v>
      </c>
      <c r="CL301" s="344"/>
      <c r="CM301" s="344">
        <v>1</v>
      </c>
      <c r="CN301" s="344">
        <v>1</v>
      </c>
      <c r="CO301" s="449">
        <v>25</v>
      </c>
      <c r="CP301" s="449">
        <v>4.00000000001</v>
      </c>
      <c r="CQ301" s="449">
        <v>4.00000000002</v>
      </c>
      <c r="CR301" s="449">
        <v>4.00000000003</v>
      </c>
      <c r="CS301" s="449">
        <v>3.00000000004</v>
      </c>
      <c r="CT301" s="449">
        <v>5.0000000000000002E-11</v>
      </c>
      <c r="CU301" s="449">
        <v>4.00000000006</v>
      </c>
      <c r="CV301" s="449">
        <v>2.00000000007</v>
      </c>
      <c r="CX301" s="344">
        <f t="shared" si="564"/>
        <v>6.0000000000149996</v>
      </c>
      <c r="CY301" s="344">
        <f t="shared" si="565"/>
        <v>8.00000000004</v>
      </c>
      <c r="CZ301" s="344">
        <f t="shared" si="566"/>
        <v>4.00000000003</v>
      </c>
      <c r="DA301" s="344">
        <f t="shared" si="567"/>
        <v>3.00000000004</v>
      </c>
      <c r="DB301" s="344">
        <f t="shared" si="568"/>
        <v>0</v>
      </c>
      <c r="DC301" s="344">
        <f t="shared" si="569"/>
        <v>4.00000000006</v>
      </c>
      <c r="DD301" s="344">
        <f t="shared" si="570"/>
        <v>2.00000000007</v>
      </c>
      <c r="DE301" s="344">
        <f t="shared" si="571"/>
        <v>0</v>
      </c>
      <c r="DF301" s="451" t="b">
        <f t="shared" si="572"/>
        <v>1</v>
      </c>
      <c r="DG301" s="451" t="b">
        <f t="shared" si="573"/>
        <v>1</v>
      </c>
      <c r="DH301" s="451" t="b">
        <f t="shared" si="574"/>
        <v>1</v>
      </c>
      <c r="DI301" s="451" t="b">
        <f t="shared" si="575"/>
        <v>1</v>
      </c>
      <c r="DJ301" s="451" t="b">
        <f t="shared" si="576"/>
        <v>0</v>
      </c>
      <c r="DK301" s="451" t="b">
        <f t="shared" si="577"/>
        <v>1</v>
      </c>
      <c r="DL301" s="451" t="b">
        <f t="shared" si="578"/>
        <v>0</v>
      </c>
      <c r="DM301" s="451" t="b">
        <f t="shared" si="579"/>
        <v>0</v>
      </c>
    </row>
    <row r="302" spans="1:117" x14ac:dyDescent="0.3">
      <c r="A302" s="2" t="s">
        <v>1444</v>
      </c>
      <c r="B302" s="344" t="s">
        <v>2346</v>
      </c>
      <c r="C302" s="344" t="s">
        <v>2180</v>
      </c>
      <c r="D302" s="2" t="s">
        <v>1447</v>
      </c>
      <c r="E302" s="344" t="s">
        <v>1977</v>
      </c>
      <c r="F302" s="344" t="s">
        <v>1978</v>
      </c>
      <c r="G302" s="344">
        <f t="shared" si="547"/>
        <v>25.600000000241</v>
      </c>
      <c r="H302" s="344">
        <f t="shared" si="548"/>
        <v>24.800000000196999</v>
      </c>
      <c r="I302" s="2" t="s">
        <v>1970</v>
      </c>
      <c r="J302" s="2" t="s">
        <v>1970</v>
      </c>
      <c r="K302" s="450" t="s">
        <v>2740</v>
      </c>
      <c r="L302" s="450" t="s">
        <v>2691</v>
      </c>
      <c r="M302" s="450" t="s">
        <v>3419</v>
      </c>
      <c r="N302" s="344" t="s">
        <v>1978</v>
      </c>
      <c r="O302" s="344" t="s">
        <v>1978</v>
      </c>
      <c r="P302" s="344" t="s">
        <v>1978</v>
      </c>
      <c r="Q302" s="344" t="s">
        <v>1978</v>
      </c>
      <c r="R302" s="344" t="s">
        <v>1978</v>
      </c>
      <c r="S302" s="344" t="s">
        <v>1978</v>
      </c>
      <c r="T302" s="2" t="s">
        <v>1445</v>
      </c>
      <c r="U302" s="344" t="s">
        <v>2150</v>
      </c>
      <c r="V302" s="344" t="s">
        <v>1970</v>
      </c>
      <c r="W302" s="344" t="s">
        <v>1970</v>
      </c>
      <c r="X302" s="344">
        <f>'A123'!J310</f>
        <v>30</v>
      </c>
      <c r="Y302" s="344">
        <f>'A123'!K310</f>
        <v>41</v>
      </c>
      <c r="Z302" s="344">
        <f>'A123'!L310</f>
        <v>9.8857142857142861</v>
      </c>
      <c r="AA302" s="344" t="s">
        <v>2150</v>
      </c>
      <c r="AB302" s="344" t="str">
        <f>入學要求!X311</f>
        <v>/</v>
      </c>
      <c r="AC302" s="344" t="str">
        <f>入學要求!Y311</f>
        <v>/</v>
      </c>
      <c r="AD302" s="344" t="s">
        <v>1977</v>
      </c>
      <c r="AE302" s="344" t="s">
        <v>1970</v>
      </c>
      <c r="AF302" s="344" t="s">
        <v>1970</v>
      </c>
      <c r="AG302" s="450" t="s">
        <v>2740</v>
      </c>
      <c r="AH302" s="450" t="s">
        <v>2691</v>
      </c>
      <c r="AI302" s="450" t="s">
        <v>3419</v>
      </c>
      <c r="AJ302" s="2" t="s">
        <v>1970</v>
      </c>
      <c r="AK302" s="2" t="s">
        <v>1970</v>
      </c>
      <c r="AL302" s="2" t="s">
        <v>1970</v>
      </c>
      <c r="AM302" s="2" t="s">
        <v>1970</v>
      </c>
      <c r="AN302" s="2" t="s">
        <v>1970</v>
      </c>
      <c r="AO302" s="2" t="s">
        <v>1970</v>
      </c>
      <c r="AP302" s="344" t="s">
        <v>1970</v>
      </c>
      <c r="AQ302" s="344" t="s">
        <v>1970</v>
      </c>
      <c r="AR302" s="344" t="s">
        <v>2150</v>
      </c>
      <c r="AS302" s="381" t="s">
        <v>2369</v>
      </c>
      <c r="AV302" s="344" t="s">
        <v>2632</v>
      </c>
      <c r="BB302" s="344">
        <v>1.5</v>
      </c>
      <c r="BC302" s="344">
        <v>2</v>
      </c>
      <c r="BD302" s="2">
        <v>1</v>
      </c>
      <c r="BE302" s="2">
        <v>1</v>
      </c>
      <c r="BG302" s="344">
        <v>1.2</v>
      </c>
      <c r="BH302" s="344">
        <v>1.2</v>
      </c>
      <c r="BJ302" s="2">
        <v>4.00000000001</v>
      </c>
      <c r="BK302" s="2">
        <v>3.00000000002</v>
      </c>
      <c r="BL302" s="2">
        <v>4.00000000003</v>
      </c>
      <c r="BM302" s="2">
        <v>4.00000000004</v>
      </c>
      <c r="BN302" s="2">
        <v>5.0000000000000002E-11</v>
      </c>
      <c r="BO302" s="2">
        <v>4.00000000006</v>
      </c>
      <c r="BP302" s="2">
        <v>3.00000000007</v>
      </c>
      <c r="BR302" s="2">
        <f t="shared" si="588"/>
        <v>6.0000000000149996</v>
      </c>
      <c r="BS302" s="2">
        <f t="shared" si="588"/>
        <v>6.00000000004</v>
      </c>
      <c r="BT302" s="2">
        <f t="shared" si="588"/>
        <v>4.00000000003</v>
      </c>
      <c r="BU302" s="2">
        <f t="shared" si="588"/>
        <v>4.00000000004</v>
      </c>
      <c r="BV302" s="2">
        <f t="shared" si="588"/>
        <v>0</v>
      </c>
      <c r="BW302" s="2">
        <f t="shared" si="588"/>
        <v>4.800000000072</v>
      </c>
      <c r="BX302" s="2">
        <f t="shared" si="588"/>
        <v>3.600000000084</v>
      </c>
      <c r="BY302" s="2">
        <f t="shared" si="543"/>
        <v>0</v>
      </c>
      <c r="BZ302" s="451" t="b">
        <f t="shared" si="556"/>
        <v>1</v>
      </c>
      <c r="CA302" s="451" t="b">
        <f t="shared" si="557"/>
        <v>1</v>
      </c>
      <c r="CB302" s="451" t="b">
        <f t="shared" si="558"/>
        <v>1</v>
      </c>
      <c r="CC302" s="451" t="b">
        <f t="shared" si="559"/>
        <v>1</v>
      </c>
      <c r="CD302" s="451" t="b">
        <f t="shared" si="560"/>
        <v>0</v>
      </c>
      <c r="CE302" s="451" t="b">
        <f t="shared" si="561"/>
        <v>1</v>
      </c>
      <c r="CF302" s="451" t="b">
        <f t="shared" si="562"/>
        <v>0</v>
      </c>
      <c r="CG302" s="451" t="b">
        <f t="shared" si="563"/>
        <v>0</v>
      </c>
      <c r="CH302" s="344">
        <v>1.5</v>
      </c>
      <c r="CI302" s="344">
        <v>2</v>
      </c>
      <c r="CJ302" s="344">
        <v>1</v>
      </c>
      <c r="CK302" s="344">
        <v>1</v>
      </c>
      <c r="CL302" s="344"/>
      <c r="CM302" s="344">
        <v>1.2</v>
      </c>
      <c r="CN302" s="344">
        <v>1.2</v>
      </c>
      <c r="CO302" s="449">
        <v>25.6</v>
      </c>
      <c r="CP302" s="449">
        <v>4.00000000001</v>
      </c>
      <c r="CQ302" s="449">
        <v>3.00000000002</v>
      </c>
      <c r="CR302" s="449">
        <v>4.00000000003</v>
      </c>
      <c r="CS302" s="449">
        <v>3.00000000004</v>
      </c>
      <c r="CT302" s="449">
        <v>5.0000000000000002E-11</v>
      </c>
      <c r="CU302" s="449">
        <v>4.00000000006</v>
      </c>
      <c r="CV302" s="449">
        <v>4.00000000007</v>
      </c>
      <c r="CX302" s="344">
        <f t="shared" si="564"/>
        <v>6.0000000000149996</v>
      </c>
      <c r="CY302" s="344">
        <f t="shared" si="565"/>
        <v>6.00000000004</v>
      </c>
      <c r="CZ302" s="344">
        <f t="shared" si="566"/>
        <v>4.00000000003</v>
      </c>
      <c r="DA302" s="344">
        <f t="shared" si="567"/>
        <v>3.00000000004</v>
      </c>
      <c r="DB302" s="344">
        <f t="shared" si="568"/>
        <v>0</v>
      </c>
      <c r="DC302" s="344">
        <f t="shared" si="569"/>
        <v>4.800000000072</v>
      </c>
      <c r="DD302" s="344">
        <f t="shared" si="570"/>
        <v>4.8000000000840002</v>
      </c>
      <c r="DE302" s="344">
        <f t="shared" si="571"/>
        <v>0</v>
      </c>
      <c r="DF302" s="451" t="b">
        <f t="shared" si="572"/>
        <v>1</v>
      </c>
      <c r="DG302" s="451" t="b">
        <f t="shared" si="573"/>
        <v>1</v>
      </c>
      <c r="DH302" s="451" t="b">
        <f t="shared" si="574"/>
        <v>1</v>
      </c>
      <c r="DI302" s="451" t="b">
        <f t="shared" si="575"/>
        <v>0</v>
      </c>
      <c r="DJ302" s="451" t="b">
        <f t="shared" si="576"/>
        <v>0</v>
      </c>
      <c r="DK302" s="451" t="b">
        <f t="shared" si="577"/>
        <v>1</v>
      </c>
      <c r="DL302" s="451" t="b">
        <f t="shared" si="578"/>
        <v>1</v>
      </c>
      <c r="DM302" s="451" t="b">
        <f t="shared" si="579"/>
        <v>0</v>
      </c>
    </row>
    <row r="303" spans="1:117" x14ac:dyDescent="0.3">
      <c r="A303" s="2" t="s">
        <v>1448</v>
      </c>
      <c r="B303" s="344" t="s">
        <v>2346</v>
      </c>
      <c r="C303" s="344" t="s">
        <v>2180</v>
      </c>
      <c r="D303" s="2" t="s">
        <v>1451</v>
      </c>
      <c r="E303" s="344" t="s">
        <v>1977</v>
      </c>
      <c r="F303" s="344" t="s">
        <v>1978</v>
      </c>
      <c r="G303" s="344">
        <f t="shared" si="547"/>
        <v>26.000000000229999</v>
      </c>
      <c r="H303" s="344">
        <f t="shared" si="548"/>
        <v>25.500000000199996</v>
      </c>
      <c r="I303" s="2" t="s">
        <v>1970</v>
      </c>
      <c r="J303" s="2" t="s">
        <v>1970</v>
      </c>
      <c r="K303" s="450" t="s">
        <v>2740</v>
      </c>
      <c r="L303" s="450" t="s">
        <v>2742</v>
      </c>
      <c r="M303" s="450" t="s">
        <v>1970</v>
      </c>
      <c r="N303" s="344" t="s">
        <v>1978</v>
      </c>
      <c r="O303" s="344" t="s">
        <v>1978</v>
      </c>
      <c r="P303" s="344" t="s">
        <v>1978</v>
      </c>
      <c r="Q303" s="344" t="s">
        <v>1978</v>
      </c>
      <c r="R303" s="344" t="s">
        <v>1978</v>
      </c>
      <c r="S303" s="344" t="s">
        <v>1978</v>
      </c>
      <c r="T303" s="2" t="s">
        <v>1449</v>
      </c>
      <c r="U303" s="344" t="s">
        <v>2150</v>
      </c>
      <c r="V303" s="344" t="s">
        <v>1970</v>
      </c>
      <c r="W303" s="344" t="s">
        <v>1970</v>
      </c>
      <c r="X303" s="344">
        <f>'A123'!J311</f>
        <v>29</v>
      </c>
      <c r="Y303" s="344">
        <f>'A123'!K311</f>
        <v>39</v>
      </c>
      <c r="Z303" s="344">
        <f>'A123'!L311</f>
        <v>7.5714285714285712</v>
      </c>
      <c r="AA303" s="344" t="s">
        <v>2150</v>
      </c>
      <c r="AB303" s="344" t="str">
        <f>入學要求!X312</f>
        <v>/</v>
      </c>
      <c r="AC303" s="344" t="str">
        <f>入學要求!Y312</f>
        <v>/</v>
      </c>
      <c r="AD303" s="344" t="s">
        <v>1977</v>
      </c>
      <c r="AE303" s="344" t="s">
        <v>1970</v>
      </c>
      <c r="AF303" s="344" t="s">
        <v>1970</v>
      </c>
      <c r="AG303" s="450" t="s">
        <v>2740</v>
      </c>
      <c r="AH303" s="450" t="s">
        <v>2742</v>
      </c>
      <c r="AI303" s="450" t="s">
        <v>1970</v>
      </c>
      <c r="AJ303" s="2" t="s">
        <v>1970</v>
      </c>
      <c r="AK303" s="2" t="s">
        <v>1970</v>
      </c>
      <c r="AL303" s="2" t="s">
        <v>1970</v>
      </c>
      <c r="AM303" s="2" t="s">
        <v>1970</v>
      </c>
      <c r="AN303" s="2" t="s">
        <v>1970</v>
      </c>
      <c r="AO303" s="2" t="s">
        <v>1970</v>
      </c>
      <c r="AP303" s="344" t="s">
        <v>1970</v>
      </c>
      <c r="AQ303" s="344" t="s">
        <v>1970</v>
      </c>
      <c r="AR303" s="344" t="s">
        <v>2150</v>
      </c>
      <c r="AS303" s="381" t="s">
        <v>2369</v>
      </c>
      <c r="AV303" s="344" t="s">
        <v>2632</v>
      </c>
      <c r="BB303" s="344">
        <v>1.5</v>
      </c>
      <c r="BC303" s="344">
        <v>2</v>
      </c>
      <c r="BD303" s="2">
        <v>1.5</v>
      </c>
      <c r="BE303" s="2">
        <v>1</v>
      </c>
      <c r="BG303" s="344">
        <v>1</v>
      </c>
      <c r="BH303" s="344">
        <v>1</v>
      </c>
      <c r="BJ303" s="2">
        <v>5.00000000001</v>
      </c>
      <c r="BK303" s="2">
        <v>3.00000000002</v>
      </c>
      <c r="BL303" s="2">
        <v>2.00000000003</v>
      </c>
      <c r="BM303" s="2">
        <v>4.00000000004</v>
      </c>
      <c r="BN303" s="2">
        <v>5.0000000000000002E-11</v>
      </c>
      <c r="BO303" s="2">
        <v>5.00000000006</v>
      </c>
      <c r="BP303" s="2">
        <v>2.00000000007</v>
      </c>
      <c r="BR303" s="2">
        <f t="shared" si="588"/>
        <v>7.5000000000149996</v>
      </c>
      <c r="BS303" s="2">
        <f t="shared" si="588"/>
        <v>6.00000000004</v>
      </c>
      <c r="BT303" s="2">
        <f t="shared" si="588"/>
        <v>3.000000000045</v>
      </c>
      <c r="BU303" s="2">
        <f t="shared" si="588"/>
        <v>4.00000000004</v>
      </c>
      <c r="BV303" s="2">
        <f t="shared" si="588"/>
        <v>0</v>
      </c>
      <c r="BW303" s="2">
        <f t="shared" si="588"/>
        <v>5.00000000006</v>
      </c>
      <c r="BX303" s="2">
        <f t="shared" si="588"/>
        <v>2.00000000007</v>
      </c>
      <c r="BY303" s="2">
        <f t="shared" si="543"/>
        <v>0</v>
      </c>
      <c r="BZ303" s="451" t="b">
        <f t="shared" si="556"/>
        <v>1</v>
      </c>
      <c r="CA303" s="451" t="b">
        <f t="shared" si="557"/>
        <v>1</v>
      </c>
      <c r="CB303" s="451" t="b">
        <f t="shared" si="558"/>
        <v>1</v>
      </c>
      <c r="CC303" s="451" t="b">
        <f t="shared" si="559"/>
        <v>1</v>
      </c>
      <c r="CD303" s="451" t="b">
        <f t="shared" si="560"/>
        <v>0</v>
      </c>
      <c r="CE303" s="451" t="b">
        <f t="shared" si="561"/>
        <v>1</v>
      </c>
      <c r="CF303" s="451" t="b">
        <f t="shared" si="562"/>
        <v>0</v>
      </c>
      <c r="CG303" s="451" t="b">
        <f t="shared" si="563"/>
        <v>0</v>
      </c>
      <c r="CH303" s="344">
        <v>1.5</v>
      </c>
      <c r="CI303" s="344">
        <v>2</v>
      </c>
      <c r="CJ303" s="344">
        <v>1.5</v>
      </c>
      <c r="CK303" s="344">
        <v>1</v>
      </c>
      <c r="CL303" s="344"/>
      <c r="CM303" s="344">
        <v>1</v>
      </c>
      <c r="CN303" s="344">
        <v>1</v>
      </c>
      <c r="CO303" s="449">
        <v>26</v>
      </c>
      <c r="CP303" s="449">
        <v>4.00000000001</v>
      </c>
      <c r="CQ303" s="449">
        <v>3.00000000002</v>
      </c>
      <c r="CR303" s="449">
        <v>4.00000000003</v>
      </c>
      <c r="CS303" s="449">
        <v>4.00000000004</v>
      </c>
      <c r="CT303" s="449">
        <v>5.0000000000000002E-11</v>
      </c>
      <c r="CU303" s="449">
        <v>4.00000000006</v>
      </c>
      <c r="CV303" s="449">
        <v>4.00000000007</v>
      </c>
      <c r="CX303" s="344">
        <f t="shared" si="564"/>
        <v>6.0000000000149996</v>
      </c>
      <c r="CY303" s="344">
        <f t="shared" si="565"/>
        <v>6.00000000004</v>
      </c>
      <c r="CZ303" s="344">
        <f t="shared" si="566"/>
        <v>6.0000000000450004</v>
      </c>
      <c r="DA303" s="344">
        <f t="shared" si="567"/>
        <v>4.00000000004</v>
      </c>
      <c r="DB303" s="344">
        <f t="shared" si="568"/>
        <v>0</v>
      </c>
      <c r="DC303" s="344">
        <f t="shared" si="569"/>
        <v>4.00000000006</v>
      </c>
      <c r="DD303" s="344">
        <f t="shared" si="570"/>
        <v>4.00000000007</v>
      </c>
      <c r="DE303" s="344">
        <f t="shared" si="571"/>
        <v>0</v>
      </c>
      <c r="DF303" s="451" t="b">
        <f t="shared" si="572"/>
        <v>1</v>
      </c>
      <c r="DG303" s="451" t="b">
        <f t="shared" si="573"/>
        <v>1</v>
      </c>
      <c r="DH303" s="451" t="b">
        <f t="shared" si="574"/>
        <v>1</v>
      </c>
      <c r="DI303" s="451" t="b">
        <f t="shared" si="575"/>
        <v>0</v>
      </c>
      <c r="DJ303" s="451" t="b">
        <f t="shared" si="576"/>
        <v>0</v>
      </c>
      <c r="DK303" s="451" t="b">
        <f t="shared" si="577"/>
        <v>1</v>
      </c>
      <c r="DL303" s="451" t="b">
        <f t="shared" si="578"/>
        <v>1</v>
      </c>
      <c r="DM303" s="451" t="b">
        <f t="shared" si="579"/>
        <v>0</v>
      </c>
    </row>
    <row r="304" spans="1:117" x14ac:dyDescent="0.3">
      <c r="A304" s="2" t="s">
        <v>1452</v>
      </c>
      <c r="B304" s="344" t="s">
        <v>2346</v>
      </c>
      <c r="C304" s="344" t="s">
        <v>2180</v>
      </c>
      <c r="D304" s="2" t="s">
        <v>1455</v>
      </c>
      <c r="E304" s="344" t="s">
        <v>1977</v>
      </c>
      <c r="F304" s="344" t="s">
        <v>1978</v>
      </c>
      <c r="G304" s="344">
        <f t="shared" si="547"/>
        <v>24.000000000184997</v>
      </c>
      <c r="H304" s="344">
        <f t="shared" si="548"/>
        <v>23.000000000194998</v>
      </c>
      <c r="I304" s="2" t="s">
        <v>1970</v>
      </c>
      <c r="J304" s="2" t="s">
        <v>1970</v>
      </c>
      <c r="K304" s="450" t="s">
        <v>2740</v>
      </c>
      <c r="L304" s="450" t="s">
        <v>2691</v>
      </c>
      <c r="M304" s="450" t="s">
        <v>1970</v>
      </c>
      <c r="N304" s="344" t="s">
        <v>1978</v>
      </c>
      <c r="O304" s="344" t="s">
        <v>1978</v>
      </c>
      <c r="P304" s="344" t="s">
        <v>1978</v>
      </c>
      <c r="Q304" s="344" t="s">
        <v>1978</v>
      </c>
      <c r="R304" s="344" t="s">
        <v>1978</v>
      </c>
      <c r="S304" s="344" t="s">
        <v>1978</v>
      </c>
      <c r="T304" s="2" t="s">
        <v>1453</v>
      </c>
      <c r="U304" s="344" t="s">
        <v>2150</v>
      </c>
      <c r="V304" s="344" t="s">
        <v>1970</v>
      </c>
      <c r="W304" s="344" t="s">
        <v>1970</v>
      </c>
      <c r="X304" s="344">
        <f>'A123'!J312</f>
        <v>21</v>
      </c>
      <c r="Y304" s="344">
        <f>'A123'!K312</f>
        <v>41</v>
      </c>
      <c r="Z304" s="344">
        <f>'A123'!L312</f>
        <v>9.375</v>
      </c>
      <c r="AA304" s="344" t="s">
        <v>2150</v>
      </c>
      <c r="AB304" s="344" t="str">
        <f>入學要求!X313</f>
        <v>/</v>
      </c>
      <c r="AC304" s="344" t="str">
        <f>入學要求!Y313</f>
        <v>/</v>
      </c>
      <c r="AD304" s="344" t="s">
        <v>1977</v>
      </c>
      <c r="AE304" s="344" t="s">
        <v>1970</v>
      </c>
      <c r="AF304" s="344" t="s">
        <v>1970</v>
      </c>
      <c r="AG304" s="450" t="s">
        <v>2740</v>
      </c>
      <c r="AH304" s="450" t="s">
        <v>2691</v>
      </c>
      <c r="AI304" s="450" t="s">
        <v>1970</v>
      </c>
      <c r="AJ304" s="2" t="s">
        <v>1970</v>
      </c>
      <c r="AK304" s="2" t="s">
        <v>1970</v>
      </c>
      <c r="AL304" s="2" t="s">
        <v>1970</v>
      </c>
      <c r="AM304" s="2" t="s">
        <v>1970</v>
      </c>
      <c r="AN304" s="2" t="s">
        <v>1970</v>
      </c>
      <c r="AO304" s="2" t="s">
        <v>1970</v>
      </c>
      <c r="AP304" s="344" t="s">
        <v>1970</v>
      </c>
      <c r="AQ304" s="344" t="s">
        <v>1970</v>
      </c>
      <c r="AR304" s="344" t="s">
        <v>2150</v>
      </c>
      <c r="AS304" s="381" t="s">
        <v>2369</v>
      </c>
      <c r="AV304" s="344" t="s">
        <v>2632</v>
      </c>
      <c r="BB304" s="344">
        <v>1.5</v>
      </c>
      <c r="BC304" s="344">
        <v>2</v>
      </c>
      <c r="BD304" s="2">
        <v>1</v>
      </c>
      <c r="BE304" s="2">
        <v>1</v>
      </c>
      <c r="BG304" s="344">
        <v>1</v>
      </c>
      <c r="BH304" s="344">
        <v>1</v>
      </c>
      <c r="BJ304" s="2">
        <v>4.00000000001</v>
      </c>
      <c r="BK304" s="2">
        <v>3.00000000002</v>
      </c>
      <c r="BL304" s="2">
        <v>4.00000000003</v>
      </c>
      <c r="BM304" s="2">
        <v>4.00000000004</v>
      </c>
      <c r="BN304" s="2">
        <v>5.0000000000000002E-11</v>
      </c>
      <c r="BO304" s="2">
        <v>3.00000000006</v>
      </c>
      <c r="BP304" s="2">
        <v>3.00000000007</v>
      </c>
      <c r="BR304" s="2">
        <f t="shared" si="588"/>
        <v>6.0000000000149996</v>
      </c>
      <c r="BS304" s="2">
        <f t="shared" si="588"/>
        <v>6.00000000004</v>
      </c>
      <c r="BT304" s="2">
        <f t="shared" si="588"/>
        <v>4.00000000003</v>
      </c>
      <c r="BU304" s="2">
        <f t="shared" si="588"/>
        <v>4.00000000004</v>
      </c>
      <c r="BV304" s="2">
        <f t="shared" si="588"/>
        <v>0</v>
      </c>
      <c r="BW304" s="2">
        <f t="shared" si="588"/>
        <v>3.00000000006</v>
      </c>
      <c r="BX304" s="2">
        <f t="shared" si="588"/>
        <v>3.00000000007</v>
      </c>
      <c r="BY304" s="2">
        <f t="shared" si="543"/>
        <v>0</v>
      </c>
      <c r="BZ304" s="451" t="b">
        <f t="shared" si="556"/>
        <v>1</v>
      </c>
      <c r="CA304" s="451" t="b">
        <f t="shared" si="557"/>
        <v>1</v>
      </c>
      <c r="CB304" s="451" t="b">
        <f t="shared" si="558"/>
        <v>1</v>
      </c>
      <c r="CC304" s="451" t="b">
        <f t="shared" si="559"/>
        <v>1</v>
      </c>
      <c r="CD304" s="451" t="b">
        <f t="shared" si="560"/>
        <v>0</v>
      </c>
      <c r="CE304" s="451" t="b">
        <f t="shared" si="561"/>
        <v>0</v>
      </c>
      <c r="CF304" s="451" t="b">
        <f t="shared" si="562"/>
        <v>1</v>
      </c>
      <c r="CG304" s="451" t="b">
        <f t="shared" si="563"/>
        <v>0</v>
      </c>
      <c r="CH304" s="344">
        <v>1.5</v>
      </c>
      <c r="CI304" s="344">
        <v>2</v>
      </c>
      <c r="CJ304" s="344">
        <v>1</v>
      </c>
      <c r="CK304" s="344">
        <v>1</v>
      </c>
      <c r="CL304" s="344"/>
      <c r="CM304" s="344">
        <v>1</v>
      </c>
      <c r="CN304" s="344">
        <v>1</v>
      </c>
      <c r="CO304" s="449">
        <v>24</v>
      </c>
      <c r="CP304" s="449">
        <v>4.00000000001</v>
      </c>
      <c r="CQ304" s="449">
        <v>3.00000000002</v>
      </c>
      <c r="CR304" s="449">
        <v>4.00000000003</v>
      </c>
      <c r="CS304" s="449">
        <v>5.00000000004</v>
      </c>
      <c r="CT304" s="449">
        <v>5.0000000000000002E-11</v>
      </c>
      <c r="CU304" s="449">
        <v>3.00000000006</v>
      </c>
      <c r="CV304" s="449">
        <v>2.00000000007</v>
      </c>
      <c r="CX304" s="344">
        <f t="shared" si="564"/>
        <v>6.0000000000149996</v>
      </c>
      <c r="CY304" s="344">
        <f t="shared" si="565"/>
        <v>6.00000000004</v>
      </c>
      <c r="CZ304" s="344">
        <f t="shared" si="566"/>
        <v>4.00000000003</v>
      </c>
      <c r="DA304" s="344">
        <f t="shared" si="567"/>
        <v>5.00000000004</v>
      </c>
      <c r="DB304" s="344">
        <f t="shared" si="568"/>
        <v>0</v>
      </c>
      <c r="DC304" s="344">
        <f t="shared" si="569"/>
        <v>3.00000000006</v>
      </c>
      <c r="DD304" s="344">
        <f t="shared" si="570"/>
        <v>2.00000000007</v>
      </c>
      <c r="DE304" s="344">
        <f t="shared" si="571"/>
        <v>0</v>
      </c>
      <c r="DF304" s="451" t="b">
        <f t="shared" si="572"/>
        <v>1</v>
      </c>
      <c r="DG304" s="451" t="b">
        <f t="shared" si="573"/>
        <v>1</v>
      </c>
      <c r="DH304" s="451" t="b">
        <f t="shared" si="574"/>
        <v>1</v>
      </c>
      <c r="DI304" s="451" t="b">
        <f t="shared" si="575"/>
        <v>1</v>
      </c>
      <c r="DJ304" s="451" t="b">
        <f t="shared" si="576"/>
        <v>0</v>
      </c>
      <c r="DK304" s="451" t="b">
        <f t="shared" si="577"/>
        <v>1</v>
      </c>
      <c r="DL304" s="451" t="b">
        <f t="shared" si="578"/>
        <v>0</v>
      </c>
      <c r="DM304" s="451" t="b">
        <f t="shared" si="579"/>
        <v>0</v>
      </c>
    </row>
    <row r="305" spans="1:117" s="344" customFormat="1" x14ac:dyDescent="0.3">
      <c r="K305" s="450"/>
      <c r="L305" s="450"/>
      <c r="M305" s="450"/>
      <c r="X305" s="344">
        <f>'A123'!J313</f>
        <v>0</v>
      </c>
      <c r="Y305" s="344">
        <f>'A123'!K313</f>
        <v>0</v>
      </c>
      <c r="Z305" s="344">
        <f>'A123'!L313</f>
        <v>0</v>
      </c>
      <c r="AG305" s="450"/>
      <c r="AH305" s="450"/>
      <c r="AI305" s="450"/>
      <c r="AQ305" s="344" t="s">
        <v>1970</v>
      </c>
      <c r="AS305" s="381"/>
      <c r="BZ305" s="451"/>
      <c r="CA305" s="451"/>
      <c r="CB305" s="451"/>
      <c r="CC305" s="451"/>
      <c r="CD305" s="451"/>
      <c r="CE305" s="451"/>
      <c r="CF305" s="451"/>
      <c r="CG305" s="451"/>
      <c r="CO305" s="449"/>
      <c r="CP305" s="449"/>
      <c r="CQ305" s="449"/>
      <c r="CR305" s="449"/>
      <c r="CS305" s="449"/>
      <c r="CT305" s="449"/>
      <c r="CU305" s="449"/>
      <c r="CV305" s="449"/>
      <c r="DF305" s="451"/>
      <c r="DG305" s="451"/>
      <c r="DH305" s="451"/>
      <c r="DI305" s="451"/>
      <c r="DJ305" s="451"/>
      <c r="DK305" s="451"/>
      <c r="DL305" s="451"/>
      <c r="DM305" s="451"/>
    </row>
    <row r="306" spans="1:117" s="344" customFormat="1" x14ac:dyDescent="0.3">
      <c r="K306" s="450"/>
      <c r="L306" s="450"/>
      <c r="X306" s="344">
        <f>'A123'!J314</f>
        <v>0</v>
      </c>
      <c r="Y306" s="344">
        <f>'A123'!K314</f>
        <v>0</v>
      </c>
      <c r="Z306" s="344">
        <f>'A123'!L314</f>
        <v>0</v>
      </c>
      <c r="AG306" s="450"/>
      <c r="AH306" s="450"/>
      <c r="AI306" s="450"/>
      <c r="AQ306" s="344" t="s">
        <v>1970</v>
      </c>
      <c r="AS306" s="381"/>
      <c r="BZ306" s="451"/>
      <c r="CA306" s="451"/>
      <c r="CB306" s="451"/>
      <c r="CC306" s="451"/>
      <c r="CD306" s="451"/>
      <c r="CE306" s="451"/>
      <c r="CF306" s="451"/>
      <c r="CG306" s="451"/>
      <c r="CO306" s="449"/>
      <c r="CP306" s="449"/>
      <c r="CQ306" s="449"/>
      <c r="CR306" s="449"/>
      <c r="CS306" s="449"/>
      <c r="CT306" s="449"/>
      <c r="CU306" s="449"/>
      <c r="CV306" s="449"/>
      <c r="DF306" s="451"/>
      <c r="DG306" s="451"/>
      <c r="DH306" s="451"/>
      <c r="DI306" s="451"/>
      <c r="DJ306" s="451"/>
      <c r="DK306" s="451"/>
      <c r="DL306" s="451"/>
      <c r="DM306" s="451"/>
    </row>
    <row r="307" spans="1:117" x14ac:dyDescent="0.3">
      <c r="A307" s="2" t="s">
        <v>1458</v>
      </c>
      <c r="B307" s="2" t="s">
        <v>1457</v>
      </c>
      <c r="C307" s="344" t="s">
        <v>2374</v>
      </c>
      <c r="D307" s="2" t="s">
        <v>1461</v>
      </c>
      <c r="E307" s="2" t="s">
        <v>2171</v>
      </c>
      <c r="F307" s="344" t="s">
        <v>1978</v>
      </c>
      <c r="G307" s="344" t="s">
        <v>1978</v>
      </c>
      <c r="H307" s="2">
        <v>21</v>
      </c>
      <c r="I307" s="2" t="s">
        <v>3438</v>
      </c>
      <c r="J307" s="450"/>
      <c r="N307" s="344" t="s">
        <v>1978</v>
      </c>
      <c r="O307" s="344" t="s">
        <v>1978</v>
      </c>
      <c r="P307" s="344" t="s">
        <v>1978</v>
      </c>
      <c r="Q307" s="344" t="s">
        <v>1978</v>
      </c>
      <c r="R307" s="344" t="s">
        <v>1978</v>
      </c>
      <c r="S307" s="344" t="s">
        <v>1978</v>
      </c>
      <c r="T307" s="2" t="s">
        <v>1459</v>
      </c>
      <c r="U307" s="344" t="s">
        <v>2150</v>
      </c>
      <c r="X307" s="344">
        <f>'A123'!J315</f>
        <v>75</v>
      </c>
      <c r="Y307" s="344">
        <f>'A123'!K315</f>
        <v>61</v>
      </c>
      <c r="Z307" s="344">
        <f>'A123'!L315</f>
        <v>9.1967213114754092</v>
      </c>
      <c r="AA307" s="344" t="s">
        <v>2150</v>
      </c>
      <c r="AB307" s="2" t="str">
        <f>入學要求!X316</f>
        <v>/</v>
      </c>
      <c r="AC307" s="344" t="str">
        <f>入學要求!Y316</f>
        <v>/</v>
      </c>
      <c r="AD307" s="344" t="s">
        <v>2171</v>
      </c>
      <c r="AE307" s="2" t="s">
        <v>1970</v>
      </c>
      <c r="AF307" s="2" t="s">
        <v>1970</v>
      </c>
      <c r="AG307" s="344" t="s">
        <v>1970</v>
      </c>
      <c r="AH307" s="344" t="s">
        <v>1970</v>
      </c>
      <c r="AI307" s="2" t="s">
        <v>1970</v>
      </c>
      <c r="AJ307" s="2" t="s">
        <v>1970</v>
      </c>
      <c r="AK307" s="2" t="s">
        <v>1970</v>
      </c>
      <c r="AL307" s="2" t="s">
        <v>1970</v>
      </c>
      <c r="AM307" s="2" t="s">
        <v>1970</v>
      </c>
      <c r="AN307" s="2" t="s">
        <v>1970</v>
      </c>
      <c r="AO307" s="2" t="s">
        <v>1970</v>
      </c>
      <c r="AP307" s="251" t="s">
        <v>1970</v>
      </c>
      <c r="AQ307" s="344" t="s">
        <v>1970</v>
      </c>
      <c r="AR307" s="344" t="s">
        <v>2150</v>
      </c>
      <c r="AS307" s="2" t="s">
        <v>3710</v>
      </c>
      <c r="AT307" s="2" t="s">
        <v>3709</v>
      </c>
      <c r="AV307" s="344" t="s">
        <v>3806</v>
      </c>
      <c r="AX307" s="344" t="s">
        <v>3807</v>
      </c>
      <c r="AY307" s="344" t="s">
        <v>3809</v>
      </c>
      <c r="BR307" s="344"/>
      <c r="BS307" s="344"/>
      <c r="BT307" s="344"/>
      <c r="BU307" s="344"/>
      <c r="BV307" s="344"/>
      <c r="BW307" s="344"/>
      <c r="BX307" s="344"/>
      <c r="BY307" s="344"/>
      <c r="BZ307" s="344"/>
    </row>
    <row r="308" spans="1:117" x14ac:dyDescent="0.3">
      <c r="A308" s="2" t="s">
        <v>1462</v>
      </c>
      <c r="B308" s="2" t="s">
        <v>1457</v>
      </c>
      <c r="C308" s="344" t="s">
        <v>2374</v>
      </c>
      <c r="D308" s="2" t="s">
        <v>1465</v>
      </c>
      <c r="E308" s="344" t="s">
        <v>2171</v>
      </c>
      <c r="F308" s="344" t="s">
        <v>1978</v>
      </c>
      <c r="G308" s="344" t="s">
        <v>1978</v>
      </c>
      <c r="H308" s="2">
        <v>21</v>
      </c>
      <c r="I308" s="344" t="s">
        <v>3439</v>
      </c>
      <c r="N308" s="344" t="s">
        <v>1978</v>
      </c>
      <c r="O308" s="344" t="s">
        <v>1978</v>
      </c>
      <c r="P308" s="344" t="s">
        <v>1978</v>
      </c>
      <c r="Q308" s="344" t="s">
        <v>1978</v>
      </c>
      <c r="R308" s="344" t="s">
        <v>1978</v>
      </c>
      <c r="S308" s="344" t="s">
        <v>1978</v>
      </c>
      <c r="T308" s="2" t="s">
        <v>1463</v>
      </c>
      <c r="U308" s="344" t="s">
        <v>2150</v>
      </c>
      <c r="X308" s="344">
        <f>'A123'!J316</f>
        <v>18</v>
      </c>
      <c r="Y308" s="344">
        <f>'A123'!K316</f>
        <v>15</v>
      </c>
      <c r="Z308" s="344">
        <f>'A123'!L316</f>
        <v>13.066666666666666</v>
      </c>
      <c r="AA308" s="344" t="s">
        <v>2150</v>
      </c>
      <c r="AB308" s="344" t="str">
        <f>入學要求!X317</f>
        <v>/</v>
      </c>
      <c r="AC308" s="344" t="str">
        <f>入學要求!Y317</f>
        <v>/</v>
      </c>
      <c r="AD308" s="344" t="s">
        <v>2171</v>
      </c>
      <c r="AE308" s="2" t="s">
        <v>1970</v>
      </c>
      <c r="AF308" s="2" t="s">
        <v>1970</v>
      </c>
      <c r="AG308" s="344" t="s">
        <v>1970</v>
      </c>
      <c r="AH308" s="344" t="s">
        <v>1970</v>
      </c>
      <c r="AI308" s="2" t="s">
        <v>1970</v>
      </c>
      <c r="AJ308" s="2" t="s">
        <v>1970</v>
      </c>
      <c r="AK308" s="2" t="s">
        <v>1970</v>
      </c>
      <c r="AL308" s="2" t="s">
        <v>1970</v>
      </c>
      <c r="AM308" s="2" t="s">
        <v>1970</v>
      </c>
      <c r="AN308" s="2" t="s">
        <v>1970</v>
      </c>
      <c r="AO308" s="2" t="s">
        <v>1970</v>
      </c>
      <c r="AP308" s="251" t="s">
        <v>1970</v>
      </c>
      <c r="AQ308" s="344" t="s">
        <v>1970</v>
      </c>
      <c r="AR308" s="344" t="s">
        <v>2150</v>
      </c>
      <c r="AS308" s="344" t="s">
        <v>3710</v>
      </c>
      <c r="AT308" s="344" t="s">
        <v>3709</v>
      </c>
      <c r="AV308" s="344" t="s">
        <v>3806</v>
      </c>
      <c r="AX308" s="344" t="s">
        <v>3807</v>
      </c>
      <c r="AY308" s="344" t="s">
        <v>3809</v>
      </c>
      <c r="BR308" s="344"/>
      <c r="BS308" s="344"/>
      <c r="BT308" s="344"/>
      <c r="BU308" s="344"/>
      <c r="BV308" s="344"/>
      <c r="BW308" s="344"/>
      <c r="BX308" s="344"/>
      <c r="BY308" s="344"/>
      <c r="BZ308" s="344"/>
    </row>
    <row r="309" spans="1:117" x14ac:dyDescent="0.3">
      <c r="A309" s="2" t="s">
        <v>1466</v>
      </c>
      <c r="B309" s="2" t="s">
        <v>1457</v>
      </c>
      <c r="C309" s="344" t="s">
        <v>3436</v>
      </c>
      <c r="D309" s="2" t="s">
        <v>1469</v>
      </c>
      <c r="E309" s="344" t="s">
        <v>1977</v>
      </c>
      <c r="F309" s="344" t="s">
        <v>1978</v>
      </c>
      <c r="G309" s="344" t="s">
        <v>1978</v>
      </c>
      <c r="H309" s="2">
        <v>20</v>
      </c>
      <c r="N309" s="344" t="s">
        <v>1978</v>
      </c>
      <c r="O309" s="344" t="s">
        <v>1978</v>
      </c>
      <c r="P309" s="344" t="s">
        <v>1978</v>
      </c>
      <c r="Q309" s="344" t="s">
        <v>1978</v>
      </c>
      <c r="R309" s="344" t="s">
        <v>1978</v>
      </c>
      <c r="S309" s="344" t="s">
        <v>1978</v>
      </c>
      <c r="T309" s="2" t="s">
        <v>1467</v>
      </c>
      <c r="U309" s="344" t="s">
        <v>2150</v>
      </c>
      <c r="X309" s="344">
        <f>'A123'!J317</f>
        <v>39</v>
      </c>
      <c r="Y309" s="344">
        <f>'A123'!K317</f>
        <v>42</v>
      </c>
      <c r="Z309" s="344">
        <f>'A123'!L317</f>
        <v>20.179487179487179</v>
      </c>
      <c r="AA309" s="344" t="s">
        <v>2150</v>
      </c>
      <c r="AB309" s="344" t="str">
        <f>入學要求!X318</f>
        <v>/</v>
      </c>
      <c r="AC309" s="344" t="str">
        <f>入學要求!Y318</f>
        <v>/</v>
      </c>
      <c r="AD309" s="344" t="s">
        <v>1977</v>
      </c>
      <c r="AE309" s="2" t="s">
        <v>1970</v>
      </c>
      <c r="AF309" s="2" t="s">
        <v>1970</v>
      </c>
      <c r="AG309" s="344" t="s">
        <v>1970</v>
      </c>
      <c r="AH309" s="344" t="s">
        <v>1970</v>
      </c>
      <c r="AI309" s="2" t="s">
        <v>1970</v>
      </c>
      <c r="AJ309" s="2" t="s">
        <v>1970</v>
      </c>
      <c r="AK309" s="2" t="s">
        <v>1970</v>
      </c>
      <c r="AL309" s="2" t="s">
        <v>1970</v>
      </c>
      <c r="AM309" s="2" t="s">
        <v>1970</v>
      </c>
      <c r="AN309" s="2" t="s">
        <v>1970</v>
      </c>
      <c r="AO309" s="2" t="s">
        <v>1970</v>
      </c>
      <c r="AP309" s="251" t="s">
        <v>1970</v>
      </c>
      <c r="AQ309" s="344" t="s">
        <v>1970</v>
      </c>
      <c r="AR309" s="344" t="s">
        <v>2150</v>
      </c>
      <c r="AS309" s="344" t="s">
        <v>3710</v>
      </c>
      <c r="AT309" s="344" t="s">
        <v>3708</v>
      </c>
      <c r="AV309" s="344" t="s">
        <v>3806</v>
      </c>
      <c r="AX309" s="344" t="s">
        <v>3807</v>
      </c>
      <c r="AY309" s="344" t="s">
        <v>3808</v>
      </c>
      <c r="BR309" s="344"/>
      <c r="BS309" s="344"/>
      <c r="BT309" s="344"/>
      <c r="BU309" s="344"/>
      <c r="BV309" s="344"/>
      <c r="BW309" s="344"/>
      <c r="BX309" s="344"/>
      <c r="BY309" s="344"/>
      <c r="BZ309" s="344"/>
    </row>
    <row r="310" spans="1:117" x14ac:dyDescent="0.3">
      <c r="A310" s="2" t="s">
        <v>1470</v>
      </c>
      <c r="B310" s="2" t="s">
        <v>1457</v>
      </c>
      <c r="C310" s="344" t="s">
        <v>3436</v>
      </c>
      <c r="D310" s="2" t="s">
        <v>1473</v>
      </c>
      <c r="E310" s="344" t="s">
        <v>1977</v>
      </c>
      <c r="F310" s="344" t="s">
        <v>1978</v>
      </c>
      <c r="G310" s="344" t="s">
        <v>1978</v>
      </c>
      <c r="H310" s="2">
        <v>21</v>
      </c>
      <c r="K310" s="2" t="s">
        <v>3443</v>
      </c>
      <c r="L310" s="2" t="s">
        <v>3444</v>
      </c>
      <c r="N310" s="344" t="s">
        <v>1978</v>
      </c>
      <c r="O310" s="344" t="s">
        <v>1978</v>
      </c>
      <c r="P310" s="344" t="s">
        <v>1978</v>
      </c>
      <c r="Q310" s="344" t="s">
        <v>1978</v>
      </c>
      <c r="R310" s="344" t="s">
        <v>1978</v>
      </c>
      <c r="S310" s="344" t="s">
        <v>1978</v>
      </c>
      <c r="T310" s="2" t="s">
        <v>1471</v>
      </c>
      <c r="U310" s="344" t="s">
        <v>2150</v>
      </c>
      <c r="X310" s="344">
        <f>'A123'!J318</f>
        <v>63</v>
      </c>
      <c r="Y310" s="344">
        <f>'A123'!K318</f>
        <v>46</v>
      </c>
      <c r="Z310" s="344">
        <f>'A123'!L318</f>
        <v>9.1521739130434785</v>
      </c>
      <c r="AA310" s="344" t="s">
        <v>2150</v>
      </c>
      <c r="AB310" s="344" t="str">
        <f>入學要求!X319</f>
        <v>數學科考獲 Lv.3 及 M1/2 考獲 Lv.2</v>
      </c>
      <c r="AC310" s="344" t="str">
        <f>入學要求!Y319</f>
        <v>數學科考獲 Lv.5 但未有修讀M1/2者，將會按個別情況考慮。</v>
      </c>
      <c r="AD310" s="344" t="s">
        <v>1977</v>
      </c>
      <c r="AE310" s="2" t="s">
        <v>1970</v>
      </c>
      <c r="AF310" s="2" t="s">
        <v>1970</v>
      </c>
      <c r="AG310" s="344" t="s">
        <v>3443</v>
      </c>
      <c r="AH310" s="344" t="s">
        <v>3444</v>
      </c>
      <c r="AI310" s="2" t="s">
        <v>1970</v>
      </c>
      <c r="AJ310" s="2" t="s">
        <v>1970</v>
      </c>
      <c r="AK310" s="2" t="s">
        <v>1970</v>
      </c>
      <c r="AL310" s="2" t="s">
        <v>1970</v>
      </c>
      <c r="AM310" s="2" t="s">
        <v>1970</v>
      </c>
      <c r="AN310" s="2" t="s">
        <v>1970</v>
      </c>
      <c r="AO310" s="2" t="s">
        <v>1970</v>
      </c>
      <c r="AP310" s="251" t="s">
        <v>1970</v>
      </c>
      <c r="AQ310" s="344" t="s">
        <v>1970</v>
      </c>
      <c r="AR310" s="344" t="s">
        <v>2150</v>
      </c>
      <c r="AS310" s="344" t="s">
        <v>3710</v>
      </c>
      <c r="AT310" s="344" t="s">
        <v>3708</v>
      </c>
      <c r="AV310" s="344" t="s">
        <v>3806</v>
      </c>
      <c r="AX310" s="344" t="s">
        <v>3807</v>
      </c>
      <c r="AY310" s="344" t="s">
        <v>3808</v>
      </c>
      <c r="BR310" s="344"/>
      <c r="BS310" s="344"/>
      <c r="BT310" s="344"/>
      <c r="BU310" s="344"/>
      <c r="BV310" s="344"/>
      <c r="BW310" s="344"/>
      <c r="BX310" s="344"/>
      <c r="BY310" s="344"/>
      <c r="BZ310" s="344"/>
    </row>
    <row r="311" spans="1:117" x14ac:dyDescent="0.3">
      <c r="A311" s="2" t="s">
        <v>1474</v>
      </c>
      <c r="B311" s="2" t="s">
        <v>1457</v>
      </c>
      <c r="C311" s="344" t="s">
        <v>3436</v>
      </c>
      <c r="D311" s="2" t="s">
        <v>1477</v>
      </c>
      <c r="E311" s="344" t="s">
        <v>1977</v>
      </c>
      <c r="F311" s="344" t="s">
        <v>1978</v>
      </c>
      <c r="G311" s="344" t="s">
        <v>1978</v>
      </c>
      <c r="H311" s="2">
        <v>20</v>
      </c>
      <c r="K311" s="2" t="s">
        <v>3446</v>
      </c>
      <c r="N311" s="344" t="s">
        <v>1978</v>
      </c>
      <c r="O311" s="344" t="s">
        <v>1978</v>
      </c>
      <c r="P311" s="344" t="s">
        <v>1978</v>
      </c>
      <c r="Q311" s="344" t="s">
        <v>1978</v>
      </c>
      <c r="R311" s="344" t="s">
        <v>1978</v>
      </c>
      <c r="S311" s="344" t="s">
        <v>1978</v>
      </c>
      <c r="T311" s="2" t="s">
        <v>1475</v>
      </c>
      <c r="U311" s="344" t="s">
        <v>2150</v>
      </c>
      <c r="X311" s="344">
        <f>'A123'!J319</f>
        <v>30</v>
      </c>
      <c r="Y311" s="344">
        <f>'A123'!K319</f>
        <v>20</v>
      </c>
      <c r="Z311" s="344">
        <f>'A123'!L319</f>
        <v>40.15</v>
      </c>
      <c r="AA311" s="344" t="s">
        <v>2150</v>
      </c>
      <c r="AB311" s="344" t="str">
        <f>入學要求!X320</f>
        <v>同學亦須在額外的 入學測試/面試 中考獲優異成績</v>
      </c>
      <c r="AC311" s="344" t="str">
        <f>入學要求!Y320</f>
        <v>/</v>
      </c>
      <c r="AD311" s="344" t="s">
        <v>1977</v>
      </c>
      <c r="AE311" s="2" t="s">
        <v>1970</v>
      </c>
      <c r="AF311" s="2" t="s">
        <v>1970</v>
      </c>
      <c r="AG311" s="344" t="s">
        <v>3446</v>
      </c>
      <c r="AH311" s="344" t="s">
        <v>1970</v>
      </c>
      <c r="AI311" s="2" t="s">
        <v>1970</v>
      </c>
      <c r="AJ311" s="2" t="s">
        <v>1970</v>
      </c>
      <c r="AK311" s="2" t="s">
        <v>1970</v>
      </c>
      <c r="AL311" s="2" t="s">
        <v>1970</v>
      </c>
      <c r="AM311" s="2" t="s">
        <v>1970</v>
      </c>
      <c r="AN311" s="2" t="s">
        <v>1970</v>
      </c>
      <c r="AO311" s="2" t="s">
        <v>1970</v>
      </c>
      <c r="AP311" s="251" t="s">
        <v>1970</v>
      </c>
      <c r="AQ311" s="344" t="s">
        <v>1970</v>
      </c>
      <c r="AR311" s="344" t="s">
        <v>2150</v>
      </c>
      <c r="AS311" s="344" t="s">
        <v>3710</v>
      </c>
      <c r="AT311" s="344" t="s">
        <v>3708</v>
      </c>
      <c r="AV311" s="344" t="s">
        <v>3806</v>
      </c>
      <c r="AX311" s="344" t="s">
        <v>3807</v>
      </c>
      <c r="AY311" s="344" t="s">
        <v>3808</v>
      </c>
      <c r="BB311" s="344"/>
      <c r="BC311" s="344"/>
      <c r="BD311" s="344"/>
      <c r="BE311" s="344"/>
      <c r="BF311" s="344"/>
      <c r="BG311" s="344"/>
      <c r="BH311" s="344"/>
      <c r="BJ311" s="344"/>
      <c r="BK311" s="344"/>
      <c r="BL311" s="344"/>
      <c r="BM311" s="344"/>
      <c r="BN311" s="344"/>
      <c r="BO311" s="344"/>
      <c r="BP311" s="344"/>
      <c r="BR311" s="344"/>
      <c r="BS311" s="344"/>
      <c r="BT311" s="344"/>
      <c r="BU311" s="344"/>
      <c r="BV311" s="344"/>
      <c r="BW311" s="344"/>
      <c r="BX311" s="344"/>
      <c r="BY311" s="344"/>
      <c r="BZ311" s="344"/>
    </row>
    <row r="312" spans="1:117" x14ac:dyDescent="0.3">
      <c r="A312" s="2" t="s">
        <v>1478</v>
      </c>
      <c r="B312" s="2" t="s">
        <v>1457</v>
      </c>
      <c r="C312" s="344" t="s">
        <v>3436</v>
      </c>
      <c r="D312" s="2" t="s">
        <v>1481</v>
      </c>
      <c r="E312" s="344" t="s">
        <v>1977</v>
      </c>
      <c r="F312" s="344" t="s">
        <v>1978</v>
      </c>
      <c r="G312" s="344" t="s">
        <v>1978</v>
      </c>
      <c r="H312" s="2">
        <v>19</v>
      </c>
      <c r="K312" s="2" t="s">
        <v>3443</v>
      </c>
      <c r="L312" s="2" t="s">
        <v>3449</v>
      </c>
      <c r="N312" s="344" t="s">
        <v>1978</v>
      </c>
      <c r="O312" s="344" t="s">
        <v>1978</v>
      </c>
      <c r="P312" s="344" t="s">
        <v>1978</v>
      </c>
      <c r="Q312" s="344" t="s">
        <v>1978</v>
      </c>
      <c r="R312" s="344" t="s">
        <v>1978</v>
      </c>
      <c r="S312" s="344" t="s">
        <v>1978</v>
      </c>
      <c r="T312" s="2" t="s">
        <v>1479</v>
      </c>
      <c r="U312" s="344" t="s">
        <v>2150</v>
      </c>
      <c r="X312" s="344">
        <f>'A123'!J320</f>
        <v>18</v>
      </c>
      <c r="Y312" s="344">
        <f>'A123'!K320</f>
        <v>13</v>
      </c>
      <c r="Z312" s="344">
        <f>'A123'!L320</f>
        <v>15.23076923076923</v>
      </c>
      <c r="AA312" s="344" t="s">
        <v>2150</v>
      </c>
      <c r="AB312" s="344" t="str">
        <f>入學要求!X321</f>
        <v>以下一科選修取得Lv.3︰生物、化學、組合科學、物理、綜合科學、ICT</v>
      </c>
      <c r="AC312" s="344" t="str">
        <f>入學要求!Y321</f>
        <v>/</v>
      </c>
      <c r="AD312" s="344" t="s">
        <v>1977</v>
      </c>
      <c r="AE312" s="2" t="s">
        <v>1970</v>
      </c>
      <c r="AF312" s="2" t="s">
        <v>1970</v>
      </c>
      <c r="AG312" s="344" t="s">
        <v>3443</v>
      </c>
      <c r="AH312" s="344" t="s">
        <v>3449</v>
      </c>
      <c r="AI312" s="2" t="s">
        <v>1970</v>
      </c>
      <c r="AJ312" s="2" t="s">
        <v>1970</v>
      </c>
      <c r="AK312" s="2" t="s">
        <v>1970</v>
      </c>
      <c r="AL312" s="2" t="s">
        <v>1970</v>
      </c>
      <c r="AM312" s="2" t="s">
        <v>1970</v>
      </c>
      <c r="AN312" s="2" t="s">
        <v>1970</v>
      </c>
      <c r="AO312" s="2" t="s">
        <v>1970</v>
      </c>
      <c r="AP312" s="251" t="s">
        <v>1970</v>
      </c>
      <c r="AQ312" s="344" t="s">
        <v>1970</v>
      </c>
      <c r="AR312" s="344" t="s">
        <v>2150</v>
      </c>
      <c r="AS312" s="344" t="s">
        <v>3710</v>
      </c>
      <c r="AT312" s="344" t="s">
        <v>3708</v>
      </c>
      <c r="AV312" s="344" t="s">
        <v>3806</v>
      </c>
      <c r="AX312" s="344" t="s">
        <v>3807</v>
      </c>
      <c r="AY312" s="344" t="s">
        <v>3808</v>
      </c>
      <c r="BB312" s="344"/>
      <c r="BC312" s="344"/>
      <c r="BD312" s="344"/>
      <c r="BE312" s="344"/>
      <c r="BF312" s="344"/>
      <c r="BG312" s="344"/>
      <c r="BH312" s="344"/>
      <c r="BJ312" s="344"/>
      <c r="BK312" s="344"/>
      <c r="BL312" s="344"/>
      <c r="BM312" s="344"/>
      <c r="BN312" s="344"/>
      <c r="BO312" s="344"/>
      <c r="BP312" s="344"/>
      <c r="BR312" s="344"/>
      <c r="BS312" s="344"/>
      <c r="BT312" s="344"/>
      <c r="BU312" s="344"/>
      <c r="BV312" s="344"/>
      <c r="BW312" s="344"/>
      <c r="BX312" s="344"/>
      <c r="BY312" s="344"/>
      <c r="BZ312" s="344"/>
    </row>
    <row r="313" spans="1:117" x14ac:dyDescent="0.3">
      <c r="A313" s="2" t="s">
        <v>1482</v>
      </c>
      <c r="B313" s="2" t="s">
        <v>1457</v>
      </c>
      <c r="C313" s="344" t="s">
        <v>3436</v>
      </c>
      <c r="D313" s="2" t="s">
        <v>1485</v>
      </c>
      <c r="E313" s="344" t="s">
        <v>1977</v>
      </c>
      <c r="F313" s="344" t="s">
        <v>1978</v>
      </c>
      <c r="G313" s="344" t="s">
        <v>1978</v>
      </c>
      <c r="H313" s="2">
        <v>20</v>
      </c>
      <c r="K313" s="2" t="s">
        <v>3451</v>
      </c>
      <c r="N313" s="344" t="s">
        <v>1978</v>
      </c>
      <c r="O313" s="344" t="s">
        <v>1978</v>
      </c>
      <c r="P313" s="344" t="s">
        <v>1978</v>
      </c>
      <c r="Q313" s="344" t="s">
        <v>1978</v>
      </c>
      <c r="R313" s="344" t="s">
        <v>1978</v>
      </c>
      <c r="S313" s="344" t="s">
        <v>1978</v>
      </c>
      <c r="T313" s="2" t="s">
        <v>1483</v>
      </c>
      <c r="U313" s="344" t="s">
        <v>2150</v>
      </c>
      <c r="X313" s="344">
        <f>'A123'!J321</f>
        <v>22</v>
      </c>
      <c r="Y313" s="344">
        <f>'A123'!K321</f>
        <v>20</v>
      </c>
      <c r="Z313" s="344">
        <f>'A123'!L321</f>
        <v>15.75</v>
      </c>
      <c r="AA313" s="344" t="s">
        <v>2150</v>
      </c>
      <c r="AB313" s="344" t="str">
        <f>入學要求!X322</f>
        <v>/</v>
      </c>
      <c r="AC313" s="344" t="str">
        <f>入學要求!Y322</f>
        <v>/</v>
      </c>
      <c r="AD313" s="344" t="s">
        <v>1977</v>
      </c>
      <c r="AE313" s="2" t="s">
        <v>1970</v>
      </c>
      <c r="AF313" s="2" t="s">
        <v>1970</v>
      </c>
      <c r="AG313" s="344" t="s">
        <v>3451</v>
      </c>
      <c r="AH313" s="344" t="s">
        <v>1970</v>
      </c>
      <c r="AI313" s="2" t="s">
        <v>1970</v>
      </c>
      <c r="AJ313" s="2" t="s">
        <v>1970</v>
      </c>
      <c r="AK313" s="2" t="s">
        <v>1970</v>
      </c>
      <c r="AL313" s="2" t="s">
        <v>1970</v>
      </c>
      <c r="AM313" s="2" t="s">
        <v>1970</v>
      </c>
      <c r="AN313" s="2" t="s">
        <v>1970</v>
      </c>
      <c r="AO313" s="2" t="s">
        <v>1970</v>
      </c>
      <c r="AP313" s="251" t="s">
        <v>1970</v>
      </c>
      <c r="AQ313" s="344" t="s">
        <v>1970</v>
      </c>
      <c r="AR313" s="344" t="s">
        <v>2150</v>
      </c>
      <c r="AS313" s="344" t="s">
        <v>3710</v>
      </c>
      <c r="AT313" s="344" t="s">
        <v>3708</v>
      </c>
      <c r="AV313" s="344" t="s">
        <v>3806</v>
      </c>
      <c r="AX313" s="344" t="s">
        <v>3807</v>
      </c>
      <c r="AY313" s="344" t="s">
        <v>3808</v>
      </c>
      <c r="BB313" s="344"/>
      <c r="BC313" s="344"/>
      <c r="BD313" s="344"/>
      <c r="BE313" s="344"/>
      <c r="BF313" s="344"/>
      <c r="BG313" s="344"/>
      <c r="BH313" s="344"/>
      <c r="BJ313" s="344"/>
      <c r="BK313" s="344"/>
      <c r="BL313" s="344"/>
      <c r="BM313" s="344"/>
      <c r="BN313" s="344"/>
      <c r="BO313" s="344"/>
      <c r="BP313" s="344"/>
      <c r="BR313" s="344"/>
      <c r="BS313" s="344"/>
      <c r="BT313" s="344"/>
      <c r="BU313" s="344"/>
      <c r="BV313" s="344"/>
      <c r="BW313" s="344"/>
      <c r="BX313" s="344"/>
      <c r="BY313" s="344"/>
      <c r="BZ313" s="344"/>
    </row>
    <row r="314" spans="1:117" x14ac:dyDescent="0.3">
      <c r="A314" s="2" t="s">
        <v>1490</v>
      </c>
      <c r="B314" s="2" t="s">
        <v>1457</v>
      </c>
      <c r="C314" s="344" t="s">
        <v>2374</v>
      </c>
      <c r="D314" s="2" t="s">
        <v>3437</v>
      </c>
      <c r="E314" s="344" t="s">
        <v>1977</v>
      </c>
      <c r="F314" s="344" t="s">
        <v>1978</v>
      </c>
      <c r="G314" s="344" t="s">
        <v>1978</v>
      </c>
      <c r="H314" s="2">
        <v>21</v>
      </c>
      <c r="I314" s="2" t="s">
        <v>3440</v>
      </c>
      <c r="K314" s="2" t="s">
        <v>3443</v>
      </c>
      <c r="L314" s="2" t="s">
        <v>3452</v>
      </c>
      <c r="M314" s="2" t="s">
        <v>3453</v>
      </c>
      <c r="N314" s="344" t="s">
        <v>1978</v>
      </c>
      <c r="O314" s="344" t="s">
        <v>1978</v>
      </c>
      <c r="P314" s="344" t="s">
        <v>1978</v>
      </c>
      <c r="Q314" s="344" t="s">
        <v>1978</v>
      </c>
      <c r="R314" s="344" t="s">
        <v>1978</v>
      </c>
      <c r="S314" s="344" t="s">
        <v>1978</v>
      </c>
      <c r="T314" s="2" t="s">
        <v>1491</v>
      </c>
      <c r="U314" s="344" t="s">
        <v>2150</v>
      </c>
      <c r="X314" s="344">
        <f>'A123'!J322</f>
        <v>10</v>
      </c>
      <c r="Y314" s="344">
        <f>'A123'!K322</f>
        <v>9</v>
      </c>
      <c r="Z314" s="344">
        <f>'A123'!L322</f>
        <v>37.333333333333336</v>
      </c>
      <c r="AA314" s="344" t="s">
        <v>2150</v>
      </c>
      <c r="AB314" s="344" t="str">
        <f>入學要求!X323</f>
        <v>優先考慮修讀 中國歷史、歷史 者</v>
      </c>
      <c r="AC314" s="344" t="str">
        <f>入學要求!Y323</f>
        <v>/</v>
      </c>
      <c r="AD314" s="344" t="s">
        <v>1977</v>
      </c>
      <c r="AE314" s="2" t="s">
        <v>1970</v>
      </c>
      <c r="AF314" s="2" t="s">
        <v>1970</v>
      </c>
      <c r="AG314" s="344" t="s">
        <v>3443</v>
      </c>
      <c r="AH314" s="344" t="s">
        <v>3452</v>
      </c>
      <c r="AI314" s="2" t="s">
        <v>1970</v>
      </c>
      <c r="AJ314" s="2" t="s">
        <v>1970</v>
      </c>
      <c r="AK314" s="2" t="s">
        <v>1970</v>
      </c>
      <c r="AL314" s="2" t="s">
        <v>1970</v>
      </c>
      <c r="AM314" s="2" t="s">
        <v>1970</v>
      </c>
      <c r="AN314" s="2" t="s">
        <v>1970</v>
      </c>
      <c r="AO314" s="2" t="s">
        <v>1970</v>
      </c>
      <c r="AP314" s="251" t="s">
        <v>1970</v>
      </c>
      <c r="AQ314" s="344" t="s">
        <v>1970</v>
      </c>
      <c r="AR314" s="344" t="s">
        <v>2150</v>
      </c>
      <c r="AS314" s="344" t="s">
        <v>3710</v>
      </c>
      <c r="AT314" s="344" t="s">
        <v>3708</v>
      </c>
      <c r="AV314" s="344" t="s">
        <v>3806</v>
      </c>
      <c r="AX314" s="344" t="s">
        <v>3807</v>
      </c>
      <c r="AY314" s="344" t="s">
        <v>3808</v>
      </c>
      <c r="BB314" s="344"/>
      <c r="BC314" s="344"/>
      <c r="BD314" s="344"/>
      <c r="BE314" s="344"/>
      <c r="BF314" s="344"/>
      <c r="BG314" s="344"/>
      <c r="BH314" s="344"/>
      <c r="BJ314" s="344"/>
      <c r="BK314" s="344"/>
      <c r="BL314" s="344"/>
      <c r="BM314" s="344"/>
      <c r="BN314" s="344"/>
      <c r="BO314" s="344"/>
      <c r="BP314" s="344"/>
      <c r="BR314" s="344"/>
      <c r="BS314" s="344"/>
      <c r="BT314" s="344"/>
      <c r="BU314" s="344"/>
      <c r="BV314" s="344"/>
      <c r="BW314" s="344"/>
      <c r="BX314" s="344"/>
    </row>
    <row r="315" spans="1:117" x14ac:dyDescent="0.3">
      <c r="A315" s="2" t="s">
        <v>1494</v>
      </c>
      <c r="B315" s="2" t="s">
        <v>1457</v>
      </c>
      <c r="C315" s="344" t="s">
        <v>2638</v>
      </c>
      <c r="D315" s="2" t="s">
        <v>1497</v>
      </c>
      <c r="E315" s="344" t="s">
        <v>1977</v>
      </c>
      <c r="F315" s="344" t="s">
        <v>1978</v>
      </c>
      <c r="G315" s="344" t="s">
        <v>1978</v>
      </c>
      <c r="H315" s="2">
        <v>20</v>
      </c>
      <c r="N315" s="344" t="s">
        <v>1978</v>
      </c>
      <c r="O315" s="344" t="s">
        <v>1978</v>
      </c>
      <c r="P315" s="344" t="s">
        <v>1978</v>
      </c>
      <c r="Q315" s="344" t="s">
        <v>1978</v>
      </c>
      <c r="R315" s="344" t="s">
        <v>1978</v>
      </c>
      <c r="S315" s="344" t="s">
        <v>1978</v>
      </c>
      <c r="T315" s="2" t="s">
        <v>1495</v>
      </c>
      <c r="U315" s="344" t="s">
        <v>2150</v>
      </c>
      <c r="X315" s="344">
        <f>'A123'!J323</f>
        <v>49</v>
      </c>
      <c r="Y315" s="344">
        <f>'A123'!K323</f>
        <v>51</v>
      </c>
      <c r="Z315" s="344">
        <f>'A123'!L323</f>
        <v>27.568627450980394</v>
      </c>
      <c r="AA315" s="344" t="s">
        <v>2150</v>
      </c>
      <c r="AB315" s="344" t="str">
        <f>入學要求!X324</f>
        <v>/</v>
      </c>
      <c r="AC315" s="344" t="str">
        <f>入學要求!Y324</f>
        <v>/</v>
      </c>
      <c r="AD315" s="344" t="s">
        <v>1977</v>
      </c>
      <c r="AE315" s="2" t="s">
        <v>1970</v>
      </c>
      <c r="AF315" s="2" t="s">
        <v>1970</v>
      </c>
      <c r="AG315" s="344" t="s">
        <v>1970</v>
      </c>
      <c r="AH315" s="344" t="s">
        <v>1970</v>
      </c>
      <c r="AI315" s="2" t="s">
        <v>1970</v>
      </c>
      <c r="AJ315" s="2" t="s">
        <v>1970</v>
      </c>
      <c r="AK315" s="2" t="s">
        <v>1970</v>
      </c>
      <c r="AL315" s="2" t="s">
        <v>1970</v>
      </c>
      <c r="AM315" s="2" t="s">
        <v>1970</v>
      </c>
      <c r="AN315" s="2" t="s">
        <v>1970</v>
      </c>
      <c r="AO315" s="2" t="s">
        <v>1970</v>
      </c>
      <c r="AP315" s="251" t="s">
        <v>1970</v>
      </c>
      <c r="AQ315" s="344" t="s">
        <v>1970</v>
      </c>
      <c r="AR315" s="344" t="s">
        <v>2150</v>
      </c>
      <c r="AS315" s="344" t="s">
        <v>3710</v>
      </c>
      <c r="AT315" s="344" t="s">
        <v>3708</v>
      </c>
      <c r="AV315" s="344" t="s">
        <v>3806</v>
      </c>
      <c r="AX315" s="344" t="s">
        <v>3807</v>
      </c>
      <c r="AY315" s="344" t="s">
        <v>3808</v>
      </c>
      <c r="BB315" s="344"/>
      <c r="BC315" s="344"/>
      <c r="BD315" s="344"/>
      <c r="BE315" s="344"/>
      <c r="BF315" s="344"/>
      <c r="BG315" s="344"/>
      <c r="BH315" s="344"/>
      <c r="BJ315" s="344"/>
      <c r="BK315" s="344"/>
      <c r="BL315" s="344"/>
      <c r="BM315" s="344"/>
      <c r="BN315" s="344"/>
      <c r="BO315" s="344"/>
      <c r="BP315" s="344"/>
      <c r="BR315" s="344"/>
      <c r="BS315" s="344"/>
      <c r="BT315" s="344"/>
      <c r="BU315" s="344"/>
      <c r="BV315" s="344"/>
      <c r="BW315" s="344"/>
      <c r="BX315" s="344"/>
    </row>
    <row r="316" spans="1:117" x14ac:dyDescent="0.3">
      <c r="A316" s="2" t="s">
        <v>1502</v>
      </c>
      <c r="B316" s="2" t="s">
        <v>1457</v>
      </c>
      <c r="C316" s="344" t="s">
        <v>3436</v>
      </c>
      <c r="D316" s="2" t="s">
        <v>1505</v>
      </c>
      <c r="E316" s="344" t="s">
        <v>1977</v>
      </c>
      <c r="F316" s="344" t="s">
        <v>1978</v>
      </c>
      <c r="G316" s="344" t="s">
        <v>1978</v>
      </c>
      <c r="H316" s="2">
        <v>20</v>
      </c>
      <c r="K316" s="344" t="s">
        <v>3455</v>
      </c>
      <c r="N316" s="344" t="s">
        <v>1978</v>
      </c>
      <c r="O316" s="344" t="s">
        <v>1978</v>
      </c>
      <c r="P316" s="344" t="s">
        <v>1978</v>
      </c>
      <c r="Q316" s="344" t="s">
        <v>1978</v>
      </c>
      <c r="R316" s="344" t="s">
        <v>1978</v>
      </c>
      <c r="S316" s="344" t="s">
        <v>1978</v>
      </c>
      <c r="T316" s="2" t="s">
        <v>1503</v>
      </c>
      <c r="U316" s="344" t="s">
        <v>2150</v>
      </c>
      <c r="X316" s="344">
        <f>'A123'!J324</f>
        <v>10</v>
      </c>
      <c r="Y316" s="344">
        <f>'A123'!K324</f>
        <v>12</v>
      </c>
      <c r="Z316" s="344">
        <f>'A123'!L324</f>
        <v>14.583333333333334</v>
      </c>
      <c r="AA316" s="344" t="s">
        <v>2150</v>
      </c>
      <c r="AB316" s="344" t="str">
        <f>入學要求!X325</f>
        <v>/</v>
      </c>
      <c r="AC316" s="344" t="str">
        <f>入學要求!Y325</f>
        <v>/</v>
      </c>
      <c r="AD316" s="344" t="s">
        <v>1977</v>
      </c>
      <c r="AE316" s="2" t="s">
        <v>1970</v>
      </c>
      <c r="AF316" s="2" t="s">
        <v>1970</v>
      </c>
      <c r="AG316" s="344" t="s">
        <v>3455</v>
      </c>
      <c r="AH316" s="344" t="s">
        <v>1970</v>
      </c>
      <c r="AI316" s="2" t="s">
        <v>1970</v>
      </c>
      <c r="AJ316" s="2" t="s">
        <v>1970</v>
      </c>
      <c r="AK316" s="2" t="s">
        <v>1970</v>
      </c>
      <c r="AL316" s="2" t="s">
        <v>1970</v>
      </c>
      <c r="AM316" s="2" t="s">
        <v>1970</v>
      </c>
      <c r="AN316" s="2" t="s">
        <v>1970</v>
      </c>
      <c r="AO316" s="2" t="s">
        <v>1970</v>
      </c>
      <c r="AP316" s="251" t="s">
        <v>1970</v>
      </c>
      <c r="AQ316" s="344" t="s">
        <v>1970</v>
      </c>
      <c r="AR316" s="344" t="s">
        <v>2150</v>
      </c>
      <c r="AS316" s="344" t="s">
        <v>3710</v>
      </c>
      <c r="AT316" s="344" t="s">
        <v>3708</v>
      </c>
      <c r="AV316" s="344" t="s">
        <v>3806</v>
      </c>
      <c r="AX316" s="344" t="s">
        <v>3807</v>
      </c>
      <c r="AY316" s="344" t="s">
        <v>3808</v>
      </c>
      <c r="BB316" s="344"/>
      <c r="BC316" s="344"/>
      <c r="BD316" s="344"/>
      <c r="BE316" s="344"/>
      <c r="BF316" s="344"/>
      <c r="BG316" s="344"/>
      <c r="BH316" s="344"/>
      <c r="BJ316" s="344"/>
      <c r="BK316" s="344"/>
      <c r="BL316" s="344"/>
      <c r="BM316" s="344"/>
      <c r="BN316" s="344"/>
      <c r="BO316" s="344"/>
      <c r="BP316" s="344"/>
      <c r="BR316" s="344"/>
      <c r="BS316" s="344"/>
      <c r="BT316" s="344"/>
      <c r="BU316" s="344"/>
      <c r="BV316" s="344"/>
      <c r="BW316" s="344"/>
      <c r="BX316" s="344"/>
    </row>
    <row r="317" spans="1:117" x14ac:dyDescent="0.3">
      <c r="A317" s="2" t="s">
        <v>1506</v>
      </c>
      <c r="B317" s="2" t="s">
        <v>1457</v>
      </c>
      <c r="C317" s="344" t="s">
        <v>3436</v>
      </c>
      <c r="D317" s="2" t="s">
        <v>1509</v>
      </c>
      <c r="E317" s="344" t="s">
        <v>1977</v>
      </c>
      <c r="F317" s="344" t="s">
        <v>1978</v>
      </c>
      <c r="G317" s="344" t="s">
        <v>1978</v>
      </c>
      <c r="H317" s="2">
        <v>19</v>
      </c>
      <c r="K317" s="344" t="s">
        <v>3443</v>
      </c>
      <c r="L317" s="344" t="s">
        <v>3093</v>
      </c>
      <c r="N317" s="344" t="s">
        <v>1978</v>
      </c>
      <c r="O317" s="344" t="s">
        <v>1978</v>
      </c>
      <c r="P317" s="344" t="s">
        <v>1978</v>
      </c>
      <c r="Q317" s="344" t="s">
        <v>1978</v>
      </c>
      <c r="R317" s="344" t="s">
        <v>1978</v>
      </c>
      <c r="S317" s="344" t="s">
        <v>1978</v>
      </c>
      <c r="T317" s="2" t="s">
        <v>1507</v>
      </c>
      <c r="U317" s="344" t="s">
        <v>2150</v>
      </c>
      <c r="X317" s="344">
        <f>'A123'!J325</f>
        <v>14</v>
      </c>
      <c r="Y317" s="344">
        <f>'A123'!K325</f>
        <v>12</v>
      </c>
      <c r="Z317" s="344">
        <f>'A123'!L325</f>
        <v>14.416666666666666</v>
      </c>
      <c r="AA317" s="344" t="s">
        <v>2150</v>
      </c>
      <c r="AB317" s="344" t="str">
        <f>入學要求!X326</f>
        <v>以下一科選修取得Lv.3︰生物、化學、組合科學、物理、綜合科學</v>
      </c>
      <c r="AC317" s="344" t="str">
        <f>入學要求!Y326</f>
        <v>/</v>
      </c>
      <c r="AD317" s="344" t="s">
        <v>1977</v>
      </c>
      <c r="AE317" s="2" t="s">
        <v>1970</v>
      </c>
      <c r="AF317" s="2" t="s">
        <v>1970</v>
      </c>
      <c r="AG317" s="344" t="s">
        <v>3443</v>
      </c>
      <c r="AH317" s="344" t="s">
        <v>3093</v>
      </c>
      <c r="AI317" s="2" t="s">
        <v>1970</v>
      </c>
      <c r="AJ317" s="2" t="s">
        <v>1970</v>
      </c>
      <c r="AK317" s="2" t="s">
        <v>1970</v>
      </c>
      <c r="AL317" s="2" t="s">
        <v>1970</v>
      </c>
      <c r="AM317" s="2" t="s">
        <v>1970</v>
      </c>
      <c r="AN317" s="2" t="s">
        <v>1970</v>
      </c>
      <c r="AO317" s="2" t="s">
        <v>1970</v>
      </c>
      <c r="AP317" s="251" t="s">
        <v>1970</v>
      </c>
      <c r="AQ317" s="344" t="s">
        <v>1970</v>
      </c>
      <c r="AR317" s="344" t="s">
        <v>2150</v>
      </c>
      <c r="AS317" s="344" t="s">
        <v>3710</v>
      </c>
      <c r="AT317" s="344" t="s">
        <v>3708</v>
      </c>
      <c r="AV317" s="344" t="s">
        <v>3806</v>
      </c>
      <c r="AX317" s="344" t="s">
        <v>3807</v>
      </c>
      <c r="AY317" s="344" t="s">
        <v>3808</v>
      </c>
      <c r="BB317" s="344"/>
      <c r="BC317" s="344"/>
      <c r="BD317" s="344"/>
      <c r="BE317" s="344"/>
      <c r="BF317" s="344"/>
      <c r="BG317" s="344"/>
      <c r="BH317" s="344"/>
      <c r="BJ317" s="344"/>
      <c r="BK317" s="344"/>
      <c r="BL317" s="344"/>
      <c r="BM317" s="344"/>
      <c r="BN317" s="344"/>
      <c r="BO317" s="344"/>
      <c r="BP317" s="344"/>
      <c r="BR317" s="344"/>
      <c r="BS317" s="344"/>
      <c r="BT317" s="344"/>
      <c r="BU317" s="344"/>
      <c r="BV317" s="344"/>
      <c r="BW317" s="344"/>
      <c r="BX317" s="344"/>
    </row>
    <row r="318" spans="1:117" x14ac:dyDescent="0.3">
      <c r="A318" s="2" t="s">
        <v>1510</v>
      </c>
      <c r="B318" s="2" t="s">
        <v>1457</v>
      </c>
      <c r="C318" s="344" t="s">
        <v>2638</v>
      </c>
      <c r="D318" s="2" t="s">
        <v>1513</v>
      </c>
      <c r="E318" s="344" t="s">
        <v>1977</v>
      </c>
      <c r="F318" s="344" t="s">
        <v>1978</v>
      </c>
      <c r="G318" s="344" t="s">
        <v>1978</v>
      </c>
      <c r="H318" s="2" t="s">
        <v>1978</v>
      </c>
      <c r="N318" s="344" t="s">
        <v>1978</v>
      </c>
      <c r="O318" s="344" t="s">
        <v>1978</v>
      </c>
      <c r="P318" s="344" t="s">
        <v>1978</v>
      </c>
      <c r="Q318" s="344" t="s">
        <v>1978</v>
      </c>
      <c r="R318" s="344" t="s">
        <v>1978</v>
      </c>
      <c r="S318" s="344" t="s">
        <v>1978</v>
      </c>
      <c r="T318" s="2" t="s">
        <v>1511</v>
      </c>
      <c r="U318" s="344" t="s">
        <v>2150</v>
      </c>
      <c r="X318" s="344">
        <f>'A123'!J326</f>
        <v>330</v>
      </c>
      <c r="Y318" s="344">
        <f>'A123'!K326</f>
        <v>384</v>
      </c>
      <c r="Z318" s="344">
        <f>'A123'!L326</f>
        <v>6.3887323943661976</v>
      </c>
      <c r="AA318" s="344" t="s">
        <v>2150</v>
      </c>
      <c r="AB318" s="344" t="str">
        <f>入學要求!X327</f>
        <v>/</v>
      </c>
      <c r="AC318" s="344" t="str">
        <f>入學要求!Y327</f>
        <v>/</v>
      </c>
      <c r="AD318" s="344" t="s">
        <v>1977</v>
      </c>
      <c r="AE318" s="2" t="s">
        <v>1970</v>
      </c>
      <c r="AF318" s="2" t="s">
        <v>1970</v>
      </c>
      <c r="AG318" s="344" t="s">
        <v>1970</v>
      </c>
      <c r="AH318" s="344" t="s">
        <v>1970</v>
      </c>
      <c r="AI318" s="2" t="s">
        <v>1970</v>
      </c>
      <c r="AJ318" s="2" t="s">
        <v>1970</v>
      </c>
      <c r="AK318" s="2" t="s">
        <v>1970</v>
      </c>
      <c r="AL318" s="2" t="s">
        <v>1970</v>
      </c>
      <c r="AM318" s="2" t="s">
        <v>1970</v>
      </c>
      <c r="AN318" s="2" t="s">
        <v>1970</v>
      </c>
      <c r="AO318" s="2" t="s">
        <v>1970</v>
      </c>
      <c r="AP318" s="251" t="s">
        <v>1970</v>
      </c>
      <c r="AQ318" s="344" t="s">
        <v>1970</v>
      </c>
      <c r="AR318" s="344" t="s">
        <v>2150</v>
      </c>
      <c r="AS318" s="344" t="s">
        <v>3710</v>
      </c>
      <c r="AT318" s="344" t="s">
        <v>3708</v>
      </c>
      <c r="AV318" s="344" t="s">
        <v>3806</v>
      </c>
      <c r="AX318" s="344" t="s">
        <v>3807</v>
      </c>
      <c r="AY318" s="344" t="s">
        <v>3808</v>
      </c>
      <c r="BB318" s="344"/>
      <c r="BC318" s="344"/>
      <c r="BD318" s="344"/>
      <c r="BE318" s="344"/>
      <c r="BF318" s="344"/>
      <c r="BG318" s="344"/>
      <c r="BH318" s="344"/>
      <c r="BJ318" s="344"/>
      <c r="BK318" s="344"/>
      <c r="BL318" s="344"/>
      <c r="BM318" s="344"/>
      <c r="BN318" s="344"/>
      <c r="BO318" s="344"/>
      <c r="BP318" s="344"/>
      <c r="BR318" s="344"/>
      <c r="BS318" s="344"/>
      <c r="BT318" s="344"/>
      <c r="BU318" s="344"/>
      <c r="BV318" s="344"/>
      <c r="BW318" s="344"/>
      <c r="BX318" s="344"/>
    </row>
    <row r="319" spans="1:117" x14ac:dyDescent="0.3">
      <c r="A319" s="2" t="s">
        <v>1514</v>
      </c>
      <c r="B319" s="2" t="s">
        <v>1457</v>
      </c>
      <c r="C319" s="344" t="s">
        <v>2374</v>
      </c>
      <c r="D319" s="2" t="s">
        <v>1517</v>
      </c>
      <c r="E319" s="344" t="s">
        <v>1977</v>
      </c>
      <c r="F319" s="344" t="s">
        <v>1978</v>
      </c>
      <c r="G319" s="344" t="s">
        <v>1978</v>
      </c>
      <c r="H319" s="2">
        <v>20</v>
      </c>
      <c r="I319" s="344" t="s">
        <v>3438</v>
      </c>
      <c r="K319" s="2" t="s">
        <v>3457</v>
      </c>
      <c r="N319" s="344" t="s">
        <v>1978</v>
      </c>
      <c r="O319" s="344" t="s">
        <v>1978</v>
      </c>
      <c r="P319" s="344" t="s">
        <v>1978</v>
      </c>
      <c r="Q319" s="344" t="s">
        <v>1978</v>
      </c>
      <c r="R319" s="344" t="s">
        <v>1978</v>
      </c>
      <c r="S319" s="344" t="s">
        <v>1978</v>
      </c>
      <c r="T319" s="2" t="s">
        <v>1515</v>
      </c>
      <c r="U319" s="344" t="s">
        <v>2150</v>
      </c>
      <c r="X319" s="344">
        <f>'A123'!J327</f>
        <v>16</v>
      </c>
      <c r="Y319" s="344">
        <f>'A123'!K327</f>
        <v>21</v>
      </c>
      <c r="Z319" s="344">
        <f>'A123'!L327</f>
        <v>10.368421052631579</v>
      </c>
      <c r="AA319" s="344" t="s">
        <v>2150</v>
      </c>
      <c r="AB319" s="344" t="str">
        <f>入學要求!X328</f>
        <v>此課程不能以其他資歷取代DSE中國語文科要求。</v>
      </c>
      <c r="AC319" s="344" t="str">
        <f>入學要求!Y328</f>
        <v>優先考慮 中國文學 考獲 Lv.2 或以上 者</v>
      </c>
      <c r="AD319" s="344" t="s">
        <v>1977</v>
      </c>
      <c r="AE319" s="2" t="s">
        <v>1970</v>
      </c>
      <c r="AF319" s="2" t="s">
        <v>1970</v>
      </c>
      <c r="AG319" s="344" t="s">
        <v>3457</v>
      </c>
      <c r="AH319" s="344" t="s">
        <v>1970</v>
      </c>
      <c r="AI319" s="2" t="s">
        <v>1970</v>
      </c>
      <c r="AJ319" s="2" t="s">
        <v>1970</v>
      </c>
      <c r="AK319" s="2" t="s">
        <v>1970</v>
      </c>
      <c r="AL319" s="2" t="s">
        <v>1970</v>
      </c>
      <c r="AM319" s="2" t="s">
        <v>1970</v>
      </c>
      <c r="AN319" s="2" t="s">
        <v>1970</v>
      </c>
      <c r="AO319" s="2" t="s">
        <v>1970</v>
      </c>
      <c r="AP319" s="251" t="s">
        <v>1970</v>
      </c>
      <c r="AQ319" s="344" t="s">
        <v>1970</v>
      </c>
      <c r="AR319" s="344" t="s">
        <v>2150</v>
      </c>
      <c r="AS319" s="344" t="s">
        <v>3710</v>
      </c>
      <c r="AT319" s="344" t="s">
        <v>3708</v>
      </c>
      <c r="AV319" s="344" t="s">
        <v>3806</v>
      </c>
      <c r="AX319" s="344" t="s">
        <v>3807</v>
      </c>
      <c r="AY319" s="344" t="s">
        <v>3808</v>
      </c>
      <c r="BB319" s="344"/>
      <c r="BC319" s="344"/>
      <c r="BD319" s="344"/>
      <c r="BE319" s="344"/>
      <c r="BF319" s="344"/>
      <c r="BG319" s="344"/>
      <c r="BH319" s="344"/>
      <c r="BJ319" s="344"/>
      <c r="BK319" s="344"/>
      <c r="BL319" s="344"/>
      <c r="BM319" s="344"/>
      <c r="BN319" s="344"/>
      <c r="BO319" s="344"/>
      <c r="BP319" s="344"/>
      <c r="BR319" s="344"/>
      <c r="BS319" s="344"/>
      <c r="BT319" s="344"/>
      <c r="BU319" s="344"/>
      <c r="BV319" s="344"/>
      <c r="BW319" s="344"/>
      <c r="BX319" s="344"/>
    </row>
    <row r="320" spans="1:117" x14ac:dyDescent="0.3">
      <c r="A320" s="2" t="s">
        <v>1518</v>
      </c>
      <c r="B320" s="2" t="s">
        <v>1457</v>
      </c>
      <c r="C320" s="344" t="s">
        <v>2374</v>
      </c>
      <c r="D320" s="2" t="s">
        <v>1521</v>
      </c>
      <c r="E320" s="344" t="s">
        <v>1977</v>
      </c>
      <c r="F320" s="344" t="s">
        <v>1978</v>
      </c>
      <c r="G320" s="344" t="s">
        <v>1978</v>
      </c>
      <c r="H320" s="2">
        <v>19</v>
      </c>
      <c r="I320" s="344" t="s">
        <v>3439</v>
      </c>
      <c r="K320" s="344" t="s">
        <v>3459</v>
      </c>
      <c r="N320" s="344" t="s">
        <v>1978</v>
      </c>
      <c r="O320" s="344" t="s">
        <v>1978</v>
      </c>
      <c r="P320" s="344" t="s">
        <v>1978</v>
      </c>
      <c r="Q320" s="344" t="s">
        <v>1978</v>
      </c>
      <c r="R320" s="344" t="s">
        <v>1978</v>
      </c>
      <c r="S320" s="344" t="s">
        <v>1978</v>
      </c>
      <c r="T320" s="2" t="s">
        <v>1519</v>
      </c>
      <c r="U320" s="344" t="s">
        <v>2150</v>
      </c>
      <c r="X320" s="344">
        <f>'A123'!J328</f>
        <v>16</v>
      </c>
      <c r="Y320" s="344">
        <f>'A123'!K328</f>
        <v>11</v>
      </c>
      <c r="Z320" s="344">
        <f>'A123'!L328</f>
        <v>10.1</v>
      </c>
      <c r="AA320" s="344" t="s">
        <v>2150</v>
      </c>
      <c r="AB320" s="344" t="str">
        <f>入學要求!X329</f>
        <v>優先考慮 英語文學 考獲 Lv.2 或以上 者</v>
      </c>
      <c r="AC320" s="344" t="str">
        <f>入學要求!Y329</f>
        <v>/</v>
      </c>
      <c r="AD320" s="344" t="s">
        <v>1977</v>
      </c>
      <c r="AE320" s="2" t="s">
        <v>1970</v>
      </c>
      <c r="AF320" s="2" t="s">
        <v>1970</v>
      </c>
      <c r="AG320" s="344" t="s">
        <v>3459</v>
      </c>
      <c r="AH320" s="344" t="s">
        <v>1970</v>
      </c>
      <c r="AI320" s="2" t="s">
        <v>1970</v>
      </c>
      <c r="AJ320" s="2" t="s">
        <v>1970</v>
      </c>
      <c r="AK320" s="2" t="s">
        <v>1970</v>
      </c>
      <c r="AL320" s="2" t="s">
        <v>1970</v>
      </c>
      <c r="AM320" s="2" t="s">
        <v>1970</v>
      </c>
      <c r="AN320" s="2" t="s">
        <v>1970</v>
      </c>
      <c r="AO320" s="2" t="s">
        <v>1970</v>
      </c>
      <c r="AP320" s="251" t="s">
        <v>1970</v>
      </c>
      <c r="AQ320" s="344" t="s">
        <v>1970</v>
      </c>
      <c r="AR320" s="344" t="s">
        <v>2150</v>
      </c>
      <c r="AS320" s="344" t="s">
        <v>3710</v>
      </c>
      <c r="AT320" s="344" t="s">
        <v>3708</v>
      </c>
      <c r="AV320" s="344" t="s">
        <v>3806</v>
      </c>
      <c r="AX320" s="344" t="s">
        <v>3807</v>
      </c>
      <c r="AY320" s="344" t="s">
        <v>3808</v>
      </c>
      <c r="BB320" s="344"/>
      <c r="BC320" s="344"/>
      <c r="BD320" s="344"/>
      <c r="BE320" s="344"/>
      <c r="BF320" s="344"/>
      <c r="BG320" s="344"/>
      <c r="BH320" s="344"/>
      <c r="BJ320" s="344"/>
      <c r="BK320" s="344"/>
      <c r="BL320" s="344"/>
      <c r="BM320" s="344"/>
      <c r="BN320" s="344"/>
      <c r="BO320" s="344"/>
      <c r="BP320" s="344"/>
      <c r="BR320" s="344"/>
      <c r="BS320" s="344"/>
      <c r="BT320" s="344"/>
      <c r="BU320" s="344"/>
      <c r="BV320" s="344"/>
      <c r="BW320" s="344"/>
      <c r="BX320" s="344"/>
    </row>
    <row r="321" spans="1:76" x14ac:dyDescent="0.3">
      <c r="A321" s="2" t="s">
        <v>1526</v>
      </c>
      <c r="B321" s="2" t="s">
        <v>1457</v>
      </c>
      <c r="C321" s="344" t="s">
        <v>3436</v>
      </c>
      <c r="D321" s="2" t="s">
        <v>1529</v>
      </c>
      <c r="E321" s="344" t="s">
        <v>1977</v>
      </c>
      <c r="F321" s="344" t="s">
        <v>1978</v>
      </c>
      <c r="G321" s="344" t="s">
        <v>1978</v>
      </c>
      <c r="H321" s="2">
        <v>18</v>
      </c>
      <c r="N321" s="344" t="s">
        <v>1978</v>
      </c>
      <c r="O321" s="344" t="s">
        <v>1978</v>
      </c>
      <c r="P321" s="344" t="s">
        <v>1978</v>
      </c>
      <c r="Q321" s="344" t="s">
        <v>1978</v>
      </c>
      <c r="R321" s="344" t="s">
        <v>1978</v>
      </c>
      <c r="S321" s="344" t="s">
        <v>1978</v>
      </c>
      <c r="T321" s="2" t="s">
        <v>1527</v>
      </c>
      <c r="U321" s="344" t="s">
        <v>2150</v>
      </c>
      <c r="X321" s="344">
        <f>'A123'!J329</f>
        <v>12</v>
      </c>
      <c r="Y321" s="344">
        <f>'A123'!K329</f>
        <v>12</v>
      </c>
      <c r="Z321" s="344">
        <f>'A123'!L329</f>
        <v>14.75</v>
      </c>
      <c r="AA321" s="344" t="s">
        <v>2150</v>
      </c>
      <c r="AB321" s="344" t="str">
        <f>入學要求!X330</f>
        <v>同學亦須在額外的 入學測試/面試 中考獲優異成績</v>
      </c>
      <c r="AC321" s="344" t="str">
        <f>入學要求!Y330</f>
        <v>DSE音樂考獲 Lv.4或以上者 則可豁免該測試</v>
      </c>
      <c r="AD321" s="344" t="s">
        <v>1977</v>
      </c>
      <c r="AE321" s="2" t="s">
        <v>1970</v>
      </c>
      <c r="AF321" s="2" t="s">
        <v>1970</v>
      </c>
      <c r="AG321" s="344" t="s">
        <v>1970</v>
      </c>
      <c r="AH321" s="344" t="s">
        <v>1970</v>
      </c>
      <c r="AI321" s="2" t="s">
        <v>1970</v>
      </c>
      <c r="AJ321" s="2" t="s">
        <v>1970</v>
      </c>
      <c r="AK321" s="2" t="s">
        <v>1970</v>
      </c>
      <c r="AL321" s="2" t="s">
        <v>1970</v>
      </c>
      <c r="AM321" s="2" t="s">
        <v>1970</v>
      </c>
      <c r="AN321" s="2" t="s">
        <v>1970</v>
      </c>
      <c r="AO321" s="2" t="s">
        <v>1970</v>
      </c>
      <c r="AP321" s="251" t="s">
        <v>1970</v>
      </c>
      <c r="AQ321" s="344" t="s">
        <v>1970</v>
      </c>
      <c r="AR321" s="344" t="s">
        <v>2150</v>
      </c>
      <c r="AS321" s="344" t="s">
        <v>3710</v>
      </c>
      <c r="AT321" s="344" t="s">
        <v>3708</v>
      </c>
      <c r="AV321" s="344" t="s">
        <v>3806</v>
      </c>
      <c r="AX321" s="344" t="s">
        <v>3807</v>
      </c>
      <c r="AY321" s="344" t="s">
        <v>3808</v>
      </c>
      <c r="BB321" s="344"/>
      <c r="BC321" s="344"/>
      <c r="BD321" s="344"/>
      <c r="BE321" s="344"/>
      <c r="BF321" s="344"/>
      <c r="BG321" s="344"/>
      <c r="BH321" s="344"/>
      <c r="BJ321" s="344"/>
      <c r="BK321" s="344"/>
      <c r="BL321" s="344"/>
      <c r="BM321" s="344"/>
      <c r="BN321" s="344"/>
      <c r="BO321" s="344"/>
      <c r="BP321" s="344"/>
      <c r="BR321" s="344"/>
      <c r="BS321" s="344"/>
      <c r="BT321" s="344"/>
      <c r="BU321" s="344"/>
      <c r="BV321" s="344"/>
      <c r="BW321" s="344"/>
      <c r="BX321" s="344"/>
    </row>
    <row r="322" spans="1:76" x14ac:dyDescent="0.3">
      <c r="A322" s="2" t="s">
        <v>1530</v>
      </c>
      <c r="B322" s="2" t="s">
        <v>1457</v>
      </c>
      <c r="C322" s="344" t="s">
        <v>3436</v>
      </c>
      <c r="D322" s="2" t="s">
        <v>1533</v>
      </c>
      <c r="E322" s="344" t="s">
        <v>1977</v>
      </c>
      <c r="F322" s="344" t="s">
        <v>1978</v>
      </c>
      <c r="G322" s="344" t="s">
        <v>1978</v>
      </c>
      <c r="H322" s="2">
        <v>19</v>
      </c>
      <c r="N322" s="344" t="s">
        <v>1978</v>
      </c>
      <c r="O322" s="344" t="s">
        <v>1978</v>
      </c>
      <c r="P322" s="344" t="s">
        <v>1978</v>
      </c>
      <c r="Q322" s="344" t="s">
        <v>1978</v>
      </c>
      <c r="R322" s="344" t="s">
        <v>1978</v>
      </c>
      <c r="S322" s="344" t="s">
        <v>1978</v>
      </c>
      <c r="T322" s="2" t="s">
        <v>1531</v>
      </c>
      <c r="U322" s="344" t="s">
        <v>2150</v>
      </c>
      <c r="X322" s="344">
        <f>'A123'!J330</f>
        <v>12</v>
      </c>
      <c r="Y322" s="344">
        <f>'A123'!K330</f>
        <v>16</v>
      </c>
      <c r="Z322" s="344">
        <f>'A123'!L330</f>
        <v>22.76923076923077</v>
      </c>
      <c r="AA322" s="344" t="s">
        <v>2150</v>
      </c>
      <c r="AB322" s="344" t="str">
        <f>入學要求!X331</f>
        <v>同學亦須在額外的 入學測試 中考獲優異成績</v>
      </c>
      <c r="AC322" s="344" t="str">
        <f>入學要求!Y331</f>
        <v>DSE視覺藝術考獲 Lv.4或以上者 則可豁免該測試</v>
      </c>
      <c r="AD322" s="344" t="s">
        <v>1977</v>
      </c>
      <c r="AE322" s="2" t="s">
        <v>1970</v>
      </c>
      <c r="AF322" s="2" t="s">
        <v>1970</v>
      </c>
      <c r="AG322" s="344" t="s">
        <v>1970</v>
      </c>
      <c r="AH322" s="344" t="s">
        <v>1970</v>
      </c>
      <c r="AI322" s="2" t="s">
        <v>1970</v>
      </c>
      <c r="AJ322" s="2" t="s">
        <v>1970</v>
      </c>
      <c r="AK322" s="2" t="s">
        <v>1970</v>
      </c>
      <c r="AL322" s="2" t="s">
        <v>1970</v>
      </c>
      <c r="AM322" s="2" t="s">
        <v>1970</v>
      </c>
      <c r="AN322" s="2" t="s">
        <v>1970</v>
      </c>
      <c r="AO322" s="2" t="s">
        <v>1970</v>
      </c>
      <c r="AP322" s="251" t="s">
        <v>1970</v>
      </c>
      <c r="AQ322" s="344" t="s">
        <v>1970</v>
      </c>
      <c r="AR322" s="344" t="s">
        <v>2150</v>
      </c>
      <c r="AS322" s="344" t="s">
        <v>3710</v>
      </c>
      <c r="AT322" s="344" t="s">
        <v>3708</v>
      </c>
      <c r="AV322" s="344" t="s">
        <v>3806</v>
      </c>
      <c r="AX322" s="344" t="s">
        <v>3807</v>
      </c>
      <c r="AY322" s="344" t="s">
        <v>3808</v>
      </c>
      <c r="BB322" s="344"/>
      <c r="BC322" s="344"/>
      <c r="BD322" s="344"/>
      <c r="BE322" s="344"/>
      <c r="BF322" s="344"/>
      <c r="BG322" s="344"/>
      <c r="BH322" s="344"/>
      <c r="BJ322" s="344"/>
      <c r="BK322" s="344"/>
      <c r="BL322" s="344"/>
      <c r="BM322" s="344"/>
      <c r="BN322" s="344"/>
      <c r="BO322" s="344"/>
      <c r="BP322" s="344"/>
      <c r="BR322" s="344"/>
      <c r="BS322" s="344"/>
      <c r="BT322" s="344"/>
      <c r="BU322" s="344"/>
      <c r="BV322" s="344"/>
      <c r="BW322" s="344"/>
      <c r="BX322" s="344"/>
    </row>
    <row r="323" spans="1:76" x14ac:dyDescent="0.3">
      <c r="A323" s="2" t="s">
        <v>1534</v>
      </c>
      <c r="B323" s="2" t="s">
        <v>1457</v>
      </c>
      <c r="C323" s="344" t="s">
        <v>2638</v>
      </c>
      <c r="D323" s="2" t="s">
        <v>1537</v>
      </c>
      <c r="E323" s="344" t="s">
        <v>1977</v>
      </c>
      <c r="F323" s="344" t="s">
        <v>1978</v>
      </c>
      <c r="G323" s="344" t="s">
        <v>1978</v>
      </c>
      <c r="H323" s="2">
        <v>20</v>
      </c>
      <c r="K323" s="344" t="s">
        <v>3459</v>
      </c>
      <c r="N323" s="344" t="s">
        <v>1978</v>
      </c>
      <c r="O323" s="344" t="s">
        <v>1978</v>
      </c>
      <c r="P323" s="344" t="s">
        <v>1978</v>
      </c>
      <c r="Q323" s="344" t="s">
        <v>1978</v>
      </c>
      <c r="R323" s="344" t="s">
        <v>1978</v>
      </c>
      <c r="S323" s="344" t="s">
        <v>1978</v>
      </c>
      <c r="T323" s="2" t="s">
        <v>1535</v>
      </c>
      <c r="U323" s="344" t="s">
        <v>2150</v>
      </c>
      <c r="X323" s="344">
        <f>'A123'!J331</f>
        <v>20</v>
      </c>
      <c r="Y323" s="344">
        <f>'A123'!K331</f>
        <v>25</v>
      </c>
      <c r="Z323" s="344">
        <f>'A123'!L331</f>
        <v>23.61904761904762</v>
      </c>
      <c r="AA323" s="344" t="s">
        <v>2150</v>
      </c>
      <c r="AB323" s="344" t="str">
        <f>入學要求!X332</f>
        <v>/</v>
      </c>
      <c r="AC323" s="344" t="str">
        <f>入學要求!Y332</f>
        <v>/</v>
      </c>
      <c r="AD323" s="344" t="s">
        <v>1977</v>
      </c>
      <c r="AE323" s="2" t="s">
        <v>1970</v>
      </c>
      <c r="AF323" s="2" t="s">
        <v>1970</v>
      </c>
      <c r="AG323" s="344" t="s">
        <v>3459</v>
      </c>
      <c r="AH323" s="344" t="s">
        <v>1970</v>
      </c>
      <c r="AI323" s="2" t="s">
        <v>1970</v>
      </c>
      <c r="AJ323" s="2" t="s">
        <v>1970</v>
      </c>
      <c r="AK323" s="2" t="s">
        <v>1970</v>
      </c>
      <c r="AL323" s="2" t="s">
        <v>1970</v>
      </c>
      <c r="AM323" s="2" t="s">
        <v>1970</v>
      </c>
      <c r="AN323" s="2" t="s">
        <v>1970</v>
      </c>
      <c r="AO323" s="2" t="s">
        <v>1970</v>
      </c>
      <c r="AP323" s="251" t="s">
        <v>1970</v>
      </c>
      <c r="AQ323" s="344" t="s">
        <v>1970</v>
      </c>
      <c r="AR323" s="344" t="s">
        <v>2150</v>
      </c>
      <c r="AS323" s="344" t="s">
        <v>3710</v>
      </c>
      <c r="AT323" s="344" t="s">
        <v>3708</v>
      </c>
      <c r="AV323" s="344" t="s">
        <v>3806</v>
      </c>
      <c r="AX323" s="344" t="s">
        <v>3807</v>
      </c>
      <c r="AY323" s="344" t="s">
        <v>3808</v>
      </c>
      <c r="BB323" s="344"/>
      <c r="BC323" s="344"/>
      <c r="BD323" s="344"/>
      <c r="BE323" s="344"/>
      <c r="BF323" s="344"/>
      <c r="BG323" s="344"/>
      <c r="BH323" s="344"/>
      <c r="BJ323" s="344"/>
      <c r="BK323" s="344"/>
      <c r="BL323" s="344"/>
      <c r="BM323" s="344"/>
      <c r="BN323" s="344"/>
      <c r="BO323" s="344"/>
      <c r="BP323" s="344"/>
      <c r="BR323" s="344"/>
      <c r="BS323" s="344"/>
      <c r="BT323" s="344"/>
      <c r="BU323" s="344"/>
      <c r="BV323" s="344"/>
      <c r="BW323" s="344"/>
      <c r="BX323" s="344"/>
    </row>
    <row r="324" spans="1:76" x14ac:dyDescent="0.3">
      <c r="A324" s="2" t="s">
        <v>1538</v>
      </c>
      <c r="B324" s="2" t="s">
        <v>1457</v>
      </c>
      <c r="C324" s="344" t="s">
        <v>2638</v>
      </c>
      <c r="D324" s="2" t="s">
        <v>1541</v>
      </c>
      <c r="E324" s="344" t="s">
        <v>1977</v>
      </c>
      <c r="F324" s="344" t="s">
        <v>1978</v>
      </c>
      <c r="G324" s="344" t="s">
        <v>1978</v>
      </c>
      <c r="H324" s="2">
        <v>19</v>
      </c>
      <c r="N324" s="344" t="s">
        <v>1978</v>
      </c>
      <c r="O324" s="344" t="s">
        <v>1978</v>
      </c>
      <c r="P324" s="344" t="s">
        <v>1978</v>
      </c>
      <c r="Q324" s="344" t="s">
        <v>1978</v>
      </c>
      <c r="R324" s="344" t="s">
        <v>1978</v>
      </c>
      <c r="S324" s="344" t="s">
        <v>1978</v>
      </c>
      <c r="T324" s="2" t="s">
        <v>1539</v>
      </c>
      <c r="U324" s="344" t="s">
        <v>2150</v>
      </c>
      <c r="X324" s="344">
        <f>'A123'!J332</f>
        <v>20</v>
      </c>
      <c r="Y324" s="344">
        <f>'A123'!K332</f>
        <v>21</v>
      </c>
      <c r="Z324" s="344">
        <f>'A123'!L332</f>
        <v>14.833333333333334</v>
      </c>
      <c r="AA324" s="344" t="s">
        <v>2150</v>
      </c>
      <c r="AB324" s="344" t="str">
        <f>入學要求!X333</f>
        <v>/</v>
      </c>
      <c r="AC324" s="344" t="str">
        <f>入學要求!Y333</f>
        <v>/</v>
      </c>
      <c r="AD324" s="344" t="s">
        <v>1977</v>
      </c>
      <c r="AE324" s="2" t="s">
        <v>1970</v>
      </c>
      <c r="AF324" s="2" t="s">
        <v>1970</v>
      </c>
      <c r="AG324" s="344" t="s">
        <v>1970</v>
      </c>
      <c r="AH324" s="344" t="s">
        <v>1970</v>
      </c>
      <c r="AI324" s="2" t="s">
        <v>1970</v>
      </c>
      <c r="AJ324" s="2" t="s">
        <v>1970</v>
      </c>
      <c r="AK324" s="2" t="s">
        <v>1970</v>
      </c>
      <c r="AL324" s="2" t="s">
        <v>1970</v>
      </c>
      <c r="AM324" s="2" t="s">
        <v>1970</v>
      </c>
      <c r="AN324" s="2" t="s">
        <v>1970</v>
      </c>
      <c r="AO324" s="2" t="s">
        <v>1970</v>
      </c>
      <c r="AP324" s="251" t="s">
        <v>1970</v>
      </c>
      <c r="AQ324" s="344" t="s">
        <v>1970</v>
      </c>
      <c r="AR324" s="344" t="s">
        <v>2150</v>
      </c>
      <c r="AS324" s="344" t="s">
        <v>3710</v>
      </c>
      <c r="AT324" s="344" t="s">
        <v>3708</v>
      </c>
      <c r="AV324" s="344" t="s">
        <v>3806</v>
      </c>
      <c r="AX324" s="344" t="s">
        <v>3807</v>
      </c>
      <c r="AY324" s="344" t="s">
        <v>3808</v>
      </c>
      <c r="BB324" s="344"/>
      <c r="BC324" s="344"/>
      <c r="BD324" s="344"/>
      <c r="BE324" s="344"/>
      <c r="BF324" s="344"/>
      <c r="BG324" s="344"/>
      <c r="BH324" s="344"/>
      <c r="BJ324" s="344"/>
      <c r="BK324" s="344"/>
      <c r="BL324" s="344"/>
      <c r="BM324" s="344"/>
      <c r="BN324" s="344"/>
      <c r="BO324" s="344"/>
      <c r="BP324" s="344"/>
      <c r="BR324" s="344"/>
      <c r="BS324" s="344"/>
      <c r="BT324" s="344"/>
      <c r="BU324" s="344"/>
      <c r="BV324" s="344"/>
      <c r="BW324" s="344"/>
      <c r="BX324" s="344"/>
    </row>
    <row r="325" spans="1:76" x14ac:dyDescent="0.3">
      <c r="A325" s="2" t="s">
        <v>1542</v>
      </c>
      <c r="B325" s="2" t="s">
        <v>1457</v>
      </c>
      <c r="C325" s="344" t="s">
        <v>3436</v>
      </c>
      <c r="D325" s="2" t="s">
        <v>1545</v>
      </c>
      <c r="E325" s="344" t="s">
        <v>1977</v>
      </c>
      <c r="F325" s="344" t="s">
        <v>1978</v>
      </c>
      <c r="G325" s="344" t="s">
        <v>1978</v>
      </c>
      <c r="H325" s="2" t="s">
        <v>1978</v>
      </c>
      <c r="N325" s="344" t="s">
        <v>1978</v>
      </c>
      <c r="O325" s="344" t="s">
        <v>1978</v>
      </c>
      <c r="P325" s="344" t="s">
        <v>1978</v>
      </c>
      <c r="Q325" s="344" t="s">
        <v>1978</v>
      </c>
      <c r="R325" s="344" t="s">
        <v>1978</v>
      </c>
      <c r="S325" s="344" t="s">
        <v>1978</v>
      </c>
      <c r="T325" s="2" t="s">
        <v>1543</v>
      </c>
      <c r="U325" s="344" t="s">
        <v>2150</v>
      </c>
      <c r="X325" s="344">
        <f>'A123'!J333</f>
        <v>23</v>
      </c>
      <c r="Y325" s="344" t="str">
        <f>'A123'!K333</f>
        <v>/</v>
      </c>
      <c r="Z325" s="344" t="str">
        <f>'A123'!L333</f>
        <v>新科目</v>
      </c>
      <c r="AA325" s="344" t="s">
        <v>2150</v>
      </c>
      <c r="AB325" s="344" t="str">
        <f>入學要求!X334</f>
        <v>以下一科選修取得Lv.3︰生物、化學、組合科學、物理、綜合科學、地理</v>
      </c>
      <c r="AC325" s="344" t="str">
        <f>入學要求!Y334</f>
        <v>/</v>
      </c>
      <c r="AD325" s="344" t="s">
        <v>1977</v>
      </c>
      <c r="AE325" s="2" t="s">
        <v>1970</v>
      </c>
      <c r="AF325" s="2" t="s">
        <v>1970</v>
      </c>
      <c r="AG325" s="344" t="s">
        <v>1970</v>
      </c>
      <c r="AH325" s="344" t="s">
        <v>1970</v>
      </c>
      <c r="AI325" s="2" t="s">
        <v>1970</v>
      </c>
      <c r="AJ325" s="2" t="s">
        <v>1970</v>
      </c>
      <c r="AK325" s="2" t="s">
        <v>1970</v>
      </c>
      <c r="AL325" s="2" t="s">
        <v>1970</v>
      </c>
      <c r="AM325" s="2" t="s">
        <v>1970</v>
      </c>
      <c r="AN325" s="2" t="s">
        <v>1970</v>
      </c>
      <c r="AO325" s="2" t="s">
        <v>1970</v>
      </c>
      <c r="AP325" s="251" t="s">
        <v>1970</v>
      </c>
      <c r="AQ325" s="344" t="s">
        <v>1970</v>
      </c>
      <c r="AR325" s="344" t="s">
        <v>2150</v>
      </c>
      <c r="AS325" s="344" t="s">
        <v>3710</v>
      </c>
      <c r="AT325" s="344" t="s">
        <v>3708</v>
      </c>
      <c r="AV325" s="344" t="s">
        <v>3806</v>
      </c>
      <c r="AX325" s="344" t="s">
        <v>3807</v>
      </c>
      <c r="AY325" s="344" t="s">
        <v>3808</v>
      </c>
      <c r="BB325" s="344"/>
      <c r="BC325" s="344"/>
      <c r="BD325" s="344"/>
      <c r="BE325" s="344"/>
      <c r="BF325" s="344"/>
      <c r="BG325" s="344"/>
      <c r="BH325" s="344"/>
      <c r="BJ325" s="344"/>
      <c r="BK325" s="344"/>
      <c r="BL325" s="344"/>
      <c r="BM325" s="344"/>
      <c r="BN325" s="344"/>
      <c r="BO325" s="344"/>
      <c r="BP325" s="344"/>
      <c r="BR325" s="344"/>
      <c r="BS325" s="344"/>
      <c r="BT325" s="344"/>
      <c r="BU325" s="344"/>
      <c r="BV325" s="344"/>
      <c r="BW325" s="344"/>
      <c r="BX325" s="344"/>
    </row>
    <row r="326" spans="1:76" x14ac:dyDescent="0.3">
      <c r="A326" s="2" t="s">
        <v>1546</v>
      </c>
      <c r="B326" s="2" t="s">
        <v>1457</v>
      </c>
      <c r="C326" s="344" t="s">
        <v>3436</v>
      </c>
      <c r="D326" s="2" t="s">
        <v>1549</v>
      </c>
      <c r="E326" s="344" t="s">
        <v>1977</v>
      </c>
      <c r="F326" s="344" t="s">
        <v>1978</v>
      </c>
      <c r="G326" s="344" t="s">
        <v>1978</v>
      </c>
      <c r="H326" s="2" t="s">
        <v>1978</v>
      </c>
      <c r="N326" s="344" t="s">
        <v>1978</v>
      </c>
      <c r="O326" s="344" t="s">
        <v>1978</v>
      </c>
      <c r="P326" s="344" t="s">
        <v>1978</v>
      </c>
      <c r="Q326" s="344" t="s">
        <v>1978</v>
      </c>
      <c r="R326" s="344" t="s">
        <v>1978</v>
      </c>
      <c r="S326" s="344" t="s">
        <v>1978</v>
      </c>
      <c r="T326" s="2" t="s">
        <v>1547</v>
      </c>
      <c r="U326" s="344" t="s">
        <v>2150</v>
      </c>
      <c r="X326" s="344">
        <f>'A123'!J334</f>
        <v>20</v>
      </c>
      <c r="Y326" s="344" t="str">
        <f>'A123'!K334</f>
        <v>/</v>
      </c>
      <c r="Z326" s="344" t="str">
        <f>'A123'!L334</f>
        <v>新科目</v>
      </c>
      <c r="AA326" s="344" t="s">
        <v>2150</v>
      </c>
      <c r="AB326" s="344" t="str">
        <f>入學要求!X335</f>
        <v>以下一科選修取得Lv.3︰生物、化學、組合科學、物理、綜合科學、ICT、M1/2</v>
      </c>
      <c r="AC326" s="344" t="str">
        <f>入學要求!Y335</f>
        <v>/</v>
      </c>
      <c r="AD326" s="344" t="s">
        <v>1977</v>
      </c>
      <c r="AE326" s="2" t="s">
        <v>1970</v>
      </c>
      <c r="AF326" s="2" t="s">
        <v>1970</v>
      </c>
      <c r="AG326" s="344" t="s">
        <v>1970</v>
      </c>
      <c r="AH326" s="344" t="s">
        <v>1970</v>
      </c>
      <c r="AI326" s="2" t="s">
        <v>1970</v>
      </c>
      <c r="AJ326" s="2" t="s">
        <v>1970</v>
      </c>
      <c r="AK326" s="2" t="s">
        <v>1970</v>
      </c>
      <c r="AL326" s="2" t="s">
        <v>1970</v>
      </c>
      <c r="AM326" s="2" t="s">
        <v>1970</v>
      </c>
      <c r="AN326" s="2" t="s">
        <v>1970</v>
      </c>
      <c r="AO326" s="2" t="s">
        <v>1970</v>
      </c>
      <c r="AP326" s="251" t="s">
        <v>1970</v>
      </c>
      <c r="AQ326" s="344" t="s">
        <v>1970</v>
      </c>
      <c r="AR326" s="344" t="s">
        <v>2150</v>
      </c>
      <c r="AS326" s="344" t="s">
        <v>3710</v>
      </c>
      <c r="AT326" s="344" t="s">
        <v>3708</v>
      </c>
      <c r="AV326" s="344" t="s">
        <v>3806</v>
      </c>
      <c r="AX326" s="344" t="s">
        <v>3807</v>
      </c>
      <c r="AY326" s="344" t="s">
        <v>3808</v>
      </c>
    </row>
    <row r="327" spans="1:76" x14ac:dyDescent="0.3">
      <c r="A327" s="2" t="s">
        <v>1550</v>
      </c>
      <c r="B327" s="2" t="s">
        <v>1457</v>
      </c>
      <c r="C327" s="344" t="s">
        <v>3436</v>
      </c>
      <c r="D327" s="2" t="s">
        <v>1553</v>
      </c>
      <c r="E327" s="344" t="s">
        <v>1977</v>
      </c>
      <c r="F327" s="344" t="s">
        <v>1978</v>
      </c>
      <c r="G327" s="344" t="s">
        <v>1978</v>
      </c>
      <c r="H327" s="2" t="s">
        <v>1978</v>
      </c>
      <c r="K327" s="2" t="s">
        <v>3472</v>
      </c>
      <c r="N327" s="344" t="s">
        <v>1978</v>
      </c>
      <c r="O327" s="344" t="s">
        <v>1978</v>
      </c>
      <c r="P327" s="344" t="s">
        <v>1978</v>
      </c>
      <c r="Q327" s="344" t="s">
        <v>1978</v>
      </c>
      <c r="R327" s="344" t="s">
        <v>1978</v>
      </c>
      <c r="S327" s="344" t="s">
        <v>1978</v>
      </c>
      <c r="T327" s="2" t="s">
        <v>1551</v>
      </c>
      <c r="U327" s="344" t="s">
        <v>2150</v>
      </c>
      <c r="X327" s="344">
        <f>'A123'!J335</f>
        <v>20</v>
      </c>
      <c r="Y327" s="344" t="str">
        <f>'A123'!K335</f>
        <v>/</v>
      </c>
      <c r="Z327" s="344" t="str">
        <f>'A123'!L335</f>
        <v>新科目</v>
      </c>
      <c r="AA327" s="344" t="s">
        <v>2150</v>
      </c>
      <c r="AB327" s="344" t="str">
        <f>入學要求!X336</f>
        <v>優先考慮 修讀 生物 或 體育 者</v>
      </c>
      <c r="AC327" s="344" t="str">
        <f>入學要求!Y336</f>
        <v>/</v>
      </c>
      <c r="AD327" s="344" t="s">
        <v>1977</v>
      </c>
      <c r="AE327" s="2" t="s">
        <v>1970</v>
      </c>
      <c r="AF327" s="2" t="s">
        <v>1970</v>
      </c>
      <c r="AG327" s="344" t="s">
        <v>3472</v>
      </c>
      <c r="AH327" s="344" t="s">
        <v>1970</v>
      </c>
      <c r="AI327" s="2" t="s">
        <v>1970</v>
      </c>
      <c r="AJ327" s="2" t="s">
        <v>1970</v>
      </c>
      <c r="AK327" s="2" t="s">
        <v>1970</v>
      </c>
      <c r="AL327" s="2" t="s">
        <v>1970</v>
      </c>
      <c r="AM327" s="2" t="s">
        <v>1970</v>
      </c>
      <c r="AN327" s="2" t="s">
        <v>1970</v>
      </c>
      <c r="AO327" s="2" t="s">
        <v>1970</v>
      </c>
      <c r="AP327" s="251" t="s">
        <v>1970</v>
      </c>
      <c r="AQ327" s="344" t="s">
        <v>1970</v>
      </c>
      <c r="AR327" s="344" t="s">
        <v>2150</v>
      </c>
      <c r="AS327" s="344" t="s">
        <v>3710</v>
      </c>
      <c r="AT327" s="344" t="s">
        <v>3708</v>
      </c>
      <c r="AV327" s="344" t="s">
        <v>3806</v>
      </c>
      <c r="AX327" s="344" t="s">
        <v>3807</v>
      </c>
      <c r="AY327" s="344" t="s">
        <v>3808</v>
      </c>
    </row>
    <row r="328" spans="1:76" x14ac:dyDescent="0.3">
      <c r="A328" s="2" t="s">
        <v>1554</v>
      </c>
      <c r="B328" s="2" t="s">
        <v>1457</v>
      </c>
      <c r="C328" s="344" t="s">
        <v>3436</v>
      </c>
      <c r="D328" s="2" t="s">
        <v>1557</v>
      </c>
      <c r="E328" s="344" t="s">
        <v>1977</v>
      </c>
      <c r="F328" s="344" t="s">
        <v>1978</v>
      </c>
      <c r="G328" s="344" t="s">
        <v>1978</v>
      </c>
      <c r="H328" s="2">
        <v>19</v>
      </c>
      <c r="K328" s="2" t="s">
        <v>3473</v>
      </c>
      <c r="N328" s="344" t="s">
        <v>1978</v>
      </c>
      <c r="O328" s="344" t="s">
        <v>1978</v>
      </c>
      <c r="P328" s="344" t="s">
        <v>1978</v>
      </c>
      <c r="Q328" s="344" t="s">
        <v>1978</v>
      </c>
      <c r="R328" s="344" t="s">
        <v>1978</v>
      </c>
      <c r="S328" s="344" t="s">
        <v>1978</v>
      </c>
      <c r="T328" s="2" t="s">
        <v>1555</v>
      </c>
      <c r="U328" s="344" t="s">
        <v>2150</v>
      </c>
      <c r="X328" s="344">
        <f>'A123'!J336</f>
        <v>38</v>
      </c>
      <c r="Y328" s="344">
        <f>'A123'!K336</f>
        <v>29</v>
      </c>
      <c r="Z328" s="344">
        <f>'A123'!L336</f>
        <v>5.4827586206896548</v>
      </c>
      <c r="AA328" s="344" t="s">
        <v>2150</v>
      </c>
      <c r="AB328" s="344" t="str">
        <f>入學要求!X337</f>
        <v>同學亦須在額外的 入學測試/面試 中考獲優異成績</v>
      </c>
      <c r="AC328" s="344" t="str">
        <f>入學要求!Y337</f>
        <v>DSE音樂考獲 Lv.4或以上者 則可豁免該測試</v>
      </c>
      <c r="AD328" s="344" t="s">
        <v>1977</v>
      </c>
      <c r="AE328" s="2" t="s">
        <v>1970</v>
      </c>
      <c r="AF328" s="2" t="s">
        <v>1970</v>
      </c>
      <c r="AG328" s="344" t="s">
        <v>3473</v>
      </c>
      <c r="AH328" s="344" t="s">
        <v>1970</v>
      </c>
      <c r="AI328" s="2" t="s">
        <v>1970</v>
      </c>
      <c r="AJ328" s="2" t="s">
        <v>1970</v>
      </c>
      <c r="AK328" s="2" t="s">
        <v>1970</v>
      </c>
      <c r="AL328" s="2" t="s">
        <v>1970</v>
      </c>
      <c r="AM328" s="2" t="s">
        <v>1970</v>
      </c>
      <c r="AN328" s="2" t="s">
        <v>1970</v>
      </c>
      <c r="AO328" s="2" t="s">
        <v>1970</v>
      </c>
      <c r="AP328" s="251" t="s">
        <v>1970</v>
      </c>
      <c r="AQ328" s="344" t="s">
        <v>1970</v>
      </c>
      <c r="AR328" s="344" t="s">
        <v>2150</v>
      </c>
      <c r="AS328" s="344" t="s">
        <v>3710</v>
      </c>
      <c r="AT328" s="344" t="s">
        <v>3708</v>
      </c>
      <c r="AV328" s="344" t="s">
        <v>3806</v>
      </c>
      <c r="AX328" s="344" t="s">
        <v>3807</v>
      </c>
      <c r="AY328" s="344" t="s">
        <v>3808</v>
      </c>
    </row>
    <row r="329" spans="1:76" x14ac:dyDescent="0.3">
      <c r="A329" s="2" t="s">
        <v>1558</v>
      </c>
      <c r="B329" s="2" t="s">
        <v>1457</v>
      </c>
      <c r="C329" s="344" t="s">
        <v>3436</v>
      </c>
      <c r="D329" s="2" t="s">
        <v>1561</v>
      </c>
      <c r="E329" s="344" t="s">
        <v>1977</v>
      </c>
      <c r="F329" s="344" t="s">
        <v>1978</v>
      </c>
      <c r="G329" s="344" t="s">
        <v>1978</v>
      </c>
      <c r="H329" s="2">
        <v>20</v>
      </c>
      <c r="N329" s="344" t="s">
        <v>1978</v>
      </c>
      <c r="O329" s="344" t="s">
        <v>1978</v>
      </c>
      <c r="P329" s="344" t="s">
        <v>1978</v>
      </c>
      <c r="Q329" s="344" t="s">
        <v>1978</v>
      </c>
      <c r="R329" s="344" t="s">
        <v>1978</v>
      </c>
      <c r="S329" s="344" t="s">
        <v>1978</v>
      </c>
      <c r="T329" s="2" t="s">
        <v>1559</v>
      </c>
      <c r="U329" s="344" t="s">
        <v>2150</v>
      </c>
      <c r="X329" s="344">
        <f>'A123'!J337</f>
        <v>38</v>
      </c>
      <c r="Y329" s="344">
        <f>'A123'!K337</f>
        <v>30</v>
      </c>
      <c r="Z329" s="344">
        <f>'A123'!L337</f>
        <v>9.7333333333333325</v>
      </c>
      <c r="AA329" s="344" t="s">
        <v>2150</v>
      </c>
      <c r="AB329" s="344" t="str">
        <f>入學要求!X338</f>
        <v>同學亦須在額外的 入學測試 中考獲優異成績</v>
      </c>
      <c r="AC329" s="344" t="str">
        <f>入學要求!Y338</f>
        <v>DSE視覺藝術考獲 Lv.4或以上者 則可豁免該測試</v>
      </c>
      <c r="AD329" s="344" t="s">
        <v>1977</v>
      </c>
      <c r="AE329" s="2" t="s">
        <v>1970</v>
      </c>
      <c r="AF329" s="2" t="s">
        <v>1970</v>
      </c>
      <c r="AG329" s="344" t="s">
        <v>1970</v>
      </c>
      <c r="AH329" s="344" t="s">
        <v>1970</v>
      </c>
      <c r="AI329" s="2" t="s">
        <v>1970</v>
      </c>
      <c r="AJ329" s="2" t="s">
        <v>1970</v>
      </c>
      <c r="AK329" s="2" t="s">
        <v>1970</v>
      </c>
      <c r="AL329" s="2" t="s">
        <v>1970</v>
      </c>
      <c r="AM329" s="2" t="s">
        <v>1970</v>
      </c>
      <c r="AN329" s="2" t="s">
        <v>1970</v>
      </c>
      <c r="AO329" s="2" t="s">
        <v>1970</v>
      </c>
      <c r="AP329" s="251" t="s">
        <v>1970</v>
      </c>
      <c r="AQ329" s="344" t="s">
        <v>1970</v>
      </c>
      <c r="AR329" s="344" t="s">
        <v>2150</v>
      </c>
      <c r="AS329" s="344" t="s">
        <v>3710</v>
      </c>
      <c r="AT329" s="344" t="s">
        <v>3708</v>
      </c>
      <c r="AV329" s="344" t="s">
        <v>3806</v>
      </c>
      <c r="AX329" s="344" t="s">
        <v>3807</v>
      </c>
      <c r="AY329" s="344" t="s">
        <v>3808</v>
      </c>
    </row>
    <row r="330" spans="1:76" x14ac:dyDescent="0.3">
      <c r="A330" s="2" t="s">
        <v>1562</v>
      </c>
      <c r="B330" s="2" t="s">
        <v>1457</v>
      </c>
      <c r="C330" s="344" t="s">
        <v>2374</v>
      </c>
      <c r="D330" s="2" t="s">
        <v>1565</v>
      </c>
      <c r="E330" s="344" t="s">
        <v>1977</v>
      </c>
      <c r="F330" s="344" t="s">
        <v>1978</v>
      </c>
      <c r="G330" s="344" t="s">
        <v>1978</v>
      </c>
      <c r="H330" s="2">
        <v>20</v>
      </c>
      <c r="I330" s="344" t="s">
        <v>3439</v>
      </c>
      <c r="N330" s="344" t="s">
        <v>1978</v>
      </c>
      <c r="O330" s="344" t="s">
        <v>1978</v>
      </c>
      <c r="P330" s="344" t="s">
        <v>1978</v>
      </c>
      <c r="Q330" s="344" t="s">
        <v>1978</v>
      </c>
      <c r="R330" s="344" t="s">
        <v>1978</v>
      </c>
      <c r="S330" s="344" t="s">
        <v>1978</v>
      </c>
      <c r="T330" s="2" t="s">
        <v>1563</v>
      </c>
      <c r="U330" s="344" t="s">
        <v>2150</v>
      </c>
      <c r="X330" s="344">
        <f>'A123'!J338</f>
        <v>20</v>
      </c>
      <c r="Y330" s="344">
        <f>'A123'!K338</f>
        <v>11</v>
      </c>
      <c r="Z330" s="344">
        <f>'A123'!L338</f>
        <v>8.6363636363636367</v>
      </c>
      <c r="AA330" s="344" t="s">
        <v>2150</v>
      </c>
      <c r="AB330" s="344" t="str">
        <f>入學要求!X339</f>
        <v>/</v>
      </c>
      <c r="AC330" s="344" t="str">
        <f>入學要求!Y339</f>
        <v>/</v>
      </c>
      <c r="AD330" s="344" t="s">
        <v>1977</v>
      </c>
      <c r="AE330" s="2" t="s">
        <v>1970</v>
      </c>
      <c r="AF330" s="2" t="s">
        <v>1970</v>
      </c>
      <c r="AG330" s="344" t="s">
        <v>1970</v>
      </c>
      <c r="AH330" s="344" t="s">
        <v>1970</v>
      </c>
      <c r="AI330" s="2" t="s">
        <v>1970</v>
      </c>
      <c r="AJ330" s="2" t="s">
        <v>1970</v>
      </c>
      <c r="AK330" s="2" t="s">
        <v>1970</v>
      </c>
      <c r="AL330" s="2" t="s">
        <v>1970</v>
      </c>
      <c r="AM330" s="2" t="s">
        <v>1970</v>
      </c>
      <c r="AN330" s="2" t="s">
        <v>1970</v>
      </c>
      <c r="AO330" s="2" t="s">
        <v>1970</v>
      </c>
      <c r="AP330" s="251" t="s">
        <v>1970</v>
      </c>
      <c r="AQ330" s="344" t="s">
        <v>1970</v>
      </c>
      <c r="AR330" s="344" t="s">
        <v>2150</v>
      </c>
      <c r="AS330" s="344" t="s">
        <v>3710</v>
      </c>
      <c r="AT330" s="344" t="s">
        <v>3708</v>
      </c>
      <c r="AV330" s="344" t="s">
        <v>3806</v>
      </c>
      <c r="AX330" s="344" t="s">
        <v>3807</v>
      </c>
      <c r="AY330" s="344" t="s">
        <v>3808</v>
      </c>
    </row>
    <row r="331" spans="1:76" s="344" customFormat="1" x14ac:dyDescent="0.3">
      <c r="X331" s="344">
        <f>'A123'!J339</f>
        <v>0</v>
      </c>
      <c r="Y331" s="344">
        <f>'A123'!K339</f>
        <v>0</v>
      </c>
      <c r="Z331" s="344">
        <f>'A123'!L339</f>
        <v>0</v>
      </c>
    </row>
    <row r="332" spans="1:76" x14ac:dyDescent="0.3">
      <c r="N332" s="344" t="s">
        <v>1978</v>
      </c>
      <c r="O332" s="344" t="s">
        <v>1978</v>
      </c>
      <c r="P332" s="344" t="s">
        <v>1978</v>
      </c>
      <c r="Q332" s="344" t="s">
        <v>1978</v>
      </c>
      <c r="R332" s="344" t="s">
        <v>1978</v>
      </c>
      <c r="S332" s="344" t="s">
        <v>1978</v>
      </c>
      <c r="X332" s="344">
        <f>'A123'!J340</f>
        <v>0</v>
      </c>
      <c r="Y332" s="344">
        <f>'A123'!K340</f>
        <v>0</v>
      </c>
      <c r="Z332" s="344">
        <f>'A123'!L340</f>
        <v>0</v>
      </c>
      <c r="AR332" s="344"/>
    </row>
    <row r="333" spans="1:76" x14ac:dyDescent="0.3">
      <c r="A333" s="2" t="s">
        <v>1567</v>
      </c>
      <c r="B333" s="2" t="s">
        <v>1571</v>
      </c>
      <c r="C333" s="2" t="s">
        <v>1975</v>
      </c>
      <c r="D333" s="2" t="s">
        <v>1537</v>
      </c>
      <c r="E333" s="2" t="s">
        <v>2259</v>
      </c>
      <c r="F333" s="344" t="s">
        <v>1978</v>
      </c>
      <c r="G333" s="2">
        <v>15</v>
      </c>
      <c r="H333" s="2">
        <v>14</v>
      </c>
      <c r="I333" s="2" t="s">
        <v>1970</v>
      </c>
      <c r="J333" s="2" t="s">
        <v>1970</v>
      </c>
      <c r="K333" s="2" t="s">
        <v>1970</v>
      </c>
      <c r="L333" s="2" t="s">
        <v>1970</v>
      </c>
      <c r="M333" s="2" t="s">
        <v>1970</v>
      </c>
      <c r="N333" s="344" t="s">
        <v>1978</v>
      </c>
      <c r="O333" s="344" t="s">
        <v>1970</v>
      </c>
      <c r="P333" s="344" t="s">
        <v>1978</v>
      </c>
      <c r="Q333" s="344" t="s">
        <v>1978</v>
      </c>
      <c r="R333" s="344" t="s">
        <v>1978</v>
      </c>
      <c r="S333" s="344" t="s">
        <v>1978</v>
      </c>
      <c r="T333" s="2" t="s">
        <v>1569</v>
      </c>
      <c r="U333" s="2" t="s">
        <v>1970</v>
      </c>
      <c r="V333" s="251" t="s">
        <v>1970</v>
      </c>
      <c r="W333" s="251" t="s">
        <v>1970</v>
      </c>
      <c r="X333" s="344">
        <f>'A123'!J341</f>
        <v>85</v>
      </c>
      <c r="Y333" s="344">
        <f>'A123'!K341</f>
        <v>200</v>
      </c>
      <c r="Z333" s="344">
        <f>'A123'!L341</f>
        <v>6.0275229357798166</v>
      </c>
      <c r="AA333" s="2" t="s">
        <v>1970</v>
      </c>
      <c r="AB333" s="2" t="s">
        <v>1970</v>
      </c>
      <c r="AC333" s="2" t="s">
        <v>1970</v>
      </c>
      <c r="AD333" s="344" t="s">
        <v>2259</v>
      </c>
      <c r="AE333" s="2" t="s">
        <v>1970</v>
      </c>
      <c r="AF333" s="2" t="s">
        <v>1970</v>
      </c>
      <c r="AG333" s="344" t="s">
        <v>1970</v>
      </c>
      <c r="AH333" s="2" t="s">
        <v>1970</v>
      </c>
      <c r="AI333" s="2" t="s">
        <v>1970</v>
      </c>
      <c r="AJ333" s="2" t="s">
        <v>1970</v>
      </c>
      <c r="AK333" s="2" t="s">
        <v>1970</v>
      </c>
      <c r="AL333" s="2" t="s">
        <v>1970</v>
      </c>
      <c r="AM333" s="2" t="s">
        <v>1970</v>
      </c>
      <c r="AN333" s="2" t="s">
        <v>1970</v>
      </c>
      <c r="AO333" s="2" t="s">
        <v>1970</v>
      </c>
      <c r="AP333" s="251" t="s">
        <v>1970</v>
      </c>
      <c r="AQ333" s="344" t="s">
        <v>1970</v>
      </c>
      <c r="AR333" s="344" t="s">
        <v>2150</v>
      </c>
      <c r="AS333" s="2" t="s">
        <v>3608</v>
      </c>
      <c r="AV333" s="344" t="s">
        <v>3810</v>
      </c>
    </row>
    <row r="334" spans="1:76" x14ac:dyDescent="0.3">
      <c r="A334" s="2" t="s">
        <v>1572</v>
      </c>
      <c r="B334" s="2" t="s">
        <v>1571</v>
      </c>
      <c r="C334" s="2" t="s">
        <v>1975</v>
      </c>
      <c r="D334" s="2" t="s">
        <v>1575</v>
      </c>
      <c r="E334" s="2" t="s">
        <v>2259</v>
      </c>
      <c r="F334" s="344" t="s">
        <v>1978</v>
      </c>
      <c r="G334" s="2">
        <v>16</v>
      </c>
      <c r="H334" s="2">
        <v>15</v>
      </c>
      <c r="I334" s="2" t="s">
        <v>1970</v>
      </c>
      <c r="J334" s="2" t="s">
        <v>1970</v>
      </c>
      <c r="K334" s="2" t="s">
        <v>1970</v>
      </c>
      <c r="L334" s="2" t="s">
        <v>1970</v>
      </c>
      <c r="M334" s="2" t="s">
        <v>1970</v>
      </c>
      <c r="N334" s="344" t="s">
        <v>1978</v>
      </c>
      <c r="O334" s="344" t="s">
        <v>1978</v>
      </c>
      <c r="P334" s="344" t="s">
        <v>1978</v>
      </c>
      <c r="Q334" s="344" t="s">
        <v>1978</v>
      </c>
      <c r="R334" s="344" t="s">
        <v>1978</v>
      </c>
      <c r="S334" s="344" t="s">
        <v>1978</v>
      </c>
      <c r="T334" s="2" t="s">
        <v>1573</v>
      </c>
      <c r="U334" s="2" t="s">
        <v>1970</v>
      </c>
      <c r="V334" s="251" t="s">
        <v>1970</v>
      </c>
      <c r="W334" s="251" t="s">
        <v>1970</v>
      </c>
      <c r="X334" s="344">
        <f>'A123'!J342</f>
        <v>25</v>
      </c>
      <c r="Y334" s="344">
        <f>'A123'!K342</f>
        <v>47</v>
      </c>
      <c r="Z334" s="344">
        <f>'A123'!L342</f>
        <v>5.5294117647058822</v>
      </c>
      <c r="AA334" s="2" t="s">
        <v>1970</v>
      </c>
      <c r="AB334" s="2" t="s">
        <v>1970</v>
      </c>
      <c r="AC334" s="2" t="s">
        <v>1970</v>
      </c>
      <c r="AD334" s="344" t="s">
        <v>2259</v>
      </c>
      <c r="AE334" s="2" t="s">
        <v>1970</v>
      </c>
      <c r="AF334" s="2" t="s">
        <v>1970</v>
      </c>
      <c r="AG334" s="344" t="s">
        <v>1970</v>
      </c>
      <c r="AH334" s="2" t="s">
        <v>1970</v>
      </c>
      <c r="AI334" s="2" t="s">
        <v>1970</v>
      </c>
      <c r="AJ334" s="2" t="s">
        <v>1970</v>
      </c>
      <c r="AK334" s="2" t="s">
        <v>1970</v>
      </c>
      <c r="AL334" s="2" t="s">
        <v>1970</v>
      </c>
      <c r="AM334" s="2" t="s">
        <v>1970</v>
      </c>
      <c r="AN334" s="2" t="s">
        <v>1970</v>
      </c>
      <c r="AO334" s="2" t="s">
        <v>1970</v>
      </c>
      <c r="AP334" s="251" t="s">
        <v>1970</v>
      </c>
      <c r="AQ334" s="344" t="s">
        <v>1970</v>
      </c>
      <c r="AR334" s="344" t="s">
        <v>2150</v>
      </c>
      <c r="AS334" s="2" t="s">
        <v>3608</v>
      </c>
      <c r="AV334" s="344" t="s">
        <v>3810</v>
      </c>
    </row>
    <row r="335" spans="1:76" x14ac:dyDescent="0.3">
      <c r="A335" s="2" t="s">
        <v>1576</v>
      </c>
      <c r="B335" s="2" t="s">
        <v>1571</v>
      </c>
      <c r="C335" s="2" t="s">
        <v>1975</v>
      </c>
      <c r="D335" s="2" t="s">
        <v>1579</v>
      </c>
      <c r="E335" s="2" t="s">
        <v>2259</v>
      </c>
      <c r="F335" s="344" t="s">
        <v>1978</v>
      </c>
      <c r="G335" s="2">
        <v>16</v>
      </c>
      <c r="H335" s="2">
        <v>15</v>
      </c>
      <c r="I335" s="2" t="s">
        <v>1970</v>
      </c>
      <c r="J335" s="2" t="s">
        <v>1970</v>
      </c>
      <c r="K335" s="2" t="s">
        <v>1970</v>
      </c>
      <c r="L335" s="2" t="s">
        <v>1970</v>
      </c>
      <c r="M335" s="2" t="s">
        <v>1970</v>
      </c>
      <c r="N335" s="344" t="s">
        <v>1978</v>
      </c>
      <c r="O335" s="344" t="s">
        <v>1978</v>
      </c>
      <c r="P335" s="344" t="s">
        <v>1978</v>
      </c>
      <c r="Q335" s="344" t="s">
        <v>1978</v>
      </c>
      <c r="R335" s="344" t="s">
        <v>1978</v>
      </c>
      <c r="S335" s="344" t="s">
        <v>1978</v>
      </c>
      <c r="T335" s="2" t="s">
        <v>1577</v>
      </c>
      <c r="U335" s="2" t="s">
        <v>1970</v>
      </c>
      <c r="V335" s="251" t="s">
        <v>1970</v>
      </c>
      <c r="W335" s="251" t="s">
        <v>1970</v>
      </c>
      <c r="X335" s="344">
        <f>'A123'!J343</f>
        <v>30</v>
      </c>
      <c r="Y335" s="344">
        <f>'A123'!K343</f>
        <v>54</v>
      </c>
      <c r="Z335" s="344">
        <f>'A123'!L343</f>
        <v>4.5666666666666664</v>
      </c>
      <c r="AA335" s="2" t="s">
        <v>1970</v>
      </c>
      <c r="AB335" s="2" t="s">
        <v>1970</v>
      </c>
      <c r="AC335" s="2" t="s">
        <v>1970</v>
      </c>
      <c r="AD335" s="344" t="s">
        <v>2259</v>
      </c>
      <c r="AE335" s="2" t="s">
        <v>1970</v>
      </c>
      <c r="AF335" s="2" t="s">
        <v>1970</v>
      </c>
      <c r="AG335" s="344" t="s">
        <v>1970</v>
      </c>
      <c r="AH335" s="2" t="s">
        <v>1970</v>
      </c>
      <c r="AI335" s="2" t="s">
        <v>1970</v>
      </c>
      <c r="AJ335" s="2" t="s">
        <v>1970</v>
      </c>
      <c r="AK335" s="2" t="s">
        <v>1970</v>
      </c>
      <c r="AL335" s="2" t="s">
        <v>1970</v>
      </c>
      <c r="AM335" s="2" t="s">
        <v>1970</v>
      </c>
      <c r="AN335" s="2" t="s">
        <v>1970</v>
      </c>
      <c r="AO335" s="2" t="s">
        <v>1970</v>
      </c>
      <c r="AP335" s="251" t="s">
        <v>1970</v>
      </c>
      <c r="AQ335" s="344" t="s">
        <v>1970</v>
      </c>
      <c r="AR335" s="344" t="s">
        <v>2150</v>
      </c>
      <c r="AS335" s="2" t="s">
        <v>3608</v>
      </c>
      <c r="AV335" s="344" t="s">
        <v>3810</v>
      </c>
    </row>
    <row r="336" spans="1:76" x14ac:dyDescent="0.3">
      <c r="A336" s="2" t="s">
        <v>1580</v>
      </c>
      <c r="B336" s="2" t="s">
        <v>1571</v>
      </c>
      <c r="C336" s="2" t="s">
        <v>1975</v>
      </c>
      <c r="D336" s="2" t="s">
        <v>1583</v>
      </c>
      <c r="E336" s="2" t="s">
        <v>2259</v>
      </c>
      <c r="F336" s="344" t="s">
        <v>1978</v>
      </c>
      <c r="G336" s="2">
        <v>15</v>
      </c>
      <c r="H336" s="2">
        <v>15</v>
      </c>
      <c r="I336" s="2" t="s">
        <v>1970</v>
      </c>
      <c r="J336" s="2" t="s">
        <v>1970</v>
      </c>
      <c r="K336" s="2" t="s">
        <v>1970</v>
      </c>
      <c r="L336" s="2" t="s">
        <v>1970</v>
      </c>
      <c r="M336" s="2" t="s">
        <v>1970</v>
      </c>
      <c r="N336" s="344" t="s">
        <v>1978</v>
      </c>
      <c r="O336" s="344" t="s">
        <v>1978</v>
      </c>
      <c r="P336" s="344" t="s">
        <v>1978</v>
      </c>
      <c r="Q336" s="344" t="s">
        <v>1978</v>
      </c>
      <c r="R336" s="344" t="s">
        <v>1978</v>
      </c>
      <c r="S336" s="344" t="s">
        <v>1978</v>
      </c>
      <c r="T336" s="2" t="s">
        <v>1581</v>
      </c>
      <c r="U336" s="2" t="s">
        <v>1970</v>
      </c>
      <c r="V336" s="251" t="s">
        <v>1970</v>
      </c>
      <c r="W336" s="251" t="s">
        <v>1970</v>
      </c>
      <c r="X336" s="344">
        <f>'A123'!J344</f>
        <v>20</v>
      </c>
      <c r="Y336" s="344">
        <f>'A123'!K344</f>
        <v>17</v>
      </c>
      <c r="Z336" s="344">
        <f>'A123'!L344</f>
        <v>14</v>
      </c>
      <c r="AA336" s="2" t="s">
        <v>1970</v>
      </c>
      <c r="AB336" s="2" t="s">
        <v>1970</v>
      </c>
      <c r="AC336" s="2" t="s">
        <v>1970</v>
      </c>
      <c r="AD336" s="344" t="s">
        <v>2259</v>
      </c>
      <c r="AE336" s="2" t="s">
        <v>1970</v>
      </c>
      <c r="AF336" s="2" t="s">
        <v>1970</v>
      </c>
      <c r="AG336" s="344" t="s">
        <v>1970</v>
      </c>
      <c r="AH336" s="2" t="s">
        <v>1970</v>
      </c>
      <c r="AI336" s="2" t="s">
        <v>1970</v>
      </c>
      <c r="AJ336" s="2" t="s">
        <v>1970</v>
      </c>
      <c r="AK336" s="2" t="s">
        <v>1970</v>
      </c>
      <c r="AL336" s="2" t="s">
        <v>1970</v>
      </c>
      <c r="AM336" s="2" t="s">
        <v>1970</v>
      </c>
      <c r="AN336" s="2" t="s">
        <v>1970</v>
      </c>
      <c r="AO336" s="2" t="s">
        <v>1970</v>
      </c>
      <c r="AP336" s="251" t="s">
        <v>1970</v>
      </c>
      <c r="AQ336" s="344" t="s">
        <v>1970</v>
      </c>
      <c r="AR336" s="344" t="s">
        <v>2150</v>
      </c>
      <c r="AS336" s="2" t="s">
        <v>3608</v>
      </c>
      <c r="AV336" s="344" t="s">
        <v>3810</v>
      </c>
    </row>
    <row r="337" spans="1:48" x14ac:dyDescent="0.3">
      <c r="A337" s="2" t="s">
        <v>1584</v>
      </c>
      <c r="B337" s="2" t="s">
        <v>1571</v>
      </c>
      <c r="C337" s="2" t="s">
        <v>1975</v>
      </c>
      <c r="D337" s="2" t="s">
        <v>1587</v>
      </c>
      <c r="E337" s="2" t="s">
        <v>2259</v>
      </c>
      <c r="F337" s="344" t="s">
        <v>1978</v>
      </c>
      <c r="G337" s="2">
        <v>15</v>
      </c>
      <c r="H337" s="2">
        <v>15</v>
      </c>
      <c r="I337" s="2" t="s">
        <v>1970</v>
      </c>
      <c r="J337" s="2" t="s">
        <v>1970</v>
      </c>
      <c r="K337" s="2" t="s">
        <v>1970</v>
      </c>
      <c r="L337" s="2" t="s">
        <v>1970</v>
      </c>
      <c r="M337" s="2" t="s">
        <v>1970</v>
      </c>
      <c r="N337" s="344" t="s">
        <v>1978</v>
      </c>
      <c r="O337" s="344" t="s">
        <v>1978</v>
      </c>
      <c r="P337" s="344" t="s">
        <v>1978</v>
      </c>
      <c r="Q337" s="344" t="s">
        <v>1978</v>
      </c>
      <c r="R337" s="344" t="s">
        <v>1978</v>
      </c>
      <c r="S337" s="344" t="s">
        <v>1978</v>
      </c>
      <c r="T337" s="2" t="s">
        <v>1585</v>
      </c>
      <c r="U337" s="2" t="s">
        <v>1970</v>
      </c>
      <c r="V337" s="251" t="s">
        <v>1970</v>
      </c>
      <c r="W337" s="251" t="s">
        <v>1970</v>
      </c>
      <c r="X337" s="344">
        <f>'A123'!J345</f>
        <v>15</v>
      </c>
      <c r="Y337" s="344">
        <f>'A123'!K345</f>
        <v>22</v>
      </c>
      <c r="Z337" s="344">
        <f>'A123'!L345</f>
        <v>11.25</v>
      </c>
      <c r="AA337" s="2" t="s">
        <v>1970</v>
      </c>
      <c r="AB337" s="2" t="s">
        <v>1970</v>
      </c>
      <c r="AC337" s="2" t="s">
        <v>1970</v>
      </c>
      <c r="AD337" s="344" t="s">
        <v>2259</v>
      </c>
      <c r="AE337" s="2" t="s">
        <v>1970</v>
      </c>
      <c r="AF337" s="2" t="s">
        <v>1970</v>
      </c>
      <c r="AG337" s="344" t="s">
        <v>1970</v>
      </c>
      <c r="AH337" s="2" t="s">
        <v>1970</v>
      </c>
      <c r="AI337" s="2" t="s">
        <v>1970</v>
      </c>
      <c r="AJ337" s="2" t="s">
        <v>1970</v>
      </c>
      <c r="AK337" s="2" t="s">
        <v>1970</v>
      </c>
      <c r="AL337" s="2" t="s">
        <v>1970</v>
      </c>
      <c r="AM337" s="2" t="s">
        <v>1970</v>
      </c>
      <c r="AN337" s="2" t="s">
        <v>1970</v>
      </c>
      <c r="AO337" s="2" t="s">
        <v>1970</v>
      </c>
      <c r="AP337" s="251" t="s">
        <v>1970</v>
      </c>
      <c r="AQ337" s="344" t="s">
        <v>1970</v>
      </c>
      <c r="AR337" s="344" t="s">
        <v>2150</v>
      </c>
      <c r="AS337" s="2" t="s">
        <v>3608</v>
      </c>
      <c r="AV337" s="344" t="s">
        <v>3810</v>
      </c>
    </row>
    <row r="338" spans="1:48" x14ac:dyDescent="0.3">
      <c r="A338" s="2" t="s">
        <v>1588</v>
      </c>
      <c r="B338" s="2" t="s">
        <v>1571</v>
      </c>
      <c r="C338" s="2" t="s">
        <v>1975</v>
      </c>
      <c r="D338" s="2" t="s">
        <v>1591</v>
      </c>
      <c r="E338" s="2" t="s">
        <v>2259</v>
      </c>
      <c r="F338" s="344" t="s">
        <v>1978</v>
      </c>
      <c r="G338" s="2" t="s">
        <v>1978</v>
      </c>
      <c r="H338" s="344" t="s">
        <v>1978</v>
      </c>
      <c r="I338" s="2" t="s">
        <v>1970</v>
      </c>
      <c r="J338" s="2" t="s">
        <v>1970</v>
      </c>
      <c r="K338" s="2" t="s">
        <v>1970</v>
      </c>
      <c r="L338" s="2" t="s">
        <v>1970</v>
      </c>
      <c r="M338" s="2" t="s">
        <v>1970</v>
      </c>
      <c r="N338" s="344" t="s">
        <v>1978</v>
      </c>
      <c r="O338" s="344" t="s">
        <v>1978</v>
      </c>
      <c r="P338" s="344" t="s">
        <v>1978</v>
      </c>
      <c r="Q338" s="344" t="s">
        <v>1978</v>
      </c>
      <c r="R338" s="344" t="s">
        <v>1978</v>
      </c>
      <c r="S338" s="344" t="s">
        <v>1978</v>
      </c>
      <c r="T338" s="2" t="s">
        <v>1589</v>
      </c>
      <c r="U338" s="2" t="s">
        <v>1970</v>
      </c>
      <c r="V338" s="251" t="s">
        <v>1970</v>
      </c>
      <c r="W338" s="251" t="s">
        <v>1970</v>
      </c>
      <c r="X338" s="344">
        <f>'A123'!J346</f>
        <v>20</v>
      </c>
      <c r="Y338" s="344">
        <f>'A123'!K346</f>
        <v>7</v>
      </c>
      <c r="Z338" s="344">
        <f>'A123'!L346</f>
        <v>10</v>
      </c>
      <c r="AA338" s="2" t="s">
        <v>1970</v>
      </c>
      <c r="AB338" s="2" t="s">
        <v>1970</v>
      </c>
      <c r="AC338" s="2" t="s">
        <v>1970</v>
      </c>
      <c r="AD338" s="344" t="s">
        <v>2259</v>
      </c>
      <c r="AE338" s="2" t="s">
        <v>1970</v>
      </c>
      <c r="AF338" s="2" t="s">
        <v>1970</v>
      </c>
      <c r="AG338" s="344" t="s">
        <v>1970</v>
      </c>
      <c r="AH338" s="2" t="s">
        <v>1970</v>
      </c>
      <c r="AI338" s="2" t="s">
        <v>1970</v>
      </c>
      <c r="AJ338" s="2" t="s">
        <v>1970</v>
      </c>
      <c r="AK338" s="2" t="s">
        <v>1970</v>
      </c>
      <c r="AL338" s="2" t="s">
        <v>1970</v>
      </c>
      <c r="AM338" s="2" t="s">
        <v>1970</v>
      </c>
      <c r="AN338" s="2" t="s">
        <v>1970</v>
      </c>
      <c r="AO338" s="2" t="s">
        <v>1970</v>
      </c>
      <c r="AP338" s="251" t="s">
        <v>1970</v>
      </c>
      <c r="AQ338" s="344" t="s">
        <v>1970</v>
      </c>
      <c r="AR338" s="344" t="s">
        <v>2150</v>
      </c>
      <c r="AS338" s="2" t="s">
        <v>3608</v>
      </c>
      <c r="AV338" s="344" t="s">
        <v>3810</v>
      </c>
    </row>
    <row r="339" spans="1:48" x14ac:dyDescent="0.3">
      <c r="A339" s="2" t="s">
        <v>1592</v>
      </c>
      <c r="B339" s="2" t="s">
        <v>1571</v>
      </c>
      <c r="C339" s="2" t="s">
        <v>1975</v>
      </c>
      <c r="D339" s="2" t="s">
        <v>1595</v>
      </c>
      <c r="E339" s="2" t="s">
        <v>2259</v>
      </c>
      <c r="F339" s="344" t="s">
        <v>1978</v>
      </c>
      <c r="G339" s="2">
        <v>16</v>
      </c>
      <c r="H339" s="2">
        <v>15</v>
      </c>
      <c r="I339" s="2" t="s">
        <v>1970</v>
      </c>
      <c r="J339" s="2" t="s">
        <v>1970</v>
      </c>
      <c r="K339" s="2" t="s">
        <v>1970</v>
      </c>
      <c r="L339" s="2" t="s">
        <v>1970</v>
      </c>
      <c r="M339" s="2" t="s">
        <v>1970</v>
      </c>
      <c r="N339" s="344" t="s">
        <v>1978</v>
      </c>
      <c r="O339" s="344" t="s">
        <v>1978</v>
      </c>
      <c r="P339" s="344" t="s">
        <v>1978</v>
      </c>
      <c r="Q339" s="344" t="s">
        <v>1978</v>
      </c>
      <c r="R339" s="344" t="s">
        <v>1978</v>
      </c>
      <c r="S339" s="344" t="s">
        <v>1978</v>
      </c>
      <c r="T339" s="2" t="s">
        <v>1593</v>
      </c>
      <c r="U339" s="2" t="s">
        <v>1970</v>
      </c>
      <c r="V339" s="251" t="s">
        <v>1970</v>
      </c>
      <c r="W339" s="251" t="s">
        <v>1970</v>
      </c>
      <c r="X339" s="344">
        <f>'A123'!J347</f>
        <v>60</v>
      </c>
      <c r="Y339" s="344">
        <f>'A123'!K347</f>
        <v>120</v>
      </c>
      <c r="Z339" s="344">
        <f>'A123'!L347</f>
        <v>5.7538461538461538</v>
      </c>
      <c r="AA339" s="2" t="s">
        <v>1970</v>
      </c>
      <c r="AB339" s="2" t="s">
        <v>1970</v>
      </c>
      <c r="AC339" s="2" t="s">
        <v>1970</v>
      </c>
      <c r="AD339" s="344" t="s">
        <v>2259</v>
      </c>
      <c r="AE339" s="2" t="s">
        <v>1970</v>
      </c>
      <c r="AF339" s="2" t="s">
        <v>1970</v>
      </c>
      <c r="AG339" s="344" t="s">
        <v>1970</v>
      </c>
      <c r="AH339" s="2" t="s">
        <v>1970</v>
      </c>
      <c r="AI339" s="2" t="s">
        <v>1970</v>
      </c>
      <c r="AJ339" s="2" t="s">
        <v>1970</v>
      </c>
      <c r="AK339" s="2" t="s">
        <v>1970</v>
      </c>
      <c r="AL339" s="2" t="s">
        <v>1970</v>
      </c>
      <c r="AM339" s="2" t="s">
        <v>1970</v>
      </c>
      <c r="AN339" s="2" t="s">
        <v>1970</v>
      </c>
      <c r="AO339" s="2" t="s">
        <v>1970</v>
      </c>
      <c r="AP339" s="251" t="s">
        <v>1970</v>
      </c>
      <c r="AQ339" s="344" t="s">
        <v>1970</v>
      </c>
      <c r="AR339" s="344" t="s">
        <v>2150</v>
      </c>
      <c r="AS339" s="2" t="s">
        <v>3608</v>
      </c>
      <c r="AV339" s="344" t="s">
        <v>3810</v>
      </c>
    </row>
    <row r="340" spans="1:48" x14ac:dyDescent="0.3">
      <c r="A340" s="2" t="s">
        <v>1596</v>
      </c>
      <c r="B340" s="2" t="s">
        <v>1571</v>
      </c>
      <c r="C340" s="2" t="s">
        <v>1975</v>
      </c>
      <c r="D340" s="2" t="s">
        <v>1599</v>
      </c>
      <c r="E340" s="2" t="s">
        <v>2259</v>
      </c>
      <c r="F340" s="344" t="s">
        <v>1978</v>
      </c>
      <c r="G340" s="2">
        <v>20</v>
      </c>
      <c r="H340" s="2">
        <v>19</v>
      </c>
      <c r="I340" s="2" t="s">
        <v>1970</v>
      </c>
      <c r="J340" s="2" t="s">
        <v>1970</v>
      </c>
      <c r="K340" s="344" t="s">
        <v>3483</v>
      </c>
      <c r="L340" s="2" t="s">
        <v>1970</v>
      </c>
      <c r="M340" s="2" t="s">
        <v>1970</v>
      </c>
      <c r="N340" s="344" t="s">
        <v>1978</v>
      </c>
      <c r="O340" s="344" t="s">
        <v>1978</v>
      </c>
      <c r="P340" s="344" t="s">
        <v>1978</v>
      </c>
      <c r="Q340" s="344" t="s">
        <v>1978</v>
      </c>
      <c r="R340" s="344" t="s">
        <v>1978</v>
      </c>
      <c r="S340" s="344" t="s">
        <v>1978</v>
      </c>
      <c r="T340" s="2" t="s">
        <v>1597</v>
      </c>
      <c r="U340" s="2" t="s">
        <v>1970</v>
      </c>
      <c r="V340" s="251" t="s">
        <v>1970</v>
      </c>
      <c r="W340" s="251" t="s">
        <v>1970</v>
      </c>
      <c r="X340" s="344">
        <f>'A123'!J348</f>
        <v>30</v>
      </c>
      <c r="Y340" s="344">
        <f>'A123'!K348</f>
        <v>70</v>
      </c>
      <c r="Z340" s="344">
        <f>'A123'!L348</f>
        <v>3.5714285714285716</v>
      </c>
      <c r="AA340" s="2" t="s">
        <v>1970</v>
      </c>
      <c r="AB340" s="2" t="s">
        <v>1970</v>
      </c>
      <c r="AC340" s="2" t="s">
        <v>1970</v>
      </c>
      <c r="AD340" s="344" t="s">
        <v>2259</v>
      </c>
      <c r="AE340" s="2" t="s">
        <v>1970</v>
      </c>
      <c r="AF340" s="2" t="s">
        <v>1970</v>
      </c>
      <c r="AG340" s="344" t="s">
        <v>3483</v>
      </c>
      <c r="AH340" s="2" t="s">
        <v>1970</v>
      </c>
      <c r="AI340" s="2" t="s">
        <v>1970</v>
      </c>
      <c r="AJ340" s="2" t="s">
        <v>1970</v>
      </c>
      <c r="AK340" s="2" t="s">
        <v>1970</v>
      </c>
      <c r="AL340" s="2" t="s">
        <v>1970</v>
      </c>
      <c r="AM340" s="2" t="s">
        <v>1970</v>
      </c>
      <c r="AN340" s="2" t="s">
        <v>1970</v>
      </c>
      <c r="AO340" s="2" t="s">
        <v>1970</v>
      </c>
      <c r="AP340" s="251" t="s">
        <v>1970</v>
      </c>
      <c r="AQ340" s="344" t="s">
        <v>1970</v>
      </c>
      <c r="AR340" s="344" t="s">
        <v>2150</v>
      </c>
      <c r="AS340" s="2" t="s">
        <v>3608</v>
      </c>
      <c r="AV340" s="344" t="s">
        <v>3810</v>
      </c>
    </row>
    <row r="341" spans="1:48" x14ac:dyDescent="0.3">
      <c r="A341" s="2" t="s">
        <v>1601</v>
      </c>
      <c r="B341" s="2" t="s">
        <v>1571</v>
      </c>
      <c r="C341" s="2" t="s">
        <v>1975</v>
      </c>
      <c r="D341" s="2" t="s">
        <v>1604</v>
      </c>
      <c r="E341" s="2" t="s">
        <v>2259</v>
      </c>
      <c r="F341" s="344" t="s">
        <v>1978</v>
      </c>
      <c r="G341" s="2">
        <v>20</v>
      </c>
      <c r="H341" s="2">
        <v>18</v>
      </c>
      <c r="I341" s="2" t="s">
        <v>1970</v>
      </c>
      <c r="J341" s="2" t="s">
        <v>1970</v>
      </c>
      <c r="K341" s="344" t="s">
        <v>3399</v>
      </c>
      <c r="L341" s="2" t="s">
        <v>1970</v>
      </c>
      <c r="M341" s="2" t="s">
        <v>1970</v>
      </c>
      <c r="N341" s="344" t="s">
        <v>1978</v>
      </c>
      <c r="O341" s="344" t="s">
        <v>1978</v>
      </c>
      <c r="P341" s="344" t="s">
        <v>1978</v>
      </c>
      <c r="Q341" s="344" t="s">
        <v>1978</v>
      </c>
      <c r="R341" s="344" t="s">
        <v>1978</v>
      </c>
      <c r="S341" s="344" t="s">
        <v>1978</v>
      </c>
      <c r="T341" s="2" t="s">
        <v>1602</v>
      </c>
      <c r="U341" s="2" t="s">
        <v>1970</v>
      </c>
      <c r="V341" s="251" t="s">
        <v>1970</v>
      </c>
      <c r="W341" s="251" t="s">
        <v>1970</v>
      </c>
      <c r="X341" s="344">
        <f>'A123'!J349</f>
        <v>45</v>
      </c>
      <c r="Y341" s="344">
        <f>'A123'!K349</f>
        <v>89</v>
      </c>
      <c r="Z341" s="344">
        <f>'A123'!L349</f>
        <v>2.4339622641509435</v>
      </c>
      <c r="AA341" s="2" t="s">
        <v>1970</v>
      </c>
      <c r="AB341" s="2" t="s">
        <v>1970</v>
      </c>
      <c r="AC341" s="2" t="s">
        <v>1970</v>
      </c>
      <c r="AD341" s="344" t="s">
        <v>2259</v>
      </c>
      <c r="AE341" s="2" t="s">
        <v>1970</v>
      </c>
      <c r="AF341" s="2" t="s">
        <v>1970</v>
      </c>
      <c r="AG341" s="344" t="s">
        <v>3399</v>
      </c>
      <c r="AH341" s="2" t="s">
        <v>1970</v>
      </c>
      <c r="AI341" s="2" t="s">
        <v>1970</v>
      </c>
      <c r="AJ341" s="2" t="s">
        <v>1970</v>
      </c>
      <c r="AK341" s="2" t="s">
        <v>1970</v>
      </c>
      <c r="AL341" s="2" t="s">
        <v>1970</v>
      </c>
      <c r="AM341" s="2" t="s">
        <v>1970</v>
      </c>
      <c r="AN341" s="2" t="s">
        <v>1970</v>
      </c>
      <c r="AO341" s="2" t="s">
        <v>1970</v>
      </c>
      <c r="AP341" s="251" t="s">
        <v>1970</v>
      </c>
      <c r="AQ341" s="344" t="s">
        <v>1970</v>
      </c>
      <c r="AR341" s="344" t="s">
        <v>2150</v>
      </c>
      <c r="AS341" s="2" t="s">
        <v>3608</v>
      </c>
      <c r="AV341" s="344" t="s">
        <v>3810</v>
      </c>
    </row>
    <row r="342" spans="1:48" x14ac:dyDescent="0.3">
      <c r="A342" s="2" t="s">
        <v>1605</v>
      </c>
      <c r="B342" s="2" t="s">
        <v>1571</v>
      </c>
      <c r="C342" s="2" t="s">
        <v>1975</v>
      </c>
      <c r="D342" s="2" t="s">
        <v>1608</v>
      </c>
      <c r="E342" s="2" t="s">
        <v>2259</v>
      </c>
      <c r="F342" s="344" t="s">
        <v>1978</v>
      </c>
      <c r="G342" s="2">
        <v>20</v>
      </c>
      <c r="H342" s="2">
        <v>19</v>
      </c>
      <c r="I342" s="2" t="s">
        <v>1970</v>
      </c>
      <c r="J342" s="2" t="s">
        <v>1970</v>
      </c>
      <c r="K342" s="344" t="s">
        <v>3399</v>
      </c>
      <c r="L342" s="2" t="s">
        <v>1970</v>
      </c>
      <c r="M342" s="2" t="s">
        <v>1970</v>
      </c>
      <c r="N342" s="344" t="s">
        <v>1978</v>
      </c>
      <c r="O342" s="344" t="s">
        <v>1978</v>
      </c>
      <c r="P342" s="344" t="s">
        <v>1978</v>
      </c>
      <c r="Q342" s="344" t="s">
        <v>1978</v>
      </c>
      <c r="R342" s="344" t="s">
        <v>1978</v>
      </c>
      <c r="S342" s="344" t="s">
        <v>1978</v>
      </c>
      <c r="T342" s="2" t="s">
        <v>1606</v>
      </c>
      <c r="U342" s="2" t="s">
        <v>1970</v>
      </c>
      <c r="V342" s="251" t="s">
        <v>1970</v>
      </c>
      <c r="W342" s="251" t="s">
        <v>1970</v>
      </c>
      <c r="X342" s="344">
        <f>'A123'!J350</f>
        <v>70</v>
      </c>
      <c r="Y342" s="344">
        <f>'A123'!K350</f>
        <v>148</v>
      </c>
      <c r="Z342" s="344">
        <f>'A123'!L350</f>
        <v>6.1066666666666665</v>
      </c>
      <c r="AA342" s="2" t="s">
        <v>1970</v>
      </c>
      <c r="AB342" s="2" t="s">
        <v>1970</v>
      </c>
      <c r="AC342" s="2" t="s">
        <v>1970</v>
      </c>
      <c r="AD342" s="344" t="s">
        <v>2259</v>
      </c>
      <c r="AE342" s="2" t="s">
        <v>1970</v>
      </c>
      <c r="AF342" s="2" t="s">
        <v>1970</v>
      </c>
      <c r="AG342" s="344" t="s">
        <v>3399</v>
      </c>
      <c r="AH342" s="2" t="s">
        <v>1970</v>
      </c>
      <c r="AI342" s="2" t="s">
        <v>1970</v>
      </c>
      <c r="AJ342" s="2" t="s">
        <v>1970</v>
      </c>
      <c r="AK342" s="2" t="s">
        <v>1970</v>
      </c>
      <c r="AL342" s="2" t="s">
        <v>1970</v>
      </c>
      <c r="AM342" s="2" t="s">
        <v>1970</v>
      </c>
      <c r="AN342" s="2" t="s">
        <v>1970</v>
      </c>
      <c r="AO342" s="2" t="s">
        <v>1970</v>
      </c>
      <c r="AP342" s="251" t="s">
        <v>1970</v>
      </c>
      <c r="AQ342" s="344" t="s">
        <v>1970</v>
      </c>
      <c r="AR342" s="344" t="s">
        <v>2150</v>
      </c>
      <c r="AS342" s="2" t="s">
        <v>3608</v>
      </c>
      <c r="AV342" s="344" t="s">
        <v>3810</v>
      </c>
    </row>
    <row r="343" spans="1:48" x14ac:dyDescent="0.3">
      <c r="A343" s="2" t="s">
        <v>1609</v>
      </c>
      <c r="B343" s="2" t="s">
        <v>1571</v>
      </c>
      <c r="C343" s="2" t="s">
        <v>1975</v>
      </c>
      <c r="D343" s="2" t="s">
        <v>1612</v>
      </c>
      <c r="E343" s="2" t="s">
        <v>2259</v>
      </c>
      <c r="F343" s="344" t="s">
        <v>1978</v>
      </c>
      <c r="G343" s="2">
        <v>14</v>
      </c>
      <c r="H343" s="2">
        <v>14</v>
      </c>
      <c r="I343" s="2" t="s">
        <v>1970</v>
      </c>
      <c r="J343" s="2" t="s">
        <v>1970</v>
      </c>
      <c r="K343" s="2" t="s">
        <v>1970</v>
      </c>
      <c r="L343" s="2" t="s">
        <v>1970</v>
      </c>
      <c r="M343" s="2" t="s">
        <v>1970</v>
      </c>
      <c r="N343" s="344" t="s">
        <v>1978</v>
      </c>
      <c r="O343" s="344" t="s">
        <v>1978</v>
      </c>
      <c r="P343" s="344" t="s">
        <v>1978</v>
      </c>
      <c r="Q343" s="344" t="s">
        <v>1978</v>
      </c>
      <c r="R343" s="344" t="s">
        <v>1978</v>
      </c>
      <c r="S343" s="344" t="s">
        <v>1978</v>
      </c>
      <c r="T343" s="2" t="s">
        <v>1610</v>
      </c>
      <c r="U343" s="2" t="s">
        <v>1970</v>
      </c>
      <c r="V343" s="251" t="s">
        <v>1970</v>
      </c>
      <c r="W343" s="251" t="s">
        <v>1970</v>
      </c>
      <c r="X343" s="344">
        <f>'A123'!J351</f>
        <v>20</v>
      </c>
      <c r="Y343" s="344">
        <f>'A123'!K351</f>
        <v>32</v>
      </c>
      <c r="Z343" s="344">
        <f>'A123'!L351</f>
        <v>4.2173913043478262</v>
      </c>
      <c r="AA343" s="2" t="s">
        <v>1970</v>
      </c>
      <c r="AB343" s="2" t="s">
        <v>1970</v>
      </c>
      <c r="AC343" s="2" t="s">
        <v>1970</v>
      </c>
      <c r="AD343" s="344" t="s">
        <v>2259</v>
      </c>
      <c r="AE343" s="2" t="s">
        <v>1970</v>
      </c>
      <c r="AF343" s="2" t="s">
        <v>1970</v>
      </c>
      <c r="AG343" s="344" t="s">
        <v>1970</v>
      </c>
      <c r="AH343" s="2" t="s">
        <v>1970</v>
      </c>
      <c r="AI343" s="2" t="s">
        <v>1970</v>
      </c>
      <c r="AJ343" s="2" t="s">
        <v>1970</v>
      </c>
      <c r="AK343" s="2" t="s">
        <v>1970</v>
      </c>
      <c r="AL343" s="2" t="s">
        <v>1970</v>
      </c>
      <c r="AM343" s="2" t="s">
        <v>1970</v>
      </c>
      <c r="AN343" s="2" t="s">
        <v>1970</v>
      </c>
      <c r="AO343" s="2" t="s">
        <v>1970</v>
      </c>
      <c r="AP343" s="251" t="s">
        <v>1970</v>
      </c>
      <c r="AQ343" s="344" t="s">
        <v>1970</v>
      </c>
      <c r="AR343" s="344" t="s">
        <v>2150</v>
      </c>
      <c r="AS343" s="2" t="s">
        <v>3608</v>
      </c>
      <c r="AV343" s="344" t="s">
        <v>3810</v>
      </c>
    </row>
    <row r="344" spans="1:48" x14ac:dyDescent="0.3">
      <c r="A344" s="2" t="s">
        <v>1613</v>
      </c>
      <c r="B344" s="2" t="s">
        <v>1571</v>
      </c>
      <c r="C344" s="2" t="s">
        <v>3478</v>
      </c>
      <c r="D344" s="2" t="s">
        <v>1616</v>
      </c>
      <c r="E344" s="2" t="s">
        <v>2259</v>
      </c>
      <c r="F344" s="344" t="s">
        <v>1978</v>
      </c>
      <c r="G344" s="2">
        <v>17</v>
      </c>
      <c r="H344" s="2">
        <v>16</v>
      </c>
      <c r="I344" s="2" t="s">
        <v>1970</v>
      </c>
      <c r="J344" s="2" t="s">
        <v>1970</v>
      </c>
      <c r="K344" s="2" t="s">
        <v>1970</v>
      </c>
      <c r="L344" s="2" t="s">
        <v>1970</v>
      </c>
      <c r="M344" s="2" t="s">
        <v>1970</v>
      </c>
      <c r="N344" s="344" t="s">
        <v>1978</v>
      </c>
      <c r="O344" s="344" t="s">
        <v>1978</v>
      </c>
      <c r="P344" s="344" t="s">
        <v>1978</v>
      </c>
      <c r="Q344" s="344" t="s">
        <v>1978</v>
      </c>
      <c r="R344" s="344" t="s">
        <v>1978</v>
      </c>
      <c r="S344" s="344" t="s">
        <v>1978</v>
      </c>
      <c r="T344" s="2" t="s">
        <v>1614</v>
      </c>
      <c r="U344" s="2" t="s">
        <v>1970</v>
      </c>
      <c r="V344" s="251" t="s">
        <v>1970</v>
      </c>
      <c r="W344" s="251" t="s">
        <v>1970</v>
      </c>
      <c r="X344" s="344">
        <f>'A123'!J352</f>
        <v>40</v>
      </c>
      <c r="Y344" s="344">
        <f>'A123'!K352</f>
        <v>69</v>
      </c>
      <c r="Z344" s="344">
        <f>'A123'!L352</f>
        <v>4.6097560975609753</v>
      </c>
      <c r="AA344" s="2" t="s">
        <v>1970</v>
      </c>
      <c r="AB344" s="2" t="s">
        <v>1970</v>
      </c>
      <c r="AC344" s="2" t="s">
        <v>1970</v>
      </c>
      <c r="AD344" s="344" t="s">
        <v>2259</v>
      </c>
      <c r="AE344" s="2" t="s">
        <v>1970</v>
      </c>
      <c r="AF344" s="2" t="s">
        <v>1970</v>
      </c>
      <c r="AG344" s="344" t="s">
        <v>1970</v>
      </c>
      <c r="AH344" s="2" t="s">
        <v>1970</v>
      </c>
      <c r="AI344" s="2" t="s">
        <v>1970</v>
      </c>
      <c r="AJ344" s="2" t="s">
        <v>1970</v>
      </c>
      <c r="AK344" s="2" t="s">
        <v>1970</v>
      </c>
      <c r="AL344" s="2" t="s">
        <v>1970</v>
      </c>
      <c r="AM344" s="2" t="s">
        <v>1970</v>
      </c>
      <c r="AN344" s="2" t="s">
        <v>1970</v>
      </c>
      <c r="AO344" s="2" t="s">
        <v>1970</v>
      </c>
      <c r="AP344" s="251" t="s">
        <v>1970</v>
      </c>
      <c r="AQ344" s="344" t="s">
        <v>1970</v>
      </c>
      <c r="AR344" s="344" t="s">
        <v>2150</v>
      </c>
      <c r="AS344" s="2" t="s">
        <v>3608</v>
      </c>
      <c r="AV344" s="344" t="s">
        <v>3810</v>
      </c>
    </row>
    <row r="345" spans="1:48" x14ac:dyDescent="0.3">
      <c r="A345" s="2" t="s">
        <v>1617</v>
      </c>
      <c r="B345" s="2" t="s">
        <v>1571</v>
      </c>
      <c r="C345" s="2" t="s">
        <v>3478</v>
      </c>
      <c r="D345" s="2" t="s">
        <v>1620</v>
      </c>
      <c r="E345" s="2" t="s">
        <v>2259</v>
      </c>
      <c r="F345" s="344" t="s">
        <v>1978</v>
      </c>
      <c r="G345" s="2">
        <v>17</v>
      </c>
      <c r="H345" s="2">
        <v>17</v>
      </c>
      <c r="I345" s="2" t="s">
        <v>1970</v>
      </c>
      <c r="J345" s="2" t="s">
        <v>1970</v>
      </c>
      <c r="K345" s="2" t="s">
        <v>1970</v>
      </c>
      <c r="L345" s="2" t="s">
        <v>1970</v>
      </c>
      <c r="M345" s="2" t="s">
        <v>1970</v>
      </c>
      <c r="N345" s="344" t="s">
        <v>1978</v>
      </c>
      <c r="O345" s="344" t="s">
        <v>1978</v>
      </c>
      <c r="P345" s="344" t="s">
        <v>1978</v>
      </c>
      <c r="Q345" s="344" t="s">
        <v>1978</v>
      </c>
      <c r="R345" s="344" t="s">
        <v>1978</v>
      </c>
      <c r="S345" s="344" t="s">
        <v>1978</v>
      </c>
      <c r="T345" s="2" t="s">
        <v>1618</v>
      </c>
      <c r="U345" s="2" t="s">
        <v>1970</v>
      </c>
      <c r="V345" s="251" t="s">
        <v>1970</v>
      </c>
      <c r="W345" s="251" t="s">
        <v>1970</v>
      </c>
      <c r="X345" s="344">
        <f>'A123'!J353</f>
        <v>20</v>
      </c>
      <c r="Y345" s="344">
        <f>'A123'!K353</f>
        <v>14</v>
      </c>
      <c r="Z345" s="344">
        <f>'A123'!L353</f>
        <v>10.428571428571429</v>
      </c>
      <c r="AA345" s="2" t="s">
        <v>1970</v>
      </c>
      <c r="AB345" s="2" t="s">
        <v>1970</v>
      </c>
      <c r="AC345" s="2" t="s">
        <v>1970</v>
      </c>
      <c r="AD345" s="344" t="s">
        <v>2259</v>
      </c>
      <c r="AE345" s="2" t="s">
        <v>1970</v>
      </c>
      <c r="AF345" s="2" t="s">
        <v>1970</v>
      </c>
      <c r="AG345" s="344" t="s">
        <v>1970</v>
      </c>
      <c r="AH345" s="2" t="s">
        <v>1970</v>
      </c>
      <c r="AI345" s="2" t="s">
        <v>1970</v>
      </c>
      <c r="AJ345" s="2" t="s">
        <v>1970</v>
      </c>
      <c r="AK345" s="2" t="s">
        <v>1970</v>
      </c>
      <c r="AL345" s="2" t="s">
        <v>1970</v>
      </c>
      <c r="AM345" s="2" t="s">
        <v>1970</v>
      </c>
      <c r="AN345" s="2" t="s">
        <v>1970</v>
      </c>
      <c r="AO345" s="2" t="s">
        <v>1970</v>
      </c>
      <c r="AP345" s="251" t="s">
        <v>1970</v>
      </c>
      <c r="AQ345" s="344" t="s">
        <v>1970</v>
      </c>
      <c r="AR345" s="344" t="s">
        <v>2150</v>
      </c>
      <c r="AS345" s="2" t="s">
        <v>3608</v>
      </c>
      <c r="AV345" s="344" t="s">
        <v>3810</v>
      </c>
    </row>
    <row r="346" spans="1:48" x14ac:dyDescent="0.3">
      <c r="A346" s="2" t="s">
        <v>1621</v>
      </c>
      <c r="B346" s="2" t="s">
        <v>1571</v>
      </c>
      <c r="C346" s="2" t="s">
        <v>3478</v>
      </c>
      <c r="D346" s="2" t="s">
        <v>1624</v>
      </c>
      <c r="E346" s="2" t="s">
        <v>2259</v>
      </c>
      <c r="F346" s="344" t="s">
        <v>1978</v>
      </c>
      <c r="G346" s="2">
        <v>16</v>
      </c>
      <c r="H346" s="2">
        <v>15</v>
      </c>
      <c r="I346" s="2" t="s">
        <v>1970</v>
      </c>
      <c r="J346" s="2" t="s">
        <v>1970</v>
      </c>
      <c r="K346" s="2" t="s">
        <v>1970</v>
      </c>
      <c r="L346" s="2" t="s">
        <v>1970</v>
      </c>
      <c r="M346" s="2" t="s">
        <v>1970</v>
      </c>
      <c r="N346" s="344" t="s">
        <v>1978</v>
      </c>
      <c r="O346" s="344" t="s">
        <v>1978</v>
      </c>
      <c r="P346" s="344" t="s">
        <v>1978</v>
      </c>
      <c r="Q346" s="344" t="s">
        <v>1978</v>
      </c>
      <c r="R346" s="344" t="s">
        <v>1978</v>
      </c>
      <c r="S346" s="344" t="s">
        <v>1978</v>
      </c>
      <c r="T346" s="2" t="s">
        <v>1622</v>
      </c>
      <c r="U346" s="2" t="s">
        <v>1970</v>
      </c>
      <c r="V346" s="251" t="s">
        <v>1970</v>
      </c>
      <c r="W346" s="251" t="s">
        <v>1970</v>
      </c>
      <c r="X346" s="344">
        <f>'A123'!J354</f>
        <v>40</v>
      </c>
      <c r="Y346" s="344">
        <f>'A123'!K354</f>
        <v>88</v>
      </c>
      <c r="Z346" s="344">
        <f>'A123'!L354</f>
        <v>8.5714285714285712</v>
      </c>
      <c r="AA346" s="2" t="s">
        <v>1970</v>
      </c>
      <c r="AB346" s="2" t="s">
        <v>1970</v>
      </c>
      <c r="AC346" s="2" t="s">
        <v>1970</v>
      </c>
      <c r="AD346" s="344" t="s">
        <v>2259</v>
      </c>
      <c r="AE346" s="2" t="s">
        <v>1970</v>
      </c>
      <c r="AF346" s="2" t="s">
        <v>1970</v>
      </c>
      <c r="AG346" s="344" t="s">
        <v>1970</v>
      </c>
      <c r="AH346" s="2" t="s">
        <v>1970</v>
      </c>
      <c r="AI346" s="2" t="s">
        <v>1970</v>
      </c>
      <c r="AJ346" s="2" t="s">
        <v>1970</v>
      </c>
      <c r="AK346" s="2" t="s">
        <v>1970</v>
      </c>
      <c r="AL346" s="2" t="s">
        <v>1970</v>
      </c>
      <c r="AM346" s="2" t="s">
        <v>1970</v>
      </c>
      <c r="AN346" s="2" t="s">
        <v>1970</v>
      </c>
      <c r="AO346" s="2" t="s">
        <v>1970</v>
      </c>
      <c r="AP346" s="251" t="s">
        <v>1970</v>
      </c>
      <c r="AQ346" s="344" t="s">
        <v>1970</v>
      </c>
      <c r="AR346" s="344" t="s">
        <v>2150</v>
      </c>
      <c r="AS346" s="2" t="s">
        <v>3608</v>
      </c>
      <c r="AV346" s="344" t="s">
        <v>3810</v>
      </c>
    </row>
    <row r="347" spans="1:48" x14ac:dyDescent="0.3">
      <c r="A347" s="2" t="s">
        <v>1625</v>
      </c>
      <c r="B347" s="2" t="s">
        <v>1571</v>
      </c>
      <c r="C347" s="2" t="s">
        <v>3478</v>
      </c>
      <c r="D347" s="2" t="s">
        <v>1628</v>
      </c>
      <c r="E347" s="2" t="s">
        <v>2259</v>
      </c>
      <c r="F347" s="344" t="s">
        <v>1978</v>
      </c>
      <c r="G347" s="2">
        <v>17</v>
      </c>
      <c r="H347" s="2">
        <v>16</v>
      </c>
      <c r="I347" s="2" t="s">
        <v>1970</v>
      </c>
      <c r="J347" s="2" t="s">
        <v>1970</v>
      </c>
      <c r="K347" s="2" t="s">
        <v>1970</v>
      </c>
      <c r="L347" s="2" t="s">
        <v>1970</v>
      </c>
      <c r="M347" s="2" t="s">
        <v>1970</v>
      </c>
      <c r="N347" s="344" t="s">
        <v>1978</v>
      </c>
      <c r="O347" s="344" t="s">
        <v>1978</v>
      </c>
      <c r="P347" s="344" t="s">
        <v>1978</v>
      </c>
      <c r="Q347" s="344" t="s">
        <v>1978</v>
      </c>
      <c r="R347" s="344" t="s">
        <v>1978</v>
      </c>
      <c r="S347" s="344" t="s">
        <v>1978</v>
      </c>
      <c r="T347" s="2" t="s">
        <v>1626</v>
      </c>
      <c r="U347" s="2" t="s">
        <v>1970</v>
      </c>
      <c r="V347" s="251" t="s">
        <v>1970</v>
      </c>
      <c r="W347" s="251" t="s">
        <v>1970</v>
      </c>
      <c r="X347" s="344">
        <f>'A123'!J355</f>
        <v>40</v>
      </c>
      <c r="Y347" s="344">
        <f>'A123'!K355</f>
        <v>88</v>
      </c>
      <c r="Z347" s="344">
        <f>'A123'!L355</f>
        <v>4.8</v>
      </c>
      <c r="AA347" s="2" t="s">
        <v>1970</v>
      </c>
      <c r="AB347" s="2" t="s">
        <v>1970</v>
      </c>
      <c r="AC347" s="2" t="s">
        <v>1970</v>
      </c>
      <c r="AD347" s="344" t="s">
        <v>2259</v>
      </c>
      <c r="AE347" s="2" t="s">
        <v>1970</v>
      </c>
      <c r="AF347" s="2" t="s">
        <v>1970</v>
      </c>
      <c r="AG347" s="344" t="s">
        <v>1970</v>
      </c>
      <c r="AH347" s="2" t="s">
        <v>1970</v>
      </c>
      <c r="AI347" s="2" t="s">
        <v>1970</v>
      </c>
      <c r="AJ347" s="2" t="s">
        <v>1970</v>
      </c>
      <c r="AK347" s="2" t="s">
        <v>1970</v>
      </c>
      <c r="AL347" s="2" t="s">
        <v>1970</v>
      </c>
      <c r="AM347" s="2" t="s">
        <v>1970</v>
      </c>
      <c r="AN347" s="2" t="s">
        <v>1970</v>
      </c>
      <c r="AO347" s="2" t="s">
        <v>1970</v>
      </c>
      <c r="AP347" s="251" t="s">
        <v>1970</v>
      </c>
      <c r="AQ347" s="344" t="s">
        <v>1970</v>
      </c>
      <c r="AR347" s="344" t="s">
        <v>2150</v>
      </c>
      <c r="AS347" s="2" t="s">
        <v>3608</v>
      </c>
      <c r="AV347" s="344" t="s">
        <v>3810</v>
      </c>
    </row>
    <row r="348" spans="1:48" x14ac:dyDescent="0.3">
      <c r="A348" s="2" t="s">
        <v>1629</v>
      </c>
      <c r="B348" s="2" t="s">
        <v>1571</v>
      </c>
      <c r="C348" s="2" t="s">
        <v>3478</v>
      </c>
      <c r="D348" s="2" t="s">
        <v>1632</v>
      </c>
      <c r="E348" s="2" t="s">
        <v>2259</v>
      </c>
      <c r="F348" s="344" t="s">
        <v>1978</v>
      </c>
      <c r="G348" s="2">
        <v>17</v>
      </c>
      <c r="H348" s="2">
        <v>17</v>
      </c>
      <c r="I348" s="2" t="s">
        <v>1970</v>
      </c>
      <c r="J348" s="2" t="s">
        <v>1970</v>
      </c>
      <c r="K348" s="2" t="s">
        <v>1970</v>
      </c>
      <c r="L348" s="2" t="s">
        <v>1970</v>
      </c>
      <c r="M348" s="2" t="s">
        <v>1970</v>
      </c>
      <c r="N348" s="344" t="s">
        <v>1978</v>
      </c>
      <c r="O348" s="344" t="s">
        <v>1978</v>
      </c>
      <c r="P348" s="344" t="s">
        <v>1978</v>
      </c>
      <c r="Q348" s="344" t="s">
        <v>1978</v>
      </c>
      <c r="R348" s="344" t="s">
        <v>1978</v>
      </c>
      <c r="S348" s="344" t="s">
        <v>1978</v>
      </c>
      <c r="T348" s="2" t="s">
        <v>1630</v>
      </c>
      <c r="U348" s="2" t="s">
        <v>1970</v>
      </c>
      <c r="V348" s="251" t="s">
        <v>1970</v>
      </c>
      <c r="W348" s="251" t="s">
        <v>1970</v>
      </c>
      <c r="X348" s="344">
        <f>'A123'!J356</f>
        <v>10</v>
      </c>
      <c r="Y348" s="344">
        <f>'A123'!K356</f>
        <v>9</v>
      </c>
      <c r="Z348" s="344">
        <f>'A123'!L356</f>
        <v>12.6</v>
      </c>
      <c r="AA348" s="2" t="s">
        <v>1970</v>
      </c>
      <c r="AB348" s="2" t="s">
        <v>1970</v>
      </c>
      <c r="AC348" s="2" t="s">
        <v>1970</v>
      </c>
      <c r="AD348" s="344" t="s">
        <v>2259</v>
      </c>
      <c r="AE348" s="2" t="s">
        <v>1970</v>
      </c>
      <c r="AF348" s="2" t="s">
        <v>1970</v>
      </c>
      <c r="AG348" s="344" t="s">
        <v>1970</v>
      </c>
      <c r="AH348" s="2" t="s">
        <v>1970</v>
      </c>
      <c r="AI348" s="2" t="s">
        <v>1970</v>
      </c>
      <c r="AJ348" s="2" t="s">
        <v>1970</v>
      </c>
      <c r="AK348" s="2" t="s">
        <v>1970</v>
      </c>
      <c r="AL348" s="2" t="s">
        <v>1970</v>
      </c>
      <c r="AM348" s="2" t="s">
        <v>1970</v>
      </c>
      <c r="AN348" s="2" t="s">
        <v>1970</v>
      </c>
      <c r="AO348" s="2" t="s">
        <v>1970</v>
      </c>
      <c r="AP348" s="251" t="s">
        <v>1970</v>
      </c>
      <c r="AQ348" s="344" t="s">
        <v>1970</v>
      </c>
      <c r="AR348" s="344" t="s">
        <v>2150</v>
      </c>
      <c r="AS348" s="2" t="s">
        <v>3608</v>
      </c>
      <c r="AV348" s="344" t="s">
        <v>3810</v>
      </c>
    </row>
    <row r="349" spans="1:48" x14ac:dyDescent="0.3">
      <c r="A349" s="2" t="s">
        <v>1633</v>
      </c>
      <c r="B349" s="2" t="s">
        <v>1571</v>
      </c>
      <c r="C349" s="2" t="s">
        <v>3478</v>
      </c>
      <c r="D349" s="2" t="s">
        <v>1636</v>
      </c>
      <c r="E349" s="2" t="s">
        <v>2259</v>
      </c>
      <c r="F349" s="344" t="s">
        <v>1978</v>
      </c>
      <c r="G349" s="344" t="s">
        <v>1978</v>
      </c>
      <c r="H349" s="344" t="s">
        <v>1978</v>
      </c>
      <c r="I349" s="2" t="s">
        <v>1970</v>
      </c>
      <c r="J349" s="2" t="s">
        <v>1970</v>
      </c>
      <c r="K349" s="2" t="s">
        <v>1970</v>
      </c>
      <c r="L349" s="2" t="s">
        <v>1970</v>
      </c>
      <c r="M349" s="2" t="s">
        <v>1970</v>
      </c>
      <c r="N349" s="344" t="s">
        <v>1978</v>
      </c>
      <c r="O349" s="344" t="s">
        <v>1978</v>
      </c>
      <c r="P349" s="344" t="s">
        <v>1978</v>
      </c>
      <c r="Q349" s="344" t="s">
        <v>1978</v>
      </c>
      <c r="R349" s="344" t="s">
        <v>1978</v>
      </c>
      <c r="S349" s="344" t="s">
        <v>1978</v>
      </c>
      <c r="T349" s="2" t="s">
        <v>1634</v>
      </c>
      <c r="U349" s="2" t="s">
        <v>1970</v>
      </c>
      <c r="V349" s="251" t="s">
        <v>1970</v>
      </c>
      <c r="W349" s="251" t="s">
        <v>1970</v>
      </c>
      <c r="X349" s="344">
        <f>'A123'!J357</f>
        <v>10</v>
      </c>
      <c r="Y349" s="344">
        <f>'A123'!K357</f>
        <v>14</v>
      </c>
      <c r="Z349" s="344">
        <f>'A123'!L357</f>
        <v>14.454545454545455</v>
      </c>
      <c r="AA349" s="2" t="s">
        <v>1970</v>
      </c>
      <c r="AB349" s="2" t="s">
        <v>1970</v>
      </c>
      <c r="AC349" s="2" t="s">
        <v>1970</v>
      </c>
      <c r="AD349" s="344" t="s">
        <v>2259</v>
      </c>
      <c r="AE349" s="2" t="s">
        <v>1970</v>
      </c>
      <c r="AF349" s="2" t="s">
        <v>1970</v>
      </c>
      <c r="AG349" s="344" t="s">
        <v>1970</v>
      </c>
      <c r="AH349" s="2" t="s">
        <v>1970</v>
      </c>
      <c r="AI349" s="2" t="s">
        <v>1970</v>
      </c>
      <c r="AJ349" s="2" t="s">
        <v>1970</v>
      </c>
      <c r="AK349" s="2" t="s">
        <v>1970</v>
      </c>
      <c r="AL349" s="2" t="s">
        <v>1970</v>
      </c>
      <c r="AM349" s="2" t="s">
        <v>1970</v>
      </c>
      <c r="AN349" s="2" t="s">
        <v>1970</v>
      </c>
      <c r="AO349" s="2" t="s">
        <v>1970</v>
      </c>
      <c r="AP349" s="251" t="s">
        <v>1970</v>
      </c>
      <c r="AQ349" s="344" t="s">
        <v>1970</v>
      </c>
      <c r="AR349" s="344" t="s">
        <v>2150</v>
      </c>
      <c r="AS349" s="2" t="s">
        <v>3608</v>
      </c>
      <c r="AV349" s="344" t="s">
        <v>3810</v>
      </c>
    </row>
    <row r="350" spans="1:48" x14ac:dyDescent="0.3">
      <c r="A350" s="2" t="s">
        <v>1637</v>
      </c>
      <c r="B350" s="2" t="s">
        <v>1571</v>
      </c>
      <c r="C350" s="2" t="s">
        <v>3478</v>
      </c>
      <c r="D350" s="2" t="s">
        <v>1640</v>
      </c>
      <c r="E350" s="2" t="s">
        <v>2259</v>
      </c>
      <c r="F350" s="344" t="s">
        <v>1978</v>
      </c>
      <c r="G350" s="2">
        <v>16</v>
      </c>
      <c r="H350" s="2">
        <v>16</v>
      </c>
      <c r="I350" s="2" t="s">
        <v>1970</v>
      </c>
      <c r="J350" s="2" t="s">
        <v>1970</v>
      </c>
      <c r="K350" s="2" t="s">
        <v>1970</v>
      </c>
      <c r="L350" s="2" t="s">
        <v>1970</v>
      </c>
      <c r="M350" s="2" t="s">
        <v>1970</v>
      </c>
      <c r="N350" s="344" t="s">
        <v>1978</v>
      </c>
      <c r="O350" s="344" t="s">
        <v>1978</v>
      </c>
      <c r="P350" s="344" t="s">
        <v>1978</v>
      </c>
      <c r="Q350" s="344" t="s">
        <v>1978</v>
      </c>
      <c r="R350" s="344" t="s">
        <v>1978</v>
      </c>
      <c r="S350" s="344" t="s">
        <v>1978</v>
      </c>
      <c r="T350" s="2" t="s">
        <v>1638</v>
      </c>
      <c r="U350" s="2" t="s">
        <v>1970</v>
      </c>
      <c r="V350" s="251" t="s">
        <v>1970</v>
      </c>
      <c r="W350" s="251" t="s">
        <v>1970</v>
      </c>
      <c r="X350" s="344">
        <f>'A123'!J358</f>
        <v>10</v>
      </c>
      <c r="Y350" s="344">
        <f>'A123'!K358</f>
        <v>13</v>
      </c>
      <c r="Z350" s="344">
        <f>'A123'!L358</f>
        <v>7.166666666666667</v>
      </c>
      <c r="AA350" s="2" t="s">
        <v>1970</v>
      </c>
      <c r="AB350" s="2" t="s">
        <v>1970</v>
      </c>
      <c r="AC350" s="2" t="s">
        <v>1970</v>
      </c>
      <c r="AD350" s="344" t="s">
        <v>2259</v>
      </c>
      <c r="AE350" s="2" t="s">
        <v>1970</v>
      </c>
      <c r="AF350" s="2" t="s">
        <v>1970</v>
      </c>
      <c r="AG350" s="344" t="s">
        <v>1970</v>
      </c>
      <c r="AH350" s="2" t="s">
        <v>1970</v>
      </c>
      <c r="AI350" s="2" t="s">
        <v>1970</v>
      </c>
      <c r="AJ350" s="2" t="s">
        <v>1970</v>
      </c>
      <c r="AK350" s="2" t="s">
        <v>1970</v>
      </c>
      <c r="AL350" s="2" t="s">
        <v>1970</v>
      </c>
      <c r="AM350" s="2" t="s">
        <v>1970</v>
      </c>
      <c r="AN350" s="2" t="s">
        <v>1970</v>
      </c>
      <c r="AO350" s="2" t="s">
        <v>1970</v>
      </c>
      <c r="AP350" s="251" t="s">
        <v>1970</v>
      </c>
      <c r="AQ350" s="344" t="s">
        <v>1970</v>
      </c>
      <c r="AR350" s="344" t="s">
        <v>2150</v>
      </c>
      <c r="AS350" s="2" t="s">
        <v>3608</v>
      </c>
      <c r="AV350" s="344" t="s">
        <v>3810</v>
      </c>
    </row>
    <row r="351" spans="1:48" x14ac:dyDescent="0.3">
      <c r="A351" s="2" t="s">
        <v>1641</v>
      </c>
      <c r="B351" s="2" t="s">
        <v>1571</v>
      </c>
      <c r="C351" s="2" t="s">
        <v>3478</v>
      </c>
      <c r="D351" s="2" t="s">
        <v>1644</v>
      </c>
      <c r="E351" s="2" t="s">
        <v>2259</v>
      </c>
      <c r="F351" s="344" t="s">
        <v>1978</v>
      </c>
      <c r="G351" s="2">
        <v>16</v>
      </c>
      <c r="H351" s="2">
        <v>16</v>
      </c>
      <c r="I351" s="2" t="s">
        <v>1970</v>
      </c>
      <c r="J351" s="2" t="s">
        <v>1970</v>
      </c>
      <c r="K351" s="2" t="s">
        <v>1970</v>
      </c>
      <c r="L351" s="2" t="s">
        <v>1970</v>
      </c>
      <c r="M351" s="2" t="s">
        <v>1970</v>
      </c>
      <c r="N351" s="344" t="s">
        <v>1978</v>
      </c>
      <c r="O351" s="344" t="s">
        <v>1978</v>
      </c>
      <c r="P351" s="344" t="s">
        <v>1978</v>
      </c>
      <c r="Q351" s="344" t="s">
        <v>1978</v>
      </c>
      <c r="R351" s="344" t="s">
        <v>1978</v>
      </c>
      <c r="S351" s="344" t="s">
        <v>1978</v>
      </c>
      <c r="T351" s="2" t="s">
        <v>1642</v>
      </c>
      <c r="U351" s="2" t="s">
        <v>1970</v>
      </c>
      <c r="V351" s="251" t="s">
        <v>1970</v>
      </c>
      <c r="W351" s="251" t="s">
        <v>1970</v>
      </c>
      <c r="X351" s="344">
        <f>'A123'!J359</f>
        <v>10</v>
      </c>
      <c r="Y351" s="344">
        <f>'A123'!K359</f>
        <v>5</v>
      </c>
      <c r="Z351" s="344">
        <f>'A123'!L359</f>
        <v>12.666666666666666</v>
      </c>
      <c r="AA351" s="2" t="s">
        <v>1970</v>
      </c>
      <c r="AB351" s="2" t="s">
        <v>1970</v>
      </c>
      <c r="AC351" s="2" t="s">
        <v>1970</v>
      </c>
      <c r="AD351" s="344" t="s">
        <v>2259</v>
      </c>
      <c r="AE351" s="2" t="s">
        <v>1970</v>
      </c>
      <c r="AF351" s="2" t="s">
        <v>1970</v>
      </c>
      <c r="AG351" s="344" t="s">
        <v>1970</v>
      </c>
      <c r="AH351" s="2" t="s">
        <v>1970</v>
      </c>
      <c r="AI351" s="2" t="s">
        <v>1970</v>
      </c>
      <c r="AJ351" s="2" t="s">
        <v>1970</v>
      </c>
      <c r="AK351" s="2" t="s">
        <v>1970</v>
      </c>
      <c r="AL351" s="2" t="s">
        <v>1970</v>
      </c>
      <c r="AM351" s="2" t="s">
        <v>1970</v>
      </c>
      <c r="AN351" s="2" t="s">
        <v>1970</v>
      </c>
      <c r="AO351" s="2" t="s">
        <v>1970</v>
      </c>
      <c r="AP351" s="251" t="s">
        <v>1970</v>
      </c>
      <c r="AQ351" s="344" t="s">
        <v>1970</v>
      </c>
      <c r="AR351" s="344" t="s">
        <v>2150</v>
      </c>
      <c r="AS351" s="2" t="s">
        <v>3608</v>
      </c>
      <c r="AV351" s="344" t="s">
        <v>3810</v>
      </c>
    </row>
    <row r="352" spans="1:48" x14ac:dyDescent="0.3">
      <c r="A352" s="2" t="s">
        <v>1645</v>
      </c>
      <c r="B352" s="2" t="s">
        <v>1571</v>
      </c>
      <c r="C352" s="2" t="s">
        <v>3478</v>
      </c>
      <c r="D352" s="2" t="s">
        <v>1648</v>
      </c>
      <c r="E352" s="2" t="s">
        <v>2259</v>
      </c>
      <c r="F352" s="344" t="s">
        <v>1978</v>
      </c>
      <c r="G352" s="2">
        <v>15</v>
      </c>
      <c r="H352" s="2">
        <v>15</v>
      </c>
      <c r="I352" s="2" t="s">
        <v>1970</v>
      </c>
      <c r="J352" s="2" t="s">
        <v>1970</v>
      </c>
      <c r="K352" s="2" t="s">
        <v>1970</v>
      </c>
      <c r="L352" s="2" t="s">
        <v>1970</v>
      </c>
      <c r="M352" s="2" t="s">
        <v>1970</v>
      </c>
      <c r="N352" s="344" t="s">
        <v>1978</v>
      </c>
      <c r="O352" s="344" t="s">
        <v>1978</v>
      </c>
      <c r="P352" s="344" t="s">
        <v>1978</v>
      </c>
      <c r="Q352" s="344" t="s">
        <v>1978</v>
      </c>
      <c r="R352" s="344" t="s">
        <v>1978</v>
      </c>
      <c r="S352" s="344" t="s">
        <v>1978</v>
      </c>
      <c r="T352" s="2" t="s">
        <v>1646</v>
      </c>
      <c r="U352" s="2" t="s">
        <v>1970</v>
      </c>
      <c r="V352" s="251" t="s">
        <v>1970</v>
      </c>
      <c r="W352" s="251" t="s">
        <v>1970</v>
      </c>
      <c r="X352" s="344">
        <f>'A123'!J360</f>
        <v>30</v>
      </c>
      <c r="Y352" s="344">
        <f>'A123'!K360</f>
        <v>34</v>
      </c>
      <c r="Z352" s="344">
        <f>'A123'!L360</f>
        <v>5.75</v>
      </c>
      <c r="AA352" s="2" t="s">
        <v>1970</v>
      </c>
      <c r="AB352" s="2" t="s">
        <v>1970</v>
      </c>
      <c r="AC352" s="2" t="s">
        <v>1970</v>
      </c>
      <c r="AD352" s="344" t="s">
        <v>2259</v>
      </c>
      <c r="AE352" s="2" t="s">
        <v>1970</v>
      </c>
      <c r="AF352" s="2" t="s">
        <v>1970</v>
      </c>
      <c r="AG352" s="344" t="s">
        <v>1970</v>
      </c>
      <c r="AH352" s="2" t="s">
        <v>1970</v>
      </c>
      <c r="AI352" s="2" t="s">
        <v>1970</v>
      </c>
      <c r="AJ352" s="2" t="s">
        <v>1970</v>
      </c>
      <c r="AK352" s="2" t="s">
        <v>1970</v>
      </c>
      <c r="AL352" s="2" t="s">
        <v>1970</v>
      </c>
      <c r="AM352" s="2" t="s">
        <v>1970</v>
      </c>
      <c r="AN352" s="2" t="s">
        <v>1970</v>
      </c>
      <c r="AO352" s="2" t="s">
        <v>1970</v>
      </c>
      <c r="AP352" s="251" t="s">
        <v>1970</v>
      </c>
      <c r="AQ352" s="344" t="s">
        <v>1970</v>
      </c>
      <c r="AR352" s="344" t="s">
        <v>2150</v>
      </c>
      <c r="AS352" s="2" t="s">
        <v>3608</v>
      </c>
      <c r="AV352" s="344" t="s">
        <v>3810</v>
      </c>
    </row>
    <row r="353" spans="1:53" x14ac:dyDescent="0.3">
      <c r="A353" s="2" t="s">
        <v>1649</v>
      </c>
      <c r="B353" s="2" t="s">
        <v>1571</v>
      </c>
      <c r="C353" s="2" t="s">
        <v>3478</v>
      </c>
      <c r="D353" s="2" t="s">
        <v>1652</v>
      </c>
      <c r="E353" s="2" t="s">
        <v>2259</v>
      </c>
      <c r="F353" s="344" t="s">
        <v>1978</v>
      </c>
      <c r="G353" s="2">
        <v>15</v>
      </c>
      <c r="H353" s="2">
        <v>15</v>
      </c>
      <c r="I353" s="2" t="s">
        <v>1970</v>
      </c>
      <c r="J353" s="2" t="s">
        <v>1970</v>
      </c>
      <c r="K353" s="2" t="s">
        <v>1970</v>
      </c>
      <c r="L353" s="2" t="s">
        <v>1970</v>
      </c>
      <c r="M353" s="2" t="s">
        <v>1970</v>
      </c>
      <c r="N353" s="344" t="s">
        <v>1978</v>
      </c>
      <c r="O353" s="344" t="s">
        <v>1978</v>
      </c>
      <c r="P353" s="344" t="s">
        <v>1978</v>
      </c>
      <c r="Q353" s="344" t="s">
        <v>1978</v>
      </c>
      <c r="R353" s="344" t="s">
        <v>1978</v>
      </c>
      <c r="S353" s="344" t="s">
        <v>1978</v>
      </c>
      <c r="T353" s="2" t="s">
        <v>1650</v>
      </c>
      <c r="U353" s="2" t="s">
        <v>1970</v>
      </c>
      <c r="V353" s="251" t="s">
        <v>1970</v>
      </c>
      <c r="W353" s="251" t="s">
        <v>1970</v>
      </c>
      <c r="X353" s="344">
        <f>'A123'!J361</f>
        <v>30</v>
      </c>
      <c r="Y353" s="344">
        <f>'A123'!K361</f>
        <v>75</v>
      </c>
      <c r="Z353" s="344">
        <f>'A123'!L361</f>
        <v>10.954545454545455</v>
      </c>
      <c r="AA353" s="2" t="s">
        <v>1970</v>
      </c>
      <c r="AB353" s="2" t="s">
        <v>1970</v>
      </c>
      <c r="AC353" s="2" t="s">
        <v>1970</v>
      </c>
      <c r="AD353" s="344" t="s">
        <v>2259</v>
      </c>
      <c r="AE353" s="2" t="s">
        <v>1970</v>
      </c>
      <c r="AF353" s="2" t="s">
        <v>1970</v>
      </c>
      <c r="AG353" s="344" t="s">
        <v>1970</v>
      </c>
      <c r="AH353" s="2" t="s">
        <v>1970</v>
      </c>
      <c r="AI353" s="2" t="s">
        <v>1970</v>
      </c>
      <c r="AJ353" s="2" t="s">
        <v>1970</v>
      </c>
      <c r="AK353" s="2" t="s">
        <v>1970</v>
      </c>
      <c r="AL353" s="2" t="s">
        <v>1970</v>
      </c>
      <c r="AM353" s="2" t="s">
        <v>1970</v>
      </c>
      <c r="AN353" s="2" t="s">
        <v>1970</v>
      </c>
      <c r="AO353" s="2" t="s">
        <v>1970</v>
      </c>
      <c r="AP353" s="251" t="s">
        <v>1970</v>
      </c>
      <c r="AQ353" s="344" t="s">
        <v>1970</v>
      </c>
      <c r="AR353" s="344" t="s">
        <v>2150</v>
      </c>
      <c r="AS353" s="2" t="s">
        <v>3608</v>
      </c>
      <c r="AV353" s="344" t="s">
        <v>3810</v>
      </c>
    </row>
    <row r="354" spans="1:53" x14ac:dyDescent="0.3">
      <c r="A354" s="2" t="s">
        <v>1653</v>
      </c>
      <c r="B354" s="2" t="s">
        <v>1571</v>
      </c>
      <c r="C354" s="2" t="s">
        <v>3478</v>
      </c>
      <c r="D354" s="2" t="s">
        <v>1656</v>
      </c>
      <c r="E354" s="2" t="s">
        <v>2259</v>
      </c>
      <c r="F354" s="344" t="s">
        <v>1978</v>
      </c>
      <c r="G354" s="2">
        <v>16</v>
      </c>
      <c r="H354" s="2">
        <v>14</v>
      </c>
      <c r="I354" s="2" t="s">
        <v>1970</v>
      </c>
      <c r="J354" s="2" t="s">
        <v>1970</v>
      </c>
      <c r="K354" s="2" t="s">
        <v>1970</v>
      </c>
      <c r="L354" s="2" t="s">
        <v>1970</v>
      </c>
      <c r="M354" s="2" t="s">
        <v>1970</v>
      </c>
      <c r="N354" s="344" t="s">
        <v>1978</v>
      </c>
      <c r="O354" s="344" t="s">
        <v>1978</v>
      </c>
      <c r="P354" s="344" t="s">
        <v>1978</v>
      </c>
      <c r="Q354" s="344" t="s">
        <v>1978</v>
      </c>
      <c r="R354" s="344" t="s">
        <v>1978</v>
      </c>
      <c r="S354" s="344" t="s">
        <v>1978</v>
      </c>
      <c r="T354" s="2" t="s">
        <v>1654</v>
      </c>
      <c r="U354" s="2" t="s">
        <v>1970</v>
      </c>
      <c r="V354" s="251" t="s">
        <v>1970</v>
      </c>
      <c r="W354" s="251" t="s">
        <v>1970</v>
      </c>
      <c r="X354" s="344">
        <f>'A123'!J362</f>
        <v>30</v>
      </c>
      <c r="Y354" s="344">
        <f>'A123'!K362</f>
        <v>40</v>
      </c>
      <c r="Z354" s="344">
        <f>'A123'!L362</f>
        <v>14.666666666666666</v>
      </c>
      <c r="AA354" s="2" t="s">
        <v>1970</v>
      </c>
      <c r="AB354" s="2" t="s">
        <v>1970</v>
      </c>
      <c r="AC354" s="2" t="s">
        <v>1970</v>
      </c>
      <c r="AD354" s="344" t="s">
        <v>2259</v>
      </c>
      <c r="AE354" s="2" t="s">
        <v>1970</v>
      </c>
      <c r="AF354" s="2" t="s">
        <v>1970</v>
      </c>
      <c r="AG354" s="344" t="s">
        <v>1970</v>
      </c>
      <c r="AH354" s="2" t="s">
        <v>1970</v>
      </c>
      <c r="AI354" s="2" t="s">
        <v>1970</v>
      </c>
      <c r="AJ354" s="2" t="s">
        <v>1970</v>
      </c>
      <c r="AK354" s="2" t="s">
        <v>1970</v>
      </c>
      <c r="AL354" s="2" t="s">
        <v>1970</v>
      </c>
      <c r="AM354" s="2" t="s">
        <v>1970</v>
      </c>
      <c r="AN354" s="2" t="s">
        <v>1970</v>
      </c>
      <c r="AO354" s="2" t="s">
        <v>1970</v>
      </c>
      <c r="AP354" s="251" t="s">
        <v>1970</v>
      </c>
      <c r="AQ354" s="344" t="s">
        <v>1970</v>
      </c>
      <c r="AR354" s="344" t="s">
        <v>2150</v>
      </c>
      <c r="AS354" s="2" t="s">
        <v>3608</v>
      </c>
      <c r="AV354" s="344" t="s">
        <v>3810</v>
      </c>
    </row>
    <row r="355" spans="1:53" x14ac:dyDescent="0.3">
      <c r="A355" s="2" t="s">
        <v>1657</v>
      </c>
      <c r="B355" s="2" t="s">
        <v>1571</v>
      </c>
      <c r="C355" s="2" t="s">
        <v>3479</v>
      </c>
      <c r="D355" s="2" t="s">
        <v>1660</v>
      </c>
      <c r="E355" s="2" t="s">
        <v>1977</v>
      </c>
      <c r="F355" s="344" t="s">
        <v>1978</v>
      </c>
      <c r="G355" s="2">
        <v>21</v>
      </c>
      <c r="H355" s="2">
        <v>20</v>
      </c>
      <c r="I355" s="2" t="s">
        <v>1970</v>
      </c>
      <c r="J355" s="2" t="s">
        <v>1970</v>
      </c>
      <c r="K355" s="2" t="s">
        <v>2739</v>
      </c>
      <c r="L355" s="2" t="s">
        <v>1970</v>
      </c>
      <c r="M355" s="2" t="s">
        <v>1970</v>
      </c>
      <c r="N355" s="344" t="s">
        <v>1978</v>
      </c>
      <c r="O355" s="344" t="s">
        <v>1978</v>
      </c>
      <c r="P355" s="344" t="s">
        <v>1978</v>
      </c>
      <c r="Q355" s="344" t="s">
        <v>1978</v>
      </c>
      <c r="R355" s="344" t="s">
        <v>1978</v>
      </c>
      <c r="S355" s="344" t="s">
        <v>1978</v>
      </c>
      <c r="T355" s="2" t="s">
        <v>1658</v>
      </c>
      <c r="U355" s="2" t="s">
        <v>1970</v>
      </c>
      <c r="V355" s="251" t="s">
        <v>1970</v>
      </c>
      <c r="W355" s="251" t="s">
        <v>1970</v>
      </c>
      <c r="X355" s="344">
        <f>'A123'!J363</f>
        <v>30</v>
      </c>
      <c r="Y355" s="344">
        <f>'A123'!K363</f>
        <v>28</v>
      </c>
      <c r="Z355" s="344">
        <f>'A123'!L363</f>
        <v>3.5</v>
      </c>
      <c r="AA355" s="2" t="s">
        <v>1970</v>
      </c>
      <c r="AB355" s="2" t="s">
        <v>1970</v>
      </c>
      <c r="AC355" s="2" t="s">
        <v>1970</v>
      </c>
      <c r="AD355" s="344" t="s">
        <v>1977</v>
      </c>
      <c r="AE355" s="2" t="s">
        <v>1970</v>
      </c>
      <c r="AF355" s="2" t="s">
        <v>1970</v>
      </c>
      <c r="AG355" s="344" t="s">
        <v>2739</v>
      </c>
      <c r="AH355" s="2" t="s">
        <v>1970</v>
      </c>
      <c r="AI355" s="2" t="s">
        <v>1970</v>
      </c>
      <c r="AJ355" s="2" t="s">
        <v>1970</v>
      </c>
      <c r="AK355" s="2" t="s">
        <v>1970</v>
      </c>
      <c r="AL355" s="2" t="s">
        <v>1970</v>
      </c>
      <c r="AM355" s="2" t="s">
        <v>1970</v>
      </c>
      <c r="AN355" s="2" t="s">
        <v>1970</v>
      </c>
      <c r="AO355" s="2" t="s">
        <v>1970</v>
      </c>
      <c r="AP355" s="251" t="s">
        <v>1970</v>
      </c>
      <c r="AQ355" s="344" t="s">
        <v>1970</v>
      </c>
      <c r="AR355" s="344" t="s">
        <v>2150</v>
      </c>
      <c r="AS355" s="2" t="s">
        <v>3610</v>
      </c>
      <c r="AU355" s="565">
        <v>44774</v>
      </c>
      <c r="AV355" s="344" t="s">
        <v>3810</v>
      </c>
      <c r="AW355" s="565"/>
      <c r="AX355" s="565"/>
      <c r="AY355" s="565"/>
      <c r="AZ355" s="565"/>
      <c r="BA355" s="565"/>
    </row>
    <row r="356" spans="1:53" x14ac:dyDescent="0.3">
      <c r="A356" s="2" t="s">
        <v>1661</v>
      </c>
      <c r="B356" s="2" t="s">
        <v>1571</v>
      </c>
      <c r="C356" s="2" t="s">
        <v>3479</v>
      </c>
      <c r="D356" s="2" t="s">
        <v>1664</v>
      </c>
      <c r="E356" s="2" t="s">
        <v>1977</v>
      </c>
      <c r="F356" s="344" t="s">
        <v>1978</v>
      </c>
      <c r="G356" s="2">
        <v>20</v>
      </c>
      <c r="H356" s="2">
        <v>19</v>
      </c>
      <c r="I356" s="2" t="s">
        <v>1970</v>
      </c>
      <c r="J356" s="2" t="s">
        <v>1970</v>
      </c>
      <c r="K356" s="2" t="s">
        <v>2739</v>
      </c>
      <c r="L356" s="2" t="s">
        <v>1970</v>
      </c>
      <c r="M356" s="2" t="s">
        <v>1970</v>
      </c>
      <c r="N356" s="344" t="s">
        <v>1978</v>
      </c>
      <c r="O356" s="344" t="s">
        <v>1978</v>
      </c>
      <c r="P356" s="344" t="s">
        <v>1978</v>
      </c>
      <c r="Q356" s="344" t="s">
        <v>1978</v>
      </c>
      <c r="R356" s="344" t="s">
        <v>1978</v>
      </c>
      <c r="S356" s="344" t="s">
        <v>1978</v>
      </c>
      <c r="T356" s="2" t="s">
        <v>1662</v>
      </c>
      <c r="U356" s="2" t="s">
        <v>1970</v>
      </c>
      <c r="V356" s="251" t="s">
        <v>1970</v>
      </c>
      <c r="W356" s="251" t="s">
        <v>1970</v>
      </c>
      <c r="X356" s="344">
        <f>'A123'!J364</f>
        <v>20</v>
      </c>
      <c r="Y356" s="344">
        <f>'A123'!K364</f>
        <v>38</v>
      </c>
      <c r="Z356" s="344">
        <f>'A123'!L364</f>
        <v>3.6190476190476191</v>
      </c>
      <c r="AA356" s="2" t="s">
        <v>1970</v>
      </c>
      <c r="AB356" s="2" t="s">
        <v>1970</v>
      </c>
      <c r="AC356" s="2" t="s">
        <v>1970</v>
      </c>
      <c r="AD356" s="344" t="s">
        <v>1977</v>
      </c>
      <c r="AE356" s="2" t="s">
        <v>1970</v>
      </c>
      <c r="AF356" s="2" t="s">
        <v>1970</v>
      </c>
      <c r="AG356" s="344" t="s">
        <v>2739</v>
      </c>
      <c r="AH356" s="2" t="s">
        <v>1970</v>
      </c>
      <c r="AI356" s="2" t="s">
        <v>1970</v>
      </c>
      <c r="AJ356" s="2" t="s">
        <v>1970</v>
      </c>
      <c r="AK356" s="2" t="s">
        <v>1970</v>
      </c>
      <c r="AL356" s="2" t="s">
        <v>1970</v>
      </c>
      <c r="AM356" s="2" t="s">
        <v>1970</v>
      </c>
      <c r="AN356" s="2" t="s">
        <v>1970</v>
      </c>
      <c r="AO356" s="2" t="s">
        <v>1970</v>
      </c>
      <c r="AP356" s="251" t="s">
        <v>1970</v>
      </c>
      <c r="AQ356" s="344" t="s">
        <v>1970</v>
      </c>
      <c r="AR356" s="344" t="s">
        <v>2150</v>
      </c>
      <c r="AS356" s="2" t="s">
        <v>3608</v>
      </c>
      <c r="AV356" s="344" t="s">
        <v>3810</v>
      </c>
    </row>
    <row r="357" spans="1:53" x14ac:dyDescent="0.3">
      <c r="A357" s="2" t="s">
        <v>1665</v>
      </c>
      <c r="B357" s="2" t="s">
        <v>1571</v>
      </c>
      <c r="C357" s="2" t="s">
        <v>3479</v>
      </c>
      <c r="D357" s="2" t="s">
        <v>1668</v>
      </c>
      <c r="E357" s="2" t="s">
        <v>1977</v>
      </c>
      <c r="F357" s="344" t="s">
        <v>1978</v>
      </c>
      <c r="G357" s="2">
        <v>22</v>
      </c>
      <c r="H357" s="2">
        <v>21</v>
      </c>
      <c r="I357" s="2" t="s">
        <v>1970</v>
      </c>
      <c r="J357" s="2" t="s">
        <v>1970</v>
      </c>
      <c r="K357" s="344" t="s">
        <v>3482</v>
      </c>
      <c r="L357" s="2" t="s">
        <v>1970</v>
      </c>
      <c r="M357" s="2" t="s">
        <v>1970</v>
      </c>
      <c r="N357" s="344" t="s">
        <v>1978</v>
      </c>
      <c r="O357" s="344" t="s">
        <v>1978</v>
      </c>
      <c r="P357" s="344" t="s">
        <v>1978</v>
      </c>
      <c r="Q357" s="344" t="s">
        <v>1978</v>
      </c>
      <c r="R357" s="344" t="s">
        <v>1978</v>
      </c>
      <c r="S357" s="344" t="s">
        <v>1978</v>
      </c>
      <c r="T357" s="2" t="s">
        <v>1666</v>
      </c>
      <c r="U357" s="2" t="s">
        <v>1970</v>
      </c>
      <c r="V357" s="251" t="s">
        <v>1970</v>
      </c>
      <c r="W357" s="251" t="s">
        <v>1970</v>
      </c>
      <c r="X357" s="344">
        <f>'A123'!J365</f>
        <v>20</v>
      </c>
      <c r="Y357" s="344">
        <f>'A123'!K365</f>
        <v>21</v>
      </c>
      <c r="Z357" s="344">
        <f>'A123'!L365</f>
        <v>3.5384615384615383</v>
      </c>
      <c r="AA357" s="2" t="s">
        <v>1970</v>
      </c>
      <c r="AB357" s="2" t="s">
        <v>1970</v>
      </c>
      <c r="AC357" s="2" t="s">
        <v>1970</v>
      </c>
      <c r="AD357" s="344" t="s">
        <v>1977</v>
      </c>
      <c r="AE357" s="2" t="s">
        <v>1970</v>
      </c>
      <c r="AF357" s="2" t="s">
        <v>1970</v>
      </c>
      <c r="AG357" s="344" t="s">
        <v>3482</v>
      </c>
      <c r="AH357" s="2" t="s">
        <v>1970</v>
      </c>
      <c r="AI357" s="2" t="s">
        <v>1970</v>
      </c>
      <c r="AJ357" s="2" t="s">
        <v>1970</v>
      </c>
      <c r="AK357" s="2" t="s">
        <v>1970</v>
      </c>
      <c r="AL357" s="2" t="s">
        <v>1970</v>
      </c>
      <c r="AM357" s="2" t="s">
        <v>1970</v>
      </c>
      <c r="AN357" s="2" t="s">
        <v>1970</v>
      </c>
      <c r="AO357" s="2" t="s">
        <v>1970</v>
      </c>
      <c r="AP357" s="251" t="s">
        <v>1970</v>
      </c>
      <c r="AQ357" s="344" t="s">
        <v>1970</v>
      </c>
      <c r="AR357" s="344" t="s">
        <v>2150</v>
      </c>
      <c r="AS357" s="2" t="s">
        <v>3608</v>
      </c>
      <c r="AV357" s="344" t="s">
        <v>3810</v>
      </c>
    </row>
    <row r="358" spans="1:53" x14ac:dyDescent="0.3">
      <c r="A358" s="2" t="s">
        <v>1669</v>
      </c>
      <c r="B358" s="2" t="s">
        <v>1571</v>
      </c>
      <c r="C358" s="2" t="s">
        <v>3479</v>
      </c>
      <c r="D358" s="2" t="s">
        <v>1672</v>
      </c>
      <c r="E358" s="2" t="s">
        <v>1977</v>
      </c>
      <c r="F358" s="344" t="s">
        <v>1978</v>
      </c>
      <c r="G358" s="2">
        <v>20</v>
      </c>
      <c r="H358" s="2">
        <v>19</v>
      </c>
      <c r="I358" s="2" t="s">
        <v>1970</v>
      </c>
      <c r="J358" s="2" t="s">
        <v>1970</v>
      </c>
      <c r="K358" s="2" t="s">
        <v>3482</v>
      </c>
      <c r="L358" s="2" t="s">
        <v>1970</v>
      </c>
      <c r="M358" s="2" t="s">
        <v>1970</v>
      </c>
      <c r="N358" s="344" t="s">
        <v>1978</v>
      </c>
      <c r="O358" s="344" t="s">
        <v>1978</v>
      </c>
      <c r="P358" s="344" t="s">
        <v>1978</v>
      </c>
      <c r="Q358" s="344" t="s">
        <v>1978</v>
      </c>
      <c r="R358" s="344" t="s">
        <v>1978</v>
      </c>
      <c r="S358" s="344" t="s">
        <v>1978</v>
      </c>
      <c r="T358" s="2" t="s">
        <v>1670</v>
      </c>
      <c r="U358" s="2" t="s">
        <v>1970</v>
      </c>
      <c r="V358" s="251" t="s">
        <v>1970</v>
      </c>
      <c r="W358" s="251" t="s">
        <v>1970</v>
      </c>
      <c r="X358" s="344">
        <f>'A123'!J366</f>
        <v>35</v>
      </c>
      <c r="Y358" s="344">
        <f>'A123'!K366</f>
        <v>25</v>
      </c>
      <c r="Z358" s="344">
        <f>'A123'!L366</f>
        <v>4.75</v>
      </c>
      <c r="AA358" s="2" t="s">
        <v>1970</v>
      </c>
      <c r="AB358" s="2" t="s">
        <v>1970</v>
      </c>
      <c r="AC358" s="2" t="s">
        <v>1970</v>
      </c>
      <c r="AD358" s="344" t="s">
        <v>1977</v>
      </c>
      <c r="AE358" s="2" t="s">
        <v>1970</v>
      </c>
      <c r="AF358" s="2" t="s">
        <v>1970</v>
      </c>
      <c r="AG358" s="344" t="s">
        <v>3482</v>
      </c>
      <c r="AH358" s="2" t="s">
        <v>1970</v>
      </c>
      <c r="AI358" s="2" t="s">
        <v>1970</v>
      </c>
      <c r="AJ358" s="2" t="s">
        <v>1970</v>
      </c>
      <c r="AK358" s="2" t="s">
        <v>1970</v>
      </c>
      <c r="AL358" s="2" t="s">
        <v>1970</v>
      </c>
      <c r="AM358" s="2" t="s">
        <v>1970</v>
      </c>
      <c r="AN358" s="2" t="s">
        <v>1970</v>
      </c>
      <c r="AO358" s="2" t="s">
        <v>1970</v>
      </c>
      <c r="AP358" s="251" t="s">
        <v>1970</v>
      </c>
      <c r="AQ358" s="344" t="s">
        <v>1970</v>
      </c>
      <c r="AR358" s="344" t="s">
        <v>2150</v>
      </c>
      <c r="AS358" s="2" t="s">
        <v>3610</v>
      </c>
      <c r="AU358" s="565">
        <v>44774</v>
      </c>
      <c r="AV358" s="344" t="s">
        <v>3810</v>
      </c>
      <c r="AW358" s="565"/>
      <c r="AX358" s="565"/>
      <c r="AY358" s="565"/>
      <c r="AZ358" s="565"/>
      <c r="BA358" s="565"/>
    </row>
    <row r="359" spans="1:53" x14ac:dyDescent="0.3">
      <c r="A359" s="2" t="s">
        <v>1673</v>
      </c>
      <c r="B359" s="2" t="s">
        <v>1571</v>
      </c>
      <c r="C359" s="2" t="s">
        <v>3479</v>
      </c>
      <c r="D359" s="2" t="s">
        <v>1676</v>
      </c>
      <c r="E359" s="2" t="s">
        <v>1977</v>
      </c>
      <c r="F359" s="344" t="s">
        <v>1978</v>
      </c>
      <c r="G359" s="2">
        <v>17</v>
      </c>
      <c r="H359" s="2">
        <v>17</v>
      </c>
      <c r="I359" s="2" t="s">
        <v>1970</v>
      </c>
      <c r="J359" s="2" t="s">
        <v>1970</v>
      </c>
      <c r="K359" s="2" t="s">
        <v>1970</v>
      </c>
      <c r="L359" s="2" t="s">
        <v>1970</v>
      </c>
      <c r="M359" s="2" t="s">
        <v>1970</v>
      </c>
      <c r="N359" s="344" t="s">
        <v>1978</v>
      </c>
      <c r="O359" s="344" t="s">
        <v>1978</v>
      </c>
      <c r="P359" s="344" t="s">
        <v>1978</v>
      </c>
      <c r="Q359" s="344" t="s">
        <v>1978</v>
      </c>
      <c r="R359" s="344" t="s">
        <v>1978</v>
      </c>
      <c r="S359" s="344" t="s">
        <v>1978</v>
      </c>
      <c r="T359" s="2" t="s">
        <v>1674</v>
      </c>
      <c r="U359" s="2" t="s">
        <v>1970</v>
      </c>
      <c r="V359" s="251" t="s">
        <v>1970</v>
      </c>
      <c r="W359" s="251" t="s">
        <v>1970</v>
      </c>
      <c r="X359" s="344">
        <f>'A123'!J367</f>
        <v>15</v>
      </c>
      <c r="Y359" s="344">
        <f>'A123'!K367</f>
        <v>14</v>
      </c>
      <c r="Z359" s="344">
        <f>'A123'!L367</f>
        <v>5.333333333333333</v>
      </c>
      <c r="AA359" s="2" t="s">
        <v>1970</v>
      </c>
      <c r="AB359" s="2" t="s">
        <v>1970</v>
      </c>
      <c r="AC359" s="2" t="s">
        <v>1970</v>
      </c>
      <c r="AD359" s="344" t="s">
        <v>1977</v>
      </c>
      <c r="AE359" s="2" t="s">
        <v>1970</v>
      </c>
      <c r="AF359" s="2" t="s">
        <v>1970</v>
      </c>
      <c r="AG359" s="344" t="s">
        <v>1970</v>
      </c>
      <c r="AH359" s="2" t="s">
        <v>1970</v>
      </c>
      <c r="AI359" s="2" t="s">
        <v>1970</v>
      </c>
      <c r="AJ359" s="2" t="s">
        <v>1970</v>
      </c>
      <c r="AK359" s="2" t="s">
        <v>1970</v>
      </c>
      <c r="AL359" s="2" t="s">
        <v>1970</v>
      </c>
      <c r="AM359" s="2" t="s">
        <v>1970</v>
      </c>
      <c r="AN359" s="2" t="s">
        <v>1970</v>
      </c>
      <c r="AO359" s="2" t="s">
        <v>1970</v>
      </c>
      <c r="AP359" s="251" t="s">
        <v>1970</v>
      </c>
      <c r="AQ359" s="344" t="s">
        <v>1970</v>
      </c>
      <c r="AR359" s="344" t="s">
        <v>2150</v>
      </c>
      <c r="AS359" s="2" t="s">
        <v>3608</v>
      </c>
      <c r="AV359" s="344" t="s">
        <v>3810</v>
      </c>
    </row>
    <row r="360" spans="1:53" x14ac:dyDescent="0.3">
      <c r="A360" s="2" t="s">
        <v>1677</v>
      </c>
      <c r="B360" s="2" t="s">
        <v>1571</v>
      </c>
      <c r="C360" s="2" t="s">
        <v>3479</v>
      </c>
      <c r="D360" s="2" t="s">
        <v>1680</v>
      </c>
      <c r="E360" s="2" t="s">
        <v>1977</v>
      </c>
      <c r="F360" s="344" t="s">
        <v>1978</v>
      </c>
      <c r="G360" s="2">
        <v>16</v>
      </c>
      <c r="H360" s="2">
        <v>15</v>
      </c>
      <c r="I360" s="2" t="s">
        <v>1970</v>
      </c>
      <c r="J360" s="2" t="s">
        <v>1970</v>
      </c>
      <c r="K360" s="2" t="s">
        <v>3481</v>
      </c>
      <c r="L360" s="2" t="s">
        <v>1970</v>
      </c>
      <c r="M360" s="2" t="s">
        <v>1970</v>
      </c>
      <c r="N360" s="344" t="s">
        <v>1978</v>
      </c>
      <c r="O360" s="344" t="s">
        <v>1978</v>
      </c>
      <c r="P360" s="344" t="s">
        <v>1978</v>
      </c>
      <c r="Q360" s="344" t="s">
        <v>1978</v>
      </c>
      <c r="R360" s="344" t="s">
        <v>1978</v>
      </c>
      <c r="S360" s="344" t="s">
        <v>1978</v>
      </c>
      <c r="T360" s="2" t="s">
        <v>1678</v>
      </c>
      <c r="U360" s="2" t="s">
        <v>1970</v>
      </c>
      <c r="V360" s="251" t="s">
        <v>1970</v>
      </c>
      <c r="W360" s="251" t="s">
        <v>1970</v>
      </c>
      <c r="X360" s="344">
        <f>'A123'!J368</f>
        <v>40</v>
      </c>
      <c r="Y360" s="344">
        <f>'A123'!K368</f>
        <v>93</v>
      </c>
      <c r="Z360" s="344">
        <f>'A123'!L368</f>
        <v>8.8625000000000007</v>
      </c>
      <c r="AA360" s="2" t="s">
        <v>1970</v>
      </c>
      <c r="AB360" s="2" t="s">
        <v>1970</v>
      </c>
      <c r="AC360" s="2" t="s">
        <v>1970</v>
      </c>
      <c r="AD360" s="344" t="s">
        <v>1977</v>
      </c>
      <c r="AE360" s="2" t="s">
        <v>1970</v>
      </c>
      <c r="AF360" s="2" t="s">
        <v>1970</v>
      </c>
      <c r="AG360" s="344" t="s">
        <v>3481</v>
      </c>
      <c r="AH360" s="2" t="s">
        <v>1970</v>
      </c>
      <c r="AI360" s="2" t="s">
        <v>1970</v>
      </c>
      <c r="AJ360" s="2" t="s">
        <v>1970</v>
      </c>
      <c r="AK360" s="2" t="s">
        <v>1970</v>
      </c>
      <c r="AL360" s="2" t="s">
        <v>1970</v>
      </c>
      <c r="AM360" s="2" t="s">
        <v>1970</v>
      </c>
      <c r="AN360" s="2" t="s">
        <v>1970</v>
      </c>
      <c r="AO360" s="2" t="s">
        <v>1970</v>
      </c>
      <c r="AP360" s="251" t="s">
        <v>1970</v>
      </c>
      <c r="AQ360" s="344" t="s">
        <v>1970</v>
      </c>
      <c r="AR360" s="344" t="s">
        <v>2150</v>
      </c>
      <c r="AS360" s="2" t="s">
        <v>3610</v>
      </c>
      <c r="AU360" s="565">
        <v>44774</v>
      </c>
      <c r="AV360" s="344" t="s">
        <v>3810</v>
      </c>
      <c r="AW360" s="565"/>
      <c r="AX360" s="565"/>
      <c r="AY360" s="565"/>
      <c r="AZ360" s="565"/>
      <c r="BA360" s="565"/>
    </row>
    <row r="361" spans="1:53" x14ac:dyDescent="0.3">
      <c r="A361" s="2" t="s">
        <v>1681</v>
      </c>
      <c r="B361" s="2" t="s">
        <v>1571</v>
      </c>
      <c r="C361" s="2" t="s">
        <v>3480</v>
      </c>
      <c r="D361" s="2" t="s">
        <v>1684</v>
      </c>
      <c r="E361" s="2" t="s">
        <v>2259</v>
      </c>
      <c r="F361" s="344" t="s">
        <v>1978</v>
      </c>
      <c r="G361" s="2">
        <v>16</v>
      </c>
      <c r="H361" s="2">
        <v>15</v>
      </c>
      <c r="I361" s="2" t="s">
        <v>1970</v>
      </c>
      <c r="J361" s="2" t="s">
        <v>1970</v>
      </c>
      <c r="K361" s="2" t="s">
        <v>1970</v>
      </c>
      <c r="L361" s="2" t="s">
        <v>1970</v>
      </c>
      <c r="M361" s="2" t="s">
        <v>1970</v>
      </c>
      <c r="N361" s="344" t="s">
        <v>1978</v>
      </c>
      <c r="O361" s="344" t="s">
        <v>1978</v>
      </c>
      <c r="P361" s="344" t="s">
        <v>1978</v>
      </c>
      <c r="Q361" s="344" t="s">
        <v>1978</v>
      </c>
      <c r="R361" s="344" t="s">
        <v>1978</v>
      </c>
      <c r="S361" s="344" t="s">
        <v>1978</v>
      </c>
      <c r="T361" s="2" t="s">
        <v>1682</v>
      </c>
      <c r="U361" s="2" t="s">
        <v>1970</v>
      </c>
      <c r="V361" s="251" t="s">
        <v>1970</v>
      </c>
      <c r="W361" s="251" t="s">
        <v>1970</v>
      </c>
      <c r="X361" s="344">
        <f>'A123'!J369</f>
        <v>35</v>
      </c>
      <c r="Y361" s="344">
        <f>'A123'!K369</f>
        <v>22</v>
      </c>
      <c r="Z361" s="344">
        <f>'A123'!L369</f>
        <v>8.615384615384615</v>
      </c>
      <c r="AA361" s="2" t="s">
        <v>1970</v>
      </c>
      <c r="AB361" s="2" t="s">
        <v>1970</v>
      </c>
      <c r="AC361" s="2" t="s">
        <v>1970</v>
      </c>
      <c r="AD361" s="344" t="s">
        <v>2259</v>
      </c>
      <c r="AE361" s="2" t="s">
        <v>1970</v>
      </c>
      <c r="AF361" s="2" t="s">
        <v>1970</v>
      </c>
      <c r="AG361" s="344" t="s">
        <v>1970</v>
      </c>
      <c r="AH361" s="2" t="s">
        <v>1970</v>
      </c>
      <c r="AI361" s="2" t="s">
        <v>1970</v>
      </c>
      <c r="AJ361" s="2" t="s">
        <v>1970</v>
      </c>
      <c r="AK361" s="2" t="s">
        <v>1970</v>
      </c>
      <c r="AL361" s="2" t="s">
        <v>1970</v>
      </c>
      <c r="AM361" s="2" t="s">
        <v>1970</v>
      </c>
      <c r="AN361" s="2" t="s">
        <v>1970</v>
      </c>
      <c r="AO361" s="2" t="s">
        <v>1970</v>
      </c>
      <c r="AP361" s="251" t="s">
        <v>1970</v>
      </c>
      <c r="AQ361" s="344" t="s">
        <v>1970</v>
      </c>
      <c r="AR361" s="344" t="s">
        <v>2150</v>
      </c>
      <c r="AS361" s="2" t="s">
        <v>3608</v>
      </c>
      <c r="AV361" s="344" t="s">
        <v>3810</v>
      </c>
    </row>
    <row r="362" spans="1:53" x14ac:dyDescent="0.3">
      <c r="A362" s="2" t="s">
        <v>1685</v>
      </c>
      <c r="B362" s="2" t="s">
        <v>1571</v>
      </c>
      <c r="C362" s="2" t="s">
        <v>3480</v>
      </c>
      <c r="D362" s="2" t="s">
        <v>1688</v>
      </c>
      <c r="E362" s="2" t="s">
        <v>2259</v>
      </c>
      <c r="F362" s="344" t="s">
        <v>1978</v>
      </c>
      <c r="G362" s="2">
        <v>16</v>
      </c>
      <c r="H362" s="2">
        <v>15</v>
      </c>
      <c r="I362" s="2" t="s">
        <v>1970</v>
      </c>
      <c r="J362" s="2" t="s">
        <v>1970</v>
      </c>
      <c r="K362" s="2" t="s">
        <v>1970</v>
      </c>
      <c r="L362" s="2" t="s">
        <v>1970</v>
      </c>
      <c r="M362" s="2" t="s">
        <v>1970</v>
      </c>
      <c r="N362" s="344" t="s">
        <v>1978</v>
      </c>
      <c r="O362" s="344" t="s">
        <v>1978</v>
      </c>
      <c r="P362" s="344" t="s">
        <v>1978</v>
      </c>
      <c r="Q362" s="344" t="s">
        <v>1978</v>
      </c>
      <c r="R362" s="344" t="s">
        <v>1978</v>
      </c>
      <c r="S362" s="344" t="s">
        <v>1978</v>
      </c>
      <c r="T362" s="2" t="s">
        <v>1686</v>
      </c>
      <c r="U362" s="2" t="s">
        <v>1970</v>
      </c>
      <c r="V362" s="251" t="s">
        <v>1970</v>
      </c>
      <c r="W362" s="251" t="s">
        <v>1970</v>
      </c>
      <c r="X362" s="344">
        <f>'A123'!J370</f>
        <v>30</v>
      </c>
      <c r="Y362" s="344">
        <f>'A123'!K370</f>
        <v>7</v>
      </c>
      <c r="Z362" s="344">
        <f>'A123'!L370</f>
        <v>19.25</v>
      </c>
      <c r="AA362" s="2" t="s">
        <v>1970</v>
      </c>
      <c r="AB362" s="2" t="s">
        <v>1970</v>
      </c>
      <c r="AC362" s="2" t="s">
        <v>1970</v>
      </c>
      <c r="AD362" s="344" t="s">
        <v>2259</v>
      </c>
      <c r="AE362" s="2" t="s">
        <v>1970</v>
      </c>
      <c r="AF362" s="2" t="s">
        <v>1970</v>
      </c>
      <c r="AG362" s="344" t="s">
        <v>1970</v>
      </c>
      <c r="AH362" s="2" t="s">
        <v>1970</v>
      </c>
      <c r="AI362" s="2" t="s">
        <v>1970</v>
      </c>
      <c r="AJ362" s="2" t="s">
        <v>1970</v>
      </c>
      <c r="AK362" s="2" t="s">
        <v>1970</v>
      </c>
      <c r="AL362" s="2" t="s">
        <v>1970</v>
      </c>
      <c r="AM362" s="2" t="s">
        <v>1970</v>
      </c>
      <c r="AN362" s="2" t="s">
        <v>1970</v>
      </c>
      <c r="AO362" s="2" t="s">
        <v>1970</v>
      </c>
      <c r="AP362" s="251" t="s">
        <v>1970</v>
      </c>
      <c r="AQ362" s="344" t="s">
        <v>1970</v>
      </c>
      <c r="AR362" s="344" t="s">
        <v>2150</v>
      </c>
      <c r="AS362" s="2" t="s">
        <v>3608</v>
      </c>
      <c r="AV362" s="344" t="s">
        <v>3810</v>
      </c>
    </row>
    <row r="363" spans="1:53" x14ac:dyDescent="0.3">
      <c r="A363" s="2" t="s">
        <v>1689</v>
      </c>
      <c r="B363" s="2" t="s">
        <v>1571</v>
      </c>
      <c r="C363" s="2" t="s">
        <v>3480</v>
      </c>
      <c r="D363" s="2" t="s">
        <v>1692</v>
      </c>
      <c r="E363" s="2" t="s">
        <v>2259</v>
      </c>
      <c r="F363" s="344" t="s">
        <v>1978</v>
      </c>
      <c r="G363" s="344">
        <v>16</v>
      </c>
      <c r="H363" s="344">
        <v>16</v>
      </c>
      <c r="I363" s="2" t="s">
        <v>1970</v>
      </c>
      <c r="J363" s="2" t="s">
        <v>1970</v>
      </c>
      <c r="K363" s="2" t="s">
        <v>1970</v>
      </c>
      <c r="L363" s="2" t="s">
        <v>1970</v>
      </c>
      <c r="M363" s="2" t="s">
        <v>1970</v>
      </c>
      <c r="N363" s="344" t="s">
        <v>1978</v>
      </c>
      <c r="O363" s="344" t="s">
        <v>1978</v>
      </c>
      <c r="P363" s="344" t="s">
        <v>1978</v>
      </c>
      <c r="Q363" s="344" t="s">
        <v>1978</v>
      </c>
      <c r="R363" s="344" t="s">
        <v>1978</v>
      </c>
      <c r="S363" s="344" t="s">
        <v>1978</v>
      </c>
      <c r="T363" s="2" t="s">
        <v>1690</v>
      </c>
      <c r="U363" s="2" t="s">
        <v>1970</v>
      </c>
      <c r="V363" s="251" t="s">
        <v>1970</v>
      </c>
      <c r="W363" s="251" t="s">
        <v>1970</v>
      </c>
      <c r="X363" s="344">
        <f>'A123'!J371</f>
        <v>30</v>
      </c>
      <c r="Y363" s="344">
        <f>'A123'!K371</f>
        <v>25</v>
      </c>
      <c r="Z363" s="344">
        <f>'A123'!L371</f>
        <v>8.8666666666666671</v>
      </c>
      <c r="AA363" s="2" t="s">
        <v>1970</v>
      </c>
      <c r="AB363" s="2" t="s">
        <v>1970</v>
      </c>
      <c r="AC363" s="2" t="s">
        <v>1970</v>
      </c>
      <c r="AD363" s="344" t="s">
        <v>2259</v>
      </c>
      <c r="AE363" s="2" t="s">
        <v>1970</v>
      </c>
      <c r="AF363" s="2" t="s">
        <v>1970</v>
      </c>
      <c r="AG363" s="344" t="s">
        <v>1970</v>
      </c>
      <c r="AH363" s="2" t="s">
        <v>1970</v>
      </c>
      <c r="AI363" s="2" t="s">
        <v>1970</v>
      </c>
      <c r="AJ363" s="2" t="s">
        <v>1970</v>
      </c>
      <c r="AK363" s="2" t="s">
        <v>1970</v>
      </c>
      <c r="AL363" s="2" t="s">
        <v>1970</v>
      </c>
      <c r="AM363" s="2" t="s">
        <v>1970</v>
      </c>
      <c r="AN363" s="2" t="s">
        <v>1970</v>
      </c>
      <c r="AO363" s="2" t="s">
        <v>1970</v>
      </c>
      <c r="AP363" s="251" t="s">
        <v>1970</v>
      </c>
      <c r="AQ363" s="344" t="s">
        <v>1970</v>
      </c>
      <c r="AR363" s="344" t="s">
        <v>2150</v>
      </c>
      <c r="AS363" s="2" t="s">
        <v>3608</v>
      </c>
      <c r="AV363" s="344" t="s">
        <v>3810</v>
      </c>
    </row>
    <row r="364" spans="1:53" x14ac:dyDescent="0.3">
      <c r="A364" s="2" t="s">
        <v>1693</v>
      </c>
      <c r="B364" s="2" t="s">
        <v>1571</v>
      </c>
      <c r="C364" s="2" t="s">
        <v>3480</v>
      </c>
      <c r="D364" s="2" t="s">
        <v>1696</v>
      </c>
      <c r="E364" s="2" t="s">
        <v>2259</v>
      </c>
      <c r="F364" s="344" t="s">
        <v>1978</v>
      </c>
      <c r="G364" s="344">
        <v>16</v>
      </c>
      <c r="H364" s="344">
        <v>16</v>
      </c>
      <c r="I364" s="2" t="s">
        <v>1970</v>
      </c>
      <c r="J364" s="2" t="s">
        <v>1970</v>
      </c>
      <c r="K364" s="2" t="s">
        <v>1970</v>
      </c>
      <c r="L364" s="2" t="s">
        <v>1970</v>
      </c>
      <c r="M364" s="2" t="s">
        <v>1970</v>
      </c>
      <c r="N364" s="344" t="s">
        <v>1978</v>
      </c>
      <c r="O364" s="344" t="s">
        <v>1978</v>
      </c>
      <c r="P364" s="344" t="s">
        <v>1978</v>
      </c>
      <c r="Q364" s="344" t="s">
        <v>1978</v>
      </c>
      <c r="R364" s="344" t="s">
        <v>1978</v>
      </c>
      <c r="S364" s="344" t="s">
        <v>1978</v>
      </c>
      <c r="T364" s="2" t="s">
        <v>1694</v>
      </c>
      <c r="U364" s="2" t="s">
        <v>1970</v>
      </c>
      <c r="V364" s="251" t="s">
        <v>1970</v>
      </c>
      <c r="W364" s="251" t="s">
        <v>1970</v>
      </c>
      <c r="X364" s="344">
        <f>'A123'!J372</f>
        <v>30</v>
      </c>
      <c r="Y364" s="344">
        <f>'A123'!K372</f>
        <v>4</v>
      </c>
      <c r="Z364" s="344">
        <f>'A123'!L372</f>
        <v>8.25</v>
      </c>
      <c r="AA364" s="2" t="s">
        <v>1970</v>
      </c>
      <c r="AB364" s="2" t="s">
        <v>1970</v>
      </c>
      <c r="AC364" s="2" t="s">
        <v>1970</v>
      </c>
      <c r="AD364" s="344" t="s">
        <v>2259</v>
      </c>
      <c r="AE364" s="2" t="s">
        <v>1970</v>
      </c>
      <c r="AF364" s="2" t="s">
        <v>1970</v>
      </c>
      <c r="AG364" s="344" t="s">
        <v>1970</v>
      </c>
      <c r="AH364" s="2" t="s">
        <v>1970</v>
      </c>
      <c r="AI364" s="2" t="s">
        <v>1970</v>
      </c>
      <c r="AJ364" s="2" t="s">
        <v>1970</v>
      </c>
      <c r="AK364" s="2" t="s">
        <v>1970</v>
      </c>
      <c r="AL364" s="2" t="s">
        <v>1970</v>
      </c>
      <c r="AM364" s="2" t="s">
        <v>1970</v>
      </c>
      <c r="AN364" s="2" t="s">
        <v>1970</v>
      </c>
      <c r="AO364" s="2" t="s">
        <v>1970</v>
      </c>
      <c r="AP364" s="251" t="s">
        <v>1970</v>
      </c>
      <c r="AQ364" s="344" t="s">
        <v>1970</v>
      </c>
      <c r="AR364" s="344" t="s">
        <v>2150</v>
      </c>
      <c r="AS364" s="2" t="s">
        <v>3608</v>
      </c>
      <c r="AV364" s="344" t="s">
        <v>3810</v>
      </c>
    </row>
    <row r="365" spans="1:53" x14ac:dyDescent="0.3">
      <c r="A365" s="2" t="s">
        <v>1697</v>
      </c>
      <c r="B365" s="2" t="s">
        <v>1571</v>
      </c>
      <c r="C365" s="2" t="s">
        <v>3480</v>
      </c>
      <c r="D365" s="2" t="s">
        <v>1700</v>
      </c>
      <c r="E365" s="2" t="s">
        <v>2259</v>
      </c>
      <c r="F365" s="344" t="s">
        <v>1978</v>
      </c>
      <c r="G365" s="2">
        <v>15</v>
      </c>
      <c r="H365" s="2">
        <v>15</v>
      </c>
      <c r="I365" s="2" t="s">
        <v>1970</v>
      </c>
      <c r="J365" s="2" t="s">
        <v>1970</v>
      </c>
      <c r="K365" s="2" t="s">
        <v>1970</v>
      </c>
      <c r="L365" s="2" t="s">
        <v>1970</v>
      </c>
      <c r="M365" s="2" t="s">
        <v>1970</v>
      </c>
      <c r="N365" s="344" t="s">
        <v>1978</v>
      </c>
      <c r="O365" s="344" t="s">
        <v>1978</v>
      </c>
      <c r="P365" s="344" t="s">
        <v>1978</v>
      </c>
      <c r="Q365" s="344" t="s">
        <v>1978</v>
      </c>
      <c r="R365" s="344" t="s">
        <v>1978</v>
      </c>
      <c r="S365" s="344" t="s">
        <v>1978</v>
      </c>
      <c r="T365" s="2" t="s">
        <v>1698</v>
      </c>
      <c r="U365" s="2" t="s">
        <v>1970</v>
      </c>
      <c r="V365" s="251" t="s">
        <v>1970</v>
      </c>
      <c r="W365" s="251" t="s">
        <v>1970</v>
      </c>
      <c r="X365" s="344">
        <f>'A123'!J373</f>
        <v>30</v>
      </c>
      <c r="Y365" s="344">
        <f>'A123'!K373</f>
        <v>18</v>
      </c>
      <c r="Z365" s="344">
        <f>'A123'!L373</f>
        <v>4.6363636363636367</v>
      </c>
      <c r="AA365" s="2" t="s">
        <v>1970</v>
      </c>
      <c r="AB365" s="2" t="s">
        <v>1970</v>
      </c>
      <c r="AC365" s="2" t="s">
        <v>1970</v>
      </c>
      <c r="AD365" s="344" t="s">
        <v>2259</v>
      </c>
      <c r="AE365" s="2" t="s">
        <v>1970</v>
      </c>
      <c r="AF365" s="2" t="s">
        <v>1970</v>
      </c>
      <c r="AG365" s="344" t="s">
        <v>1970</v>
      </c>
      <c r="AH365" s="2" t="s">
        <v>1970</v>
      </c>
      <c r="AI365" s="2" t="s">
        <v>1970</v>
      </c>
      <c r="AJ365" s="2" t="s">
        <v>1970</v>
      </c>
      <c r="AK365" s="2" t="s">
        <v>1970</v>
      </c>
      <c r="AL365" s="2" t="s">
        <v>1970</v>
      </c>
      <c r="AM365" s="2" t="s">
        <v>1970</v>
      </c>
      <c r="AN365" s="2" t="s">
        <v>1970</v>
      </c>
      <c r="AO365" s="2" t="s">
        <v>1970</v>
      </c>
      <c r="AP365" s="251" t="s">
        <v>1970</v>
      </c>
      <c r="AQ365" s="344" t="s">
        <v>1970</v>
      </c>
      <c r="AR365" s="344" t="s">
        <v>2150</v>
      </c>
      <c r="AS365" s="2" t="s">
        <v>3608</v>
      </c>
      <c r="AV365" s="344" t="s">
        <v>3810</v>
      </c>
    </row>
    <row r="366" spans="1:53" x14ac:dyDescent="0.3">
      <c r="A366" s="2" t="s">
        <v>1701</v>
      </c>
      <c r="B366" s="2" t="s">
        <v>1571</v>
      </c>
      <c r="C366" s="2" t="s">
        <v>3480</v>
      </c>
      <c r="D366" s="2" t="s">
        <v>1704</v>
      </c>
      <c r="E366" s="2" t="s">
        <v>2259</v>
      </c>
      <c r="F366" s="344" t="s">
        <v>1978</v>
      </c>
      <c r="G366" s="2">
        <v>15</v>
      </c>
      <c r="H366" s="2">
        <v>15</v>
      </c>
      <c r="I366" s="2" t="s">
        <v>1970</v>
      </c>
      <c r="J366" s="2" t="s">
        <v>1970</v>
      </c>
      <c r="K366" s="2" t="s">
        <v>1970</v>
      </c>
      <c r="L366" s="2" t="s">
        <v>1970</v>
      </c>
      <c r="M366" s="2" t="s">
        <v>1970</v>
      </c>
      <c r="N366" s="344" t="s">
        <v>1978</v>
      </c>
      <c r="O366" s="344" t="s">
        <v>1978</v>
      </c>
      <c r="P366" s="344" t="s">
        <v>1978</v>
      </c>
      <c r="Q366" s="344" t="s">
        <v>1978</v>
      </c>
      <c r="R366" s="344" t="s">
        <v>1978</v>
      </c>
      <c r="S366" s="344" t="s">
        <v>1978</v>
      </c>
      <c r="T366" s="2" t="s">
        <v>1702</v>
      </c>
      <c r="U366" s="2" t="s">
        <v>1970</v>
      </c>
      <c r="V366" s="251" t="s">
        <v>1970</v>
      </c>
      <c r="W366" s="251" t="s">
        <v>1970</v>
      </c>
      <c r="X366" s="344">
        <f>'A123'!J374</f>
        <v>35</v>
      </c>
      <c r="Y366" s="344">
        <f>'A123'!K374</f>
        <v>27</v>
      </c>
      <c r="Z366" s="344">
        <f>'A123'!L374</f>
        <v>6.45</v>
      </c>
      <c r="AA366" s="2" t="s">
        <v>1970</v>
      </c>
      <c r="AB366" s="2" t="s">
        <v>1970</v>
      </c>
      <c r="AC366" s="2" t="s">
        <v>1970</v>
      </c>
      <c r="AD366" s="344" t="s">
        <v>2259</v>
      </c>
      <c r="AE366" s="2" t="s">
        <v>1970</v>
      </c>
      <c r="AF366" s="2" t="s">
        <v>1970</v>
      </c>
      <c r="AG366" s="344" t="s">
        <v>1970</v>
      </c>
      <c r="AH366" s="2" t="s">
        <v>1970</v>
      </c>
      <c r="AI366" s="2" t="s">
        <v>1970</v>
      </c>
      <c r="AJ366" s="2" t="s">
        <v>1970</v>
      </c>
      <c r="AK366" s="2" t="s">
        <v>1970</v>
      </c>
      <c r="AL366" s="2" t="s">
        <v>1970</v>
      </c>
      <c r="AM366" s="2" t="s">
        <v>1970</v>
      </c>
      <c r="AN366" s="2" t="s">
        <v>1970</v>
      </c>
      <c r="AO366" s="2" t="s">
        <v>1970</v>
      </c>
      <c r="AP366" s="251" t="s">
        <v>1970</v>
      </c>
      <c r="AQ366" s="344" t="s">
        <v>1970</v>
      </c>
      <c r="AR366" s="344" t="s">
        <v>2150</v>
      </c>
      <c r="AS366" s="2" t="s">
        <v>3608</v>
      </c>
      <c r="AV366" s="344" t="s">
        <v>3810</v>
      </c>
    </row>
    <row r="367" spans="1:53" x14ac:dyDescent="0.3">
      <c r="A367" s="2" t="s">
        <v>1705</v>
      </c>
      <c r="B367" s="2" t="s">
        <v>1571</v>
      </c>
      <c r="C367" s="2" t="s">
        <v>3480</v>
      </c>
      <c r="D367" s="2" t="s">
        <v>1708</v>
      </c>
      <c r="E367" s="2" t="s">
        <v>2259</v>
      </c>
      <c r="F367" s="344" t="s">
        <v>1978</v>
      </c>
      <c r="G367" s="2">
        <v>16</v>
      </c>
      <c r="H367" s="2">
        <v>15</v>
      </c>
      <c r="I367" s="2" t="s">
        <v>1970</v>
      </c>
      <c r="J367" s="2" t="s">
        <v>1970</v>
      </c>
      <c r="K367" s="2" t="s">
        <v>1970</v>
      </c>
      <c r="L367" s="2" t="s">
        <v>1970</v>
      </c>
      <c r="M367" s="2" t="s">
        <v>1970</v>
      </c>
      <c r="N367" s="344" t="s">
        <v>1978</v>
      </c>
      <c r="O367" s="344" t="s">
        <v>1978</v>
      </c>
      <c r="P367" s="344" t="s">
        <v>1978</v>
      </c>
      <c r="Q367" s="344" t="s">
        <v>1978</v>
      </c>
      <c r="R367" s="344" t="s">
        <v>1978</v>
      </c>
      <c r="S367" s="344" t="s">
        <v>1978</v>
      </c>
      <c r="T367" s="2" t="s">
        <v>1706</v>
      </c>
      <c r="U367" s="2" t="s">
        <v>1970</v>
      </c>
      <c r="V367" s="251" t="s">
        <v>1970</v>
      </c>
      <c r="W367" s="251" t="s">
        <v>1970</v>
      </c>
      <c r="X367" s="344">
        <f>'A123'!J375</f>
        <v>30</v>
      </c>
      <c r="Y367" s="344">
        <f>'A123'!K375</f>
        <v>25</v>
      </c>
      <c r="Z367" s="344">
        <f>'A123'!L375</f>
        <v>3.7058823529411766</v>
      </c>
      <c r="AA367" s="2" t="s">
        <v>1970</v>
      </c>
      <c r="AB367" s="2" t="s">
        <v>1970</v>
      </c>
      <c r="AC367" s="2" t="s">
        <v>1970</v>
      </c>
      <c r="AD367" s="344" t="s">
        <v>2259</v>
      </c>
      <c r="AE367" s="2" t="s">
        <v>1970</v>
      </c>
      <c r="AF367" s="2" t="s">
        <v>1970</v>
      </c>
      <c r="AG367" s="344" t="s">
        <v>1970</v>
      </c>
      <c r="AH367" s="2" t="s">
        <v>1970</v>
      </c>
      <c r="AI367" s="2" t="s">
        <v>1970</v>
      </c>
      <c r="AJ367" s="2" t="s">
        <v>1970</v>
      </c>
      <c r="AK367" s="2" t="s">
        <v>1970</v>
      </c>
      <c r="AL367" s="2" t="s">
        <v>1970</v>
      </c>
      <c r="AM367" s="2" t="s">
        <v>1970</v>
      </c>
      <c r="AN367" s="2" t="s">
        <v>1970</v>
      </c>
      <c r="AO367" s="2" t="s">
        <v>1970</v>
      </c>
      <c r="AP367" s="251" t="s">
        <v>1970</v>
      </c>
      <c r="AQ367" s="344" t="s">
        <v>1970</v>
      </c>
      <c r="AR367" s="344" t="s">
        <v>2150</v>
      </c>
      <c r="AS367" s="2" t="s">
        <v>3608</v>
      </c>
      <c r="AV367" s="344" t="s">
        <v>3810</v>
      </c>
    </row>
    <row r="368" spans="1:53" x14ac:dyDescent="0.3">
      <c r="A368" s="2" t="s">
        <v>1709</v>
      </c>
      <c r="B368" s="2" t="s">
        <v>1571</v>
      </c>
      <c r="C368" s="344" t="s">
        <v>3480</v>
      </c>
      <c r="D368" s="2" t="s">
        <v>1712</v>
      </c>
      <c r="E368" s="344" t="s">
        <v>2187</v>
      </c>
      <c r="F368" s="344" t="s">
        <v>1978</v>
      </c>
      <c r="G368" s="2" t="s">
        <v>1978</v>
      </c>
      <c r="H368" s="2" t="s">
        <v>1978</v>
      </c>
      <c r="I368" s="2" t="s">
        <v>1970</v>
      </c>
      <c r="J368" s="2" t="s">
        <v>1970</v>
      </c>
      <c r="K368" s="2" t="s">
        <v>1970</v>
      </c>
      <c r="L368" s="2" t="s">
        <v>1970</v>
      </c>
      <c r="M368" s="2" t="s">
        <v>1970</v>
      </c>
      <c r="N368" s="344" t="s">
        <v>1978</v>
      </c>
      <c r="O368" s="344" t="s">
        <v>1978</v>
      </c>
      <c r="P368" s="344" t="s">
        <v>1978</v>
      </c>
      <c r="Q368" s="344" t="s">
        <v>1978</v>
      </c>
      <c r="R368" s="344" t="s">
        <v>1978</v>
      </c>
      <c r="S368" s="344" t="s">
        <v>1978</v>
      </c>
      <c r="T368" s="2" t="s">
        <v>1710</v>
      </c>
      <c r="U368" s="2" t="s">
        <v>1970</v>
      </c>
      <c r="V368" s="251" t="s">
        <v>1970</v>
      </c>
      <c r="W368" s="251" t="s">
        <v>1970</v>
      </c>
      <c r="X368" s="344">
        <f>'A123'!J376</f>
        <v>30</v>
      </c>
      <c r="Y368" s="344" t="str">
        <f>'A123'!K376</f>
        <v>/</v>
      </c>
      <c r="Z368" s="344" t="str">
        <f>'A123'!L376</f>
        <v>新科目</v>
      </c>
      <c r="AA368" s="2" t="s">
        <v>1970</v>
      </c>
      <c r="AB368" s="2" t="s">
        <v>1970</v>
      </c>
      <c r="AC368" s="2" t="s">
        <v>1970</v>
      </c>
      <c r="AD368" s="344" t="s">
        <v>2259</v>
      </c>
      <c r="AE368" s="2" t="s">
        <v>1970</v>
      </c>
      <c r="AF368" s="2" t="s">
        <v>1970</v>
      </c>
      <c r="AG368" s="344" t="s">
        <v>1970</v>
      </c>
      <c r="AH368" s="2" t="s">
        <v>1970</v>
      </c>
      <c r="AI368" s="2" t="s">
        <v>1970</v>
      </c>
      <c r="AJ368" s="2" t="s">
        <v>1970</v>
      </c>
      <c r="AK368" s="2" t="s">
        <v>1970</v>
      </c>
      <c r="AL368" s="2" t="s">
        <v>1970</v>
      </c>
      <c r="AM368" s="2" t="s">
        <v>1970</v>
      </c>
      <c r="AN368" s="2" t="s">
        <v>1970</v>
      </c>
      <c r="AO368" s="2" t="s">
        <v>1970</v>
      </c>
      <c r="AP368" s="251" t="s">
        <v>1970</v>
      </c>
      <c r="AQ368" s="344" t="s">
        <v>1970</v>
      </c>
      <c r="AR368" s="344" t="s">
        <v>2150</v>
      </c>
      <c r="AS368" s="2" t="s">
        <v>3608</v>
      </c>
      <c r="AV368" s="344" t="s">
        <v>3810</v>
      </c>
    </row>
    <row r="369" spans="1:149" s="344" customFormat="1" x14ac:dyDescent="0.3"/>
    <row r="370" spans="1:149" x14ac:dyDescent="0.3">
      <c r="N370" s="344" t="s">
        <v>1978</v>
      </c>
      <c r="O370" s="344" t="s">
        <v>1978</v>
      </c>
      <c r="P370" s="344" t="s">
        <v>1978</v>
      </c>
      <c r="Q370" s="344" t="s">
        <v>1978</v>
      </c>
      <c r="R370" s="344" t="s">
        <v>1978</v>
      </c>
      <c r="S370" s="344" t="s">
        <v>1978</v>
      </c>
      <c r="AR370" s="344"/>
    </row>
    <row r="371" spans="1:149" x14ac:dyDescent="0.3">
      <c r="A371" s="2" t="s">
        <v>1714</v>
      </c>
      <c r="B371" s="2" t="s">
        <v>2350</v>
      </c>
      <c r="C371" s="2" t="s">
        <v>2646</v>
      </c>
      <c r="D371" s="2" t="s">
        <v>3487</v>
      </c>
      <c r="E371" s="2" t="s">
        <v>2354</v>
      </c>
      <c r="F371" s="2" t="s">
        <v>1970</v>
      </c>
      <c r="G371" s="2">
        <v>16.2</v>
      </c>
      <c r="H371" s="2" t="s">
        <v>1970</v>
      </c>
      <c r="N371" s="344" t="s">
        <v>1978</v>
      </c>
      <c r="O371" s="344" t="s">
        <v>1978</v>
      </c>
      <c r="P371" s="344" t="s">
        <v>1978</v>
      </c>
      <c r="Q371" s="344" t="s">
        <v>1978</v>
      </c>
      <c r="R371" s="344" t="s">
        <v>1978</v>
      </c>
      <c r="S371" s="344" t="s">
        <v>1978</v>
      </c>
      <c r="T371" s="2" t="s">
        <v>3567</v>
      </c>
      <c r="AB371" s="2" t="str">
        <f>入學要求!X380</f>
        <v>優先考慮 生物 或 組合科學 (生物) 考獲Lv.2或以上者</v>
      </c>
      <c r="AC371" s="344" t="str">
        <f>入學要求!Y380</f>
        <v>/</v>
      </c>
      <c r="AD371" s="344" t="s">
        <v>2354</v>
      </c>
      <c r="AQ371" s="344" t="s">
        <v>1970</v>
      </c>
      <c r="AR371" s="344" t="s">
        <v>2150</v>
      </c>
      <c r="AV371" s="344" t="s">
        <v>3822</v>
      </c>
      <c r="AX371" s="344" t="s">
        <v>3811</v>
      </c>
      <c r="AY371" s="344" t="s">
        <v>3812</v>
      </c>
    </row>
    <row r="372" spans="1:149" x14ac:dyDescent="0.3">
      <c r="A372" s="2" t="s">
        <v>1718</v>
      </c>
      <c r="B372" s="344" t="s">
        <v>2350</v>
      </c>
      <c r="C372" s="2" t="s">
        <v>2646</v>
      </c>
      <c r="D372" s="2" t="s">
        <v>3496</v>
      </c>
      <c r="E372" s="344" t="s">
        <v>2354</v>
      </c>
      <c r="F372" s="2" t="s">
        <v>1970</v>
      </c>
      <c r="G372" s="2">
        <v>14.4</v>
      </c>
      <c r="H372" s="2" t="s">
        <v>1970</v>
      </c>
      <c r="N372" s="344" t="s">
        <v>1978</v>
      </c>
      <c r="O372" s="344" t="s">
        <v>1978</v>
      </c>
      <c r="P372" s="344" t="s">
        <v>1978</v>
      </c>
      <c r="Q372" s="344" t="s">
        <v>1978</v>
      </c>
      <c r="R372" s="344" t="s">
        <v>1978</v>
      </c>
      <c r="S372" s="344" t="s">
        <v>1978</v>
      </c>
      <c r="T372" s="2" t="s">
        <v>1719</v>
      </c>
      <c r="AB372" s="344" t="str">
        <f>入學要求!X381</f>
        <v>/</v>
      </c>
      <c r="AC372" s="344" t="str">
        <f>入學要求!Y381</f>
        <v>/</v>
      </c>
      <c r="AD372" s="344" t="s">
        <v>2354</v>
      </c>
      <c r="AQ372" s="344" t="s">
        <v>1970</v>
      </c>
      <c r="AR372" s="344" t="s">
        <v>2150</v>
      </c>
      <c r="AV372" s="344" t="s">
        <v>3822</v>
      </c>
      <c r="AX372" s="344" t="s">
        <v>3811</v>
      </c>
      <c r="AY372" s="344" t="s">
        <v>3812</v>
      </c>
    </row>
    <row r="373" spans="1:149" x14ac:dyDescent="0.3">
      <c r="A373" s="2" t="s">
        <v>1722</v>
      </c>
      <c r="B373" s="344" t="s">
        <v>2350</v>
      </c>
      <c r="C373" s="2" t="s">
        <v>2646</v>
      </c>
      <c r="D373" s="2" t="s">
        <v>3497</v>
      </c>
      <c r="E373" s="344" t="s">
        <v>2354</v>
      </c>
      <c r="F373" s="2" t="s">
        <v>1970</v>
      </c>
      <c r="G373" s="2">
        <v>18.8</v>
      </c>
      <c r="H373" s="2" t="s">
        <v>1970</v>
      </c>
      <c r="I373" s="2" t="s">
        <v>3569</v>
      </c>
      <c r="J373" s="2" t="s">
        <v>3570</v>
      </c>
      <c r="N373" s="344" t="s">
        <v>1978</v>
      </c>
      <c r="O373" s="344" t="s">
        <v>1978</v>
      </c>
      <c r="P373" s="344" t="s">
        <v>1978</v>
      </c>
      <c r="Q373" s="344" t="s">
        <v>1978</v>
      </c>
      <c r="R373" s="344" t="s">
        <v>1978</v>
      </c>
      <c r="S373" s="344" t="s">
        <v>1978</v>
      </c>
      <c r="T373" s="2" t="s">
        <v>1723</v>
      </c>
      <c r="AB373" s="344" t="str">
        <f>入學要求!X382</f>
        <v>優先考慮:  英文 考獲 Lv.4 或以上 者 及</v>
      </c>
      <c r="AC373" s="344" t="str">
        <f>入學要求!Y382</f>
        <v>優先考慮 物理 或 生物 或 組合科學 (物理、生物) 考獲Lv.3或以上者</v>
      </c>
      <c r="AD373" s="344" t="s">
        <v>2354</v>
      </c>
      <c r="AE373" s="344" t="s">
        <v>3569</v>
      </c>
      <c r="AF373" s="344" t="s">
        <v>3570</v>
      </c>
      <c r="AQ373" s="344" t="s">
        <v>1970</v>
      </c>
      <c r="AR373" s="344" t="s">
        <v>2150</v>
      </c>
      <c r="AV373" s="344" t="s">
        <v>3822</v>
      </c>
      <c r="AX373" s="344" t="s">
        <v>3811</v>
      </c>
      <c r="AY373" s="344" t="s">
        <v>3812</v>
      </c>
    </row>
    <row r="374" spans="1:149" x14ac:dyDescent="0.3">
      <c r="A374" s="2" t="s">
        <v>1726</v>
      </c>
      <c r="B374" s="344" t="s">
        <v>2350</v>
      </c>
      <c r="C374" s="2" t="s">
        <v>2646</v>
      </c>
      <c r="D374" s="2" t="s">
        <v>3498</v>
      </c>
      <c r="E374" s="344" t="s">
        <v>2354</v>
      </c>
      <c r="F374" s="2" t="s">
        <v>1970</v>
      </c>
      <c r="G374" s="2">
        <v>14.4</v>
      </c>
      <c r="H374" s="2" t="s">
        <v>1970</v>
      </c>
      <c r="N374" s="344" t="s">
        <v>1978</v>
      </c>
      <c r="O374" s="344" t="s">
        <v>1978</v>
      </c>
      <c r="P374" s="344" t="s">
        <v>1978</v>
      </c>
      <c r="Q374" s="344" t="s">
        <v>1978</v>
      </c>
      <c r="R374" s="344" t="s">
        <v>1978</v>
      </c>
      <c r="S374" s="344" t="s">
        <v>1978</v>
      </c>
      <c r="T374" s="2" t="s">
        <v>1727</v>
      </c>
      <c r="AB374" s="344" t="str">
        <f>入學要求!X383</f>
        <v>/</v>
      </c>
      <c r="AC374" s="344" t="str">
        <f>入學要求!Y383</f>
        <v>/</v>
      </c>
      <c r="AD374" s="344" t="s">
        <v>2354</v>
      </c>
      <c r="AQ374" s="344" t="s">
        <v>1970</v>
      </c>
      <c r="AR374" s="344" t="s">
        <v>2150</v>
      </c>
      <c r="AV374" s="344" t="s">
        <v>3822</v>
      </c>
      <c r="AX374" s="344" t="s">
        <v>3811</v>
      </c>
      <c r="AY374" s="344" t="s">
        <v>3812</v>
      </c>
    </row>
    <row r="375" spans="1:149" x14ac:dyDescent="0.3">
      <c r="A375" s="2" t="s">
        <v>1730</v>
      </c>
      <c r="B375" s="344" t="s">
        <v>2350</v>
      </c>
      <c r="C375" s="2" t="s">
        <v>2648</v>
      </c>
      <c r="D375" s="2" t="s">
        <v>3499</v>
      </c>
      <c r="E375" s="344" t="s">
        <v>2354</v>
      </c>
      <c r="F375" s="2">
        <f>SUMIF(EL375:ES375,TRUE,ED375:EK375)</f>
        <v>20</v>
      </c>
      <c r="G375" s="2" t="s">
        <v>1978</v>
      </c>
      <c r="H375" s="2">
        <f>SUMIF(BZ375:CG375,TRUE,BR375:BY375)</f>
        <v>15</v>
      </c>
      <c r="N375" s="344" t="s">
        <v>1978</v>
      </c>
      <c r="O375" s="344" t="s">
        <v>1978</v>
      </c>
      <c r="P375" s="344" t="s">
        <v>1978</v>
      </c>
      <c r="Q375" s="344" t="s">
        <v>1978</v>
      </c>
      <c r="R375" s="344" t="s">
        <v>1978</v>
      </c>
      <c r="S375" s="344" t="s">
        <v>1978</v>
      </c>
      <c r="T375" s="2" t="s">
        <v>1731</v>
      </c>
      <c r="AB375" s="344" t="str">
        <f>入學要求!X384</f>
        <v>/</v>
      </c>
      <c r="AC375" s="344" t="str">
        <f>入學要求!Y384</f>
        <v>/</v>
      </c>
      <c r="AD375" s="344" t="s">
        <v>2354</v>
      </c>
      <c r="AQ375" s="344" t="s">
        <v>1970</v>
      </c>
      <c r="AR375" s="344" t="s">
        <v>2150</v>
      </c>
      <c r="AV375" s="344" t="s">
        <v>3822</v>
      </c>
      <c r="AX375" s="344" t="s">
        <v>3813</v>
      </c>
      <c r="AY375" s="344" t="s">
        <v>3814</v>
      </c>
      <c r="BB375" s="2">
        <v>1</v>
      </c>
      <c r="BC375" s="344">
        <v>1</v>
      </c>
      <c r="BD375" s="344">
        <v>1</v>
      </c>
      <c r="BE375" s="344">
        <v>1</v>
      </c>
      <c r="BF375" s="344">
        <v>1</v>
      </c>
      <c r="BG375" s="344">
        <v>1</v>
      </c>
      <c r="BH375" s="344">
        <v>1</v>
      </c>
      <c r="BI375" s="344">
        <v>1</v>
      </c>
      <c r="BJ375" s="2">
        <v>4</v>
      </c>
      <c r="BK375" s="2">
        <v>3</v>
      </c>
      <c r="BL375" s="2">
        <v>2</v>
      </c>
      <c r="BM375" s="2">
        <v>3</v>
      </c>
      <c r="BO375" s="2">
        <v>3</v>
      </c>
      <c r="BR375" s="2">
        <f>BB375*BJ375</f>
        <v>4</v>
      </c>
      <c r="BS375" s="344">
        <f t="shared" ref="BS375:BY375" si="589">BC375*BK375</f>
        <v>3</v>
      </c>
      <c r="BT375" s="344">
        <f t="shared" si="589"/>
        <v>2</v>
      </c>
      <c r="BU375" s="344">
        <f t="shared" si="589"/>
        <v>3</v>
      </c>
      <c r="BV375" s="344">
        <f t="shared" si="589"/>
        <v>0</v>
      </c>
      <c r="BW375" s="344">
        <f t="shared" si="589"/>
        <v>3</v>
      </c>
      <c r="BX375" s="344">
        <f t="shared" si="589"/>
        <v>0</v>
      </c>
      <c r="BY375" s="344">
        <f t="shared" si="589"/>
        <v>0</v>
      </c>
      <c r="BZ375" s="344" t="b">
        <v>1</v>
      </c>
      <c r="CA375" s="344" t="b">
        <v>1</v>
      </c>
      <c r="CB375" s="344" t="b">
        <v>1</v>
      </c>
      <c r="CC375" s="344" t="b">
        <v>1</v>
      </c>
      <c r="CD375" s="344" t="b">
        <v>0</v>
      </c>
      <c r="CE375" s="344" t="b">
        <v>1</v>
      </c>
      <c r="CF375" s="344" t="b">
        <v>0</v>
      </c>
      <c r="CG375" s="344" t="b">
        <v>0</v>
      </c>
      <c r="DN375" s="344">
        <v>1</v>
      </c>
      <c r="DO375" s="344">
        <v>1</v>
      </c>
      <c r="DP375" s="344">
        <v>1</v>
      </c>
      <c r="DQ375" s="344">
        <v>1</v>
      </c>
      <c r="DR375" s="344">
        <v>1</v>
      </c>
      <c r="DS375" s="344">
        <v>1</v>
      </c>
      <c r="DT375" s="344">
        <v>1</v>
      </c>
      <c r="DU375" s="344">
        <v>1</v>
      </c>
      <c r="DV375" s="2">
        <v>4</v>
      </c>
      <c r="DW375" s="2">
        <v>4</v>
      </c>
      <c r="DX375" s="2">
        <v>4</v>
      </c>
      <c r="DY375" s="2">
        <v>3</v>
      </c>
      <c r="EA375" s="344">
        <v>5</v>
      </c>
      <c r="ED375" s="2">
        <f>DV375*DN375</f>
        <v>4</v>
      </c>
      <c r="EE375" s="344">
        <f t="shared" ref="EE375:EK375" si="590">DW375*DO375</f>
        <v>4</v>
      </c>
      <c r="EF375" s="344">
        <f t="shared" si="590"/>
        <v>4</v>
      </c>
      <c r="EG375" s="344">
        <f t="shared" si="590"/>
        <v>3</v>
      </c>
      <c r="EH375" s="344">
        <f t="shared" si="590"/>
        <v>0</v>
      </c>
      <c r="EI375" s="344">
        <f t="shared" si="590"/>
        <v>5</v>
      </c>
      <c r="EJ375" s="344">
        <f t="shared" si="590"/>
        <v>0</v>
      </c>
      <c r="EK375" s="344">
        <f t="shared" si="590"/>
        <v>0</v>
      </c>
      <c r="EL375" s="2" t="b">
        <v>1</v>
      </c>
      <c r="EM375" s="344" t="b">
        <v>1</v>
      </c>
      <c r="EN375" s="344" t="b">
        <v>1</v>
      </c>
      <c r="EO375" s="344" t="b">
        <v>1</v>
      </c>
      <c r="EP375" s="2" t="b">
        <v>0</v>
      </c>
      <c r="EQ375" s="344" t="b">
        <v>1</v>
      </c>
      <c r="ER375" s="344" t="b">
        <v>0</v>
      </c>
      <c r="ES375" s="344" t="b">
        <v>0</v>
      </c>
    </row>
    <row r="376" spans="1:149" x14ac:dyDescent="0.3">
      <c r="A376" s="2" t="s">
        <v>1734</v>
      </c>
      <c r="B376" s="344" t="s">
        <v>2350</v>
      </c>
      <c r="C376" s="2" t="s">
        <v>2648</v>
      </c>
      <c r="D376" s="2" t="s">
        <v>3500</v>
      </c>
      <c r="E376" s="344" t="s">
        <v>2259</v>
      </c>
      <c r="F376" s="344">
        <f t="shared" ref="F376:F377" si="591">SUMIF(EL376:ES376,TRUE,ED376:EK376)</f>
        <v>19</v>
      </c>
      <c r="G376" s="344" t="s">
        <v>1978</v>
      </c>
      <c r="H376" s="344">
        <f t="shared" ref="H376" si="592">SUMIF(BZ376:CG376,TRUE,BR376:BY376)</f>
        <v>17</v>
      </c>
      <c r="N376" s="344" t="s">
        <v>1978</v>
      </c>
      <c r="O376" s="344" t="s">
        <v>1978</v>
      </c>
      <c r="P376" s="344" t="s">
        <v>1978</v>
      </c>
      <c r="Q376" s="344" t="s">
        <v>1978</v>
      </c>
      <c r="R376" s="344" t="s">
        <v>1978</v>
      </c>
      <c r="S376" s="344" t="s">
        <v>1978</v>
      </c>
      <c r="T376" s="2" t="s">
        <v>1735</v>
      </c>
      <c r="AB376" s="344" t="str">
        <f>入學要求!X385</f>
        <v>/</v>
      </c>
      <c r="AC376" s="344" t="str">
        <f>入學要求!Y385</f>
        <v>/</v>
      </c>
      <c r="AD376" s="344" t="s">
        <v>2259</v>
      </c>
      <c r="AQ376" s="344" t="s">
        <v>1970</v>
      </c>
      <c r="AR376" s="344" t="s">
        <v>2150</v>
      </c>
      <c r="AV376" s="344" t="s">
        <v>3822</v>
      </c>
      <c r="AX376" s="344" t="s">
        <v>3813</v>
      </c>
      <c r="AY376" s="344" t="s">
        <v>3814</v>
      </c>
      <c r="BB376" s="344">
        <v>1</v>
      </c>
      <c r="BC376" s="344">
        <v>1</v>
      </c>
      <c r="BD376" s="344">
        <v>1</v>
      </c>
      <c r="BE376" s="344">
        <v>1</v>
      </c>
      <c r="BF376" s="344">
        <v>1</v>
      </c>
      <c r="BG376" s="344">
        <v>1</v>
      </c>
      <c r="BH376" s="344">
        <v>1</v>
      </c>
      <c r="BI376" s="344">
        <v>1</v>
      </c>
      <c r="BJ376" s="2">
        <v>3</v>
      </c>
      <c r="BK376" s="2">
        <v>3</v>
      </c>
      <c r="BL376" s="2">
        <v>4</v>
      </c>
      <c r="BM376" s="2">
        <v>2</v>
      </c>
      <c r="BO376" s="2">
        <v>5</v>
      </c>
      <c r="BR376" s="344">
        <f>BB376*BJ376</f>
        <v>3</v>
      </c>
      <c r="BS376" s="344">
        <f t="shared" ref="BS376" si="593">BC376*BK376</f>
        <v>3</v>
      </c>
      <c r="BT376" s="344">
        <f t="shared" ref="BT376" si="594">BD376*BL376</f>
        <v>4</v>
      </c>
      <c r="BU376" s="344">
        <f t="shared" ref="BU376" si="595">BE376*BM376</f>
        <v>2</v>
      </c>
      <c r="BV376" s="344">
        <f t="shared" ref="BV376" si="596">BF376*BN376</f>
        <v>0</v>
      </c>
      <c r="BW376" s="344">
        <f t="shared" ref="BW376" si="597">BG376*BO376</f>
        <v>5</v>
      </c>
      <c r="BX376" s="344">
        <f t="shared" ref="BX376" si="598">BH376*BP376</f>
        <v>0</v>
      </c>
      <c r="BY376" s="344">
        <f t="shared" ref="BY376" si="599">BI376*BQ376</f>
        <v>0</v>
      </c>
      <c r="BZ376" s="344" t="b">
        <v>1</v>
      </c>
      <c r="CA376" s="344" t="b">
        <v>1</v>
      </c>
      <c r="CB376" s="344" t="b">
        <v>1</v>
      </c>
      <c r="CC376" s="344" t="b">
        <v>1</v>
      </c>
      <c r="CD376" s="344" t="b">
        <v>0</v>
      </c>
      <c r="CE376" s="344" t="b">
        <v>1</v>
      </c>
      <c r="CF376" s="344" t="b">
        <v>0</v>
      </c>
      <c r="CG376" s="344" t="b">
        <v>0</v>
      </c>
      <c r="DN376" s="344">
        <v>1</v>
      </c>
      <c r="DO376" s="344">
        <v>1</v>
      </c>
      <c r="DP376" s="344">
        <v>1</v>
      </c>
      <c r="DQ376" s="344">
        <v>1</v>
      </c>
      <c r="DR376" s="344">
        <v>1</v>
      </c>
      <c r="DS376" s="344">
        <v>1</v>
      </c>
      <c r="DT376" s="344">
        <v>1</v>
      </c>
      <c r="DU376" s="344">
        <v>1</v>
      </c>
      <c r="DV376" s="2">
        <v>7</v>
      </c>
      <c r="DW376" s="2">
        <v>4</v>
      </c>
      <c r="DX376" s="2">
        <v>2</v>
      </c>
      <c r="DY376" s="2">
        <v>3</v>
      </c>
      <c r="EA376" s="2">
        <v>3</v>
      </c>
      <c r="ED376" s="344">
        <f t="shared" ref="ED376:ED377" si="600">DV376*DN376</f>
        <v>7</v>
      </c>
      <c r="EE376" s="344">
        <f t="shared" ref="EE376:EE377" si="601">DW376*DO376</f>
        <v>4</v>
      </c>
      <c r="EF376" s="344">
        <f t="shared" ref="EF376:EF377" si="602">DX376*DP376</f>
        <v>2</v>
      </c>
      <c r="EG376" s="344">
        <f t="shared" ref="EG376:EG377" si="603">DY376*DQ376</f>
        <v>3</v>
      </c>
      <c r="EH376" s="344">
        <f t="shared" ref="EH376:EH377" si="604">DZ376*DR376</f>
        <v>0</v>
      </c>
      <c r="EI376" s="344">
        <f t="shared" ref="EI376:EI377" si="605">EA376*DS376</f>
        <v>3</v>
      </c>
      <c r="EJ376" s="344">
        <f t="shared" ref="EJ376:EJ377" si="606">EB376*DT376</f>
        <v>0</v>
      </c>
      <c r="EK376" s="344">
        <f t="shared" ref="EK376:EK377" si="607">EC376*DU376</f>
        <v>0</v>
      </c>
      <c r="EL376" s="344" t="b">
        <v>1</v>
      </c>
      <c r="EM376" s="344" t="b">
        <v>1</v>
      </c>
      <c r="EN376" s="344" t="b">
        <v>1</v>
      </c>
      <c r="EO376" s="344" t="b">
        <v>1</v>
      </c>
      <c r="EP376" s="344" t="b">
        <v>0</v>
      </c>
      <c r="EQ376" s="344" t="b">
        <v>1</v>
      </c>
      <c r="ER376" s="344" t="b">
        <v>0</v>
      </c>
      <c r="ES376" s="344" t="b">
        <v>0</v>
      </c>
    </row>
    <row r="377" spans="1:149" x14ac:dyDescent="0.3">
      <c r="A377" s="2" t="s">
        <v>1738</v>
      </c>
      <c r="B377" s="344" t="s">
        <v>2350</v>
      </c>
      <c r="C377" s="2" t="s">
        <v>2648</v>
      </c>
      <c r="D377" s="2" t="s">
        <v>3501</v>
      </c>
      <c r="E377" s="344" t="s">
        <v>2259</v>
      </c>
      <c r="F377" s="344">
        <f t="shared" si="591"/>
        <v>14</v>
      </c>
      <c r="G377" s="344" t="s">
        <v>1978</v>
      </c>
      <c r="H377" s="344" t="s">
        <v>1978</v>
      </c>
      <c r="N377" s="344" t="s">
        <v>1978</v>
      </c>
      <c r="O377" s="344" t="s">
        <v>1978</v>
      </c>
      <c r="P377" s="344" t="s">
        <v>1978</v>
      </c>
      <c r="Q377" s="344" t="s">
        <v>1978</v>
      </c>
      <c r="R377" s="344" t="s">
        <v>1978</v>
      </c>
      <c r="S377" s="344" t="s">
        <v>1978</v>
      </c>
      <c r="T377" s="2" t="s">
        <v>1739</v>
      </c>
      <c r="AB377" s="344" t="str">
        <f>入學要求!X386</f>
        <v>/</v>
      </c>
      <c r="AC377" s="344" t="str">
        <f>入學要求!Y386</f>
        <v>/</v>
      </c>
      <c r="AD377" s="344" t="s">
        <v>2259</v>
      </c>
      <c r="AQ377" s="344" t="s">
        <v>1970</v>
      </c>
      <c r="AR377" s="344" t="s">
        <v>2150</v>
      </c>
      <c r="AV377" s="344" t="s">
        <v>3822</v>
      </c>
      <c r="AX377" s="344" t="s">
        <v>3813</v>
      </c>
      <c r="AY377" s="344" t="s">
        <v>3814</v>
      </c>
      <c r="BB377" s="344">
        <v>1</v>
      </c>
      <c r="BC377" s="344">
        <v>1</v>
      </c>
      <c r="BD377" s="344">
        <v>1</v>
      </c>
      <c r="BE377" s="344">
        <v>1</v>
      </c>
      <c r="BF377" s="344">
        <v>1</v>
      </c>
      <c r="BG377" s="344">
        <v>1</v>
      </c>
      <c r="BH377" s="344">
        <v>1</v>
      </c>
      <c r="BI377" s="344">
        <v>1</v>
      </c>
      <c r="BJ377" s="2" t="s">
        <v>1978</v>
      </c>
      <c r="BK377" s="344" t="s">
        <v>1978</v>
      </c>
      <c r="BL377" s="344" t="s">
        <v>1978</v>
      </c>
      <c r="BM377" s="344" t="s">
        <v>1978</v>
      </c>
      <c r="BN377" s="344" t="s">
        <v>1978</v>
      </c>
      <c r="BO377" s="344" t="s">
        <v>1978</v>
      </c>
      <c r="DN377" s="344">
        <v>1</v>
      </c>
      <c r="DO377" s="344">
        <v>1</v>
      </c>
      <c r="DP377" s="344">
        <v>1</v>
      </c>
      <c r="DQ377" s="344">
        <v>1</v>
      </c>
      <c r="DR377" s="344">
        <v>1</v>
      </c>
      <c r="DS377" s="344">
        <v>1</v>
      </c>
      <c r="DT377" s="344">
        <v>1</v>
      </c>
      <c r="DU377" s="344">
        <v>1</v>
      </c>
      <c r="DV377" s="2">
        <v>3</v>
      </c>
      <c r="DW377" s="2">
        <v>3</v>
      </c>
      <c r="DX377" s="2">
        <v>3</v>
      </c>
      <c r="DY377" s="2">
        <v>2</v>
      </c>
      <c r="EA377" s="2">
        <v>3</v>
      </c>
      <c r="ED377" s="344">
        <f t="shared" si="600"/>
        <v>3</v>
      </c>
      <c r="EE377" s="344">
        <f t="shared" si="601"/>
        <v>3</v>
      </c>
      <c r="EF377" s="344">
        <f t="shared" si="602"/>
        <v>3</v>
      </c>
      <c r="EG377" s="344">
        <f t="shared" si="603"/>
        <v>2</v>
      </c>
      <c r="EH377" s="344">
        <f t="shared" si="604"/>
        <v>0</v>
      </c>
      <c r="EI377" s="344">
        <f t="shared" si="605"/>
        <v>3</v>
      </c>
      <c r="EJ377" s="344">
        <f t="shared" si="606"/>
        <v>0</v>
      </c>
      <c r="EK377" s="344">
        <f t="shared" si="607"/>
        <v>0</v>
      </c>
      <c r="EL377" s="344" t="b">
        <v>1</v>
      </c>
      <c r="EM377" s="344" t="b">
        <v>1</v>
      </c>
      <c r="EN377" s="344" t="b">
        <v>1</v>
      </c>
      <c r="EO377" s="344" t="b">
        <v>1</v>
      </c>
      <c r="EP377" s="344" t="b">
        <v>0</v>
      </c>
      <c r="EQ377" s="344" t="b">
        <v>1</v>
      </c>
      <c r="ER377" s="344" t="b">
        <v>0</v>
      </c>
      <c r="ES377" s="344" t="b">
        <v>0</v>
      </c>
    </row>
    <row r="378" spans="1:149" x14ac:dyDescent="0.3">
      <c r="A378" s="2" t="s">
        <v>1742</v>
      </c>
      <c r="B378" s="344" t="s">
        <v>2350</v>
      </c>
      <c r="C378" s="2" t="s">
        <v>3823</v>
      </c>
      <c r="D378" s="2" t="s">
        <v>3502</v>
      </c>
      <c r="E378" s="344" t="s">
        <v>2354</v>
      </c>
      <c r="F378" s="2" t="s">
        <v>1970</v>
      </c>
      <c r="G378" s="2">
        <v>16.29</v>
      </c>
      <c r="H378" s="2" t="s">
        <v>1970</v>
      </c>
      <c r="N378" s="344" t="s">
        <v>1978</v>
      </c>
      <c r="O378" s="344" t="s">
        <v>1978</v>
      </c>
      <c r="P378" s="344" t="s">
        <v>1978</v>
      </c>
      <c r="Q378" s="344" t="s">
        <v>1978</v>
      </c>
      <c r="R378" s="344" t="s">
        <v>1978</v>
      </c>
      <c r="S378" s="344" t="s">
        <v>1978</v>
      </c>
      <c r="T378" s="2" t="s">
        <v>1743</v>
      </c>
      <c r="AB378" s="344" t="str">
        <f>入學要求!X387</f>
        <v>/</v>
      </c>
      <c r="AC378" s="344" t="str">
        <f>入學要求!Y387</f>
        <v>/</v>
      </c>
      <c r="AD378" s="344" t="s">
        <v>2354</v>
      </c>
      <c r="AQ378" s="344" t="s">
        <v>1970</v>
      </c>
      <c r="AR378" s="344" t="s">
        <v>2150</v>
      </c>
      <c r="AV378" s="344" t="s">
        <v>3822</v>
      </c>
      <c r="AX378" s="344" t="s">
        <v>3824</v>
      </c>
      <c r="AY378" s="344" t="s">
        <v>3815</v>
      </c>
    </row>
    <row r="379" spans="1:149" x14ac:dyDescent="0.3">
      <c r="A379" s="2" t="s">
        <v>1746</v>
      </c>
      <c r="B379" s="344" t="s">
        <v>2350</v>
      </c>
      <c r="C379" s="2" t="s">
        <v>2649</v>
      </c>
      <c r="D379" s="2" t="s">
        <v>3503</v>
      </c>
      <c r="E379" s="344" t="s">
        <v>2354</v>
      </c>
      <c r="F379" s="2" t="s">
        <v>1970</v>
      </c>
      <c r="G379" s="2">
        <v>16.649999999999999</v>
      </c>
      <c r="H379" s="2" t="s">
        <v>1970</v>
      </c>
      <c r="N379" s="344" t="s">
        <v>1978</v>
      </c>
      <c r="O379" s="344" t="s">
        <v>1978</v>
      </c>
      <c r="P379" s="344" t="s">
        <v>1978</v>
      </c>
      <c r="Q379" s="344" t="s">
        <v>1978</v>
      </c>
      <c r="R379" s="344" t="s">
        <v>1978</v>
      </c>
      <c r="S379" s="344" t="s">
        <v>1978</v>
      </c>
      <c r="T379" s="2" t="s">
        <v>1747</v>
      </c>
      <c r="AB379" s="344" t="str">
        <f>入學要求!X388</f>
        <v>/</v>
      </c>
      <c r="AC379" s="344" t="str">
        <f>入學要求!Y388</f>
        <v>/</v>
      </c>
      <c r="AD379" s="344" t="s">
        <v>2354</v>
      </c>
      <c r="AQ379" s="344" t="s">
        <v>1970</v>
      </c>
      <c r="AR379" s="344" t="s">
        <v>2150</v>
      </c>
      <c r="AV379" s="344" t="s">
        <v>3822</v>
      </c>
      <c r="AX379" s="344" t="s">
        <v>3824</v>
      </c>
      <c r="AY379" s="344" t="s">
        <v>3815</v>
      </c>
    </row>
    <row r="380" spans="1:149" x14ac:dyDescent="0.3">
      <c r="A380" s="2" t="s">
        <v>1750</v>
      </c>
      <c r="B380" s="344" t="s">
        <v>2350</v>
      </c>
      <c r="C380" s="2" t="s">
        <v>2649</v>
      </c>
      <c r="D380" s="2" t="s">
        <v>3504</v>
      </c>
      <c r="E380" s="344" t="s">
        <v>2259</v>
      </c>
      <c r="F380" s="2" t="s">
        <v>1970</v>
      </c>
      <c r="G380" s="2">
        <v>16.03</v>
      </c>
      <c r="H380" s="2" t="s">
        <v>1970</v>
      </c>
      <c r="N380" s="344" t="s">
        <v>1978</v>
      </c>
      <c r="O380" s="344" t="s">
        <v>1978</v>
      </c>
      <c r="P380" s="344" t="s">
        <v>1978</v>
      </c>
      <c r="Q380" s="344" t="s">
        <v>1978</v>
      </c>
      <c r="R380" s="344" t="s">
        <v>1978</v>
      </c>
      <c r="S380" s="344" t="s">
        <v>1978</v>
      </c>
      <c r="T380" s="2" t="s">
        <v>1754</v>
      </c>
      <c r="AB380" s="344" t="str">
        <f>入學要求!X389</f>
        <v>/</v>
      </c>
      <c r="AC380" s="344" t="str">
        <f>入學要求!Y389</f>
        <v>/</v>
      </c>
      <c r="AD380" s="344" t="s">
        <v>2259</v>
      </c>
      <c r="AQ380" s="344" t="s">
        <v>1970</v>
      </c>
      <c r="AR380" s="344" t="s">
        <v>2150</v>
      </c>
      <c r="AV380" s="344" t="s">
        <v>3822</v>
      </c>
      <c r="AX380" s="344" t="s">
        <v>3824</v>
      </c>
      <c r="AY380" s="344" t="s">
        <v>3815</v>
      </c>
    </row>
    <row r="381" spans="1:149" x14ac:dyDescent="0.3">
      <c r="A381" s="2" t="s">
        <v>1757</v>
      </c>
      <c r="B381" s="344" t="s">
        <v>2350</v>
      </c>
      <c r="C381" s="2" t="s">
        <v>2649</v>
      </c>
      <c r="D381" s="2" t="s">
        <v>3505</v>
      </c>
      <c r="E381" s="344" t="s">
        <v>2259</v>
      </c>
      <c r="F381" s="2" t="s">
        <v>1970</v>
      </c>
      <c r="G381" s="2">
        <v>16.239999999999998</v>
      </c>
      <c r="H381" s="2" t="s">
        <v>1970</v>
      </c>
      <c r="N381" s="344" t="s">
        <v>1978</v>
      </c>
      <c r="O381" s="344" t="s">
        <v>1978</v>
      </c>
      <c r="P381" s="344" t="s">
        <v>1978</v>
      </c>
      <c r="Q381" s="344" t="s">
        <v>1978</v>
      </c>
      <c r="R381" s="344" t="s">
        <v>1978</v>
      </c>
      <c r="S381" s="344" t="s">
        <v>1978</v>
      </c>
      <c r="T381" s="2" t="s">
        <v>1758</v>
      </c>
      <c r="AB381" s="344" t="str">
        <f>入學要求!X390</f>
        <v>/</v>
      </c>
      <c r="AC381" s="344" t="str">
        <f>入學要求!Y390</f>
        <v>/</v>
      </c>
      <c r="AD381" s="344" t="s">
        <v>2259</v>
      </c>
      <c r="AQ381" s="344" t="s">
        <v>1970</v>
      </c>
      <c r="AR381" s="344" t="s">
        <v>2150</v>
      </c>
      <c r="AV381" s="344" t="s">
        <v>3822</v>
      </c>
      <c r="AX381" s="344" t="s">
        <v>3824</v>
      </c>
      <c r="AY381" s="344" t="s">
        <v>3815</v>
      </c>
    </row>
    <row r="382" spans="1:149" x14ac:dyDescent="0.3">
      <c r="A382" s="2" t="s">
        <v>1761</v>
      </c>
      <c r="B382" s="344" t="s">
        <v>2350</v>
      </c>
      <c r="C382" s="2" t="s">
        <v>2649</v>
      </c>
      <c r="D382" s="2" t="s">
        <v>3506</v>
      </c>
      <c r="E382" s="344" t="s">
        <v>2259</v>
      </c>
      <c r="F382" s="2" t="s">
        <v>1970</v>
      </c>
      <c r="G382" s="2">
        <v>16.559999999999999</v>
      </c>
      <c r="H382" s="2" t="s">
        <v>1970</v>
      </c>
      <c r="N382" s="344" t="s">
        <v>1978</v>
      </c>
      <c r="O382" s="344" t="s">
        <v>1978</v>
      </c>
      <c r="P382" s="344" t="s">
        <v>1978</v>
      </c>
      <c r="Q382" s="344" t="s">
        <v>1978</v>
      </c>
      <c r="R382" s="344" t="s">
        <v>1978</v>
      </c>
      <c r="S382" s="344" t="s">
        <v>1978</v>
      </c>
      <c r="T382" s="2" t="s">
        <v>1762</v>
      </c>
      <c r="AB382" s="344" t="str">
        <f>入學要求!X391</f>
        <v>/</v>
      </c>
      <c r="AC382" s="344" t="str">
        <f>入學要求!Y391</f>
        <v>/</v>
      </c>
      <c r="AD382" s="344" t="s">
        <v>2259</v>
      </c>
      <c r="AQ382" s="344" t="s">
        <v>1970</v>
      </c>
      <c r="AR382" s="344" t="s">
        <v>2150</v>
      </c>
      <c r="AV382" s="344" t="s">
        <v>3822</v>
      </c>
      <c r="AX382" s="344" t="s">
        <v>3824</v>
      </c>
      <c r="AY382" s="344" t="s">
        <v>3815</v>
      </c>
    </row>
    <row r="383" spans="1:149" x14ac:dyDescent="0.3">
      <c r="A383" s="2" t="s">
        <v>1765</v>
      </c>
      <c r="B383" s="344" t="s">
        <v>2350</v>
      </c>
      <c r="C383" s="2" t="s">
        <v>2649</v>
      </c>
      <c r="D383" s="2" t="s">
        <v>2353</v>
      </c>
      <c r="E383" s="344" t="s">
        <v>2259</v>
      </c>
      <c r="F383" s="2" t="s">
        <v>1970</v>
      </c>
      <c r="G383" s="2">
        <v>16.440000000000001</v>
      </c>
      <c r="H383" s="2" t="s">
        <v>1970</v>
      </c>
      <c r="N383" s="344" t="s">
        <v>1978</v>
      </c>
      <c r="O383" s="344" t="s">
        <v>1978</v>
      </c>
      <c r="P383" s="344" t="s">
        <v>1978</v>
      </c>
      <c r="Q383" s="344" t="s">
        <v>1978</v>
      </c>
      <c r="R383" s="344" t="s">
        <v>1978</v>
      </c>
      <c r="S383" s="344" t="s">
        <v>1978</v>
      </c>
      <c r="T383" s="2" t="s">
        <v>1766</v>
      </c>
      <c r="AB383" s="344" t="str">
        <f>入學要求!X392</f>
        <v>/</v>
      </c>
      <c r="AC383" s="344" t="str">
        <f>入學要求!Y392</f>
        <v>/</v>
      </c>
      <c r="AD383" s="344" t="s">
        <v>2259</v>
      </c>
      <c r="AQ383" s="344" t="s">
        <v>1970</v>
      </c>
      <c r="AR383" s="344" t="s">
        <v>2150</v>
      </c>
      <c r="AV383" s="344" t="s">
        <v>3822</v>
      </c>
      <c r="AX383" s="344" t="s">
        <v>3824</v>
      </c>
      <c r="AY383" s="344" t="s">
        <v>3815</v>
      </c>
    </row>
    <row r="384" spans="1:149" x14ac:dyDescent="0.3">
      <c r="A384" s="2" t="s">
        <v>1769</v>
      </c>
      <c r="B384" s="344" t="s">
        <v>2350</v>
      </c>
      <c r="C384" s="2" t="s">
        <v>2650</v>
      </c>
      <c r="D384" s="2" t="s">
        <v>3507</v>
      </c>
      <c r="E384" s="2" t="s">
        <v>2171</v>
      </c>
      <c r="F384" s="2" t="s">
        <v>1970</v>
      </c>
      <c r="G384" s="2">
        <v>17.5</v>
      </c>
      <c r="H384" s="2" t="s">
        <v>1970</v>
      </c>
      <c r="N384" s="344" t="s">
        <v>1978</v>
      </c>
      <c r="O384" s="344" t="s">
        <v>1978</v>
      </c>
      <c r="P384" s="344" t="s">
        <v>1978</v>
      </c>
      <c r="Q384" s="344" t="s">
        <v>1978</v>
      </c>
      <c r="R384" s="344" t="s">
        <v>1978</v>
      </c>
      <c r="S384" s="344" t="s">
        <v>1978</v>
      </c>
      <c r="T384" s="2" t="s">
        <v>1770</v>
      </c>
      <c r="AB384" s="344" t="str">
        <f>入學要求!X393</f>
        <v>優先考慮:  英文 考獲 Lv.4 或以上 者</v>
      </c>
      <c r="AC384" s="344" t="str">
        <f>入學要求!Y393</f>
        <v>/</v>
      </c>
      <c r="AD384" s="344" t="s">
        <v>2171</v>
      </c>
      <c r="AQ384" s="344" t="s">
        <v>1970</v>
      </c>
      <c r="AR384" s="344" t="s">
        <v>2150</v>
      </c>
      <c r="AV384" s="344" t="s">
        <v>3822</v>
      </c>
      <c r="AX384" s="344" t="s">
        <v>3816</v>
      </c>
      <c r="AY384" s="344" t="s">
        <v>3812</v>
      </c>
    </row>
    <row r="385" spans="1:53" x14ac:dyDescent="0.3">
      <c r="A385" s="2" t="s">
        <v>1773</v>
      </c>
      <c r="B385" s="344" t="s">
        <v>2350</v>
      </c>
      <c r="C385" s="2" t="s">
        <v>2650</v>
      </c>
      <c r="D385" s="2" t="s">
        <v>3508</v>
      </c>
      <c r="E385" s="344" t="s">
        <v>2171</v>
      </c>
      <c r="F385" s="2" t="s">
        <v>1970</v>
      </c>
      <c r="G385" s="2">
        <v>21.5</v>
      </c>
      <c r="H385" s="2" t="s">
        <v>1970</v>
      </c>
      <c r="N385" s="344" t="s">
        <v>1978</v>
      </c>
      <c r="O385" s="344" t="s">
        <v>1978</v>
      </c>
      <c r="P385" s="344" t="s">
        <v>1978</v>
      </c>
      <c r="Q385" s="344" t="s">
        <v>1978</v>
      </c>
      <c r="R385" s="344" t="s">
        <v>1978</v>
      </c>
      <c r="S385" s="344" t="s">
        <v>1978</v>
      </c>
      <c r="T385" s="2" t="s">
        <v>1774</v>
      </c>
      <c r="AB385" s="344" t="str">
        <f>入學要求!X394</f>
        <v>優先考慮:  英文 考獲 Lv.4 或以上 者</v>
      </c>
      <c r="AC385" s="344" t="str">
        <f>入學要求!Y394</f>
        <v>優先考慮:  化學 或 組合科學 (化學) 考獲Lv.4或以上者</v>
      </c>
      <c r="AD385" s="344" t="s">
        <v>2171</v>
      </c>
      <c r="AQ385" s="344" t="s">
        <v>1970</v>
      </c>
      <c r="AR385" s="344" t="s">
        <v>2150</v>
      </c>
      <c r="AV385" s="344" t="s">
        <v>3822</v>
      </c>
      <c r="AX385" s="344" t="s">
        <v>3816</v>
      </c>
      <c r="AY385" s="344" t="s">
        <v>3812</v>
      </c>
    </row>
    <row r="386" spans="1:53" x14ac:dyDescent="0.3">
      <c r="A386" s="2" t="s">
        <v>1777</v>
      </c>
      <c r="B386" s="344" t="s">
        <v>2350</v>
      </c>
      <c r="C386" s="2" t="s">
        <v>2650</v>
      </c>
      <c r="D386" s="2" t="s">
        <v>3509</v>
      </c>
      <c r="E386" s="344" t="s">
        <v>1977</v>
      </c>
      <c r="F386" s="2" t="s">
        <v>1970</v>
      </c>
      <c r="G386" s="2">
        <v>23.9</v>
      </c>
      <c r="H386" s="2" t="s">
        <v>1970</v>
      </c>
      <c r="N386" s="344" t="s">
        <v>1978</v>
      </c>
      <c r="O386" s="344" t="s">
        <v>1978</v>
      </c>
      <c r="P386" s="344" t="s">
        <v>1978</v>
      </c>
      <c r="Q386" s="344" t="s">
        <v>1978</v>
      </c>
      <c r="R386" s="344" t="s">
        <v>1978</v>
      </c>
      <c r="S386" s="344" t="s">
        <v>1978</v>
      </c>
      <c r="T386" s="2" t="s">
        <v>1778</v>
      </c>
      <c r="AB386" s="344" t="str">
        <f>入學要求!X395</f>
        <v>優先考慮:  英文 Lv.4 或以上，數學 和 通識 及 [物理 或 綜合科學 或 組合科學(物理) ]Lv.3或以上者</v>
      </c>
      <c r="AC386" s="344" t="str">
        <f>入學要求!Y395</f>
        <v>以下一科選修取得Lv.3︰生物、化學、物理、組合科學、綜合科學 或 健康護理實務(Distinction (I))</v>
      </c>
      <c r="AD386" s="344" t="s">
        <v>1977</v>
      </c>
      <c r="AQ386" s="344" t="s">
        <v>1970</v>
      </c>
      <c r="AR386" s="344" t="s">
        <v>2150</v>
      </c>
      <c r="AV386" s="344" t="s">
        <v>3822</v>
      </c>
      <c r="AX386" s="344" t="s">
        <v>3816</v>
      </c>
      <c r="AY386" s="344" t="s">
        <v>3812</v>
      </c>
    </row>
    <row r="387" spans="1:53" x14ac:dyDescent="0.3">
      <c r="A387" s="2" t="s">
        <v>1781</v>
      </c>
      <c r="B387" s="344" t="s">
        <v>2350</v>
      </c>
      <c r="C387" s="2" t="s">
        <v>2650</v>
      </c>
      <c r="D387" s="2" t="s">
        <v>3510</v>
      </c>
      <c r="E387" s="344" t="s">
        <v>1977</v>
      </c>
      <c r="F387" s="2" t="s">
        <v>1970</v>
      </c>
      <c r="G387" s="2">
        <v>21.9</v>
      </c>
      <c r="H387" s="2" t="s">
        <v>1970</v>
      </c>
      <c r="N387" s="344" t="s">
        <v>1978</v>
      </c>
      <c r="O387" s="344" t="s">
        <v>1978</v>
      </c>
      <c r="P387" s="344" t="s">
        <v>1978</v>
      </c>
      <c r="Q387" s="344" t="s">
        <v>1978</v>
      </c>
      <c r="R387" s="344" t="s">
        <v>1978</v>
      </c>
      <c r="S387" s="344" t="s">
        <v>1978</v>
      </c>
      <c r="T387" s="2" t="s">
        <v>1782</v>
      </c>
      <c r="AB387" s="344" t="str">
        <f>入學要求!X396</f>
        <v>優先考慮:  英文 考獲 Lv.4 或以上 者</v>
      </c>
      <c r="AC387" s="344" t="str">
        <f>入學要求!Y396</f>
        <v>優先考慮 生物 或 組合科學 (生物) 考獲Lv.3或以上者</v>
      </c>
      <c r="AD387" s="344" t="s">
        <v>1977</v>
      </c>
      <c r="AQ387" s="344" t="s">
        <v>1970</v>
      </c>
      <c r="AR387" s="344" t="s">
        <v>2150</v>
      </c>
      <c r="AV387" s="344" t="s">
        <v>3822</v>
      </c>
      <c r="AX387" s="344" t="s">
        <v>3816</v>
      </c>
      <c r="AY387" s="344" t="s">
        <v>3812</v>
      </c>
    </row>
    <row r="388" spans="1:53" x14ac:dyDescent="0.3">
      <c r="A388" s="2" t="s">
        <v>1785</v>
      </c>
      <c r="B388" s="344" t="s">
        <v>2350</v>
      </c>
      <c r="C388" s="2" t="s">
        <v>2650</v>
      </c>
      <c r="D388" s="2" t="s">
        <v>3511</v>
      </c>
      <c r="E388" s="344" t="s">
        <v>1977</v>
      </c>
      <c r="F388" s="2" t="s">
        <v>1970</v>
      </c>
      <c r="G388" s="2">
        <v>24</v>
      </c>
      <c r="H388" s="2" t="s">
        <v>1970</v>
      </c>
      <c r="N388" s="344" t="s">
        <v>1978</v>
      </c>
      <c r="O388" s="344" t="s">
        <v>1978</v>
      </c>
      <c r="P388" s="344" t="s">
        <v>1978</v>
      </c>
      <c r="Q388" s="344" t="s">
        <v>1978</v>
      </c>
      <c r="R388" s="344" t="s">
        <v>1978</v>
      </c>
      <c r="S388" s="344" t="s">
        <v>1978</v>
      </c>
      <c r="T388" s="2" t="s">
        <v>1786</v>
      </c>
      <c r="AB388" s="344" t="str">
        <f>入學要求!X397</f>
        <v>優先考慮:  英文 考獲 Lv.4 或以上 者</v>
      </c>
      <c r="AC388" s="344" t="str">
        <f>入學要求!Y397</f>
        <v>優先考慮 生物 或 組合科學 (生物) 考獲Lv.3或以上者</v>
      </c>
      <c r="AD388" s="344" t="s">
        <v>1977</v>
      </c>
      <c r="AQ388" s="344" t="s">
        <v>1970</v>
      </c>
      <c r="AR388" s="344" t="s">
        <v>2150</v>
      </c>
      <c r="AV388" s="344" t="s">
        <v>3822</v>
      </c>
      <c r="AX388" s="344" t="s">
        <v>3816</v>
      </c>
      <c r="AY388" s="344" t="s">
        <v>3812</v>
      </c>
    </row>
    <row r="389" spans="1:53" x14ac:dyDescent="0.3">
      <c r="A389" s="2" t="s">
        <v>3560</v>
      </c>
      <c r="B389" s="344" t="s">
        <v>2350</v>
      </c>
      <c r="C389" s="344" t="s">
        <v>2650</v>
      </c>
      <c r="D389" s="2" t="s">
        <v>3512</v>
      </c>
      <c r="E389" s="344" t="s">
        <v>2187</v>
      </c>
      <c r="F389" s="2" t="s">
        <v>1970</v>
      </c>
      <c r="G389" s="2" t="s">
        <v>1978</v>
      </c>
      <c r="H389" s="2" t="s">
        <v>1970</v>
      </c>
      <c r="N389" s="344" t="s">
        <v>1978</v>
      </c>
      <c r="O389" s="344" t="s">
        <v>1978</v>
      </c>
      <c r="P389" s="344" t="s">
        <v>1978</v>
      </c>
      <c r="Q389" s="344" t="s">
        <v>1978</v>
      </c>
      <c r="R389" s="344" t="s">
        <v>1978</v>
      </c>
      <c r="S389" s="344" t="s">
        <v>1978</v>
      </c>
      <c r="T389" s="2" t="s">
        <v>1790</v>
      </c>
      <c r="AB389" s="344" t="str">
        <f>入學要求!X398</f>
        <v>/</v>
      </c>
      <c r="AC389" s="344" t="str">
        <f>入學要求!Y398</f>
        <v>/</v>
      </c>
      <c r="AD389" s="344" t="s">
        <v>2171</v>
      </c>
      <c r="AQ389" s="344" t="s">
        <v>1970</v>
      </c>
      <c r="AR389" s="344" t="s">
        <v>2150</v>
      </c>
      <c r="AV389" s="344" t="s">
        <v>3822</v>
      </c>
      <c r="AX389" s="344" t="s">
        <v>3816</v>
      </c>
      <c r="AY389" s="344" t="s">
        <v>3812</v>
      </c>
    </row>
    <row r="390" spans="1:53" x14ac:dyDescent="0.3">
      <c r="A390" s="2" t="s">
        <v>1793</v>
      </c>
      <c r="B390" s="344" t="s">
        <v>2350</v>
      </c>
      <c r="C390" s="2" t="s">
        <v>3486</v>
      </c>
      <c r="D390" s="2" t="s">
        <v>3513</v>
      </c>
      <c r="E390" s="2" t="s">
        <v>2354</v>
      </c>
      <c r="F390" s="2" t="s">
        <v>1970</v>
      </c>
      <c r="G390" s="2">
        <v>19</v>
      </c>
      <c r="H390" s="2">
        <v>18</v>
      </c>
      <c r="K390" s="2" t="s">
        <v>3399</v>
      </c>
      <c r="N390" s="344" t="s">
        <v>1978</v>
      </c>
      <c r="O390" s="344" t="s">
        <v>1978</v>
      </c>
      <c r="P390" s="344" t="s">
        <v>1978</v>
      </c>
      <c r="Q390" s="344" t="s">
        <v>1978</v>
      </c>
      <c r="R390" s="344" t="s">
        <v>1978</v>
      </c>
      <c r="S390" s="344" t="s">
        <v>1978</v>
      </c>
      <c r="T390" s="2" t="s">
        <v>1794</v>
      </c>
      <c r="AB390" s="344" t="str">
        <f>入學要求!X399</f>
        <v>/</v>
      </c>
      <c r="AC390" s="344" t="str">
        <f>入學要求!Y399</f>
        <v>/</v>
      </c>
      <c r="AD390" s="344" t="s">
        <v>2354</v>
      </c>
      <c r="AQ390" s="344" t="s">
        <v>1970</v>
      </c>
      <c r="AR390" s="344" t="s">
        <v>2150</v>
      </c>
      <c r="AS390" s="2" t="s">
        <v>3608</v>
      </c>
      <c r="AV390" s="344" t="s">
        <v>3822</v>
      </c>
      <c r="AX390" s="344" t="s">
        <v>3817</v>
      </c>
      <c r="AY390" s="344" t="s">
        <v>3818</v>
      </c>
    </row>
    <row r="391" spans="1:53" x14ac:dyDescent="0.3">
      <c r="A391" s="2" t="s">
        <v>1799</v>
      </c>
      <c r="B391" s="344" t="s">
        <v>2350</v>
      </c>
      <c r="C391" s="344" t="s">
        <v>3486</v>
      </c>
      <c r="D391" s="2" t="s">
        <v>3514</v>
      </c>
      <c r="E391" s="344" t="s">
        <v>2354</v>
      </c>
      <c r="F391" s="2" t="s">
        <v>1970</v>
      </c>
      <c r="G391" s="2">
        <v>16</v>
      </c>
      <c r="H391" s="2">
        <v>15</v>
      </c>
      <c r="N391" s="344" t="s">
        <v>1978</v>
      </c>
      <c r="O391" s="344" t="s">
        <v>1978</v>
      </c>
      <c r="P391" s="344" t="s">
        <v>1978</v>
      </c>
      <c r="Q391" s="344" t="s">
        <v>1978</v>
      </c>
      <c r="R391" s="344" t="s">
        <v>1978</v>
      </c>
      <c r="S391" s="344" t="s">
        <v>1978</v>
      </c>
      <c r="T391" s="2" t="s">
        <v>1800</v>
      </c>
      <c r="AB391" s="344" t="str">
        <f>入學要求!X400</f>
        <v>/</v>
      </c>
      <c r="AC391" s="344" t="str">
        <f>入學要求!Y400</f>
        <v>/</v>
      </c>
      <c r="AD391" s="344" t="s">
        <v>2354</v>
      </c>
      <c r="AQ391" s="344" t="s">
        <v>1970</v>
      </c>
      <c r="AR391" s="344" t="s">
        <v>2150</v>
      </c>
      <c r="AS391" s="2" t="s">
        <v>3608</v>
      </c>
      <c r="AV391" s="344" t="s">
        <v>3822</v>
      </c>
      <c r="AX391" s="344" t="s">
        <v>3817</v>
      </c>
      <c r="AY391" s="344" t="s">
        <v>3818</v>
      </c>
    </row>
    <row r="392" spans="1:53" x14ac:dyDescent="0.3">
      <c r="A392" s="2" t="s">
        <v>1805</v>
      </c>
      <c r="B392" s="344" t="s">
        <v>2350</v>
      </c>
      <c r="C392" s="344" t="s">
        <v>3486</v>
      </c>
      <c r="D392" s="2" t="s">
        <v>3515</v>
      </c>
      <c r="E392" s="344" t="s">
        <v>2259</v>
      </c>
      <c r="F392" s="2" t="s">
        <v>1970</v>
      </c>
      <c r="G392" s="2">
        <v>17</v>
      </c>
      <c r="H392" s="2">
        <v>15</v>
      </c>
      <c r="N392" s="344" t="s">
        <v>1978</v>
      </c>
      <c r="O392" s="344" t="s">
        <v>1978</v>
      </c>
      <c r="P392" s="344" t="s">
        <v>1978</v>
      </c>
      <c r="Q392" s="344" t="s">
        <v>1978</v>
      </c>
      <c r="R392" s="344" t="s">
        <v>1978</v>
      </c>
      <c r="S392" s="344" t="s">
        <v>1978</v>
      </c>
      <c r="T392" s="2" t="s">
        <v>1806</v>
      </c>
      <c r="AB392" s="344" t="str">
        <f>入學要求!X401</f>
        <v>/</v>
      </c>
      <c r="AC392" s="344" t="str">
        <f>入學要求!Y401</f>
        <v>/</v>
      </c>
      <c r="AD392" s="344" t="s">
        <v>2259</v>
      </c>
      <c r="AQ392" s="344" t="s">
        <v>1970</v>
      </c>
      <c r="AR392" s="344" t="s">
        <v>2150</v>
      </c>
      <c r="AS392" s="2" t="s">
        <v>3608</v>
      </c>
      <c r="AV392" s="344" t="s">
        <v>3822</v>
      </c>
      <c r="AX392" s="344" t="s">
        <v>3817</v>
      </c>
      <c r="AY392" s="344" t="s">
        <v>3818</v>
      </c>
    </row>
    <row r="393" spans="1:53" x14ac:dyDescent="0.3">
      <c r="A393" s="2" t="s">
        <v>1811</v>
      </c>
      <c r="B393" s="344" t="s">
        <v>2350</v>
      </c>
      <c r="C393" s="344" t="s">
        <v>3486</v>
      </c>
      <c r="D393" s="2" t="s">
        <v>3516</v>
      </c>
      <c r="E393" s="344" t="s">
        <v>2259</v>
      </c>
      <c r="F393" s="2" t="s">
        <v>1970</v>
      </c>
      <c r="G393" s="2">
        <v>20</v>
      </c>
      <c r="H393" s="2">
        <v>19</v>
      </c>
      <c r="K393" s="344" t="s">
        <v>3559</v>
      </c>
      <c r="N393" s="344" t="s">
        <v>1978</v>
      </c>
      <c r="O393" s="344" t="s">
        <v>1978</v>
      </c>
      <c r="P393" s="344" t="s">
        <v>1978</v>
      </c>
      <c r="Q393" s="344" t="s">
        <v>1978</v>
      </c>
      <c r="R393" s="344" t="s">
        <v>1978</v>
      </c>
      <c r="S393" s="344" t="s">
        <v>1978</v>
      </c>
      <c r="T393" s="2" t="s">
        <v>1812</v>
      </c>
      <c r="AB393" s="344" t="str">
        <f>入學要求!X402</f>
        <v>/</v>
      </c>
      <c r="AC393" s="344" t="str">
        <f>入學要求!Y402</f>
        <v>/</v>
      </c>
      <c r="AD393" s="344" t="s">
        <v>2259</v>
      </c>
      <c r="AQ393" s="344" t="s">
        <v>1970</v>
      </c>
      <c r="AR393" s="344" t="s">
        <v>2150</v>
      </c>
      <c r="AU393" s="565">
        <v>44775</v>
      </c>
      <c r="AV393" s="344" t="s">
        <v>3822</v>
      </c>
      <c r="AX393" s="344" t="s">
        <v>3817</v>
      </c>
      <c r="AY393" s="344" t="s">
        <v>3818</v>
      </c>
      <c r="AZ393" s="565"/>
      <c r="BA393" s="565"/>
    </row>
    <row r="394" spans="1:53" x14ac:dyDescent="0.3">
      <c r="A394" s="2" t="s">
        <v>1817</v>
      </c>
      <c r="B394" s="344" t="s">
        <v>2350</v>
      </c>
      <c r="C394" s="344" t="s">
        <v>3486</v>
      </c>
      <c r="D394" s="2" t="s">
        <v>3517</v>
      </c>
      <c r="E394" s="344" t="s">
        <v>2259</v>
      </c>
      <c r="F394" s="2" t="s">
        <v>1970</v>
      </c>
      <c r="G394" s="2">
        <v>17</v>
      </c>
      <c r="H394" s="2">
        <v>16</v>
      </c>
      <c r="K394" s="2" t="s">
        <v>3559</v>
      </c>
      <c r="N394" s="344" t="s">
        <v>1978</v>
      </c>
      <c r="O394" s="344" t="s">
        <v>1978</v>
      </c>
      <c r="P394" s="344" t="s">
        <v>1978</v>
      </c>
      <c r="Q394" s="344" t="s">
        <v>1978</v>
      </c>
      <c r="R394" s="344" t="s">
        <v>1978</v>
      </c>
      <c r="S394" s="344" t="s">
        <v>1978</v>
      </c>
      <c r="T394" s="2" t="s">
        <v>1818</v>
      </c>
      <c r="AB394" s="344" t="str">
        <f>入學要求!X403</f>
        <v>/</v>
      </c>
      <c r="AC394" s="344" t="str">
        <f>入學要求!Y403</f>
        <v>/</v>
      </c>
      <c r="AD394" s="344" t="s">
        <v>2259</v>
      </c>
      <c r="AQ394" s="344" t="s">
        <v>1970</v>
      </c>
      <c r="AR394" s="344" t="s">
        <v>2150</v>
      </c>
      <c r="AU394" s="565">
        <v>44775</v>
      </c>
      <c r="AV394" s="344" t="s">
        <v>3822</v>
      </c>
      <c r="AX394" s="344" t="s">
        <v>3817</v>
      </c>
      <c r="AY394" s="344" t="s">
        <v>3818</v>
      </c>
      <c r="AZ394" s="565"/>
      <c r="BA394" s="565"/>
    </row>
    <row r="395" spans="1:53" x14ac:dyDescent="0.3">
      <c r="A395" s="2" t="s">
        <v>1823</v>
      </c>
      <c r="B395" s="344" t="s">
        <v>2350</v>
      </c>
      <c r="C395" s="344" t="s">
        <v>3486</v>
      </c>
      <c r="D395" s="2" t="s">
        <v>2358</v>
      </c>
      <c r="E395" s="344" t="s">
        <v>1977</v>
      </c>
      <c r="F395" s="2" t="s">
        <v>1970</v>
      </c>
      <c r="G395" s="2">
        <v>34</v>
      </c>
      <c r="H395" s="2">
        <v>31</v>
      </c>
      <c r="K395" s="2" t="s">
        <v>3558</v>
      </c>
      <c r="N395" s="344" t="s">
        <v>1978</v>
      </c>
      <c r="O395" s="344" t="s">
        <v>1978</v>
      </c>
      <c r="P395" s="344" t="s">
        <v>1978</v>
      </c>
      <c r="Q395" s="344" t="s">
        <v>1978</v>
      </c>
      <c r="R395" s="344" t="s">
        <v>1978</v>
      </c>
      <c r="S395" s="344" t="s">
        <v>1978</v>
      </c>
      <c r="T395" s="2" t="s">
        <v>1824</v>
      </c>
      <c r="AB395" s="344" t="str">
        <f>入學要求!X404</f>
        <v>/</v>
      </c>
      <c r="AC395" s="344" t="str">
        <f>入學要求!Y404</f>
        <v>/</v>
      </c>
      <c r="AD395" s="344" t="s">
        <v>1977</v>
      </c>
      <c r="AQ395" s="344" t="s">
        <v>1970</v>
      </c>
      <c r="AR395" s="344" t="s">
        <v>2150</v>
      </c>
      <c r="AV395" s="344" t="s">
        <v>3822</v>
      </c>
      <c r="AX395" s="344" t="s">
        <v>3817</v>
      </c>
      <c r="AY395" s="344" t="s">
        <v>3818</v>
      </c>
    </row>
    <row r="396" spans="1:53" x14ac:dyDescent="0.3">
      <c r="A396" s="2" t="s">
        <v>1833</v>
      </c>
      <c r="B396" s="344" t="s">
        <v>2350</v>
      </c>
      <c r="C396" s="344" t="s">
        <v>3486</v>
      </c>
      <c r="D396" s="2" t="s">
        <v>3518</v>
      </c>
      <c r="E396" s="344" t="s">
        <v>2259</v>
      </c>
      <c r="F396" s="2" t="s">
        <v>1970</v>
      </c>
      <c r="G396" s="2">
        <v>14</v>
      </c>
      <c r="H396" s="2">
        <v>13</v>
      </c>
      <c r="I396" s="2" t="s">
        <v>3566</v>
      </c>
      <c r="J396" s="2" t="s">
        <v>3565</v>
      </c>
      <c r="N396" s="344" t="s">
        <v>1978</v>
      </c>
      <c r="O396" s="344" t="s">
        <v>1978</v>
      </c>
      <c r="P396" s="344" t="s">
        <v>1978</v>
      </c>
      <c r="Q396" s="344" t="s">
        <v>1978</v>
      </c>
      <c r="R396" s="344" t="s">
        <v>1978</v>
      </c>
      <c r="S396" s="344" t="s">
        <v>1978</v>
      </c>
      <c r="T396" s="2" t="s">
        <v>1834</v>
      </c>
      <c r="AB396" s="344" t="str">
        <f>入學要求!X405</f>
        <v>/</v>
      </c>
      <c r="AC396" s="344" t="str">
        <f>入學要求!Y405</f>
        <v>/</v>
      </c>
      <c r="AD396" s="344" t="s">
        <v>2259</v>
      </c>
      <c r="AQ396" s="344" t="s">
        <v>1970</v>
      </c>
      <c r="AR396" s="344" t="s">
        <v>2150</v>
      </c>
      <c r="AV396" s="344" t="s">
        <v>3822</v>
      </c>
      <c r="AX396" s="344" t="s">
        <v>3817</v>
      </c>
      <c r="AY396" s="344" t="s">
        <v>3818</v>
      </c>
    </row>
    <row r="397" spans="1:53" x14ac:dyDescent="0.3">
      <c r="A397" s="2" t="s">
        <v>1837</v>
      </c>
      <c r="B397" s="344" t="s">
        <v>2350</v>
      </c>
      <c r="C397" s="344" t="s">
        <v>3486</v>
      </c>
      <c r="D397" s="2" t="s">
        <v>3519</v>
      </c>
      <c r="E397" s="344" t="s">
        <v>2259</v>
      </c>
      <c r="F397" s="2" t="s">
        <v>1970</v>
      </c>
      <c r="G397" s="2">
        <v>16</v>
      </c>
      <c r="H397" s="2">
        <v>16</v>
      </c>
      <c r="N397" s="344" t="s">
        <v>1978</v>
      </c>
      <c r="O397" s="344" t="s">
        <v>1978</v>
      </c>
      <c r="P397" s="344" t="s">
        <v>1978</v>
      </c>
      <c r="Q397" s="344" t="s">
        <v>1978</v>
      </c>
      <c r="R397" s="344" t="s">
        <v>1978</v>
      </c>
      <c r="S397" s="344" t="s">
        <v>1978</v>
      </c>
      <c r="T397" s="2" t="s">
        <v>1838</v>
      </c>
      <c r="AB397" s="344" t="str">
        <f>入學要求!X406</f>
        <v>/</v>
      </c>
      <c r="AC397" s="344" t="str">
        <f>入學要求!Y406</f>
        <v>/</v>
      </c>
      <c r="AD397" s="344" t="s">
        <v>2259</v>
      </c>
      <c r="AQ397" s="344" t="s">
        <v>1970</v>
      </c>
      <c r="AR397" s="344" t="s">
        <v>2150</v>
      </c>
      <c r="AV397" s="344" t="s">
        <v>3822</v>
      </c>
      <c r="AX397" s="344" t="s">
        <v>3817</v>
      </c>
      <c r="AY397" s="344" t="s">
        <v>3818</v>
      </c>
    </row>
    <row r="398" spans="1:53" x14ac:dyDescent="0.3">
      <c r="A398" s="2" t="s">
        <v>1843</v>
      </c>
      <c r="B398" s="344" t="s">
        <v>2350</v>
      </c>
      <c r="C398" s="344" t="s">
        <v>3486</v>
      </c>
      <c r="D398" s="2" t="s">
        <v>2359</v>
      </c>
      <c r="E398" s="344" t="s">
        <v>2259</v>
      </c>
      <c r="F398" s="2" t="s">
        <v>1970</v>
      </c>
      <c r="G398" s="2">
        <v>16</v>
      </c>
      <c r="H398" s="2">
        <v>15</v>
      </c>
      <c r="N398" s="344" t="s">
        <v>1978</v>
      </c>
      <c r="O398" s="344" t="s">
        <v>1978</v>
      </c>
      <c r="P398" s="344" t="s">
        <v>1978</v>
      </c>
      <c r="Q398" s="344" t="s">
        <v>1978</v>
      </c>
      <c r="R398" s="344" t="s">
        <v>1978</v>
      </c>
      <c r="S398" s="344" t="s">
        <v>1978</v>
      </c>
      <c r="T398" s="2" t="s">
        <v>1844</v>
      </c>
      <c r="AB398" s="344" t="str">
        <f>入學要求!X407</f>
        <v>/</v>
      </c>
      <c r="AC398" s="344" t="str">
        <f>入學要求!Y407</f>
        <v>/</v>
      </c>
      <c r="AD398" s="344" t="s">
        <v>2259</v>
      </c>
      <c r="AQ398" s="344" t="s">
        <v>1970</v>
      </c>
      <c r="AR398" s="344" t="s">
        <v>2150</v>
      </c>
      <c r="AV398" s="344" t="s">
        <v>3822</v>
      </c>
      <c r="AX398" s="344" t="s">
        <v>3817</v>
      </c>
      <c r="AY398" s="344" t="s">
        <v>3818</v>
      </c>
    </row>
    <row r="399" spans="1:53" x14ac:dyDescent="0.3">
      <c r="A399" s="2" t="s">
        <v>1849</v>
      </c>
      <c r="B399" s="344" t="s">
        <v>2350</v>
      </c>
      <c r="C399" s="344" t="s">
        <v>3486</v>
      </c>
      <c r="D399" s="2" t="s">
        <v>2360</v>
      </c>
      <c r="E399" s="344" t="s">
        <v>2259</v>
      </c>
      <c r="F399" s="2" t="s">
        <v>1970</v>
      </c>
      <c r="G399" s="2">
        <v>15</v>
      </c>
      <c r="H399" s="2">
        <v>15</v>
      </c>
      <c r="N399" s="344" t="s">
        <v>1978</v>
      </c>
      <c r="O399" s="344" t="s">
        <v>1978</v>
      </c>
      <c r="P399" s="344" t="s">
        <v>1978</v>
      </c>
      <c r="Q399" s="344" t="s">
        <v>1978</v>
      </c>
      <c r="R399" s="344" t="s">
        <v>1978</v>
      </c>
      <c r="S399" s="344" t="s">
        <v>1978</v>
      </c>
      <c r="T399" s="2" t="s">
        <v>1850</v>
      </c>
      <c r="AB399" s="344" t="str">
        <f>入學要求!X408</f>
        <v>/</v>
      </c>
      <c r="AC399" s="344" t="str">
        <f>入學要求!Y408</f>
        <v>/</v>
      </c>
      <c r="AD399" s="344" t="s">
        <v>2259</v>
      </c>
      <c r="AQ399" s="344" t="s">
        <v>1970</v>
      </c>
      <c r="AR399" s="344" t="s">
        <v>2150</v>
      </c>
      <c r="AV399" s="344" t="s">
        <v>3822</v>
      </c>
      <c r="AX399" s="344" t="s">
        <v>3817</v>
      </c>
      <c r="AY399" s="344" t="s">
        <v>3818</v>
      </c>
    </row>
    <row r="400" spans="1:53" x14ac:dyDescent="0.3">
      <c r="A400" s="2" t="s">
        <v>1855</v>
      </c>
      <c r="B400" s="344" t="s">
        <v>2350</v>
      </c>
      <c r="C400" s="344" t="s">
        <v>3486</v>
      </c>
      <c r="D400" s="2" t="s">
        <v>3520</v>
      </c>
      <c r="E400" s="344" t="s">
        <v>2259</v>
      </c>
      <c r="F400" s="2" t="s">
        <v>1970</v>
      </c>
      <c r="G400" s="2">
        <v>16</v>
      </c>
      <c r="H400" s="2">
        <v>16</v>
      </c>
      <c r="N400" s="344" t="s">
        <v>1978</v>
      </c>
      <c r="O400" s="344" t="s">
        <v>1978</v>
      </c>
      <c r="P400" s="344" t="s">
        <v>1978</v>
      </c>
      <c r="Q400" s="344" t="s">
        <v>1978</v>
      </c>
      <c r="R400" s="344" t="s">
        <v>1978</v>
      </c>
      <c r="S400" s="344" t="s">
        <v>1978</v>
      </c>
      <c r="T400" s="2" t="s">
        <v>1856</v>
      </c>
      <c r="AB400" s="344" t="str">
        <f>入學要求!X409</f>
        <v>/</v>
      </c>
      <c r="AC400" s="344" t="str">
        <f>入學要求!Y409</f>
        <v>/</v>
      </c>
      <c r="AD400" s="344" t="s">
        <v>2259</v>
      </c>
      <c r="AQ400" s="344" t="s">
        <v>1970</v>
      </c>
      <c r="AR400" s="344" t="s">
        <v>2150</v>
      </c>
      <c r="AV400" s="344" t="s">
        <v>3822</v>
      </c>
      <c r="AX400" s="344" t="s">
        <v>3817</v>
      </c>
      <c r="AY400" s="344" t="s">
        <v>3818</v>
      </c>
    </row>
    <row r="401" spans="1:51" x14ac:dyDescent="0.3">
      <c r="A401" s="2" t="s">
        <v>1861</v>
      </c>
      <c r="B401" s="344" t="s">
        <v>2350</v>
      </c>
      <c r="C401" s="344" t="s">
        <v>3486</v>
      </c>
      <c r="D401" s="2" t="s">
        <v>3521</v>
      </c>
      <c r="E401" s="344" t="s">
        <v>2259</v>
      </c>
      <c r="F401" s="2" t="s">
        <v>1970</v>
      </c>
      <c r="G401" s="2">
        <v>16</v>
      </c>
      <c r="H401" s="2">
        <v>15</v>
      </c>
      <c r="N401" s="344" t="s">
        <v>1978</v>
      </c>
      <c r="O401" s="344" t="s">
        <v>1978</v>
      </c>
      <c r="P401" s="344" t="s">
        <v>1978</v>
      </c>
      <c r="Q401" s="344" t="s">
        <v>1978</v>
      </c>
      <c r="R401" s="344" t="s">
        <v>1978</v>
      </c>
      <c r="S401" s="344" t="s">
        <v>1978</v>
      </c>
      <c r="T401" s="2" t="s">
        <v>1862</v>
      </c>
      <c r="AB401" s="344" t="str">
        <f>入學要求!X410</f>
        <v>/</v>
      </c>
      <c r="AC401" s="344" t="str">
        <f>入學要求!Y410</f>
        <v>/</v>
      </c>
      <c r="AD401" s="344" t="s">
        <v>2259</v>
      </c>
      <c r="AQ401" s="344" t="s">
        <v>1970</v>
      </c>
      <c r="AR401" s="344" t="s">
        <v>2150</v>
      </c>
      <c r="AV401" s="344" t="s">
        <v>3822</v>
      </c>
      <c r="AX401" s="344" t="s">
        <v>3817</v>
      </c>
      <c r="AY401" s="344" t="s">
        <v>3818</v>
      </c>
    </row>
    <row r="402" spans="1:51" x14ac:dyDescent="0.3">
      <c r="A402" s="2" t="s">
        <v>1867</v>
      </c>
      <c r="B402" s="344" t="s">
        <v>2350</v>
      </c>
      <c r="C402" s="344" t="s">
        <v>3486</v>
      </c>
      <c r="D402" s="2" t="s">
        <v>3522</v>
      </c>
      <c r="E402" s="344" t="s">
        <v>2259</v>
      </c>
      <c r="F402" s="2" t="s">
        <v>1970</v>
      </c>
      <c r="G402" s="2">
        <v>16</v>
      </c>
      <c r="H402" s="2">
        <v>15</v>
      </c>
      <c r="N402" s="344" t="s">
        <v>1978</v>
      </c>
      <c r="O402" s="344" t="s">
        <v>1978</v>
      </c>
      <c r="P402" s="344" t="s">
        <v>1978</v>
      </c>
      <c r="Q402" s="344" t="s">
        <v>1978</v>
      </c>
      <c r="R402" s="344" t="s">
        <v>1978</v>
      </c>
      <c r="S402" s="344" t="s">
        <v>1978</v>
      </c>
      <c r="T402" s="2" t="s">
        <v>1868</v>
      </c>
      <c r="AB402" s="344" t="str">
        <f>入學要求!X411</f>
        <v>/</v>
      </c>
      <c r="AC402" s="344" t="str">
        <f>入學要求!Y411</f>
        <v>/</v>
      </c>
      <c r="AD402" s="344" t="s">
        <v>2259</v>
      </c>
      <c r="AQ402" s="344" t="s">
        <v>1970</v>
      </c>
      <c r="AR402" s="344" t="s">
        <v>2150</v>
      </c>
      <c r="AV402" s="344" t="s">
        <v>3822</v>
      </c>
      <c r="AX402" s="344" t="s">
        <v>3817</v>
      </c>
      <c r="AY402" s="344" t="s">
        <v>3818</v>
      </c>
    </row>
    <row r="403" spans="1:51" x14ac:dyDescent="0.3">
      <c r="A403" s="2" t="s">
        <v>1873</v>
      </c>
      <c r="B403" s="344" t="s">
        <v>2350</v>
      </c>
      <c r="C403" s="344" t="s">
        <v>3486</v>
      </c>
      <c r="D403" s="2" t="s">
        <v>3523</v>
      </c>
      <c r="E403" s="344" t="s">
        <v>2259</v>
      </c>
      <c r="F403" s="2" t="s">
        <v>1970</v>
      </c>
      <c r="G403" s="2">
        <v>17</v>
      </c>
      <c r="H403" s="2">
        <v>15</v>
      </c>
      <c r="N403" s="344" t="s">
        <v>1978</v>
      </c>
      <c r="O403" s="344" t="s">
        <v>1978</v>
      </c>
      <c r="P403" s="344" t="s">
        <v>1978</v>
      </c>
      <c r="Q403" s="344" t="s">
        <v>1978</v>
      </c>
      <c r="R403" s="344" t="s">
        <v>1978</v>
      </c>
      <c r="S403" s="344" t="s">
        <v>1978</v>
      </c>
      <c r="T403" s="2" t="s">
        <v>1874</v>
      </c>
      <c r="AB403" s="344" t="str">
        <f>入學要求!X412</f>
        <v>/</v>
      </c>
      <c r="AC403" s="344" t="str">
        <f>入學要求!Y412</f>
        <v>/</v>
      </c>
      <c r="AD403" s="344" t="s">
        <v>2259</v>
      </c>
      <c r="AQ403" s="344" t="s">
        <v>1970</v>
      </c>
      <c r="AR403" s="344" t="s">
        <v>2150</v>
      </c>
      <c r="AV403" s="344" t="s">
        <v>3822</v>
      </c>
      <c r="AX403" s="344" t="s">
        <v>3817</v>
      </c>
      <c r="AY403" s="344" t="s">
        <v>3818</v>
      </c>
    </row>
    <row r="404" spans="1:51" x14ac:dyDescent="0.3">
      <c r="A404" s="2" t="s">
        <v>1879</v>
      </c>
      <c r="B404" s="344" t="s">
        <v>2350</v>
      </c>
      <c r="C404" s="344" t="s">
        <v>3486</v>
      </c>
      <c r="D404" s="2" t="s">
        <v>3495</v>
      </c>
      <c r="E404" s="344" t="s">
        <v>2259</v>
      </c>
      <c r="F404" s="2" t="s">
        <v>1970</v>
      </c>
      <c r="G404" s="2">
        <v>15</v>
      </c>
      <c r="H404" s="2">
        <v>15</v>
      </c>
      <c r="N404" s="344" t="s">
        <v>1978</v>
      </c>
      <c r="O404" s="344" t="s">
        <v>1978</v>
      </c>
      <c r="P404" s="344" t="s">
        <v>1978</v>
      </c>
      <c r="Q404" s="344" t="s">
        <v>1978</v>
      </c>
      <c r="R404" s="344" t="s">
        <v>1978</v>
      </c>
      <c r="S404" s="344" t="s">
        <v>1978</v>
      </c>
      <c r="T404" s="2" t="s">
        <v>1880</v>
      </c>
      <c r="AB404" s="344" t="str">
        <f>入學要求!X413</f>
        <v>/</v>
      </c>
      <c r="AC404" s="344" t="str">
        <f>入學要求!Y413</f>
        <v>/</v>
      </c>
      <c r="AD404" s="344" t="s">
        <v>2259</v>
      </c>
      <c r="AQ404" s="344" t="s">
        <v>1970</v>
      </c>
      <c r="AR404" s="344" t="s">
        <v>2150</v>
      </c>
      <c r="AV404" s="344" t="s">
        <v>3822</v>
      </c>
      <c r="AX404" s="344" t="s">
        <v>3817</v>
      </c>
      <c r="AY404" s="344" t="s">
        <v>3818</v>
      </c>
    </row>
    <row r="405" spans="1:51" x14ac:dyDescent="0.3">
      <c r="A405" s="2" t="s">
        <v>1885</v>
      </c>
      <c r="B405" s="344" t="s">
        <v>2350</v>
      </c>
      <c r="C405" s="2" t="s">
        <v>2652</v>
      </c>
      <c r="D405" s="2" t="s">
        <v>3494</v>
      </c>
      <c r="E405" s="344" t="s">
        <v>2259</v>
      </c>
      <c r="F405" s="2" t="s">
        <v>1970</v>
      </c>
      <c r="G405" s="2">
        <v>16</v>
      </c>
      <c r="H405" s="2" t="s">
        <v>1970</v>
      </c>
      <c r="N405" s="344" t="s">
        <v>1978</v>
      </c>
      <c r="O405" s="344" t="s">
        <v>1978</v>
      </c>
      <c r="P405" s="344" t="s">
        <v>1978</v>
      </c>
      <c r="Q405" s="344" t="s">
        <v>1978</v>
      </c>
      <c r="R405" s="344" t="s">
        <v>1978</v>
      </c>
      <c r="S405" s="344" t="s">
        <v>1978</v>
      </c>
      <c r="T405" s="2" t="s">
        <v>1886</v>
      </c>
      <c r="AB405" s="344" t="str">
        <f>入學要求!X414</f>
        <v>/</v>
      </c>
      <c r="AC405" s="344" t="str">
        <f>入學要求!Y414</f>
        <v>/</v>
      </c>
      <c r="AD405" s="344" t="s">
        <v>2259</v>
      </c>
      <c r="AQ405" s="344" t="s">
        <v>1970</v>
      </c>
      <c r="AR405" s="344" t="s">
        <v>2150</v>
      </c>
      <c r="AV405" s="344" t="s">
        <v>3822</v>
      </c>
      <c r="AX405" s="344" t="s">
        <v>3819</v>
      </c>
      <c r="AY405" s="344" t="s">
        <v>3815</v>
      </c>
    </row>
    <row r="406" spans="1:51" x14ac:dyDescent="0.3">
      <c r="A406" s="2" t="s">
        <v>1890</v>
      </c>
      <c r="B406" s="344" t="s">
        <v>2350</v>
      </c>
      <c r="C406" s="2" t="s">
        <v>2652</v>
      </c>
      <c r="D406" s="2" t="s">
        <v>3493</v>
      </c>
      <c r="E406" s="344" t="s">
        <v>2259</v>
      </c>
      <c r="F406" s="2" t="s">
        <v>1970</v>
      </c>
      <c r="G406" s="2">
        <v>16</v>
      </c>
      <c r="H406" s="2" t="s">
        <v>1970</v>
      </c>
      <c r="N406" s="344" t="s">
        <v>1978</v>
      </c>
      <c r="O406" s="344" t="s">
        <v>1978</v>
      </c>
      <c r="P406" s="344" t="s">
        <v>1978</v>
      </c>
      <c r="Q406" s="344" t="s">
        <v>1978</v>
      </c>
      <c r="R406" s="344" t="s">
        <v>1978</v>
      </c>
      <c r="S406" s="344" t="s">
        <v>1978</v>
      </c>
      <c r="T406" s="2" t="s">
        <v>1891</v>
      </c>
      <c r="AB406" s="344" t="str">
        <f>入學要求!X415</f>
        <v>/</v>
      </c>
      <c r="AC406" s="344" t="str">
        <f>入學要求!Y415</f>
        <v>/</v>
      </c>
      <c r="AD406" s="344" t="s">
        <v>2259</v>
      </c>
      <c r="AQ406" s="344" t="s">
        <v>1970</v>
      </c>
      <c r="AR406" s="344" t="s">
        <v>2150</v>
      </c>
      <c r="AV406" s="344" t="s">
        <v>3822</v>
      </c>
      <c r="AX406" s="344" t="s">
        <v>3819</v>
      </c>
      <c r="AY406" s="344" t="s">
        <v>3815</v>
      </c>
    </row>
    <row r="407" spans="1:51" x14ac:dyDescent="0.3">
      <c r="A407" s="2" t="s">
        <v>1895</v>
      </c>
      <c r="B407" s="344" t="s">
        <v>2350</v>
      </c>
      <c r="C407" s="2" t="s">
        <v>2652</v>
      </c>
      <c r="D407" s="2" t="s">
        <v>3492</v>
      </c>
      <c r="E407" s="344" t="s">
        <v>2259</v>
      </c>
      <c r="F407" s="2" t="s">
        <v>1970</v>
      </c>
      <c r="G407" s="2">
        <v>17</v>
      </c>
      <c r="H407" s="2" t="s">
        <v>1970</v>
      </c>
      <c r="N407" s="344" t="s">
        <v>1978</v>
      </c>
      <c r="O407" s="344" t="s">
        <v>1978</v>
      </c>
      <c r="P407" s="344" t="s">
        <v>1978</v>
      </c>
      <c r="Q407" s="344" t="s">
        <v>1978</v>
      </c>
      <c r="R407" s="344" t="s">
        <v>1978</v>
      </c>
      <c r="S407" s="344" t="s">
        <v>1978</v>
      </c>
      <c r="T407" s="2" t="s">
        <v>1896</v>
      </c>
      <c r="AB407" s="344" t="str">
        <f>入學要求!X416</f>
        <v>/</v>
      </c>
      <c r="AC407" s="344" t="str">
        <f>入學要求!Y416</f>
        <v>/</v>
      </c>
      <c r="AD407" s="344" t="s">
        <v>2259</v>
      </c>
      <c r="AQ407" s="344" t="s">
        <v>1970</v>
      </c>
      <c r="AR407" s="344" t="s">
        <v>2150</v>
      </c>
      <c r="AV407" s="344" t="s">
        <v>3822</v>
      </c>
      <c r="AX407" s="344" t="s">
        <v>3819</v>
      </c>
      <c r="AY407" s="344" t="s">
        <v>3815</v>
      </c>
    </row>
    <row r="408" spans="1:51" x14ac:dyDescent="0.3">
      <c r="A408" s="2" t="s">
        <v>1900</v>
      </c>
      <c r="B408" s="344" t="s">
        <v>2350</v>
      </c>
      <c r="C408" s="2" t="s">
        <v>2652</v>
      </c>
      <c r="D408" s="2" t="s">
        <v>3491</v>
      </c>
      <c r="E408" s="344" t="s">
        <v>2259</v>
      </c>
      <c r="F408" s="2" t="s">
        <v>1970</v>
      </c>
      <c r="G408" s="2">
        <v>17</v>
      </c>
      <c r="H408" s="2" t="s">
        <v>1970</v>
      </c>
      <c r="N408" s="344" t="s">
        <v>1978</v>
      </c>
      <c r="O408" s="344" t="s">
        <v>1978</v>
      </c>
      <c r="P408" s="344" t="s">
        <v>1978</v>
      </c>
      <c r="Q408" s="344" t="s">
        <v>1978</v>
      </c>
      <c r="R408" s="344" t="s">
        <v>1978</v>
      </c>
      <c r="S408" s="344" t="s">
        <v>1978</v>
      </c>
      <c r="T408" s="2" t="s">
        <v>1901</v>
      </c>
      <c r="AB408" s="344" t="str">
        <f>入學要求!X417</f>
        <v>/</v>
      </c>
      <c r="AC408" s="344" t="str">
        <f>入學要求!Y417</f>
        <v>/</v>
      </c>
      <c r="AD408" s="344" t="s">
        <v>2259</v>
      </c>
      <c r="AQ408" s="344" t="s">
        <v>1970</v>
      </c>
      <c r="AR408" s="344" t="s">
        <v>2150</v>
      </c>
      <c r="AV408" s="344" t="s">
        <v>3822</v>
      </c>
      <c r="AX408" s="344" t="s">
        <v>3819</v>
      </c>
      <c r="AY408" s="344" t="s">
        <v>3815</v>
      </c>
    </row>
    <row r="409" spans="1:51" x14ac:dyDescent="0.3">
      <c r="A409" s="2" t="s">
        <v>1905</v>
      </c>
      <c r="B409" s="344" t="s">
        <v>2350</v>
      </c>
      <c r="C409" s="2" t="s">
        <v>2652</v>
      </c>
      <c r="D409" s="2" t="s">
        <v>3490</v>
      </c>
      <c r="E409" s="344" t="s">
        <v>2259</v>
      </c>
      <c r="F409" s="2" t="s">
        <v>1970</v>
      </c>
      <c r="G409" s="2">
        <v>16</v>
      </c>
      <c r="H409" s="2" t="s">
        <v>1970</v>
      </c>
      <c r="N409" s="344" t="s">
        <v>1978</v>
      </c>
      <c r="O409" s="344" t="s">
        <v>1978</v>
      </c>
      <c r="P409" s="344" t="s">
        <v>1978</v>
      </c>
      <c r="Q409" s="344" t="s">
        <v>1978</v>
      </c>
      <c r="R409" s="344" t="s">
        <v>1978</v>
      </c>
      <c r="S409" s="344" t="s">
        <v>1978</v>
      </c>
      <c r="T409" s="2" t="s">
        <v>1906</v>
      </c>
      <c r="AB409" s="344" t="str">
        <f>入學要求!X418</f>
        <v>以下一科選修取得Lv.2︰生物、化學、組合科學、物理、綜合科學、M1/2</v>
      </c>
      <c r="AC409" s="344" t="str">
        <f>入學要求!Y418</f>
        <v>/</v>
      </c>
      <c r="AD409" s="344" t="s">
        <v>2259</v>
      </c>
      <c r="AQ409" s="344" t="s">
        <v>1970</v>
      </c>
      <c r="AR409" s="344" t="s">
        <v>2150</v>
      </c>
      <c r="AV409" s="344" t="s">
        <v>3822</v>
      </c>
      <c r="AX409" s="344" t="s">
        <v>3819</v>
      </c>
      <c r="AY409" s="344" t="s">
        <v>3815</v>
      </c>
    </row>
    <row r="410" spans="1:51" x14ac:dyDescent="0.3">
      <c r="A410" s="2" t="s">
        <v>1910</v>
      </c>
      <c r="B410" s="344" t="s">
        <v>2350</v>
      </c>
      <c r="C410" s="2" t="s">
        <v>2652</v>
      </c>
      <c r="D410" s="2" t="s">
        <v>3489</v>
      </c>
      <c r="E410" s="344" t="s">
        <v>2259</v>
      </c>
      <c r="F410" s="2" t="s">
        <v>1970</v>
      </c>
      <c r="G410" s="2">
        <v>17</v>
      </c>
      <c r="H410" s="2" t="s">
        <v>1970</v>
      </c>
      <c r="N410" s="344" t="s">
        <v>1978</v>
      </c>
      <c r="O410" s="344" t="s">
        <v>1978</v>
      </c>
      <c r="P410" s="344" t="s">
        <v>1978</v>
      </c>
      <c r="Q410" s="344" t="s">
        <v>1978</v>
      </c>
      <c r="R410" s="344" t="s">
        <v>1978</v>
      </c>
      <c r="S410" s="344" t="s">
        <v>1978</v>
      </c>
      <c r="T410" s="2" t="s">
        <v>1911</v>
      </c>
      <c r="AB410" s="344" t="str">
        <f>入學要求!X419</f>
        <v>/</v>
      </c>
      <c r="AC410" s="344" t="str">
        <f>入學要求!Y419</f>
        <v>/</v>
      </c>
      <c r="AD410" s="344" t="s">
        <v>2259</v>
      </c>
      <c r="AQ410" s="344" t="s">
        <v>1970</v>
      </c>
      <c r="AR410" s="344" t="s">
        <v>2150</v>
      </c>
      <c r="AV410" s="344" t="s">
        <v>3822</v>
      </c>
      <c r="AX410" s="344" t="s">
        <v>3819</v>
      </c>
      <c r="AY410" s="344" t="s">
        <v>3815</v>
      </c>
    </row>
    <row r="411" spans="1:51" x14ac:dyDescent="0.3">
      <c r="A411" s="2" t="s">
        <v>1915</v>
      </c>
      <c r="B411" s="344" t="s">
        <v>2350</v>
      </c>
      <c r="C411" s="2" t="s">
        <v>2652</v>
      </c>
      <c r="D411" s="2" t="s">
        <v>3488</v>
      </c>
      <c r="E411" s="344" t="s">
        <v>2259</v>
      </c>
      <c r="F411" s="2" t="s">
        <v>1970</v>
      </c>
      <c r="G411" s="2">
        <v>17</v>
      </c>
      <c r="H411" s="2" t="s">
        <v>1970</v>
      </c>
      <c r="N411" s="344" t="s">
        <v>1978</v>
      </c>
      <c r="O411" s="344" t="s">
        <v>1978</v>
      </c>
      <c r="P411" s="344" t="s">
        <v>1978</v>
      </c>
      <c r="Q411" s="344" t="s">
        <v>1978</v>
      </c>
      <c r="R411" s="344" t="s">
        <v>1978</v>
      </c>
      <c r="S411" s="344" t="s">
        <v>1978</v>
      </c>
      <c r="T411" s="2" t="s">
        <v>1916</v>
      </c>
      <c r="AB411" s="344" t="str">
        <f>入學要求!X420</f>
        <v>/</v>
      </c>
      <c r="AC411" s="344" t="str">
        <f>入學要求!Y420</f>
        <v>/</v>
      </c>
      <c r="AD411" s="344" t="s">
        <v>2259</v>
      </c>
      <c r="AQ411" s="344" t="s">
        <v>1970</v>
      </c>
      <c r="AR411" s="344" t="s">
        <v>2150</v>
      </c>
      <c r="AV411" s="344" t="s">
        <v>3822</v>
      </c>
      <c r="AX411" s="344" t="s">
        <v>3819</v>
      </c>
      <c r="AY411" s="344" t="s">
        <v>3815</v>
      </c>
    </row>
    <row r="412" spans="1:51" x14ac:dyDescent="0.3">
      <c r="A412" s="2" t="s">
        <v>1920</v>
      </c>
      <c r="B412" s="344" t="s">
        <v>2350</v>
      </c>
      <c r="C412" s="2" t="s">
        <v>2652</v>
      </c>
      <c r="D412" s="2" t="s">
        <v>2654</v>
      </c>
      <c r="E412" s="344" t="s">
        <v>2259</v>
      </c>
      <c r="F412" s="2" t="s">
        <v>1970</v>
      </c>
      <c r="G412" s="2">
        <v>16</v>
      </c>
      <c r="H412" s="2" t="s">
        <v>1970</v>
      </c>
      <c r="N412" s="344" t="s">
        <v>1978</v>
      </c>
      <c r="O412" s="344" t="s">
        <v>1978</v>
      </c>
      <c r="P412" s="344" t="s">
        <v>1978</v>
      </c>
      <c r="Q412" s="344" t="s">
        <v>1978</v>
      </c>
      <c r="R412" s="344" t="s">
        <v>1978</v>
      </c>
      <c r="S412" s="344" t="s">
        <v>1978</v>
      </c>
      <c r="T412" s="2" t="s">
        <v>1921</v>
      </c>
      <c r="AB412" s="344" t="str">
        <f>入學要求!X421</f>
        <v>/</v>
      </c>
      <c r="AC412" s="344" t="str">
        <f>入學要求!Y421</f>
        <v>/</v>
      </c>
      <c r="AD412" s="344" t="s">
        <v>2259</v>
      </c>
      <c r="AQ412" s="344" t="s">
        <v>1970</v>
      </c>
      <c r="AR412" s="344" t="s">
        <v>2150</v>
      </c>
      <c r="AV412" s="344" t="s">
        <v>3822</v>
      </c>
      <c r="AX412" s="344" t="s">
        <v>3819</v>
      </c>
      <c r="AY412" s="344" t="s">
        <v>3815</v>
      </c>
    </row>
    <row r="413" spans="1:51" x14ac:dyDescent="0.3">
      <c r="A413" s="2" t="s">
        <v>1933</v>
      </c>
      <c r="B413" s="2" t="s">
        <v>2350</v>
      </c>
      <c r="C413" s="2" t="s">
        <v>3484</v>
      </c>
      <c r="D413" s="2" t="s">
        <v>1937</v>
      </c>
      <c r="F413" s="344" t="s">
        <v>1970</v>
      </c>
      <c r="G413" s="2">
        <v>15.5</v>
      </c>
      <c r="H413" s="344" t="s">
        <v>1970</v>
      </c>
      <c r="N413" s="344" t="s">
        <v>1978</v>
      </c>
      <c r="O413" s="344" t="s">
        <v>1978</v>
      </c>
      <c r="P413" s="344" t="s">
        <v>1978</v>
      </c>
      <c r="Q413" s="344" t="s">
        <v>1978</v>
      </c>
      <c r="R413" s="344" t="s">
        <v>1978</v>
      </c>
      <c r="S413" s="344" t="s">
        <v>1978</v>
      </c>
      <c r="T413" s="2" t="s">
        <v>1934</v>
      </c>
      <c r="AB413" s="344" t="str">
        <f>入學要求!X422</f>
        <v>/</v>
      </c>
      <c r="AC413" s="344" t="str">
        <f>入學要求!Y422</f>
        <v>/</v>
      </c>
      <c r="AD413" s="344" t="s">
        <v>2656</v>
      </c>
      <c r="AQ413" s="344" t="s">
        <v>1970</v>
      </c>
      <c r="AR413" s="344" t="s">
        <v>2150</v>
      </c>
      <c r="AV413" s="344" t="s">
        <v>3822</v>
      </c>
      <c r="AX413" s="344" t="s">
        <v>3820</v>
      </c>
      <c r="AY413" s="344" t="s">
        <v>3812</v>
      </c>
    </row>
    <row r="414" spans="1:51" x14ac:dyDescent="0.3">
      <c r="A414" s="2" t="s">
        <v>1938</v>
      </c>
      <c r="B414" s="2" t="s">
        <v>2350</v>
      </c>
      <c r="C414" s="2" t="s">
        <v>3485</v>
      </c>
      <c r="D414" s="2" t="s">
        <v>1941</v>
      </c>
      <c r="E414" s="2" t="s">
        <v>2171</v>
      </c>
      <c r="F414" s="344" t="s">
        <v>1970</v>
      </c>
      <c r="G414" s="2">
        <v>16.670000000000002</v>
      </c>
      <c r="H414" s="344" t="s">
        <v>1970</v>
      </c>
      <c r="N414" s="344" t="s">
        <v>1978</v>
      </c>
      <c r="O414" s="344" t="s">
        <v>1978</v>
      </c>
      <c r="P414" s="344" t="s">
        <v>1978</v>
      </c>
      <c r="Q414" s="344" t="s">
        <v>1978</v>
      </c>
      <c r="R414" s="344" t="s">
        <v>1978</v>
      </c>
      <c r="S414" s="344" t="s">
        <v>1978</v>
      </c>
      <c r="T414" s="2" t="s">
        <v>1939</v>
      </c>
      <c r="AB414" s="344" t="str">
        <f>入學要求!X423</f>
        <v>優先考慮:  資訊及通訊科技 考獲Lv.3或以上者</v>
      </c>
      <c r="AC414" s="344" t="str">
        <f>入學要求!Y423</f>
        <v>/</v>
      </c>
      <c r="AD414" s="344" t="s">
        <v>2171</v>
      </c>
      <c r="AQ414" s="344" t="s">
        <v>1970</v>
      </c>
      <c r="AR414" s="344" t="s">
        <v>2150</v>
      </c>
      <c r="AV414" s="344" t="s">
        <v>3822</v>
      </c>
      <c r="AX414" s="344" t="s">
        <v>3821</v>
      </c>
      <c r="AY414" s="344" t="s">
        <v>3812</v>
      </c>
    </row>
    <row r="415" spans="1:51" x14ac:dyDescent="0.3">
      <c r="N415" s="344" t="s">
        <v>1978</v>
      </c>
      <c r="O415" s="344" t="s">
        <v>1978</v>
      </c>
      <c r="P415" s="344" t="s">
        <v>1978</v>
      </c>
      <c r="Q415" s="344" t="s">
        <v>1978</v>
      </c>
      <c r="R415" s="344" t="s">
        <v>1978</v>
      </c>
      <c r="S415" s="344" t="s">
        <v>1978</v>
      </c>
    </row>
    <row r="416" spans="1:51" x14ac:dyDescent="0.3">
      <c r="N416" s="344" t="s">
        <v>1978</v>
      </c>
      <c r="O416" s="344" t="s">
        <v>1978</v>
      </c>
      <c r="P416" s="344" t="s">
        <v>1978</v>
      </c>
      <c r="Q416" s="344" t="s">
        <v>1978</v>
      </c>
      <c r="R416" s="344" t="s">
        <v>1978</v>
      </c>
      <c r="S416" s="344" t="s">
        <v>1978</v>
      </c>
    </row>
    <row r="417" spans="14:19" x14ac:dyDescent="0.3">
      <c r="N417" s="344" t="s">
        <v>1978</v>
      </c>
      <c r="O417" s="344" t="s">
        <v>1978</v>
      </c>
      <c r="P417" s="344" t="s">
        <v>1978</v>
      </c>
      <c r="Q417" s="344" t="s">
        <v>1978</v>
      </c>
      <c r="R417" s="344" t="s">
        <v>1978</v>
      </c>
      <c r="S417" s="344" t="s">
        <v>1978</v>
      </c>
    </row>
    <row r="418" spans="14:19" x14ac:dyDescent="0.3">
      <c r="N418" s="344" t="s">
        <v>1978</v>
      </c>
      <c r="O418" s="344" t="s">
        <v>1978</v>
      </c>
      <c r="P418" s="344" t="s">
        <v>1978</v>
      </c>
      <c r="Q418" s="344" t="s">
        <v>1978</v>
      </c>
      <c r="R418" s="344" t="s">
        <v>1978</v>
      </c>
      <c r="S418" s="344" t="s">
        <v>1978</v>
      </c>
    </row>
    <row r="419" spans="14:19" x14ac:dyDescent="0.3">
      <c r="N419" s="344" t="s">
        <v>1978</v>
      </c>
      <c r="O419" s="344" t="s">
        <v>1978</v>
      </c>
      <c r="P419" s="344" t="s">
        <v>1978</v>
      </c>
      <c r="Q419" s="344" t="s">
        <v>1978</v>
      </c>
      <c r="R419" s="344" t="s">
        <v>1978</v>
      </c>
      <c r="S419" s="344" t="s">
        <v>1978</v>
      </c>
    </row>
    <row r="420" spans="14:19" x14ac:dyDescent="0.3">
      <c r="N420" s="344" t="s">
        <v>1978</v>
      </c>
      <c r="O420" s="344" t="s">
        <v>1978</v>
      </c>
      <c r="P420" s="344" t="s">
        <v>1978</v>
      </c>
      <c r="Q420" s="344" t="s">
        <v>1978</v>
      </c>
      <c r="R420" s="344" t="s">
        <v>1978</v>
      </c>
      <c r="S420" s="344" t="s">
        <v>1978</v>
      </c>
    </row>
    <row r="421" spans="14:19" x14ac:dyDescent="0.3">
      <c r="N421" s="344" t="s">
        <v>1978</v>
      </c>
      <c r="O421" s="344" t="s">
        <v>1978</v>
      </c>
      <c r="P421" s="344" t="s">
        <v>1978</v>
      </c>
      <c r="Q421" s="344" t="s">
        <v>1978</v>
      </c>
      <c r="R421" s="344" t="s">
        <v>1978</v>
      </c>
      <c r="S421" s="344" t="s">
        <v>1978</v>
      </c>
    </row>
    <row r="422" spans="14:19" x14ac:dyDescent="0.3">
      <c r="N422" s="344" t="s">
        <v>1978</v>
      </c>
      <c r="O422" s="344" t="s">
        <v>1978</v>
      </c>
      <c r="P422" s="344" t="s">
        <v>1978</v>
      </c>
      <c r="Q422" s="344" t="s">
        <v>1978</v>
      </c>
      <c r="R422" s="344" t="s">
        <v>1978</v>
      </c>
      <c r="S422" s="344" t="s">
        <v>1978</v>
      </c>
    </row>
    <row r="423" spans="14:19" x14ac:dyDescent="0.3">
      <c r="N423" s="344" t="s">
        <v>1978</v>
      </c>
      <c r="O423" s="344" t="s">
        <v>1978</v>
      </c>
      <c r="P423" s="344" t="s">
        <v>1978</v>
      </c>
      <c r="Q423" s="344" t="s">
        <v>1978</v>
      </c>
      <c r="R423" s="344" t="s">
        <v>1978</v>
      </c>
      <c r="S423" s="344" t="s">
        <v>1978</v>
      </c>
    </row>
    <row r="424" spans="14:19" x14ac:dyDescent="0.3">
      <c r="N424" s="344" t="s">
        <v>1978</v>
      </c>
      <c r="O424" s="344" t="s">
        <v>1978</v>
      </c>
      <c r="P424" s="344" t="s">
        <v>1978</v>
      </c>
      <c r="Q424" s="344" t="s">
        <v>1978</v>
      </c>
      <c r="R424" s="344" t="s">
        <v>1978</v>
      </c>
      <c r="S424" s="344" t="s">
        <v>1978</v>
      </c>
    </row>
    <row r="425" spans="14:19" x14ac:dyDescent="0.3">
      <c r="N425" s="344" t="s">
        <v>1978</v>
      </c>
      <c r="O425" s="344" t="s">
        <v>1978</v>
      </c>
      <c r="P425" s="344" t="s">
        <v>1978</v>
      </c>
      <c r="Q425" s="344" t="s">
        <v>1978</v>
      </c>
      <c r="R425" s="344" t="s">
        <v>1978</v>
      </c>
      <c r="S425" s="344" t="s">
        <v>1978</v>
      </c>
    </row>
    <row r="426" spans="14:19" x14ac:dyDescent="0.3">
      <c r="N426" s="344" t="s">
        <v>1978</v>
      </c>
      <c r="O426" s="344" t="s">
        <v>1978</v>
      </c>
      <c r="P426" s="344" t="s">
        <v>1978</v>
      </c>
      <c r="Q426" s="344" t="s">
        <v>1978</v>
      </c>
      <c r="R426" s="344" t="s">
        <v>1978</v>
      </c>
      <c r="S426" s="344" t="s">
        <v>1978</v>
      </c>
    </row>
    <row r="427" spans="14:19" x14ac:dyDescent="0.3">
      <c r="N427" s="344" t="s">
        <v>1978</v>
      </c>
      <c r="O427" s="344" t="s">
        <v>1978</v>
      </c>
      <c r="P427" s="344" t="s">
        <v>1978</v>
      </c>
      <c r="Q427" s="344" t="s">
        <v>1978</v>
      </c>
      <c r="R427" s="344" t="s">
        <v>1978</v>
      </c>
      <c r="S427" s="344" t="s">
        <v>1978</v>
      </c>
    </row>
    <row r="428" spans="14:19" x14ac:dyDescent="0.3">
      <c r="N428" s="344" t="s">
        <v>1978</v>
      </c>
      <c r="O428" s="344" t="s">
        <v>1978</v>
      </c>
      <c r="P428" s="344" t="s">
        <v>1978</v>
      </c>
      <c r="Q428" s="344" t="s">
        <v>1978</v>
      </c>
      <c r="R428" s="344" t="s">
        <v>1978</v>
      </c>
      <c r="S428" s="344" t="s">
        <v>1978</v>
      </c>
    </row>
    <row r="429" spans="14:19" x14ac:dyDescent="0.3">
      <c r="N429" s="344" t="s">
        <v>1978</v>
      </c>
      <c r="O429" s="344" t="s">
        <v>1978</v>
      </c>
      <c r="P429" s="344" t="s">
        <v>1978</v>
      </c>
      <c r="Q429" s="344" t="s">
        <v>1978</v>
      </c>
      <c r="R429" s="344" t="s">
        <v>1978</v>
      </c>
      <c r="S429" s="344" t="s">
        <v>1978</v>
      </c>
    </row>
    <row r="430" spans="14:19" x14ac:dyDescent="0.3">
      <c r="N430" s="344" t="s">
        <v>1978</v>
      </c>
      <c r="O430" s="344" t="s">
        <v>1978</v>
      </c>
      <c r="P430" s="344" t="s">
        <v>1978</v>
      </c>
      <c r="Q430" s="344" t="s">
        <v>1978</v>
      </c>
      <c r="R430" s="344" t="s">
        <v>1978</v>
      </c>
      <c r="S430" s="344" t="s">
        <v>1978</v>
      </c>
    </row>
    <row r="431" spans="14:19" x14ac:dyDescent="0.3">
      <c r="N431" s="344" t="s">
        <v>1978</v>
      </c>
      <c r="O431" s="344" t="s">
        <v>1978</v>
      </c>
      <c r="P431" s="344" t="s">
        <v>1978</v>
      </c>
      <c r="Q431" s="344" t="s">
        <v>1978</v>
      </c>
      <c r="R431" s="344" t="s">
        <v>1978</v>
      </c>
      <c r="S431" s="344" t="s">
        <v>1978</v>
      </c>
    </row>
    <row r="432" spans="14:19" x14ac:dyDescent="0.3">
      <c r="N432" s="344" t="s">
        <v>1978</v>
      </c>
      <c r="O432" s="344" t="s">
        <v>1978</v>
      </c>
      <c r="P432" s="344" t="s">
        <v>1978</v>
      </c>
      <c r="Q432" s="344" t="s">
        <v>1978</v>
      </c>
      <c r="R432" s="344" t="s">
        <v>1978</v>
      </c>
      <c r="S432" s="344" t="s">
        <v>1978</v>
      </c>
    </row>
    <row r="433" spans="14:19" x14ac:dyDescent="0.3">
      <c r="N433" s="344" t="s">
        <v>1978</v>
      </c>
      <c r="O433" s="344" t="s">
        <v>1978</v>
      </c>
      <c r="P433" s="344" t="s">
        <v>1978</v>
      </c>
      <c r="Q433" s="344" t="s">
        <v>1978</v>
      </c>
      <c r="R433" s="344" t="s">
        <v>1978</v>
      </c>
      <c r="S433" s="344" t="s">
        <v>1978</v>
      </c>
    </row>
    <row r="434" spans="14:19" x14ac:dyDescent="0.3">
      <c r="N434" s="344" t="s">
        <v>1978</v>
      </c>
      <c r="O434" s="344" t="s">
        <v>1978</v>
      </c>
      <c r="P434" s="344" t="s">
        <v>1978</v>
      </c>
      <c r="Q434" s="344" t="s">
        <v>1978</v>
      </c>
      <c r="R434" s="344" t="s">
        <v>1978</v>
      </c>
      <c r="S434" s="344" t="s">
        <v>1978</v>
      </c>
    </row>
    <row r="435" spans="14:19" x14ac:dyDescent="0.3">
      <c r="N435" s="344" t="s">
        <v>1978</v>
      </c>
      <c r="O435" s="344" t="s">
        <v>1978</v>
      </c>
      <c r="P435" s="344" t="s">
        <v>1978</v>
      </c>
      <c r="Q435" s="344" t="s">
        <v>1978</v>
      </c>
      <c r="R435" s="344" t="s">
        <v>1978</v>
      </c>
      <c r="S435" s="344" t="s">
        <v>1978</v>
      </c>
    </row>
    <row r="436" spans="14:19" x14ac:dyDescent="0.3">
      <c r="N436" s="344" t="s">
        <v>1978</v>
      </c>
      <c r="O436" s="344" t="s">
        <v>1978</v>
      </c>
      <c r="P436" s="344" t="s">
        <v>1978</v>
      </c>
      <c r="Q436" s="344" t="s">
        <v>1978</v>
      </c>
      <c r="R436" s="344" t="s">
        <v>1978</v>
      </c>
      <c r="S436" s="344" t="s">
        <v>1978</v>
      </c>
    </row>
    <row r="437" spans="14:19" x14ac:dyDescent="0.3">
      <c r="N437" s="344" t="s">
        <v>1978</v>
      </c>
      <c r="O437" s="344" t="s">
        <v>1978</v>
      </c>
      <c r="P437" s="344" t="s">
        <v>1978</v>
      </c>
      <c r="Q437" s="344" t="s">
        <v>1978</v>
      </c>
      <c r="R437" s="344" t="s">
        <v>1978</v>
      </c>
      <c r="S437" s="344" t="s">
        <v>1978</v>
      </c>
    </row>
    <row r="438" spans="14:19" x14ac:dyDescent="0.3">
      <c r="N438" s="344" t="s">
        <v>1978</v>
      </c>
      <c r="O438" s="344" t="s">
        <v>1978</v>
      </c>
      <c r="P438" s="344" t="s">
        <v>1978</v>
      </c>
      <c r="Q438" s="344" t="s">
        <v>1978</v>
      </c>
      <c r="R438" s="344" t="s">
        <v>1978</v>
      </c>
      <c r="S438" s="344" t="s">
        <v>1978</v>
      </c>
    </row>
    <row r="439" spans="14:19" x14ac:dyDescent="0.3">
      <c r="N439" s="344" t="s">
        <v>1978</v>
      </c>
      <c r="O439" s="344" t="s">
        <v>1978</v>
      </c>
      <c r="P439" s="344" t="s">
        <v>1978</v>
      </c>
      <c r="Q439" s="344" t="s">
        <v>1978</v>
      </c>
      <c r="R439" s="344" t="s">
        <v>1978</v>
      </c>
      <c r="S439" s="344" t="s">
        <v>1978</v>
      </c>
    </row>
    <row r="440" spans="14:19" x14ac:dyDescent="0.3">
      <c r="N440" s="344" t="s">
        <v>1978</v>
      </c>
      <c r="O440" s="344" t="s">
        <v>1978</v>
      </c>
      <c r="P440" s="344" t="s">
        <v>1978</v>
      </c>
      <c r="Q440" s="344" t="s">
        <v>1978</v>
      </c>
      <c r="R440" s="344" t="s">
        <v>1978</v>
      </c>
      <c r="S440" s="344" t="s">
        <v>1978</v>
      </c>
    </row>
    <row r="441" spans="14:19" x14ac:dyDescent="0.3">
      <c r="N441" s="344" t="s">
        <v>1978</v>
      </c>
      <c r="O441" s="344" t="s">
        <v>1978</v>
      </c>
      <c r="P441" s="344" t="s">
        <v>1978</v>
      </c>
      <c r="Q441" s="344" t="s">
        <v>1978</v>
      </c>
      <c r="R441" s="344" t="s">
        <v>1978</v>
      </c>
      <c r="S441" s="344" t="s">
        <v>1978</v>
      </c>
    </row>
    <row r="442" spans="14:19" x14ac:dyDescent="0.3">
      <c r="N442" s="344" t="s">
        <v>1978</v>
      </c>
      <c r="O442" s="344" t="s">
        <v>1978</v>
      </c>
      <c r="P442" s="344" t="s">
        <v>1978</v>
      </c>
      <c r="Q442" s="344" t="s">
        <v>1978</v>
      </c>
      <c r="R442" s="344" t="s">
        <v>1978</v>
      </c>
      <c r="S442" s="344" t="s">
        <v>1978</v>
      </c>
    </row>
    <row r="443" spans="14:19" x14ac:dyDescent="0.3">
      <c r="N443" s="344" t="s">
        <v>1978</v>
      </c>
      <c r="O443" s="344" t="s">
        <v>1978</v>
      </c>
      <c r="P443" s="344" t="s">
        <v>1978</v>
      </c>
      <c r="Q443" s="344" t="s">
        <v>1978</v>
      </c>
      <c r="R443" s="344" t="s">
        <v>1978</v>
      </c>
      <c r="S443" s="344" t="s">
        <v>1978</v>
      </c>
    </row>
    <row r="444" spans="14:19" x14ac:dyDescent="0.3">
      <c r="N444" s="344" t="s">
        <v>1978</v>
      </c>
      <c r="O444" s="344" t="s">
        <v>1978</v>
      </c>
      <c r="P444" s="344" t="s">
        <v>1978</v>
      </c>
      <c r="Q444" s="344" t="s">
        <v>1978</v>
      </c>
      <c r="R444" s="344" t="s">
        <v>1978</v>
      </c>
      <c r="S444" s="344" t="s">
        <v>1978</v>
      </c>
    </row>
    <row r="445" spans="14:19" x14ac:dyDescent="0.3">
      <c r="N445" s="344" t="s">
        <v>1978</v>
      </c>
      <c r="O445" s="344" t="s">
        <v>1978</v>
      </c>
      <c r="P445" s="344" t="s">
        <v>1978</v>
      </c>
      <c r="Q445" s="344" t="s">
        <v>1978</v>
      </c>
      <c r="R445" s="344" t="s">
        <v>1978</v>
      </c>
      <c r="S445" s="344" t="s">
        <v>1978</v>
      </c>
    </row>
    <row r="446" spans="14:19" x14ac:dyDescent="0.3">
      <c r="N446" s="344" t="s">
        <v>1978</v>
      </c>
      <c r="O446" s="344" t="s">
        <v>1978</v>
      </c>
      <c r="P446" s="344" t="s">
        <v>1978</v>
      </c>
      <c r="Q446" s="344" t="s">
        <v>1978</v>
      </c>
      <c r="R446" s="344" t="s">
        <v>1978</v>
      </c>
      <c r="S446" s="344" t="s">
        <v>1978</v>
      </c>
    </row>
    <row r="447" spans="14:19" x14ac:dyDescent="0.3">
      <c r="N447" s="344" t="s">
        <v>1978</v>
      </c>
      <c r="O447" s="344" t="s">
        <v>1978</v>
      </c>
      <c r="P447" s="344" t="s">
        <v>1978</v>
      </c>
      <c r="Q447" s="344" t="s">
        <v>1978</v>
      </c>
      <c r="R447" s="344" t="s">
        <v>1978</v>
      </c>
      <c r="S447" s="344" t="s">
        <v>1978</v>
      </c>
    </row>
    <row r="448" spans="14:19" x14ac:dyDescent="0.3">
      <c r="N448" s="344" t="s">
        <v>1978</v>
      </c>
      <c r="O448" s="344" t="s">
        <v>1978</v>
      </c>
      <c r="P448" s="344" t="s">
        <v>1978</v>
      </c>
      <c r="Q448" s="344" t="s">
        <v>1978</v>
      </c>
      <c r="R448" s="344" t="s">
        <v>1978</v>
      </c>
      <c r="S448" s="344" t="s">
        <v>1978</v>
      </c>
    </row>
    <row r="449" spans="14:19" x14ac:dyDescent="0.3">
      <c r="N449" s="344" t="s">
        <v>1978</v>
      </c>
      <c r="O449" s="344" t="s">
        <v>1978</v>
      </c>
      <c r="P449" s="344" t="s">
        <v>1978</v>
      </c>
      <c r="Q449" s="344" t="s">
        <v>1978</v>
      </c>
      <c r="R449" s="344" t="s">
        <v>1978</v>
      </c>
      <c r="S449" s="344" t="s">
        <v>1978</v>
      </c>
    </row>
    <row r="450" spans="14:19" x14ac:dyDescent="0.3">
      <c r="N450" s="344" t="s">
        <v>1978</v>
      </c>
      <c r="O450" s="344" t="s">
        <v>1978</v>
      </c>
      <c r="P450" s="344" t="s">
        <v>1978</v>
      </c>
      <c r="Q450" s="344" t="s">
        <v>1978</v>
      </c>
      <c r="R450" s="344" t="s">
        <v>1978</v>
      </c>
      <c r="S450" s="344" t="s">
        <v>1978</v>
      </c>
    </row>
    <row r="451" spans="14:19" x14ac:dyDescent="0.3">
      <c r="N451" s="344" t="s">
        <v>1978</v>
      </c>
      <c r="O451" s="344" t="s">
        <v>1978</v>
      </c>
      <c r="P451" s="344" t="s">
        <v>1978</v>
      </c>
      <c r="Q451" s="344" t="s">
        <v>1978</v>
      </c>
      <c r="R451" s="344" t="s">
        <v>1978</v>
      </c>
      <c r="S451" s="344" t="s">
        <v>1978</v>
      </c>
    </row>
    <row r="452" spans="14:19" x14ac:dyDescent="0.3">
      <c r="N452" s="344" t="s">
        <v>1978</v>
      </c>
      <c r="O452" s="344" t="s">
        <v>1978</v>
      </c>
      <c r="P452" s="344" t="s">
        <v>1978</v>
      </c>
      <c r="Q452" s="344" t="s">
        <v>1978</v>
      </c>
      <c r="R452" s="344" t="s">
        <v>1978</v>
      </c>
      <c r="S452" s="344" t="s">
        <v>1978</v>
      </c>
    </row>
    <row r="453" spans="14:19" x14ac:dyDescent="0.3">
      <c r="N453" s="344" t="s">
        <v>1978</v>
      </c>
      <c r="O453" s="344" t="s">
        <v>1978</v>
      </c>
      <c r="P453" s="344" t="s">
        <v>1978</v>
      </c>
      <c r="Q453" s="344" t="s">
        <v>1978</v>
      </c>
      <c r="R453" s="344" t="s">
        <v>1978</v>
      </c>
      <c r="S453" s="344" t="s">
        <v>1978</v>
      </c>
    </row>
    <row r="454" spans="14:19" x14ac:dyDescent="0.3">
      <c r="N454" s="344" t="s">
        <v>1978</v>
      </c>
      <c r="O454" s="344" t="s">
        <v>1978</v>
      </c>
      <c r="P454" s="344" t="s">
        <v>1978</v>
      </c>
      <c r="Q454" s="344" t="s">
        <v>1978</v>
      </c>
      <c r="R454" s="344" t="s">
        <v>1978</v>
      </c>
      <c r="S454" s="344" t="s">
        <v>1978</v>
      </c>
    </row>
    <row r="455" spans="14:19" x14ac:dyDescent="0.3">
      <c r="N455" s="344" t="s">
        <v>1978</v>
      </c>
      <c r="O455" s="344" t="s">
        <v>1978</v>
      </c>
      <c r="P455" s="344" t="s">
        <v>1978</v>
      </c>
      <c r="Q455" s="344" t="s">
        <v>1978</v>
      </c>
      <c r="R455" s="344" t="s">
        <v>1978</v>
      </c>
      <c r="S455" s="344" t="s">
        <v>1978</v>
      </c>
    </row>
    <row r="456" spans="14:19" x14ac:dyDescent="0.3">
      <c r="N456" s="344" t="s">
        <v>1978</v>
      </c>
      <c r="O456" s="344" t="s">
        <v>1978</v>
      </c>
      <c r="P456" s="344" t="s">
        <v>1978</v>
      </c>
      <c r="Q456" s="344" t="s">
        <v>1978</v>
      </c>
      <c r="R456" s="344" t="s">
        <v>1978</v>
      </c>
      <c r="S456" s="344" t="s">
        <v>1978</v>
      </c>
    </row>
    <row r="457" spans="14:19" x14ac:dyDescent="0.3">
      <c r="N457" s="344" t="s">
        <v>1978</v>
      </c>
      <c r="O457" s="344" t="s">
        <v>1978</v>
      </c>
      <c r="P457" s="344" t="s">
        <v>1978</v>
      </c>
      <c r="Q457" s="344" t="s">
        <v>1978</v>
      </c>
      <c r="R457" s="344" t="s">
        <v>1978</v>
      </c>
      <c r="S457" s="344" t="s">
        <v>1978</v>
      </c>
    </row>
    <row r="458" spans="14:19" x14ac:dyDescent="0.3">
      <c r="N458" s="344" t="s">
        <v>1978</v>
      </c>
      <c r="O458" s="344" t="s">
        <v>1978</v>
      </c>
      <c r="P458" s="344" t="s">
        <v>1978</v>
      </c>
      <c r="Q458" s="344" t="s">
        <v>1978</v>
      </c>
      <c r="R458" s="344" t="s">
        <v>1978</v>
      </c>
      <c r="S458" s="344" t="s">
        <v>1978</v>
      </c>
    </row>
    <row r="459" spans="14:19" x14ac:dyDescent="0.3">
      <c r="N459" s="344" t="s">
        <v>1978</v>
      </c>
      <c r="O459" s="344" t="s">
        <v>1978</v>
      </c>
      <c r="P459" s="344" t="s">
        <v>1978</v>
      </c>
      <c r="Q459" s="344" t="s">
        <v>1978</v>
      </c>
      <c r="R459" s="344" t="s">
        <v>1978</v>
      </c>
      <c r="S459" s="344" t="s">
        <v>1978</v>
      </c>
    </row>
    <row r="460" spans="14:19" x14ac:dyDescent="0.3">
      <c r="N460" s="344" t="s">
        <v>1978</v>
      </c>
      <c r="O460" s="344" t="s">
        <v>1978</v>
      </c>
      <c r="P460" s="344" t="s">
        <v>1978</v>
      </c>
      <c r="Q460" s="344" t="s">
        <v>1978</v>
      </c>
      <c r="R460" s="344" t="s">
        <v>1978</v>
      </c>
      <c r="S460" s="344" t="s">
        <v>1978</v>
      </c>
    </row>
    <row r="461" spans="14:19" x14ac:dyDescent="0.3">
      <c r="N461" s="344" t="s">
        <v>1978</v>
      </c>
      <c r="O461" s="344" t="s">
        <v>1978</v>
      </c>
      <c r="P461" s="344" t="s">
        <v>1978</v>
      </c>
      <c r="Q461" s="344" t="s">
        <v>1978</v>
      </c>
      <c r="R461" s="344" t="s">
        <v>1978</v>
      </c>
      <c r="S461" s="344" t="s">
        <v>1978</v>
      </c>
    </row>
    <row r="462" spans="14:19" x14ac:dyDescent="0.3">
      <c r="N462" s="344" t="s">
        <v>1978</v>
      </c>
      <c r="O462" s="344" t="s">
        <v>1978</v>
      </c>
      <c r="P462" s="344" t="s">
        <v>1978</v>
      </c>
      <c r="Q462" s="344" t="s">
        <v>1978</v>
      </c>
      <c r="R462" s="344" t="s">
        <v>1978</v>
      </c>
      <c r="S462" s="344" t="s">
        <v>1978</v>
      </c>
    </row>
    <row r="463" spans="14:19" x14ac:dyDescent="0.3">
      <c r="N463" s="344" t="s">
        <v>1978</v>
      </c>
      <c r="O463" s="344" t="s">
        <v>1978</v>
      </c>
      <c r="P463" s="344" t="s">
        <v>1978</v>
      </c>
      <c r="Q463" s="344" t="s">
        <v>1978</v>
      </c>
      <c r="R463" s="344" t="s">
        <v>1978</v>
      </c>
      <c r="S463" s="344" t="s">
        <v>1978</v>
      </c>
    </row>
    <row r="464" spans="14:19" x14ac:dyDescent="0.3">
      <c r="N464" s="344" t="s">
        <v>1978</v>
      </c>
      <c r="O464" s="344" t="s">
        <v>1978</v>
      </c>
      <c r="P464" s="344" t="s">
        <v>1978</v>
      </c>
      <c r="Q464" s="344" t="s">
        <v>1978</v>
      </c>
      <c r="R464" s="344" t="s">
        <v>1978</v>
      </c>
      <c r="S464" s="344" t="s">
        <v>1978</v>
      </c>
    </row>
    <row r="465" spans="14:19" x14ac:dyDescent="0.3">
      <c r="N465" s="344" t="s">
        <v>1978</v>
      </c>
      <c r="O465" s="344" t="s">
        <v>1978</v>
      </c>
      <c r="P465" s="344" t="s">
        <v>1978</v>
      </c>
      <c r="Q465" s="344" t="s">
        <v>1978</v>
      </c>
      <c r="R465" s="344" t="s">
        <v>1978</v>
      </c>
      <c r="S465" s="344" t="s">
        <v>1978</v>
      </c>
    </row>
    <row r="466" spans="14:19" x14ac:dyDescent="0.3">
      <c r="N466" s="344" t="s">
        <v>1978</v>
      </c>
      <c r="O466" s="344" t="s">
        <v>1978</v>
      </c>
      <c r="P466" s="344" t="s">
        <v>1978</v>
      </c>
      <c r="Q466" s="344" t="s">
        <v>1978</v>
      </c>
      <c r="R466" s="344" t="s">
        <v>1978</v>
      </c>
      <c r="S466" s="344" t="s">
        <v>1978</v>
      </c>
    </row>
    <row r="467" spans="14:19" x14ac:dyDescent="0.3">
      <c r="N467" s="344" t="s">
        <v>1978</v>
      </c>
      <c r="O467" s="344" t="s">
        <v>1978</v>
      </c>
      <c r="P467" s="344" t="s">
        <v>1978</v>
      </c>
      <c r="Q467" s="344" t="s">
        <v>1978</v>
      </c>
      <c r="R467" s="344" t="s">
        <v>1978</v>
      </c>
      <c r="S467" s="344" t="s">
        <v>1978</v>
      </c>
    </row>
    <row r="468" spans="14:19" x14ac:dyDescent="0.3">
      <c r="N468" s="344" t="s">
        <v>1978</v>
      </c>
      <c r="O468" s="344" t="s">
        <v>1978</v>
      </c>
      <c r="P468" s="344" t="s">
        <v>1978</v>
      </c>
      <c r="Q468" s="344" t="s">
        <v>1978</v>
      </c>
      <c r="R468" s="344" t="s">
        <v>1978</v>
      </c>
      <c r="S468" s="344" t="s">
        <v>1978</v>
      </c>
    </row>
    <row r="469" spans="14:19" x14ac:dyDescent="0.3">
      <c r="N469" s="344" t="s">
        <v>1978</v>
      </c>
      <c r="O469" s="344" t="s">
        <v>1978</v>
      </c>
      <c r="P469" s="344" t="s">
        <v>1978</v>
      </c>
      <c r="Q469" s="344" t="s">
        <v>1978</v>
      </c>
      <c r="R469" s="344" t="s">
        <v>1978</v>
      </c>
      <c r="S469" s="344" t="s">
        <v>1978</v>
      </c>
    </row>
    <row r="470" spans="14:19" x14ac:dyDescent="0.3">
      <c r="N470" s="344" t="s">
        <v>1978</v>
      </c>
      <c r="O470" s="344" t="s">
        <v>1978</v>
      </c>
      <c r="P470" s="344" t="s">
        <v>1978</v>
      </c>
      <c r="Q470" s="344" t="s">
        <v>1978</v>
      </c>
      <c r="R470" s="344" t="s">
        <v>1978</v>
      </c>
      <c r="S470" s="344" t="s">
        <v>1978</v>
      </c>
    </row>
    <row r="471" spans="14:19" x14ac:dyDescent="0.3">
      <c r="N471" s="344" t="s">
        <v>1978</v>
      </c>
      <c r="O471" s="344" t="s">
        <v>1978</v>
      </c>
      <c r="P471" s="344" t="s">
        <v>1978</v>
      </c>
      <c r="Q471" s="344" t="s">
        <v>1978</v>
      </c>
      <c r="R471" s="344" t="s">
        <v>1978</v>
      </c>
      <c r="S471" s="344" t="s">
        <v>1978</v>
      </c>
    </row>
    <row r="472" spans="14:19" x14ac:dyDescent="0.3">
      <c r="N472" s="344" t="s">
        <v>1978</v>
      </c>
      <c r="O472" s="344" t="s">
        <v>1978</v>
      </c>
      <c r="P472" s="344" t="s">
        <v>1978</v>
      </c>
      <c r="Q472" s="344" t="s">
        <v>1978</v>
      </c>
      <c r="R472" s="344" t="s">
        <v>1978</v>
      </c>
      <c r="S472" s="344" t="s">
        <v>1978</v>
      </c>
    </row>
    <row r="473" spans="14:19" x14ac:dyDescent="0.3">
      <c r="N473" s="344" t="s">
        <v>1978</v>
      </c>
      <c r="O473" s="344" t="s">
        <v>1978</v>
      </c>
      <c r="P473" s="344" t="s">
        <v>1978</v>
      </c>
      <c r="Q473" s="344" t="s">
        <v>1978</v>
      </c>
      <c r="R473" s="344" t="s">
        <v>1978</v>
      </c>
      <c r="S473" s="344" t="s">
        <v>1978</v>
      </c>
    </row>
    <row r="474" spans="14:19" x14ac:dyDescent="0.3">
      <c r="N474" s="344" t="s">
        <v>1978</v>
      </c>
      <c r="O474" s="344" t="s">
        <v>1978</v>
      </c>
      <c r="P474" s="344" t="s">
        <v>1978</v>
      </c>
      <c r="Q474" s="344" t="s">
        <v>1978</v>
      </c>
      <c r="R474" s="344" t="s">
        <v>1978</v>
      </c>
      <c r="S474" s="344" t="s">
        <v>1978</v>
      </c>
    </row>
    <row r="475" spans="14:19" x14ac:dyDescent="0.3">
      <c r="N475" s="344" t="s">
        <v>1978</v>
      </c>
      <c r="O475" s="344" t="s">
        <v>1978</v>
      </c>
      <c r="P475" s="344" t="s">
        <v>1978</v>
      </c>
      <c r="Q475" s="344" t="s">
        <v>1978</v>
      </c>
      <c r="R475" s="344" t="s">
        <v>1978</v>
      </c>
      <c r="S475" s="344" t="s">
        <v>1978</v>
      </c>
    </row>
    <row r="476" spans="14:19" x14ac:dyDescent="0.3">
      <c r="N476" s="344" t="s">
        <v>1978</v>
      </c>
      <c r="O476" s="344" t="s">
        <v>1978</v>
      </c>
      <c r="P476" s="344" t="s">
        <v>1978</v>
      </c>
      <c r="Q476" s="344" t="s">
        <v>1978</v>
      </c>
      <c r="R476" s="344" t="s">
        <v>1978</v>
      </c>
      <c r="S476" s="344" t="s">
        <v>1978</v>
      </c>
    </row>
    <row r="477" spans="14:19" x14ac:dyDescent="0.3">
      <c r="N477" s="344" t="s">
        <v>1978</v>
      </c>
      <c r="O477" s="344" t="s">
        <v>1978</v>
      </c>
      <c r="P477" s="344" t="s">
        <v>1978</v>
      </c>
      <c r="Q477" s="344" t="s">
        <v>1978</v>
      </c>
      <c r="R477" s="344" t="s">
        <v>1978</v>
      </c>
      <c r="S477" s="344" t="s">
        <v>1978</v>
      </c>
    </row>
    <row r="478" spans="14:19" x14ac:dyDescent="0.3">
      <c r="N478" s="344" t="s">
        <v>1978</v>
      </c>
      <c r="O478" s="344" t="s">
        <v>1978</v>
      </c>
      <c r="P478" s="344" t="s">
        <v>1978</v>
      </c>
      <c r="Q478" s="344" t="s">
        <v>1978</v>
      </c>
      <c r="R478" s="344" t="s">
        <v>1978</v>
      </c>
      <c r="S478" s="344" t="s">
        <v>1978</v>
      </c>
    </row>
    <row r="479" spans="14:19" x14ac:dyDescent="0.3">
      <c r="N479" s="344" t="s">
        <v>1978</v>
      </c>
      <c r="O479" s="344" t="s">
        <v>1978</v>
      </c>
      <c r="P479" s="344" t="s">
        <v>1978</v>
      </c>
      <c r="Q479" s="344" t="s">
        <v>1978</v>
      </c>
      <c r="R479" s="344" t="s">
        <v>1978</v>
      </c>
      <c r="S479" s="344" t="s">
        <v>1978</v>
      </c>
    </row>
    <row r="480" spans="14:19" x14ac:dyDescent="0.3">
      <c r="N480" s="344" t="s">
        <v>1978</v>
      </c>
      <c r="O480" s="344" t="s">
        <v>1978</v>
      </c>
      <c r="P480" s="344" t="s">
        <v>1978</v>
      </c>
      <c r="Q480" s="344" t="s">
        <v>1978</v>
      </c>
      <c r="R480" s="344" t="s">
        <v>1978</v>
      </c>
      <c r="S480" s="344" t="s">
        <v>1978</v>
      </c>
    </row>
    <row r="481" spans="14:19" x14ac:dyDescent="0.3">
      <c r="N481" s="344" t="s">
        <v>1978</v>
      </c>
      <c r="O481" s="344" t="s">
        <v>1978</v>
      </c>
      <c r="P481" s="344" t="s">
        <v>1978</v>
      </c>
      <c r="Q481" s="344" t="s">
        <v>1978</v>
      </c>
      <c r="R481" s="344" t="s">
        <v>1978</v>
      </c>
      <c r="S481" s="344" t="s">
        <v>1978</v>
      </c>
    </row>
    <row r="482" spans="14:19" x14ac:dyDescent="0.3">
      <c r="N482" s="344" t="s">
        <v>1978</v>
      </c>
      <c r="O482" s="344" t="s">
        <v>1978</v>
      </c>
      <c r="P482" s="344" t="s">
        <v>1978</v>
      </c>
      <c r="Q482" s="344" t="s">
        <v>1978</v>
      </c>
      <c r="R482" s="344" t="s">
        <v>1978</v>
      </c>
      <c r="S482" s="344" t="s">
        <v>1978</v>
      </c>
    </row>
    <row r="483" spans="14:19" x14ac:dyDescent="0.3">
      <c r="N483" s="344" t="s">
        <v>1978</v>
      </c>
      <c r="O483" s="344" t="s">
        <v>1978</v>
      </c>
      <c r="P483" s="344" t="s">
        <v>1978</v>
      </c>
      <c r="Q483" s="344" t="s">
        <v>1978</v>
      </c>
      <c r="R483" s="344" t="s">
        <v>1978</v>
      </c>
      <c r="S483" s="344" t="s">
        <v>1978</v>
      </c>
    </row>
    <row r="484" spans="14:19" x14ac:dyDescent="0.3">
      <c r="N484" s="344" t="s">
        <v>1978</v>
      </c>
      <c r="O484" s="344" t="s">
        <v>1978</v>
      </c>
      <c r="P484" s="344" t="s">
        <v>1978</v>
      </c>
      <c r="Q484" s="344" t="s">
        <v>1978</v>
      </c>
      <c r="R484" s="344" t="s">
        <v>1978</v>
      </c>
      <c r="S484" s="344" t="s">
        <v>1978</v>
      </c>
    </row>
    <row r="485" spans="14:19" x14ac:dyDescent="0.3">
      <c r="N485" s="344" t="s">
        <v>1978</v>
      </c>
      <c r="O485" s="344" t="s">
        <v>1978</v>
      </c>
      <c r="P485" s="344" t="s">
        <v>1978</v>
      </c>
      <c r="Q485" s="344" t="s">
        <v>1978</v>
      </c>
      <c r="R485" s="344" t="s">
        <v>1978</v>
      </c>
      <c r="S485" s="344" t="s">
        <v>1978</v>
      </c>
    </row>
    <row r="486" spans="14:19" x14ac:dyDescent="0.3">
      <c r="N486" s="344" t="s">
        <v>1978</v>
      </c>
      <c r="O486" s="344" t="s">
        <v>1978</v>
      </c>
      <c r="P486" s="344" t="s">
        <v>1978</v>
      </c>
      <c r="Q486" s="344" t="s">
        <v>1978</v>
      </c>
      <c r="R486" s="344" t="s">
        <v>1978</v>
      </c>
      <c r="S486" s="344" t="s">
        <v>1978</v>
      </c>
    </row>
    <row r="487" spans="14:19" x14ac:dyDescent="0.3">
      <c r="N487" s="344" t="s">
        <v>1978</v>
      </c>
      <c r="O487" s="344" t="s">
        <v>1978</v>
      </c>
      <c r="P487" s="344" t="s">
        <v>1978</v>
      </c>
      <c r="Q487" s="344" t="s">
        <v>1978</v>
      </c>
      <c r="R487" s="344" t="s">
        <v>1978</v>
      </c>
      <c r="S487" s="344" t="s">
        <v>1978</v>
      </c>
    </row>
    <row r="488" spans="14:19" x14ac:dyDescent="0.3">
      <c r="N488" s="344" t="s">
        <v>1978</v>
      </c>
      <c r="O488" s="344" t="s">
        <v>1978</v>
      </c>
      <c r="P488" s="344" t="s">
        <v>1978</v>
      </c>
      <c r="Q488" s="344" t="s">
        <v>1978</v>
      </c>
      <c r="R488" s="344" t="s">
        <v>1978</v>
      </c>
      <c r="S488" s="344" t="s">
        <v>1978</v>
      </c>
    </row>
    <row r="489" spans="14:19" x14ac:dyDescent="0.3">
      <c r="N489" s="344" t="s">
        <v>1978</v>
      </c>
      <c r="O489" s="344" t="s">
        <v>1978</v>
      </c>
      <c r="P489" s="344" t="s">
        <v>1978</v>
      </c>
      <c r="Q489" s="344" t="s">
        <v>1978</v>
      </c>
      <c r="R489" s="344" t="s">
        <v>1978</v>
      </c>
      <c r="S489" s="344" t="s">
        <v>1978</v>
      </c>
    </row>
    <row r="490" spans="14:19" x14ac:dyDescent="0.3">
      <c r="N490" s="344" t="s">
        <v>1978</v>
      </c>
      <c r="O490" s="344" t="s">
        <v>1978</v>
      </c>
      <c r="P490" s="344" t="s">
        <v>1978</v>
      </c>
      <c r="Q490" s="344" t="s">
        <v>1978</v>
      </c>
      <c r="R490" s="344" t="s">
        <v>1978</v>
      </c>
      <c r="S490" s="344" t="s">
        <v>1978</v>
      </c>
    </row>
    <row r="491" spans="14:19" x14ac:dyDescent="0.3">
      <c r="N491" s="344" t="s">
        <v>1978</v>
      </c>
      <c r="O491" s="344" t="s">
        <v>1978</v>
      </c>
      <c r="P491" s="344" t="s">
        <v>1978</v>
      </c>
      <c r="Q491" s="344" t="s">
        <v>1978</v>
      </c>
      <c r="R491" s="344" t="s">
        <v>1978</v>
      </c>
      <c r="S491" s="344" t="s">
        <v>1978</v>
      </c>
    </row>
    <row r="492" spans="14:19" x14ac:dyDescent="0.3">
      <c r="N492" s="344" t="s">
        <v>1978</v>
      </c>
      <c r="O492" s="344" t="s">
        <v>1978</v>
      </c>
      <c r="P492" s="344" t="s">
        <v>1978</v>
      </c>
      <c r="Q492" s="344" t="s">
        <v>1978</v>
      </c>
      <c r="R492" s="344" t="s">
        <v>1978</v>
      </c>
      <c r="S492" s="344" t="s">
        <v>1978</v>
      </c>
    </row>
    <row r="493" spans="14:19" x14ac:dyDescent="0.3">
      <c r="N493" s="344" t="s">
        <v>1978</v>
      </c>
      <c r="O493" s="344" t="s">
        <v>1978</v>
      </c>
      <c r="P493" s="344" t="s">
        <v>1978</v>
      </c>
      <c r="Q493" s="344" t="s">
        <v>1978</v>
      </c>
      <c r="R493" s="344" t="s">
        <v>1978</v>
      </c>
      <c r="S493" s="344" t="s">
        <v>1978</v>
      </c>
    </row>
    <row r="494" spans="14:19" x14ac:dyDescent="0.3">
      <c r="N494" s="344" t="s">
        <v>1978</v>
      </c>
      <c r="O494" s="344" t="s">
        <v>1978</v>
      </c>
      <c r="P494" s="344" t="s">
        <v>1978</v>
      </c>
      <c r="Q494" s="344" t="s">
        <v>1978</v>
      </c>
      <c r="R494" s="344" t="s">
        <v>1978</v>
      </c>
      <c r="S494" s="344" t="s">
        <v>1978</v>
      </c>
    </row>
    <row r="495" spans="14:19" x14ac:dyDescent="0.3">
      <c r="N495" s="344" t="s">
        <v>1978</v>
      </c>
      <c r="O495" s="344" t="s">
        <v>1978</v>
      </c>
      <c r="P495" s="344" t="s">
        <v>1978</v>
      </c>
      <c r="Q495" s="344" t="s">
        <v>1978</v>
      </c>
      <c r="R495" s="344" t="s">
        <v>1978</v>
      </c>
      <c r="S495" s="344" t="s">
        <v>1978</v>
      </c>
    </row>
    <row r="496" spans="14:19" x14ac:dyDescent="0.3">
      <c r="N496" s="344" t="s">
        <v>1978</v>
      </c>
      <c r="O496" s="344" t="s">
        <v>1978</v>
      </c>
      <c r="P496" s="344" t="s">
        <v>1978</v>
      </c>
      <c r="Q496" s="344" t="s">
        <v>1978</v>
      </c>
      <c r="R496" s="344" t="s">
        <v>1978</v>
      </c>
      <c r="S496" s="344" t="s">
        <v>1978</v>
      </c>
    </row>
    <row r="497" spans="14:19" x14ac:dyDescent="0.3">
      <c r="N497" s="344" t="s">
        <v>1978</v>
      </c>
      <c r="O497" s="344" t="s">
        <v>1978</v>
      </c>
      <c r="P497" s="344" t="s">
        <v>1978</v>
      </c>
      <c r="Q497" s="344" t="s">
        <v>1978</v>
      </c>
      <c r="R497" s="344" t="s">
        <v>1978</v>
      </c>
      <c r="S497" s="344" t="s">
        <v>1978</v>
      </c>
    </row>
    <row r="498" spans="14:19" x14ac:dyDescent="0.3">
      <c r="N498" s="344" t="s">
        <v>1978</v>
      </c>
      <c r="O498" s="344" t="s">
        <v>1978</v>
      </c>
      <c r="P498" s="344" t="s">
        <v>1978</v>
      </c>
      <c r="Q498" s="344" t="s">
        <v>1978</v>
      </c>
      <c r="R498" s="344" t="s">
        <v>1978</v>
      </c>
      <c r="S498" s="344" t="s">
        <v>1978</v>
      </c>
    </row>
    <row r="499" spans="14:19" x14ac:dyDescent="0.3">
      <c r="N499" s="344" t="s">
        <v>1978</v>
      </c>
      <c r="O499" s="344" t="s">
        <v>1978</v>
      </c>
      <c r="P499" s="344" t="s">
        <v>1978</v>
      </c>
      <c r="Q499" s="344" t="s">
        <v>1978</v>
      </c>
      <c r="R499" s="344" t="s">
        <v>1978</v>
      </c>
      <c r="S499" s="344" t="s">
        <v>1978</v>
      </c>
    </row>
    <row r="500" spans="14:19" x14ac:dyDescent="0.3">
      <c r="N500" s="344" t="s">
        <v>1978</v>
      </c>
      <c r="O500" s="344" t="s">
        <v>1978</v>
      </c>
      <c r="P500" s="344" t="s">
        <v>1978</v>
      </c>
      <c r="Q500" s="344" t="s">
        <v>1978</v>
      </c>
      <c r="R500" s="344" t="s">
        <v>1978</v>
      </c>
      <c r="S500" s="344" t="s">
        <v>1978</v>
      </c>
    </row>
    <row r="501" spans="14:19" x14ac:dyDescent="0.3">
      <c r="N501" s="344" t="s">
        <v>1978</v>
      </c>
      <c r="O501" s="344" t="s">
        <v>1978</v>
      </c>
      <c r="P501" s="344" t="s">
        <v>1978</v>
      </c>
      <c r="Q501" s="344" t="s">
        <v>1978</v>
      </c>
      <c r="R501" s="344" t="s">
        <v>1978</v>
      </c>
      <c r="S501" s="344" t="s">
        <v>1978</v>
      </c>
    </row>
    <row r="502" spans="14:19" x14ac:dyDescent="0.3">
      <c r="N502" s="344" t="s">
        <v>1978</v>
      </c>
      <c r="O502" s="344" t="s">
        <v>1978</v>
      </c>
      <c r="P502" s="344" t="s">
        <v>1978</v>
      </c>
      <c r="Q502" s="344" t="s">
        <v>1978</v>
      </c>
      <c r="R502" s="344" t="s">
        <v>1978</v>
      </c>
      <c r="S502" s="344" t="s">
        <v>1978</v>
      </c>
    </row>
    <row r="503" spans="14:19" x14ac:dyDescent="0.3">
      <c r="N503" s="344" t="s">
        <v>1978</v>
      </c>
      <c r="O503" s="344" t="s">
        <v>1978</v>
      </c>
      <c r="P503" s="344" t="s">
        <v>1978</v>
      </c>
      <c r="Q503" s="344" t="s">
        <v>1978</v>
      </c>
      <c r="R503" s="344" t="s">
        <v>1978</v>
      </c>
      <c r="S503" s="344" t="s">
        <v>1978</v>
      </c>
    </row>
    <row r="504" spans="14:19" x14ac:dyDescent="0.3">
      <c r="N504" s="344" t="s">
        <v>1978</v>
      </c>
      <c r="O504" s="344" t="s">
        <v>1978</v>
      </c>
      <c r="P504" s="344" t="s">
        <v>1978</v>
      </c>
      <c r="Q504" s="344" t="s">
        <v>1978</v>
      </c>
      <c r="R504" s="344" t="s">
        <v>1978</v>
      </c>
      <c r="S504" s="344" t="s">
        <v>1978</v>
      </c>
    </row>
    <row r="505" spans="14:19" x14ac:dyDescent="0.3">
      <c r="N505" s="344" t="s">
        <v>1978</v>
      </c>
      <c r="O505" s="344" t="s">
        <v>1978</v>
      </c>
      <c r="P505" s="344" t="s">
        <v>1978</v>
      </c>
      <c r="Q505" s="344" t="s">
        <v>1978</v>
      </c>
      <c r="R505" s="344" t="s">
        <v>1978</v>
      </c>
      <c r="S505" s="344" t="s">
        <v>1978</v>
      </c>
    </row>
    <row r="506" spans="14:19" x14ac:dyDescent="0.3">
      <c r="N506" s="344" t="s">
        <v>1978</v>
      </c>
      <c r="O506" s="344" t="s">
        <v>1978</v>
      </c>
      <c r="P506" s="344" t="s">
        <v>1978</v>
      </c>
      <c r="Q506" s="344" t="s">
        <v>1978</v>
      </c>
      <c r="R506" s="344" t="s">
        <v>1978</v>
      </c>
      <c r="S506" s="344" t="s">
        <v>1978</v>
      </c>
    </row>
    <row r="507" spans="14:19" x14ac:dyDescent="0.3">
      <c r="N507" s="344" t="s">
        <v>1978</v>
      </c>
      <c r="O507" s="344" t="s">
        <v>1978</v>
      </c>
      <c r="P507" s="344" t="s">
        <v>1978</v>
      </c>
      <c r="Q507" s="344" t="s">
        <v>1978</v>
      </c>
      <c r="R507" s="344" t="s">
        <v>1978</v>
      </c>
      <c r="S507" s="344" t="s">
        <v>1978</v>
      </c>
    </row>
    <row r="508" spans="14:19" x14ac:dyDescent="0.3">
      <c r="N508" s="344" t="s">
        <v>1978</v>
      </c>
      <c r="O508" s="344" t="s">
        <v>1978</v>
      </c>
      <c r="P508" s="344" t="s">
        <v>1978</v>
      </c>
      <c r="Q508" s="344" t="s">
        <v>1978</v>
      </c>
      <c r="R508" s="344" t="s">
        <v>1978</v>
      </c>
      <c r="S508" s="344" t="s">
        <v>1978</v>
      </c>
    </row>
    <row r="509" spans="14:19" x14ac:dyDescent="0.3">
      <c r="N509" s="344" t="s">
        <v>1978</v>
      </c>
      <c r="O509" s="344" t="s">
        <v>1978</v>
      </c>
      <c r="P509" s="344" t="s">
        <v>1978</v>
      </c>
      <c r="Q509" s="344" t="s">
        <v>1978</v>
      </c>
      <c r="R509" s="344" t="s">
        <v>1978</v>
      </c>
      <c r="S509" s="344" t="s">
        <v>1978</v>
      </c>
    </row>
    <row r="510" spans="14:19" x14ac:dyDescent="0.3">
      <c r="N510" s="344" t="s">
        <v>1978</v>
      </c>
      <c r="O510" s="344" t="s">
        <v>1978</v>
      </c>
      <c r="P510" s="344" t="s">
        <v>1978</v>
      </c>
      <c r="Q510" s="344" t="s">
        <v>1978</v>
      </c>
      <c r="R510" s="344" t="s">
        <v>1978</v>
      </c>
      <c r="S510" s="344" t="s">
        <v>1978</v>
      </c>
    </row>
    <row r="511" spans="14:19" x14ac:dyDescent="0.3">
      <c r="N511" s="344" t="s">
        <v>1978</v>
      </c>
      <c r="O511" s="344" t="s">
        <v>1978</v>
      </c>
      <c r="P511" s="344" t="s">
        <v>1978</v>
      </c>
      <c r="Q511" s="344" t="s">
        <v>1978</v>
      </c>
      <c r="R511" s="344" t="s">
        <v>1978</v>
      </c>
      <c r="S511" s="344" t="s">
        <v>1978</v>
      </c>
    </row>
    <row r="512" spans="14:19" x14ac:dyDescent="0.3">
      <c r="N512" s="344" t="s">
        <v>1978</v>
      </c>
      <c r="O512" s="344" t="s">
        <v>1978</v>
      </c>
      <c r="P512" s="344" t="s">
        <v>1978</v>
      </c>
      <c r="Q512" s="344" t="s">
        <v>1978</v>
      </c>
      <c r="R512" s="344" t="s">
        <v>1978</v>
      </c>
      <c r="S512" s="344" t="s">
        <v>1978</v>
      </c>
    </row>
    <row r="513" spans="14:19" x14ac:dyDescent="0.3">
      <c r="N513" s="344" t="s">
        <v>1978</v>
      </c>
      <c r="O513" s="344" t="s">
        <v>1978</v>
      </c>
      <c r="P513" s="344" t="s">
        <v>1978</v>
      </c>
      <c r="Q513" s="344" t="s">
        <v>1978</v>
      </c>
      <c r="R513" s="344" t="s">
        <v>1978</v>
      </c>
      <c r="S513" s="344" t="s">
        <v>1978</v>
      </c>
    </row>
    <row r="514" spans="14:19" x14ac:dyDescent="0.3">
      <c r="N514" s="344" t="s">
        <v>1978</v>
      </c>
      <c r="O514" s="344" t="s">
        <v>1978</v>
      </c>
      <c r="P514" s="344" t="s">
        <v>1978</v>
      </c>
      <c r="Q514" s="344" t="s">
        <v>1978</v>
      </c>
      <c r="R514" s="344" t="s">
        <v>1978</v>
      </c>
      <c r="S514" s="344" t="s">
        <v>1978</v>
      </c>
    </row>
    <row r="515" spans="14:19" x14ac:dyDescent="0.3">
      <c r="N515" s="344" t="s">
        <v>1978</v>
      </c>
      <c r="O515" s="344" t="s">
        <v>1978</v>
      </c>
      <c r="P515" s="344" t="s">
        <v>1978</v>
      </c>
      <c r="Q515" s="344" t="s">
        <v>1978</v>
      </c>
      <c r="R515" s="344" t="s">
        <v>1978</v>
      </c>
      <c r="S515" s="344" t="s">
        <v>1978</v>
      </c>
    </row>
    <row r="516" spans="14:19" x14ac:dyDescent="0.3">
      <c r="N516" s="344" t="s">
        <v>1978</v>
      </c>
      <c r="O516" s="344" t="s">
        <v>1978</v>
      </c>
      <c r="P516" s="344" t="s">
        <v>1978</v>
      </c>
      <c r="Q516" s="344" t="s">
        <v>1978</v>
      </c>
      <c r="R516" s="344" t="s">
        <v>1978</v>
      </c>
      <c r="S516" s="344" t="s">
        <v>1978</v>
      </c>
    </row>
    <row r="517" spans="14:19" x14ac:dyDescent="0.3">
      <c r="N517" s="344" t="s">
        <v>1978</v>
      </c>
      <c r="O517" s="344" t="s">
        <v>1978</v>
      </c>
      <c r="P517" s="344" t="s">
        <v>1978</v>
      </c>
      <c r="Q517" s="344" t="s">
        <v>1978</v>
      </c>
      <c r="R517" s="344" t="s">
        <v>1978</v>
      </c>
      <c r="S517" s="344" t="s">
        <v>1978</v>
      </c>
    </row>
    <row r="518" spans="14:19" x14ac:dyDescent="0.3">
      <c r="N518" s="344" t="s">
        <v>1978</v>
      </c>
      <c r="O518" s="344" t="s">
        <v>1978</v>
      </c>
      <c r="P518" s="344" t="s">
        <v>1978</v>
      </c>
      <c r="Q518" s="344" t="s">
        <v>1978</v>
      </c>
      <c r="R518" s="344" t="s">
        <v>1978</v>
      </c>
      <c r="S518" s="344" t="s">
        <v>1978</v>
      </c>
    </row>
    <row r="519" spans="14:19" x14ac:dyDescent="0.3">
      <c r="N519" s="344" t="s">
        <v>1978</v>
      </c>
      <c r="O519" s="344" t="s">
        <v>1978</v>
      </c>
      <c r="P519" s="344" t="s">
        <v>1978</v>
      </c>
      <c r="Q519" s="344" t="s">
        <v>1978</v>
      </c>
      <c r="R519" s="344" t="s">
        <v>1978</v>
      </c>
      <c r="S519" s="344" t="s">
        <v>1978</v>
      </c>
    </row>
    <row r="520" spans="14:19" x14ac:dyDescent="0.3">
      <c r="N520" s="344" t="s">
        <v>1978</v>
      </c>
      <c r="O520" s="344" t="s">
        <v>1978</v>
      </c>
      <c r="P520" s="344" t="s">
        <v>1978</v>
      </c>
      <c r="Q520" s="344" t="s">
        <v>1978</v>
      </c>
      <c r="R520" s="344" t="s">
        <v>1978</v>
      </c>
      <c r="S520" s="344" t="s">
        <v>1978</v>
      </c>
    </row>
    <row r="521" spans="14:19" x14ac:dyDescent="0.3">
      <c r="N521" s="344" t="s">
        <v>1978</v>
      </c>
      <c r="O521" s="344" t="s">
        <v>1978</v>
      </c>
      <c r="P521" s="344" t="s">
        <v>1978</v>
      </c>
      <c r="Q521" s="344" t="s">
        <v>1978</v>
      </c>
      <c r="R521" s="344" t="s">
        <v>1978</v>
      </c>
      <c r="S521" s="344" t="s">
        <v>1978</v>
      </c>
    </row>
    <row r="522" spans="14:19" x14ac:dyDescent="0.3">
      <c r="N522" s="344" t="s">
        <v>1978</v>
      </c>
      <c r="O522" s="344" t="s">
        <v>1978</v>
      </c>
      <c r="P522" s="344" t="s">
        <v>1978</v>
      </c>
      <c r="Q522" s="344" t="s">
        <v>1978</v>
      </c>
      <c r="R522" s="344" t="s">
        <v>1978</v>
      </c>
      <c r="S522" s="344" t="s">
        <v>1978</v>
      </c>
    </row>
    <row r="523" spans="14:19" x14ac:dyDescent="0.3">
      <c r="N523" s="344" t="s">
        <v>1978</v>
      </c>
      <c r="O523" s="344" t="s">
        <v>1978</v>
      </c>
      <c r="P523" s="344" t="s">
        <v>1978</v>
      </c>
      <c r="Q523" s="344" t="s">
        <v>1978</v>
      </c>
      <c r="R523" s="344" t="s">
        <v>1978</v>
      </c>
      <c r="S523" s="344" t="s">
        <v>1978</v>
      </c>
    </row>
    <row r="524" spans="14:19" x14ac:dyDescent="0.3">
      <c r="N524" s="344" t="s">
        <v>1978</v>
      </c>
      <c r="O524" s="344" t="s">
        <v>1978</v>
      </c>
      <c r="P524" s="344" t="s">
        <v>1978</v>
      </c>
      <c r="Q524" s="344" t="s">
        <v>1978</v>
      </c>
      <c r="R524" s="344" t="s">
        <v>1978</v>
      </c>
      <c r="S524" s="344" t="s">
        <v>1978</v>
      </c>
    </row>
    <row r="525" spans="14:19" x14ac:dyDescent="0.3">
      <c r="N525" s="344" t="s">
        <v>1978</v>
      </c>
      <c r="O525" s="344" t="s">
        <v>1978</v>
      </c>
      <c r="P525" s="344" t="s">
        <v>1978</v>
      </c>
      <c r="Q525" s="344" t="s">
        <v>1978</v>
      </c>
      <c r="R525" s="344" t="s">
        <v>1978</v>
      </c>
      <c r="S525" s="344" t="s">
        <v>1978</v>
      </c>
    </row>
    <row r="526" spans="14:19" x14ac:dyDescent="0.3">
      <c r="N526" s="344" t="s">
        <v>1978</v>
      </c>
      <c r="O526" s="344" t="s">
        <v>1978</v>
      </c>
      <c r="P526" s="344" t="s">
        <v>1978</v>
      </c>
      <c r="Q526" s="344" t="s">
        <v>1978</v>
      </c>
      <c r="R526" s="344" t="s">
        <v>1978</v>
      </c>
      <c r="S526" s="344" t="s">
        <v>1978</v>
      </c>
    </row>
    <row r="527" spans="14:19" x14ac:dyDescent="0.3">
      <c r="N527" s="344" t="s">
        <v>1978</v>
      </c>
      <c r="O527" s="344" t="s">
        <v>1978</v>
      </c>
      <c r="P527" s="344" t="s">
        <v>1978</v>
      </c>
      <c r="Q527" s="344" t="s">
        <v>1978</v>
      </c>
      <c r="R527" s="344" t="s">
        <v>1978</v>
      </c>
      <c r="S527" s="344" t="s">
        <v>1978</v>
      </c>
    </row>
    <row r="528" spans="14:19" x14ac:dyDescent="0.3">
      <c r="N528" s="344" t="s">
        <v>1978</v>
      </c>
      <c r="O528" s="344" t="s">
        <v>1978</v>
      </c>
      <c r="P528" s="344" t="s">
        <v>1978</v>
      </c>
      <c r="Q528" s="344" t="s">
        <v>1978</v>
      </c>
      <c r="R528" s="344" t="s">
        <v>1978</v>
      </c>
      <c r="S528" s="344" t="s">
        <v>1978</v>
      </c>
    </row>
    <row r="529" spans="14:19" x14ac:dyDescent="0.3">
      <c r="N529" s="344" t="s">
        <v>1978</v>
      </c>
      <c r="O529" s="344" t="s">
        <v>1978</v>
      </c>
      <c r="P529" s="344" t="s">
        <v>1978</v>
      </c>
      <c r="Q529" s="344" t="s">
        <v>1978</v>
      </c>
      <c r="R529" s="344" t="s">
        <v>1978</v>
      </c>
      <c r="S529" s="344" t="s">
        <v>1978</v>
      </c>
    </row>
    <row r="530" spans="14:19" x14ac:dyDescent="0.3">
      <c r="N530" s="344" t="s">
        <v>1978</v>
      </c>
      <c r="O530" s="344" t="s">
        <v>1978</v>
      </c>
      <c r="P530" s="344" t="s">
        <v>1978</v>
      </c>
      <c r="Q530" s="344" t="s">
        <v>1978</v>
      </c>
      <c r="R530" s="344" t="s">
        <v>1978</v>
      </c>
      <c r="S530" s="344" t="s">
        <v>1978</v>
      </c>
    </row>
    <row r="531" spans="14:19" x14ac:dyDescent="0.3">
      <c r="N531" s="344" t="s">
        <v>1978</v>
      </c>
      <c r="O531" s="344" t="s">
        <v>1978</v>
      </c>
      <c r="P531" s="344" t="s">
        <v>1978</v>
      </c>
      <c r="Q531" s="344" t="s">
        <v>1978</v>
      </c>
      <c r="R531" s="344" t="s">
        <v>1978</v>
      </c>
      <c r="S531" s="344" t="s">
        <v>1978</v>
      </c>
    </row>
    <row r="532" spans="14:19" x14ac:dyDescent="0.3">
      <c r="N532" s="344" t="s">
        <v>1978</v>
      </c>
      <c r="O532" s="344" t="s">
        <v>1978</v>
      </c>
      <c r="P532" s="344" t="s">
        <v>1978</v>
      </c>
      <c r="Q532" s="344" t="s">
        <v>1978</v>
      </c>
      <c r="R532" s="344" t="s">
        <v>1978</v>
      </c>
      <c r="S532" s="344" t="s">
        <v>1978</v>
      </c>
    </row>
    <row r="533" spans="14:19" x14ac:dyDescent="0.3">
      <c r="N533" s="344" t="s">
        <v>1978</v>
      </c>
      <c r="O533" s="344" t="s">
        <v>1978</v>
      </c>
      <c r="P533" s="344" t="s">
        <v>1978</v>
      </c>
      <c r="Q533" s="344" t="s">
        <v>1978</v>
      </c>
      <c r="R533" s="344" t="s">
        <v>1978</v>
      </c>
      <c r="S533" s="344" t="s">
        <v>1978</v>
      </c>
    </row>
    <row r="534" spans="14:19" x14ac:dyDescent="0.3">
      <c r="N534" s="344" t="s">
        <v>1978</v>
      </c>
      <c r="O534" s="344" t="s">
        <v>1978</v>
      </c>
      <c r="P534" s="344" t="s">
        <v>1978</v>
      </c>
      <c r="Q534" s="344" t="s">
        <v>1978</v>
      </c>
      <c r="R534" s="344" t="s">
        <v>1978</v>
      </c>
      <c r="S534" s="344" t="s">
        <v>1978</v>
      </c>
    </row>
    <row r="535" spans="14:19" x14ac:dyDescent="0.3">
      <c r="N535" s="344" t="s">
        <v>1978</v>
      </c>
      <c r="O535" s="344" t="s">
        <v>1978</v>
      </c>
      <c r="P535" s="344" t="s">
        <v>1978</v>
      </c>
      <c r="Q535" s="344" t="s">
        <v>1978</v>
      </c>
      <c r="R535" s="344" t="s">
        <v>1978</v>
      </c>
      <c r="S535" s="344" t="s">
        <v>1978</v>
      </c>
    </row>
    <row r="536" spans="14:19" x14ac:dyDescent="0.3">
      <c r="N536" s="344" t="s">
        <v>1978</v>
      </c>
      <c r="O536" s="344" t="s">
        <v>1978</v>
      </c>
      <c r="P536" s="344" t="s">
        <v>1978</v>
      </c>
      <c r="Q536" s="344" t="s">
        <v>1978</v>
      </c>
      <c r="R536" s="344" t="s">
        <v>1978</v>
      </c>
      <c r="S536" s="344" t="s">
        <v>1978</v>
      </c>
    </row>
    <row r="537" spans="14:19" x14ac:dyDescent="0.3">
      <c r="N537" s="344" t="s">
        <v>1978</v>
      </c>
      <c r="O537" s="344" t="s">
        <v>1978</v>
      </c>
      <c r="P537" s="344" t="s">
        <v>1978</v>
      </c>
      <c r="Q537" s="344" t="s">
        <v>1978</v>
      </c>
      <c r="R537" s="344" t="s">
        <v>1978</v>
      </c>
      <c r="S537" s="344" t="s">
        <v>1978</v>
      </c>
    </row>
    <row r="538" spans="14:19" x14ac:dyDescent="0.3">
      <c r="N538" s="344" t="s">
        <v>1978</v>
      </c>
      <c r="O538" s="344" t="s">
        <v>1978</v>
      </c>
      <c r="P538" s="344" t="s">
        <v>1978</v>
      </c>
      <c r="Q538" s="344" t="s">
        <v>1978</v>
      </c>
      <c r="R538" s="344" t="s">
        <v>1978</v>
      </c>
      <c r="S538" s="344" t="s">
        <v>1978</v>
      </c>
    </row>
    <row r="539" spans="14:19" x14ac:dyDescent="0.3">
      <c r="N539" s="344" t="s">
        <v>1978</v>
      </c>
      <c r="O539" s="344" t="s">
        <v>1978</v>
      </c>
      <c r="P539" s="344" t="s">
        <v>1978</v>
      </c>
      <c r="Q539" s="344" t="s">
        <v>1978</v>
      </c>
      <c r="R539" s="344" t="s">
        <v>1978</v>
      </c>
      <c r="S539" s="344" t="s">
        <v>1978</v>
      </c>
    </row>
    <row r="540" spans="14:19" x14ac:dyDescent="0.3">
      <c r="N540" s="344" t="s">
        <v>1978</v>
      </c>
      <c r="O540" s="344" t="s">
        <v>1978</v>
      </c>
      <c r="P540" s="344" t="s">
        <v>1978</v>
      </c>
      <c r="Q540" s="344" t="s">
        <v>1978</v>
      </c>
      <c r="R540" s="344" t="s">
        <v>1978</v>
      </c>
      <c r="S540" s="344" t="s">
        <v>1978</v>
      </c>
    </row>
    <row r="541" spans="14:19" x14ac:dyDescent="0.3">
      <c r="N541" s="344" t="s">
        <v>1978</v>
      </c>
      <c r="O541" s="344" t="s">
        <v>1978</v>
      </c>
      <c r="P541" s="344" t="s">
        <v>1978</v>
      </c>
      <c r="Q541" s="344" t="s">
        <v>1978</v>
      </c>
      <c r="R541" s="344" t="s">
        <v>1978</v>
      </c>
      <c r="S541" s="344" t="s">
        <v>1978</v>
      </c>
    </row>
    <row r="542" spans="14:19" x14ac:dyDescent="0.3">
      <c r="N542" s="344" t="s">
        <v>1978</v>
      </c>
      <c r="O542" s="344" t="s">
        <v>1978</v>
      </c>
      <c r="P542" s="344" t="s">
        <v>1978</v>
      </c>
      <c r="Q542" s="344" t="s">
        <v>1978</v>
      </c>
      <c r="R542" s="344" t="s">
        <v>1978</v>
      </c>
      <c r="S542" s="344" t="s">
        <v>1978</v>
      </c>
    </row>
    <row r="543" spans="14:19" x14ac:dyDescent="0.3">
      <c r="N543" s="344" t="s">
        <v>1978</v>
      </c>
      <c r="O543" s="344" t="s">
        <v>1978</v>
      </c>
      <c r="P543" s="344" t="s">
        <v>1978</v>
      </c>
      <c r="Q543" s="344" t="s">
        <v>1978</v>
      </c>
      <c r="R543" s="344" t="s">
        <v>1978</v>
      </c>
      <c r="S543" s="344" t="s">
        <v>1978</v>
      </c>
    </row>
    <row r="544" spans="14:19" x14ac:dyDescent="0.3">
      <c r="N544" s="344" t="s">
        <v>1978</v>
      </c>
      <c r="O544" s="344" t="s">
        <v>1978</v>
      </c>
      <c r="P544" s="344" t="s">
        <v>1978</v>
      </c>
      <c r="Q544" s="344" t="s">
        <v>1978</v>
      </c>
      <c r="R544" s="344" t="s">
        <v>1978</v>
      </c>
      <c r="S544" s="344" t="s">
        <v>1978</v>
      </c>
    </row>
    <row r="545" spans="14:19" x14ac:dyDescent="0.3">
      <c r="N545" s="344" t="s">
        <v>1978</v>
      </c>
      <c r="O545" s="344" t="s">
        <v>1978</v>
      </c>
      <c r="P545" s="344" t="s">
        <v>1978</v>
      </c>
      <c r="Q545" s="344" t="s">
        <v>1978</v>
      </c>
      <c r="R545" s="344" t="s">
        <v>1978</v>
      </c>
      <c r="S545" s="344" t="s">
        <v>1978</v>
      </c>
    </row>
    <row r="546" spans="14:19" x14ac:dyDescent="0.3">
      <c r="N546" s="344" t="s">
        <v>1978</v>
      </c>
      <c r="O546" s="344" t="s">
        <v>1978</v>
      </c>
      <c r="P546" s="344" t="s">
        <v>1978</v>
      </c>
      <c r="Q546" s="344" t="s">
        <v>1978</v>
      </c>
      <c r="R546" s="344" t="s">
        <v>1978</v>
      </c>
      <c r="S546" s="344" t="s">
        <v>1978</v>
      </c>
    </row>
    <row r="547" spans="14:19" x14ac:dyDescent="0.3">
      <c r="N547" s="344" t="s">
        <v>1978</v>
      </c>
      <c r="O547" s="344" t="s">
        <v>1978</v>
      </c>
      <c r="P547" s="344" t="s">
        <v>1978</v>
      </c>
      <c r="Q547" s="344" t="s">
        <v>1978</v>
      </c>
      <c r="R547" s="344" t="s">
        <v>1978</v>
      </c>
      <c r="S547" s="344" t="s">
        <v>1978</v>
      </c>
    </row>
    <row r="548" spans="14:19" x14ac:dyDescent="0.3">
      <c r="N548" s="344" t="s">
        <v>1978</v>
      </c>
      <c r="O548" s="344" t="s">
        <v>1978</v>
      </c>
      <c r="P548" s="344" t="s">
        <v>1978</v>
      </c>
      <c r="Q548" s="344" t="s">
        <v>1978</v>
      </c>
      <c r="R548" s="344" t="s">
        <v>1978</v>
      </c>
      <c r="S548" s="344" t="s">
        <v>1978</v>
      </c>
    </row>
    <row r="549" spans="14:19" x14ac:dyDescent="0.3">
      <c r="N549" s="344" t="s">
        <v>1978</v>
      </c>
      <c r="O549" s="344" t="s">
        <v>1978</v>
      </c>
      <c r="P549" s="344" t="s">
        <v>1978</v>
      </c>
      <c r="Q549" s="344" t="s">
        <v>1978</v>
      </c>
      <c r="R549" s="344" t="s">
        <v>1978</v>
      </c>
      <c r="S549" s="344" t="s">
        <v>1978</v>
      </c>
    </row>
    <row r="550" spans="14:19" x14ac:dyDescent="0.3">
      <c r="N550" s="344" t="s">
        <v>1978</v>
      </c>
      <c r="O550" s="344" t="s">
        <v>1978</v>
      </c>
      <c r="P550" s="344" t="s">
        <v>1978</v>
      </c>
      <c r="Q550" s="344" t="s">
        <v>1978</v>
      </c>
      <c r="R550" s="344" t="s">
        <v>1978</v>
      </c>
      <c r="S550" s="344" t="s">
        <v>1978</v>
      </c>
    </row>
    <row r="551" spans="14:19" x14ac:dyDescent="0.3">
      <c r="N551" s="344" t="s">
        <v>1978</v>
      </c>
      <c r="O551" s="344" t="s">
        <v>1978</v>
      </c>
      <c r="P551" s="344" t="s">
        <v>1978</v>
      </c>
      <c r="Q551" s="344" t="s">
        <v>1978</v>
      </c>
      <c r="R551" s="344" t="s">
        <v>1978</v>
      </c>
      <c r="S551" s="344" t="s">
        <v>1978</v>
      </c>
    </row>
    <row r="552" spans="14:19" x14ac:dyDescent="0.3">
      <c r="N552" s="344" t="s">
        <v>1978</v>
      </c>
      <c r="O552" s="344" t="s">
        <v>1978</v>
      </c>
      <c r="P552" s="344" t="s">
        <v>1978</v>
      </c>
      <c r="Q552" s="344" t="s">
        <v>1978</v>
      </c>
      <c r="R552" s="344" t="s">
        <v>1978</v>
      </c>
      <c r="S552" s="344" t="s">
        <v>1978</v>
      </c>
    </row>
    <row r="553" spans="14:19" x14ac:dyDescent="0.3">
      <c r="N553" s="344" t="s">
        <v>1978</v>
      </c>
      <c r="O553" s="344" t="s">
        <v>1978</v>
      </c>
      <c r="P553" s="344" t="s">
        <v>1978</v>
      </c>
      <c r="Q553" s="344" t="s">
        <v>1978</v>
      </c>
      <c r="R553" s="344" t="s">
        <v>1978</v>
      </c>
      <c r="S553" s="344" t="s">
        <v>1978</v>
      </c>
    </row>
    <row r="554" spans="14:19" x14ac:dyDescent="0.3">
      <c r="N554" s="344" t="s">
        <v>1978</v>
      </c>
      <c r="O554" s="344" t="s">
        <v>1978</v>
      </c>
      <c r="P554" s="344" t="s">
        <v>1978</v>
      </c>
      <c r="Q554" s="344" t="s">
        <v>1978</v>
      </c>
      <c r="R554" s="344" t="s">
        <v>1978</v>
      </c>
      <c r="S554" s="344" t="s">
        <v>1978</v>
      </c>
    </row>
    <row r="555" spans="14:19" x14ac:dyDescent="0.3">
      <c r="N555" s="344" t="s">
        <v>1978</v>
      </c>
      <c r="O555" s="344" t="s">
        <v>1978</v>
      </c>
      <c r="P555" s="344" t="s">
        <v>1978</v>
      </c>
      <c r="Q555" s="344" t="s">
        <v>1978</v>
      </c>
      <c r="R555" s="344" t="s">
        <v>1978</v>
      </c>
      <c r="S555" s="344" t="s">
        <v>1978</v>
      </c>
    </row>
    <row r="556" spans="14:19" x14ac:dyDescent="0.3">
      <c r="N556" s="344" t="s">
        <v>1978</v>
      </c>
      <c r="O556" s="344" t="s">
        <v>1978</v>
      </c>
      <c r="P556" s="344" t="s">
        <v>1978</v>
      </c>
      <c r="Q556" s="344" t="s">
        <v>1978</v>
      </c>
      <c r="R556" s="344" t="s">
        <v>1978</v>
      </c>
      <c r="S556" s="344" t="s">
        <v>1978</v>
      </c>
    </row>
    <row r="557" spans="14:19" x14ac:dyDescent="0.3">
      <c r="N557" s="344" t="s">
        <v>1978</v>
      </c>
      <c r="O557" s="344" t="s">
        <v>1978</v>
      </c>
      <c r="P557" s="344" t="s">
        <v>1978</v>
      </c>
      <c r="Q557" s="344" t="s">
        <v>1978</v>
      </c>
      <c r="R557" s="344" t="s">
        <v>1978</v>
      </c>
      <c r="S557" s="344" t="s">
        <v>1978</v>
      </c>
    </row>
    <row r="558" spans="14:19" x14ac:dyDescent="0.3">
      <c r="N558" s="344" t="s">
        <v>1978</v>
      </c>
      <c r="O558" s="344" t="s">
        <v>1978</v>
      </c>
      <c r="P558" s="344" t="s">
        <v>1978</v>
      </c>
      <c r="Q558" s="344" t="s">
        <v>1978</v>
      </c>
      <c r="R558" s="344" t="s">
        <v>1978</v>
      </c>
      <c r="S558" s="344" t="s">
        <v>1978</v>
      </c>
    </row>
    <row r="559" spans="14:19" x14ac:dyDescent="0.3">
      <c r="N559" s="344" t="s">
        <v>1978</v>
      </c>
      <c r="O559" s="344" t="s">
        <v>1978</v>
      </c>
      <c r="P559" s="344" t="s">
        <v>1978</v>
      </c>
      <c r="Q559" s="344" t="s">
        <v>1978</v>
      </c>
      <c r="R559" s="344" t="s">
        <v>1978</v>
      </c>
      <c r="S559" s="344" t="s">
        <v>1978</v>
      </c>
    </row>
    <row r="560" spans="14:19" x14ac:dyDescent="0.3">
      <c r="N560" s="344" t="s">
        <v>1978</v>
      </c>
      <c r="O560" s="344" t="s">
        <v>1978</v>
      </c>
      <c r="P560" s="344" t="s">
        <v>1978</v>
      </c>
      <c r="Q560" s="344" t="s">
        <v>1978</v>
      </c>
      <c r="R560" s="344" t="s">
        <v>1978</v>
      </c>
      <c r="S560" s="344" t="s">
        <v>1978</v>
      </c>
    </row>
    <row r="561" spans="14:19" x14ac:dyDescent="0.3">
      <c r="N561" s="344" t="s">
        <v>1978</v>
      </c>
      <c r="O561" s="344" t="s">
        <v>1978</v>
      </c>
      <c r="P561" s="344" t="s">
        <v>1978</v>
      </c>
      <c r="Q561" s="344" t="s">
        <v>1978</v>
      </c>
      <c r="R561" s="344" t="s">
        <v>1978</v>
      </c>
      <c r="S561" s="344" t="s">
        <v>1978</v>
      </c>
    </row>
    <row r="562" spans="14:19" x14ac:dyDescent="0.3">
      <c r="N562" s="344" t="s">
        <v>1978</v>
      </c>
      <c r="O562" s="344" t="s">
        <v>1978</v>
      </c>
      <c r="P562" s="344" t="s">
        <v>1978</v>
      </c>
      <c r="Q562" s="344" t="s">
        <v>1978</v>
      </c>
      <c r="R562" s="344" t="s">
        <v>1978</v>
      </c>
      <c r="S562" s="344" t="s">
        <v>1978</v>
      </c>
    </row>
    <row r="563" spans="14:19" x14ac:dyDescent="0.3">
      <c r="N563" s="344" t="s">
        <v>1978</v>
      </c>
      <c r="O563" s="344" t="s">
        <v>1978</v>
      </c>
      <c r="P563" s="344" t="s">
        <v>1978</v>
      </c>
      <c r="Q563" s="344" t="s">
        <v>1978</v>
      </c>
      <c r="R563" s="344" t="s">
        <v>1978</v>
      </c>
      <c r="S563" s="344" t="s">
        <v>1978</v>
      </c>
    </row>
    <row r="564" spans="14:19" x14ac:dyDescent="0.3">
      <c r="N564" s="344" t="s">
        <v>1978</v>
      </c>
      <c r="O564" s="344" t="s">
        <v>1978</v>
      </c>
      <c r="P564" s="344" t="s">
        <v>1978</v>
      </c>
      <c r="Q564" s="344" t="s">
        <v>1978</v>
      </c>
      <c r="R564" s="344" t="s">
        <v>1978</v>
      </c>
      <c r="S564" s="344" t="s">
        <v>1978</v>
      </c>
    </row>
    <row r="565" spans="14:19" x14ac:dyDescent="0.3">
      <c r="N565" s="344" t="s">
        <v>1978</v>
      </c>
      <c r="O565" s="344" t="s">
        <v>1978</v>
      </c>
      <c r="P565" s="344" t="s">
        <v>1978</v>
      </c>
      <c r="Q565" s="344" t="s">
        <v>1978</v>
      </c>
      <c r="R565" s="344" t="s">
        <v>1978</v>
      </c>
      <c r="S565" s="344" t="s">
        <v>1978</v>
      </c>
    </row>
    <row r="566" spans="14:19" x14ac:dyDescent="0.3">
      <c r="N566" s="344" t="s">
        <v>1978</v>
      </c>
      <c r="O566" s="344" t="s">
        <v>1978</v>
      </c>
      <c r="P566" s="344" t="s">
        <v>1978</v>
      </c>
      <c r="Q566" s="344" t="s">
        <v>1978</v>
      </c>
      <c r="R566" s="344" t="s">
        <v>1978</v>
      </c>
      <c r="S566" s="344" t="s">
        <v>1978</v>
      </c>
    </row>
    <row r="567" spans="14:19" x14ac:dyDescent="0.3">
      <c r="N567" s="344" t="s">
        <v>1978</v>
      </c>
      <c r="O567" s="344" t="s">
        <v>1978</v>
      </c>
      <c r="P567" s="344" t="s">
        <v>1978</v>
      </c>
      <c r="Q567" s="344" t="s">
        <v>1978</v>
      </c>
      <c r="R567" s="344" t="s">
        <v>1978</v>
      </c>
      <c r="S567" s="344" t="s">
        <v>1978</v>
      </c>
    </row>
    <row r="568" spans="14:19" x14ac:dyDescent="0.3">
      <c r="N568" s="344" t="s">
        <v>1978</v>
      </c>
      <c r="O568" s="344" t="s">
        <v>1978</v>
      </c>
      <c r="P568" s="344" t="s">
        <v>1978</v>
      </c>
      <c r="Q568" s="344" t="s">
        <v>1978</v>
      </c>
      <c r="R568" s="344" t="s">
        <v>1978</v>
      </c>
      <c r="S568" s="344" t="s">
        <v>1978</v>
      </c>
    </row>
    <row r="569" spans="14:19" x14ac:dyDescent="0.3">
      <c r="N569" s="344" t="s">
        <v>1978</v>
      </c>
      <c r="O569" s="344" t="s">
        <v>1978</v>
      </c>
      <c r="P569" s="344" t="s">
        <v>1978</v>
      </c>
      <c r="Q569" s="344" t="s">
        <v>1978</v>
      </c>
      <c r="R569" s="344" t="s">
        <v>1978</v>
      </c>
      <c r="S569" s="344" t="s">
        <v>1978</v>
      </c>
    </row>
    <row r="570" spans="14:19" x14ac:dyDescent="0.3">
      <c r="N570" s="344" t="s">
        <v>1978</v>
      </c>
      <c r="O570" s="344" t="s">
        <v>1978</v>
      </c>
      <c r="P570" s="344" t="s">
        <v>1978</v>
      </c>
      <c r="Q570" s="344" t="s">
        <v>1978</v>
      </c>
      <c r="R570" s="344" t="s">
        <v>1978</v>
      </c>
      <c r="S570" s="344" t="s">
        <v>1978</v>
      </c>
    </row>
    <row r="571" spans="14:19" x14ac:dyDescent="0.3">
      <c r="N571" s="344" t="s">
        <v>1978</v>
      </c>
      <c r="O571" s="344" t="s">
        <v>1978</v>
      </c>
      <c r="P571" s="344" t="s">
        <v>1978</v>
      </c>
      <c r="Q571" s="344" t="s">
        <v>1978</v>
      </c>
      <c r="R571" s="344" t="s">
        <v>1978</v>
      </c>
      <c r="S571" s="344" t="s">
        <v>1978</v>
      </c>
    </row>
    <row r="572" spans="14:19" x14ac:dyDescent="0.3">
      <c r="N572" s="344" t="s">
        <v>1978</v>
      </c>
      <c r="O572" s="344" t="s">
        <v>1978</v>
      </c>
      <c r="P572" s="344" t="s">
        <v>1978</v>
      </c>
      <c r="Q572" s="344" t="s">
        <v>1978</v>
      </c>
      <c r="R572" s="344" t="s">
        <v>1978</v>
      </c>
      <c r="S572" s="344" t="s">
        <v>1978</v>
      </c>
    </row>
    <row r="573" spans="14:19" x14ac:dyDescent="0.3">
      <c r="N573" s="344" t="s">
        <v>1978</v>
      </c>
      <c r="O573" s="344" t="s">
        <v>1978</v>
      </c>
      <c r="P573" s="344" t="s">
        <v>1978</v>
      </c>
      <c r="Q573" s="344" t="s">
        <v>1978</v>
      </c>
      <c r="R573" s="344" t="s">
        <v>1978</v>
      </c>
      <c r="S573" s="344" t="s">
        <v>1978</v>
      </c>
    </row>
    <row r="574" spans="14:19" x14ac:dyDescent="0.3">
      <c r="N574" s="344" t="s">
        <v>1978</v>
      </c>
      <c r="O574" s="344" t="s">
        <v>1978</v>
      </c>
      <c r="P574" s="344" t="s">
        <v>1978</v>
      </c>
      <c r="Q574" s="344" t="s">
        <v>1978</v>
      </c>
      <c r="R574" s="344" t="s">
        <v>1978</v>
      </c>
      <c r="S574" s="344" t="s">
        <v>1978</v>
      </c>
    </row>
    <row r="575" spans="14:19" x14ac:dyDescent="0.3">
      <c r="N575" s="344" t="s">
        <v>1978</v>
      </c>
      <c r="O575" s="344" t="s">
        <v>1978</v>
      </c>
      <c r="P575" s="344" t="s">
        <v>1978</v>
      </c>
      <c r="Q575" s="344" t="s">
        <v>1978</v>
      </c>
      <c r="R575" s="344" t="s">
        <v>1978</v>
      </c>
      <c r="S575" s="344" t="s">
        <v>1978</v>
      </c>
    </row>
    <row r="576" spans="14:19" x14ac:dyDescent="0.3">
      <c r="N576" s="344" t="s">
        <v>1978</v>
      </c>
      <c r="O576" s="344" t="s">
        <v>1978</v>
      </c>
      <c r="P576" s="344" t="s">
        <v>1978</v>
      </c>
      <c r="Q576" s="344" t="s">
        <v>1978</v>
      </c>
      <c r="R576" s="344" t="s">
        <v>1978</v>
      </c>
      <c r="S576" s="344" t="s">
        <v>1978</v>
      </c>
    </row>
    <row r="577" spans="14:19" x14ac:dyDescent="0.3">
      <c r="N577" s="344" t="s">
        <v>1978</v>
      </c>
      <c r="O577" s="344" t="s">
        <v>1978</v>
      </c>
      <c r="P577" s="344" t="s">
        <v>1978</v>
      </c>
      <c r="Q577" s="344" t="s">
        <v>1978</v>
      </c>
      <c r="R577" s="344" t="s">
        <v>1978</v>
      </c>
      <c r="S577" s="344" t="s">
        <v>1978</v>
      </c>
    </row>
    <row r="578" spans="14:19" x14ac:dyDescent="0.3">
      <c r="N578" s="344" t="s">
        <v>1978</v>
      </c>
      <c r="O578" s="344" t="s">
        <v>1978</v>
      </c>
      <c r="P578" s="344" t="s">
        <v>1978</v>
      </c>
      <c r="Q578" s="344" t="s">
        <v>1978</v>
      </c>
      <c r="R578" s="344" t="s">
        <v>1978</v>
      </c>
      <c r="S578" s="344" t="s">
        <v>1978</v>
      </c>
    </row>
    <row r="579" spans="14:19" x14ac:dyDescent="0.3">
      <c r="N579" s="344" t="s">
        <v>1978</v>
      </c>
      <c r="O579" s="344" t="s">
        <v>1978</v>
      </c>
      <c r="P579" s="344" t="s">
        <v>1978</v>
      </c>
      <c r="Q579" s="344" t="s">
        <v>1978</v>
      </c>
      <c r="R579" s="344" t="s">
        <v>1978</v>
      </c>
      <c r="S579" s="344" t="s">
        <v>1978</v>
      </c>
    </row>
    <row r="580" spans="14:19" x14ac:dyDescent="0.3">
      <c r="N580" s="344" t="s">
        <v>1978</v>
      </c>
      <c r="O580" s="344" t="s">
        <v>1978</v>
      </c>
      <c r="P580" s="344" t="s">
        <v>1978</v>
      </c>
      <c r="Q580" s="344" t="s">
        <v>1978</v>
      </c>
      <c r="R580" s="344" t="s">
        <v>1978</v>
      </c>
      <c r="S580" s="344" t="s">
        <v>1978</v>
      </c>
    </row>
    <row r="581" spans="14:19" x14ac:dyDescent="0.3">
      <c r="N581" s="344" t="s">
        <v>1978</v>
      </c>
      <c r="O581" s="344" t="s">
        <v>1978</v>
      </c>
      <c r="P581" s="344" t="s">
        <v>1978</v>
      </c>
      <c r="Q581" s="344" t="s">
        <v>1978</v>
      </c>
      <c r="R581" s="344" t="s">
        <v>1978</v>
      </c>
      <c r="S581" s="344" t="s">
        <v>1978</v>
      </c>
    </row>
    <row r="582" spans="14:19" x14ac:dyDescent="0.3">
      <c r="N582" s="344" t="s">
        <v>1978</v>
      </c>
      <c r="O582" s="344" t="s">
        <v>1978</v>
      </c>
      <c r="P582" s="344" t="s">
        <v>1978</v>
      </c>
      <c r="Q582" s="344" t="s">
        <v>1978</v>
      </c>
      <c r="R582" s="344" t="s">
        <v>1978</v>
      </c>
      <c r="S582" s="344" t="s">
        <v>1978</v>
      </c>
    </row>
    <row r="583" spans="14:19" x14ac:dyDescent="0.3">
      <c r="N583" s="344" t="s">
        <v>1978</v>
      </c>
      <c r="O583" s="344" t="s">
        <v>1978</v>
      </c>
      <c r="P583" s="344" t="s">
        <v>1978</v>
      </c>
      <c r="Q583" s="344" t="s">
        <v>1978</v>
      </c>
      <c r="R583" s="344" t="s">
        <v>1978</v>
      </c>
      <c r="S583" s="344" t="s">
        <v>1978</v>
      </c>
    </row>
    <row r="584" spans="14:19" x14ac:dyDescent="0.3">
      <c r="N584" s="344" t="s">
        <v>1978</v>
      </c>
      <c r="O584" s="344" t="s">
        <v>1978</v>
      </c>
      <c r="P584" s="344" t="s">
        <v>1978</v>
      </c>
      <c r="Q584" s="344" t="s">
        <v>1978</v>
      </c>
      <c r="R584" s="344" t="s">
        <v>1978</v>
      </c>
      <c r="S584" s="344" t="s">
        <v>1978</v>
      </c>
    </row>
    <row r="585" spans="14:19" x14ac:dyDescent="0.3">
      <c r="N585" s="344" t="s">
        <v>1978</v>
      </c>
      <c r="O585" s="344" t="s">
        <v>1978</v>
      </c>
      <c r="P585" s="344" t="s">
        <v>1978</v>
      </c>
      <c r="Q585" s="344" t="s">
        <v>1978</v>
      </c>
      <c r="R585" s="344" t="s">
        <v>1978</v>
      </c>
      <c r="S585" s="344" t="s">
        <v>1978</v>
      </c>
    </row>
    <row r="586" spans="14:19" x14ac:dyDescent="0.3">
      <c r="N586" s="344" t="s">
        <v>1978</v>
      </c>
      <c r="O586" s="344" t="s">
        <v>1978</v>
      </c>
      <c r="P586" s="344" t="s">
        <v>1978</v>
      </c>
      <c r="Q586" s="344" t="s">
        <v>1978</v>
      </c>
      <c r="R586" s="344" t="s">
        <v>1978</v>
      </c>
      <c r="S586" s="344" t="s">
        <v>1978</v>
      </c>
    </row>
    <row r="587" spans="14:19" x14ac:dyDescent="0.3">
      <c r="N587" s="344" t="s">
        <v>1978</v>
      </c>
      <c r="O587" s="344" t="s">
        <v>1978</v>
      </c>
      <c r="P587" s="344" t="s">
        <v>1978</v>
      </c>
      <c r="Q587" s="344" t="s">
        <v>1978</v>
      </c>
      <c r="R587" s="344" t="s">
        <v>1978</v>
      </c>
      <c r="S587" s="344" t="s">
        <v>1978</v>
      </c>
    </row>
    <row r="588" spans="14:19" x14ac:dyDescent="0.3">
      <c r="N588" s="344" t="s">
        <v>1978</v>
      </c>
      <c r="O588" s="344" t="s">
        <v>1978</v>
      </c>
      <c r="P588" s="344" t="s">
        <v>1978</v>
      </c>
      <c r="Q588" s="344" t="s">
        <v>1978</v>
      </c>
      <c r="R588" s="344" t="s">
        <v>1978</v>
      </c>
      <c r="S588" s="344" t="s">
        <v>1978</v>
      </c>
    </row>
    <row r="589" spans="14:19" x14ac:dyDescent="0.3">
      <c r="N589" s="344" t="s">
        <v>1978</v>
      </c>
      <c r="O589" s="344" t="s">
        <v>1978</v>
      </c>
      <c r="P589" s="344" t="s">
        <v>1978</v>
      </c>
      <c r="Q589" s="344" t="s">
        <v>1978</v>
      </c>
      <c r="R589" s="344" t="s">
        <v>1978</v>
      </c>
      <c r="S589" s="344" t="s">
        <v>1978</v>
      </c>
    </row>
    <row r="590" spans="14:19" x14ac:dyDescent="0.3">
      <c r="N590" s="344" t="s">
        <v>1978</v>
      </c>
      <c r="O590" s="344" t="s">
        <v>1978</v>
      </c>
      <c r="P590" s="344" t="s">
        <v>1978</v>
      </c>
      <c r="Q590" s="344" t="s">
        <v>1978</v>
      </c>
      <c r="R590" s="344" t="s">
        <v>1978</v>
      </c>
      <c r="S590" s="344" t="s">
        <v>1978</v>
      </c>
    </row>
  </sheetData>
  <phoneticPr fontId="2" type="noConversion"/>
  <conditionalFormatting sqref="BR1:BY3 CX13:DE138 BR5:BY5 BR208:BY233 CX210:DE233 BR287:BY306 BY314:BY325 CX287:DE353 BR326:BY1017 BR10:BY138">
    <cfRule type="expression" dxfId="72" priority="16">
      <formula>BZ1</formula>
    </cfRule>
  </conditionalFormatting>
  <conditionalFormatting sqref="A36:AR67 BB36:XFD67 AS36:AU66 AW36:BA66 A14:AU35 AV14:AV66 A13:XFD13 AW14:XFD35">
    <cfRule type="expression" dxfId="71" priority="18">
      <formula>MOD(ROW(),2)=0</formula>
    </cfRule>
  </conditionalFormatting>
  <conditionalFormatting sqref="DF1:DM3 BZ1:CG3 BZ5:CG5 DF5:DM5 BZ152:CG233 DF210:ES233 CA307:CG313 BZ287:CG306 BZ314:CG374 DF287:DM1017 BZ377:CG1017 DF10:DM138 BZ10:CG150">
    <cfRule type="expression" dxfId="70" priority="14">
      <formula>BZ1</formula>
    </cfRule>
  </conditionalFormatting>
  <conditionalFormatting sqref="BR139:BY150 BR152:BY167 BR172:BY173 BR176:BY186 BR188:BY190 BR193:BY207">
    <cfRule type="expression" dxfId="69" priority="11">
      <formula>BZ139</formula>
    </cfRule>
  </conditionalFormatting>
  <conditionalFormatting sqref="DF139:DI150 DF152:DI178 DF181:DI207 DF179:DM180">
    <cfRule type="expression" dxfId="68" priority="10">
      <formula>DF139</formula>
    </cfRule>
  </conditionalFormatting>
  <conditionalFormatting sqref="DJ139:DM178">
    <cfRule type="expression" dxfId="67" priority="9">
      <formula>DJ139</formula>
    </cfRule>
  </conditionalFormatting>
  <conditionalFormatting sqref="DJ181:DM207">
    <cfRule type="expression" dxfId="66" priority="8">
      <formula>DJ181</formula>
    </cfRule>
  </conditionalFormatting>
  <conditionalFormatting sqref="EL139:EO178 EL181:EO207 EL179:ES180">
    <cfRule type="expression" dxfId="65" priority="7">
      <formula>EL139</formula>
    </cfRule>
  </conditionalFormatting>
  <conditionalFormatting sqref="EP139:ES178">
    <cfRule type="expression" dxfId="64" priority="4">
      <formula>EP139</formula>
    </cfRule>
  </conditionalFormatting>
  <conditionalFormatting sqref="EP181:ES207">
    <cfRule type="expression" dxfId="63" priority="3">
      <formula>EP181</formula>
    </cfRule>
  </conditionalFormatting>
  <conditionalFormatting sqref="CX139:DE207">
    <cfRule type="expression" dxfId="62" priority="2">
      <formula>DF139</formula>
    </cfRule>
  </conditionalFormatting>
  <conditionalFormatting sqref="ED139:EK207">
    <cfRule type="expression" dxfId="61" priority="1">
      <formula>EL139</formula>
    </cfRule>
  </conditionalFormatting>
  <hyperlinks>
    <hyperlink ref="AN194" r:id="rId1" xr:uid="{EC5996E7-5325-4C02-B25B-9DA648DE5BF7}"/>
    <hyperlink ref="AO214" r:id="rId2" xr:uid="{B1397B17-9535-4B07-92D0-09438C2940D1}"/>
  </hyperlinks>
  <pageMargins left="0.7" right="0.7" top="0.75" bottom="0.75" header="0.3" footer="0.3"/>
  <pageSetup paperSize="9"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工作表15"/>
  <dimension ref="A1:J52"/>
  <sheetViews>
    <sheetView workbookViewId="0">
      <selection activeCell="A8" sqref="A8"/>
    </sheetView>
  </sheetViews>
  <sheetFormatPr defaultColWidth="9" defaultRowHeight="12" x14ac:dyDescent="0.3"/>
  <cols>
    <col min="1" max="1" width="12" style="104" customWidth="1"/>
    <col min="2" max="4" width="18.109375" style="104" customWidth="1"/>
    <col min="5" max="5" width="15.109375" style="104" customWidth="1"/>
    <col min="6" max="6" width="14.109375" style="104" customWidth="1"/>
    <col min="7" max="7" width="12.88671875" style="104" customWidth="1"/>
    <col min="8" max="8" width="9" style="104"/>
    <col min="9" max="9" width="15.88671875" style="104" customWidth="1"/>
    <col min="10" max="10" width="12.109375" style="104" customWidth="1"/>
    <col min="11" max="16384" width="9" style="104"/>
  </cols>
  <sheetData>
    <row r="1" spans="1:10" x14ac:dyDescent="0.25">
      <c r="A1" s="1" t="s">
        <v>2411</v>
      </c>
      <c r="B1" s="105" t="s">
        <v>2412</v>
      </c>
      <c r="C1" s="1" t="s">
        <v>2413</v>
      </c>
      <c r="D1" s="1" t="s">
        <v>2414</v>
      </c>
      <c r="E1" s="1" t="s">
        <v>2415</v>
      </c>
      <c r="F1" s="1" t="s">
        <v>2416</v>
      </c>
      <c r="G1" s="1" t="s">
        <v>2417</v>
      </c>
      <c r="H1" s="1" t="s">
        <v>2418</v>
      </c>
      <c r="I1" s="1" t="s">
        <v>2540</v>
      </c>
      <c r="J1" s="1" t="s">
        <v>2420</v>
      </c>
    </row>
    <row r="2" spans="1:10" x14ac:dyDescent="0.25">
      <c r="A2" s="1" t="s">
        <v>2421</v>
      </c>
      <c r="C2" s="1" t="s">
        <v>2422</v>
      </c>
      <c r="D2" s="1" t="s">
        <v>2423</v>
      </c>
      <c r="E2" s="1" t="s">
        <v>2424</v>
      </c>
      <c r="F2" s="1" t="s">
        <v>2425</v>
      </c>
      <c r="G2" s="1" t="s">
        <v>2426</v>
      </c>
      <c r="H2" s="1" t="s">
        <v>2421</v>
      </c>
      <c r="I2" s="1" t="s">
        <v>2419</v>
      </c>
      <c r="J2" s="1" t="s">
        <v>2428</v>
      </c>
    </row>
    <row r="3" spans="1:10" x14ac:dyDescent="0.25">
      <c r="A3" s="1" t="s">
        <v>2429</v>
      </c>
      <c r="B3" s="105" t="s">
        <v>2430</v>
      </c>
      <c r="C3" s="1" t="str">
        <f>IF(OR($B$30=B3,$B$31=B3,$B$32=B3),"",B3)</f>
        <v>物理</v>
      </c>
      <c r="D3" s="1" t="str">
        <f>IF(OR($B$29=B3,$B$31=B3,$B$32=B3),"",B3)</f>
        <v>物理</v>
      </c>
      <c r="E3" s="1" t="str">
        <f>IF(OR($B$29=B3,$B$30=B3,$B$32=B3),"",B3)</f>
        <v>物理</v>
      </c>
      <c r="F3" s="1" t="str">
        <f>IF(OR($B$29=B8,$B$30=B8,$B$31=B8),"",B8)</f>
        <v>音樂</v>
      </c>
      <c r="G3" s="1" t="s">
        <v>2431</v>
      </c>
      <c r="H3" s="1" t="s">
        <v>2432</v>
      </c>
      <c r="I3" s="1" t="s">
        <v>2427</v>
      </c>
      <c r="J3" s="1" t="s">
        <v>2434</v>
      </c>
    </row>
    <row r="4" spans="1:10" x14ac:dyDescent="0.25">
      <c r="A4" s="1" t="s">
        <v>2435</v>
      </c>
      <c r="B4" s="105" t="s">
        <v>2328</v>
      </c>
      <c r="C4" s="1" t="str">
        <f t="shared" ref="C4:C25" si="0">IF(OR($B$30=B4,$B$31=B4,$B$32=B4),"",B4)</f>
        <v>化學</v>
      </c>
      <c r="D4" s="1" t="str">
        <f t="shared" ref="D4:D25" si="1">IF(OR($B$29=B4,$B$31=B4,$B$32=B4),"",B4)</f>
        <v>化學</v>
      </c>
      <c r="E4" s="1" t="str">
        <f t="shared" ref="E4:E25" si="2">IF(OR($B$29=B4,$B$30=B4,$B$32=B4),"",B4)</f>
        <v>化學</v>
      </c>
      <c r="F4" s="1" t="str">
        <f>IF(OR($B$29=B9,$B$30=B9,$B$31=B9),"",B9)</f>
        <v>體育</v>
      </c>
      <c r="G4" s="1" t="s">
        <v>2436</v>
      </c>
      <c r="H4" s="1" t="s">
        <v>2437</v>
      </c>
      <c r="I4" s="1" t="s">
        <v>2433</v>
      </c>
    </row>
    <row r="5" spans="1:10" x14ac:dyDescent="0.25">
      <c r="A5" s="1">
        <v>5</v>
      </c>
      <c r="B5" s="105" t="s">
        <v>2329</v>
      </c>
      <c r="C5" s="1" t="str">
        <f t="shared" si="0"/>
        <v>生物</v>
      </c>
      <c r="D5" s="1" t="str">
        <f t="shared" si="1"/>
        <v>生物</v>
      </c>
      <c r="E5" s="1" t="str">
        <f t="shared" si="2"/>
        <v>生物</v>
      </c>
      <c r="F5" s="1" t="str">
        <f>IF(OR($B$29=B12,$B$30=B12,$B$31=B12),"",B12)</f>
        <v>視覺藝術</v>
      </c>
      <c r="G5" s="1" t="s">
        <v>2438</v>
      </c>
      <c r="H5" s="1" t="s">
        <v>2439</v>
      </c>
      <c r="I5" s="1"/>
    </row>
    <row r="6" spans="1:10" x14ac:dyDescent="0.25">
      <c r="A6" s="1">
        <v>4</v>
      </c>
      <c r="B6" s="105" t="s">
        <v>2440</v>
      </c>
      <c r="C6" s="1" t="str">
        <f t="shared" si="0"/>
        <v>經濟</v>
      </c>
      <c r="D6" s="1" t="str">
        <f t="shared" si="1"/>
        <v>經濟</v>
      </c>
      <c r="E6" s="1" t="str">
        <f t="shared" si="2"/>
        <v>經濟</v>
      </c>
      <c r="F6" s="1" t="str">
        <f>IF(OR($B$29=B20,$B$30=B20,$B$31=B20),"",B20)</f>
        <v>倫理與宗教</v>
      </c>
      <c r="G6" s="1" t="s">
        <v>2441</v>
      </c>
      <c r="H6" s="1" t="s">
        <v>2442</v>
      </c>
      <c r="I6" s="1"/>
    </row>
    <row r="7" spans="1:10" x14ac:dyDescent="0.25">
      <c r="A7" s="1">
        <v>3</v>
      </c>
      <c r="B7" s="105" t="s">
        <v>2443</v>
      </c>
      <c r="C7" s="1" t="str">
        <f t="shared" si="0"/>
        <v>地理</v>
      </c>
      <c r="D7" s="1" t="str">
        <f t="shared" si="1"/>
        <v>地理</v>
      </c>
      <c r="E7" s="1" t="str">
        <f t="shared" si="2"/>
        <v>地理</v>
      </c>
      <c r="F7" s="1"/>
      <c r="G7" s="1" t="s">
        <v>2444</v>
      </c>
      <c r="H7" s="1" t="s">
        <v>2445</v>
      </c>
      <c r="I7" s="1"/>
    </row>
    <row r="8" spans="1:10" x14ac:dyDescent="0.25">
      <c r="A8" s="1">
        <v>2</v>
      </c>
      <c r="B8" s="105" t="s">
        <v>793</v>
      </c>
      <c r="C8" s="1" t="str">
        <f t="shared" si="0"/>
        <v>音樂</v>
      </c>
      <c r="D8" s="1" t="str">
        <f t="shared" si="1"/>
        <v>音樂</v>
      </c>
      <c r="E8" s="1" t="str">
        <f t="shared" si="2"/>
        <v>音樂</v>
      </c>
      <c r="F8" s="1"/>
      <c r="G8" s="1" t="s">
        <v>2446</v>
      </c>
      <c r="H8" s="1" t="s">
        <v>2447</v>
      </c>
      <c r="I8" s="1"/>
    </row>
    <row r="9" spans="1:10" x14ac:dyDescent="0.25">
      <c r="A9" s="1">
        <v>1</v>
      </c>
      <c r="B9" s="105" t="s">
        <v>2448</v>
      </c>
      <c r="C9" s="1" t="str">
        <f t="shared" si="0"/>
        <v>體育</v>
      </c>
      <c r="D9" s="1" t="str">
        <f t="shared" si="1"/>
        <v>體育</v>
      </c>
      <c r="E9" s="1" t="str">
        <f t="shared" si="2"/>
        <v>體育</v>
      </c>
      <c r="F9" s="1"/>
      <c r="G9" s="1"/>
      <c r="H9" s="1"/>
      <c r="I9" s="1"/>
    </row>
    <row r="10" spans="1:10" x14ac:dyDescent="0.25">
      <c r="A10" s="1" t="s">
        <v>2447</v>
      </c>
      <c r="B10" s="105" t="s">
        <v>779</v>
      </c>
      <c r="C10" s="1" t="str">
        <f>IF(OR($B$30=B10,$B$31=B10,$B$32=B10),"",B10)</f>
        <v>歷史</v>
      </c>
      <c r="D10" s="1" t="str">
        <f t="shared" si="1"/>
        <v>歷史</v>
      </c>
      <c r="E10" s="1" t="str">
        <f t="shared" si="2"/>
        <v>歷史</v>
      </c>
      <c r="F10" s="1"/>
      <c r="G10" s="1"/>
      <c r="H10" s="1"/>
      <c r="I10" s="1"/>
    </row>
    <row r="11" spans="1:10" x14ac:dyDescent="0.25">
      <c r="A11" s="1"/>
      <c r="B11" s="105" t="s">
        <v>2449</v>
      </c>
      <c r="C11" s="1" t="str">
        <f t="shared" si="0"/>
        <v>中國歷史</v>
      </c>
      <c r="D11" s="1" t="str">
        <f t="shared" si="1"/>
        <v>中國歷史</v>
      </c>
      <c r="E11" s="1" t="str">
        <f t="shared" si="2"/>
        <v>中國歷史</v>
      </c>
      <c r="F11" s="1"/>
      <c r="G11" s="1"/>
      <c r="H11" s="1"/>
      <c r="I11" s="1"/>
    </row>
    <row r="12" spans="1:10" x14ac:dyDescent="0.25">
      <c r="A12" s="1"/>
      <c r="B12" s="105" t="s">
        <v>2349</v>
      </c>
      <c r="C12" s="1" t="str">
        <f t="shared" si="0"/>
        <v>視覺藝術</v>
      </c>
      <c r="D12" s="1" t="str">
        <f t="shared" si="1"/>
        <v>視覺藝術</v>
      </c>
      <c r="E12" s="1" t="str">
        <f t="shared" si="2"/>
        <v>視覺藝術</v>
      </c>
      <c r="F12" s="1"/>
      <c r="G12" s="1"/>
      <c r="H12" s="1"/>
      <c r="I12" s="1"/>
    </row>
    <row r="13" spans="1:10" x14ac:dyDescent="0.25">
      <c r="A13" s="1"/>
      <c r="B13" s="105" t="s">
        <v>2450</v>
      </c>
      <c r="C13" s="1" t="str">
        <f t="shared" si="0"/>
        <v>綜合科學</v>
      </c>
      <c r="D13" s="1" t="str">
        <f t="shared" si="1"/>
        <v>綜合科學</v>
      </c>
      <c r="E13" s="1" t="str">
        <f t="shared" si="2"/>
        <v>綜合科學</v>
      </c>
      <c r="F13" s="1"/>
      <c r="G13" s="1"/>
      <c r="H13" s="1"/>
      <c r="I13" s="1"/>
    </row>
    <row r="14" spans="1:10" x14ac:dyDescent="0.25">
      <c r="A14" s="1"/>
      <c r="B14" s="105" t="s">
        <v>2451</v>
      </c>
      <c r="C14" s="1" t="str">
        <f t="shared" si="0"/>
        <v>組合科學(物理、化學)</v>
      </c>
      <c r="D14" s="1" t="str">
        <f t="shared" si="1"/>
        <v>組合科學(物理、化學)</v>
      </c>
      <c r="E14" s="1" t="str">
        <f t="shared" si="2"/>
        <v>組合科學(物理、化學)</v>
      </c>
      <c r="F14" s="1"/>
      <c r="G14" s="1"/>
      <c r="H14" s="1"/>
      <c r="I14" s="1"/>
    </row>
    <row r="15" spans="1:10" x14ac:dyDescent="0.25">
      <c r="A15" s="1"/>
      <c r="B15" s="105" t="s">
        <v>2452</v>
      </c>
      <c r="C15" s="1" t="str">
        <f t="shared" si="0"/>
        <v>組合科學(生物、化學)</v>
      </c>
      <c r="D15" s="1" t="str">
        <f>IF(OR($B$29=B15,$B$31=B15,$B$32=B15),"",B15)</f>
        <v>組合科學(生物、化學)</v>
      </c>
      <c r="E15" s="1" t="str">
        <f t="shared" si="2"/>
        <v>組合科學(生物、化學)</v>
      </c>
      <c r="F15" s="1"/>
      <c r="G15" s="1"/>
      <c r="H15" s="1"/>
      <c r="I15" s="1"/>
    </row>
    <row r="16" spans="1:10" x14ac:dyDescent="0.25">
      <c r="A16" s="1"/>
      <c r="B16" s="105" t="s">
        <v>2453</v>
      </c>
      <c r="C16" s="1" t="str">
        <f t="shared" si="0"/>
        <v>組合科學(物理、生物)</v>
      </c>
      <c r="D16" s="1" t="str">
        <f t="shared" si="1"/>
        <v>組合科學(物理、生物)</v>
      </c>
      <c r="E16" s="1" t="str">
        <f t="shared" si="2"/>
        <v>組合科學(物理、生物)</v>
      </c>
      <c r="F16" s="1"/>
      <c r="G16" s="1"/>
      <c r="H16" s="1"/>
      <c r="I16" s="1"/>
    </row>
    <row r="17" spans="1:9" x14ac:dyDescent="0.25">
      <c r="A17" s="1"/>
      <c r="B17" s="105" t="s">
        <v>2347</v>
      </c>
      <c r="C17" s="1" t="str">
        <f t="shared" si="0"/>
        <v>中國文學</v>
      </c>
      <c r="D17" s="1" t="str">
        <f t="shared" si="1"/>
        <v>中國文學</v>
      </c>
      <c r="E17" s="1" t="str">
        <f t="shared" si="2"/>
        <v>中國文學</v>
      </c>
      <c r="F17" s="1"/>
      <c r="G17" s="1"/>
      <c r="H17" s="1"/>
      <c r="I17" s="1"/>
    </row>
    <row r="18" spans="1:9" x14ac:dyDescent="0.25">
      <c r="A18" s="1"/>
      <c r="B18" s="105" t="s">
        <v>2348</v>
      </c>
      <c r="C18" s="1" t="str">
        <f t="shared" si="0"/>
        <v>英語文學</v>
      </c>
      <c r="D18" s="1" t="str">
        <f t="shared" si="1"/>
        <v>英語文學</v>
      </c>
      <c r="E18" s="1" t="str">
        <f t="shared" si="2"/>
        <v>英語文學</v>
      </c>
      <c r="F18" s="1"/>
      <c r="G18" s="1"/>
      <c r="H18" s="1"/>
      <c r="I18" s="1"/>
    </row>
    <row r="19" spans="1:9" x14ac:dyDescent="0.25">
      <c r="A19" s="1"/>
      <c r="B19" s="105" t="s">
        <v>2454</v>
      </c>
      <c r="C19" s="1" t="str">
        <f>IF(OR($B$30=B19,$B$31=B19,$B$32=B19),"",B19)</f>
        <v>旅遊與款待</v>
      </c>
      <c r="D19" s="1" t="str">
        <f t="shared" si="1"/>
        <v>旅遊與款待</v>
      </c>
      <c r="E19" s="1" t="str">
        <f t="shared" si="2"/>
        <v>旅遊與款待</v>
      </c>
      <c r="F19" s="1"/>
      <c r="G19" s="1"/>
      <c r="H19" s="1"/>
      <c r="I19" s="1"/>
    </row>
    <row r="20" spans="1:9" x14ac:dyDescent="0.25">
      <c r="A20" s="1"/>
      <c r="B20" s="105" t="s">
        <v>2455</v>
      </c>
      <c r="C20" s="1" t="str">
        <f t="shared" si="0"/>
        <v>倫理與宗教</v>
      </c>
      <c r="D20" s="1" t="str">
        <f t="shared" si="1"/>
        <v>倫理與宗教</v>
      </c>
      <c r="E20" s="1" t="str">
        <f t="shared" si="2"/>
        <v>倫理與宗教</v>
      </c>
      <c r="F20" s="1"/>
      <c r="G20" s="1"/>
      <c r="H20" s="1"/>
      <c r="I20" s="1"/>
    </row>
    <row r="21" spans="1:9" x14ac:dyDescent="0.25">
      <c r="A21" s="1"/>
      <c r="B21" s="105" t="s">
        <v>2456</v>
      </c>
      <c r="C21" s="1" t="str">
        <f t="shared" si="0"/>
        <v>科技與生活</v>
      </c>
      <c r="D21" s="1" t="str">
        <f t="shared" si="1"/>
        <v>科技與生活</v>
      </c>
      <c r="E21" s="1" t="str">
        <f t="shared" si="2"/>
        <v>科技與生活</v>
      </c>
      <c r="F21" s="1"/>
      <c r="G21" s="1"/>
      <c r="H21" s="1"/>
      <c r="I21" s="1"/>
    </row>
    <row r="22" spans="1:9" x14ac:dyDescent="0.25">
      <c r="A22" s="1"/>
      <c r="B22" s="105" t="s">
        <v>2790</v>
      </c>
      <c r="C22" s="1" t="str">
        <f t="shared" si="0"/>
        <v>資訊及通訊科技</v>
      </c>
      <c r="D22" s="1" t="str">
        <f t="shared" si="1"/>
        <v>資訊及通訊科技</v>
      </c>
      <c r="E22" s="1" t="str">
        <f t="shared" si="2"/>
        <v>資訊及通訊科技</v>
      </c>
      <c r="F22" s="1"/>
      <c r="G22" s="1"/>
      <c r="H22" s="1"/>
      <c r="I22" s="1"/>
    </row>
    <row r="23" spans="1:9" x14ac:dyDescent="0.25">
      <c r="A23" s="1"/>
      <c r="B23" s="105" t="s">
        <v>2458</v>
      </c>
      <c r="C23" s="1" t="str">
        <f t="shared" si="0"/>
        <v>設計與應用科技</v>
      </c>
      <c r="D23" s="1" t="str">
        <f t="shared" si="1"/>
        <v>設計與應用科技</v>
      </c>
      <c r="E23" s="1" t="str">
        <f t="shared" si="2"/>
        <v>設計與應用科技</v>
      </c>
      <c r="F23" s="1"/>
      <c r="G23" s="1"/>
      <c r="H23" s="1"/>
    </row>
    <row r="24" spans="1:9" x14ac:dyDescent="0.25">
      <c r="B24" s="105" t="s">
        <v>3414</v>
      </c>
      <c r="C24" s="1" t="str">
        <f t="shared" si="0"/>
        <v>健康管理與社會關懷</v>
      </c>
      <c r="D24" s="1" t="str">
        <f t="shared" si="1"/>
        <v>健康管理與社會關懷</v>
      </c>
      <c r="E24" s="1" t="str">
        <f t="shared" si="2"/>
        <v>健康管理與社會關懷</v>
      </c>
    </row>
    <row r="25" spans="1:9" x14ac:dyDescent="0.25">
      <c r="B25" s="105" t="s">
        <v>3190</v>
      </c>
      <c r="C25" s="1" t="str">
        <f t="shared" si="0"/>
        <v>企業、會計與財務概論</v>
      </c>
      <c r="D25" s="1" t="str">
        <f t="shared" si="1"/>
        <v>企業、會計與財務概論</v>
      </c>
      <c r="E25" s="1" t="str">
        <f t="shared" si="2"/>
        <v>企業、會計與財務概論</v>
      </c>
    </row>
    <row r="26" spans="1:9" x14ac:dyDescent="0.25">
      <c r="B26" s="1"/>
      <c r="C26" s="1"/>
      <c r="D26" s="1"/>
    </row>
    <row r="28" spans="1:9" x14ac:dyDescent="0.25">
      <c r="B28" s="104" t="s">
        <v>2457</v>
      </c>
      <c r="C28" s="1"/>
    </row>
    <row r="29" spans="1:9" x14ac:dyDescent="0.25">
      <c r="A29" s="104">
        <v>1</v>
      </c>
      <c r="B29" s="104" t="str">
        <f>主頁!B15</f>
        <v>請選擇第一選修科</v>
      </c>
      <c r="C29" s="1"/>
    </row>
    <row r="30" spans="1:9" x14ac:dyDescent="0.25">
      <c r="A30" s="104">
        <v>2</v>
      </c>
      <c r="B30" s="104" t="str">
        <f>主頁!B16</f>
        <v>請選擇第二選修科</v>
      </c>
      <c r="C30" s="1"/>
      <c r="D30" s="1"/>
    </row>
    <row r="31" spans="1:9" x14ac:dyDescent="0.25">
      <c r="A31" s="104">
        <v>3</v>
      </c>
      <c r="B31" s="104" t="str">
        <f>主頁!B17</f>
        <v>請選擇第三選修科</v>
      </c>
      <c r="C31" s="1"/>
      <c r="D31" s="1"/>
    </row>
    <row r="32" spans="1:9" x14ac:dyDescent="0.25">
      <c r="A32" s="104">
        <v>4</v>
      </c>
      <c r="B32" s="104" t="str">
        <f>主頁!B18</f>
        <v>請選擇第四選修科</v>
      </c>
      <c r="C32" s="1"/>
      <c r="D32" s="1"/>
    </row>
    <row r="33" spans="3:8" x14ac:dyDescent="0.25">
      <c r="C33" s="1"/>
      <c r="D33" s="1"/>
    </row>
    <row r="34" spans="3:8" x14ac:dyDescent="0.25">
      <c r="C34" s="1"/>
      <c r="D34" s="1"/>
    </row>
    <row r="35" spans="3:8" x14ac:dyDescent="0.25">
      <c r="C35" s="1"/>
      <c r="D35" s="1"/>
    </row>
    <row r="36" spans="3:8" x14ac:dyDescent="0.25">
      <c r="C36" s="1"/>
      <c r="D36" s="1"/>
    </row>
    <row r="37" spans="3:8" x14ac:dyDescent="0.25">
      <c r="C37" s="1"/>
      <c r="D37" s="1"/>
    </row>
    <row r="38" spans="3:8" x14ac:dyDescent="0.25">
      <c r="C38" s="1"/>
      <c r="D38" s="1"/>
    </row>
    <row r="39" spans="3:8" x14ac:dyDescent="0.25">
      <c r="C39" s="1"/>
      <c r="D39" s="1"/>
    </row>
    <row r="40" spans="3:8" x14ac:dyDescent="0.25">
      <c r="C40" s="1"/>
      <c r="D40" s="1"/>
    </row>
    <row r="41" spans="3:8" x14ac:dyDescent="0.25">
      <c r="C41" s="1"/>
      <c r="D41" s="1"/>
    </row>
    <row r="42" spans="3:8" x14ac:dyDescent="0.25">
      <c r="C42" s="1"/>
      <c r="D42" s="1"/>
    </row>
    <row r="43" spans="3:8" x14ac:dyDescent="0.25">
      <c r="C43" s="1"/>
      <c r="D43" s="1"/>
    </row>
    <row r="44" spans="3:8" x14ac:dyDescent="0.25">
      <c r="C44" s="1"/>
      <c r="D44" s="1"/>
    </row>
    <row r="45" spans="3:8" x14ac:dyDescent="0.25">
      <c r="C45" s="1"/>
      <c r="D45" s="1"/>
      <c r="H45" s="1"/>
    </row>
    <row r="46" spans="3:8" x14ac:dyDescent="0.25">
      <c r="C46" s="1"/>
      <c r="D46" s="1"/>
    </row>
    <row r="47" spans="3:8" x14ac:dyDescent="0.25">
      <c r="C47" s="1"/>
      <c r="D47" s="1"/>
    </row>
    <row r="48" spans="3:8" x14ac:dyDescent="0.25">
      <c r="C48" s="1"/>
      <c r="D48" s="1"/>
    </row>
    <row r="49" spans="3:4" x14ac:dyDescent="0.25">
      <c r="C49" s="1"/>
      <c r="D49" s="1"/>
    </row>
    <row r="50" spans="3:4" x14ac:dyDescent="0.25">
      <c r="C50" s="1"/>
      <c r="D50" s="1"/>
    </row>
    <row r="51" spans="3:4" x14ac:dyDescent="0.25">
      <c r="C51" s="1"/>
      <c r="D51" s="1"/>
    </row>
    <row r="52" spans="3:4" x14ac:dyDescent="0.25">
      <c r="C52" s="1"/>
      <c r="D52" s="1"/>
    </row>
  </sheetData>
  <phoneticPr fontId="2"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工作表2"/>
  <dimension ref="A1:AB780"/>
  <sheetViews>
    <sheetView topLeftCell="A124" zoomScaleNormal="100" workbookViewId="0">
      <selection activeCell="Z139" sqref="Z139"/>
    </sheetView>
  </sheetViews>
  <sheetFormatPr defaultColWidth="8.88671875" defaultRowHeight="15.6" x14ac:dyDescent="0.3"/>
  <cols>
    <col min="1" max="2" width="9.77734375" style="13" customWidth="1"/>
    <col min="3" max="3" width="10.33203125" style="13" customWidth="1"/>
    <col min="4" max="4" width="11.109375" style="38" customWidth="1"/>
    <col min="5" max="5" width="9.44140625" style="13" bestFit="1" customWidth="1"/>
    <col min="6" max="6" width="10" style="20" customWidth="1"/>
    <col min="7" max="7" width="10.21875" style="20" customWidth="1"/>
    <col min="8" max="8" width="10.109375" style="20" customWidth="1"/>
    <col min="9" max="9" width="11.21875" style="20" customWidth="1"/>
    <col min="10" max="11" width="8.77734375" style="13" customWidth="1"/>
    <col min="12" max="12" width="12.109375" style="131" customWidth="1"/>
    <col min="13" max="13" width="8.88671875" style="13" customWidth="1"/>
    <col min="14" max="14" width="7.77734375" style="13" customWidth="1"/>
    <col min="15" max="15" width="7.21875" style="13" customWidth="1"/>
    <col min="16" max="17" width="8.21875" style="13" customWidth="1"/>
    <col min="18" max="18" width="10.109375" style="13" customWidth="1"/>
    <col min="19" max="19" width="10.6640625" style="13" customWidth="1"/>
    <col min="20" max="20" width="7" style="13" customWidth="1"/>
    <col min="21" max="21" width="8.33203125" style="13" customWidth="1"/>
    <col min="22" max="22" width="7.88671875" style="13" customWidth="1"/>
    <col min="23" max="23" width="6.109375" style="13" customWidth="1"/>
    <col min="24" max="24" width="9.21875" style="13" customWidth="1"/>
    <col min="25" max="26" width="8.77734375" style="13" customWidth="1"/>
    <col min="27" max="27" width="9.44140625" style="13" customWidth="1"/>
    <col min="28" max="28" width="16.88671875" style="13" bestFit="1" customWidth="1"/>
    <col min="29" max="16384" width="8.88671875" style="13"/>
  </cols>
  <sheetData>
    <row r="1" spans="1:19" x14ac:dyDescent="0.3">
      <c r="A1" s="13" t="b">
        <v>1</v>
      </c>
    </row>
    <row r="3" spans="1:19" x14ac:dyDescent="0.3">
      <c r="Q3" s="38" t="s">
        <v>2551</v>
      </c>
      <c r="R3" s="13" t="s">
        <v>2552</v>
      </c>
      <c r="S3" s="13" t="s">
        <v>2557</v>
      </c>
    </row>
    <row r="4" spans="1:19" x14ac:dyDescent="0.3">
      <c r="B4" s="13" t="s">
        <v>2021</v>
      </c>
      <c r="C4" s="38" t="s">
        <v>2546</v>
      </c>
      <c r="D4" s="13" t="s">
        <v>2547</v>
      </c>
      <c r="F4" s="20" t="s">
        <v>2021</v>
      </c>
      <c r="G4" s="20" t="s">
        <v>2546</v>
      </c>
      <c r="H4" s="20" t="s">
        <v>2547</v>
      </c>
      <c r="O4" s="13" t="s">
        <v>2573</v>
      </c>
      <c r="P4" s="13" t="s">
        <v>2148</v>
      </c>
      <c r="Q4" s="13">
        <f>IF(ISNUMBER(SEARCH(O4,$B$4)), 1, 0)</f>
        <v>0</v>
      </c>
      <c r="R4" s="13">
        <f>IF(ISNUMBER(SEARCH(O4,#REF!)), 1, 0)</f>
        <v>0</v>
      </c>
      <c r="S4" s="13">
        <f t="shared" ref="S4:S11" si="0">IF(ISNUMBER(SEARCH(O4,$B$7)), 1, 0)</f>
        <v>0</v>
      </c>
    </row>
    <row r="5" spans="1:19" x14ac:dyDescent="0.3">
      <c r="A5" s="13" t="s">
        <v>2551</v>
      </c>
      <c r="B5" s="13">
        <f>IFERROR(主頁!M15-主頁!J15,"")</f>
        <v>-37.499999996295003</v>
      </c>
      <c r="C5" s="38">
        <f>IFERROR(主頁!M15-主頁!K15,"")</f>
        <v>-35.249999996265004</v>
      </c>
      <c r="D5" s="13">
        <f>IFERROR(主頁!M15-主頁!L15,"")</f>
        <v>-32.999999996334999</v>
      </c>
      <c r="F5" s="86">
        <f>IFERROR((主頁!$M$15-主頁!J15)/主頁!M15,"")</f>
        <v>-9493670885.1379738</v>
      </c>
      <c r="G5" s="86">
        <f>IFERROR((主頁!$M$15-主頁!K15)/主頁!$M$15,"")</f>
        <v>-8924050631.9658222</v>
      </c>
      <c r="H5" s="86">
        <f>IFERROR((主頁!$M$15-主頁!L15)/主頁!$M$15,"")</f>
        <v>-8354430378.8189859</v>
      </c>
      <c r="O5" s="13" t="s">
        <v>2574</v>
      </c>
      <c r="P5" s="13" t="s">
        <v>2330</v>
      </c>
      <c r="Q5" s="13">
        <f t="shared" ref="Q5:Q11" si="1">IF(ISNUMBER(SEARCH(O5,$B$4)), 1, 0)</f>
        <v>0</v>
      </c>
      <c r="R5" s="13">
        <f>IF(ISNUMBER(SEARCH(O5,#REF!)), 1, 0)</f>
        <v>0</v>
      </c>
      <c r="S5" s="13">
        <f t="shared" si="0"/>
        <v>0</v>
      </c>
    </row>
    <row r="6" spans="1:19" x14ac:dyDescent="0.3">
      <c r="C6" s="38"/>
      <c r="D6" s="13"/>
      <c r="F6" s="86"/>
      <c r="G6" s="86"/>
      <c r="H6" s="86"/>
      <c r="O6" s="13" t="s">
        <v>2575</v>
      </c>
      <c r="P6" s="13" t="s">
        <v>2246</v>
      </c>
      <c r="Q6" s="13">
        <f t="shared" si="1"/>
        <v>0</v>
      </c>
      <c r="R6" s="13">
        <f>IF(ISNUMBER(SEARCH(O6,#REF!)), 1, 0)</f>
        <v>0</v>
      </c>
      <c r="S6" s="13">
        <f t="shared" si="0"/>
        <v>0</v>
      </c>
    </row>
    <row r="7" spans="1:19" x14ac:dyDescent="0.3">
      <c r="A7" s="13" t="s">
        <v>2552</v>
      </c>
      <c r="B7" s="13" t="str">
        <f>IFERROR(主頁!M17-主頁!J17,"")</f>
        <v/>
      </c>
      <c r="C7" s="38">
        <f>IFERROR(主頁!M17-主頁!K17,"")</f>
        <v>-33.999999996050001</v>
      </c>
      <c r="D7" s="13">
        <f>IFERROR(主頁!M17-主頁!L17,"")</f>
        <v>-30.999999996050001</v>
      </c>
      <c r="F7" s="86" t="str">
        <f>IFERROR((主頁!$M$17-主頁!J17)/主頁!$M$17,"")</f>
        <v/>
      </c>
      <c r="G7" s="86">
        <f>IFERROR((主頁!$M$17-主頁!K17)/主頁!$M$17,"")</f>
        <v>-8607594935.7088604</v>
      </c>
      <c r="H7" s="86">
        <f>IFERROR((主頁!$M$17-主頁!L17)/主頁!$M$17,"")</f>
        <v>-7848101264.8227835</v>
      </c>
      <c r="O7" s="13" t="s">
        <v>2576</v>
      </c>
      <c r="P7" s="13" t="s">
        <v>2247</v>
      </c>
      <c r="Q7" s="13">
        <f t="shared" si="1"/>
        <v>0</v>
      </c>
      <c r="R7" s="13">
        <f>IF(ISNUMBER(SEARCH(O7,#REF!)), 1, 0)</f>
        <v>0</v>
      </c>
      <c r="S7" s="13">
        <f t="shared" si="0"/>
        <v>0</v>
      </c>
    </row>
    <row r="8" spans="1:19" x14ac:dyDescent="0.3">
      <c r="C8" s="38"/>
      <c r="D8" s="13"/>
      <c r="F8" s="86"/>
      <c r="G8" s="86"/>
      <c r="H8" s="86"/>
      <c r="O8" s="13" t="s">
        <v>2577</v>
      </c>
      <c r="P8" s="13" t="s">
        <v>2309</v>
      </c>
      <c r="Q8" s="13">
        <f t="shared" si="1"/>
        <v>0</v>
      </c>
      <c r="R8" s="13">
        <f>IF(ISNUMBER(SEARCH(O8,#REF!)), 1, 0)</f>
        <v>0</v>
      </c>
      <c r="S8" s="13">
        <f t="shared" si="0"/>
        <v>0</v>
      </c>
    </row>
    <row r="9" spans="1:19" x14ac:dyDescent="0.3">
      <c r="A9" s="13" t="s">
        <v>2557</v>
      </c>
      <c r="B9" s="13" t="str">
        <f>IFERROR(主頁!M19-主頁!J19,"")</f>
        <v/>
      </c>
      <c r="C9" s="38" t="str">
        <f>IFERROR(主頁!M19-主頁!K19,"")</f>
        <v/>
      </c>
      <c r="D9" s="13" t="str">
        <f>IFERROR(主頁!M19-主頁!L19,"")</f>
        <v/>
      </c>
      <c r="F9" s="86" t="str">
        <f>IFERROR((主頁!$M$19-主頁!J19)/主頁!$M$19,"")</f>
        <v/>
      </c>
      <c r="G9" s="86" t="str">
        <f>IFERROR((主頁!$M$19-主頁!K19)/主頁!$M$19,"")</f>
        <v/>
      </c>
      <c r="H9" s="86" t="str">
        <f>IFERROR((主頁!$M$19-主頁!L19)/主頁!$M$19,"")</f>
        <v/>
      </c>
      <c r="O9" s="13" t="s">
        <v>2578</v>
      </c>
      <c r="P9" s="13" t="s">
        <v>2163</v>
      </c>
      <c r="Q9" s="13">
        <f t="shared" si="1"/>
        <v>0</v>
      </c>
      <c r="R9" s="13">
        <f>IF(ISNUMBER(SEARCH(O9,#REF!)), 1, 0)</f>
        <v>0</v>
      </c>
      <c r="S9" s="13">
        <f t="shared" si="0"/>
        <v>0</v>
      </c>
    </row>
    <row r="10" spans="1:19" x14ac:dyDescent="0.3">
      <c r="O10" s="13" t="s">
        <v>2579</v>
      </c>
      <c r="P10" s="13" t="s">
        <v>2346</v>
      </c>
      <c r="Q10" s="13">
        <f t="shared" si="1"/>
        <v>0</v>
      </c>
      <c r="R10" s="13">
        <f>IF(ISNUMBER(SEARCH(O10,#REF!)), 1, 0)</f>
        <v>0</v>
      </c>
      <c r="S10" s="13">
        <f t="shared" si="0"/>
        <v>0</v>
      </c>
    </row>
    <row r="11" spans="1:19" x14ac:dyDescent="0.3">
      <c r="O11" s="13" t="s">
        <v>2580</v>
      </c>
      <c r="P11" s="13" t="s">
        <v>2460</v>
      </c>
      <c r="Q11" s="13">
        <f t="shared" si="1"/>
        <v>0</v>
      </c>
      <c r="R11" s="13">
        <f>IF(ISNUMBER(SEARCH(O11,#REF!)), 1, 0)</f>
        <v>0</v>
      </c>
      <c r="S11" s="13">
        <f t="shared" si="0"/>
        <v>0</v>
      </c>
    </row>
    <row r="15" spans="1:19" x14ac:dyDescent="0.3">
      <c r="A15" s="13" t="s">
        <v>2581</v>
      </c>
      <c r="B15" s="13" t="s">
        <v>1995</v>
      </c>
      <c r="C15" s="38" t="s">
        <v>2582</v>
      </c>
      <c r="D15" s="13" t="s">
        <v>2583</v>
      </c>
      <c r="E15" s="13" t="s">
        <v>1945</v>
      </c>
      <c r="F15" s="20" t="s">
        <v>2035</v>
      </c>
      <c r="G15" s="20" t="s">
        <v>1946</v>
      </c>
      <c r="H15" s="20" t="s">
        <v>1947</v>
      </c>
      <c r="I15" s="20" t="s">
        <v>2010</v>
      </c>
      <c r="J15" s="13" t="s">
        <v>1997</v>
      </c>
      <c r="K15" s="13" t="s">
        <v>2548</v>
      </c>
      <c r="L15" s="425" t="s">
        <v>3211</v>
      </c>
      <c r="M15" s="13" t="s">
        <v>1951</v>
      </c>
      <c r="O15" s="13" t="s">
        <v>2551</v>
      </c>
      <c r="P15" s="13" t="str">
        <f>IF(Q15=1,INDEX(P$4:P$11,MATCH(LARGE(Q4:Q11,1),Q4:Q11,0)),"")</f>
        <v/>
      </c>
      <c r="Q15" s="13">
        <f>LARGE((Q4:Q11),1)</f>
        <v>0</v>
      </c>
      <c r="R15" s="13">
        <f>IF(COUNTIF(A245:A338,$B$4), 1, 0)</f>
        <v>0</v>
      </c>
    </row>
    <row r="16" spans="1:19" x14ac:dyDescent="0.3">
      <c r="A16" s="13" t="str">
        <f>主頁!F15</f>
        <v>JS4862</v>
      </c>
      <c r="B16" s="13" t="str">
        <f t="shared" ref="B16:M18" si="2">IFERROR(INDEX(B$21:B$423,MATCH($A16,$A$21:$A$423,0)),"")</f>
        <v>CUHK</v>
      </c>
      <c r="C16" s="13" t="str">
        <f t="shared" si="2"/>
        <v>心理學</v>
      </c>
      <c r="D16" s="13" t="str">
        <f t="shared" si="2"/>
        <v>PSYCHOLOGY</v>
      </c>
      <c r="E16" s="13" t="str">
        <f t="shared" si="2"/>
        <v>Best 5</v>
      </c>
      <c r="F16" s="20">
        <f t="shared" si="2"/>
        <v>37.500000000245002</v>
      </c>
      <c r="G16" s="20">
        <f t="shared" si="2"/>
        <v>35.250000000215003</v>
      </c>
      <c r="H16" s="20">
        <f t="shared" si="2"/>
        <v>33.000000000284999</v>
      </c>
      <c r="I16" s="20">
        <f t="shared" si="2"/>
        <v>3.9500000000000006E-9</v>
      </c>
      <c r="J16" s="13">
        <f t="shared" si="2"/>
        <v>56</v>
      </c>
      <c r="K16" s="13">
        <f t="shared" si="2"/>
        <v>62</v>
      </c>
      <c r="L16" s="132">
        <f t="shared" si="2"/>
        <v>7.32258064516129</v>
      </c>
      <c r="M16" s="13">
        <f t="shared" si="2"/>
        <v>0</v>
      </c>
      <c r="N16" s="12"/>
      <c r="O16" s="13" t="s">
        <v>2552</v>
      </c>
      <c r="P16" s="13" t="str">
        <f>IF(Q16=1,INDEX(P$4:P$11,MATCH(LARGE(R4:R11,1),R4:R11,0)),"")</f>
        <v/>
      </c>
      <c r="Q16" s="13">
        <f>LARGE((R4:R11),1)</f>
        <v>0</v>
      </c>
    </row>
    <row r="17" spans="1:28" x14ac:dyDescent="0.3">
      <c r="A17" s="13" t="str">
        <f>主頁!F17</f>
        <v>JSSU55</v>
      </c>
      <c r="B17" s="13" t="str">
        <f t="shared" si="2"/>
        <v>SSSDP</v>
      </c>
      <c r="C17" s="13" t="str">
        <f t="shared" si="2"/>
        <v>物理治療學榮譽理學士</v>
      </c>
      <c r="D17" s="13" t="str">
        <f t="shared" si="2"/>
        <v>BSc(Hons) Physiotherapy</v>
      </c>
      <c r="E17" s="13" t="str">
        <f t="shared" si="2"/>
        <v>Best 5</v>
      </c>
      <c r="F17" s="20" t="str">
        <f t="shared" si="2"/>
        <v>/</v>
      </c>
      <c r="G17" s="20">
        <f t="shared" si="2"/>
        <v>34</v>
      </c>
      <c r="H17" s="20">
        <f t="shared" si="2"/>
        <v>31</v>
      </c>
      <c r="I17" s="20">
        <f t="shared" si="2"/>
        <v>3.9500000000000006E-9</v>
      </c>
      <c r="J17" s="13">
        <f t="shared" si="2"/>
        <v>50</v>
      </c>
      <c r="K17" s="13">
        <f t="shared" si="2"/>
        <v>55</v>
      </c>
      <c r="L17" s="132">
        <f t="shared" si="2"/>
        <v>5.333333333333333</v>
      </c>
      <c r="M17" s="13">
        <f t="shared" si="2"/>
        <v>0</v>
      </c>
      <c r="N17" s="12"/>
      <c r="O17" s="13" t="s">
        <v>2557</v>
      </c>
      <c r="P17" s="13" t="str">
        <f>IF(Q17=1,INDEX(P$4:P$11,MATCH(LARGE(S4:S11,1),S4:S11,0)),"")</f>
        <v/>
      </c>
      <c r="Q17" s="13">
        <f>LARGE((S4:S11),1)</f>
        <v>0</v>
      </c>
    </row>
    <row r="18" spans="1:28" x14ac:dyDescent="0.3">
      <c r="A18" s="13">
        <f>主頁!F19</f>
        <v>0</v>
      </c>
      <c r="B18" s="13" t="str">
        <f t="shared" si="2"/>
        <v/>
      </c>
      <c r="C18" s="13" t="str">
        <f t="shared" si="2"/>
        <v/>
      </c>
      <c r="D18" s="13" t="str">
        <f t="shared" si="2"/>
        <v/>
      </c>
      <c r="E18" s="13" t="str">
        <f t="shared" si="2"/>
        <v/>
      </c>
      <c r="F18" s="20" t="str">
        <f t="shared" si="2"/>
        <v/>
      </c>
      <c r="G18" s="20" t="str">
        <f t="shared" si="2"/>
        <v/>
      </c>
      <c r="H18" s="20" t="str">
        <f t="shared" si="2"/>
        <v/>
      </c>
      <c r="I18" s="20" t="str">
        <f t="shared" si="2"/>
        <v/>
      </c>
      <c r="J18" s="13" t="str">
        <f t="shared" si="2"/>
        <v/>
      </c>
      <c r="K18" s="13" t="str">
        <f t="shared" si="2"/>
        <v/>
      </c>
      <c r="L18" s="13" t="str">
        <f t="shared" si="2"/>
        <v/>
      </c>
      <c r="M18" s="13" t="str">
        <f t="shared" si="2"/>
        <v/>
      </c>
    </row>
    <row r="20" spans="1:28" x14ac:dyDescent="0.3">
      <c r="B20" s="54"/>
      <c r="C20" s="54"/>
      <c r="D20" s="13"/>
      <c r="E20" s="55"/>
      <c r="F20" s="87" t="s">
        <v>2021</v>
      </c>
      <c r="G20" s="87" t="s">
        <v>2546</v>
      </c>
      <c r="H20" s="87" t="s">
        <v>2547</v>
      </c>
      <c r="I20" s="20" t="s">
        <v>2010</v>
      </c>
      <c r="J20" s="352" t="s">
        <v>1997</v>
      </c>
      <c r="K20" s="352" t="s">
        <v>2548</v>
      </c>
      <c r="L20" s="425" t="s">
        <v>3211</v>
      </c>
      <c r="M20" s="352" t="s">
        <v>1951</v>
      </c>
      <c r="AB20" s="13" t="s">
        <v>2584</v>
      </c>
    </row>
    <row r="21" spans="1:28" x14ac:dyDescent="0.3">
      <c r="A21" s="13" t="str">
        <f>'Reference Score Calculation'!A13</f>
        <v>JS1000</v>
      </c>
      <c r="B21" s="352" t="str">
        <f>'Reference Score Calculation'!B13</f>
        <v>CityU</v>
      </c>
      <c r="C21" s="352" t="str">
        <f>'Reference Score Calculation'!D13</f>
        <v>理學士(計算金融及金融科技)</v>
      </c>
      <c r="D21" s="352" t="str">
        <f>'Reference Score Calculation'!T13</f>
        <v>BScCFFT</v>
      </c>
      <c r="E21" s="352" t="str">
        <f>'Reference Score Calculation'!E13</f>
        <v>4C2X</v>
      </c>
      <c r="F21" s="20" t="str">
        <f>'Reference Score Calculation'!F13</f>
        <v>/</v>
      </c>
      <c r="G21" s="357">
        <f>'Reference Score Calculation'!G13</f>
        <v>27</v>
      </c>
      <c r="H21" s="357">
        <f>'Reference Score Calculation'!H13</f>
        <v>27</v>
      </c>
      <c r="I21" s="20">
        <f>計分版!H34</f>
        <v>2.8499999999999999E-9</v>
      </c>
      <c r="J21" s="13">
        <f>入學要求!C22</f>
        <v>10</v>
      </c>
      <c r="K21" s="28">
        <f>'Offer Statistics'!I153</f>
        <v>12</v>
      </c>
      <c r="L21" s="131">
        <f>IFERROR('Offer Statistics'!L153/'Offer Statistics'!D153,"新科目")</f>
        <v>11.5</v>
      </c>
      <c r="M21" s="13">
        <f>入學要求!R22</f>
        <v>0</v>
      </c>
      <c r="T21" s="20"/>
      <c r="U21" s="20"/>
    </row>
    <row r="22" spans="1:28" x14ac:dyDescent="0.3">
      <c r="A22" s="352" t="str">
        <f>'Reference Score Calculation'!A14</f>
        <v>JS1001</v>
      </c>
      <c r="B22" s="352" t="str">
        <f>'Reference Score Calculation'!B14</f>
        <v>CityU</v>
      </c>
      <c r="C22" s="352" t="str">
        <f>'Reference Score Calculation'!D14</f>
        <v>工商管理學士(環球商業)</v>
      </c>
      <c r="D22" s="352" t="str">
        <f>'Reference Score Calculation'!T14</f>
        <v>BBAGBU</v>
      </c>
      <c r="E22" s="352" t="str">
        <f>'Reference Score Calculation'!E14</f>
        <v>4C2X</v>
      </c>
      <c r="F22" s="357" t="str">
        <f>'Reference Score Calculation'!F14</f>
        <v>/</v>
      </c>
      <c r="G22" s="357">
        <f>'Reference Score Calculation'!G14</f>
        <v>27</v>
      </c>
      <c r="H22" s="357">
        <f>'Reference Score Calculation'!H14</f>
        <v>25</v>
      </c>
      <c r="I22" s="357">
        <f>計分版!H35</f>
        <v>2.8499999999999999E-9</v>
      </c>
      <c r="J22" s="352">
        <f>入學要求!C23</f>
        <v>15</v>
      </c>
      <c r="K22" s="364">
        <f>'Offer Statistics'!I154</f>
        <v>12</v>
      </c>
      <c r="L22" s="386">
        <f>IFERROR('Offer Statistics'!L154/'Offer Statistics'!D154,"新科目")</f>
        <v>22</v>
      </c>
      <c r="M22" s="352">
        <f>入學要求!R23</f>
        <v>0</v>
      </c>
      <c r="U22" s="20"/>
    </row>
    <row r="23" spans="1:28" x14ac:dyDescent="0.3">
      <c r="A23" s="352" t="str">
        <f>'Reference Score Calculation'!A15</f>
        <v>JS1002</v>
      </c>
      <c r="B23" s="352" t="str">
        <f>'Reference Score Calculation'!B15</f>
        <v>CityU</v>
      </c>
      <c r="C23" s="352" t="str">
        <f>'Reference Score Calculation'!D15</f>
        <v>工商管理學士(會計)</v>
      </c>
      <c r="D23" s="352" t="str">
        <f>'Reference Score Calculation'!T15</f>
        <v>BBAAC</v>
      </c>
      <c r="E23" s="352" t="str">
        <f>'Reference Score Calculation'!E15</f>
        <v>Best 6</v>
      </c>
      <c r="F23" s="357" t="str">
        <f>'Reference Score Calculation'!F15</f>
        <v>/</v>
      </c>
      <c r="G23" s="357">
        <f>'Reference Score Calculation'!G15</f>
        <v>24</v>
      </c>
      <c r="H23" s="357">
        <f>'Reference Score Calculation'!H15</f>
        <v>23</v>
      </c>
      <c r="I23" s="357">
        <f>計分版!H36</f>
        <v>3.8500000000000006E-9</v>
      </c>
      <c r="J23" s="352">
        <f>入學要求!C24</f>
        <v>150</v>
      </c>
      <c r="K23" s="364">
        <f>'Offer Statistics'!I155</f>
        <v>159</v>
      </c>
      <c r="L23" s="386">
        <f>IFERROR('Offer Statistics'!L155/'Offer Statistics'!D155,"新科目")</f>
        <v>6.0855263157894735</v>
      </c>
      <c r="M23" s="352">
        <f>入學要求!R24</f>
        <v>0</v>
      </c>
      <c r="T23" s="20"/>
      <c r="U23" s="20"/>
    </row>
    <row r="24" spans="1:28" x14ac:dyDescent="0.3">
      <c r="A24" s="352" t="str">
        <f>'Reference Score Calculation'!A16</f>
        <v>JS1005</v>
      </c>
      <c r="B24" s="352" t="str">
        <f>'Reference Score Calculation'!B16</f>
        <v>CityU</v>
      </c>
      <c r="C24" s="352" t="str">
        <f>'Reference Score Calculation'!D16</f>
        <v>工商管理學士(管理學)</v>
      </c>
      <c r="D24" s="352" t="str">
        <f>'Reference Score Calculation'!T16</f>
        <v>BBAMGMT</v>
      </c>
      <c r="E24" s="352" t="str">
        <f>'Reference Score Calculation'!E16</f>
        <v>Best 6</v>
      </c>
      <c r="F24" s="357" t="str">
        <f>'Reference Score Calculation'!F16</f>
        <v>/</v>
      </c>
      <c r="G24" s="357">
        <f>'Reference Score Calculation'!G16</f>
        <v>24</v>
      </c>
      <c r="H24" s="357">
        <f>'Reference Score Calculation'!H16</f>
        <v>24</v>
      </c>
      <c r="I24" s="357">
        <f>計分版!H37</f>
        <v>4.1499999999999999E-9</v>
      </c>
      <c r="J24" s="352">
        <f>入學要求!C25</f>
        <v>60</v>
      </c>
      <c r="K24" s="364">
        <f>'Offer Statistics'!I156</f>
        <v>61</v>
      </c>
      <c r="L24" s="386">
        <f>IFERROR('Offer Statistics'!L156/'Offer Statistics'!D156,"新科目")</f>
        <v>11.625</v>
      </c>
      <c r="M24" s="352">
        <f>入學要求!R25</f>
        <v>0</v>
      </c>
      <c r="U24" s="20"/>
    </row>
    <row r="25" spans="1:28" x14ac:dyDescent="0.3">
      <c r="A25" s="352" t="str">
        <f>'Reference Score Calculation'!A17</f>
        <v>JS1007</v>
      </c>
      <c r="B25" s="352" t="str">
        <f>'Reference Score Calculation'!B17</f>
        <v>CityU</v>
      </c>
      <c r="C25" s="352" t="str">
        <f>'Reference Score Calculation'!D17</f>
        <v>工商管理學士(市場營銷)</v>
      </c>
      <c r="D25" s="352" t="str">
        <f>'Reference Score Calculation'!T17</f>
        <v>BBAMKT</v>
      </c>
      <c r="E25" s="352" t="str">
        <f>'Reference Score Calculation'!E17</f>
        <v>4C2X</v>
      </c>
      <c r="F25" s="357" t="str">
        <f>'Reference Score Calculation'!F17</f>
        <v>/</v>
      </c>
      <c r="G25" s="357">
        <f>'Reference Score Calculation'!G17</f>
        <v>26</v>
      </c>
      <c r="H25" s="357">
        <f>'Reference Score Calculation'!H17</f>
        <v>25.5</v>
      </c>
      <c r="I25" s="357">
        <f>計分版!H38</f>
        <v>2.9499999999999999E-9</v>
      </c>
      <c r="J25" s="352">
        <f>入學要求!C26</f>
        <v>85</v>
      </c>
      <c r="K25" s="364">
        <f>'Offer Statistics'!I157</f>
        <v>79</v>
      </c>
      <c r="L25" s="386">
        <f>IFERROR('Offer Statistics'!L157/'Offer Statistics'!D157,"新科目")</f>
        <v>8.0133333333333336</v>
      </c>
      <c r="M25" s="352">
        <f>入學要求!R26</f>
        <v>0</v>
      </c>
      <c r="T25" s="20"/>
      <c r="U25" s="20"/>
    </row>
    <row r="26" spans="1:28" x14ac:dyDescent="0.3">
      <c r="A26" s="352" t="str">
        <f>'Reference Score Calculation'!A18</f>
        <v>JS1012</v>
      </c>
      <c r="B26" s="352" t="str">
        <f>'Reference Score Calculation'!B18</f>
        <v>CityU</v>
      </c>
      <c r="C26" s="352" t="str">
        <f>'Reference Score Calculation'!D18</f>
        <v>經濟及金融系 [選項: 工商管理學士(商業經濟)、工商管理學士(金融)]</v>
      </c>
      <c r="D26" s="352" t="str">
        <f>'Reference Score Calculation'!T18</f>
        <v>EF</v>
      </c>
      <c r="E26" s="352" t="str">
        <f>'Reference Score Calculation'!E18</f>
        <v>4C2X</v>
      </c>
      <c r="F26" s="357" t="str">
        <f>'Reference Score Calculation'!F18</f>
        <v>/</v>
      </c>
      <c r="G26" s="357">
        <f>'Reference Score Calculation'!G18</f>
        <v>25</v>
      </c>
      <c r="H26" s="357">
        <f>'Reference Score Calculation'!H18</f>
        <v>24</v>
      </c>
      <c r="I26" s="357">
        <f>計分版!H39</f>
        <v>2.8499999999999999E-9</v>
      </c>
      <c r="J26" s="352">
        <f>入學要求!C27</f>
        <v>20</v>
      </c>
      <c r="K26" s="364">
        <f>'Offer Statistics'!I158</f>
        <v>16</v>
      </c>
      <c r="L26" s="386">
        <f>IFERROR('Offer Statistics'!L158/'Offer Statistics'!D158,"新科目")</f>
        <v>21.2</v>
      </c>
      <c r="M26" s="352">
        <f>入學要求!R27</f>
        <v>0</v>
      </c>
    </row>
    <row r="27" spans="1:28" x14ac:dyDescent="0.3">
      <c r="A27" s="352" t="str">
        <f>'Reference Score Calculation'!A19</f>
        <v>JS1013</v>
      </c>
      <c r="B27" s="352" t="str">
        <f>'Reference Score Calculation'!B19</f>
        <v>CityU</v>
      </c>
      <c r="C27" s="352" t="str">
        <f>'Reference Score Calculation'!D19</f>
        <v>工商管理學士(商業經濟)</v>
      </c>
      <c r="D27" s="352" t="str">
        <f>'Reference Score Calculation'!T19</f>
        <v>BBABE</v>
      </c>
      <c r="E27" s="352" t="str">
        <f>'Reference Score Calculation'!E19</f>
        <v>4C2X</v>
      </c>
      <c r="F27" s="357" t="str">
        <f>'Reference Score Calculation'!F19</f>
        <v>/</v>
      </c>
      <c r="G27" s="357">
        <f>'Reference Score Calculation'!G19</f>
        <v>23</v>
      </c>
      <c r="H27" s="357">
        <f>'Reference Score Calculation'!H19</f>
        <v>23</v>
      </c>
      <c r="I27" s="357">
        <f>計分版!H40</f>
        <v>2.8499999999999999E-9</v>
      </c>
      <c r="J27" s="352">
        <f>入學要求!C28</f>
        <v>36</v>
      </c>
      <c r="K27" s="364">
        <f>'Offer Statistics'!I159</f>
        <v>45</v>
      </c>
      <c r="L27" s="386">
        <f>IFERROR('Offer Statistics'!L159/'Offer Statistics'!D159,"新科目")</f>
        <v>9.4318181818181817</v>
      </c>
      <c r="M27" s="352">
        <f>入學要求!R28</f>
        <v>0</v>
      </c>
      <c r="U27" s="20"/>
    </row>
    <row r="28" spans="1:28" x14ac:dyDescent="0.3">
      <c r="A28" s="352" t="str">
        <f>'Reference Score Calculation'!A20</f>
        <v>JS1014</v>
      </c>
      <c r="B28" s="352" t="str">
        <f>'Reference Score Calculation'!B20</f>
        <v>CityU</v>
      </c>
      <c r="C28" s="352" t="str">
        <f>'Reference Score Calculation'!D20</f>
        <v>工商管理學士(金融)</v>
      </c>
      <c r="D28" s="352" t="str">
        <f>'Reference Score Calculation'!T20</f>
        <v>BBAFIN</v>
      </c>
      <c r="E28" s="352" t="str">
        <f>'Reference Score Calculation'!E20</f>
        <v>4C2X</v>
      </c>
      <c r="F28" s="357" t="str">
        <f>'Reference Score Calculation'!F20</f>
        <v>/</v>
      </c>
      <c r="G28" s="357">
        <f>'Reference Score Calculation'!G20</f>
        <v>23</v>
      </c>
      <c r="H28" s="357">
        <f>'Reference Score Calculation'!H20</f>
        <v>23</v>
      </c>
      <c r="I28" s="357">
        <f>計分版!H41</f>
        <v>2.8499999999999999E-9</v>
      </c>
      <c r="J28" s="352">
        <f>入學要求!C29</f>
        <v>109</v>
      </c>
      <c r="K28" s="364">
        <f>'Offer Statistics'!I160</f>
        <v>112</v>
      </c>
      <c r="L28" s="386">
        <f>IFERROR('Offer Statistics'!L160/'Offer Statistics'!D160,"新科目")</f>
        <v>13.355140186915888</v>
      </c>
      <c r="M28" s="352">
        <f>入學要求!R29</f>
        <v>0</v>
      </c>
      <c r="U28" s="20"/>
    </row>
    <row r="29" spans="1:28" x14ac:dyDescent="0.3">
      <c r="A29" s="352" t="str">
        <f>'Reference Score Calculation'!A21</f>
        <v>JS1017</v>
      </c>
      <c r="B29" s="352" t="str">
        <f>'Reference Score Calculation'!B21</f>
        <v>CityU</v>
      </c>
      <c r="C29" s="352" t="str">
        <f>'Reference Score Calculation'!D21</f>
        <v>資訊系統學系 [選項: 工商管理學士(環球商業系統管理)、工商管理學士(資訊管理)]</v>
      </c>
      <c r="D29" s="352" t="str">
        <f>'Reference Score Calculation'!T21</f>
        <v>IS</v>
      </c>
      <c r="E29" s="352" t="str">
        <f>'Reference Score Calculation'!E21</f>
        <v>4C2X</v>
      </c>
      <c r="F29" s="357" t="str">
        <f>'Reference Score Calculation'!F21</f>
        <v>/</v>
      </c>
      <c r="G29" s="357">
        <f>'Reference Score Calculation'!G21</f>
        <v>24</v>
      </c>
      <c r="H29" s="357">
        <f>'Reference Score Calculation'!H21</f>
        <v>23</v>
      </c>
      <c r="I29" s="357">
        <f>計分版!H42</f>
        <v>2.8499999999999999E-9</v>
      </c>
      <c r="J29" s="352">
        <f>入學要求!C30</f>
        <v>65</v>
      </c>
      <c r="K29" s="364">
        <f>'Offer Statistics'!I161</f>
        <v>63</v>
      </c>
      <c r="L29" s="386">
        <f>IFERROR('Offer Statistics'!L161/'Offer Statistics'!D161,"新科目")</f>
        <v>5.2758620689655169</v>
      </c>
      <c r="M29" s="352">
        <f>入學要求!R30</f>
        <v>0</v>
      </c>
      <c r="U29" s="20"/>
    </row>
    <row r="30" spans="1:28" x14ac:dyDescent="0.3">
      <c r="A30" s="352" t="str">
        <f>'Reference Score Calculation'!A22</f>
        <v>JS1018</v>
      </c>
      <c r="B30" s="352" t="str">
        <f>'Reference Score Calculation'!B22</f>
        <v>CityU</v>
      </c>
      <c r="C30" s="352" t="str">
        <f>'Reference Score Calculation'!D22</f>
        <v>工商管理學士(環球商業系統管理)</v>
      </c>
      <c r="D30" s="352" t="str">
        <f>'Reference Score Calculation'!T22</f>
        <v>BBAGBSM</v>
      </c>
      <c r="E30" s="352" t="str">
        <f>'Reference Score Calculation'!E22</f>
        <v>4C2X</v>
      </c>
      <c r="F30" s="357" t="str">
        <f>'Reference Score Calculation'!F22</f>
        <v>/</v>
      </c>
      <c r="G30" s="357">
        <f>'Reference Score Calculation'!G22</f>
        <v>25</v>
      </c>
      <c r="H30" s="357">
        <f>'Reference Score Calculation'!H22</f>
        <v>24</v>
      </c>
      <c r="I30" s="357">
        <f>計分版!H43</f>
        <v>2.8499999999999999E-9</v>
      </c>
      <c r="J30" s="352">
        <f>入學要求!C31</f>
        <v>10</v>
      </c>
      <c r="K30" s="364">
        <f>'Offer Statistics'!I162</f>
        <v>6</v>
      </c>
      <c r="L30" s="386">
        <f>IFERROR('Offer Statistics'!L162/'Offer Statistics'!D162,"新科目")</f>
        <v>10.666666666666666</v>
      </c>
      <c r="M30" s="352">
        <f>入學要求!R31</f>
        <v>0</v>
      </c>
    </row>
    <row r="31" spans="1:28" x14ac:dyDescent="0.3">
      <c r="A31" s="352" t="str">
        <f>'Reference Score Calculation'!A23</f>
        <v>JS1019</v>
      </c>
      <c r="B31" s="352" t="str">
        <f>'Reference Score Calculation'!B23</f>
        <v>CityU</v>
      </c>
      <c r="C31" s="352" t="str">
        <f>'Reference Score Calculation'!D23</f>
        <v>工商管理學士(資訊管理)</v>
      </c>
      <c r="D31" s="352" t="str">
        <f>'Reference Score Calculation'!T23</f>
        <v>BBAIFMG</v>
      </c>
      <c r="E31" s="352" t="str">
        <f>'Reference Score Calculation'!E23</f>
        <v>4C2X</v>
      </c>
      <c r="F31" s="357" t="str">
        <f>'Reference Score Calculation'!F23</f>
        <v>/</v>
      </c>
      <c r="G31" s="357">
        <f>'Reference Score Calculation'!G23</f>
        <v>24</v>
      </c>
      <c r="H31" s="357">
        <f>'Reference Score Calculation'!H23</f>
        <v>23</v>
      </c>
      <c r="I31" s="357">
        <f>計分版!H44</f>
        <v>2.8499999999999999E-9</v>
      </c>
      <c r="J31" s="352">
        <f>入學要求!C32</f>
        <v>10</v>
      </c>
      <c r="K31" s="364">
        <f>'Offer Statistics'!I163</f>
        <v>6</v>
      </c>
      <c r="L31" s="386">
        <f>IFERROR('Offer Statistics'!L163/'Offer Statistics'!D163,"新科目")</f>
        <v>53.8</v>
      </c>
      <c r="M31" s="352">
        <f>入學要求!R32</f>
        <v>0</v>
      </c>
    </row>
    <row r="32" spans="1:28" x14ac:dyDescent="0.3">
      <c r="A32" s="352" t="str">
        <f>'Reference Score Calculation'!A24</f>
        <v>JS1025</v>
      </c>
      <c r="B32" s="352" t="str">
        <f>'Reference Score Calculation'!B24</f>
        <v>CityU</v>
      </c>
      <c r="C32" s="352" t="str">
        <f>'Reference Score Calculation'!D24</f>
        <v>管理科學系 [選項: 工商管理學士(商業分析)、工商管理學士(商業營運管理)]</v>
      </c>
      <c r="D32" s="352" t="str">
        <f>'Reference Score Calculation'!T24</f>
        <v>MS</v>
      </c>
      <c r="E32" s="352" t="str">
        <f>'Reference Score Calculation'!E24</f>
        <v>4C2X</v>
      </c>
      <c r="F32" s="357" t="str">
        <f>'Reference Score Calculation'!F24</f>
        <v>/</v>
      </c>
      <c r="G32" s="357">
        <f>'Reference Score Calculation'!G24</f>
        <v>24</v>
      </c>
      <c r="H32" s="357">
        <f>'Reference Score Calculation'!H24</f>
        <v>23</v>
      </c>
      <c r="I32" s="357">
        <f>計分版!H45</f>
        <v>2.8499999999999999E-9</v>
      </c>
      <c r="J32" s="352">
        <f>入學要求!C33</f>
        <v>24</v>
      </c>
      <c r="K32" s="364">
        <f>'Offer Statistics'!I164</f>
        <v>21</v>
      </c>
      <c r="L32" s="386">
        <f>IFERROR('Offer Statistics'!L164/'Offer Statistics'!D164,"新科目")</f>
        <v>5</v>
      </c>
      <c r="M32" s="352">
        <f>入學要求!R33</f>
        <v>0</v>
      </c>
    </row>
    <row r="33" spans="1:13" x14ac:dyDescent="0.3">
      <c r="A33" s="352" t="str">
        <f>'Reference Score Calculation'!A25</f>
        <v>JS1026</v>
      </c>
      <c r="B33" s="352" t="str">
        <f>'Reference Score Calculation'!B25</f>
        <v>CityU</v>
      </c>
      <c r="C33" s="352" t="str">
        <f>'Reference Score Calculation'!D25</f>
        <v>工商管理學士(商業分析)</v>
      </c>
      <c r="D33" s="352" t="str">
        <f>'Reference Score Calculation'!T25</f>
        <v>BBABANL</v>
      </c>
      <c r="E33" s="352" t="str">
        <f>'Reference Score Calculation'!E25</f>
        <v>4C2X</v>
      </c>
      <c r="F33" s="357" t="str">
        <f>'Reference Score Calculation'!F25</f>
        <v>/</v>
      </c>
      <c r="G33" s="357">
        <f>'Reference Score Calculation'!G25</f>
        <v>23</v>
      </c>
      <c r="H33" s="357">
        <f>'Reference Score Calculation'!H25</f>
        <v>23</v>
      </c>
      <c r="I33" s="357">
        <f>計分版!H46</f>
        <v>2.8499999999999999E-9</v>
      </c>
      <c r="J33" s="352">
        <f>入學要求!C34</f>
        <v>24</v>
      </c>
      <c r="K33" s="364">
        <f>'Offer Statistics'!I165</f>
        <v>25</v>
      </c>
      <c r="L33" s="386">
        <f>IFERROR('Offer Statistics'!L165/'Offer Statistics'!D165,"新科目")</f>
        <v>6.7272727272727275</v>
      </c>
      <c r="M33" s="352">
        <f>入學要求!R34</f>
        <v>0</v>
      </c>
    </row>
    <row r="34" spans="1:13" x14ac:dyDescent="0.3">
      <c r="A34" s="352" t="str">
        <f>'Reference Score Calculation'!A26</f>
        <v>JS1027</v>
      </c>
      <c r="B34" s="352" t="str">
        <f>'Reference Score Calculation'!B26</f>
        <v>CityU</v>
      </c>
      <c r="C34" s="352" t="str">
        <f>'Reference Score Calculation'!D26</f>
        <v>工商管理學士(商業營運管理)</v>
      </c>
      <c r="D34" s="352" t="str">
        <f>'Reference Score Calculation'!T26</f>
        <v>BBABOM</v>
      </c>
      <c r="E34" s="352" t="str">
        <f>'Reference Score Calculation'!E26</f>
        <v>4C2X</v>
      </c>
      <c r="F34" s="357" t="str">
        <f>'Reference Score Calculation'!F26</f>
        <v>/</v>
      </c>
      <c r="G34" s="357">
        <f>'Reference Score Calculation'!G26</f>
        <v>23</v>
      </c>
      <c r="H34" s="357">
        <f>'Reference Score Calculation'!H26</f>
        <v>23</v>
      </c>
      <c r="I34" s="357">
        <f>計分版!H47</f>
        <v>2.8499999999999999E-9</v>
      </c>
      <c r="J34" s="352">
        <f>入學要求!C35</f>
        <v>24</v>
      </c>
      <c r="K34" s="364">
        <f>'Offer Statistics'!I166</f>
        <v>33</v>
      </c>
      <c r="L34" s="386">
        <f>IFERROR('Offer Statistics'!L166/'Offer Statistics'!D166,"新科目")</f>
        <v>18.681818181818183</v>
      </c>
      <c r="M34" s="352">
        <f>入學要求!R35</f>
        <v>0</v>
      </c>
    </row>
    <row r="35" spans="1:13" x14ac:dyDescent="0.3">
      <c r="A35" s="352" t="str">
        <f>'Reference Score Calculation'!A27</f>
        <v>JS1041</v>
      </c>
      <c r="B35" s="352" t="str">
        <f>'Reference Score Calculation'!B27</f>
        <v>CityU</v>
      </c>
      <c r="C35" s="352" t="str">
        <f>'Reference Score Calculation'!D27</f>
        <v>創意媒體學院 [選項: 文學士(創意媒體)、理學士(創意媒體)、文理學士(新媒體)]</v>
      </c>
      <c r="D35" s="352" t="str">
        <f>'Reference Score Calculation'!T27</f>
        <v>SCM</v>
      </c>
      <c r="E35" s="352" t="str">
        <f>'Reference Score Calculation'!E27</f>
        <v>4C2X</v>
      </c>
      <c r="F35" s="357" t="str">
        <f>'Reference Score Calculation'!F27</f>
        <v>/</v>
      </c>
      <c r="G35" s="357">
        <f>'Reference Score Calculation'!G27</f>
        <v>28</v>
      </c>
      <c r="H35" s="357">
        <f>'Reference Score Calculation'!H27</f>
        <v>27</v>
      </c>
      <c r="I35" s="357">
        <f>計分版!H48</f>
        <v>3.05E-9</v>
      </c>
      <c r="J35" s="352">
        <f>入學要求!C36</f>
        <v>24</v>
      </c>
      <c r="K35" s="364">
        <f>'Offer Statistics'!I167</f>
        <v>35</v>
      </c>
      <c r="L35" s="386">
        <f>IFERROR('Offer Statistics'!L167/'Offer Statistics'!D167,"新科目")</f>
        <v>10.914285714285715</v>
      </c>
      <c r="M35" s="352">
        <f>入學要求!R36</f>
        <v>0</v>
      </c>
    </row>
    <row r="36" spans="1:13" x14ac:dyDescent="0.3">
      <c r="A36" s="352" t="str">
        <f>'Reference Score Calculation'!A28</f>
        <v>JS1042</v>
      </c>
      <c r="B36" s="352" t="str">
        <f>'Reference Score Calculation'!B28</f>
        <v>CityU</v>
      </c>
      <c r="C36" s="352" t="str">
        <f>'Reference Score Calculation'!D28</f>
        <v>文學士(創意媒體)</v>
      </c>
      <c r="D36" s="352" t="str">
        <f>'Reference Score Calculation'!T28</f>
        <v>BACM</v>
      </c>
      <c r="E36" s="352" t="str">
        <f>'Reference Score Calculation'!E28</f>
        <v>4C2X</v>
      </c>
      <c r="F36" s="357" t="str">
        <f>'Reference Score Calculation'!F28</f>
        <v>/</v>
      </c>
      <c r="G36" s="357">
        <f>'Reference Score Calculation'!G28</f>
        <v>29</v>
      </c>
      <c r="H36" s="357">
        <f>'Reference Score Calculation'!H28</f>
        <v>28</v>
      </c>
      <c r="I36" s="357">
        <f>計分版!H49</f>
        <v>3.05E-9</v>
      </c>
      <c r="J36" s="352">
        <f>入學要求!C37</f>
        <v>20</v>
      </c>
      <c r="K36" s="364">
        <f>'Offer Statistics'!I168</f>
        <v>26</v>
      </c>
      <c r="L36" s="386">
        <f>IFERROR('Offer Statistics'!L168/'Offer Statistics'!D168,"新科目")</f>
        <v>10.653846153846153</v>
      </c>
      <c r="M36" s="352">
        <f>入學要求!R37</f>
        <v>0</v>
      </c>
    </row>
    <row r="37" spans="1:13" x14ac:dyDescent="0.3">
      <c r="A37" s="352" t="str">
        <f>'Reference Score Calculation'!A29</f>
        <v>JS1043</v>
      </c>
      <c r="B37" s="352" t="str">
        <f>'Reference Score Calculation'!B29</f>
        <v>CityU</v>
      </c>
      <c r="C37" s="352" t="str">
        <f>'Reference Score Calculation'!D29</f>
        <v>理學士(創意媒體)</v>
      </c>
      <c r="D37" s="352" t="str">
        <f>'Reference Score Calculation'!T29</f>
        <v>BScCM</v>
      </c>
      <c r="E37" s="352" t="str">
        <f>'Reference Score Calculation'!E29</f>
        <v>4C2X</v>
      </c>
      <c r="F37" s="357" t="str">
        <f>'Reference Score Calculation'!F29</f>
        <v>/</v>
      </c>
      <c r="G37" s="357">
        <f>'Reference Score Calculation'!G29</f>
        <v>28.5</v>
      </c>
      <c r="H37" s="357">
        <f>'Reference Score Calculation'!H29</f>
        <v>28</v>
      </c>
      <c r="I37" s="357">
        <f>計分版!H50</f>
        <v>3.2000000000000005E-9</v>
      </c>
      <c r="J37" s="352">
        <f>入學要求!C38</f>
        <v>27</v>
      </c>
      <c r="K37" s="364">
        <f>'Offer Statistics'!I169</f>
        <v>28</v>
      </c>
      <c r="L37" s="386">
        <f>IFERROR('Offer Statistics'!L169/'Offer Statistics'!D169,"新科目")</f>
        <v>10.392857142857142</v>
      </c>
      <c r="M37" s="352">
        <f>入學要求!R38</f>
        <v>0</v>
      </c>
    </row>
    <row r="38" spans="1:13" x14ac:dyDescent="0.3">
      <c r="A38" s="352" t="str">
        <f>'Reference Score Calculation'!A30</f>
        <v>JS1044</v>
      </c>
      <c r="B38" s="352" t="str">
        <f>'Reference Score Calculation'!B30</f>
        <v>CityU</v>
      </c>
      <c r="C38" s="352" t="str">
        <f>'Reference Score Calculation'!D30</f>
        <v>文理學士(新媒體)</v>
      </c>
      <c r="D38" s="352" t="str">
        <f>'Reference Score Calculation'!T30</f>
        <v>BAS</v>
      </c>
      <c r="E38" s="352" t="str">
        <f>'Reference Score Calculation'!E30</f>
        <v>Best 5</v>
      </c>
      <c r="F38" s="357" t="str">
        <f>'Reference Score Calculation'!F30</f>
        <v>/</v>
      </c>
      <c r="G38" s="357">
        <f>'Reference Score Calculation'!G30</f>
        <v>19</v>
      </c>
      <c r="H38" s="357">
        <f>'Reference Score Calculation'!H30</f>
        <v>19</v>
      </c>
      <c r="I38" s="357">
        <f>計分版!H51</f>
        <v>3.5500000000000004E-9</v>
      </c>
      <c r="J38" s="352">
        <f>入學要求!C39</f>
        <v>19</v>
      </c>
      <c r="K38" s="364">
        <f>'Offer Statistics'!I170</f>
        <v>9</v>
      </c>
      <c r="L38" s="386">
        <f>IFERROR('Offer Statistics'!L170/'Offer Statistics'!D170,"新科目")</f>
        <v>15.666666666666666</v>
      </c>
      <c r="M38" s="352">
        <f>入學要求!R39</f>
        <v>0</v>
      </c>
    </row>
    <row r="39" spans="1:13" x14ac:dyDescent="0.3">
      <c r="A39" s="352" t="str">
        <f>'Reference Score Calculation'!A31</f>
        <v>JS1051</v>
      </c>
      <c r="B39" s="352" t="str">
        <f>'Reference Score Calculation'!B31</f>
        <v>CityU</v>
      </c>
      <c r="C39" s="352" t="str">
        <f>'Reference Score Calculation'!D31</f>
        <v>能源及環境學院 [選項: 工學士(能源科學及工程學)、工學士(環境科學及工程學)]</v>
      </c>
      <c r="D39" s="352" t="str">
        <f>'Reference Score Calculation'!T31</f>
        <v>SEE</v>
      </c>
      <c r="E39" s="352" t="str">
        <f>'Reference Score Calculation'!E31</f>
        <v>Best 5</v>
      </c>
      <c r="F39" s="357" t="str">
        <f>'Reference Score Calculation'!F31</f>
        <v>/</v>
      </c>
      <c r="G39" s="357">
        <f>'Reference Score Calculation'!G31</f>
        <v>34</v>
      </c>
      <c r="H39" s="357">
        <f>'Reference Score Calculation'!H31</f>
        <v>32</v>
      </c>
      <c r="I39" s="357">
        <f>計分版!H52</f>
        <v>3.0000000000000004E-9</v>
      </c>
      <c r="J39" s="352">
        <f>入學要求!C40</f>
        <v>60</v>
      </c>
      <c r="K39" s="364">
        <f>'Offer Statistics'!I171</f>
        <v>56</v>
      </c>
      <c r="L39" s="386">
        <f>IFERROR('Offer Statistics'!L171/'Offer Statistics'!D171,"新科目")</f>
        <v>4.2826086956521738</v>
      </c>
      <c r="M39" s="352">
        <f>入學要求!R40</f>
        <v>0</v>
      </c>
    </row>
    <row r="40" spans="1:13" x14ac:dyDescent="0.3">
      <c r="A40" s="352" t="str">
        <f>'Reference Score Calculation'!A32</f>
        <v>JS1061</v>
      </c>
      <c r="B40" s="352" t="str">
        <f>'Reference Score Calculation'!B32</f>
        <v>CityU</v>
      </c>
      <c r="C40" s="352" t="str">
        <f>'Reference Score Calculation'!D32</f>
        <v>法律學學士</v>
      </c>
      <c r="D40" s="352" t="str">
        <f>'Reference Score Calculation'!T32</f>
        <v>LLB</v>
      </c>
      <c r="E40" s="352" t="str">
        <f>'Reference Score Calculation'!E32</f>
        <v>Best 6</v>
      </c>
      <c r="F40" s="357" t="str">
        <f>'Reference Score Calculation'!F32</f>
        <v>/</v>
      </c>
      <c r="G40" s="357">
        <f>'Reference Score Calculation'!G32</f>
        <v>26</v>
      </c>
      <c r="H40" s="357">
        <f>'Reference Score Calculation'!H32</f>
        <v>25</v>
      </c>
      <c r="I40" s="357">
        <f>計分版!H53</f>
        <v>4.1499999999999999E-9</v>
      </c>
      <c r="J40" s="352">
        <f>入學要求!C41</f>
        <v>39</v>
      </c>
      <c r="K40" s="364">
        <f>'Offer Statistics'!I172</f>
        <v>35</v>
      </c>
      <c r="L40" s="386">
        <f>IFERROR('Offer Statistics'!L172/'Offer Statistics'!D172,"新科目")</f>
        <v>3.6451612903225805</v>
      </c>
      <c r="M40" s="352">
        <f>入學要求!R41</f>
        <v>0</v>
      </c>
    </row>
    <row r="41" spans="1:13" x14ac:dyDescent="0.3">
      <c r="A41" s="352" t="str">
        <f>'Reference Score Calculation'!A33</f>
        <v>JS1062</v>
      </c>
      <c r="B41" s="352" t="str">
        <f>'Reference Score Calculation'!B33</f>
        <v>CityU</v>
      </c>
      <c r="C41" s="352" t="str">
        <f>'Reference Score Calculation'!D33</f>
        <v>法律學學士與工商管理學士(會計)</v>
      </c>
      <c r="D41" s="352" t="str">
        <f>'Reference Score Calculation'!T33</f>
        <v>LLB&amp;BBAAC</v>
      </c>
      <c r="E41" s="352" t="str">
        <f>'Reference Score Calculation'!AD33</f>
        <v>Best 6</v>
      </c>
      <c r="F41" s="357" t="str">
        <f>'Reference Score Calculation'!F33</f>
        <v>/</v>
      </c>
      <c r="G41" s="357" t="str">
        <f>'Reference Score Calculation'!G33</f>
        <v>/</v>
      </c>
      <c r="H41" s="357" t="str">
        <f>'Reference Score Calculation'!H33</f>
        <v>/</v>
      </c>
      <c r="I41" s="357">
        <f>計分版!H54</f>
        <v>4.25E-9</v>
      </c>
      <c r="J41" s="352">
        <f>入學要求!C42</f>
        <v>8</v>
      </c>
      <c r="K41" s="364" t="str">
        <f>'Offer Statistics'!I173</f>
        <v>/</v>
      </c>
      <c r="L41" s="386" t="str">
        <f>IFERROR('Offer Statistics'!L173/'Offer Statistics'!D173,"新科目")</f>
        <v>新科目</v>
      </c>
      <c r="M41" s="352">
        <f>入學要求!R42</f>
        <v>0</v>
      </c>
    </row>
    <row r="42" spans="1:13" x14ac:dyDescent="0.3">
      <c r="A42" s="352" t="str">
        <f>'Reference Score Calculation'!A34</f>
        <v>JS1071</v>
      </c>
      <c r="B42" s="352" t="str">
        <f>'Reference Score Calculation'!B34</f>
        <v>CityU</v>
      </c>
      <c r="C42" s="352" t="str">
        <f>'Reference Score Calculation'!D34</f>
        <v>數據科學學院 [選項：理學士 (數據科學)、工學士 (數據與系統工程)]</v>
      </c>
      <c r="D42" s="352" t="str">
        <f>'Reference Score Calculation'!T34</f>
        <v>SDSC</v>
      </c>
      <c r="E42" s="352" t="str">
        <f>'Reference Score Calculation'!E34</f>
        <v>4C2X</v>
      </c>
      <c r="F42" s="357" t="str">
        <f>'Reference Score Calculation'!F34</f>
        <v>/</v>
      </c>
      <c r="G42" s="357">
        <f>'Reference Score Calculation'!G34</f>
        <v>34</v>
      </c>
      <c r="H42" s="357">
        <f>'Reference Score Calculation'!H34</f>
        <v>31</v>
      </c>
      <c r="I42" s="357">
        <f>計分版!H55</f>
        <v>3.3500000000000002E-9</v>
      </c>
      <c r="J42" s="352">
        <f>入學要求!C43</f>
        <v>20</v>
      </c>
      <c r="K42" s="364">
        <f>'Offer Statistics'!I174</f>
        <v>16</v>
      </c>
      <c r="L42" s="386">
        <f>IFERROR('Offer Statistics'!L174/'Offer Statistics'!D174,"新科目")</f>
        <v>5.1538461538461542</v>
      </c>
      <c r="M42" s="352">
        <f>入學要求!R43</f>
        <v>0</v>
      </c>
    </row>
    <row r="43" spans="1:13" x14ac:dyDescent="0.3">
      <c r="A43" s="352" t="str">
        <f>'Reference Score Calculation'!A35</f>
        <v>JS1072</v>
      </c>
      <c r="B43" s="352" t="str">
        <f>'Reference Score Calculation'!B35</f>
        <v>CityU</v>
      </c>
      <c r="C43" s="352" t="str">
        <f>'Reference Score Calculation'!D35</f>
        <v>理學士(數據科學)</v>
      </c>
      <c r="D43" s="352" t="str">
        <f>'Reference Score Calculation'!T35</f>
        <v>BScDSC</v>
      </c>
      <c r="E43" s="352" t="str">
        <f>'Reference Score Calculation'!E35</f>
        <v>4C2X</v>
      </c>
      <c r="F43" s="357" t="str">
        <f>'Reference Score Calculation'!F35</f>
        <v>/</v>
      </c>
      <c r="G43" s="357">
        <f>'Reference Score Calculation'!G35</f>
        <v>32</v>
      </c>
      <c r="H43" s="357">
        <f>'Reference Score Calculation'!H35</f>
        <v>29</v>
      </c>
      <c r="I43" s="357">
        <f>計分版!H56</f>
        <v>3.3500000000000002E-9</v>
      </c>
      <c r="J43" s="352">
        <f>入學要求!C44</f>
        <v>30</v>
      </c>
      <c r="K43" s="364">
        <f>'Offer Statistics'!I175</f>
        <v>23</v>
      </c>
      <c r="L43" s="386">
        <f>IFERROR('Offer Statistics'!L175/'Offer Statistics'!D175,"新科目")</f>
        <v>6</v>
      </c>
      <c r="M43" s="352">
        <f>入學要求!R44</f>
        <v>0</v>
      </c>
    </row>
    <row r="44" spans="1:13" x14ac:dyDescent="0.3">
      <c r="A44" s="352" t="str">
        <f>'Reference Score Calculation'!A36</f>
        <v>JS1074</v>
      </c>
      <c r="B44" s="352" t="str">
        <f>'Reference Score Calculation'!B36</f>
        <v>CityU</v>
      </c>
      <c r="C44" s="352" t="str">
        <f>'Reference Score Calculation'!D36</f>
        <v>工學士(數據與系統工程)</v>
      </c>
      <c r="D44" s="352" t="str">
        <f>'Reference Score Calculation'!T36</f>
        <v>BEngDSE</v>
      </c>
      <c r="E44" s="352" t="str">
        <f>'Reference Score Calculation'!E36</f>
        <v>4C2X</v>
      </c>
      <c r="F44" s="357" t="str">
        <f>'Reference Score Calculation'!F36</f>
        <v>/</v>
      </c>
      <c r="G44" s="357">
        <f>'Reference Score Calculation'!G36</f>
        <v>30</v>
      </c>
      <c r="H44" s="357">
        <f>'Reference Score Calculation'!H36</f>
        <v>27</v>
      </c>
      <c r="I44" s="357">
        <f>計分版!H57</f>
        <v>3.3500000000000002E-9</v>
      </c>
      <c r="J44" s="352">
        <f>入學要求!C45</f>
        <v>20</v>
      </c>
      <c r="K44" s="364">
        <f>'Offer Statistics'!I176</f>
        <v>11</v>
      </c>
      <c r="L44" s="386">
        <f>IFERROR('Offer Statistics'!L176/'Offer Statistics'!D176,"新科目")</f>
        <v>10.714285714285714</v>
      </c>
      <c r="M44" s="352">
        <f>入學要求!R45</f>
        <v>0</v>
      </c>
    </row>
    <row r="45" spans="1:13" x14ac:dyDescent="0.3">
      <c r="A45" s="352" t="str">
        <f>'Reference Score Calculation'!A37</f>
        <v>JS1102</v>
      </c>
      <c r="B45" s="352" t="str">
        <f>'Reference Score Calculation'!B37</f>
        <v>CityU</v>
      </c>
      <c r="C45" s="352" t="str">
        <f>'Reference Score Calculation'!D37</f>
        <v>社會科學學士(亞洲及國際研究)</v>
      </c>
      <c r="D45" s="352" t="str">
        <f>'Reference Score Calculation'!T37</f>
        <v>BSocScASIS</v>
      </c>
      <c r="E45" s="352" t="str">
        <f>'Reference Score Calculation'!E37</f>
        <v>Best 5</v>
      </c>
      <c r="F45" s="357" t="str">
        <f>'Reference Score Calculation'!F37</f>
        <v>/</v>
      </c>
      <c r="G45" s="357">
        <f>'Reference Score Calculation'!G37</f>
        <v>20</v>
      </c>
      <c r="H45" s="357">
        <f>'Reference Score Calculation'!H37</f>
        <v>19</v>
      </c>
      <c r="I45" s="357">
        <f>計分版!H58</f>
        <v>3.2500000000000002E-9</v>
      </c>
      <c r="J45" s="352">
        <f>入學要求!C46</f>
        <v>20</v>
      </c>
      <c r="K45" s="364">
        <f>'Offer Statistics'!I177</f>
        <v>16</v>
      </c>
      <c r="L45" s="386">
        <f>IFERROR('Offer Statistics'!L177/'Offer Statistics'!D177,"新科目")</f>
        <v>9.1666666666666661</v>
      </c>
      <c r="M45" s="352">
        <f>入學要求!R46</f>
        <v>0</v>
      </c>
    </row>
    <row r="46" spans="1:13" x14ac:dyDescent="0.3">
      <c r="A46" s="352" t="str">
        <f>'Reference Score Calculation'!A38</f>
        <v>JS1103</v>
      </c>
      <c r="B46" s="352" t="str">
        <f>'Reference Score Calculation'!B38</f>
        <v>CityU</v>
      </c>
      <c r="C46" s="352" t="str">
        <f>'Reference Score Calculation'!D38</f>
        <v>文學士(中文及歷史)</v>
      </c>
      <c r="D46" s="352" t="str">
        <f>'Reference Score Calculation'!T38</f>
        <v>BACHIS</v>
      </c>
      <c r="E46" s="352" t="str">
        <f>'Reference Score Calculation'!E38</f>
        <v>4C2X</v>
      </c>
      <c r="F46" s="357" t="str">
        <f>'Reference Score Calculation'!F38</f>
        <v>/</v>
      </c>
      <c r="G46" s="357">
        <f>'Reference Score Calculation'!G38</f>
        <v>37</v>
      </c>
      <c r="H46" s="357">
        <f>'Reference Score Calculation'!H38</f>
        <v>36</v>
      </c>
      <c r="I46" s="357">
        <f>計分版!H59</f>
        <v>3.3500000000000002E-9</v>
      </c>
      <c r="J46" s="352">
        <f>入學要求!C47</f>
        <v>45</v>
      </c>
      <c r="K46" s="364">
        <f>'Offer Statistics'!I178</f>
        <v>56</v>
      </c>
      <c r="L46" s="386">
        <f>IFERROR('Offer Statistics'!L178/'Offer Statistics'!D178,"新科目")</f>
        <v>11.84</v>
      </c>
      <c r="M46" s="352">
        <f>入學要求!R47</f>
        <v>0</v>
      </c>
    </row>
    <row r="47" spans="1:13" x14ac:dyDescent="0.3">
      <c r="A47" s="352" t="str">
        <f>'Reference Score Calculation'!A39</f>
        <v>JS1104</v>
      </c>
      <c r="B47" s="352" t="str">
        <f>'Reference Score Calculation'!B39</f>
        <v>CityU</v>
      </c>
      <c r="C47" s="352" t="str">
        <f>'Reference Score Calculation'!D39</f>
        <v>文學士(英語語言)</v>
      </c>
      <c r="D47" s="352" t="str">
        <f>'Reference Score Calculation'!T39</f>
        <v>BAEN</v>
      </c>
      <c r="E47" s="352" t="str">
        <f>'Reference Score Calculation'!E39</f>
        <v>Best 6</v>
      </c>
      <c r="F47" s="357" t="str">
        <f>'Reference Score Calculation'!F39</f>
        <v>/</v>
      </c>
      <c r="G47" s="357">
        <f>'Reference Score Calculation'!G39</f>
        <v>32.5</v>
      </c>
      <c r="H47" s="357">
        <f>'Reference Score Calculation'!H39</f>
        <v>31</v>
      </c>
      <c r="I47" s="357">
        <f>計分版!H60</f>
        <v>3.8500000000000006E-9</v>
      </c>
      <c r="J47" s="352">
        <f>入學要求!C48</f>
        <v>25</v>
      </c>
      <c r="K47" s="364">
        <f>'Offer Statistics'!I179</f>
        <v>26</v>
      </c>
      <c r="L47" s="386">
        <f>IFERROR('Offer Statistics'!L179/'Offer Statistics'!D179,"新科目")</f>
        <v>8.15</v>
      </c>
      <c r="M47" s="352">
        <f>入學要求!R48</f>
        <v>0</v>
      </c>
    </row>
    <row r="48" spans="1:13" x14ac:dyDescent="0.3">
      <c r="A48" s="352" t="str">
        <f>'Reference Score Calculation'!A40</f>
        <v>JS1106</v>
      </c>
      <c r="B48" s="352" t="str">
        <f>'Reference Score Calculation'!B40</f>
        <v>CityU</v>
      </c>
      <c r="C48" s="352" t="str">
        <f>'Reference Score Calculation'!D40</f>
        <v>媒體與傳播系 [選項: 文學士(數碼電視與廣播)、文學士(媒體與傳播)]</v>
      </c>
      <c r="D48" s="352" t="str">
        <f>'Reference Score Calculation'!T40</f>
        <v>COM</v>
      </c>
      <c r="E48" s="352" t="str">
        <f>'Reference Score Calculation'!E40</f>
        <v>Best 5</v>
      </c>
      <c r="F48" s="357" t="str">
        <f>'Reference Score Calculation'!F40</f>
        <v>/</v>
      </c>
      <c r="G48" s="357">
        <f>'Reference Score Calculation'!G40</f>
        <v>22</v>
      </c>
      <c r="H48" s="357">
        <f>'Reference Score Calculation'!H40</f>
        <v>21.75</v>
      </c>
      <c r="I48" s="357">
        <f>計分版!H61</f>
        <v>3.6E-9</v>
      </c>
      <c r="J48" s="352">
        <f>入學要求!C49</f>
        <v>45</v>
      </c>
      <c r="K48" s="364">
        <f>'Offer Statistics'!I180</f>
        <v>54</v>
      </c>
      <c r="L48" s="386">
        <f>IFERROR('Offer Statistics'!L180/'Offer Statistics'!D180,"新科目")</f>
        <v>12.145833333333334</v>
      </c>
      <c r="M48" s="352">
        <f>入學要求!R49</f>
        <v>0</v>
      </c>
    </row>
    <row r="49" spans="1:13" x14ac:dyDescent="0.3">
      <c r="A49" s="352" t="str">
        <f>'Reference Score Calculation'!A41</f>
        <v>JS1108</v>
      </c>
      <c r="B49" s="352" t="str">
        <f>'Reference Score Calculation'!B41</f>
        <v>CityU</v>
      </c>
      <c r="C49" s="352" t="str">
        <f>'Reference Score Calculation'!D41</f>
        <v>社會科學學士(公共政策與政治)</v>
      </c>
      <c r="D49" s="352" t="str">
        <f>'Reference Score Calculation'!T41</f>
        <v>BSocScPPP</v>
      </c>
      <c r="E49" s="352" t="str">
        <f>'Reference Score Calculation'!E41</f>
        <v>4C1X</v>
      </c>
      <c r="F49" s="357" t="str">
        <f>'Reference Score Calculation'!F41</f>
        <v>/</v>
      </c>
      <c r="G49" s="357">
        <f>'Reference Score Calculation'!G41</f>
        <v>24.5</v>
      </c>
      <c r="H49" s="357">
        <f>'Reference Score Calculation'!H41</f>
        <v>23.5</v>
      </c>
      <c r="I49" s="357">
        <f>計分版!H62</f>
        <v>2.3500000000000004E-9</v>
      </c>
      <c r="J49" s="352">
        <f>入學要求!C50</f>
        <v>64</v>
      </c>
      <c r="K49" s="364">
        <f>'Offer Statistics'!I181</f>
        <v>54</v>
      </c>
      <c r="L49" s="386">
        <f>IFERROR('Offer Statistics'!L181/'Offer Statistics'!D181,"新科目")</f>
        <v>3.4878048780487805</v>
      </c>
      <c r="M49" s="352">
        <f>入學要求!R50</f>
        <v>0</v>
      </c>
    </row>
    <row r="50" spans="1:13" x14ac:dyDescent="0.3">
      <c r="A50" s="352" t="str">
        <f>'Reference Score Calculation'!A42</f>
        <v>JS1109</v>
      </c>
      <c r="B50" s="352" t="str">
        <f>'Reference Score Calculation'!B42</f>
        <v>CityU</v>
      </c>
      <c r="C50" s="352" t="str">
        <f>'Reference Score Calculation'!D42</f>
        <v>文學士(語言學及語言應用)</v>
      </c>
      <c r="D50" s="352" t="str">
        <f>'Reference Score Calculation'!T42</f>
        <v>BALLA</v>
      </c>
      <c r="E50" s="352" t="str">
        <f>'Reference Score Calculation'!E42</f>
        <v>4C2X</v>
      </c>
      <c r="F50" s="357" t="str">
        <f>'Reference Score Calculation'!F42</f>
        <v>/</v>
      </c>
      <c r="G50" s="357">
        <f>'Reference Score Calculation'!G42</f>
        <v>30</v>
      </c>
      <c r="H50" s="357">
        <f>'Reference Score Calculation'!H42</f>
        <v>29.5</v>
      </c>
      <c r="I50" s="357">
        <f>計分版!H63</f>
        <v>3.2500000000000002E-9</v>
      </c>
      <c r="J50" s="352">
        <f>入學要求!C51</f>
        <v>25</v>
      </c>
      <c r="K50" s="364" t="str">
        <f>'Offer Statistics'!I182</f>
        <v>/</v>
      </c>
      <c r="L50" s="386" t="str">
        <f>IFERROR('Offer Statistics'!L182/'Offer Statistics'!D182,"新科目")</f>
        <v>新科目</v>
      </c>
      <c r="M50" s="352">
        <f>入學要求!R51</f>
        <v>0</v>
      </c>
    </row>
    <row r="51" spans="1:13" x14ac:dyDescent="0.3">
      <c r="A51" s="352" t="str">
        <f>'Reference Score Calculation'!A43</f>
        <v>JS1110</v>
      </c>
      <c r="B51" s="352" t="str">
        <f>'Reference Score Calculation'!B43</f>
        <v>CityU</v>
      </c>
      <c r="C51" s="352" t="str">
        <f>'Reference Score Calculation'!D43</f>
        <v>社會及行為科學系 [選項: 社會科學學士(犯罪學及社會學)、社會科學學士(心理學)、社會科學學士(社會工作)]</v>
      </c>
      <c r="D51" s="352" t="str">
        <f>'Reference Score Calculation'!T43</f>
        <v>SS</v>
      </c>
      <c r="E51" s="352" t="str">
        <f>'Reference Score Calculation'!E43</f>
        <v>4C2X</v>
      </c>
      <c r="F51" s="357" t="str">
        <f>'Reference Score Calculation'!F43</f>
        <v>/</v>
      </c>
      <c r="G51" s="357">
        <f>'Reference Score Calculation'!G43</f>
        <v>29</v>
      </c>
      <c r="H51" s="357">
        <f>'Reference Score Calculation'!H43</f>
        <v>28</v>
      </c>
      <c r="I51" s="357">
        <f>計分版!H64</f>
        <v>3.05E-9</v>
      </c>
      <c r="J51" s="352">
        <f>入學要求!C52</f>
        <v>10</v>
      </c>
      <c r="K51" s="364">
        <f>'Offer Statistics'!I183</f>
        <v>22</v>
      </c>
      <c r="L51" s="386">
        <f>IFERROR('Offer Statistics'!L183/'Offer Statistics'!D183,"新科目")</f>
        <v>15.111111111111111</v>
      </c>
      <c r="M51" s="352">
        <f>入學要求!R52</f>
        <v>0</v>
      </c>
    </row>
    <row r="52" spans="1:13" x14ac:dyDescent="0.3">
      <c r="A52" s="352" t="str">
        <f>'Reference Score Calculation'!A44</f>
        <v>JS1111</v>
      </c>
      <c r="B52" s="352" t="str">
        <f>'Reference Score Calculation'!B44</f>
        <v>CityU</v>
      </c>
      <c r="C52" s="352" t="str">
        <f>'Reference Score Calculation'!D44</f>
        <v>社會科學學士(犯罪學及社會學)</v>
      </c>
      <c r="D52" s="352" t="str">
        <f>'Reference Score Calculation'!T44</f>
        <v>BSocScCRSO</v>
      </c>
      <c r="E52" s="352" t="str">
        <f>'Reference Score Calculation'!E44</f>
        <v>4C2X</v>
      </c>
      <c r="F52" s="357" t="str">
        <f>'Reference Score Calculation'!F44</f>
        <v>/</v>
      </c>
      <c r="G52" s="357">
        <f>'Reference Score Calculation'!G44</f>
        <v>28</v>
      </c>
      <c r="H52" s="357">
        <f>'Reference Score Calculation'!H44</f>
        <v>28</v>
      </c>
      <c r="I52" s="357">
        <f>計分版!H65</f>
        <v>3.05E-9</v>
      </c>
      <c r="J52" s="352">
        <f>入學要求!C53</f>
        <v>20</v>
      </c>
      <c r="K52" s="364">
        <f>'Offer Statistics'!I184</f>
        <v>31</v>
      </c>
      <c r="L52" s="386">
        <f>IFERROR('Offer Statistics'!L184/'Offer Statistics'!D184,"新科目")</f>
        <v>12.407407407407407</v>
      </c>
      <c r="M52" s="352">
        <f>入學要求!R53</f>
        <v>0</v>
      </c>
    </row>
    <row r="53" spans="1:13" x14ac:dyDescent="0.3">
      <c r="A53" s="352" t="str">
        <f>'Reference Score Calculation'!A45</f>
        <v>JS1112</v>
      </c>
      <c r="B53" s="352" t="str">
        <f>'Reference Score Calculation'!B45</f>
        <v>CityU</v>
      </c>
      <c r="C53" s="352" t="str">
        <f>'Reference Score Calculation'!D45</f>
        <v>社會科學學士(心理學)</v>
      </c>
      <c r="D53" s="352" t="str">
        <f>'Reference Score Calculation'!T45</f>
        <v>BSocScPSY</v>
      </c>
      <c r="E53" s="352" t="str">
        <f>'Reference Score Calculation'!E45</f>
        <v>4C2X</v>
      </c>
      <c r="F53" s="357" t="str">
        <f>'Reference Score Calculation'!F45</f>
        <v>/</v>
      </c>
      <c r="G53" s="357">
        <f>'Reference Score Calculation'!G45</f>
        <v>30</v>
      </c>
      <c r="H53" s="357">
        <f>'Reference Score Calculation'!H45</f>
        <v>29</v>
      </c>
      <c r="I53" s="357">
        <f>計分版!H66</f>
        <v>3.05E-9</v>
      </c>
      <c r="J53" s="352">
        <f>入學要求!C54</f>
        <v>26</v>
      </c>
      <c r="K53" s="364">
        <f>'Offer Statistics'!I185</f>
        <v>23</v>
      </c>
      <c r="L53" s="386">
        <f>IFERROR('Offer Statistics'!L185/'Offer Statistics'!D185,"新科目")</f>
        <v>19.714285714285715</v>
      </c>
      <c r="M53" s="352">
        <f>入學要求!R54</f>
        <v>0</v>
      </c>
    </row>
    <row r="54" spans="1:13" x14ac:dyDescent="0.3">
      <c r="A54" s="352" t="str">
        <f>'Reference Score Calculation'!A46</f>
        <v>JS1113</v>
      </c>
      <c r="B54" s="352" t="str">
        <f>'Reference Score Calculation'!B46</f>
        <v>CityU</v>
      </c>
      <c r="C54" s="352" t="str">
        <f>'Reference Score Calculation'!D46</f>
        <v>社會科學學士(社會工作)</v>
      </c>
      <c r="D54" s="352" t="str">
        <f>'Reference Score Calculation'!T46</f>
        <v>BSocScSW</v>
      </c>
      <c r="E54" s="352" t="str">
        <f>'Reference Score Calculation'!E46</f>
        <v>4C2X</v>
      </c>
      <c r="F54" s="357" t="str">
        <f>'Reference Score Calculation'!F46</f>
        <v>/</v>
      </c>
      <c r="G54" s="357">
        <f>'Reference Score Calculation'!G46</f>
        <v>29</v>
      </c>
      <c r="H54" s="357">
        <f>'Reference Score Calculation'!H46</f>
        <v>28</v>
      </c>
      <c r="I54" s="357">
        <f>計分版!H67</f>
        <v>3.05E-9</v>
      </c>
      <c r="J54" s="352">
        <f>入學要求!C55</f>
        <v>27</v>
      </c>
      <c r="K54" s="364">
        <f>'Offer Statistics'!I186</f>
        <v>42</v>
      </c>
      <c r="L54" s="386">
        <f>IFERROR('Offer Statistics'!L186/'Offer Statistics'!D186,"新科目")</f>
        <v>18.238095238095237</v>
      </c>
      <c r="M54" s="352">
        <f>入學要求!R55</f>
        <v>0</v>
      </c>
    </row>
    <row r="55" spans="1:13" x14ac:dyDescent="0.3">
      <c r="A55" s="352" t="str">
        <f>'Reference Score Calculation'!A47</f>
        <v>JS1122</v>
      </c>
      <c r="B55" s="352" t="str">
        <f>'Reference Score Calculation'!B47</f>
        <v>CityU</v>
      </c>
      <c r="C55" s="352" t="str">
        <f>'Reference Score Calculation'!D47</f>
        <v>社會科學學士(公共政策)與法律學學士</v>
      </c>
      <c r="D55" s="352" t="str">
        <f>'Reference Score Calculation'!T47</f>
        <v>BSocScPP&amp;LLB</v>
      </c>
      <c r="E55" s="352" t="str">
        <f>'Reference Score Calculation'!AD47</f>
        <v>4C2X</v>
      </c>
      <c r="F55" s="357" t="str">
        <f>'Reference Score Calculation'!F47</f>
        <v>/</v>
      </c>
      <c r="G55" s="357" t="str">
        <f>'Reference Score Calculation'!G47</f>
        <v>/</v>
      </c>
      <c r="H55" s="357" t="str">
        <f>'Reference Score Calculation'!H47</f>
        <v>/</v>
      </c>
      <c r="I55" s="357">
        <f>計分版!H68</f>
        <v>2.8499999999999999E-9</v>
      </c>
      <c r="J55" s="352">
        <f>入學要求!C56</f>
        <v>10</v>
      </c>
      <c r="K55" s="364" t="str">
        <f>'Offer Statistics'!I187</f>
        <v>/</v>
      </c>
      <c r="L55" s="386" t="str">
        <f>IFERROR('Offer Statistics'!L187/'Offer Statistics'!D187,"新科目")</f>
        <v>新科目</v>
      </c>
      <c r="M55" s="352">
        <f>入學要求!R56</f>
        <v>0</v>
      </c>
    </row>
    <row r="56" spans="1:13" x14ac:dyDescent="0.3">
      <c r="A56" s="352" t="str">
        <f>'Reference Score Calculation'!A48</f>
        <v>JS1123</v>
      </c>
      <c r="B56" s="352" t="str">
        <f>'Reference Score Calculation'!B48</f>
        <v>CityU</v>
      </c>
      <c r="C56" s="352" t="str">
        <f>'Reference Score Calculation'!D48</f>
        <v>社會科學學士(犯罪學)與法律學學士</v>
      </c>
      <c r="D56" s="352" t="str">
        <f>'Reference Score Calculation'!T48</f>
        <v>BSocScCR&amp;LLB</v>
      </c>
      <c r="E56" s="352" t="str">
        <f>'Reference Score Calculation'!AD48</f>
        <v>Best 6</v>
      </c>
      <c r="F56" s="357" t="str">
        <f>'Reference Score Calculation'!F48</f>
        <v>/</v>
      </c>
      <c r="G56" s="357" t="str">
        <f>'Reference Score Calculation'!G48</f>
        <v>/</v>
      </c>
      <c r="H56" s="357" t="str">
        <f>'Reference Score Calculation'!H48</f>
        <v>/</v>
      </c>
      <c r="I56" s="357">
        <f>計分版!H69</f>
        <v>4.1499999999999999E-9</v>
      </c>
      <c r="J56" s="352">
        <f>入學要求!C57</f>
        <v>10</v>
      </c>
      <c r="K56" s="364" t="str">
        <f>'Offer Statistics'!I188</f>
        <v>/</v>
      </c>
      <c r="L56" s="386" t="str">
        <f>IFERROR('Offer Statistics'!L188/'Offer Statistics'!D188,"新科目")</f>
        <v>新科目</v>
      </c>
      <c r="M56" s="352">
        <f>入學要求!R57</f>
        <v>0</v>
      </c>
    </row>
    <row r="57" spans="1:13" x14ac:dyDescent="0.3">
      <c r="A57" s="352" t="str">
        <f>'Reference Score Calculation'!A49</f>
        <v>JS1200</v>
      </c>
      <c r="B57" s="352" t="str">
        <f>'Reference Score Calculation'!B49</f>
        <v>CityU</v>
      </c>
      <c r="C57" s="352" t="str">
        <f>'Reference Score Calculation'!D49</f>
        <v>環球精研與科創課程</v>
      </c>
      <c r="D57" s="352" t="str">
        <f>'Reference Score Calculation'!T49</f>
        <v>GREAT</v>
      </c>
      <c r="E57" s="352" t="str">
        <f>'Reference Score Calculation'!E49</f>
        <v>Best 5</v>
      </c>
      <c r="F57" s="357" t="str">
        <f>'Reference Score Calculation'!F49</f>
        <v>/</v>
      </c>
      <c r="G57" s="357">
        <f>'Reference Score Calculation'!G49</f>
        <v>51</v>
      </c>
      <c r="H57" s="357">
        <f>'Reference Score Calculation'!H49</f>
        <v>50.5</v>
      </c>
      <c r="I57" s="357">
        <f>計分版!H70</f>
        <v>4.4000000000000005E-9</v>
      </c>
      <c r="J57" s="352">
        <f>入學要求!C58</f>
        <v>9</v>
      </c>
      <c r="K57" s="364">
        <f>'Offer Statistics'!I189</f>
        <v>3</v>
      </c>
      <c r="L57" s="386">
        <f>IFERROR('Offer Statistics'!L189/'Offer Statistics'!D189,"新科目")</f>
        <v>10</v>
      </c>
      <c r="M57" s="352">
        <f>入學要求!R58</f>
        <v>0</v>
      </c>
    </row>
    <row r="58" spans="1:13" x14ac:dyDescent="0.3">
      <c r="A58" s="352" t="str">
        <f>'Reference Score Calculation'!A50</f>
        <v>JS1201</v>
      </c>
      <c r="B58" s="352" t="str">
        <f>'Reference Score Calculation'!B50</f>
        <v>CityU</v>
      </c>
      <c r="C58" s="352" t="str">
        <f>'Reference Score Calculation'!D50</f>
        <v>建築學及土木工程學系 [選項: 工學士(建築工程)、工學士(土木工程)、理學士(測量學)]</v>
      </c>
      <c r="D58" s="352" t="str">
        <f>'Reference Score Calculation'!T50</f>
        <v>ACE</v>
      </c>
      <c r="E58" s="352" t="str">
        <f>'Reference Score Calculation'!E50</f>
        <v>Best 6</v>
      </c>
      <c r="F58" s="357" t="str">
        <f>'Reference Score Calculation'!F50</f>
        <v>/</v>
      </c>
      <c r="G58" s="357">
        <f>'Reference Score Calculation'!G50</f>
        <v>41.5</v>
      </c>
      <c r="H58" s="357">
        <f>'Reference Score Calculation'!H50</f>
        <v>39</v>
      </c>
      <c r="I58" s="357">
        <f>計分版!H71</f>
        <v>4.9E-9</v>
      </c>
      <c r="J58" s="352">
        <f>入學要求!C59</f>
        <v>97</v>
      </c>
      <c r="K58" s="364">
        <f>'Offer Statistics'!I190</f>
        <v>67</v>
      </c>
      <c r="L58" s="386">
        <f>IFERROR('Offer Statistics'!L190/'Offer Statistics'!D190,"新科目")</f>
        <v>5.1746031746031749</v>
      </c>
      <c r="M58" s="352">
        <f>入學要求!R59</f>
        <v>0</v>
      </c>
    </row>
    <row r="59" spans="1:13" x14ac:dyDescent="0.3">
      <c r="A59" s="352" t="str">
        <f>'Reference Score Calculation'!A51</f>
        <v>JS1202</v>
      </c>
      <c r="B59" s="352" t="str">
        <f>'Reference Score Calculation'!B51</f>
        <v>CityU</v>
      </c>
      <c r="C59" s="352" t="str">
        <f>'Reference Score Calculation'!D51</f>
        <v>理學士(化學)</v>
      </c>
      <c r="D59" s="352" t="str">
        <f>'Reference Score Calculation'!T51</f>
        <v>BScCHEM</v>
      </c>
      <c r="E59" s="352" t="str">
        <f>'Reference Score Calculation'!E51</f>
        <v>Best 5</v>
      </c>
      <c r="F59" s="357" t="str">
        <f>'Reference Score Calculation'!F51</f>
        <v>/</v>
      </c>
      <c r="G59" s="357">
        <f>'Reference Score Calculation'!G51</f>
        <v>28</v>
      </c>
      <c r="H59" s="357">
        <f>'Reference Score Calculation'!H51</f>
        <v>27</v>
      </c>
      <c r="I59" s="357">
        <f>計分版!H72</f>
        <v>3.9500000000000006E-9</v>
      </c>
      <c r="J59" s="352">
        <f>入學要求!C60</f>
        <v>46</v>
      </c>
      <c r="K59" s="364">
        <f>'Offer Statistics'!I191</f>
        <v>48</v>
      </c>
      <c r="L59" s="386">
        <f>IFERROR('Offer Statistics'!L191/'Offer Statistics'!D191,"新科目")</f>
        <v>5.7560975609756095</v>
      </c>
      <c r="M59" s="352">
        <f>入學要求!R60</f>
        <v>0</v>
      </c>
    </row>
    <row r="60" spans="1:13" x14ac:dyDescent="0.3">
      <c r="A60" s="352" t="str">
        <f>'Reference Score Calculation'!A52</f>
        <v>JS1204</v>
      </c>
      <c r="B60" s="352" t="str">
        <f>'Reference Score Calculation'!B52</f>
        <v>CityU</v>
      </c>
      <c r="C60" s="352" t="str">
        <f>'Reference Score Calculation'!D52</f>
        <v>理學士(電腦科學)</v>
      </c>
      <c r="D60" s="352" t="str">
        <f>'Reference Score Calculation'!T52</f>
        <v>BScCSC</v>
      </c>
      <c r="E60" s="352" t="str">
        <f>'Reference Score Calculation'!E52</f>
        <v>Best 5</v>
      </c>
      <c r="F60" s="357" t="str">
        <f>'Reference Score Calculation'!F52</f>
        <v>/</v>
      </c>
      <c r="G60" s="357">
        <f>'Reference Score Calculation'!G52</f>
        <v>20</v>
      </c>
      <c r="H60" s="357">
        <f>'Reference Score Calculation'!H52</f>
        <v>19</v>
      </c>
      <c r="I60" s="357">
        <f>計分版!H73</f>
        <v>2.8499999999999999E-9</v>
      </c>
      <c r="J60" s="352">
        <f>入學要求!C61</f>
        <v>97</v>
      </c>
      <c r="K60" s="364">
        <f>'Offer Statistics'!I192</f>
        <v>111</v>
      </c>
      <c r="L60" s="386">
        <f>IFERROR('Offer Statistics'!L192/'Offer Statistics'!D192,"新科目")</f>
        <v>5.9905660377358494</v>
      </c>
      <c r="M60" s="352">
        <f>入學要求!R61</f>
        <v>0</v>
      </c>
    </row>
    <row r="61" spans="1:13" x14ac:dyDescent="0.3">
      <c r="A61" s="352" t="str">
        <f>'Reference Score Calculation'!A53</f>
        <v>JS1205</v>
      </c>
      <c r="B61" s="352" t="str">
        <f>'Reference Score Calculation'!B53</f>
        <v>CityU</v>
      </c>
      <c r="C61" s="352" t="str">
        <f>'Reference Score Calculation'!D53</f>
        <v>電機工程學系 [選項: 工學士(電子計算機及數據工程學)、工學士(電子及電機工程學)、工學士(資訊工程學)]</v>
      </c>
      <c r="D61" s="352" t="str">
        <f>'Reference Score Calculation'!T53</f>
        <v>EE</v>
      </c>
      <c r="E61" s="352" t="str">
        <f>'Reference Score Calculation'!E53</f>
        <v>Best 5</v>
      </c>
      <c r="F61" s="357" t="str">
        <f>'Reference Score Calculation'!F53</f>
        <v>/</v>
      </c>
      <c r="G61" s="357">
        <f>'Reference Score Calculation'!G53</f>
        <v>32</v>
      </c>
      <c r="H61" s="357">
        <f>'Reference Score Calculation'!H53</f>
        <v>30</v>
      </c>
      <c r="I61" s="357">
        <f>計分版!H74</f>
        <v>3.8500000000000006E-9</v>
      </c>
      <c r="J61" s="352">
        <f>入學要求!C62</f>
        <v>174</v>
      </c>
      <c r="K61" s="364">
        <f>'Offer Statistics'!I193</f>
        <v>89</v>
      </c>
      <c r="L61" s="386">
        <f>IFERROR('Offer Statistics'!L193/'Offer Statistics'!D193,"新科目")</f>
        <v>5.7261904761904763</v>
      </c>
      <c r="M61" s="352">
        <f>入學要求!R62</f>
        <v>0</v>
      </c>
    </row>
    <row r="62" spans="1:13" x14ac:dyDescent="0.3">
      <c r="A62" s="352" t="str">
        <f>'Reference Score Calculation'!A54</f>
        <v>JS1206</v>
      </c>
      <c r="B62" s="352" t="str">
        <f>'Reference Score Calculation'!B54</f>
        <v>CityU</v>
      </c>
      <c r="C62" s="352" t="str">
        <f>'Reference Score Calculation'!D54</f>
        <v>理學士(計算數學)</v>
      </c>
      <c r="D62" s="352" t="str">
        <f>'Reference Score Calculation'!T54</f>
        <v>BScCM</v>
      </c>
      <c r="E62" s="352" t="str">
        <f>'Reference Score Calculation'!E54</f>
        <v>Best 5</v>
      </c>
      <c r="F62" s="357" t="str">
        <f>'Reference Score Calculation'!F54</f>
        <v>/</v>
      </c>
      <c r="G62" s="357">
        <f>'Reference Score Calculation'!G54</f>
        <v>33</v>
      </c>
      <c r="H62" s="357">
        <f>'Reference Score Calculation'!H54</f>
        <v>30</v>
      </c>
      <c r="I62" s="357">
        <f>計分版!H75</f>
        <v>4.4000000000000005E-9</v>
      </c>
      <c r="J62" s="352">
        <f>入學要求!C63</f>
        <v>31</v>
      </c>
      <c r="K62" s="364">
        <f>'Offer Statistics'!I194</f>
        <v>22</v>
      </c>
      <c r="L62" s="386">
        <f>IFERROR('Offer Statistics'!L194/'Offer Statistics'!D194,"新科目")</f>
        <v>7.5294117647058822</v>
      </c>
      <c r="M62" s="352">
        <f>入學要求!R63</f>
        <v>0</v>
      </c>
    </row>
    <row r="63" spans="1:13" x14ac:dyDescent="0.3">
      <c r="A63" s="352" t="str">
        <f>'Reference Score Calculation'!A55</f>
        <v>JS1207</v>
      </c>
      <c r="B63" s="352" t="str">
        <f>'Reference Score Calculation'!B55</f>
        <v>CityU</v>
      </c>
      <c r="C63" s="352" t="str">
        <f>'Reference Score Calculation'!D55</f>
        <v>機械工程學系 [選項: 工學士(機械工程)、工學士(核子及風險工程)]</v>
      </c>
      <c r="D63" s="352" t="str">
        <f>'Reference Score Calculation'!T55</f>
        <v>MNE</v>
      </c>
      <c r="E63" s="352" t="str">
        <f>'Reference Score Calculation'!E55</f>
        <v>Best 6</v>
      </c>
      <c r="F63" s="357" t="str">
        <f>'Reference Score Calculation'!F55</f>
        <v>/</v>
      </c>
      <c r="G63" s="357">
        <f>'Reference Score Calculation'!G55</f>
        <v>32.5</v>
      </c>
      <c r="H63" s="357">
        <f>'Reference Score Calculation'!H55</f>
        <v>31</v>
      </c>
      <c r="I63" s="357">
        <f>計分版!H76</f>
        <v>4.7000000000000007E-9</v>
      </c>
      <c r="J63" s="352">
        <f>入學要求!C64</f>
        <v>106</v>
      </c>
      <c r="K63" s="364">
        <f>'Offer Statistics'!I195</f>
        <v>31</v>
      </c>
      <c r="L63" s="386">
        <f>IFERROR('Offer Statistics'!L195/'Offer Statistics'!D195,"新科目")</f>
        <v>6.7241379310344831</v>
      </c>
      <c r="M63" s="352">
        <f>入學要求!R64</f>
        <v>0</v>
      </c>
    </row>
    <row r="64" spans="1:13" x14ac:dyDescent="0.3">
      <c r="A64" s="352" t="str">
        <f>'Reference Score Calculation'!A56</f>
        <v>JS1208</v>
      </c>
      <c r="B64" s="352" t="str">
        <f>'Reference Score Calculation'!B56</f>
        <v>CityU</v>
      </c>
      <c r="C64" s="352" t="str">
        <f>'Reference Score Calculation'!D56</f>
        <v>理學士(物理學)</v>
      </c>
      <c r="D64" s="352" t="str">
        <f>'Reference Score Calculation'!T56</f>
        <v>BScPHY</v>
      </c>
      <c r="E64" s="352" t="str">
        <f>'Reference Score Calculation'!E56</f>
        <v>Best 5</v>
      </c>
      <c r="F64" s="357" t="str">
        <f>'Reference Score Calculation'!F56</f>
        <v>/</v>
      </c>
      <c r="G64" s="357">
        <f>'Reference Score Calculation'!G56</f>
        <v>25</v>
      </c>
      <c r="H64" s="357">
        <f>'Reference Score Calculation'!H56</f>
        <v>25</v>
      </c>
      <c r="I64" s="357">
        <f>計分版!H77</f>
        <v>3.7750000000000007E-9</v>
      </c>
      <c r="J64" s="352">
        <f>入學要求!C65</f>
        <v>22</v>
      </c>
      <c r="K64" s="364">
        <f>'Offer Statistics'!I196</f>
        <v>13</v>
      </c>
      <c r="L64" s="386">
        <f>IFERROR('Offer Statistics'!L196/'Offer Statistics'!D196,"新科目")</f>
        <v>7.8</v>
      </c>
      <c r="M64" s="352">
        <f>入學要求!R65</f>
        <v>0</v>
      </c>
    </row>
    <row r="65" spans="1:13" x14ac:dyDescent="0.3">
      <c r="A65" s="352" t="str">
        <f>'Reference Score Calculation'!A57</f>
        <v>JS1210</v>
      </c>
      <c r="B65" s="352" t="str">
        <f>'Reference Score Calculation'!B57</f>
        <v>CityU</v>
      </c>
      <c r="C65" s="352" t="str">
        <f>'Reference Score Calculation'!D57</f>
        <v>工學士(材料科學及工程)</v>
      </c>
      <c r="D65" s="352" t="str">
        <f>'Reference Score Calculation'!T57</f>
        <v>BEngMASE</v>
      </c>
      <c r="E65" s="352" t="str">
        <f>'Reference Score Calculation'!E57</f>
        <v>Best 6</v>
      </c>
      <c r="F65" s="357" t="str">
        <f>'Reference Score Calculation'!F57</f>
        <v>/</v>
      </c>
      <c r="G65" s="357">
        <f>'Reference Score Calculation'!G57</f>
        <v>28.5</v>
      </c>
      <c r="H65" s="357">
        <f>'Reference Score Calculation'!H57</f>
        <v>27.5</v>
      </c>
      <c r="I65" s="357">
        <f>計分版!H78</f>
        <v>4.1000000000000003E-9</v>
      </c>
      <c r="J65" s="352">
        <f>入學要求!C66</f>
        <v>29</v>
      </c>
      <c r="K65" s="364">
        <f>'Offer Statistics'!I197</f>
        <v>6</v>
      </c>
      <c r="L65" s="386">
        <f>IFERROR('Offer Statistics'!L197/'Offer Statistics'!D197,"新科目")</f>
        <v>17</v>
      </c>
      <c r="M65" s="352">
        <f>入學要求!R66</f>
        <v>0</v>
      </c>
    </row>
    <row r="66" spans="1:13" x14ac:dyDescent="0.3">
      <c r="A66" s="352" t="str">
        <f>'Reference Score Calculation'!A58</f>
        <v>JS1211</v>
      </c>
      <c r="B66" s="352" t="str">
        <f>'Reference Score Calculation'!B58</f>
        <v>CityU</v>
      </c>
      <c r="C66" s="352" t="str">
        <f>'Reference Score Calculation'!D58</f>
        <v>工學士(生物醫學工程)</v>
      </c>
      <c r="D66" s="352" t="str">
        <f>'Reference Score Calculation'!T58</f>
        <v>BEngBME</v>
      </c>
      <c r="E66" s="352" t="str">
        <f>'Reference Score Calculation'!E58</f>
        <v>Best 5</v>
      </c>
      <c r="F66" s="357" t="str">
        <f>'Reference Score Calculation'!F58</f>
        <v>/</v>
      </c>
      <c r="G66" s="357">
        <f>'Reference Score Calculation'!G58</f>
        <v>33</v>
      </c>
      <c r="H66" s="357">
        <f>'Reference Score Calculation'!H58</f>
        <v>32</v>
      </c>
      <c r="I66" s="357">
        <f>計分版!H79</f>
        <v>4.3500000000000001E-9</v>
      </c>
      <c r="J66" s="352">
        <f>入學要求!C67</f>
        <v>43</v>
      </c>
      <c r="K66" s="364">
        <f>'Offer Statistics'!I198</f>
        <v>40</v>
      </c>
      <c r="L66" s="386">
        <f>IFERROR('Offer Statistics'!L198/'Offer Statistics'!D198,"新科目")</f>
        <v>6.375</v>
      </c>
      <c r="M66" s="352">
        <f>入學要求!R67</f>
        <v>0</v>
      </c>
    </row>
    <row r="67" spans="1:13" x14ac:dyDescent="0.3">
      <c r="A67" s="352" t="str">
        <f>'Reference Score Calculation'!A59</f>
        <v>JS1216</v>
      </c>
      <c r="B67" s="352" t="str">
        <f>'Reference Score Calculation'!B59</f>
        <v>CityU</v>
      </c>
      <c r="C67" s="352" t="str">
        <f>'Reference Score Calculation'!D59</f>
        <v>工學士(智能製造工程學)</v>
      </c>
      <c r="D67" s="352" t="str">
        <f>'Reference Score Calculation'!T59</f>
        <v>ITME</v>
      </c>
      <c r="E67" s="352" t="str">
        <f>'Reference Score Calculation'!E59</f>
        <v>Best 5</v>
      </c>
      <c r="F67" s="357" t="str">
        <f>'Reference Score Calculation'!F59</f>
        <v>/</v>
      </c>
      <c r="G67" s="357">
        <f>'Reference Score Calculation'!G59</f>
        <v>30</v>
      </c>
      <c r="H67" s="357">
        <f>'Reference Score Calculation'!H59</f>
        <v>27</v>
      </c>
      <c r="I67" s="357">
        <f>計分版!H80</f>
        <v>3.3500000000000002E-9</v>
      </c>
      <c r="J67" s="352">
        <f>入學要求!C68</f>
        <v>24</v>
      </c>
      <c r="K67" s="364">
        <f>'Offer Statistics'!I199</f>
        <v>7</v>
      </c>
      <c r="L67" s="386">
        <f>IFERROR('Offer Statistics'!L199/'Offer Statistics'!D199,"新科目")</f>
        <v>5.5714285714285712</v>
      </c>
      <c r="M67" s="352">
        <f>入學要求!R68</f>
        <v>0</v>
      </c>
    </row>
    <row r="68" spans="1:13" x14ac:dyDescent="0.3">
      <c r="A68" s="352" t="str">
        <f>'Reference Score Calculation'!A60</f>
        <v>JS1217</v>
      </c>
      <c r="B68" s="352" t="str">
        <f>'Reference Score Calculation'!B60</f>
        <v>CityU</v>
      </c>
      <c r="C68" s="352" t="str">
        <f>'Reference Score Calculation'!D60</f>
        <v>工學院(選項: 工學院任何一個主修及工程創業副修)</v>
      </c>
      <c r="D68" s="352" t="str">
        <f>'Reference Score Calculation'!T60</f>
        <v>CENG</v>
      </c>
      <c r="E68" s="352" t="str">
        <f>'Reference Score Calculation'!AD60</f>
        <v>Best 6</v>
      </c>
      <c r="F68" s="357" t="str">
        <f>'Reference Score Calculation'!F60</f>
        <v>/</v>
      </c>
      <c r="G68" s="357" t="str">
        <f>'Reference Score Calculation'!G60</f>
        <v>/</v>
      </c>
      <c r="H68" s="357" t="str">
        <f>'Reference Score Calculation'!H60</f>
        <v>/</v>
      </c>
      <c r="I68" s="357">
        <f>計分版!H81</f>
        <v>3.8000000000000001E-9</v>
      </c>
      <c r="J68" s="352">
        <f>入學要求!C69</f>
        <v>20</v>
      </c>
      <c r="K68" s="364" t="str">
        <f>'Offer Statistics'!I200</f>
        <v>/</v>
      </c>
      <c r="L68" s="386" t="str">
        <f>IFERROR('Offer Statistics'!L200/'Offer Statistics'!D200,"新科目")</f>
        <v>新科目</v>
      </c>
      <c r="M68" s="352">
        <f>入學要求!R69</f>
        <v>0</v>
      </c>
    </row>
    <row r="69" spans="1:13" x14ac:dyDescent="0.3">
      <c r="A69" s="352" t="str">
        <f>'Reference Score Calculation'!A61</f>
        <v>JS1220</v>
      </c>
      <c r="B69" s="352" t="str">
        <f>'Reference Score Calculation'!B61</f>
        <v>CityU</v>
      </c>
      <c r="C69" s="352" t="str">
        <f>'Reference Score Calculation'!D61</f>
        <v>法律學學士與理學士(計算數學)</v>
      </c>
      <c r="D69" s="352" t="str">
        <f>'Reference Score Calculation'!T61</f>
        <v>LLB&amp;BScCM</v>
      </c>
      <c r="E69" s="352" t="str">
        <f>'Reference Score Calculation'!AD61</f>
        <v>Best 5</v>
      </c>
      <c r="F69" s="357" t="str">
        <f>'Reference Score Calculation'!F61</f>
        <v>/</v>
      </c>
      <c r="G69" s="357" t="str">
        <f>'Reference Score Calculation'!G61</f>
        <v>/</v>
      </c>
      <c r="H69" s="357" t="str">
        <f>'Reference Score Calculation'!H61</f>
        <v>/</v>
      </c>
      <c r="I69" s="357">
        <f>計分版!H82</f>
        <v>3.2500000000000002E-9</v>
      </c>
      <c r="J69" s="352">
        <f>入學要求!C70</f>
        <v>9</v>
      </c>
      <c r="K69" s="364" t="str">
        <f>'Offer Statistics'!I201</f>
        <v>/</v>
      </c>
      <c r="L69" s="386" t="str">
        <f>IFERROR('Offer Statistics'!L201/'Offer Statistics'!D201,"新科目")</f>
        <v>新科目</v>
      </c>
      <c r="M69" s="352">
        <f>入學要求!R70</f>
        <v>0</v>
      </c>
    </row>
    <row r="70" spans="1:13" x14ac:dyDescent="0.3">
      <c r="A70" s="352" t="str">
        <f>'Reference Score Calculation'!A62</f>
        <v>JS1221</v>
      </c>
      <c r="B70" s="352" t="str">
        <f>'Reference Score Calculation'!B62</f>
        <v>CityU</v>
      </c>
      <c r="C70" s="352" t="str">
        <f>'Reference Score Calculation'!D62</f>
        <v>理學士(電腦科學)與理學士(計算金融及金融科技)</v>
      </c>
      <c r="D70" s="352" t="str">
        <f>'Reference Score Calculation'!T62</f>
        <v>BScCS&amp;BScCFFT</v>
      </c>
      <c r="E70" s="352" t="str">
        <f>'Reference Score Calculation'!AD62</f>
        <v>4C2X</v>
      </c>
      <c r="F70" s="357" t="str">
        <f>'Reference Score Calculation'!F62</f>
        <v>/</v>
      </c>
      <c r="G70" s="357" t="str">
        <f>'Reference Score Calculation'!G62</f>
        <v>/</v>
      </c>
      <c r="H70" s="357" t="str">
        <f>'Reference Score Calculation'!H62</f>
        <v>/</v>
      </c>
      <c r="I70" s="357">
        <f>計分版!H83</f>
        <v>2.8499999999999999E-9</v>
      </c>
      <c r="J70" s="352">
        <f>入學要求!C71</f>
        <v>10</v>
      </c>
      <c r="K70" s="364" t="str">
        <f>'Offer Statistics'!I202</f>
        <v>/</v>
      </c>
      <c r="L70" s="386" t="str">
        <f>IFERROR('Offer Statistics'!L202/'Offer Statistics'!D202,"新科目")</f>
        <v>新科目</v>
      </c>
      <c r="M70" s="352">
        <f>入學要求!R71</f>
        <v>0</v>
      </c>
    </row>
    <row r="71" spans="1:13" s="352" customFormat="1" x14ac:dyDescent="0.3">
      <c r="A71" s="352" t="str">
        <f>'Reference Score Calculation'!A63</f>
        <v>JS1801</v>
      </c>
      <c r="B71" s="352" t="str">
        <f>'Reference Score Calculation'!B63</f>
        <v>CityU</v>
      </c>
      <c r="C71" s="352" t="str">
        <f>'Reference Score Calculation'!D63</f>
        <v>獸醫學學士</v>
      </c>
      <c r="D71" s="352" t="str">
        <f>'Reference Score Calculation'!T63</f>
        <v>BVM</v>
      </c>
      <c r="E71" s="352" t="str">
        <f>'Reference Score Calculation'!E63</f>
        <v>Best 6</v>
      </c>
      <c r="F71" s="357" t="str">
        <f>'Reference Score Calculation'!F63</f>
        <v>/</v>
      </c>
      <c r="G71" s="357">
        <f>'Reference Score Calculation'!G63</f>
        <v>34</v>
      </c>
      <c r="H71" s="357">
        <f>'Reference Score Calculation'!H63</f>
        <v>33</v>
      </c>
      <c r="I71" s="357">
        <f>計分版!H84</f>
        <v>2.1999999999999998E-9</v>
      </c>
      <c r="J71" s="352">
        <f>入學要求!C72</f>
        <v>30</v>
      </c>
      <c r="K71" s="364">
        <f>'Offer Statistics'!I203</f>
        <v>10</v>
      </c>
      <c r="L71" s="386">
        <f>IFERROR('Offer Statistics'!L203/'Offer Statistics'!D203,"新科目")</f>
        <v>12.5</v>
      </c>
      <c r="M71" s="352">
        <f>入學要求!R72</f>
        <v>0</v>
      </c>
    </row>
    <row r="72" spans="1:13" s="352" customFormat="1" x14ac:dyDescent="0.3">
      <c r="A72" s="352" t="str">
        <f>'Reference Score Calculation'!A64</f>
        <v>JS1805</v>
      </c>
      <c r="B72" s="352" t="str">
        <f>'Reference Score Calculation'!B64</f>
        <v>CityU</v>
      </c>
      <c r="C72" s="352" t="str">
        <f>'Reference Score Calculation'!D64</f>
        <v>生物醫學系 [選項: 理學士(生物科學)、理學士(生物醫學)]</v>
      </c>
      <c r="D72" s="352" t="str">
        <f>'Reference Score Calculation'!T64</f>
        <v>BMS</v>
      </c>
      <c r="E72" s="352" t="str">
        <f>'Reference Score Calculation'!E64</f>
        <v>4C2X</v>
      </c>
      <c r="F72" s="357" t="str">
        <f>'Reference Score Calculation'!F64</f>
        <v>/</v>
      </c>
      <c r="G72" s="357">
        <f>'Reference Score Calculation'!G64</f>
        <v>38</v>
      </c>
      <c r="H72" s="357">
        <f>'Reference Score Calculation'!H64</f>
        <v>37</v>
      </c>
      <c r="I72" s="357">
        <f>計分版!H85</f>
        <v>3.05E-9</v>
      </c>
      <c r="J72" s="352">
        <f>入學要求!C73</f>
        <v>24</v>
      </c>
      <c r="K72" s="364">
        <f>'Offer Statistics'!I204</f>
        <v>27</v>
      </c>
      <c r="L72" s="386">
        <f>IFERROR('Offer Statistics'!L204/'Offer Statistics'!D204,"新科目")</f>
        <v>5.76</v>
      </c>
      <c r="M72" s="352">
        <f>入學要求!R73</f>
        <v>0</v>
      </c>
    </row>
    <row r="73" spans="1:13" s="352" customFormat="1" x14ac:dyDescent="0.3">
      <c r="A73" s="352" t="str">
        <f>'Reference Score Calculation'!A65</f>
        <v>JS1806</v>
      </c>
      <c r="B73" s="352" t="str">
        <f>'Reference Score Calculation'!B65</f>
        <v>CityU</v>
      </c>
      <c r="C73" s="352" t="str">
        <f>'Reference Score Calculation'!D65</f>
        <v>理學士(生物科學)</v>
      </c>
      <c r="D73" s="352" t="str">
        <f>'Reference Score Calculation'!T65</f>
        <v>BScBISI</v>
      </c>
      <c r="E73" s="352" t="str">
        <f>'Reference Score Calculation'!E65</f>
        <v>4C2X</v>
      </c>
      <c r="F73" s="357" t="str">
        <f>'Reference Score Calculation'!F65</f>
        <v>/</v>
      </c>
      <c r="G73" s="357">
        <f>'Reference Score Calculation'!G65</f>
        <v>35</v>
      </c>
      <c r="H73" s="357">
        <f>'Reference Score Calculation'!H65</f>
        <v>34.5</v>
      </c>
      <c r="I73" s="357">
        <f>計分版!H86</f>
        <v>3.05E-9</v>
      </c>
      <c r="J73" s="352">
        <f>入學要求!C74</f>
        <v>28</v>
      </c>
      <c r="K73" s="364">
        <f>'Offer Statistics'!I205</f>
        <v>33</v>
      </c>
      <c r="L73" s="386">
        <f>IFERROR('Offer Statistics'!L205/'Offer Statistics'!D205,"新科目")</f>
        <v>11.724137931034482</v>
      </c>
      <c r="M73" s="352">
        <f>入學要求!R74</f>
        <v>0</v>
      </c>
    </row>
    <row r="74" spans="1:13" s="352" customFormat="1" x14ac:dyDescent="0.3">
      <c r="A74" s="352" t="str">
        <f>'Reference Score Calculation'!A66</f>
        <v>JS1807</v>
      </c>
      <c r="B74" s="352" t="str">
        <f>'Reference Score Calculation'!B66</f>
        <v>CityU</v>
      </c>
      <c r="C74" s="352" t="str">
        <f>'Reference Score Calculation'!D66</f>
        <v>理學士(生物醫學)</v>
      </c>
      <c r="D74" s="352" t="str">
        <f>'Reference Score Calculation'!T66</f>
        <v>BScBMS</v>
      </c>
      <c r="E74" s="352" t="str">
        <f>'Reference Score Calculation'!E66</f>
        <v>4C2X</v>
      </c>
      <c r="F74" s="357" t="str">
        <f>'Reference Score Calculation'!F66</f>
        <v>/</v>
      </c>
      <c r="G74" s="357">
        <f>'Reference Score Calculation'!G66</f>
        <v>41.5</v>
      </c>
      <c r="H74" s="357">
        <f>'Reference Score Calculation'!H66</f>
        <v>39.5</v>
      </c>
      <c r="I74" s="357">
        <f>計分版!H87</f>
        <v>3.05E-9</v>
      </c>
      <c r="J74" s="352">
        <f>入學要求!C75</f>
        <v>28</v>
      </c>
      <c r="K74" s="364">
        <f>'Offer Statistics'!I206</f>
        <v>29</v>
      </c>
      <c r="L74" s="386">
        <f>IFERROR('Offer Statistics'!L206/'Offer Statistics'!D206,"新科目")</f>
        <v>5.1071428571428568</v>
      </c>
      <c r="M74" s="352">
        <f>入學要求!R75</f>
        <v>0</v>
      </c>
    </row>
    <row r="75" spans="1:13" x14ac:dyDescent="0.3">
      <c r="A75" s="352"/>
      <c r="D75" s="13"/>
      <c r="E75" s="38"/>
      <c r="I75" s="357"/>
      <c r="M75" s="352">
        <f>入學要求!R76</f>
        <v>0</v>
      </c>
    </row>
    <row r="76" spans="1:13" x14ac:dyDescent="0.3">
      <c r="A76" s="352"/>
      <c r="B76" s="54"/>
      <c r="C76" s="54"/>
      <c r="D76" s="54"/>
      <c r="E76" s="55"/>
      <c r="F76" s="87" t="s">
        <v>2021</v>
      </c>
      <c r="G76" s="87" t="s">
        <v>2546</v>
      </c>
      <c r="H76" s="87" t="s">
        <v>2547</v>
      </c>
      <c r="I76" s="87" t="s">
        <v>2010</v>
      </c>
      <c r="J76" s="352" t="s">
        <v>1997</v>
      </c>
      <c r="K76" s="352" t="s">
        <v>2548</v>
      </c>
      <c r="L76" s="425" t="s">
        <v>3211</v>
      </c>
      <c r="M76" s="352" t="str">
        <f>入學要求!R77</f>
        <v>資格</v>
      </c>
    </row>
    <row r="77" spans="1:13" x14ac:dyDescent="0.3">
      <c r="A77" s="352" t="str">
        <f>'Reference Score Calculation'!A69</f>
        <v>JS2020</v>
      </c>
      <c r="B77" s="352" t="str">
        <f>'Reference Score Calculation'!B69</f>
        <v>HKBU</v>
      </c>
      <c r="C77" s="38" t="str">
        <f>'Reference Score Calculation'!D69</f>
        <v>文學士(榮譽) (中國語言文學 / 創意及專業寫作 / 英國語言文學 / 人文學 / 翻譯學)</v>
      </c>
      <c r="D77" s="366" t="str">
        <f>'Reference Score Calculation'!T69</f>
        <v>BA</v>
      </c>
      <c r="E77" s="366" t="str">
        <f>'Reference Score Calculation'!E69</f>
        <v>4C2X</v>
      </c>
      <c r="F77" s="20" t="str">
        <f>'Reference Score Calculation'!F69</f>
        <v>/</v>
      </c>
      <c r="G77" s="357">
        <f>'Reference Score Calculation'!G69</f>
        <v>24</v>
      </c>
      <c r="H77" s="357">
        <f>'Reference Score Calculation'!H69</f>
        <v>25</v>
      </c>
      <c r="I77" s="20">
        <f>計分版!H90</f>
        <v>2.8499999999999999E-9</v>
      </c>
      <c r="J77" s="13">
        <f>入學要求!C78</f>
        <v>105</v>
      </c>
      <c r="K77" s="13">
        <f>'Offer Statistics'!AI95</f>
        <v>64</v>
      </c>
      <c r="L77" s="131">
        <f>IFERROR('Offer Statistics'!V95/'Offer Statistics'!AD95,"新科目")</f>
        <v>8.7704918032786878</v>
      </c>
      <c r="M77" s="352">
        <f>入學要求!R78</f>
        <v>0</v>
      </c>
    </row>
    <row r="78" spans="1:13" x14ac:dyDescent="0.3">
      <c r="A78" s="352" t="str">
        <f>'Reference Score Calculation'!A70</f>
        <v>JS2025</v>
      </c>
      <c r="B78" s="352" t="str">
        <f>'Reference Score Calculation'!B70</f>
        <v>HKBU</v>
      </c>
      <c r="C78" s="366" t="str">
        <f>'Reference Score Calculation'!D70</f>
        <v>宗教、哲學及倫理文學士(榮譽)</v>
      </c>
      <c r="D78" s="366" t="str">
        <f>'Reference Score Calculation'!T70</f>
        <v>BA(RPE)</v>
      </c>
      <c r="E78" s="366" t="str">
        <f>'Reference Score Calculation'!E70</f>
        <v>4C2X</v>
      </c>
      <c r="F78" s="357" t="str">
        <f>'Reference Score Calculation'!F70</f>
        <v>/</v>
      </c>
      <c r="G78" s="357">
        <f>'Reference Score Calculation'!G70</f>
        <v>23</v>
      </c>
      <c r="H78" s="357">
        <f>'Reference Score Calculation'!H70</f>
        <v>23</v>
      </c>
      <c r="I78" s="357">
        <f>計分版!H91</f>
        <v>2.8499999999999999E-9</v>
      </c>
      <c r="J78" s="352">
        <f>入學要求!C79</f>
        <v>15</v>
      </c>
      <c r="K78" s="352">
        <f>'Offer Statistics'!AI96</f>
        <v>10</v>
      </c>
      <c r="L78" s="386">
        <f>IFERROR('Offer Statistics'!V96/'Offer Statistics'!AD96,"新科目")</f>
        <v>10.8</v>
      </c>
      <c r="M78" s="352">
        <f>入學要求!R79</f>
        <v>0</v>
      </c>
    </row>
    <row r="79" spans="1:13" x14ac:dyDescent="0.3">
      <c r="A79" s="352" t="str">
        <f>'Reference Score Calculation'!A71</f>
        <v>JS2060</v>
      </c>
      <c r="B79" s="352" t="str">
        <f>'Reference Score Calculation'!B71</f>
        <v>HKBU</v>
      </c>
      <c r="C79" s="366" t="str">
        <f>'Reference Score Calculation'!D71</f>
        <v>文學士(榮譽) / 音樂學士(榮譽) (音樂 / 創意產業)</v>
      </c>
      <c r="D79" s="366" t="str">
        <f>'Reference Score Calculation'!T71</f>
        <v>BA/BMUS(MUSIC/CI)</v>
      </c>
      <c r="E79" s="366" t="str">
        <f>'Reference Score Calculation'!AD71</f>
        <v>4C2X</v>
      </c>
      <c r="F79" s="357" t="str">
        <f>'Reference Score Calculation'!F71</f>
        <v>/</v>
      </c>
      <c r="G79" s="357" t="str">
        <f>'Reference Score Calculation'!G71</f>
        <v>/</v>
      </c>
      <c r="H79" s="357" t="str">
        <f>'Reference Score Calculation'!H71</f>
        <v>/</v>
      </c>
      <c r="I79" s="357">
        <f>計分版!H92</f>
        <v>2.8499999999999999E-9</v>
      </c>
      <c r="J79" s="352">
        <f>入學要求!C80</f>
        <v>43</v>
      </c>
      <c r="K79" s="352" t="str">
        <f>'Offer Statistics'!AI97</f>
        <v>/</v>
      </c>
      <c r="L79" s="386" t="str">
        <f>IFERROR('Offer Statistics'!V97/'Offer Statistics'!AD97,"新科目")</f>
        <v>新科目</v>
      </c>
      <c r="M79" s="352">
        <f>入學要求!R80</f>
        <v>0</v>
      </c>
    </row>
    <row r="80" spans="1:13" x14ac:dyDescent="0.3">
      <c r="A80" s="352" t="str">
        <f>'Reference Score Calculation'!A72</f>
        <v>JS2110</v>
      </c>
      <c r="B80" s="352" t="str">
        <f>'Reference Score Calculation'!B72</f>
        <v>HKBU</v>
      </c>
      <c r="C80" s="366" t="str">
        <f>'Reference Score Calculation'!D72</f>
        <v>工商管理學士(榮譽) - 會計學專修</v>
      </c>
      <c r="D80" s="366" t="str">
        <f>'Reference Score Calculation'!T72</f>
        <v>BBA(ACCT)</v>
      </c>
      <c r="E80" s="366" t="str">
        <f>'Reference Score Calculation'!E72</f>
        <v>Best 6</v>
      </c>
      <c r="F80" s="357" t="str">
        <f>'Reference Score Calculation'!F72</f>
        <v>/</v>
      </c>
      <c r="G80" s="357">
        <f>'Reference Score Calculation'!G72</f>
        <v>24</v>
      </c>
      <c r="H80" s="357">
        <f>'Reference Score Calculation'!H72</f>
        <v>23.5</v>
      </c>
      <c r="I80" s="357">
        <f>計分版!H93</f>
        <v>3.9000000000000002E-9</v>
      </c>
      <c r="J80" s="352">
        <f>入學要求!C81</f>
        <v>47</v>
      </c>
      <c r="K80" s="352">
        <f>'Offer Statistics'!AI98</f>
        <v>48</v>
      </c>
      <c r="L80" s="386">
        <f>IFERROR('Offer Statistics'!V98/'Offer Statistics'!AD98,"新科目")</f>
        <v>11</v>
      </c>
      <c r="M80" s="352">
        <f>入學要求!R81</f>
        <v>0</v>
      </c>
    </row>
    <row r="81" spans="1:13" x14ac:dyDescent="0.3">
      <c r="A81" s="352" t="str">
        <f>'Reference Score Calculation'!A73</f>
        <v>JS2120</v>
      </c>
      <c r="B81" s="352" t="str">
        <f>'Reference Score Calculation'!B73</f>
        <v>HKBU</v>
      </c>
      <c r="C81" s="366" t="str">
        <f>'Reference Score Calculation'!D73</f>
        <v>工商管理學士(榮譽)</v>
      </c>
      <c r="D81" s="366" t="str">
        <f>'Reference Score Calculation'!T73</f>
        <v>BBA</v>
      </c>
      <c r="E81" s="366" t="str">
        <f>'Reference Score Calculation'!E73</f>
        <v>Best 6</v>
      </c>
      <c r="F81" s="357" t="str">
        <f>'Reference Score Calculation'!F73</f>
        <v>/</v>
      </c>
      <c r="G81" s="357">
        <f>'Reference Score Calculation'!G73</f>
        <v>23.5</v>
      </c>
      <c r="H81" s="357">
        <f>'Reference Score Calculation'!H73</f>
        <v>23.5</v>
      </c>
      <c r="I81" s="357">
        <f>計分版!H94</f>
        <v>3.9000000000000002E-9</v>
      </c>
      <c r="J81" s="352">
        <f>入學要求!C82</f>
        <v>187</v>
      </c>
      <c r="K81" s="352">
        <f>'Offer Statistics'!AI99</f>
        <v>213</v>
      </c>
      <c r="L81" s="386">
        <f>IFERROR('Offer Statistics'!V99/'Offer Statistics'!AD99,"新科目")</f>
        <v>7.962025316455696</v>
      </c>
      <c r="M81" s="352">
        <f>入學要求!R82</f>
        <v>0</v>
      </c>
    </row>
    <row r="82" spans="1:13" x14ac:dyDescent="0.3">
      <c r="A82" s="352" t="str">
        <f>'Reference Score Calculation'!A74</f>
        <v>JS2310</v>
      </c>
      <c r="B82" s="352" t="str">
        <f>'Reference Score Calculation'!B74</f>
        <v>HKBU</v>
      </c>
      <c r="C82" s="366" t="str">
        <f>'Reference Score Calculation'!D74</f>
        <v>傳理學學士(榮譽) (新聞與數碼媒體 / 公關及廣告)</v>
      </c>
      <c r="D82" s="366" t="str">
        <f>'Reference Score Calculation'!T74</f>
        <v>BCOMM</v>
      </c>
      <c r="E82" s="366" t="str">
        <f>'Reference Score Calculation'!AD74</f>
        <v>Best 5</v>
      </c>
      <c r="F82" s="357" t="str">
        <f>'Reference Score Calculation'!F74</f>
        <v>/</v>
      </c>
      <c r="G82" s="357" t="str">
        <f>'Reference Score Calculation'!G74</f>
        <v>/</v>
      </c>
      <c r="H82" s="357" t="str">
        <f>'Reference Score Calculation'!H74</f>
        <v>/</v>
      </c>
      <c r="I82" s="357">
        <f>計分版!H95</f>
        <v>3.0250000000000006E-9</v>
      </c>
      <c r="J82" s="352">
        <f>入學要求!C83</f>
        <v>77</v>
      </c>
      <c r="K82" s="352">
        <f>'Offer Statistics'!AI100</f>
        <v>89</v>
      </c>
      <c r="L82" s="386">
        <f>IFERROR('Offer Statistics'!V100/'Offer Statistics'!AD100,"新科目")</f>
        <v>6.666666666666667</v>
      </c>
      <c r="M82" s="352">
        <f>入學要求!R83</f>
        <v>0</v>
      </c>
    </row>
    <row r="83" spans="1:13" x14ac:dyDescent="0.3">
      <c r="A83" s="352" t="str">
        <f>'Reference Score Calculation'!A75</f>
        <v>JS2330</v>
      </c>
      <c r="B83" s="352" t="str">
        <f>'Reference Score Calculation'!B75</f>
        <v>HKBU</v>
      </c>
      <c r="C83" s="366" t="str">
        <f>'Reference Score Calculation'!D75</f>
        <v>傳理學學士(榮譽) - 電影主修 - 電影電視專修</v>
      </c>
      <c r="D83" s="366" t="str">
        <f>'Reference Score Calculation'!T75</f>
        <v>BCOMM(FTV)</v>
      </c>
      <c r="E83" s="366" t="str">
        <f>'Reference Score Calculation'!E75</f>
        <v>Best 5</v>
      </c>
      <c r="F83" s="357" t="str">
        <f>'Reference Score Calculation'!F75</f>
        <v>/</v>
      </c>
      <c r="G83" s="357">
        <f>'Reference Score Calculation'!G75</f>
        <v>24</v>
      </c>
      <c r="H83" s="357">
        <f>'Reference Score Calculation'!H75</f>
        <v>23</v>
      </c>
      <c r="I83" s="357">
        <f>計分版!H96</f>
        <v>3.0250000000000006E-9</v>
      </c>
      <c r="J83" s="352">
        <f>入學要求!C84</f>
        <v>18</v>
      </c>
      <c r="K83" s="352">
        <f>'Offer Statistics'!AI101</f>
        <v>23</v>
      </c>
      <c r="L83" s="386">
        <f>IFERROR('Offer Statistics'!V101/'Offer Statistics'!AD101,"新科目")</f>
        <v>21.695652173913043</v>
      </c>
      <c r="M83" s="352">
        <f>入學要求!R84</f>
        <v>0</v>
      </c>
    </row>
    <row r="84" spans="1:13" x14ac:dyDescent="0.3">
      <c r="A84" s="352" t="str">
        <f>'Reference Score Calculation'!A76</f>
        <v>JS2340</v>
      </c>
      <c r="B84" s="352" t="str">
        <f>'Reference Score Calculation'!B76</f>
        <v>HKBU</v>
      </c>
      <c r="C84" s="366" t="str">
        <f>'Reference Score Calculation'!D76</f>
        <v>環球螢幕演技藝術學士(榮譽)</v>
      </c>
      <c r="D84" s="366" t="str">
        <f>'Reference Score Calculation'!T76</f>
        <v>BFA(AGS)</v>
      </c>
      <c r="E84" s="366" t="str">
        <f>'Reference Score Calculation'!E76</f>
        <v>Best 5</v>
      </c>
      <c r="F84" s="357" t="str">
        <f>'Reference Score Calculation'!F76</f>
        <v>/</v>
      </c>
      <c r="G84" s="357">
        <f>'Reference Score Calculation'!G76</f>
        <v>19</v>
      </c>
      <c r="H84" s="357">
        <f>'Reference Score Calculation'!H76</f>
        <v>19</v>
      </c>
      <c r="I84" s="357">
        <f>計分版!H97</f>
        <v>3.5500000000000004E-9</v>
      </c>
      <c r="J84" s="352">
        <f>入學要求!C85</f>
        <v>8</v>
      </c>
      <c r="K84" s="352">
        <f>'Offer Statistics'!AI102</f>
        <v>10</v>
      </c>
      <c r="L84" s="386">
        <f>IFERROR('Offer Statistics'!V102/'Offer Statistics'!AD102,"新科目")</f>
        <v>10.199999999999999</v>
      </c>
      <c r="M84" s="352">
        <f>入學要求!R85</f>
        <v>0</v>
      </c>
    </row>
    <row r="85" spans="1:13" x14ac:dyDescent="0.3">
      <c r="A85" s="352" t="str">
        <f>'Reference Score Calculation'!A77</f>
        <v>JS2370</v>
      </c>
      <c r="B85" s="352" t="str">
        <f>'Reference Score Calculation'!B77</f>
        <v>HKBU</v>
      </c>
      <c r="C85" s="366" t="str">
        <f>'Reference Score Calculation'!D77</f>
        <v>傳理學學士(榮譽) - 遊戲設計與動畫主修</v>
      </c>
      <c r="D85" s="366" t="str">
        <f>'Reference Score Calculation'!T77</f>
        <v>BCOMM(GDA)</v>
      </c>
      <c r="E85" s="366" t="str">
        <f>'Reference Score Calculation'!AD77</f>
        <v>Best 5</v>
      </c>
      <c r="F85" s="357" t="str">
        <f>'Reference Score Calculation'!F77</f>
        <v>/</v>
      </c>
      <c r="G85" s="357" t="str">
        <f>'Reference Score Calculation'!G77</f>
        <v>/</v>
      </c>
      <c r="H85" s="357" t="str">
        <f>'Reference Score Calculation'!H77</f>
        <v>/</v>
      </c>
      <c r="I85" s="357">
        <f>計分版!H98</f>
        <v>3.0250000000000006E-9</v>
      </c>
      <c r="J85" s="352">
        <f>入學要求!C86</f>
        <v>20</v>
      </c>
      <c r="K85" s="352">
        <f>'Offer Statistics'!AI103</f>
        <v>11</v>
      </c>
      <c r="L85" s="386">
        <f>IFERROR('Offer Statistics'!V103/'Offer Statistics'!AD103,"新科目")</f>
        <v>43.636363636363633</v>
      </c>
      <c r="M85" s="352">
        <f>入學要求!R86</f>
        <v>0</v>
      </c>
    </row>
    <row r="86" spans="1:13" x14ac:dyDescent="0.3">
      <c r="A86" s="352" t="str">
        <f>'Reference Score Calculation'!A78</f>
        <v>JS2410</v>
      </c>
      <c r="B86" s="352" t="str">
        <f>'Reference Score Calculation'!B78</f>
        <v>HKBU</v>
      </c>
      <c r="C86" s="366" t="str">
        <f>'Reference Score Calculation'!D78</f>
        <v>中醫學學士及生物醫學理學士(榮譽)</v>
      </c>
      <c r="D86" s="366" t="str">
        <f>'Reference Score Calculation'!T78</f>
        <v>BCM&amp;BSc(BIOMED)</v>
      </c>
      <c r="E86" s="366" t="str">
        <f>'Reference Score Calculation'!E78</f>
        <v>Best 5</v>
      </c>
      <c r="F86" s="357" t="str">
        <f>'Reference Score Calculation'!F78</f>
        <v>/</v>
      </c>
      <c r="G86" s="357">
        <f>'Reference Score Calculation'!G78</f>
        <v>33.75</v>
      </c>
      <c r="H86" s="357">
        <f>'Reference Score Calculation'!H78</f>
        <v>30.75</v>
      </c>
      <c r="I86" s="357">
        <f>計分版!H99</f>
        <v>3.4999999999999999E-9</v>
      </c>
      <c r="J86" s="352">
        <f>入學要求!C87</f>
        <v>40</v>
      </c>
      <c r="K86" s="352">
        <f>'Offer Statistics'!AI104</f>
        <v>30</v>
      </c>
      <c r="L86" s="386">
        <f>IFERROR('Offer Statistics'!V104/'Offer Statistics'!AD104,"新科目")</f>
        <v>6.7586206896551726</v>
      </c>
      <c r="M86" s="352">
        <f>入學要求!R87</f>
        <v>0</v>
      </c>
    </row>
    <row r="87" spans="1:13" x14ac:dyDescent="0.3">
      <c r="A87" s="352" t="str">
        <f>'Reference Score Calculation'!A79</f>
        <v>JS2420</v>
      </c>
      <c r="B87" s="352" t="str">
        <f>'Reference Score Calculation'!B79</f>
        <v>HKBU</v>
      </c>
      <c r="C87" s="366" t="str">
        <f>'Reference Score Calculation'!D79</f>
        <v>中藥學學士(榮譽)</v>
      </c>
      <c r="D87" s="366" t="str">
        <f>'Reference Score Calculation'!T79</f>
        <v>BPharm</v>
      </c>
      <c r="E87" s="366" t="str">
        <f>'Reference Score Calculation'!E79</f>
        <v>Best 5</v>
      </c>
      <c r="F87" s="357" t="str">
        <f>'Reference Score Calculation'!F79</f>
        <v>/</v>
      </c>
      <c r="G87" s="357">
        <f>'Reference Score Calculation'!G79</f>
        <v>27.5</v>
      </c>
      <c r="H87" s="357">
        <f>'Reference Score Calculation'!H79</f>
        <v>24.5</v>
      </c>
      <c r="I87" s="357">
        <f>計分版!H100</f>
        <v>3.4999999999999999E-9</v>
      </c>
      <c r="J87" s="352">
        <f>入學要求!C88</f>
        <v>20</v>
      </c>
      <c r="K87" s="352">
        <f>'Offer Statistics'!AI105</f>
        <v>20</v>
      </c>
      <c r="L87" s="386">
        <f>IFERROR('Offer Statistics'!V105/'Offer Statistics'!AD105,"新科目")</f>
        <v>12.875</v>
      </c>
      <c r="M87" s="352">
        <f>入學要求!R88</f>
        <v>0</v>
      </c>
    </row>
    <row r="88" spans="1:13" x14ac:dyDescent="0.3">
      <c r="A88" s="352" t="str">
        <f>'Reference Score Calculation'!A80</f>
        <v>JS2510</v>
      </c>
      <c r="B88" s="352" t="str">
        <f>'Reference Score Calculation'!B80</f>
        <v>HKBU</v>
      </c>
      <c r="C88" s="366" t="str">
        <f>'Reference Score Calculation'!D80</f>
        <v>理學士(榮譽)</v>
      </c>
      <c r="D88" s="366" t="str">
        <f>'Reference Score Calculation'!T80</f>
        <v>BSc</v>
      </c>
      <c r="E88" s="366" t="str">
        <f>'Reference Score Calculation'!E80</f>
        <v>4C2X</v>
      </c>
      <c r="F88" s="357" t="str">
        <f>'Reference Score Calculation'!F80</f>
        <v>/</v>
      </c>
      <c r="G88" s="357">
        <f>'Reference Score Calculation'!G80</f>
        <v>21</v>
      </c>
      <c r="H88" s="357">
        <f>'Reference Score Calculation'!H80</f>
        <v>20</v>
      </c>
      <c r="I88" s="357">
        <f>計分版!H101</f>
        <v>2.8499999999999999E-9</v>
      </c>
      <c r="J88" s="352">
        <f>入學要求!C89</f>
        <v>195</v>
      </c>
      <c r="K88" s="352">
        <f>'Offer Statistics'!AI106</f>
        <v>249</v>
      </c>
      <c r="L88" s="386">
        <f>IFERROR('Offer Statistics'!V106/'Offer Statistics'!AD106,"新科目")</f>
        <v>3.575268817204301</v>
      </c>
      <c r="M88" s="352">
        <f>入學要求!R89</f>
        <v>0</v>
      </c>
    </row>
    <row r="89" spans="1:13" x14ac:dyDescent="0.3">
      <c r="A89" s="352" t="str">
        <f>'Reference Score Calculation'!A81</f>
        <v>JS2610</v>
      </c>
      <c r="B89" s="352" t="str">
        <f>'Reference Score Calculation'!B81</f>
        <v>HKBU</v>
      </c>
      <c r="C89" s="366" t="str">
        <f>'Reference Score Calculation'!D81</f>
        <v>文學士(榮譽) / 社會科學學士(榮譽) (歐洲研究 [法文/德文] / 地理 / 全球及中國研究 / 政治及國際關係學 / 歷史 / 社會學)</v>
      </c>
      <c r="D89" s="366" t="str">
        <f>'Reference Score Calculation'!T81</f>
        <v>BA/BSocSc</v>
      </c>
      <c r="E89" s="366" t="str">
        <f>'Reference Score Calculation'!E81</f>
        <v>4C2X</v>
      </c>
      <c r="F89" s="357" t="str">
        <f>'Reference Score Calculation'!F81</f>
        <v>/</v>
      </c>
      <c r="G89" s="357">
        <f>'Reference Score Calculation'!G81</f>
        <v>28</v>
      </c>
      <c r="H89" s="357">
        <f>'Reference Score Calculation'!H81</f>
        <v>27</v>
      </c>
      <c r="I89" s="357">
        <f>計分版!H102</f>
        <v>3.05E-9</v>
      </c>
      <c r="J89" s="352">
        <f>入學要求!C90</f>
        <v>135</v>
      </c>
      <c r="K89" s="352">
        <f>'Offer Statistics'!AI107</f>
        <v>102</v>
      </c>
      <c r="L89" s="386">
        <f>IFERROR('Offer Statistics'!V107/'Offer Statistics'!AD107,"新科目")</f>
        <v>8.9896907216494846</v>
      </c>
      <c r="M89" s="352">
        <f>入學要求!R90</f>
        <v>0</v>
      </c>
    </row>
    <row r="90" spans="1:13" x14ac:dyDescent="0.3">
      <c r="A90" s="352" t="str">
        <f>'Reference Score Calculation'!A82</f>
        <v>JS2620</v>
      </c>
      <c r="B90" s="352" t="str">
        <f>'Reference Score Calculation'!B82</f>
        <v>HKBU</v>
      </c>
      <c r="C90" s="366" t="str">
        <f>'Reference Score Calculation'!D82</f>
        <v>體育及康樂管理文學士(榮譽)</v>
      </c>
      <c r="D90" s="366" t="str">
        <f>'Reference Score Calculation'!T82</f>
        <v>BA(PERM)</v>
      </c>
      <c r="E90" s="366" t="str">
        <f>'Reference Score Calculation'!E82</f>
        <v>4C2X</v>
      </c>
      <c r="F90" s="357" t="str">
        <f>'Reference Score Calculation'!F82</f>
        <v>/</v>
      </c>
      <c r="G90" s="357">
        <f>'Reference Score Calculation'!G82</f>
        <v>26</v>
      </c>
      <c r="H90" s="357">
        <f>'Reference Score Calculation'!H82</f>
        <v>25</v>
      </c>
      <c r="I90" s="357">
        <f>計分版!H103</f>
        <v>2.8499999999999999E-9</v>
      </c>
      <c r="J90" s="352">
        <f>入學要求!C91</f>
        <v>22</v>
      </c>
      <c r="K90" s="352">
        <f>'Offer Statistics'!AI108</f>
        <v>16</v>
      </c>
      <c r="L90" s="386">
        <f>IFERROR('Offer Statistics'!V108/'Offer Statistics'!AD108,"新科目")</f>
        <v>37.3125</v>
      </c>
      <c r="M90" s="352">
        <f>入學要求!R91</f>
        <v>0</v>
      </c>
    </row>
    <row r="91" spans="1:13" x14ac:dyDescent="0.3">
      <c r="A91" s="352" t="str">
        <f>'Reference Score Calculation'!A83</f>
        <v>JS2660</v>
      </c>
      <c r="B91" s="352" t="str">
        <f>'Reference Score Calculation'!B83</f>
        <v>HKBU</v>
      </c>
      <c r="C91" s="366" t="str">
        <f>'Reference Score Calculation'!D83</f>
        <v>社會工作學士(榮譽)</v>
      </c>
      <c r="D91" s="366" t="str">
        <f>'Reference Score Calculation'!T83</f>
        <v>BSW</v>
      </c>
      <c r="E91" s="366" t="str">
        <f>'Reference Score Calculation'!E83</f>
        <v>4C2X</v>
      </c>
      <c r="F91" s="357" t="str">
        <f>'Reference Score Calculation'!F83</f>
        <v>/</v>
      </c>
      <c r="G91" s="357">
        <f>'Reference Score Calculation'!G83</f>
        <v>31</v>
      </c>
      <c r="H91" s="357">
        <f>'Reference Score Calculation'!H83</f>
        <v>30.5</v>
      </c>
      <c r="I91" s="357">
        <f>計分版!H104</f>
        <v>3.2500000000000002E-9</v>
      </c>
      <c r="J91" s="352">
        <f>入學要求!C92</f>
        <v>30</v>
      </c>
      <c r="K91" s="352">
        <f>'Offer Statistics'!AI109</f>
        <v>37</v>
      </c>
      <c r="L91" s="386">
        <f>IFERROR('Offer Statistics'!V109/'Offer Statistics'!AD109,"新科目")</f>
        <v>23.741935483870968</v>
      </c>
      <c r="M91" s="352">
        <f>入學要求!R92</f>
        <v>0</v>
      </c>
    </row>
    <row r="92" spans="1:13" x14ac:dyDescent="0.3">
      <c r="A92" s="352" t="str">
        <f>'Reference Score Calculation'!A84</f>
        <v>JS2810</v>
      </c>
      <c r="B92" s="352" t="str">
        <f>'Reference Score Calculation'!B84</f>
        <v>HKBU</v>
      </c>
      <c r="C92" s="366" t="str">
        <f>'Reference Score Calculation'!D84</f>
        <v>視覺藝術文學士(榮譽)</v>
      </c>
      <c r="D92" s="366" t="str">
        <f>'Reference Score Calculation'!T84</f>
        <v>BA(VA)</v>
      </c>
      <c r="E92" s="366" t="str">
        <f>'Reference Score Calculation'!E84</f>
        <v>Best 5</v>
      </c>
      <c r="F92" s="357" t="str">
        <f>'Reference Score Calculation'!F84</f>
        <v>/</v>
      </c>
      <c r="G92" s="357">
        <f>'Reference Score Calculation'!G84</f>
        <v>21</v>
      </c>
      <c r="H92" s="357">
        <f>'Reference Score Calculation'!H84</f>
        <v>20</v>
      </c>
      <c r="I92" s="357">
        <f>計分版!H105</f>
        <v>3.5500000000000004E-9</v>
      </c>
      <c r="J92" s="352">
        <f>入學要求!C93</f>
        <v>40</v>
      </c>
      <c r="K92" s="352">
        <f>'Offer Statistics'!AI110</f>
        <v>53</v>
      </c>
      <c r="L92" s="386">
        <f>IFERROR('Offer Statistics'!V110/'Offer Statistics'!AD110,"新科目")</f>
        <v>13.471698113207546</v>
      </c>
      <c r="M92" s="352">
        <f>入學要求!R93</f>
        <v>0</v>
      </c>
    </row>
    <row r="93" spans="1:13" x14ac:dyDescent="0.3">
      <c r="A93" s="352" t="str">
        <f>'Reference Score Calculation'!A85</f>
        <v>JS2910</v>
      </c>
      <c r="B93" s="352" t="str">
        <f>'Reference Score Calculation'!B85</f>
        <v>HKBU</v>
      </c>
      <c r="C93" s="366" t="str">
        <f>'Reference Score Calculation'!D85</f>
        <v>商業計算及數據分析理學士(榮譽)</v>
      </c>
      <c r="D93" s="366" t="str">
        <f>'Reference Score Calculation'!T85</f>
        <v>BSc(BCDA)</v>
      </c>
      <c r="E93" s="366" t="str">
        <f>'Reference Score Calculation'!E85</f>
        <v>Best 6</v>
      </c>
      <c r="F93" s="357" t="str">
        <f>'Reference Score Calculation'!F85</f>
        <v>/</v>
      </c>
      <c r="G93" s="357">
        <f>'Reference Score Calculation'!G85</f>
        <v>22</v>
      </c>
      <c r="H93" s="357">
        <f>'Reference Score Calculation'!H85</f>
        <v>21</v>
      </c>
      <c r="I93" s="357">
        <f>計分版!H106</f>
        <v>3.9000000000000002E-9</v>
      </c>
      <c r="J93" s="352">
        <f>入學要求!C94</f>
        <v>15</v>
      </c>
      <c r="K93" s="352">
        <f>'Offer Statistics'!AI111</f>
        <v>20</v>
      </c>
      <c r="L93" s="386">
        <f>IFERROR('Offer Statistics'!V111/'Offer Statistics'!AD111,"新科目")</f>
        <v>12.090909090909092</v>
      </c>
      <c r="M93" s="352">
        <f>入學要求!R94</f>
        <v>0</v>
      </c>
    </row>
    <row r="94" spans="1:13" x14ac:dyDescent="0.3">
      <c r="A94" s="352" t="str">
        <f>'Reference Score Calculation'!A86</f>
        <v>JS2920</v>
      </c>
      <c r="B94" s="352" t="str">
        <f>'Reference Score Calculation'!B86</f>
        <v>HKBU</v>
      </c>
      <c r="C94" s="366" t="str">
        <f>'Reference Score Calculation'!D86</f>
        <v>藝術及科技文理學士(榮譽)</v>
      </c>
      <c r="D94" s="366" t="str">
        <f>'Reference Score Calculation'!T86</f>
        <v>BASc(ARTT)</v>
      </c>
      <c r="E94" s="366" t="str">
        <f>'Reference Score Calculation'!AD86</f>
        <v>4C2X</v>
      </c>
      <c r="F94" s="357" t="str">
        <f>'Reference Score Calculation'!F86</f>
        <v>/</v>
      </c>
      <c r="G94" s="357" t="str">
        <f>'Reference Score Calculation'!G86</f>
        <v>/</v>
      </c>
      <c r="H94" s="357" t="str">
        <f>'Reference Score Calculation'!H86</f>
        <v>/</v>
      </c>
      <c r="I94" s="357">
        <f>計分版!H107</f>
        <v>2.9100000000000001E-9</v>
      </c>
      <c r="J94" s="352">
        <f>入學要求!C95</f>
        <v>40</v>
      </c>
      <c r="K94" s="352" t="str">
        <f>'Offer Statistics'!AI112</f>
        <v>/</v>
      </c>
      <c r="L94" s="386" t="str">
        <f>IFERROR('Offer Statistics'!V112/'Offer Statistics'!AD112,"新科目")</f>
        <v>新科目</v>
      </c>
      <c r="M94" s="352">
        <f>入學要求!R95</f>
        <v>0</v>
      </c>
    </row>
    <row r="95" spans="1:13" x14ac:dyDescent="0.3">
      <c r="A95" s="352" t="str">
        <f>'Reference Score Calculation'!A87</f>
        <v>JS2930</v>
      </c>
      <c r="B95" s="352" t="str">
        <f>'Reference Score Calculation'!B87</f>
        <v>HKBU</v>
      </c>
      <c r="C95" s="366" t="str">
        <f>'Reference Score Calculation'!D87</f>
        <v>工商管理文學士(榮譽)(全球娛樂)</v>
      </c>
      <c r="D95" s="366" t="str">
        <f>'Reference Score Calculation'!T87</f>
        <v>BA(BUSADMIN-GE)</v>
      </c>
      <c r="E95" s="366" t="str">
        <f>'Reference Score Calculation'!AD87</f>
        <v>Best 5</v>
      </c>
      <c r="F95" s="357" t="str">
        <f>'Reference Score Calculation'!F87</f>
        <v>/</v>
      </c>
      <c r="G95" s="357" t="str">
        <f>'Reference Score Calculation'!G87</f>
        <v>/</v>
      </c>
      <c r="H95" s="357" t="str">
        <f>'Reference Score Calculation'!H87</f>
        <v>/</v>
      </c>
      <c r="I95" s="357">
        <f>計分版!H108</f>
        <v>3.9500000000000006E-9</v>
      </c>
      <c r="J95" s="352">
        <f>入學要求!C96</f>
        <v>15</v>
      </c>
      <c r="K95" s="352" t="str">
        <f>'Offer Statistics'!AI113</f>
        <v>/</v>
      </c>
      <c r="L95" s="386" t="str">
        <f>IFERROR('Offer Statistics'!V113/'Offer Statistics'!AD113,"新科目")</f>
        <v>新科目</v>
      </c>
      <c r="M95" s="352">
        <f>入學要求!R96</f>
        <v>0</v>
      </c>
    </row>
    <row r="96" spans="1:13" x14ac:dyDescent="0.3">
      <c r="A96" s="352" t="str">
        <f>'Reference Score Calculation'!A88</f>
        <v>JS2940</v>
      </c>
      <c r="B96" s="352" t="str">
        <f>'Reference Score Calculation'!B88</f>
        <v>HKBU</v>
      </c>
      <c r="C96" s="366" t="str">
        <f>'Reference Score Calculation'!D88</f>
        <v>創新醫療及社會健康社會科學學士(榮譽) / 理學士(榮譽)</v>
      </c>
      <c r="D96" s="366" t="str">
        <f>'Reference Score Calculation'!T88</f>
        <v>BSocSc/BSc(HSWB)</v>
      </c>
      <c r="E96" s="366" t="str">
        <f>'Reference Score Calculation'!AD88</f>
        <v>Best 5</v>
      </c>
      <c r="F96" s="357" t="str">
        <f>'Reference Score Calculation'!F88</f>
        <v>/</v>
      </c>
      <c r="G96" s="357" t="str">
        <f>'Reference Score Calculation'!G88</f>
        <v>/</v>
      </c>
      <c r="H96" s="357" t="str">
        <f>'Reference Score Calculation'!H88</f>
        <v>/</v>
      </c>
      <c r="I96" s="357">
        <f>計分版!H109</f>
        <v>3.5500000000000004E-9</v>
      </c>
      <c r="J96" s="352">
        <f>入學要求!C97</f>
        <v>30</v>
      </c>
      <c r="K96" s="352" t="str">
        <f>'Offer Statistics'!AI114</f>
        <v>/</v>
      </c>
      <c r="L96" s="386" t="str">
        <f>IFERROR('Offer Statistics'!V114/'Offer Statistics'!AD114,"新科目")</f>
        <v>新科目</v>
      </c>
      <c r="M96" s="352">
        <f>入學要求!R97</f>
        <v>0</v>
      </c>
    </row>
    <row r="97" spans="1:25" x14ac:dyDescent="0.3">
      <c r="A97" s="352" t="str">
        <f>'Reference Score Calculation'!A89</f>
        <v>JS2950</v>
      </c>
      <c r="B97" s="352" t="str">
        <f>'Reference Score Calculation'!B89</f>
        <v>HKBU</v>
      </c>
      <c r="C97" s="366" t="str">
        <f>'Reference Score Calculation'!D89</f>
        <v>文理及科技學士(榮譽)</v>
      </c>
      <c r="D97" s="366" t="str">
        <f>'Reference Score Calculation'!T89</f>
        <v>BAScT</v>
      </c>
      <c r="E97" s="366" t="str">
        <f>'Reference Score Calculation'!AD89</f>
        <v>Best 5</v>
      </c>
      <c r="F97" s="357" t="str">
        <f>'Reference Score Calculation'!F89</f>
        <v>/</v>
      </c>
      <c r="G97" s="357" t="str">
        <f>'Reference Score Calculation'!G89</f>
        <v>/</v>
      </c>
      <c r="H97" s="357" t="str">
        <f>'Reference Score Calculation'!H89</f>
        <v>/</v>
      </c>
      <c r="I97" s="357">
        <f>計分版!H110</f>
        <v>3.9500000000000006E-9</v>
      </c>
      <c r="J97" s="352">
        <f>入學要求!C98</f>
        <v>10</v>
      </c>
      <c r="K97" s="352" t="str">
        <f>'Offer Statistics'!AI115</f>
        <v>/</v>
      </c>
      <c r="L97" s="386" t="str">
        <f>IFERROR('Offer Statistics'!V115/'Offer Statistics'!AD115,"新科目")</f>
        <v>新科目</v>
      </c>
      <c r="M97" s="352">
        <f>入學要求!R98</f>
        <v>0</v>
      </c>
    </row>
    <row r="98" spans="1:25" x14ac:dyDescent="0.3">
      <c r="A98" s="352"/>
      <c r="D98" s="13"/>
      <c r="E98" s="366"/>
      <c r="M98" s="352">
        <f>入學要求!R99</f>
        <v>0</v>
      </c>
    </row>
    <row r="99" spans="1:25" x14ac:dyDescent="0.3">
      <c r="A99" s="352"/>
      <c r="D99" s="13"/>
      <c r="E99" s="366"/>
      <c r="F99" s="377" t="s">
        <v>2021</v>
      </c>
      <c r="G99" s="377" t="s">
        <v>2546</v>
      </c>
      <c r="H99" s="377" t="s">
        <v>2547</v>
      </c>
      <c r="I99" s="377" t="s">
        <v>2010</v>
      </c>
      <c r="J99" s="352" t="s">
        <v>1997</v>
      </c>
      <c r="K99" s="352" t="s">
        <v>2548</v>
      </c>
      <c r="L99" s="425" t="s">
        <v>3211</v>
      </c>
      <c r="M99" s="352" t="str">
        <f>入學要求!R100</f>
        <v>資格</v>
      </c>
    </row>
    <row r="100" spans="1:25" x14ac:dyDescent="0.3">
      <c r="A100" s="13" t="str">
        <f>'Reference Score Calculation'!A92</f>
        <v>JS3010</v>
      </c>
      <c r="B100" s="352" t="str">
        <f>'Reference Score Calculation'!B92</f>
        <v>PolyU</v>
      </c>
      <c r="C100" s="13" t="str">
        <f>'Reference Score Calculation'!D92</f>
        <v>生物科技、食物安全及化學科技(榮譽)理學士組合課程</v>
      </c>
      <c r="D100" s="352" t="str">
        <f>'Reference Score Calculation'!T92</f>
        <v>BIOT, FOOD SAFE &amp; CHEM T</v>
      </c>
      <c r="E100" s="366" t="str">
        <f>'Reference Score Calculation'!AD92</f>
        <v>Best 5</v>
      </c>
      <c r="F100" s="20" t="str">
        <f>'Reference Score Calculation'!F92</f>
        <v>/</v>
      </c>
      <c r="G100" s="357">
        <f>'Reference Score Calculation'!G92</f>
        <v>193.00000000207999</v>
      </c>
      <c r="H100" s="357">
        <f>'Reference Score Calculation'!H92</f>
        <v>190.00000000260002</v>
      </c>
      <c r="I100" s="20">
        <f>計分版!H113</f>
        <v>2.175E-8</v>
      </c>
      <c r="J100" s="13">
        <f>入學要求!C101</f>
        <v>76</v>
      </c>
      <c r="K100" s="352" t="str">
        <f>IFERROR(INDEX('Offer Statistics'!$AZ$173:$AZ$203,MATCH('A123'!A100,('Offer Statistics'!$AK$173:$AK$203),0)),"/")</f>
        <v>/</v>
      </c>
      <c r="L100" s="131" t="str">
        <f>IFERROR(INDEX('Offer Statistics'!$AM$173:$AM$203,MATCH('A123'!A100,('Offer Statistics'!$AK$173:$AK$203),0))/INDEX('Offer Statistics'!$AU$173:$AU$203,MATCH('A123'!A100,('Offer Statistics'!$AK$173:$AK$203),0)),"新科目")</f>
        <v>新科目</v>
      </c>
      <c r="M100" s="352">
        <f>入學要求!R101</f>
        <v>0</v>
      </c>
    </row>
    <row r="101" spans="1:25" x14ac:dyDescent="0.3">
      <c r="A101" s="352" t="str">
        <f>'Reference Score Calculation'!A93</f>
        <v>JS3010-2</v>
      </c>
      <c r="B101" s="352" t="str">
        <f>'Reference Score Calculation'!B93</f>
        <v>PolyU</v>
      </c>
      <c r="C101" s="352" t="str">
        <f>'Reference Score Calculation'!D93</f>
        <v/>
      </c>
      <c r="D101" s="352" t="str">
        <f>'Reference Score Calculation'!T93</f>
        <v/>
      </c>
      <c r="E101" s="366">
        <f>'Reference Score Calculation'!AD93</f>
        <v>0</v>
      </c>
      <c r="F101" s="357" t="str">
        <f>'Reference Score Calculation'!F93</f>
        <v>/</v>
      </c>
      <c r="G101" s="357">
        <f>'Reference Score Calculation'!G93</f>
        <v>180.50000000172997</v>
      </c>
      <c r="H101" s="357">
        <f>'Reference Score Calculation'!H93</f>
        <v>177.00000000145002</v>
      </c>
      <c r="I101" s="357">
        <f>計分版!H114</f>
        <v>1.6750000000000001E-8</v>
      </c>
      <c r="J101" s="352">
        <f>入學要求!C102</f>
        <v>0</v>
      </c>
      <c r="K101" s="352" t="str">
        <f>IFERROR(INDEX('Offer Statistics'!$AZ$173:$AZ$203,MATCH('A123'!A101,('Offer Statistics'!$AK$173:$AK$203),0)),"/")</f>
        <v>/</v>
      </c>
      <c r="L101" s="386" t="str">
        <f>IFERROR(INDEX('Offer Statistics'!$AM$173:$AM$203,MATCH('A123'!A101,('Offer Statistics'!$AK$173:$AK$203),0))/INDEX('Offer Statistics'!$AU$173:$AU$203,MATCH('A123'!A101,('Offer Statistics'!$AK$173:$AK$203),0)),"新科目")</f>
        <v>新科目</v>
      </c>
      <c r="M101" s="352">
        <f>入學要求!R102</f>
        <v>0</v>
      </c>
    </row>
    <row r="102" spans="1:25" x14ac:dyDescent="0.3">
      <c r="A102" s="352" t="str">
        <f>'Reference Score Calculation'!A94</f>
        <v>JS3010-3</v>
      </c>
      <c r="B102" s="352" t="str">
        <f>'Reference Score Calculation'!B94</f>
        <v>PolyU</v>
      </c>
      <c r="C102" s="352" t="str">
        <f>'Reference Score Calculation'!D94</f>
        <v/>
      </c>
      <c r="D102" s="352" t="str">
        <f>'Reference Score Calculation'!T94</f>
        <v/>
      </c>
      <c r="E102" s="366">
        <f>'Reference Score Calculation'!AD94</f>
        <v>0</v>
      </c>
      <c r="F102" s="357" t="str">
        <f>'Reference Score Calculation'!F94</f>
        <v>/</v>
      </c>
      <c r="G102" s="357">
        <f>'Reference Score Calculation'!G94</f>
        <v>176.00000000145002</v>
      </c>
      <c r="H102" s="357">
        <f>'Reference Score Calculation'!H94</f>
        <v>161.00000000151999</v>
      </c>
      <c r="I102" s="357">
        <f>計分版!H115</f>
        <v>1.6750000000000001E-8</v>
      </c>
      <c r="J102" s="352">
        <f>入學要求!C103</f>
        <v>0</v>
      </c>
      <c r="K102" s="352" t="str">
        <f>IFERROR(INDEX('Offer Statistics'!$AZ$173:$AZ$203,MATCH('A123'!A102,('Offer Statistics'!$AK$173:$AK$203),0)),"/")</f>
        <v>/</v>
      </c>
      <c r="L102" s="386" t="str">
        <f>IFERROR(INDEX('Offer Statistics'!$AM$173:$AM$203,MATCH('A123'!A102,('Offer Statistics'!$AK$173:$AK$203),0))/INDEX('Offer Statistics'!$AU$173:$AU$203,MATCH('A123'!A102,('Offer Statistics'!$AK$173:$AK$203),0)),"新科目")</f>
        <v>新科目</v>
      </c>
      <c r="M102" s="352">
        <f>入學要求!R103</f>
        <v>0</v>
      </c>
    </row>
    <row r="103" spans="1:25" x14ac:dyDescent="0.3">
      <c r="A103" s="352" t="str">
        <f>'Reference Score Calculation'!A95</f>
        <v>JS3020</v>
      </c>
      <c r="B103" s="352" t="str">
        <f>'Reference Score Calculation'!B95</f>
        <v>PolyU</v>
      </c>
      <c r="C103" s="352" t="str">
        <f>'Reference Score Calculation'!D95</f>
        <v>數據科學(榮譽)理學士組合課程</v>
      </c>
      <c r="D103" s="352" t="str">
        <f>'Reference Score Calculation'!T95</f>
        <v>DATA SCI</v>
      </c>
      <c r="E103" s="366" t="str">
        <f>'Reference Score Calculation'!AD95</f>
        <v>Best 5</v>
      </c>
      <c r="F103" s="357" t="str">
        <f>'Reference Score Calculation'!F95</f>
        <v>/</v>
      </c>
      <c r="G103" s="357">
        <f>'Reference Score Calculation'!G95</f>
        <v>164.00000000115</v>
      </c>
      <c r="H103" s="357">
        <f>'Reference Score Calculation'!H95</f>
        <v>146.50000000115</v>
      </c>
      <c r="I103" s="357">
        <f>計分版!H116</f>
        <v>1.6750000000000001E-8</v>
      </c>
      <c r="J103" s="352">
        <f>入學要求!C104</f>
        <v>25</v>
      </c>
      <c r="K103" s="352" t="str">
        <f>IFERROR(INDEX('Offer Statistics'!$AZ$173:$AZ$203,MATCH('A123'!A103,('Offer Statistics'!$AK$173:$AK$203),0)),"/")</f>
        <v>/</v>
      </c>
      <c r="L103" s="386" t="str">
        <f>IFERROR(INDEX('Offer Statistics'!$AM$173:$AM$203,MATCH('A123'!A103,('Offer Statistics'!$AK$173:$AK$203),0))/INDEX('Offer Statistics'!$AU$173:$AU$203,MATCH('A123'!A103,('Offer Statistics'!$AK$173:$AK$203),0)),"新科目")</f>
        <v>新科目</v>
      </c>
      <c r="M103" s="352">
        <f>入學要求!R104</f>
        <v>0</v>
      </c>
    </row>
    <row r="104" spans="1:25" x14ac:dyDescent="0.3">
      <c r="A104" s="352" t="str">
        <f>'Reference Score Calculation'!A96</f>
        <v>JS3030</v>
      </c>
      <c r="B104" s="352" t="str">
        <f>'Reference Score Calculation'!B96</f>
        <v>PolyU</v>
      </c>
      <c r="C104" s="352" t="str">
        <f>'Reference Score Calculation'!D96</f>
        <v>物理學(榮譽)理學士 副主修人工智能及數據分析 / 創新及創業</v>
      </c>
      <c r="D104" s="352" t="str">
        <f>'Reference Score Calculation'!T96</f>
        <v>PHYSICS</v>
      </c>
      <c r="E104" s="366" t="str">
        <f>'Reference Score Calculation'!AD96</f>
        <v>Best 5</v>
      </c>
      <c r="F104" s="357" t="str">
        <f>'Reference Score Calculation'!F96</f>
        <v>/</v>
      </c>
      <c r="G104" s="357" t="str">
        <f>'Reference Score Calculation'!G96</f>
        <v>/</v>
      </c>
      <c r="H104" s="357" t="str">
        <f>'Reference Score Calculation'!H96</f>
        <v>/</v>
      </c>
      <c r="I104" s="357">
        <f>計分版!H117</f>
        <v>2.175E-8</v>
      </c>
      <c r="J104" s="352">
        <f>入學要求!C105</f>
        <v>25</v>
      </c>
      <c r="K104" s="352" t="str">
        <f>IFERROR(INDEX('Offer Statistics'!$AZ$173:$AZ$203,MATCH('A123'!A104,('Offer Statistics'!$AK$173:$AK$203),0)),"/")</f>
        <v>/</v>
      </c>
      <c r="L104" s="386" t="str">
        <f>IFERROR(INDEX('Offer Statistics'!$AM$173:$AM$203,MATCH('A123'!A104,('Offer Statistics'!$AK$173:$AK$203),0))/INDEX('Offer Statistics'!$AU$173:$AU$203,MATCH('A123'!A104,('Offer Statistics'!$AK$173:$AK$203),0)),"新科目")</f>
        <v>新科目</v>
      </c>
      <c r="M104" s="352">
        <f>入學要求!R105</f>
        <v>0</v>
      </c>
    </row>
    <row r="105" spans="1:25" x14ac:dyDescent="0.3">
      <c r="A105" s="352" t="str">
        <f>'Reference Score Calculation'!A97</f>
        <v>JS3060</v>
      </c>
      <c r="B105" s="352" t="str">
        <f>'Reference Score Calculation'!B97</f>
        <v>PolyU</v>
      </c>
      <c r="C105" s="352" t="str">
        <f>'Reference Score Calculation'!D97</f>
        <v>會計及金融(榮譽)工商管理學士組合課程</v>
      </c>
      <c r="D105" s="352" t="str">
        <f>'Reference Score Calculation'!T97</f>
        <v>ACCT &amp; FINANCE</v>
      </c>
      <c r="E105" s="366" t="str">
        <f>'Reference Score Calculation'!AD97</f>
        <v>Best 5</v>
      </c>
      <c r="F105" s="357" t="str">
        <f>'Reference Score Calculation'!F97</f>
        <v>/</v>
      </c>
      <c r="G105" s="357">
        <f>'Reference Score Calculation'!G97</f>
        <v>161.50000000115</v>
      </c>
      <c r="H105" s="357">
        <f>'Reference Score Calculation'!H97</f>
        <v>163.50000000115</v>
      </c>
      <c r="I105" s="357">
        <f>計分版!H118</f>
        <v>1.6750000000000001E-8</v>
      </c>
      <c r="J105" s="352">
        <f>入學要求!C106</f>
        <v>160</v>
      </c>
      <c r="K105" s="352" t="str">
        <f>IFERROR(INDEX('Offer Statistics'!$AZ$173:$AZ$203,MATCH('A123'!A105,('Offer Statistics'!$AK$173:$AK$203),0)),"/")</f>
        <v>/</v>
      </c>
      <c r="L105" s="386" t="str">
        <f>IFERROR(INDEX('Offer Statistics'!$AM$173:$AM$203,MATCH('A123'!A105,('Offer Statistics'!$AK$173:$AK$203),0))/INDEX('Offer Statistics'!$AU$173:$AU$203,MATCH('A123'!A105,('Offer Statistics'!$AK$173:$AK$203),0)),"新科目")</f>
        <v>新科目</v>
      </c>
      <c r="M105" s="352">
        <f>入學要求!R106</f>
        <v>0</v>
      </c>
    </row>
    <row r="106" spans="1:25" x14ac:dyDescent="0.3">
      <c r="A106" s="352" t="str">
        <f>'Reference Score Calculation'!A98</f>
        <v>JS3060-2</v>
      </c>
      <c r="B106" s="352" t="str">
        <f>'Reference Score Calculation'!B98</f>
        <v>PolyU</v>
      </c>
      <c r="C106" s="352" t="str">
        <f>'Reference Score Calculation'!D98</f>
        <v/>
      </c>
      <c r="D106" s="352" t="str">
        <f>'Reference Score Calculation'!T98</f>
        <v/>
      </c>
      <c r="E106" s="366">
        <f>'Reference Score Calculation'!AD98</f>
        <v>0</v>
      </c>
      <c r="F106" s="357" t="str">
        <f>'Reference Score Calculation'!F98</f>
        <v>/</v>
      </c>
      <c r="G106" s="357">
        <f>'Reference Score Calculation'!G98</f>
        <v>156.00000000120002</v>
      </c>
      <c r="H106" s="357">
        <f>'Reference Score Calculation'!H98</f>
        <v>149.50000000115</v>
      </c>
      <c r="I106" s="357">
        <f>計分版!H119</f>
        <v>1.6750000000000001E-8</v>
      </c>
      <c r="J106" s="352">
        <f>入學要求!C107</f>
        <v>0</v>
      </c>
      <c r="K106" s="352" t="str">
        <f>IFERROR(INDEX('Offer Statistics'!$AZ$173:$AZ$203,MATCH('A123'!A106,('Offer Statistics'!$AK$173:$AK$203),0)),"/")</f>
        <v>/</v>
      </c>
      <c r="L106" s="386" t="str">
        <f>IFERROR(INDEX('Offer Statistics'!$AM$173:$AM$203,MATCH('A123'!A106,('Offer Statistics'!$AK$173:$AK$203),0))/INDEX('Offer Statistics'!$AU$173:$AU$203,MATCH('A123'!A106,('Offer Statistics'!$AK$173:$AK$203),0)),"新科目")</f>
        <v>新科目</v>
      </c>
      <c r="M106" s="352">
        <f>入學要求!R107</f>
        <v>0</v>
      </c>
    </row>
    <row r="107" spans="1:25" x14ac:dyDescent="0.3">
      <c r="A107" s="352" t="str">
        <f>'Reference Score Calculation'!A99</f>
        <v>JS3060-3</v>
      </c>
      <c r="B107" s="352" t="str">
        <f>'Reference Score Calculation'!B99</f>
        <v>PolyU</v>
      </c>
      <c r="C107" s="352" t="str">
        <f>'Reference Score Calculation'!D99</f>
        <v/>
      </c>
      <c r="D107" s="352" t="str">
        <f>'Reference Score Calculation'!T99</f>
        <v/>
      </c>
      <c r="E107" s="366">
        <f>'Reference Score Calculation'!AD99</f>
        <v>0</v>
      </c>
      <c r="F107" s="357" t="str">
        <f>'Reference Score Calculation'!F99</f>
        <v>/</v>
      </c>
      <c r="G107" s="357">
        <f>'Reference Score Calculation'!G99</f>
        <v>161.00000000115</v>
      </c>
      <c r="H107" s="357">
        <f>'Reference Score Calculation'!H99</f>
        <v>166.50000000114997</v>
      </c>
      <c r="I107" s="357">
        <f>計分版!H120</f>
        <v>1.6750000000000001E-8</v>
      </c>
      <c r="J107" s="352">
        <f>入學要求!C108</f>
        <v>0</v>
      </c>
      <c r="K107" s="352" t="str">
        <f>IFERROR(INDEX('Offer Statistics'!$AZ$173:$AZ$203,MATCH('A123'!A107,('Offer Statistics'!$AK$173:$AK$203),0)),"/")</f>
        <v>/</v>
      </c>
      <c r="L107" s="386" t="str">
        <f>IFERROR(INDEX('Offer Statistics'!$AM$173:$AM$203,MATCH('A123'!A107,('Offer Statistics'!$AK$173:$AK$203),0))/INDEX('Offer Statistics'!$AU$173:$AU$203,MATCH('A123'!A107,('Offer Statistics'!$AK$173:$AK$203),0)),"新科目")</f>
        <v>新科目</v>
      </c>
      <c r="M107" s="352">
        <f>入學要求!R108</f>
        <v>0</v>
      </c>
    </row>
    <row r="108" spans="1:25" x14ac:dyDescent="0.3">
      <c r="A108" s="352" t="str">
        <f>'Reference Score Calculation'!A100</f>
        <v>JS3070</v>
      </c>
      <c r="B108" s="352" t="str">
        <f>'Reference Score Calculation'!B100</f>
        <v>PolyU</v>
      </c>
      <c r="C108" s="352" t="str">
        <f>'Reference Score Calculation'!D100</f>
        <v>航空、航運及供應鏈管理(榮譽)工商管理學士組合課程</v>
      </c>
      <c r="D108" s="352" t="str">
        <f>'Reference Score Calculation'!T100</f>
        <v>AVIAT, MARITIME &amp; SC MGT</v>
      </c>
      <c r="E108" s="366" t="str">
        <f>'Reference Score Calculation'!AD100</f>
        <v>Best 5</v>
      </c>
      <c r="F108" s="357" t="str">
        <f>'Reference Score Calculation'!F100</f>
        <v>/</v>
      </c>
      <c r="G108" s="357">
        <f>'Reference Score Calculation'!G100</f>
        <v>146.50000000115</v>
      </c>
      <c r="H108" s="357">
        <f>'Reference Score Calculation'!H100</f>
        <v>149.00000000115</v>
      </c>
      <c r="I108" s="357">
        <f>計分版!H121</f>
        <v>1.6750000000000001E-8</v>
      </c>
      <c r="J108" s="352">
        <f>入學要求!C109</f>
        <v>60</v>
      </c>
      <c r="K108" s="352" t="str">
        <f>IFERROR(INDEX('Offer Statistics'!$AZ$173:$AZ$203,MATCH('A123'!A108,('Offer Statistics'!$AK$173:$AK$203),0)),"/")</f>
        <v>/</v>
      </c>
      <c r="L108" s="386" t="str">
        <f>IFERROR(INDEX('Offer Statistics'!$AM$173:$AM$203,MATCH('A123'!A108,('Offer Statistics'!$AK$173:$AK$203),0))/INDEX('Offer Statistics'!$AU$173:$AU$203,MATCH('A123'!A108,('Offer Statistics'!$AK$173:$AK$203),0)),"新科目")</f>
        <v>新科目</v>
      </c>
      <c r="M108" s="352">
        <f>入學要求!R109</f>
        <v>0</v>
      </c>
    </row>
    <row r="109" spans="1:25" x14ac:dyDescent="0.3">
      <c r="A109" s="352" t="str">
        <f>'Reference Score Calculation'!A101</f>
        <v>JS3070-2</v>
      </c>
      <c r="B109" s="352" t="str">
        <f>'Reference Score Calculation'!B101</f>
        <v>PolyU</v>
      </c>
      <c r="C109" s="352" t="str">
        <f>'Reference Score Calculation'!D101</f>
        <v/>
      </c>
      <c r="D109" s="352" t="str">
        <f>'Reference Score Calculation'!T101</f>
        <v/>
      </c>
      <c r="E109" s="366">
        <f>'Reference Score Calculation'!AD101</f>
        <v>0</v>
      </c>
      <c r="F109" s="357" t="str">
        <f>'Reference Score Calculation'!F101</f>
        <v>/</v>
      </c>
      <c r="G109" s="357">
        <f>'Reference Score Calculation'!G101</f>
        <v>151.00000000120002</v>
      </c>
      <c r="H109" s="357">
        <f>'Reference Score Calculation'!H101</f>
        <v>143.00000000121997</v>
      </c>
      <c r="I109" s="357">
        <f>計分版!H122</f>
        <v>1.6750000000000001E-8</v>
      </c>
      <c r="J109" s="352">
        <f>入學要求!C110</f>
        <v>0</v>
      </c>
      <c r="K109" s="352" t="str">
        <f>IFERROR(INDEX('Offer Statistics'!$AZ$173:$AZ$203,MATCH('A123'!A109,('Offer Statistics'!$AK$173:$AK$203),0)),"/")</f>
        <v>/</v>
      </c>
      <c r="L109" s="386" t="str">
        <f>IFERROR(INDEX('Offer Statistics'!$AM$173:$AM$203,MATCH('A123'!A109,('Offer Statistics'!$AK$173:$AK$203),0))/INDEX('Offer Statistics'!$AU$173:$AU$203,MATCH('A123'!A109,('Offer Statistics'!$AK$173:$AK$203),0)),"新科目")</f>
        <v>新科目</v>
      </c>
      <c r="M109" s="352">
        <f>入學要求!R110</f>
        <v>0</v>
      </c>
    </row>
    <row r="110" spans="1:25" x14ac:dyDescent="0.3">
      <c r="A110" s="352" t="str">
        <f>'Reference Score Calculation'!A102</f>
        <v>JS3080</v>
      </c>
      <c r="B110" s="352" t="str">
        <f>'Reference Score Calculation'!B102</f>
        <v>PolyU</v>
      </c>
      <c r="C110" s="352" t="str">
        <f>'Reference Score Calculation'!D102</f>
        <v>管理及市場學(榮譽)工商管理學士組合課程</v>
      </c>
      <c r="D110" s="352" t="str">
        <f>'Reference Score Calculation'!T102</f>
        <v>MGT &amp; MARKETING</v>
      </c>
      <c r="E110" s="366" t="str">
        <f>'Reference Score Calculation'!AD102</f>
        <v>Best 5</v>
      </c>
      <c r="F110" s="357" t="str">
        <f>'Reference Score Calculation'!F102</f>
        <v>/</v>
      </c>
      <c r="G110" s="357">
        <f>'Reference Score Calculation'!G102</f>
        <v>154.00000000125002</v>
      </c>
      <c r="H110" s="357">
        <f>'Reference Score Calculation'!H102</f>
        <v>146.50000000115</v>
      </c>
      <c r="I110" s="357">
        <f>計分版!H123</f>
        <v>1.6750000000000001E-8</v>
      </c>
      <c r="J110" s="352">
        <f>入學要求!C111</f>
        <v>97</v>
      </c>
      <c r="K110" s="352" t="str">
        <f>IFERROR(INDEX('Offer Statistics'!$AZ$173:$AZ$203,MATCH('A123'!A110,('Offer Statistics'!$AK$173:$AK$203),0)),"/")</f>
        <v>/</v>
      </c>
      <c r="L110" s="386" t="str">
        <f>IFERROR(INDEX('Offer Statistics'!$AM$173:$AM$203,MATCH('A123'!A110,('Offer Statistics'!$AK$173:$AK$203),0))/INDEX('Offer Statistics'!$AU$173:$AU$203,MATCH('A123'!A110,('Offer Statistics'!$AK$173:$AK$203),0)),"新科目")</f>
        <v>新科目</v>
      </c>
      <c r="M110" s="352">
        <f>入學要求!R111</f>
        <v>0</v>
      </c>
    </row>
    <row r="111" spans="1:25" x14ac:dyDescent="0.3">
      <c r="A111" s="352" t="str">
        <f>'Reference Score Calculation'!A103</f>
        <v>JS3080-2</v>
      </c>
      <c r="B111" s="352" t="str">
        <f>'Reference Score Calculation'!B103</f>
        <v>PolyU</v>
      </c>
      <c r="C111" s="352" t="str">
        <f>'Reference Score Calculation'!D103</f>
        <v/>
      </c>
      <c r="D111" s="352" t="str">
        <f>'Reference Score Calculation'!T103</f>
        <v/>
      </c>
      <c r="E111" s="366">
        <f>'Reference Score Calculation'!AD103</f>
        <v>0</v>
      </c>
      <c r="F111" s="357" t="str">
        <f>'Reference Score Calculation'!F103</f>
        <v>/</v>
      </c>
      <c r="G111" s="357">
        <f>'Reference Score Calculation'!G103</f>
        <v>149.50000000125002</v>
      </c>
      <c r="H111" s="357">
        <f>'Reference Score Calculation'!H103</f>
        <v>149.00000000120002</v>
      </c>
      <c r="I111" s="357">
        <f>計分版!H124</f>
        <v>1.6750000000000001E-8</v>
      </c>
      <c r="J111" s="352">
        <f>入學要求!C112</f>
        <v>0</v>
      </c>
      <c r="K111" s="352" t="str">
        <f>IFERROR(INDEX('Offer Statistics'!$AZ$173:$AZ$203,MATCH('A123'!A111,('Offer Statistics'!$AK$173:$AK$203),0)),"/")</f>
        <v>/</v>
      </c>
      <c r="L111" s="386" t="str">
        <f>IFERROR(INDEX('Offer Statistics'!$AM$173:$AM$203,MATCH('A123'!A111,('Offer Statistics'!$AK$173:$AK$203),0))/INDEX('Offer Statistics'!$AU$173:$AU$203,MATCH('A123'!A111,('Offer Statistics'!$AK$173:$AK$203),0)),"新科目")</f>
        <v>新科目</v>
      </c>
      <c r="M111" s="352">
        <f>入學要求!R112</f>
        <v>0</v>
      </c>
      <c r="Y111" s="12"/>
    </row>
    <row r="112" spans="1:25" x14ac:dyDescent="0.3">
      <c r="A112" s="352" t="str">
        <f>'Reference Score Calculation'!A104</f>
        <v>JS3100</v>
      </c>
      <c r="B112" s="352" t="str">
        <f>'Reference Score Calculation'!B104</f>
        <v>PolyU</v>
      </c>
      <c r="C112" s="352" t="str">
        <f>'Reference Score Calculation'!D104</f>
        <v>建築及房地產(榮譽)理學士組合課程</v>
      </c>
      <c r="D112" s="352" t="str">
        <f>'Reference Score Calculation'!T104</f>
        <v>BLDG &amp; REAL ESTATE</v>
      </c>
      <c r="E112" s="366" t="str">
        <f>'Reference Score Calculation'!AD104</f>
        <v>Best 5</v>
      </c>
      <c r="F112" s="357" t="str">
        <f>'Reference Score Calculation'!F104</f>
        <v>/</v>
      </c>
      <c r="G112" s="357">
        <f>'Reference Score Calculation'!G104</f>
        <v>127.00000000111</v>
      </c>
      <c r="H112" s="357">
        <f>'Reference Score Calculation'!H104</f>
        <v>137.00000000106002</v>
      </c>
      <c r="I112" s="357">
        <f>計分版!H125</f>
        <v>1.9750000000000001E-8</v>
      </c>
      <c r="J112" s="352">
        <f>入學要求!C113</f>
        <v>98</v>
      </c>
      <c r="K112" s="352" t="str">
        <f>IFERROR(INDEX('Offer Statistics'!$AZ$173:$AZ$203,MATCH('A123'!A112,('Offer Statistics'!$AK$173:$AK$203),0)),"/")</f>
        <v>/</v>
      </c>
      <c r="L112" s="386" t="str">
        <f>IFERROR(INDEX('Offer Statistics'!$AM$173:$AM$203,MATCH('A123'!A112,('Offer Statistics'!$AK$173:$AK$203),0))/INDEX('Offer Statistics'!$AU$173:$AU$203,MATCH('A123'!A112,('Offer Statistics'!$AK$173:$AK$203),0)),"新科目")</f>
        <v>新科目</v>
      </c>
      <c r="M112" s="352">
        <f>入學要求!R113</f>
        <v>0</v>
      </c>
      <c r="Y112" s="12"/>
    </row>
    <row r="113" spans="1:25" x14ac:dyDescent="0.3">
      <c r="A113" s="352" t="str">
        <f>'Reference Score Calculation'!A105</f>
        <v>JS3100-2</v>
      </c>
      <c r="B113" s="352" t="str">
        <f>'Reference Score Calculation'!B105</f>
        <v>PolyU</v>
      </c>
      <c r="C113" s="352" t="str">
        <f>'Reference Score Calculation'!D105</f>
        <v/>
      </c>
      <c r="D113" s="352" t="str">
        <f>'Reference Score Calculation'!T105</f>
        <v/>
      </c>
      <c r="E113" s="366">
        <f>'Reference Score Calculation'!AD105</f>
        <v>0</v>
      </c>
      <c r="F113" s="357" t="str">
        <f>'Reference Score Calculation'!F105</f>
        <v>/</v>
      </c>
      <c r="G113" s="357">
        <f>'Reference Score Calculation'!G105</f>
        <v>180.50000000105999</v>
      </c>
      <c r="H113" s="357">
        <f>'Reference Score Calculation'!H105</f>
        <v>175.00000000110998</v>
      </c>
      <c r="I113" s="357">
        <f>計分版!H126</f>
        <v>1.9750000000000001E-8</v>
      </c>
      <c r="J113" s="352">
        <f>入學要求!C114</f>
        <v>0</v>
      </c>
      <c r="K113" s="352" t="str">
        <f>IFERROR(INDEX('Offer Statistics'!$AZ$173:$AZ$203,MATCH('A123'!A113,('Offer Statistics'!$AK$173:$AK$203),0)),"/")</f>
        <v>/</v>
      </c>
      <c r="L113" s="386" t="str">
        <f>IFERROR(INDEX('Offer Statistics'!$AM$173:$AM$203,MATCH('A123'!A113,('Offer Statistics'!$AK$173:$AK$203),0))/INDEX('Offer Statistics'!$AU$173:$AU$203,MATCH('A123'!A113,('Offer Statistics'!$AK$173:$AK$203),0)),"新科目")</f>
        <v>新科目</v>
      </c>
      <c r="M113" s="352">
        <f>入學要求!R114</f>
        <v>0</v>
      </c>
      <c r="Y113" s="12"/>
    </row>
    <row r="114" spans="1:25" x14ac:dyDescent="0.3">
      <c r="A114" s="352" t="str">
        <f>'Reference Score Calculation'!A106</f>
        <v>JS3100-3</v>
      </c>
      <c r="B114" s="352" t="str">
        <f>'Reference Score Calculation'!B106</f>
        <v>PolyU</v>
      </c>
      <c r="C114" s="352" t="str">
        <f>'Reference Score Calculation'!D106</f>
        <v/>
      </c>
      <c r="D114" s="352" t="str">
        <f>'Reference Score Calculation'!T106</f>
        <v/>
      </c>
      <c r="E114" s="366">
        <f>'Reference Score Calculation'!AD106</f>
        <v>0</v>
      </c>
      <c r="F114" s="357" t="str">
        <f>'Reference Score Calculation'!F106</f>
        <v>/</v>
      </c>
      <c r="G114" s="357">
        <f>'Reference Score Calculation'!G106</f>
        <v>159.00000000144999</v>
      </c>
      <c r="H114" s="357">
        <f>'Reference Score Calculation'!H106</f>
        <v>171.00000000187998</v>
      </c>
      <c r="I114" s="357">
        <f>計分版!H127</f>
        <v>2.175E-8</v>
      </c>
      <c r="J114" s="352">
        <f>入學要求!C115</f>
        <v>0</v>
      </c>
      <c r="K114" s="352" t="str">
        <f>IFERROR(INDEX('Offer Statistics'!$AZ$173:$AZ$203,MATCH('A123'!A114,('Offer Statistics'!$AK$173:$AK$203),0)),"/")</f>
        <v>/</v>
      </c>
      <c r="L114" s="386" t="str">
        <f>IFERROR(INDEX('Offer Statistics'!$AM$173:$AM$203,MATCH('A123'!A114,('Offer Statistics'!$AK$173:$AK$203),0))/INDEX('Offer Statistics'!$AU$173:$AU$203,MATCH('A123'!A114,('Offer Statistics'!$AK$173:$AK$203),0)),"新科目")</f>
        <v>新科目</v>
      </c>
      <c r="M114" s="352">
        <f>入學要求!R115</f>
        <v>0</v>
      </c>
      <c r="Y114" s="12"/>
    </row>
    <row r="115" spans="1:25" x14ac:dyDescent="0.3">
      <c r="A115" s="352" t="str">
        <f>'Reference Score Calculation'!A107</f>
        <v>JS3110</v>
      </c>
      <c r="B115" s="352" t="str">
        <f>'Reference Score Calculation'!B107</f>
        <v>PolyU</v>
      </c>
      <c r="C115" s="352" t="str">
        <f>'Reference Score Calculation'!D107</f>
        <v>建築科學及工程學(榮譽)工學士組合課程</v>
      </c>
      <c r="D115" s="352" t="str">
        <f>'Reference Score Calculation'!T107</f>
        <v>BLDG SCI &amp; ENGG</v>
      </c>
      <c r="E115" s="366" t="str">
        <f>'Reference Score Calculation'!AD107</f>
        <v>Best 5</v>
      </c>
      <c r="F115" s="357" t="str">
        <f>'Reference Score Calculation'!F107</f>
        <v>/</v>
      </c>
      <c r="G115" s="357">
        <f>'Reference Score Calculation'!G107</f>
        <v>166.00000000145002</v>
      </c>
      <c r="H115" s="357">
        <f>'Reference Score Calculation'!H107</f>
        <v>159.50000000145002</v>
      </c>
      <c r="I115" s="357">
        <f>計分版!H128</f>
        <v>1.6750000000000001E-8</v>
      </c>
      <c r="J115" s="352">
        <f>入學要求!C116</f>
        <v>35</v>
      </c>
      <c r="K115" s="352" t="str">
        <f>IFERROR(INDEX('Offer Statistics'!$AZ$173:$AZ$203,MATCH('A123'!A115,('Offer Statistics'!$AK$173:$AK$203),0)),"/")</f>
        <v>/</v>
      </c>
      <c r="L115" s="386" t="str">
        <f>IFERROR(INDEX('Offer Statistics'!$AM$173:$AM$203,MATCH('A123'!A115,('Offer Statistics'!$AK$173:$AK$203),0))/INDEX('Offer Statistics'!$AU$173:$AU$203,MATCH('A123'!A115,('Offer Statistics'!$AK$173:$AK$203),0)),"新科目")</f>
        <v>新科目</v>
      </c>
      <c r="M115" s="352">
        <f>入學要求!R116</f>
        <v>0</v>
      </c>
      <c r="Y115" s="12"/>
    </row>
    <row r="116" spans="1:25" x14ac:dyDescent="0.3">
      <c r="A116" s="352" t="str">
        <f>'Reference Score Calculation'!A108</f>
        <v>JS3120</v>
      </c>
      <c r="B116" s="352" t="str">
        <f>'Reference Score Calculation'!B108</f>
        <v>PolyU</v>
      </c>
      <c r="C116" s="352" t="str">
        <f>'Reference Score Calculation'!D108</f>
        <v>土木工程及可持續發展學(榮譽)工學士組合課程</v>
      </c>
      <c r="D116" s="352" t="str">
        <f>'Reference Score Calculation'!T108</f>
        <v>CIVIL ENGG &amp; SUS DEVELOP</v>
      </c>
      <c r="E116" s="366" t="str">
        <f>'Reference Score Calculation'!AD108</f>
        <v>Best 5</v>
      </c>
      <c r="F116" s="357" t="str">
        <f>'Reference Score Calculation'!F108</f>
        <v>/</v>
      </c>
      <c r="G116" s="357">
        <f>'Reference Score Calculation'!G108</f>
        <v>195.00000000279999</v>
      </c>
      <c r="H116" s="357">
        <f>'Reference Score Calculation'!H108</f>
        <v>195.00000000219998</v>
      </c>
      <c r="I116" s="357">
        <f>計分版!H129</f>
        <v>2.2250000000000001E-8</v>
      </c>
      <c r="J116" s="352">
        <f>入學要求!C117</f>
        <v>128</v>
      </c>
      <c r="K116" s="352" t="str">
        <f>IFERROR(INDEX('Offer Statistics'!$AZ$173:$AZ$203,MATCH('A123'!A116,('Offer Statistics'!$AK$173:$AK$203),0)),"/")</f>
        <v>/</v>
      </c>
      <c r="L116" s="386" t="str">
        <f>IFERROR(INDEX('Offer Statistics'!$AM$173:$AM$203,MATCH('A123'!A116,('Offer Statistics'!$AK$173:$AK$203),0))/INDEX('Offer Statistics'!$AU$173:$AU$203,MATCH('A123'!A116,('Offer Statistics'!$AK$173:$AK$203),0)),"新科目")</f>
        <v>新科目</v>
      </c>
      <c r="M116" s="352">
        <f>入學要求!R117</f>
        <v>0</v>
      </c>
      <c r="Y116" s="12"/>
    </row>
    <row r="117" spans="1:25" x14ac:dyDescent="0.3">
      <c r="A117" s="352" t="str">
        <f>'Reference Score Calculation'!A109</f>
        <v>JS3120-2</v>
      </c>
      <c r="B117" s="352" t="str">
        <f>'Reference Score Calculation'!B109</f>
        <v>PolyU</v>
      </c>
      <c r="C117" s="352" t="str">
        <f>'Reference Score Calculation'!D109</f>
        <v/>
      </c>
      <c r="D117" s="352" t="str">
        <f>'Reference Score Calculation'!T109</f>
        <v/>
      </c>
      <c r="E117" s="366">
        <f>'Reference Score Calculation'!AD109</f>
        <v>0</v>
      </c>
      <c r="F117" s="357" t="str">
        <f>'Reference Score Calculation'!F109</f>
        <v>/</v>
      </c>
      <c r="G117" s="357">
        <f>'Reference Score Calculation'!G109</f>
        <v>186.50000000144996</v>
      </c>
      <c r="H117" s="357">
        <f>'Reference Score Calculation'!H109</f>
        <v>178.00000000187998</v>
      </c>
      <c r="I117" s="357">
        <f>計分版!H130</f>
        <v>2.175E-8</v>
      </c>
      <c r="J117" s="352">
        <f>入學要求!C118</f>
        <v>0</v>
      </c>
      <c r="K117" s="352" t="str">
        <f>IFERROR(INDEX('Offer Statistics'!$AZ$173:$AZ$203,MATCH('A123'!A117,('Offer Statistics'!$AK$173:$AK$203),0)),"/")</f>
        <v>/</v>
      </c>
      <c r="L117" s="386" t="str">
        <f>IFERROR(INDEX('Offer Statistics'!$AM$173:$AM$203,MATCH('A123'!A117,('Offer Statistics'!$AK$173:$AK$203),0))/INDEX('Offer Statistics'!$AU$173:$AU$203,MATCH('A123'!A117,('Offer Statistics'!$AK$173:$AK$203),0)),"新科目")</f>
        <v>新科目</v>
      </c>
      <c r="M117" s="352">
        <f>入學要求!R118</f>
        <v>0</v>
      </c>
    </row>
    <row r="118" spans="1:25" x14ac:dyDescent="0.3">
      <c r="A118" s="352" t="str">
        <f>'Reference Score Calculation'!A110</f>
        <v>JS3120-3</v>
      </c>
      <c r="B118" s="352" t="str">
        <f>'Reference Score Calculation'!B110</f>
        <v>PolyU</v>
      </c>
      <c r="C118" s="352" t="str">
        <f>'Reference Score Calculation'!D110</f>
        <v/>
      </c>
      <c r="D118" s="352" t="str">
        <f>'Reference Score Calculation'!T110</f>
        <v/>
      </c>
      <c r="E118" s="366">
        <f>'Reference Score Calculation'!AD110</f>
        <v>0</v>
      </c>
      <c r="F118" s="357" t="str">
        <f>'Reference Score Calculation'!F110</f>
        <v>/</v>
      </c>
      <c r="G118" s="357">
        <f>'Reference Score Calculation'!G110</f>
        <v>157.00000000144999</v>
      </c>
      <c r="H118" s="357">
        <f>'Reference Score Calculation'!H110</f>
        <v>151.00000000188001</v>
      </c>
      <c r="I118" s="357">
        <f>計分版!H131</f>
        <v>2.175E-8</v>
      </c>
      <c r="J118" s="352">
        <f>入學要求!C119</f>
        <v>0</v>
      </c>
      <c r="K118" s="352" t="str">
        <f>IFERROR(INDEX('Offer Statistics'!$AZ$173:$AZ$203,MATCH('A123'!A118,('Offer Statistics'!$AK$173:$AK$203),0)),"/")</f>
        <v>/</v>
      </c>
      <c r="L118" s="386" t="str">
        <f>IFERROR(INDEX('Offer Statistics'!$AM$173:$AM$203,MATCH('A123'!A118,('Offer Statistics'!$AK$173:$AK$203),0))/INDEX('Offer Statistics'!$AU$173:$AU$203,MATCH('A123'!A118,('Offer Statistics'!$AK$173:$AK$203),0)),"新科目")</f>
        <v>新科目</v>
      </c>
      <c r="M118" s="352">
        <f>入學要求!R119</f>
        <v>0</v>
      </c>
    </row>
    <row r="119" spans="1:25" x14ac:dyDescent="0.3">
      <c r="A119" s="352" t="str">
        <f>'Reference Score Calculation'!A111</f>
        <v>JS3130</v>
      </c>
      <c r="B119" s="352" t="str">
        <f>'Reference Score Calculation'!B111</f>
        <v>PolyU</v>
      </c>
      <c r="C119" s="352" t="str">
        <f>'Reference Score Calculation'!D111</f>
        <v>空間數據科學及智慧城市(榮譽)理學士組合課程 - 土地測量及地理資訊學(榮譽)理學士</v>
      </c>
      <c r="D119" s="352" t="str">
        <f>'Reference Score Calculation'!T111</f>
        <v>LAND SURV &amp; GEO-INFO</v>
      </c>
      <c r="E119" s="366" t="str">
        <f>'Reference Score Calculation'!AD111</f>
        <v>Best 5</v>
      </c>
      <c r="F119" s="357" t="str">
        <f>'Reference Score Calculation'!F111</f>
        <v>/</v>
      </c>
      <c r="G119" s="357">
        <f>'Reference Score Calculation'!G111</f>
        <v>184.00000000145002</v>
      </c>
      <c r="H119" s="357">
        <f>'Reference Score Calculation'!H111</f>
        <v>181.00000000144999</v>
      </c>
      <c r="I119" s="357">
        <f>計分版!H132</f>
        <v>2.175E-8</v>
      </c>
      <c r="J119" s="352">
        <f>入學要求!C120</f>
        <v>39</v>
      </c>
      <c r="K119" s="352" t="str">
        <f>IFERROR(INDEX('Offer Statistics'!$AZ$173:$AZ$203,MATCH('A123'!A119,('Offer Statistics'!$AK$173:$AK$203),0)),"/")</f>
        <v>/</v>
      </c>
      <c r="L119" s="386" t="str">
        <f>IFERROR(INDEX('Offer Statistics'!$AM$173:$AM$203,MATCH('A123'!A119,('Offer Statistics'!$AK$173:$AK$203),0))/INDEX('Offer Statistics'!$AU$173:$AU$203,MATCH('A123'!A119,('Offer Statistics'!$AK$173:$AK$203),0)),"新科目")</f>
        <v>新科目</v>
      </c>
      <c r="M119" s="352">
        <f>入學要求!R120</f>
        <v>0</v>
      </c>
    </row>
    <row r="120" spans="1:25" x14ac:dyDescent="0.3">
      <c r="A120" s="352" t="str">
        <f>'Reference Score Calculation'!A112</f>
        <v>JS3140</v>
      </c>
      <c r="B120" s="352" t="str">
        <f>'Reference Score Calculation'!B112</f>
        <v>PolyU</v>
      </c>
      <c r="C120" s="352" t="str">
        <f>'Reference Score Calculation'!D112</f>
        <v>航空工程學(榮譽)工學士組合課程</v>
      </c>
      <c r="D120" s="352" t="str">
        <f>'Reference Score Calculation'!T112</f>
        <v>AVIATION ENGG</v>
      </c>
      <c r="E120" s="366" t="str">
        <f>'Reference Score Calculation'!AD112</f>
        <v>Best 5</v>
      </c>
      <c r="F120" s="357" t="str">
        <f>'Reference Score Calculation'!F112</f>
        <v>/</v>
      </c>
      <c r="G120" s="357">
        <f>'Reference Score Calculation'!G112</f>
        <v>178.50000000187001</v>
      </c>
      <c r="H120" s="357">
        <f>'Reference Score Calculation'!H112</f>
        <v>181.00000000207999</v>
      </c>
      <c r="I120" s="357">
        <f>計分版!H133</f>
        <v>2.175E-8</v>
      </c>
      <c r="J120" s="352">
        <f>入學要求!C121</f>
        <v>56</v>
      </c>
      <c r="K120" s="352" t="str">
        <f>IFERROR(INDEX('Offer Statistics'!$AZ$173:$AZ$203,MATCH('A123'!A120,('Offer Statistics'!$AK$173:$AK$203),0)),"/")</f>
        <v>/</v>
      </c>
      <c r="L120" s="386" t="str">
        <f>IFERROR(INDEX('Offer Statistics'!$AM$173:$AM$203,MATCH('A123'!A120,('Offer Statistics'!$AK$173:$AK$203),0))/INDEX('Offer Statistics'!$AU$173:$AU$203,MATCH('A123'!A120,('Offer Statistics'!$AK$173:$AK$203),0)),"新科目")</f>
        <v>新科目</v>
      </c>
      <c r="M120" s="352">
        <f>入學要求!R121</f>
        <v>0</v>
      </c>
    </row>
    <row r="121" spans="1:25" x14ac:dyDescent="0.3">
      <c r="A121" s="352" t="str">
        <f>'Reference Score Calculation'!A113</f>
        <v>JS3150</v>
      </c>
      <c r="B121" s="352" t="str">
        <f>'Reference Score Calculation'!B113</f>
        <v>PolyU</v>
      </c>
      <c r="C121" s="352" t="str">
        <f>'Reference Score Calculation'!D113</f>
        <v>生物醫學工程(榮譽)理學士組合課程</v>
      </c>
      <c r="D121" s="352" t="str">
        <f>'Reference Score Calculation'!T113</f>
        <v>BIOMEDICAL ENGG</v>
      </c>
      <c r="E121" s="366" t="str">
        <f>'Reference Score Calculation'!AD113</f>
        <v>Best 5</v>
      </c>
      <c r="F121" s="357" t="str">
        <f>'Reference Score Calculation'!F113</f>
        <v>/</v>
      </c>
      <c r="G121" s="357">
        <f>'Reference Score Calculation'!G113</f>
        <v>243.50000000253999</v>
      </c>
      <c r="H121" s="357">
        <f>'Reference Score Calculation'!H113</f>
        <v>200.00000000289998</v>
      </c>
      <c r="I121" s="357">
        <f>計分版!H134</f>
        <v>2.175E-8</v>
      </c>
      <c r="J121" s="352">
        <f>入學要求!C122</f>
        <v>24</v>
      </c>
      <c r="K121" s="352" t="str">
        <f>IFERROR(INDEX('Offer Statistics'!$AZ$173:$AZ$203,MATCH('A123'!A121,('Offer Statistics'!$AK$173:$AK$203),0)),"/")</f>
        <v>/</v>
      </c>
      <c r="L121" s="386" t="str">
        <f>IFERROR(INDEX('Offer Statistics'!$AM$173:$AM$203,MATCH('A123'!A121,('Offer Statistics'!$AK$173:$AK$203),0))/INDEX('Offer Statistics'!$AU$173:$AU$203,MATCH('A123'!A121,('Offer Statistics'!$AK$173:$AK$203),0)),"新科目")</f>
        <v>新科目</v>
      </c>
      <c r="M121" s="352">
        <f>入學要求!R122</f>
        <v>0</v>
      </c>
    </row>
    <row r="122" spans="1:25" x14ac:dyDescent="0.3">
      <c r="A122" s="352" t="str">
        <f>'Reference Score Calculation'!A114</f>
        <v>JS3170</v>
      </c>
      <c r="B122" s="352" t="str">
        <f>'Reference Score Calculation'!B114</f>
        <v>PolyU</v>
      </c>
      <c r="C122" s="352" t="str">
        <f>'Reference Score Calculation'!D114</f>
        <v>電機工程學(榮譽)工學士組合課程</v>
      </c>
      <c r="D122" s="352" t="str">
        <f>'Reference Score Calculation'!T114</f>
        <v>ELECTRICAL ENGG</v>
      </c>
      <c r="E122" s="366" t="str">
        <f>'Reference Score Calculation'!AD114</f>
        <v>Best 5</v>
      </c>
      <c r="F122" s="357" t="str">
        <f>'Reference Score Calculation'!F114</f>
        <v>/</v>
      </c>
      <c r="G122" s="357">
        <f>'Reference Score Calculation'!G114</f>
        <v>168.00000000207999</v>
      </c>
      <c r="H122" s="357">
        <f>'Reference Score Calculation'!H114</f>
        <v>161.00000000207999</v>
      </c>
      <c r="I122" s="357">
        <f>計分版!H135</f>
        <v>2.175E-8</v>
      </c>
      <c r="J122" s="352">
        <f>入學要求!C123</f>
        <v>61</v>
      </c>
      <c r="K122" s="352" t="str">
        <f>IFERROR(INDEX('Offer Statistics'!$AZ$173:$AZ$203,MATCH('A123'!A122,('Offer Statistics'!$AK$173:$AK$203),0)),"/")</f>
        <v>/</v>
      </c>
      <c r="L122" s="386" t="str">
        <f>IFERROR(INDEX('Offer Statistics'!$AM$173:$AM$203,MATCH('A123'!A122,('Offer Statistics'!$AK$173:$AK$203),0))/INDEX('Offer Statistics'!$AU$173:$AU$203,MATCH('A123'!A122,('Offer Statistics'!$AK$173:$AK$203),0)),"新科目")</f>
        <v>新科目</v>
      </c>
      <c r="M122" s="352">
        <f>入學要求!R123</f>
        <v>0</v>
      </c>
    </row>
    <row r="123" spans="1:25" x14ac:dyDescent="0.3">
      <c r="A123" s="352" t="str">
        <f>'Reference Score Calculation'!A115</f>
        <v>JS3170-2</v>
      </c>
      <c r="B123" s="352" t="str">
        <f>'Reference Score Calculation'!B115</f>
        <v>PolyU</v>
      </c>
      <c r="C123" s="352" t="str">
        <f>'Reference Score Calculation'!D115</f>
        <v/>
      </c>
      <c r="D123" s="352" t="str">
        <f>'Reference Score Calculation'!T115</f>
        <v/>
      </c>
      <c r="E123" s="366">
        <f>'Reference Score Calculation'!AD115</f>
        <v>0</v>
      </c>
      <c r="F123" s="357" t="str">
        <f>'Reference Score Calculation'!F115</f>
        <v>/</v>
      </c>
      <c r="G123" s="357">
        <f>'Reference Score Calculation'!G115</f>
        <v>183.00000000187001</v>
      </c>
      <c r="H123" s="357">
        <f>'Reference Score Calculation'!H115</f>
        <v>168.50000000187001</v>
      </c>
      <c r="I123" s="357">
        <f>計分版!H136</f>
        <v>2.175E-8</v>
      </c>
      <c r="J123" s="352">
        <f>入學要求!C124</f>
        <v>0</v>
      </c>
      <c r="K123" s="352" t="str">
        <f>IFERROR(INDEX('Offer Statistics'!$AZ$173:$AZ$203,MATCH('A123'!A123,('Offer Statistics'!$AK$173:$AK$203),0)),"/")</f>
        <v>/</v>
      </c>
      <c r="L123" s="386" t="str">
        <f>IFERROR(INDEX('Offer Statistics'!$AM$173:$AM$203,MATCH('A123'!A123,('Offer Statistics'!$AK$173:$AK$203),0))/INDEX('Offer Statistics'!$AU$173:$AU$203,MATCH('A123'!A123,('Offer Statistics'!$AK$173:$AK$203),0)),"新科目")</f>
        <v>新科目</v>
      </c>
      <c r="M123" s="352">
        <f>入學要求!R124</f>
        <v>0</v>
      </c>
    </row>
    <row r="124" spans="1:25" x14ac:dyDescent="0.3">
      <c r="A124" s="352" t="str">
        <f>'Reference Score Calculation'!A116</f>
        <v>JS3180</v>
      </c>
      <c r="B124" s="352" t="str">
        <f>'Reference Score Calculation'!B116</f>
        <v>PolyU</v>
      </c>
      <c r="C124" s="352" t="str">
        <f>'Reference Score Calculation'!D116</f>
        <v>資訊及人工智能工程學(榮譽)工學士/理學士組合課程</v>
      </c>
      <c r="D124" s="352" t="str">
        <f>'Reference Score Calculation'!T116</f>
        <v>INFO &amp; AI ENGG</v>
      </c>
      <c r="E124" s="366" t="str">
        <f>'Reference Score Calculation'!AD116</f>
        <v>Best 5</v>
      </c>
      <c r="F124" s="357" t="str">
        <f>'Reference Score Calculation'!F116</f>
        <v>/</v>
      </c>
      <c r="G124" s="357">
        <f>'Reference Score Calculation'!G116</f>
        <v>180.00000000229997</v>
      </c>
      <c r="H124" s="357">
        <f>'Reference Score Calculation'!H116</f>
        <v>171.00000000207999</v>
      </c>
      <c r="I124" s="357">
        <f>計分版!H137</f>
        <v>2.175E-8</v>
      </c>
      <c r="J124" s="352">
        <f>入學要求!C125</f>
        <v>68</v>
      </c>
      <c r="K124" s="352" t="str">
        <f>IFERROR(INDEX('Offer Statistics'!$AZ$173:$AZ$203,MATCH('A123'!A124,('Offer Statistics'!$AK$173:$AK$203),0)),"/")</f>
        <v>/</v>
      </c>
      <c r="L124" s="386" t="str">
        <f>IFERROR(INDEX('Offer Statistics'!$AM$173:$AM$203,MATCH('A123'!A124,('Offer Statistics'!$AK$173:$AK$203),0))/INDEX('Offer Statistics'!$AU$173:$AU$203,MATCH('A123'!A124,('Offer Statistics'!$AK$173:$AK$203),0)),"新科目")</f>
        <v>新科目</v>
      </c>
      <c r="M124" s="352">
        <f>入學要求!R125</f>
        <v>0</v>
      </c>
    </row>
    <row r="125" spans="1:25" x14ac:dyDescent="0.3">
      <c r="A125" s="352" t="str">
        <f>'Reference Score Calculation'!A117</f>
        <v>JS3180-2</v>
      </c>
      <c r="B125" s="352" t="str">
        <f>'Reference Score Calculation'!B117</f>
        <v>PolyU</v>
      </c>
      <c r="C125" s="352" t="str">
        <f>'Reference Score Calculation'!D117</f>
        <v/>
      </c>
      <c r="D125" s="352" t="str">
        <f>'Reference Score Calculation'!T117</f>
        <v/>
      </c>
      <c r="E125" s="366">
        <f>'Reference Score Calculation'!AD117</f>
        <v>0</v>
      </c>
      <c r="F125" s="357" t="str">
        <f>'Reference Score Calculation'!F117</f>
        <v>/</v>
      </c>
      <c r="G125" s="357">
        <f>'Reference Score Calculation'!G117</f>
        <v>190.00000000260002</v>
      </c>
      <c r="H125" s="357">
        <f>'Reference Score Calculation'!H117</f>
        <v>190.00000000260002</v>
      </c>
      <c r="I125" s="357">
        <f>計分版!H138</f>
        <v>2.175E-8</v>
      </c>
      <c r="J125" s="352">
        <f>入學要求!C126</f>
        <v>0</v>
      </c>
      <c r="K125" s="352" t="str">
        <f>IFERROR(INDEX('Offer Statistics'!$AZ$173:$AZ$203,MATCH('A123'!A125,('Offer Statistics'!$AK$173:$AK$203),0)),"/")</f>
        <v>/</v>
      </c>
      <c r="L125" s="386" t="str">
        <f>IFERROR(INDEX('Offer Statistics'!$AM$173:$AM$203,MATCH('A123'!A125,('Offer Statistics'!$AK$173:$AK$203),0))/INDEX('Offer Statistics'!$AU$173:$AU$203,MATCH('A123'!A125,('Offer Statistics'!$AK$173:$AK$203),0)),"新科目")</f>
        <v>新科目</v>
      </c>
      <c r="M125" s="352">
        <f>入學要求!R126</f>
        <v>0</v>
      </c>
    </row>
    <row r="126" spans="1:25" x14ac:dyDescent="0.3">
      <c r="A126" s="352" t="str">
        <f>'Reference Score Calculation'!A118</f>
        <v>JS3868</v>
      </c>
      <c r="B126" s="352" t="str">
        <f>'Reference Score Calculation'!B118</f>
        <v>PolyU</v>
      </c>
      <c r="C126" s="352" t="str">
        <f>'Reference Score Calculation'!D118</f>
        <v>電子計算及人工智能(榮譽)理學士組合課程</v>
      </c>
      <c r="D126" s="352" t="str">
        <f>'Reference Score Calculation'!T118</f>
        <v>COMPUTING &amp; AI</v>
      </c>
      <c r="E126" s="366" t="str">
        <f>'Reference Score Calculation'!AD118</f>
        <v>Best 5</v>
      </c>
      <c r="F126" s="357" t="str">
        <f>'Reference Score Calculation'!F118</f>
        <v>/</v>
      </c>
      <c r="G126" s="357">
        <f>'Reference Score Calculation'!G118</f>
        <v>180.00000000260002</v>
      </c>
      <c r="H126" s="357">
        <f>'Reference Score Calculation'!H118</f>
        <v>173.00000000207999</v>
      </c>
      <c r="I126" s="357">
        <f>計分版!H139</f>
        <v>2.175E-8</v>
      </c>
      <c r="J126" s="352">
        <f>入學要求!C127</f>
        <v>113</v>
      </c>
      <c r="K126" s="352">
        <f>IFERROR(INDEX('Offer Statistics'!$AZ$173:$AZ$203,MATCH('A123'!A126,('Offer Statistics'!$AK$173:$AK$203),0)),"/")</f>
        <v>94</v>
      </c>
      <c r="L126" s="386">
        <f>IFERROR(INDEX('Offer Statistics'!$AM$173:$AM$203,MATCH('A123'!A126,('Offer Statistics'!$AK$173:$AK$203),0))/INDEX('Offer Statistics'!$AU$173:$AU$203,MATCH('A123'!A126,('Offer Statistics'!$AK$173:$AK$203),0)),"新科目")</f>
        <v>6.3170731707317076</v>
      </c>
      <c r="M126" s="352">
        <f>入學要求!R127</f>
        <v>0</v>
      </c>
    </row>
    <row r="127" spans="1:25" x14ac:dyDescent="0.3">
      <c r="A127" s="352" t="str">
        <f>'Reference Score Calculation'!A119</f>
        <v>JS3571</v>
      </c>
      <c r="B127" s="352" t="str">
        <f>'Reference Score Calculation'!B119</f>
        <v>PolyU</v>
      </c>
      <c r="C127" s="352" t="str">
        <f>'Reference Score Calculation'!D119</f>
        <v>物流及企業工程(榮譽)理學士組合課程</v>
      </c>
      <c r="D127" s="352" t="str">
        <f>'Reference Score Calculation'!T119</f>
        <v>LOG &amp; ENTERPRISE ENGG</v>
      </c>
      <c r="E127" s="366" t="str">
        <f>'Reference Score Calculation'!AD119</f>
        <v>Best 5</v>
      </c>
      <c r="F127" s="357" t="str">
        <f>'Reference Score Calculation'!F119</f>
        <v>/</v>
      </c>
      <c r="G127" s="357">
        <f>'Reference Score Calculation'!G119</f>
        <v>144.00000000120002</v>
      </c>
      <c r="H127" s="357">
        <f>'Reference Score Calculation'!H119</f>
        <v>132.00000000115</v>
      </c>
      <c r="I127" s="357">
        <f>計分版!H140</f>
        <v>1.6750000000000001E-8</v>
      </c>
      <c r="J127" s="352">
        <f>入學要求!C128</f>
        <v>49</v>
      </c>
      <c r="K127" s="352">
        <f>IFERROR(INDEX('Offer Statistics'!$AZ$173:$AZ$203,MATCH('A123'!A127,('Offer Statistics'!$AK$173:$AK$203),0)),"/")</f>
        <v>39</v>
      </c>
      <c r="L127" s="386">
        <f>IFERROR(INDEX('Offer Statistics'!$AM$173:$AM$203,MATCH('A123'!A127,('Offer Statistics'!$AK$173:$AK$203),0))/INDEX('Offer Statistics'!$AU$173:$AU$203,MATCH('A123'!A127,('Offer Statistics'!$AK$173:$AK$203),0)),"新科目")</f>
        <v>7.5161290322580649</v>
      </c>
      <c r="M127" s="352">
        <f>入學要求!R128</f>
        <v>0</v>
      </c>
    </row>
    <row r="128" spans="1:25" x14ac:dyDescent="0.3">
      <c r="A128" s="352" t="str">
        <f>'Reference Score Calculation'!A120</f>
        <v>JS3557</v>
      </c>
      <c r="B128" s="352" t="str">
        <f>'Reference Score Calculation'!B120</f>
        <v>PolyU</v>
      </c>
      <c r="C128" s="352" t="str">
        <f>'Reference Score Calculation'!D120</f>
        <v>產品及工業工程(榮譽)工學士組合課程</v>
      </c>
      <c r="D128" s="352" t="str">
        <f>'Reference Score Calculation'!T120</f>
        <v>PROD &amp; INDUSTRIAL ENGG</v>
      </c>
      <c r="E128" s="366" t="str">
        <f>'Reference Score Calculation'!AD120</f>
        <v>Best 5</v>
      </c>
      <c r="F128" s="357" t="str">
        <f>'Reference Score Calculation'!F120</f>
        <v>/</v>
      </c>
      <c r="G128" s="357">
        <f>'Reference Score Calculation'!G120</f>
        <v>144.00000000120002</v>
      </c>
      <c r="H128" s="357">
        <f>'Reference Score Calculation'!H120</f>
        <v>134.00000000119999</v>
      </c>
      <c r="I128" s="357">
        <f>計分版!H141</f>
        <v>1.6750000000000001E-8</v>
      </c>
      <c r="J128" s="352">
        <f>入學要求!C129</f>
        <v>53</v>
      </c>
      <c r="K128" s="352">
        <f>IFERROR(INDEX('Offer Statistics'!$AZ$173:$AZ$203,MATCH('A123'!A128,('Offer Statistics'!$AK$173:$AK$203),0)),"/")</f>
        <v>42</v>
      </c>
      <c r="L128" s="386">
        <f>IFERROR(INDEX('Offer Statistics'!$AM$173:$AM$203,MATCH('A123'!A128,('Offer Statistics'!$AK$173:$AK$203),0))/INDEX('Offer Statistics'!$AU$173:$AU$203,MATCH('A123'!A128,('Offer Statistics'!$AK$173:$AK$203),0)),"新科目")</f>
        <v>8.125</v>
      </c>
      <c r="M128" s="352">
        <f>入學要求!R129</f>
        <v>0</v>
      </c>
    </row>
    <row r="129" spans="1:13" x14ac:dyDescent="0.3">
      <c r="A129" s="352" t="str">
        <f>'Reference Score Calculation'!A121</f>
        <v>JS3741</v>
      </c>
      <c r="B129" s="352" t="str">
        <f>'Reference Score Calculation'!B121</f>
        <v>PolyU</v>
      </c>
      <c r="C129" s="352" t="str">
        <f>'Reference Score Calculation'!D121</f>
        <v>機械工程學(榮譽)工學士組合課程</v>
      </c>
      <c r="D129" s="352" t="str">
        <f>'Reference Score Calculation'!T121</f>
        <v>MECHANICAL ENGG</v>
      </c>
      <c r="E129" s="366" t="str">
        <f>'Reference Score Calculation'!AD121</f>
        <v>Best 5</v>
      </c>
      <c r="F129" s="357" t="str">
        <f>'Reference Score Calculation'!F121</f>
        <v>/</v>
      </c>
      <c r="G129" s="357">
        <f>'Reference Score Calculation'!G121</f>
        <v>178.00000000207999</v>
      </c>
      <c r="H129" s="357">
        <f>'Reference Score Calculation'!H121</f>
        <v>170.00000000260002</v>
      </c>
      <c r="I129" s="357">
        <f>計分版!H142</f>
        <v>2.175E-8</v>
      </c>
      <c r="J129" s="352">
        <f>入學要求!C130</f>
        <v>60</v>
      </c>
      <c r="K129" s="352">
        <f>IFERROR(INDEX('Offer Statistics'!$AZ$173:$AZ$203,MATCH('A123'!A129,('Offer Statistics'!$AK$173:$AK$203),0)),"/")</f>
        <v>48</v>
      </c>
      <c r="L129" s="386">
        <f>IFERROR(INDEX('Offer Statistics'!$AM$173:$AM$203,MATCH('A123'!A129,('Offer Statistics'!$AK$173:$AK$203),0))/INDEX('Offer Statistics'!$AU$173:$AU$203,MATCH('A123'!A129,('Offer Statistics'!$AK$173:$AK$203),0)),"新科目")</f>
        <v>9.9090909090909083</v>
      </c>
      <c r="M129" s="352">
        <f>入學要求!R130</f>
        <v>0</v>
      </c>
    </row>
    <row r="130" spans="1:13" x14ac:dyDescent="0.3">
      <c r="A130" s="352" t="str">
        <f>'Reference Score Calculation'!A122</f>
        <v>JS3230</v>
      </c>
      <c r="B130" s="352" t="str">
        <f>'Reference Score Calculation'!B122</f>
        <v>PolyU</v>
      </c>
      <c r="C130" s="352" t="str">
        <f>'Reference Score Calculation'!D122</f>
        <v>語言學及翻譯學(榮譽)文學士組合課程</v>
      </c>
      <c r="D130" s="352" t="str">
        <f>'Reference Score Calculation'!T122</f>
        <v>LINGUISTICS &amp; TRANSLAT</v>
      </c>
      <c r="E130" s="366" t="str">
        <f>'Reference Score Calculation'!AD122</f>
        <v>中英Best3</v>
      </c>
      <c r="F130" s="357" t="str">
        <f>'Reference Score Calculation'!F122</f>
        <v>/</v>
      </c>
      <c r="G130" s="357">
        <f>'Reference Score Calculation'!G122</f>
        <v>166.50000000109</v>
      </c>
      <c r="H130" s="357">
        <f>'Reference Score Calculation'!H122</f>
        <v>149.00000000109</v>
      </c>
      <c r="I130" s="357">
        <f>計分版!H143</f>
        <v>1.625E-8</v>
      </c>
      <c r="J130" s="352">
        <f>入學要求!C131</f>
        <v>37</v>
      </c>
      <c r="K130" s="352" t="str">
        <f>IFERROR(INDEX('Offer Statistics'!$AZ$173:$AZ$203,MATCH('A123'!A130,('Offer Statistics'!$AK$173:$AK$203),0)),"/")</f>
        <v>/</v>
      </c>
      <c r="L130" s="386" t="str">
        <f>IFERROR(INDEX('Offer Statistics'!$AM$173:$AM$203,MATCH('A123'!A130,('Offer Statistics'!$AK$173:$AK$203),0))/INDEX('Offer Statistics'!$AU$173:$AU$203,MATCH('A123'!A130,('Offer Statistics'!$AK$173:$AK$203),0)),"新科目")</f>
        <v>新科目</v>
      </c>
      <c r="M130" s="352">
        <f>入學要求!R131</f>
        <v>0</v>
      </c>
    </row>
    <row r="131" spans="1:13" x14ac:dyDescent="0.3">
      <c r="A131" s="352" t="str">
        <f>'Reference Score Calculation'!A123</f>
        <v>JS3240</v>
      </c>
      <c r="B131" s="352" t="str">
        <f>'Reference Score Calculation'!B123</f>
        <v>PolyU</v>
      </c>
      <c r="C131" s="352" t="str">
        <f>'Reference Score Calculation'!D123</f>
        <v>英文及應用語言學(榮譽)文學士組合課程</v>
      </c>
      <c r="D131" s="352" t="str">
        <f>'Reference Score Calculation'!T123</f>
        <v>ENGL &amp; APP LINGUISTICS</v>
      </c>
      <c r="E131" s="366" t="str">
        <f>'Reference Score Calculation'!AD123</f>
        <v>中英Best3</v>
      </c>
      <c r="F131" s="357" t="str">
        <f>'Reference Score Calculation'!F123</f>
        <v>/</v>
      </c>
      <c r="G131" s="357">
        <f>'Reference Score Calculation'!G123</f>
        <v>139.50000000109</v>
      </c>
      <c r="H131" s="357">
        <f>'Reference Score Calculation'!H123</f>
        <v>149.00000000109</v>
      </c>
      <c r="I131" s="357">
        <f>計分版!H144</f>
        <v>1.625E-8</v>
      </c>
      <c r="J131" s="352">
        <f>入學要求!C132</f>
        <v>41</v>
      </c>
      <c r="K131" s="352" t="str">
        <f>IFERROR(INDEX('Offer Statistics'!$AZ$173:$AZ$203,MATCH('A123'!A131,('Offer Statistics'!$AK$173:$AK$203),0)),"/")</f>
        <v>/</v>
      </c>
      <c r="L131" s="386" t="str">
        <f>IFERROR(INDEX('Offer Statistics'!$AM$173:$AM$203,MATCH('A123'!A131,('Offer Statistics'!$AK$173:$AK$203),0))/INDEX('Offer Statistics'!$AU$173:$AU$203,MATCH('A123'!A131,('Offer Statistics'!$AK$173:$AK$203),0)),"新科目")</f>
        <v>新科目</v>
      </c>
      <c r="M131" s="352">
        <f>入學要求!R132</f>
        <v>0</v>
      </c>
    </row>
    <row r="132" spans="1:13" x14ac:dyDescent="0.3">
      <c r="A132" s="352" t="str">
        <f>'Reference Score Calculation'!A124</f>
        <v>JS3310</v>
      </c>
      <c r="B132" s="352" t="str">
        <f>'Reference Score Calculation'!B124</f>
        <v>PolyU</v>
      </c>
      <c r="C132" s="352" t="str">
        <f>'Reference Score Calculation'!D124</f>
        <v>酒店及旅遊管理(榮譽)理學士組合課程</v>
      </c>
      <c r="D132" s="352" t="str">
        <f>'Reference Score Calculation'!T124</f>
        <v>HOTEL &amp; TOURISM MGT</v>
      </c>
      <c r="E132" s="366" t="str">
        <f>'Reference Score Calculation'!AD124</f>
        <v>Best 5</v>
      </c>
      <c r="F132" s="357" t="str">
        <f>'Reference Score Calculation'!F124</f>
        <v>/</v>
      </c>
      <c r="G132" s="357">
        <f>'Reference Score Calculation'!G124</f>
        <v>147.50000000106002</v>
      </c>
      <c r="H132" s="357">
        <f>'Reference Score Calculation'!H124</f>
        <v>140.50000000106002</v>
      </c>
      <c r="I132" s="357">
        <f>計分版!H145</f>
        <v>1.9750000000000001E-8</v>
      </c>
      <c r="J132" s="352">
        <f>入學要求!C133</f>
        <v>84</v>
      </c>
      <c r="K132" s="352" t="str">
        <f>IFERROR(INDEX('Offer Statistics'!$AZ$173:$AZ$203,MATCH('A123'!A132,('Offer Statistics'!$AK$173:$AK$203),0)),"/")</f>
        <v>/</v>
      </c>
      <c r="L132" s="386" t="str">
        <f>IFERROR(INDEX('Offer Statistics'!$AM$173:$AM$203,MATCH('A123'!A132,('Offer Statistics'!$AK$173:$AK$203),0))/INDEX('Offer Statistics'!$AU$173:$AU$203,MATCH('A123'!A132,('Offer Statistics'!$AK$173:$AK$203),0)),"新科目")</f>
        <v>新科目</v>
      </c>
      <c r="M132" s="352">
        <f>入學要求!R133</f>
        <v>0</v>
      </c>
    </row>
    <row r="133" spans="1:13" x14ac:dyDescent="0.3">
      <c r="A133" s="352" t="str">
        <f>'Reference Score Calculation'!A125</f>
        <v>JS3310-2</v>
      </c>
      <c r="B133" s="352" t="str">
        <f>'Reference Score Calculation'!B125</f>
        <v>PolyU</v>
      </c>
      <c r="C133" s="352" t="str">
        <f>'Reference Score Calculation'!D125</f>
        <v/>
      </c>
      <c r="D133" s="352" t="str">
        <f>'Reference Score Calculation'!T125</f>
        <v/>
      </c>
      <c r="E133" s="366">
        <f>'Reference Score Calculation'!AD125</f>
        <v>0</v>
      </c>
      <c r="F133" s="357" t="str">
        <f>'Reference Score Calculation'!F125</f>
        <v>/</v>
      </c>
      <c r="G133" s="357">
        <f>'Reference Score Calculation'!G125</f>
        <v>147.50000000111001</v>
      </c>
      <c r="H133" s="357">
        <f>'Reference Score Calculation'!H125</f>
        <v>144.50000000106002</v>
      </c>
      <c r="I133" s="357">
        <f>計分版!H146</f>
        <v>1.9750000000000001E-8</v>
      </c>
      <c r="J133" s="352">
        <f>入學要求!C134</f>
        <v>0</v>
      </c>
      <c r="K133" s="352" t="str">
        <f>IFERROR(INDEX('Offer Statistics'!$AZ$173:$AZ$203,MATCH('A123'!A133,('Offer Statistics'!$AK$173:$AK$203),0)),"/")</f>
        <v>/</v>
      </c>
      <c r="L133" s="386" t="str">
        <f>IFERROR(INDEX('Offer Statistics'!$AM$173:$AM$203,MATCH('A123'!A133,('Offer Statistics'!$AK$173:$AK$203),0))/INDEX('Offer Statistics'!$AU$173:$AU$203,MATCH('A123'!A133,('Offer Statistics'!$AK$173:$AK$203),0)),"新科目")</f>
        <v>新科目</v>
      </c>
      <c r="M133" s="352">
        <f>入學要求!R134</f>
        <v>0</v>
      </c>
    </row>
    <row r="134" spans="1:13" x14ac:dyDescent="0.3">
      <c r="A134" s="352" t="str">
        <f>'Reference Score Calculation'!A126</f>
        <v>JS3492</v>
      </c>
      <c r="B134" s="352" t="str">
        <f>'Reference Score Calculation'!B126</f>
        <v>PolyU</v>
      </c>
      <c r="C134" s="352" t="str">
        <f>'Reference Score Calculation'!D126</f>
        <v>服裝及紡織(榮譽)文學士組合課程</v>
      </c>
      <c r="D134" s="352" t="str">
        <f>'Reference Score Calculation'!T126</f>
        <v>FASHION &amp; TEXTILES</v>
      </c>
      <c r="E134" s="366" t="str">
        <f>'Reference Score Calculation'!AD126</f>
        <v>Best 5</v>
      </c>
      <c r="F134" s="357" t="str">
        <f>'Reference Score Calculation'!F126</f>
        <v>/</v>
      </c>
      <c r="G134" s="357">
        <f>'Reference Score Calculation'!G126</f>
        <v>176.00000000199</v>
      </c>
      <c r="H134" s="357">
        <f>'Reference Score Calculation'!H126</f>
        <v>166.00000000178002</v>
      </c>
      <c r="I134" s="357">
        <f>計分版!H147</f>
        <v>1.9750000000000001E-8</v>
      </c>
      <c r="J134" s="352">
        <f>入學要求!C135</f>
        <v>93</v>
      </c>
      <c r="K134" s="352">
        <f>IFERROR(INDEX('Offer Statistics'!$AZ$173:$AZ$203,MATCH('A123'!A134,('Offer Statistics'!$AK$173:$AK$203),0)),"/")</f>
        <v>82</v>
      </c>
      <c r="L134" s="386">
        <f>IFERROR(INDEX('Offer Statistics'!$AM$173:$AM$203,MATCH('A123'!A134,('Offer Statistics'!$AK$173:$AK$203),0))/INDEX('Offer Statistics'!$AU$173:$AU$203,MATCH('A123'!A134,('Offer Statistics'!$AK$173:$AK$203),0)),"新科目")</f>
        <v>7.3947368421052628</v>
      </c>
      <c r="M134" s="352">
        <f>入學要求!R135</f>
        <v>0</v>
      </c>
    </row>
    <row r="135" spans="1:13" x14ac:dyDescent="0.3">
      <c r="A135" s="352" t="str">
        <f>'Reference Score Calculation'!A127</f>
        <v>JS3569</v>
      </c>
      <c r="B135" s="352" t="str">
        <f>'Reference Score Calculation'!B127</f>
        <v>PolyU</v>
      </c>
      <c r="C135" s="352" t="str">
        <f>'Reference Score Calculation'!D127</f>
        <v>設計學(榮譽)文學士組合課程</v>
      </c>
      <c r="D135" s="352" t="str">
        <f>'Reference Score Calculation'!T127</f>
        <v>DESIGN</v>
      </c>
      <c r="E135" s="366" t="str">
        <f>'Reference Score Calculation'!AD127</f>
        <v>Best 5</v>
      </c>
      <c r="F135" s="357" t="str">
        <f>'Reference Score Calculation'!F127</f>
        <v>/</v>
      </c>
      <c r="G135" s="357">
        <f>'Reference Score Calculation'!G127</f>
        <v>200.00000000219998</v>
      </c>
      <c r="H135" s="357">
        <f>'Reference Score Calculation'!H127</f>
        <v>215.00000000160003</v>
      </c>
      <c r="I135" s="357">
        <f>計分版!H148</f>
        <v>2.0750000000000001E-8</v>
      </c>
      <c r="J135" s="352">
        <f>入學要求!C136</f>
        <v>81</v>
      </c>
      <c r="K135" s="352">
        <f>IFERROR(INDEX('Offer Statistics'!$AZ$173:$AZ$203,MATCH('A123'!A135,('Offer Statistics'!$AK$173:$AK$203),0)),"/")</f>
        <v>72</v>
      </c>
      <c r="L135" s="386">
        <f>IFERROR(INDEX('Offer Statistics'!$AM$173:$AM$203,MATCH('A123'!A135,('Offer Statistics'!$AK$173:$AK$203),0))/INDEX('Offer Statistics'!$AU$173:$AU$203,MATCH('A123'!A135,('Offer Statistics'!$AK$173:$AK$203),0)),"新科目")</f>
        <v>14.930555555555555</v>
      </c>
      <c r="M135" s="352">
        <f>入學要求!R136</f>
        <v>0</v>
      </c>
    </row>
    <row r="136" spans="1:13" x14ac:dyDescent="0.3">
      <c r="A136" s="352" t="str">
        <f>'Reference Score Calculation'!A128</f>
        <v>JS3250</v>
      </c>
      <c r="B136" s="352" t="str">
        <f>'Reference Score Calculation'!B128</f>
        <v>PolyU</v>
      </c>
      <c r="C136" s="352" t="str">
        <f>'Reference Score Calculation'!D128</f>
        <v>應用社會科學(榮譽)文學士組合課程</v>
      </c>
      <c r="D136" s="352" t="str">
        <f>'Reference Score Calculation'!T128</f>
        <v>APPLIED SOC SCI</v>
      </c>
      <c r="E136" s="366" t="str">
        <f>'Reference Score Calculation'!AD128</f>
        <v>4C2X</v>
      </c>
      <c r="F136" s="357" t="str">
        <f>'Reference Score Calculation'!F128</f>
        <v>/</v>
      </c>
      <c r="G136" s="357">
        <f>'Reference Score Calculation'!G128</f>
        <v>176.50000000135003</v>
      </c>
      <c r="H136" s="357">
        <f>'Reference Score Calculation'!H128</f>
        <v>166.50000000134997</v>
      </c>
      <c r="I136" s="357">
        <f>計分版!H149</f>
        <v>1.625E-8</v>
      </c>
      <c r="J136" s="352">
        <f>入學要求!C137</f>
        <v>47</v>
      </c>
      <c r="K136" s="352" t="str">
        <f>IFERROR(INDEX('Offer Statistics'!$AZ$173:$AZ$203,MATCH('A123'!A136,('Offer Statistics'!$AK$173:$AK$203),0)),"/")</f>
        <v>/</v>
      </c>
      <c r="L136" s="386" t="str">
        <f>IFERROR(INDEX('Offer Statistics'!$AM$173:$AM$203,MATCH('A123'!A136,('Offer Statistics'!$AK$173:$AK$203),0))/INDEX('Offer Statistics'!$AU$173:$AU$203,MATCH('A123'!A136,('Offer Statistics'!$AK$173:$AK$203),0)),"新科目")</f>
        <v>新科目</v>
      </c>
      <c r="M136" s="352">
        <f>入學要求!R137</f>
        <v>0</v>
      </c>
    </row>
    <row r="137" spans="1:13" x14ac:dyDescent="0.3">
      <c r="A137" s="352" t="str">
        <f>'Reference Score Calculation'!A129</f>
        <v>JS3250-2</v>
      </c>
      <c r="B137" s="352" t="str">
        <f>'Reference Score Calculation'!B129</f>
        <v>PolyU</v>
      </c>
      <c r="C137" s="352" t="str">
        <f>'Reference Score Calculation'!D129</f>
        <v/>
      </c>
      <c r="D137" s="352" t="str">
        <f>'Reference Score Calculation'!T129</f>
        <v/>
      </c>
      <c r="E137" s="366">
        <f>'Reference Score Calculation'!AD129</f>
        <v>0</v>
      </c>
      <c r="F137" s="357" t="str">
        <f>'Reference Score Calculation'!F129</f>
        <v>/</v>
      </c>
      <c r="G137" s="357">
        <f>'Reference Score Calculation'!G129</f>
        <v>133.00000000134997</v>
      </c>
      <c r="H137" s="357">
        <f>'Reference Score Calculation'!H129</f>
        <v>131.00000000134997</v>
      </c>
      <c r="I137" s="357">
        <f>計分版!H150</f>
        <v>1.625E-8</v>
      </c>
      <c r="J137" s="352">
        <f>入學要求!C138</f>
        <v>0</v>
      </c>
      <c r="K137" s="352" t="str">
        <f>IFERROR(INDEX('Offer Statistics'!$AZ$173:$AZ$203,MATCH('A123'!A137,('Offer Statistics'!$AK$173:$AK$203),0)),"/")</f>
        <v>/</v>
      </c>
      <c r="L137" s="386" t="str">
        <f>IFERROR(INDEX('Offer Statistics'!$AM$173:$AM$203,MATCH('A123'!A137,('Offer Statistics'!$AK$173:$AK$203),0))/INDEX('Offer Statistics'!$AU$173:$AU$203,MATCH('A123'!A137,('Offer Statistics'!$AK$173:$AK$203),0)),"新科目")</f>
        <v>新科目</v>
      </c>
      <c r="M137" s="352">
        <f>入學要求!R138</f>
        <v>0</v>
      </c>
    </row>
    <row r="138" spans="1:13" x14ac:dyDescent="0.3">
      <c r="A138" s="352" t="str">
        <f>'Reference Score Calculation'!A130</f>
        <v>JS3290</v>
      </c>
      <c r="B138" s="352" t="str">
        <f>'Reference Score Calculation'!B130</f>
        <v>PolyU</v>
      </c>
      <c r="C138" s="352" t="str">
        <f>'Reference Score Calculation'!D130</f>
        <v>眼科視光學(榮譽)理學士組合課程</v>
      </c>
      <c r="D138" s="352" t="str">
        <f>'Reference Score Calculation'!T130</f>
        <v>OPTOMETRY</v>
      </c>
      <c r="E138" s="366" t="str">
        <f>'Reference Score Calculation'!AD130</f>
        <v>Best 6</v>
      </c>
      <c r="F138" s="357" t="str">
        <f>'Reference Score Calculation'!F130</f>
        <v>/</v>
      </c>
      <c r="G138" s="357">
        <f>'Reference Score Calculation'!G130</f>
        <v>324.00000000297007</v>
      </c>
      <c r="H138" s="357">
        <f>'Reference Score Calculation'!H130</f>
        <v>317.00000000214993</v>
      </c>
      <c r="I138" s="357">
        <f>計分版!H151</f>
        <v>2.175E-8</v>
      </c>
      <c r="J138" s="352">
        <f>入學要求!C139</f>
        <v>53</v>
      </c>
      <c r="K138" s="352" t="str">
        <f>IFERROR(INDEX('Offer Statistics'!$AZ$173:$AZ$203,MATCH('A123'!A138,('Offer Statistics'!$AK$173:$AK$203),0)),"/")</f>
        <v>/</v>
      </c>
      <c r="L138" s="386" t="str">
        <f>IFERROR(INDEX('Offer Statistics'!$AM$173:$AM$203,MATCH('A123'!A138,('Offer Statistics'!$AK$173:$AK$203),0))/INDEX('Offer Statistics'!$AU$173:$AU$203,MATCH('A123'!A138,('Offer Statistics'!$AK$173:$AK$203),0)),"新科目")</f>
        <v>新科目</v>
      </c>
      <c r="M138" s="352">
        <f>入學要求!R139</f>
        <v>0</v>
      </c>
    </row>
    <row r="139" spans="1:13" x14ac:dyDescent="0.3">
      <c r="A139" s="352" t="str">
        <f>'Reference Score Calculation'!A131</f>
        <v>JS3337</v>
      </c>
      <c r="B139" s="352" t="str">
        <f>'Reference Score Calculation'!B131</f>
        <v>PolyU</v>
      </c>
      <c r="C139" s="352" t="str">
        <f>'Reference Score Calculation'!D131</f>
        <v>護理學(榮譽)理學士組合課程 - 精神健康護理學(榮譽)理學士</v>
      </c>
      <c r="D139" s="352" t="str">
        <f>'Reference Score Calculation'!T131</f>
        <v>MENTAL HEALTH NURSING</v>
      </c>
      <c r="E139" s="366" t="str">
        <f>'Reference Score Calculation'!AD131</f>
        <v>4C2X</v>
      </c>
      <c r="F139" s="357" t="str">
        <f>'Reference Score Calculation'!F131</f>
        <v>/</v>
      </c>
      <c r="G139" s="357">
        <f>'Reference Score Calculation'!G131</f>
        <v>250.00000000195001</v>
      </c>
      <c r="H139" s="357">
        <f>'Reference Score Calculation'!H131</f>
        <v>235.00000000200004</v>
      </c>
      <c r="I139" s="357">
        <f>計分版!H152</f>
        <v>1.85E-8</v>
      </c>
      <c r="J139" s="352">
        <f>入學要求!C140</f>
        <v>70</v>
      </c>
      <c r="K139" s="352">
        <f>IFERROR(INDEX('Offer Statistics'!$AZ$173:$AZ$203,MATCH('A123'!A139,('Offer Statistics'!$AK$173:$AK$203),0)),"/")</f>
        <v>71</v>
      </c>
      <c r="L139" s="386">
        <f>IFERROR(INDEX('Offer Statistics'!$AM$173:$AM$203,MATCH('A123'!A139,('Offer Statistics'!$AK$173:$AK$203),0))/INDEX('Offer Statistics'!$AU$173:$AU$203,MATCH('A123'!A139,('Offer Statistics'!$AK$173:$AK$203),0)),"新科目")</f>
        <v>4.3582089552238807</v>
      </c>
      <c r="M139" s="352">
        <f>入學要求!R140</f>
        <v>0</v>
      </c>
    </row>
    <row r="140" spans="1:13" x14ac:dyDescent="0.3">
      <c r="A140" s="352" t="str">
        <f>'Reference Score Calculation'!A132</f>
        <v>JS3478</v>
      </c>
      <c r="B140" s="352" t="str">
        <f>'Reference Score Calculation'!B132</f>
        <v>PolyU</v>
      </c>
      <c r="C140" s="352" t="str">
        <f>'Reference Score Calculation'!D132</f>
        <v>醫療化驗科學及放射學(榮譽)理學士組合課程 - 醫療化驗科學(榮譽)理學士</v>
      </c>
      <c r="D140" s="352" t="str">
        <f>'Reference Score Calculation'!T132</f>
        <v>MED LAB SCI</v>
      </c>
      <c r="E140" s="366" t="str">
        <f>'Reference Score Calculation'!AD132</f>
        <v>Best 6</v>
      </c>
      <c r="F140" s="357" t="str">
        <f>'Reference Score Calculation'!F132</f>
        <v>/</v>
      </c>
      <c r="G140" s="357">
        <f>'Reference Score Calculation'!G132</f>
        <v>323.00000000258001</v>
      </c>
      <c r="H140" s="357">
        <f>'Reference Score Calculation'!H132</f>
        <v>312.00000000215005</v>
      </c>
      <c r="I140" s="357">
        <f>計分版!H153</f>
        <v>2.175E-8</v>
      </c>
      <c r="J140" s="352">
        <f>入學要求!C141</f>
        <v>60</v>
      </c>
      <c r="K140" s="352">
        <f>IFERROR(INDEX('Offer Statistics'!$AZ$173:$AZ$203,MATCH('A123'!A140,('Offer Statistics'!$AK$173:$AK$203),0)),"/")</f>
        <v>54</v>
      </c>
      <c r="L140" s="386">
        <f>IFERROR(INDEX('Offer Statistics'!$AM$173:$AM$203,MATCH('A123'!A140,('Offer Statistics'!$AK$173:$AK$203),0))/INDEX('Offer Statistics'!$AU$173:$AU$203,MATCH('A123'!A140,('Offer Statistics'!$AK$173:$AK$203),0)),"新科目")</f>
        <v>4.1730769230769234</v>
      </c>
      <c r="M140" s="352">
        <f>入學要求!R141</f>
        <v>0</v>
      </c>
    </row>
    <row r="141" spans="1:13" x14ac:dyDescent="0.3">
      <c r="A141" s="352" t="str">
        <f>'Reference Score Calculation'!A133</f>
        <v>JS3612</v>
      </c>
      <c r="B141" s="352" t="str">
        <f>'Reference Score Calculation'!B133</f>
        <v>PolyU</v>
      </c>
      <c r="C141" s="352" t="str">
        <f>'Reference Score Calculation'!D133</f>
        <v>醫療化驗科學及放射學(榮譽)理學士組合課程 - 放射學(榮譽)理學士</v>
      </c>
      <c r="D141" s="352" t="str">
        <f>'Reference Score Calculation'!T133</f>
        <v>RADIOGRAPHY</v>
      </c>
      <c r="E141" s="366" t="str">
        <f>'Reference Score Calculation'!AD133</f>
        <v>Best 6</v>
      </c>
      <c r="F141" s="357" t="str">
        <f>'Reference Score Calculation'!F133</f>
        <v>/</v>
      </c>
      <c r="G141" s="357">
        <f>'Reference Score Calculation'!G133</f>
        <v>360.00000000270006</v>
      </c>
      <c r="H141" s="357">
        <f>'Reference Score Calculation'!H133</f>
        <v>345.00000000270006</v>
      </c>
      <c r="I141" s="357">
        <f>計分版!H154</f>
        <v>2.2749999999999999E-8</v>
      </c>
      <c r="J141" s="352">
        <f>入學要求!C142</f>
        <v>115</v>
      </c>
      <c r="K141" s="352">
        <f>IFERROR(INDEX('Offer Statistics'!$AZ$173:$AZ$203,MATCH('A123'!A141,('Offer Statistics'!$AK$173:$AK$203),0)),"/")</f>
        <v>104</v>
      </c>
      <c r="L141" s="386">
        <f>IFERROR(INDEX('Offer Statistics'!$AM$173:$AM$203,MATCH('A123'!A141,('Offer Statistics'!$AK$173:$AK$203),0))/INDEX('Offer Statistics'!$AU$173:$AU$203,MATCH('A123'!A141,('Offer Statistics'!$AK$173:$AK$203),0)),"新科目")</f>
        <v>5.9019607843137258</v>
      </c>
      <c r="M141" s="352">
        <f>入學要求!R142</f>
        <v>0</v>
      </c>
    </row>
    <row r="142" spans="1:13" x14ac:dyDescent="0.3">
      <c r="A142" s="352" t="str">
        <f>'Reference Score Calculation'!A134</f>
        <v>JS3624</v>
      </c>
      <c r="B142" s="352" t="str">
        <f>'Reference Score Calculation'!B134</f>
        <v>PolyU</v>
      </c>
      <c r="C142" s="352" t="str">
        <f>'Reference Score Calculation'!D134</f>
        <v>康復治療科學(榮譽)理學士組合課程 - 職業治療學(榮譽)理學士</v>
      </c>
      <c r="D142" s="352" t="str">
        <f>'Reference Score Calculation'!T134</f>
        <v>OCCUPATIONAL THERAPY</v>
      </c>
      <c r="E142" s="366" t="str">
        <f>'Reference Score Calculation'!AD134</f>
        <v>Best 6</v>
      </c>
      <c r="F142" s="357" t="str">
        <f>'Reference Score Calculation'!F134</f>
        <v>/</v>
      </c>
      <c r="G142" s="357">
        <f>'Reference Score Calculation'!G134</f>
        <v>333.00000000209002</v>
      </c>
      <c r="H142" s="357">
        <f>'Reference Score Calculation'!H134</f>
        <v>322.50000000209002</v>
      </c>
      <c r="I142" s="357">
        <f>計分版!H155</f>
        <v>2.255E-8</v>
      </c>
      <c r="J142" s="352">
        <f>入學要求!C143</f>
        <v>100</v>
      </c>
      <c r="K142" s="352">
        <f>IFERROR(INDEX('Offer Statistics'!$AZ$173:$AZ$203,MATCH('A123'!A142,('Offer Statistics'!$AK$173:$AK$203),0)),"/")</f>
        <v>98</v>
      </c>
      <c r="L142" s="386">
        <f>IFERROR(INDEX('Offer Statistics'!$AM$173:$AM$203,MATCH('A123'!A142,('Offer Statistics'!$AK$173:$AK$203),0))/INDEX('Offer Statistics'!$AU$173:$AU$203,MATCH('A123'!A142,('Offer Statistics'!$AK$173:$AK$203),0)),"新科目")</f>
        <v>3.28125</v>
      </c>
      <c r="M142" s="352">
        <f>入學要求!R143</f>
        <v>0</v>
      </c>
    </row>
    <row r="143" spans="1:13" x14ac:dyDescent="0.3">
      <c r="A143" s="352" t="str">
        <f>'Reference Score Calculation'!A135</f>
        <v>JS3636</v>
      </c>
      <c r="B143" s="352" t="str">
        <f>'Reference Score Calculation'!B135</f>
        <v>PolyU</v>
      </c>
      <c r="C143" s="352" t="str">
        <f>'Reference Score Calculation'!D135</f>
        <v>康復治療科學(榮譽)理學士組合課程 - 物理治療學(榮譽)理學士</v>
      </c>
      <c r="D143" s="352" t="str">
        <f>'Reference Score Calculation'!T135</f>
        <v>PHYSIOTHERAPY</v>
      </c>
      <c r="E143" s="366" t="str">
        <f>'Reference Score Calculation'!AD135</f>
        <v>Best 6</v>
      </c>
      <c r="F143" s="357" t="str">
        <f>'Reference Score Calculation'!F135</f>
        <v>/</v>
      </c>
      <c r="G143" s="357">
        <f>'Reference Score Calculation'!G135</f>
        <v>372.00000000209002</v>
      </c>
      <c r="H143" s="357">
        <f>'Reference Score Calculation'!H135</f>
        <v>348.00000000209002</v>
      </c>
      <c r="I143" s="357">
        <f>計分版!H156</f>
        <v>2.255E-8</v>
      </c>
      <c r="J143" s="352">
        <f>入學要求!C144</f>
        <v>150</v>
      </c>
      <c r="K143" s="352">
        <f>IFERROR(INDEX('Offer Statistics'!$AZ$173:$AZ$203,MATCH('A123'!A143,('Offer Statistics'!$AK$173:$AK$203),0)),"/")</f>
        <v>156</v>
      </c>
      <c r="L143" s="386">
        <f>IFERROR(INDEX('Offer Statistics'!$AM$173:$AM$203,MATCH('A123'!A143,('Offer Statistics'!$AK$173:$AK$203),0))/INDEX('Offer Statistics'!$AU$173:$AU$203,MATCH('A123'!A143,('Offer Statistics'!$AK$173:$AK$203),0)),"新科目")</f>
        <v>4.0584415584415581</v>
      </c>
      <c r="M143" s="352">
        <f>入學要求!R144</f>
        <v>0</v>
      </c>
    </row>
    <row r="144" spans="1:13" x14ac:dyDescent="0.3">
      <c r="A144" s="352" t="str">
        <f>'Reference Score Calculation'!A136</f>
        <v>JS3648</v>
      </c>
      <c r="B144" s="352" t="str">
        <f>'Reference Score Calculation'!B136</f>
        <v>PolyU</v>
      </c>
      <c r="C144" s="352" t="str">
        <f>'Reference Score Calculation'!D136</f>
        <v>護理學(榮譽)理學士組合課程 - 護理學(榮譽)理學士</v>
      </c>
      <c r="D144" s="352" t="str">
        <f>'Reference Score Calculation'!T136</f>
        <v>NURSING</v>
      </c>
      <c r="E144" s="366" t="str">
        <f>'Reference Score Calculation'!AD136</f>
        <v>4C2X</v>
      </c>
      <c r="F144" s="357" t="str">
        <f>'Reference Score Calculation'!F136</f>
        <v>/</v>
      </c>
      <c r="G144" s="357">
        <f>'Reference Score Calculation'!G136</f>
        <v>265.00000000200004</v>
      </c>
      <c r="H144" s="357">
        <f>'Reference Score Calculation'!H136</f>
        <v>265.00000000195001</v>
      </c>
      <c r="I144" s="357">
        <f>計分版!H157</f>
        <v>1.85E-8</v>
      </c>
      <c r="J144" s="352">
        <f>入學要求!C145</f>
        <v>193</v>
      </c>
      <c r="K144" s="352">
        <f>IFERROR(INDEX('Offer Statistics'!$AZ$173:$AZ$203,MATCH('A123'!A144,('Offer Statistics'!$AK$173:$AK$203),0)),"/")</f>
        <v>172</v>
      </c>
      <c r="L144" s="386">
        <f>IFERROR(INDEX('Offer Statistics'!$AM$173:$AM$203,MATCH('A123'!A144,('Offer Statistics'!$AK$173:$AK$203),0))/INDEX('Offer Statistics'!$AU$173:$AU$203,MATCH('A123'!A144,('Offer Statistics'!$AK$173:$AK$203),0)),"新科目")</f>
        <v>5.875</v>
      </c>
      <c r="M144" s="352">
        <f>入學要求!R145</f>
        <v>0</v>
      </c>
    </row>
    <row r="145" spans="1:13" x14ac:dyDescent="0.3">
      <c r="A145" s="352"/>
      <c r="D145" s="13"/>
      <c r="E145" s="38"/>
      <c r="M145" s="352">
        <f>入學要求!R146</f>
        <v>0</v>
      </c>
    </row>
    <row r="146" spans="1:13" x14ac:dyDescent="0.3">
      <c r="A146" s="352"/>
      <c r="D146" s="13"/>
      <c r="E146" s="38"/>
      <c r="F146" s="377" t="s">
        <v>2021</v>
      </c>
      <c r="G146" s="377" t="s">
        <v>2546</v>
      </c>
      <c r="H146" s="377" t="s">
        <v>2547</v>
      </c>
      <c r="I146" s="377" t="s">
        <v>2010</v>
      </c>
      <c r="J146" s="352" t="s">
        <v>1997</v>
      </c>
      <c r="K146" s="352" t="s">
        <v>2548</v>
      </c>
      <c r="L146" s="425" t="s">
        <v>3211</v>
      </c>
      <c r="M146" s="352">
        <f>入學要求!R147</f>
        <v>0</v>
      </c>
    </row>
    <row r="147" spans="1:13" x14ac:dyDescent="0.3">
      <c r="A147" s="13" t="str">
        <f>'Reference Score Calculation'!A139</f>
        <v>JS4006</v>
      </c>
      <c r="B147" s="352" t="str">
        <f>'Reference Score Calculation'!B139</f>
        <v>CUHK</v>
      </c>
      <c r="C147" s="352" t="str">
        <f>'Reference Score Calculation'!D139</f>
        <v>人類學</v>
      </c>
      <c r="D147" s="352" t="str">
        <f>'Reference Score Calculation'!T139</f>
        <v>ANTHROPOLOGY</v>
      </c>
      <c r="E147" s="352" t="str">
        <f>'Reference Score Calculation'!E139</f>
        <v>Best 5</v>
      </c>
      <c r="F147" s="20">
        <f>'Reference Score Calculation'!F139</f>
        <v>24.500000000209997</v>
      </c>
      <c r="G147" s="357">
        <f>'Reference Score Calculation'!G139</f>
        <v>24.000000000209997</v>
      </c>
      <c r="H147" s="357">
        <f>'Reference Score Calculation'!H139</f>
        <v>23.000000000290001</v>
      </c>
      <c r="I147" s="20">
        <f>計分版!H160</f>
        <v>3.9500000000000006E-9</v>
      </c>
      <c r="J147" s="13">
        <f>入學要求!C148</f>
        <v>18</v>
      </c>
      <c r="K147" s="352">
        <f>IFERROR(INDEX('Offer Statistics'!$BQ$188:$BQ$255,MATCH('A123'!A147,('Offer Statistics'!$BB$188:$BB$255),0)),"/")</f>
        <v>22</v>
      </c>
      <c r="L147" s="386">
        <f>IFERROR(INDEX('Offer Statistics'!$BD$188:$BD$255,MATCH(A147,('Offer Statistics'!$BB$188:$BB$255),0))/INDEX('Offer Statistics'!$BL$188:$BL$255,MATCH(A147,('Offer Statistics'!$BB$188:$BB$255),0)),"新科目")</f>
        <v>11.363636363636363</v>
      </c>
      <c r="M147" s="352">
        <f>入學要求!R148</f>
        <v>0</v>
      </c>
    </row>
    <row r="148" spans="1:13" x14ac:dyDescent="0.3">
      <c r="A148" s="352" t="str">
        <f>'Reference Score Calculation'!A140</f>
        <v>JS4018</v>
      </c>
      <c r="B148" s="352" t="str">
        <f>'Reference Score Calculation'!B140</f>
        <v>CUHK</v>
      </c>
      <c r="C148" s="352" t="str">
        <f>'Reference Score Calculation'!D140</f>
        <v>中國語言及文學</v>
      </c>
      <c r="D148" s="352" t="str">
        <f>'Reference Score Calculation'!T140</f>
        <v>CHI LANG &amp; LIT</v>
      </c>
      <c r="E148" s="352" t="str">
        <f>'Reference Score Calculation'!E140</f>
        <v>Best 5</v>
      </c>
      <c r="F148" s="357">
        <f>'Reference Score Calculation'!F140</f>
        <v>35.250000000215003</v>
      </c>
      <c r="G148" s="357">
        <f>'Reference Score Calculation'!G140</f>
        <v>32.500000000205006</v>
      </c>
      <c r="H148" s="357">
        <f>'Reference Score Calculation'!H140</f>
        <v>31.000000000215</v>
      </c>
      <c r="I148" s="357">
        <f>計分版!H161</f>
        <v>3.9500000000000006E-9</v>
      </c>
      <c r="J148" s="352">
        <f>入學要求!C149</f>
        <v>79</v>
      </c>
      <c r="K148" s="352">
        <f>IFERROR(INDEX('Offer Statistics'!$BQ$188:$BQ$255,MATCH('A123'!A148,('Offer Statistics'!$BB$188:$BB$255),0)),"/")</f>
        <v>81</v>
      </c>
      <c r="L148" s="386">
        <f>IFERROR(INDEX('Offer Statistics'!$BD$188:$BD$255,MATCH(A148,('Offer Statistics'!$BB$188:$BB$255),0))/INDEX('Offer Statistics'!$BL$188:$BL$255,MATCH(A148,('Offer Statistics'!$BB$188:$BB$255),0)),"新科目")</f>
        <v>4.9135802469135799</v>
      </c>
      <c r="M148" s="352">
        <f>入學要求!R149</f>
        <v>0</v>
      </c>
    </row>
    <row r="149" spans="1:13" x14ac:dyDescent="0.3">
      <c r="A149" s="352" t="str">
        <f>'Reference Score Calculation'!A141</f>
        <v>JS4020</v>
      </c>
      <c r="B149" s="352" t="str">
        <f>'Reference Score Calculation'!B141</f>
        <v>CUHK</v>
      </c>
      <c r="C149" s="352" t="str">
        <f>'Reference Score Calculation'!D141</f>
        <v>文化研究</v>
      </c>
      <c r="D149" s="352" t="str">
        <f>'Reference Score Calculation'!T141</f>
        <v>CULTURAL STUDIES</v>
      </c>
      <c r="E149" s="352" t="str">
        <f>'Reference Score Calculation'!E141</f>
        <v>Best 5</v>
      </c>
      <c r="F149" s="357">
        <f>'Reference Score Calculation'!F141</f>
        <v>26.000000000220002</v>
      </c>
      <c r="G149" s="357">
        <f>'Reference Score Calculation'!G141</f>
        <v>25.000000000209997</v>
      </c>
      <c r="H149" s="357">
        <f>'Reference Score Calculation'!H141</f>
        <v>24.5000000002</v>
      </c>
      <c r="I149" s="357">
        <f>計分版!H162</f>
        <v>3.9500000000000006E-9</v>
      </c>
      <c r="J149" s="352">
        <f>入學要求!C150</f>
        <v>17</v>
      </c>
      <c r="K149" s="352">
        <f>IFERROR(INDEX('Offer Statistics'!$BQ$188:$BQ$255,MATCH('A123'!A149,('Offer Statistics'!$BB$188:$BB$255),0)),"/")</f>
        <v>14</v>
      </c>
      <c r="L149" s="386">
        <f>IFERROR(INDEX('Offer Statistics'!$BD$188:$BD$255,MATCH(A149,('Offer Statistics'!$BB$188:$BB$255),0))/INDEX('Offer Statistics'!$BL$188:$BL$255,MATCH(A149,('Offer Statistics'!$BB$188:$BB$255),0)),"新科目")</f>
        <v>13.357142857142858</v>
      </c>
      <c r="M149" s="352">
        <f>入學要求!R150</f>
        <v>0</v>
      </c>
    </row>
    <row r="150" spans="1:13" x14ac:dyDescent="0.3">
      <c r="A150" s="352" t="str">
        <f>'Reference Score Calculation'!A142</f>
        <v>JS4022</v>
      </c>
      <c r="B150" s="352" t="str">
        <f>'Reference Score Calculation'!B142</f>
        <v>CUHK</v>
      </c>
      <c r="C150" s="352" t="str">
        <f>'Reference Score Calculation'!D142</f>
        <v>文化管理</v>
      </c>
      <c r="D150" s="352" t="str">
        <f>'Reference Score Calculation'!T142</f>
        <v>CULTURAL MANAGEMENT</v>
      </c>
      <c r="E150" s="352" t="str">
        <f>'Reference Score Calculation'!E142</f>
        <v>Best 5</v>
      </c>
      <c r="F150" s="357">
        <f>'Reference Score Calculation'!F142</f>
        <v>26.000000000220002</v>
      </c>
      <c r="G150" s="357">
        <f>'Reference Score Calculation'!G142</f>
        <v>24.5000000002</v>
      </c>
      <c r="H150" s="357">
        <f>'Reference Score Calculation'!H142</f>
        <v>24.500000000209997</v>
      </c>
      <c r="I150" s="357">
        <f>計分版!H163</f>
        <v>3.9500000000000006E-9</v>
      </c>
      <c r="J150" s="352">
        <f>入學要求!C151</f>
        <v>20</v>
      </c>
      <c r="K150" s="352">
        <f>IFERROR(INDEX('Offer Statistics'!$BQ$188:$BQ$255,MATCH('A123'!A150,('Offer Statistics'!$BB$188:$BB$255),0)),"/")</f>
        <v>21</v>
      </c>
      <c r="L150" s="386">
        <f>IFERROR(INDEX('Offer Statistics'!$BD$188:$BD$255,MATCH(A150,('Offer Statistics'!$BB$188:$BB$255),0))/INDEX('Offer Statistics'!$BL$188:$BL$255,MATCH(A150,('Offer Statistics'!$BB$188:$BB$255),0)),"新科目")</f>
        <v>7.3809523809523814</v>
      </c>
      <c r="M150" s="352">
        <f>入學要求!R151</f>
        <v>0</v>
      </c>
    </row>
    <row r="151" spans="1:13" x14ac:dyDescent="0.3">
      <c r="A151" s="352" t="str">
        <f>'Reference Score Calculation'!A143</f>
        <v>JS4032</v>
      </c>
      <c r="B151" s="352" t="str">
        <f>'Reference Score Calculation'!B143</f>
        <v>CUHK</v>
      </c>
      <c r="C151" s="352" t="str">
        <f>'Reference Score Calculation'!D143</f>
        <v>英文</v>
      </c>
      <c r="D151" s="352" t="str">
        <f>'Reference Score Calculation'!T143</f>
        <v>ENGLISH</v>
      </c>
      <c r="E151" s="352" t="str">
        <f>'Reference Score Calculation'!E143</f>
        <v>Best 5</v>
      </c>
      <c r="F151" s="357">
        <f>'Reference Score Calculation'!F143</f>
        <v>28.000000000229999</v>
      </c>
      <c r="G151" s="357">
        <f>'Reference Score Calculation'!G143</f>
        <v>26.500000000209997</v>
      </c>
      <c r="H151" s="357">
        <f>'Reference Score Calculation'!H143</f>
        <v>25.500000000250001</v>
      </c>
      <c r="I151" s="357">
        <f>計分版!H164</f>
        <v>3.9500000000000006E-9</v>
      </c>
      <c r="J151" s="352">
        <f>入學要求!C152</f>
        <v>55</v>
      </c>
      <c r="K151" s="352">
        <f>IFERROR(INDEX('Offer Statistics'!$BQ$188:$BQ$255,MATCH('A123'!A151,('Offer Statistics'!$BB$188:$BB$255),0)),"/")</f>
        <v>52</v>
      </c>
      <c r="L151" s="386">
        <f>IFERROR(INDEX('Offer Statistics'!$BD$188:$BD$255,MATCH(A151,('Offer Statistics'!$BB$188:$BB$255),0))/INDEX('Offer Statistics'!$BL$188:$BL$255,MATCH(A151,('Offer Statistics'!$BB$188:$BB$255),0)),"新科目")</f>
        <v>4.75</v>
      </c>
      <c r="M151" s="352">
        <f>入學要求!R152</f>
        <v>0</v>
      </c>
    </row>
    <row r="152" spans="1:13" x14ac:dyDescent="0.3">
      <c r="A152" s="352" t="str">
        <f>'Reference Score Calculation'!A144</f>
        <v>JS4044</v>
      </c>
      <c r="B152" s="352" t="str">
        <f>'Reference Score Calculation'!B144</f>
        <v>CUHK</v>
      </c>
      <c r="C152" s="352" t="str">
        <f>'Reference Score Calculation'!D144</f>
        <v>藝術</v>
      </c>
      <c r="D152" s="352" t="str">
        <f>'Reference Score Calculation'!T144</f>
        <v>FINE ARTS</v>
      </c>
      <c r="E152" s="352" t="str">
        <f>'Reference Score Calculation'!E144</f>
        <v>Best 5</v>
      </c>
      <c r="F152" s="357">
        <f>'Reference Score Calculation'!F144</f>
        <v>30.50000000016</v>
      </c>
      <c r="G152" s="357">
        <f>'Reference Score Calculation'!G144</f>
        <v>25.000000000220002</v>
      </c>
      <c r="H152" s="357">
        <f>'Reference Score Calculation'!H144</f>
        <v>23.000000000220002</v>
      </c>
      <c r="I152" s="357">
        <f>計分版!H165</f>
        <v>3.9500000000000006E-9</v>
      </c>
      <c r="J152" s="352">
        <f>入學要求!C153</f>
        <v>19</v>
      </c>
      <c r="K152" s="352">
        <f>IFERROR(INDEX('Offer Statistics'!$BQ$188:$BQ$255,MATCH('A123'!A152,('Offer Statistics'!$BB$188:$BB$255),0)),"/")</f>
        <v>20</v>
      </c>
      <c r="L152" s="386">
        <f>IFERROR(INDEX('Offer Statistics'!$BD$188:$BD$255,MATCH(A152,('Offer Statistics'!$BB$188:$BB$255),0))/INDEX('Offer Statistics'!$BL$188:$BL$255,MATCH(A152,('Offer Statistics'!$BB$188:$BB$255),0)),"新科目")</f>
        <v>15.45</v>
      </c>
      <c r="M152" s="352">
        <f>入學要求!R153</f>
        <v>0</v>
      </c>
    </row>
    <row r="153" spans="1:13" x14ac:dyDescent="0.3">
      <c r="A153" s="352" t="str">
        <f>'Reference Score Calculation'!A145</f>
        <v>JS4056</v>
      </c>
      <c r="B153" s="352" t="str">
        <f>'Reference Score Calculation'!B145</f>
        <v>CUHK</v>
      </c>
      <c r="C153" s="352" t="str">
        <f>'Reference Score Calculation'!D145</f>
        <v>歷史</v>
      </c>
      <c r="D153" s="352" t="str">
        <f>'Reference Score Calculation'!T145</f>
        <v>HISTORY</v>
      </c>
      <c r="E153" s="352" t="str">
        <f>'Reference Score Calculation'!E145</f>
        <v>Best 5</v>
      </c>
      <c r="F153" s="357">
        <f>'Reference Score Calculation'!F145</f>
        <v>29.000000000209997</v>
      </c>
      <c r="G153" s="357">
        <f>'Reference Score Calculation'!G145</f>
        <v>27.500000000220002</v>
      </c>
      <c r="H153" s="357">
        <f>'Reference Score Calculation'!H145</f>
        <v>26.000000000209997</v>
      </c>
      <c r="I153" s="357">
        <f>計分版!H166</f>
        <v>3.9500000000000006E-9</v>
      </c>
      <c r="J153" s="352">
        <f>入學要求!C154</f>
        <v>48</v>
      </c>
      <c r="K153" s="352">
        <f>IFERROR(INDEX('Offer Statistics'!$BQ$188:$BQ$255,MATCH('A123'!A153,('Offer Statistics'!$BB$188:$BB$255),0)),"/")</f>
        <v>49</v>
      </c>
      <c r="L153" s="386">
        <f>IFERROR(INDEX('Offer Statistics'!$BD$188:$BD$255,MATCH(A153,('Offer Statistics'!$BB$188:$BB$255),0))/INDEX('Offer Statistics'!$BL$188:$BL$255,MATCH(A153,('Offer Statistics'!$BB$188:$BB$255),0)),"新科目")</f>
        <v>10.36734693877551</v>
      </c>
      <c r="M153" s="352">
        <f>入學要求!R154</f>
        <v>0</v>
      </c>
    </row>
    <row r="154" spans="1:13" x14ac:dyDescent="0.3">
      <c r="A154" s="352" t="str">
        <f>'Reference Score Calculation'!A146</f>
        <v>JS4068</v>
      </c>
      <c r="B154" s="352" t="str">
        <f>'Reference Score Calculation'!B146</f>
        <v>CUHK</v>
      </c>
      <c r="C154" s="352" t="str">
        <f>'Reference Score Calculation'!D146</f>
        <v>日本研究</v>
      </c>
      <c r="D154" s="352" t="str">
        <f>'Reference Score Calculation'!T146</f>
        <v>JAPANESE STUDIES</v>
      </c>
      <c r="E154" s="352" t="str">
        <f>'Reference Score Calculation'!E146</f>
        <v>Best 5</v>
      </c>
      <c r="F154" s="357">
        <f>'Reference Score Calculation'!F146</f>
        <v>29.500000000209997</v>
      </c>
      <c r="G154" s="357">
        <f>'Reference Score Calculation'!G146</f>
        <v>26.000000000260002</v>
      </c>
      <c r="H154" s="357">
        <f>'Reference Score Calculation'!H146</f>
        <v>24.500000000209997</v>
      </c>
      <c r="I154" s="357">
        <f>計分版!H167</f>
        <v>3.9500000000000006E-9</v>
      </c>
      <c r="J154" s="352">
        <f>入學要求!C155</f>
        <v>22</v>
      </c>
      <c r="K154" s="352">
        <f>IFERROR(INDEX('Offer Statistics'!$BQ$188:$BQ$255,MATCH('A123'!A154,('Offer Statistics'!$BB$188:$BB$255),0)),"/")</f>
        <v>22</v>
      </c>
      <c r="L154" s="386">
        <f>IFERROR(INDEX('Offer Statistics'!$BD$188:$BD$255,MATCH(A154,('Offer Statistics'!$BB$188:$BB$255),0))/INDEX('Offer Statistics'!$BL$188:$BL$255,MATCH(A154,('Offer Statistics'!$BB$188:$BB$255),0)),"新科目")</f>
        <v>26.5</v>
      </c>
      <c r="M154" s="352">
        <f>入學要求!R155</f>
        <v>0</v>
      </c>
    </row>
    <row r="155" spans="1:13" x14ac:dyDescent="0.3">
      <c r="A155" s="352" t="str">
        <f>'Reference Score Calculation'!A147</f>
        <v>JS4070</v>
      </c>
      <c r="B155" s="352" t="str">
        <f>'Reference Score Calculation'!B147</f>
        <v>CUHK</v>
      </c>
      <c r="C155" s="352" t="str">
        <f>'Reference Score Calculation'!D147</f>
        <v>語言學</v>
      </c>
      <c r="D155" s="352" t="str">
        <f>'Reference Score Calculation'!T147</f>
        <v>LINGUISTICS</v>
      </c>
      <c r="E155" s="352" t="str">
        <f>'Reference Score Calculation'!E147</f>
        <v>Best 5</v>
      </c>
      <c r="F155" s="357">
        <f>'Reference Score Calculation'!F147</f>
        <v>27.5000000002</v>
      </c>
      <c r="G155" s="357">
        <f>'Reference Score Calculation'!G147</f>
        <v>26.0000000002</v>
      </c>
      <c r="H155" s="357">
        <f>'Reference Score Calculation'!H147</f>
        <v>23.00000000024</v>
      </c>
      <c r="I155" s="357">
        <f>計分版!H168</f>
        <v>3.9500000000000006E-9</v>
      </c>
      <c r="J155" s="352">
        <f>入學要求!C156</f>
        <v>22</v>
      </c>
      <c r="K155" s="352">
        <f>IFERROR(INDEX('Offer Statistics'!$BQ$188:$BQ$255,MATCH('A123'!A155,('Offer Statistics'!$BB$188:$BB$255),0)),"/")</f>
        <v>20</v>
      </c>
      <c r="L155" s="386">
        <f>IFERROR(INDEX('Offer Statistics'!$BD$188:$BD$255,MATCH(A155,('Offer Statistics'!$BB$188:$BB$255),0))/INDEX('Offer Statistics'!$BL$188:$BL$255,MATCH(A155,('Offer Statistics'!$BB$188:$BB$255),0)),"新科目")</f>
        <v>6.75</v>
      </c>
      <c r="M155" s="352">
        <f>入學要求!R156</f>
        <v>0</v>
      </c>
    </row>
    <row r="156" spans="1:13" x14ac:dyDescent="0.3">
      <c r="A156" s="352" t="str">
        <f>'Reference Score Calculation'!A148</f>
        <v>JS4082</v>
      </c>
      <c r="B156" s="352" t="str">
        <f>'Reference Score Calculation'!B148</f>
        <v>CUHK</v>
      </c>
      <c r="C156" s="352" t="str">
        <f>'Reference Score Calculation'!D148</f>
        <v>音樂</v>
      </c>
      <c r="D156" s="352" t="str">
        <f>'Reference Score Calculation'!T148</f>
        <v>MUSIC</v>
      </c>
      <c r="E156" s="352" t="str">
        <f>'Reference Score Calculation'!E148</f>
        <v>Best 5</v>
      </c>
      <c r="F156" s="357">
        <f>'Reference Score Calculation'!F148</f>
        <v>27.500000000220002</v>
      </c>
      <c r="G156" s="357">
        <f>'Reference Score Calculation'!G148</f>
        <v>23.000000000260002</v>
      </c>
      <c r="H156" s="357">
        <f>'Reference Score Calculation'!H148</f>
        <v>20.00000000016</v>
      </c>
      <c r="I156" s="357">
        <f>計分版!H169</f>
        <v>3.9500000000000006E-9</v>
      </c>
      <c r="J156" s="352">
        <f>入學要求!C157</f>
        <v>27</v>
      </c>
      <c r="K156" s="352">
        <f>IFERROR(INDEX('Offer Statistics'!$BQ$188:$BQ$255,MATCH('A123'!A156,('Offer Statistics'!$BB$188:$BB$255),0)),"/")</f>
        <v>31</v>
      </c>
      <c r="L156" s="386">
        <f>IFERROR(INDEX('Offer Statistics'!$BD$188:$BD$255,MATCH(A156,('Offer Statistics'!$BB$188:$BB$255),0))/INDEX('Offer Statistics'!$BL$188:$BL$255,MATCH(A156,('Offer Statistics'!$BB$188:$BB$255),0)),"新科目")</f>
        <v>6.161290322580645</v>
      </c>
      <c r="M156" s="352">
        <f>入學要求!R157</f>
        <v>0</v>
      </c>
    </row>
    <row r="157" spans="1:13" x14ac:dyDescent="0.3">
      <c r="A157" s="352" t="str">
        <f>'Reference Score Calculation'!A149</f>
        <v>JS4094</v>
      </c>
      <c r="B157" s="352" t="str">
        <f>'Reference Score Calculation'!B149</f>
        <v>CUHK</v>
      </c>
      <c r="C157" s="352" t="str">
        <f>'Reference Score Calculation'!D149</f>
        <v>哲學</v>
      </c>
      <c r="D157" s="352" t="str">
        <f>'Reference Score Calculation'!T149</f>
        <v>PHILOSOPHY</v>
      </c>
      <c r="E157" s="352" t="str">
        <f>'Reference Score Calculation'!E149</f>
        <v>Best 5</v>
      </c>
      <c r="F157" s="357">
        <f>'Reference Score Calculation'!F149</f>
        <v>26.000000000250001</v>
      </c>
      <c r="G157" s="357">
        <f>'Reference Score Calculation'!G149</f>
        <v>26.000000000209997</v>
      </c>
      <c r="H157" s="357">
        <f>'Reference Score Calculation'!H149</f>
        <v>23.500000000209997</v>
      </c>
      <c r="I157" s="357">
        <f>計分版!H170</f>
        <v>2.9499999999999999E-9</v>
      </c>
      <c r="J157" s="352">
        <f>入學要求!C158</f>
        <v>19</v>
      </c>
      <c r="K157" s="352">
        <f>IFERROR(INDEX('Offer Statistics'!$BQ$188:$BQ$255,MATCH('A123'!A157,('Offer Statistics'!$BB$188:$BB$255),0)),"/")</f>
        <v>22</v>
      </c>
      <c r="L157" s="386">
        <f>IFERROR(INDEX('Offer Statistics'!$BD$188:$BD$255,MATCH(A157,('Offer Statistics'!$BB$188:$BB$255),0))/INDEX('Offer Statistics'!$BL$188:$BL$255,MATCH(A157,('Offer Statistics'!$BB$188:$BB$255),0)),"新科目")</f>
        <v>13.818181818181818</v>
      </c>
      <c r="M157" s="352">
        <f>入學要求!R158</f>
        <v>0</v>
      </c>
    </row>
    <row r="158" spans="1:13" x14ac:dyDescent="0.3">
      <c r="A158" s="352" t="str">
        <f>'Reference Score Calculation'!A150</f>
        <v>JS4109</v>
      </c>
      <c r="B158" s="352" t="str">
        <f>'Reference Score Calculation'!B150</f>
        <v>CUHK</v>
      </c>
      <c r="C158" s="352" t="str">
        <f>'Reference Score Calculation'!D150</f>
        <v>宗教研究</v>
      </c>
      <c r="D158" s="352" t="str">
        <f>'Reference Score Calculation'!T150</f>
        <v>RELIGION</v>
      </c>
      <c r="E158" s="352" t="str">
        <f>'Reference Score Calculation'!E150</f>
        <v>Best 5</v>
      </c>
      <c r="F158" s="357">
        <f>'Reference Score Calculation'!F150</f>
        <v>22.0000000002</v>
      </c>
      <c r="G158" s="357">
        <f>'Reference Score Calculation'!G150</f>
        <v>21.500000000209997</v>
      </c>
      <c r="H158" s="357">
        <f>'Reference Score Calculation'!H150</f>
        <v>21.50000000016</v>
      </c>
      <c r="I158" s="357">
        <f>計分版!H171</f>
        <v>3.9500000000000006E-9</v>
      </c>
      <c r="J158" s="352" t="str">
        <f>入學要求!C159</f>
        <v>18*</v>
      </c>
      <c r="K158" s="352">
        <f>IFERROR(INDEX('Offer Statistics'!$BQ$188:$BQ$255,MATCH('A123'!A158,('Offer Statistics'!$BB$188:$BB$255),0)),"/")</f>
        <v>17</v>
      </c>
      <c r="L158" s="386">
        <f>IFERROR(INDEX('Offer Statistics'!$BD$188:$BD$255,MATCH(A158,('Offer Statistics'!$BB$188:$BB$255),0))/INDEX('Offer Statistics'!$BL$188:$BL$255,MATCH(A158,('Offer Statistics'!$BB$188:$BB$255),0)),"新科目")</f>
        <v>9.1764705882352935</v>
      </c>
      <c r="M158" s="352">
        <f>入學要求!R159</f>
        <v>0</v>
      </c>
    </row>
    <row r="159" spans="1:13" x14ac:dyDescent="0.3">
      <c r="A159" s="352" t="str">
        <f>'Reference Score Calculation'!A151</f>
        <v>JS4111</v>
      </c>
      <c r="B159" s="352" t="str">
        <f>'Reference Score Calculation'!B151</f>
        <v>CUHK</v>
      </c>
      <c r="C159" s="352" t="str">
        <f>'Reference Score Calculation'!D151</f>
        <v>神學</v>
      </c>
      <c r="D159" s="352" t="str">
        <f>'Reference Score Calculation'!T151</f>
        <v>THEOLOGY</v>
      </c>
      <c r="E159" s="352" t="str">
        <f>'Reference Score Calculation'!E151</f>
        <v>Best 5</v>
      </c>
      <c r="F159" s="357" t="str">
        <f>'Reference Score Calculation'!F151</f>
        <v>/</v>
      </c>
      <c r="G159" s="357" t="str">
        <f>'Reference Score Calculation'!G151</f>
        <v>/</v>
      </c>
      <c r="H159" s="357" t="str">
        <f>'Reference Score Calculation'!H151</f>
        <v>/</v>
      </c>
      <c r="I159" s="357">
        <f>計分版!H172</f>
        <v>0</v>
      </c>
      <c r="J159" s="352" t="str">
        <f>入學要求!C160</f>
        <v>18*</v>
      </c>
      <c r="K159" s="352">
        <f>IFERROR(INDEX('Offer Statistics'!$BQ$188:$BQ$255,MATCH('A123'!A159,('Offer Statistics'!$BB$188:$BB$255),0)),"/")</f>
        <v>1</v>
      </c>
      <c r="L159" s="386">
        <f>IFERROR(INDEX('Offer Statistics'!$BD$188:$BD$255,MATCH(A159,('Offer Statistics'!$BB$188:$BB$255),0))/INDEX('Offer Statistics'!$BL$188:$BL$255,MATCH(A159,('Offer Statistics'!$BB$188:$BB$255),0)),"新科目")</f>
        <v>37</v>
      </c>
      <c r="M159" s="352">
        <f>入學要求!R160</f>
        <v>0</v>
      </c>
    </row>
    <row r="160" spans="1:13" x14ac:dyDescent="0.3">
      <c r="A160" s="352" t="str">
        <f>'Reference Score Calculation'!A152</f>
        <v>JS4123</v>
      </c>
      <c r="B160" s="352" t="str">
        <f>'Reference Score Calculation'!B152</f>
        <v>CUHK</v>
      </c>
      <c r="C160" s="352" t="str">
        <f>'Reference Score Calculation'!D152</f>
        <v>翻譯</v>
      </c>
      <c r="D160" s="352" t="str">
        <f>'Reference Score Calculation'!T152</f>
        <v>TRANSLATION</v>
      </c>
      <c r="E160" s="352" t="str">
        <f>'Reference Score Calculation'!E152</f>
        <v>Best 5</v>
      </c>
      <c r="F160" s="357">
        <f>'Reference Score Calculation'!F152</f>
        <v>32.000000000189999</v>
      </c>
      <c r="G160" s="357">
        <f>'Reference Score Calculation'!G152</f>
        <v>26.000000000259998</v>
      </c>
      <c r="H160" s="357">
        <f>'Reference Score Calculation'!H152</f>
        <v>24.5000000002</v>
      </c>
      <c r="I160" s="357">
        <f>計分版!H173</f>
        <v>3.9500000000000006E-9</v>
      </c>
      <c r="J160" s="352">
        <f>入學要求!C161</f>
        <v>32</v>
      </c>
      <c r="K160" s="352">
        <f>IFERROR(INDEX('Offer Statistics'!$BQ$188:$BQ$255,MATCH('A123'!A160,('Offer Statistics'!$BB$188:$BB$255),0)),"/")</f>
        <v>30</v>
      </c>
      <c r="L160" s="386">
        <f>IFERROR(INDEX('Offer Statistics'!$BD$188:$BD$255,MATCH(A160,('Offer Statistics'!$BB$188:$BB$255),0))/INDEX('Offer Statistics'!$BL$188:$BL$255,MATCH(A160,('Offer Statistics'!$BB$188:$BB$255),0)),"新科目")</f>
        <v>5.0999999999999996</v>
      </c>
      <c r="M160" s="352">
        <f>入學要求!R161</f>
        <v>0</v>
      </c>
    </row>
    <row r="161" spans="1:18" x14ac:dyDescent="0.3">
      <c r="A161" s="352" t="str">
        <f>'Reference Score Calculation'!A153</f>
        <v>JS4136</v>
      </c>
      <c r="B161" s="352" t="str">
        <f>'Reference Score Calculation'!B153</f>
        <v>CUHK</v>
      </c>
      <c r="C161" s="352" t="str">
        <f>'Reference Score Calculation'!D153</f>
        <v>中國研究</v>
      </c>
      <c r="D161" s="352" t="str">
        <f>'Reference Score Calculation'!T153</f>
        <v>CHINESE STUDIES</v>
      </c>
      <c r="E161" s="352" t="str">
        <f>'Reference Score Calculation'!E153</f>
        <v>Best 5</v>
      </c>
      <c r="F161" s="357">
        <f>'Reference Score Calculation'!F153</f>
        <v>22.000000000209997</v>
      </c>
      <c r="G161" s="357">
        <f>'Reference Score Calculation'!G153</f>
        <v>21.5000000002</v>
      </c>
      <c r="H161" s="357">
        <f>'Reference Score Calculation'!H153</f>
        <v>19.5000000002</v>
      </c>
      <c r="I161" s="357">
        <f>計分版!H174</f>
        <v>3.9500000000000006E-9</v>
      </c>
      <c r="J161" s="352">
        <f>入學要求!C162</f>
        <v>10</v>
      </c>
      <c r="K161" s="352">
        <f>IFERROR(INDEX('Offer Statistics'!$BQ$188:$BQ$255,MATCH('A123'!A161,('Offer Statistics'!$BB$188:$BB$255),0)),"/")</f>
        <v>17</v>
      </c>
      <c r="L161" s="386">
        <f>IFERROR(INDEX('Offer Statistics'!$BD$188:$BD$255,MATCH(A161,('Offer Statistics'!$BB$188:$BB$255),0))/INDEX('Offer Statistics'!$BL$188:$BL$255,MATCH(A161,('Offer Statistics'!$BB$188:$BB$255),0)),"新科目")</f>
        <v>6.5882352941176467</v>
      </c>
      <c r="M161" s="352">
        <f>入學要求!R162</f>
        <v>0</v>
      </c>
    </row>
    <row r="162" spans="1:18" x14ac:dyDescent="0.3">
      <c r="A162" s="352" t="str">
        <f>'Reference Score Calculation'!A154</f>
        <v>JS4202</v>
      </c>
      <c r="B162" s="352" t="str">
        <f>'Reference Score Calculation'!B154</f>
        <v>CUHK</v>
      </c>
      <c r="C162" s="352" t="str">
        <f>'Reference Score Calculation'!D154</f>
        <v>工商管理學士綜合課程</v>
      </c>
      <c r="D162" s="352" t="str">
        <f>'Reference Score Calculation'!T154</f>
        <v>INTEGRATED BBA</v>
      </c>
      <c r="E162" s="352" t="str">
        <f>'Reference Score Calculation'!E154</f>
        <v>Best 5</v>
      </c>
      <c r="F162" s="357">
        <f>'Reference Score Calculation'!F154</f>
        <v>27.5000000002</v>
      </c>
      <c r="G162" s="357">
        <f>'Reference Score Calculation'!G154</f>
        <v>24.500000000229999</v>
      </c>
      <c r="H162" s="357">
        <f>'Reference Score Calculation'!H154</f>
        <v>24.5000000002</v>
      </c>
      <c r="I162" s="357">
        <f>計分版!H175</f>
        <v>3.9500000000000006E-9</v>
      </c>
      <c r="J162" s="352">
        <f>入學要求!C163</f>
        <v>222</v>
      </c>
      <c r="K162" s="352">
        <f>IFERROR(INDEX('Offer Statistics'!$BQ$188:$BQ$255,MATCH('A123'!A162,('Offer Statistics'!$BB$188:$BB$255),0)),"/")</f>
        <v>273</v>
      </c>
      <c r="L162" s="386">
        <f>IFERROR(INDEX('Offer Statistics'!$BD$188:$BD$255,MATCH(A162,('Offer Statistics'!$BB$188:$BB$255),0))/INDEX('Offer Statistics'!$BL$188:$BL$255,MATCH(A162,('Offer Statistics'!$BB$188:$BB$255),0)),"新科目")</f>
        <v>5</v>
      </c>
      <c r="M162" s="352">
        <f>入學要求!R163</f>
        <v>0</v>
      </c>
    </row>
    <row r="163" spans="1:18" x14ac:dyDescent="0.3">
      <c r="A163" s="352" t="str">
        <f>'Reference Score Calculation'!A155</f>
        <v>JS4214</v>
      </c>
      <c r="B163" s="352" t="str">
        <f>'Reference Score Calculation'!B155</f>
        <v>CUHK</v>
      </c>
      <c r="C163" s="352" t="str">
        <f>'Reference Score Calculation'!D155</f>
        <v>環球商業學</v>
      </c>
      <c r="D163" s="352" t="str">
        <f>'Reference Score Calculation'!T155</f>
        <v>GBS</v>
      </c>
      <c r="E163" s="352" t="str">
        <f>'Reference Score Calculation'!E155</f>
        <v>4C2X</v>
      </c>
      <c r="F163" s="357">
        <f>'Reference Score Calculation'!F155</f>
        <v>49.500000000210001</v>
      </c>
      <c r="G163" s="357">
        <f>'Reference Score Calculation'!G155</f>
        <v>45.000000000230003</v>
      </c>
      <c r="H163" s="357">
        <f>'Reference Score Calculation'!H155</f>
        <v>43.500000000249997</v>
      </c>
      <c r="I163" s="357">
        <f>計分版!H176</f>
        <v>2.8499999999999999E-9</v>
      </c>
      <c r="J163" s="352">
        <f>入學要求!C164</f>
        <v>15</v>
      </c>
      <c r="K163" s="352">
        <f>IFERROR(INDEX('Offer Statistics'!$BQ$188:$BQ$255,MATCH('A123'!A163,('Offer Statistics'!$BB$188:$BB$255),0)),"/")</f>
        <v>10</v>
      </c>
      <c r="L163" s="386">
        <f>IFERROR(INDEX('Offer Statistics'!$BD$188:$BD$255,MATCH(A163,('Offer Statistics'!$BB$188:$BB$255),0))/INDEX('Offer Statistics'!$BL$188:$BL$255,MATCH(A163,('Offer Statistics'!$BB$188:$BB$255),0)),"新科目")</f>
        <v>4.2</v>
      </c>
      <c r="M163" s="352">
        <f>入學要求!R164</f>
        <v>0</v>
      </c>
    </row>
    <row r="164" spans="1:18" x14ac:dyDescent="0.3">
      <c r="A164" s="352" t="str">
        <f>'Reference Score Calculation'!A156</f>
        <v>JS4226</v>
      </c>
      <c r="B164" s="352" t="str">
        <f>'Reference Score Calculation'!B156</f>
        <v>CUHK</v>
      </c>
      <c r="C164" s="352" t="str">
        <f>'Reference Score Calculation'!D156</f>
        <v>酒店旅遊及房地產</v>
      </c>
      <c r="D164" s="352" t="str">
        <f>'Reference Score Calculation'!T156</f>
        <v>HOSP &amp; REAL EST</v>
      </c>
      <c r="E164" s="352" t="str">
        <f>'Reference Score Calculation'!E156</f>
        <v>Best 5</v>
      </c>
      <c r="F164" s="357">
        <f>'Reference Score Calculation'!F156</f>
        <v>24.5000000002</v>
      </c>
      <c r="G164" s="357">
        <f>'Reference Score Calculation'!G156</f>
        <v>23.000000000209997</v>
      </c>
      <c r="H164" s="357">
        <f>'Reference Score Calculation'!H156</f>
        <v>23.000000000220002</v>
      </c>
      <c r="I164" s="357">
        <f>計分版!H177</f>
        <v>3.9500000000000006E-9</v>
      </c>
      <c r="J164" s="352">
        <f>入學要求!C165</f>
        <v>60</v>
      </c>
      <c r="K164" s="352">
        <f>IFERROR(INDEX('Offer Statistics'!$BQ$188:$BQ$255,MATCH('A123'!A164,('Offer Statistics'!$BB$188:$BB$255),0)),"/")</f>
        <v>34</v>
      </c>
      <c r="L164" s="386">
        <f>IFERROR(INDEX('Offer Statistics'!$BD$188:$BD$255,MATCH(A164,('Offer Statistics'!$BB$188:$BB$255),0))/INDEX('Offer Statistics'!$BL$188:$BL$255,MATCH(A164,('Offer Statistics'!$BB$188:$BB$255),0)),"新科目")</f>
        <v>11.058823529411764</v>
      </c>
      <c r="M164" s="352">
        <f>入學要求!R165</f>
        <v>0</v>
      </c>
    </row>
    <row r="165" spans="1:18" x14ac:dyDescent="0.3">
      <c r="A165" s="352" t="str">
        <f>'Reference Score Calculation'!A157</f>
        <v>JS4238</v>
      </c>
      <c r="B165" s="352" t="str">
        <f>'Reference Score Calculation'!B157</f>
        <v>CUHK</v>
      </c>
      <c r="C165" s="352" t="str">
        <f>'Reference Score Calculation'!D157</f>
        <v>保險、金融與精算學</v>
      </c>
      <c r="D165" s="352" t="str">
        <f>'Reference Score Calculation'!T157</f>
        <v>IFAA</v>
      </c>
      <c r="E165" s="352" t="str">
        <f>'Reference Score Calculation'!E157</f>
        <v>Best 5</v>
      </c>
      <c r="F165" s="357">
        <f>'Reference Score Calculation'!F157</f>
        <v>33.500000000290001</v>
      </c>
      <c r="G165" s="357">
        <f>'Reference Score Calculation'!G157</f>
        <v>30.500000000250001</v>
      </c>
      <c r="H165" s="357">
        <f>'Reference Score Calculation'!H157</f>
        <v>29.000000000229999</v>
      </c>
      <c r="I165" s="357">
        <f>計分版!H178</f>
        <v>3.3500000000000002E-9</v>
      </c>
      <c r="J165" s="352">
        <f>入學要求!C166</f>
        <v>45</v>
      </c>
      <c r="K165" s="352">
        <f>IFERROR(INDEX('Offer Statistics'!$BQ$188:$BQ$255,MATCH('A123'!A165,('Offer Statistics'!$BB$188:$BB$255),0)),"/")</f>
        <v>48</v>
      </c>
      <c r="L165" s="386">
        <f>IFERROR(INDEX('Offer Statistics'!$BD$188:$BD$255,MATCH(A165,('Offer Statistics'!$BB$188:$BB$255),0))/INDEX('Offer Statistics'!$BL$188:$BL$255,MATCH(A165,('Offer Statistics'!$BB$188:$BB$255),0)),"新科目")</f>
        <v>2.8958333333333335</v>
      </c>
      <c r="M165" s="352">
        <f>入學要求!R166</f>
        <v>0</v>
      </c>
    </row>
    <row r="166" spans="1:18" x14ac:dyDescent="0.3">
      <c r="A166" s="352" t="str">
        <f>'Reference Score Calculation'!A158</f>
        <v>JS4240</v>
      </c>
      <c r="B166" s="352" t="str">
        <f>'Reference Score Calculation'!B158</f>
        <v>CUHK</v>
      </c>
      <c r="C166" s="352" t="str">
        <f>'Reference Score Calculation'!D158</f>
        <v>專業會計學</v>
      </c>
      <c r="D166" s="352" t="str">
        <f>'Reference Score Calculation'!T158</f>
        <v>PROF ACCOUNTANCY</v>
      </c>
      <c r="E166" s="352" t="str">
        <f>'Reference Score Calculation'!E158</f>
        <v>Best 5</v>
      </c>
      <c r="F166" s="357">
        <f>'Reference Score Calculation'!F158</f>
        <v>28.000000000220002</v>
      </c>
      <c r="G166" s="357">
        <f>'Reference Score Calculation'!G158</f>
        <v>26.000000000250001</v>
      </c>
      <c r="H166" s="357">
        <f>'Reference Score Calculation'!H158</f>
        <v>25.00000000028</v>
      </c>
      <c r="I166" s="357">
        <f>計分版!H179</f>
        <v>3.9500000000000006E-9</v>
      </c>
      <c r="J166" s="352">
        <f>入學要求!C167</f>
        <v>126</v>
      </c>
      <c r="K166" s="352">
        <f>IFERROR(INDEX('Offer Statistics'!$BQ$188:$BQ$255,MATCH('A123'!A166,('Offer Statistics'!$BB$188:$BB$255),0)),"/")</f>
        <v>141</v>
      </c>
      <c r="L166" s="386">
        <f>IFERROR(INDEX('Offer Statistics'!$BD$188:$BD$255,MATCH(A166,('Offer Statistics'!$BB$188:$BB$255),0))/INDEX('Offer Statistics'!$BL$188:$BL$255,MATCH(A166,('Offer Statistics'!$BB$188:$BB$255),0)),"新科目")</f>
        <v>3.3829787234042552</v>
      </c>
      <c r="M166" s="352">
        <f>入學要求!R167</f>
        <v>0</v>
      </c>
    </row>
    <row r="167" spans="1:18" x14ac:dyDescent="0.3">
      <c r="A167" s="352" t="str">
        <f>'Reference Score Calculation'!A159</f>
        <v>JS4252</v>
      </c>
      <c r="B167" s="352" t="str">
        <f>'Reference Score Calculation'!B159</f>
        <v>CUHK</v>
      </c>
      <c r="C167" s="352" t="str">
        <f>'Reference Score Calculation'!D159</f>
        <v>計量金融學</v>
      </c>
      <c r="D167" s="352" t="str">
        <f>'Reference Score Calculation'!T159</f>
        <v>QFIN</v>
      </c>
      <c r="E167" s="352" t="str">
        <f>'Reference Score Calculation'!E159</f>
        <v>Best 5</v>
      </c>
      <c r="F167" s="357">
        <f>'Reference Score Calculation'!F159</f>
        <v>52.500000000325002</v>
      </c>
      <c r="G167" s="357">
        <f>'Reference Score Calculation'!G159</f>
        <v>51.000000000300005</v>
      </c>
      <c r="H167" s="357">
        <f>'Reference Score Calculation'!H159</f>
        <v>48.750000000305</v>
      </c>
      <c r="I167" s="357">
        <f>計分版!H180</f>
        <v>4.1000000000000003E-9</v>
      </c>
      <c r="J167" s="352">
        <f>入學要求!C168</f>
        <v>37</v>
      </c>
      <c r="K167" s="352">
        <f>IFERROR(INDEX('Offer Statistics'!$BQ$188:$BQ$255,MATCH('A123'!A167,('Offer Statistics'!$BB$188:$BB$255),0)),"/")</f>
        <v>33</v>
      </c>
      <c r="L167" s="386">
        <f>IFERROR(INDEX('Offer Statistics'!$BD$188:$BD$255,MATCH(A167,('Offer Statistics'!$BB$188:$BB$255),0))/INDEX('Offer Statistics'!$BL$188:$BL$255,MATCH(A167,('Offer Statistics'!$BB$188:$BB$255),0)),"新科目")</f>
        <v>4.3939393939393936</v>
      </c>
      <c r="M167" s="352">
        <f>入學要求!R168</f>
        <v>0</v>
      </c>
    </row>
    <row r="168" spans="1:18" x14ac:dyDescent="0.3">
      <c r="A168" s="352" t="str">
        <f>'Reference Score Calculation'!A160</f>
        <v>JS4254</v>
      </c>
      <c r="B168" s="352" t="str">
        <f>'Reference Score Calculation'!B160</f>
        <v>CUHK</v>
      </c>
      <c r="C168" s="352" t="str">
        <f>'Reference Score Calculation'!D160</f>
        <v>環球經濟與金融跨學科主修課程</v>
      </c>
      <c r="D168" s="352" t="str">
        <f>'Reference Score Calculation'!T160</f>
        <v>GLEF</v>
      </c>
      <c r="E168" s="352" t="str">
        <f>'Reference Score Calculation'!E160</f>
        <v>Best 5</v>
      </c>
      <c r="F168" s="357">
        <f>'Reference Score Calculation'!F160</f>
        <v>33.500000000260002</v>
      </c>
      <c r="G168" s="357">
        <f>'Reference Score Calculation'!G160</f>
        <v>32.000000000210001</v>
      </c>
      <c r="H168" s="357">
        <f>'Reference Score Calculation'!H160</f>
        <v>29.000000000239996</v>
      </c>
      <c r="I168" s="357">
        <f>計分版!H181</f>
        <v>3.9500000000000006E-9</v>
      </c>
      <c r="J168" s="352">
        <f>入學要求!C169</f>
        <v>24</v>
      </c>
      <c r="K168" s="352">
        <f>IFERROR(INDEX('Offer Statistics'!$BQ$188:$BQ$255,MATCH('A123'!A168,('Offer Statistics'!$BB$188:$BB$255),0)),"/")</f>
        <v>17</v>
      </c>
      <c r="L168" s="386">
        <f>IFERROR(INDEX('Offer Statistics'!$BD$188:$BD$255,MATCH(A168,('Offer Statistics'!$BB$188:$BB$255),0))/INDEX('Offer Statistics'!$BL$188:$BL$255,MATCH(A168,('Offer Statistics'!$BB$188:$BB$255),0)),"新科目")</f>
        <v>2.4705882352941178</v>
      </c>
      <c r="M168" s="352">
        <f>入學要求!R169</f>
        <v>0</v>
      </c>
    </row>
    <row r="169" spans="1:18" x14ac:dyDescent="0.3">
      <c r="A169" s="352" t="str">
        <f>'Reference Score Calculation'!A161</f>
        <v>JS4264</v>
      </c>
      <c r="B169" s="352" t="str">
        <f>'Reference Score Calculation'!B161</f>
        <v>CUHK</v>
      </c>
      <c r="C169" s="352" t="str">
        <f>'Reference Score Calculation'!D161</f>
        <v>工商管理學士（工商管理學士綜合課程）及法律博士雙學位課程</v>
      </c>
      <c r="D169" s="352" t="str">
        <f>'Reference Score Calculation'!T161</f>
        <v>BBA-JD</v>
      </c>
      <c r="E169" s="352" t="str">
        <f>'Reference Score Calculation'!E161</f>
        <v>4C2X</v>
      </c>
      <c r="F169" s="357">
        <f>'Reference Score Calculation'!F161</f>
        <v>54.250000000305</v>
      </c>
      <c r="G169" s="357">
        <f>'Reference Score Calculation'!G161</f>
        <v>51.250000000295003</v>
      </c>
      <c r="H169" s="357">
        <f>'Reference Score Calculation'!H161</f>
        <v>49.000000000295003</v>
      </c>
      <c r="I169" s="357">
        <f>計分版!H182</f>
        <v>3.4999999999999999E-9</v>
      </c>
      <c r="J169" s="352">
        <f>入學要求!C170</f>
        <v>25</v>
      </c>
      <c r="K169" s="352">
        <f>IFERROR(INDEX('Offer Statistics'!$BQ$188:$BQ$255,MATCH('A123'!A169,('Offer Statistics'!$BB$188:$BB$255),0)),"/")</f>
        <v>19</v>
      </c>
      <c r="L169" s="386">
        <f>IFERROR(INDEX('Offer Statistics'!$BD$188:$BD$255,MATCH(A169,('Offer Statistics'!$BB$188:$BB$255),0))/INDEX('Offer Statistics'!$BL$188:$BL$255,MATCH(A169,('Offer Statistics'!$BB$188:$BB$255),0)),"新科目")</f>
        <v>3.1578947368421053</v>
      </c>
      <c r="M169" s="352">
        <f>入學要求!R170</f>
        <v>0</v>
      </c>
    </row>
    <row r="170" spans="1:18" x14ac:dyDescent="0.3">
      <c r="A170" s="352" t="str">
        <f>'Reference Score Calculation'!A162</f>
        <v>JS4276</v>
      </c>
      <c r="B170" s="352" t="str">
        <f>'Reference Score Calculation'!B162</f>
        <v>CUHK</v>
      </c>
      <c r="C170" s="352" t="str">
        <f>'Reference Score Calculation'!D162</f>
        <v>計量金融學及風險管理科學</v>
      </c>
      <c r="D170" s="352" t="str">
        <f>'Reference Score Calculation'!T162</f>
        <v>QFRM</v>
      </c>
      <c r="E170" s="352" t="str">
        <f>'Reference Score Calculation'!E162</f>
        <v>Best 5</v>
      </c>
      <c r="F170" s="357">
        <f>'Reference Score Calculation'!F162</f>
        <v>57.750000000304993</v>
      </c>
      <c r="G170" s="357">
        <f>'Reference Score Calculation'!G162</f>
        <v>54.750000000340002</v>
      </c>
      <c r="H170" s="357">
        <f>'Reference Score Calculation'!H162</f>
        <v>53.250000000314991</v>
      </c>
      <c r="I170" s="357">
        <f>計分版!H183</f>
        <v>4.1000000000000003E-9</v>
      </c>
      <c r="J170" s="352">
        <f>入學要求!C171</f>
        <v>20</v>
      </c>
      <c r="K170" s="352">
        <f>IFERROR(INDEX('Offer Statistics'!$BQ$188:$BQ$255,MATCH('A123'!A170,('Offer Statistics'!$BB$188:$BB$255),0)),"/")</f>
        <v>15</v>
      </c>
      <c r="L170" s="386">
        <f>IFERROR(INDEX('Offer Statistics'!$BD$188:$BD$255,MATCH(A170,('Offer Statistics'!$BB$188:$BB$255),0))/INDEX('Offer Statistics'!$BL$188:$BL$255,MATCH(A170,('Offer Statistics'!$BB$188:$BB$255),0)),"新科目")</f>
        <v>3.8</v>
      </c>
      <c r="M170" s="352">
        <f>入學要求!R171</f>
        <v>0</v>
      </c>
    </row>
    <row r="171" spans="1:18" x14ac:dyDescent="0.3">
      <c r="A171" s="352" t="str">
        <f>'Reference Score Calculation'!A163</f>
        <v>JS4329</v>
      </c>
      <c r="B171" s="352" t="str">
        <f>'Reference Score Calculation'!B163</f>
        <v>CUHK</v>
      </c>
      <c r="C171" s="352" t="str">
        <f>'Reference Score Calculation'!D163</f>
        <v>健康與體育運動科學</v>
      </c>
      <c r="D171" s="352" t="str">
        <f>'Reference Score Calculation'!T163</f>
        <v>PHY ED, EX SCI &amp; HEALTH</v>
      </c>
      <c r="E171" s="352" t="str">
        <f>'Reference Score Calculation'!E163</f>
        <v>Best 5</v>
      </c>
      <c r="F171" s="357">
        <f>'Reference Score Calculation'!F163</f>
        <v>30.500000000209997</v>
      </c>
      <c r="G171" s="357">
        <f>'Reference Score Calculation'!G163</f>
        <v>27.500000000259998</v>
      </c>
      <c r="H171" s="357">
        <f>'Reference Score Calculation'!H163</f>
        <v>26.000000000250001</v>
      </c>
      <c r="I171" s="357">
        <f>計分版!H184</f>
        <v>3.9500000000000006E-9</v>
      </c>
      <c r="J171" s="352">
        <f>入學要求!C172</f>
        <v>17</v>
      </c>
      <c r="K171" s="352">
        <f>IFERROR(INDEX('Offer Statistics'!$BQ$188:$BQ$255,MATCH('A123'!A171,('Offer Statistics'!$BB$188:$BB$255),0)),"/")</f>
        <v>27</v>
      </c>
      <c r="L171" s="386">
        <f>IFERROR(INDEX('Offer Statistics'!$BD$188:$BD$255,MATCH(A171,('Offer Statistics'!$BB$188:$BB$255),0))/INDEX('Offer Statistics'!$BL$188:$BL$255,MATCH(A171,('Offer Statistics'!$BB$188:$BB$255),0)),"新科目")</f>
        <v>18.555555555555557</v>
      </c>
      <c r="M171" s="352">
        <f>入學要求!R172</f>
        <v>0</v>
      </c>
    </row>
    <row r="172" spans="1:18" x14ac:dyDescent="0.3">
      <c r="A172" s="352" t="str">
        <f>'Reference Score Calculation'!A164</f>
        <v>JS4331</v>
      </c>
      <c r="B172" s="352" t="str">
        <f>'Reference Score Calculation'!B164</f>
        <v>CUHK</v>
      </c>
      <c r="C172" s="352" t="str">
        <f>'Reference Score Calculation'!D164</f>
        <v>文學士 (中國語文研究) 及教育學士 (中國語文教育)</v>
      </c>
      <c r="D172" s="352" t="str">
        <f>'Reference Score Calculation'!T164</f>
        <v>BA (CHI) BEd (CHI EDU)</v>
      </c>
      <c r="E172" s="352" t="str">
        <f>'Reference Score Calculation'!E164</f>
        <v>Best 5</v>
      </c>
      <c r="F172" s="357">
        <f>'Reference Score Calculation'!F164</f>
        <v>38.500000000204999</v>
      </c>
      <c r="G172" s="357">
        <f>'Reference Score Calculation'!G164</f>
        <v>34.000000000265004</v>
      </c>
      <c r="H172" s="357">
        <f>'Reference Score Calculation'!H164</f>
        <v>32.500000000265004</v>
      </c>
      <c r="I172" s="357">
        <f>計分版!H185</f>
        <v>3.9500000000000006E-9</v>
      </c>
      <c r="J172" s="352">
        <f>入學要求!C173</f>
        <v>12</v>
      </c>
      <c r="K172" s="352">
        <f>IFERROR(INDEX('Offer Statistics'!$BQ$188:$BQ$255,MATCH('A123'!A172,('Offer Statistics'!$BB$188:$BB$255),0)),"/")</f>
        <v>20</v>
      </c>
      <c r="L172" s="386">
        <f>IFERROR(INDEX('Offer Statistics'!$BD$188:$BD$255,MATCH(A172,('Offer Statistics'!$BB$188:$BB$255),0))/INDEX('Offer Statistics'!$BL$188:$BL$255,MATCH(A172,('Offer Statistics'!$BB$188:$BB$255),0)),"新科目")</f>
        <v>10.8</v>
      </c>
      <c r="M172" s="352">
        <f>入學要求!R173</f>
        <v>0</v>
      </c>
    </row>
    <row r="173" spans="1:18" x14ac:dyDescent="0.3">
      <c r="A173" s="352" t="str">
        <f>'Reference Score Calculation'!A165</f>
        <v>JS4343</v>
      </c>
      <c r="B173" s="352" t="str">
        <f>'Reference Score Calculation'!B165</f>
        <v>CUHK</v>
      </c>
      <c r="C173" s="352" t="str">
        <f>'Reference Score Calculation'!D165</f>
        <v>文學士(英國語文研究)及教育學士(英國語文教育)</v>
      </c>
      <c r="D173" s="352" t="str">
        <f>'Reference Score Calculation'!T165</f>
        <v>BA (ENG) BEd (ENG EDU)</v>
      </c>
      <c r="E173" s="352" t="str">
        <f>'Reference Score Calculation'!E165</f>
        <v>Best 5</v>
      </c>
      <c r="F173" s="357">
        <f>'Reference Score Calculation'!F165</f>
        <v>36.250000000249997</v>
      </c>
      <c r="G173" s="357">
        <f>'Reference Score Calculation'!G165</f>
        <v>34.000000000210001</v>
      </c>
      <c r="H173" s="357">
        <f>'Reference Score Calculation'!H165</f>
        <v>31.75000000028</v>
      </c>
      <c r="I173" s="357">
        <f>計分版!H186</f>
        <v>3.9500000000000006E-9</v>
      </c>
      <c r="J173" s="352">
        <f>入學要求!C174</f>
        <v>12</v>
      </c>
      <c r="K173" s="352">
        <f>IFERROR(INDEX('Offer Statistics'!$BQ$188:$BQ$255,MATCH('A123'!A173,('Offer Statistics'!$BB$188:$BB$255),0)),"/")</f>
        <v>11</v>
      </c>
      <c r="L173" s="386">
        <f>IFERROR(INDEX('Offer Statistics'!$BD$188:$BD$255,MATCH(A173,('Offer Statistics'!$BB$188:$BB$255),0))/INDEX('Offer Statistics'!$BL$188:$BL$255,MATCH(A173,('Offer Statistics'!$BB$188:$BB$255),0)),"新科目")</f>
        <v>10</v>
      </c>
      <c r="M173" s="352">
        <f>入學要求!R174</f>
        <v>0</v>
      </c>
    </row>
    <row r="174" spans="1:18" x14ac:dyDescent="0.3">
      <c r="A174" s="352" t="str">
        <f>'Reference Score Calculation'!A166</f>
        <v>JS4361</v>
      </c>
      <c r="B174" s="352" t="str">
        <f>'Reference Score Calculation'!B166</f>
        <v>CUHK</v>
      </c>
      <c r="C174" s="352" t="str">
        <f>'Reference Score Calculation'!D166</f>
        <v>教育學士(數學及數學教育)</v>
      </c>
      <c r="D174" s="352" t="str">
        <f>'Reference Score Calculation'!T166</f>
        <v>MATHS EDUCATION</v>
      </c>
      <c r="E174" s="352" t="str">
        <f>'Reference Score Calculation'!E166</f>
        <v>Best 5</v>
      </c>
      <c r="F174" s="357">
        <f>'Reference Score Calculation'!F166</f>
        <v>41.250000000264997</v>
      </c>
      <c r="G174" s="357">
        <f>'Reference Score Calculation'!G166</f>
        <v>47.500000000244995</v>
      </c>
      <c r="H174" s="357">
        <f>'Reference Score Calculation'!H166</f>
        <v>44.750000000284992</v>
      </c>
      <c r="I174" s="357">
        <f>計分版!H187</f>
        <v>4.1000000000000003E-9</v>
      </c>
      <c r="J174" s="352">
        <f>入學要求!C175</f>
        <v>12</v>
      </c>
      <c r="K174" s="352">
        <f>IFERROR(INDEX('Offer Statistics'!$BQ$188:$BQ$255,MATCH('A123'!A174,('Offer Statistics'!$BB$188:$BB$255),0)),"/")</f>
        <v>17</v>
      </c>
      <c r="L174" s="386">
        <f>IFERROR(INDEX('Offer Statistics'!$BD$188:$BD$255,MATCH(A174,('Offer Statistics'!$BB$188:$BB$255),0))/INDEX('Offer Statistics'!$BL$188:$BL$255,MATCH(A174,('Offer Statistics'!$BB$188:$BB$255),0)),"新科目")</f>
        <v>7</v>
      </c>
      <c r="M174" s="352">
        <f>入學要求!R175</f>
        <v>0</v>
      </c>
    </row>
    <row r="175" spans="1:18" x14ac:dyDescent="0.3">
      <c r="A175" s="352" t="str">
        <f>'Reference Score Calculation'!A167</f>
        <v>JS4372</v>
      </c>
      <c r="B175" s="352" t="str">
        <f>'Reference Score Calculation'!B167</f>
        <v>CUHK</v>
      </c>
      <c r="C175" s="352" t="str">
        <f>'Reference Score Calculation'!D167</f>
        <v>教育學士(幼兒教育)</v>
      </c>
      <c r="D175" s="352" t="str">
        <f>'Reference Score Calculation'!T167</f>
        <v>BEd (ECE)</v>
      </c>
      <c r="E175" s="352" t="str">
        <f>'Reference Score Calculation'!E167</f>
        <v>Best 5</v>
      </c>
      <c r="F175" s="357">
        <f>'Reference Score Calculation'!F167</f>
        <v>27.500000000229999</v>
      </c>
      <c r="G175" s="357">
        <f>'Reference Score Calculation'!G167</f>
        <v>24.5000000002</v>
      </c>
      <c r="H175" s="357">
        <f>'Reference Score Calculation'!H167</f>
        <v>23.000000000220002</v>
      </c>
      <c r="I175" s="357">
        <f>計分版!H188</f>
        <v>3.9500000000000006E-9</v>
      </c>
      <c r="J175" s="352">
        <f>入學要求!C176</f>
        <v>21</v>
      </c>
      <c r="K175" s="352">
        <f>IFERROR(INDEX('Offer Statistics'!$BQ$188:$BQ$255,MATCH('A123'!A175,('Offer Statistics'!$BB$188:$BB$255),0)),"/")</f>
        <v>24</v>
      </c>
      <c r="L175" s="386">
        <f>IFERROR(INDEX('Offer Statistics'!$BD$188:$BD$255,MATCH(A175,('Offer Statistics'!$BB$188:$BB$255),0))/INDEX('Offer Statistics'!$BL$188:$BL$255,MATCH(A175,('Offer Statistics'!$BB$188:$BB$255),0)),"新科目")</f>
        <v>18.5</v>
      </c>
      <c r="M175" s="352">
        <f>入學要求!R176</f>
        <v>0</v>
      </c>
    </row>
    <row r="176" spans="1:18" x14ac:dyDescent="0.3">
      <c r="A176" s="352" t="str">
        <f>'Reference Score Calculation'!A168</f>
        <v>JS4386</v>
      </c>
      <c r="B176" s="352" t="str">
        <f>'Reference Score Calculation'!B168</f>
        <v>CUHK</v>
      </c>
      <c r="C176" s="352" t="str">
        <f>'Reference Score Calculation'!D168</f>
        <v>理學士（學習設計與科技）</v>
      </c>
      <c r="D176" s="352" t="str">
        <f>'Reference Score Calculation'!T168</f>
        <v>LEARNING DESIGN AND TECH</v>
      </c>
      <c r="E176" s="352" t="str">
        <f>'Reference Score Calculation'!E168</f>
        <v>2022年新科目</v>
      </c>
      <c r="F176" s="357" t="str">
        <f>'Reference Score Calculation'!F168</f>
        <v>/</v>
      </c>
      <c r="G176" s="357" t="str">
        <f>'Reference Score Calculation'!G168</f>
        <v>/</v>
      </c>
      <c r="H176" s="357" t="str">
        <f>'Reference Score Calculation'!H168</f>
        <v>/</v>
      </c>
      <c r="I176" s="357">
        <f>計分版!H189</f>
        <v>4.2250000000000006E-9</v>
      </c>
      <c r="J176" s="352">
        <f>入學要求!C177</f>
        <v>20</v>
      </c>
      <c r="K176" s="352" t="str">
        <f>IFERROR(INDEX('Offer Statistics'!$BQ$188:$BQ$255,MATCH('A123'!A176,('Offer Statistics'!$BB$188:$BB$255),0)),"/")</f>
        <v>/</v>
      </c>
      <c r="L176" s="386" t="str">
        <f>IFERROR(INDEX('Offer Statistics'!$BD$188:$BD$255,MATCH(A176,('Offer Statistics'!$BB$188:$BB$255),0))/INDEX('Offer Statistics'!$BL$188:$BL$255,MATCH(A176,('Offer Statistics'!$BB$188:$BB$255),0)),"新科目")</f>
        <v>新科目</v>
      </c>
      <c r="M176" s="352">
        <f>入學要求!R177</f>
        <v>0</v>
      </c>
      <c r="R176" s="28"/>
    </row>
    <row r="177" spans="1:18" x14ac:dyDescent="0.3">
      <c r="A177" s="352" t="str">
        <f>'Reference Score Calculation'!A169</f>
        <v>JS4408</v>
      </c>
      <c r="B177" s="352" t="str">
        <f>'Reference Score Calculation'!B169</f>
        <v>CUHK</v>
      </c>
      <c r="C177" s="352" t="str">
        <f>'Reference Score Calculation'!D169</f>
        <v>機械與自動化工程學</v>
      </c>
      <c r="D177" s="352" t="str">
        <f>'Reference Score Calculation'!T169</f>
        <v>MAEG</v>
      </c>
      <c r="E177" s="352" t="str">
        <f>'Reference Score Calculation'!E169</f>
        <v>2022年新科目</v>
      </c>
      <c r="F177" s="357" t="str">
        <f>'Reference Score Calculation'!F169</f>
        <v>/</v>
      </c>
      <c r="G177" s="357" t="str">
        <f>'Reference Score Calculation'!G169</f>
        <v>/</v>
      </c>
      <c r="H177" s="357" t="str">
        <f>'Reference Score Calculation'!H169</f>
        <v>/</v>
      </c>
      <c r="I177" s="357">
        <f>計分版!H190</f>
        <v>4.1000000000000003E-9</v>
      </c>
      <c r="J177" s="352">
        <f>入學要求!C178</f>
        <v>53</v>
      </c>
      <c r="K177" s="352" t="str">
        <f>IFERROR(INDEX('Offer Statistics'!$BQ$188:$BQ$255,MATCH('A123'!A177,('Offer Statistics'!$BB$188:$BB$255),0)),"/")</f>
        <v>/</v>
      </c>
      <c r="L177" s="386" t="str">
        <f>IFERROR(INDEX('Offer Statistics'!$BD$188:$BD$255,MATCH(A177,('Offer Statistics'!$BB$188:$BB$255),0))/INDEX('Offer Statistics'!$BL$188:$BL$255,MATCH(A177,('Offer Statistics'!$BB$188:$BB$255),0)),"新科目")</f>
        <v>新科目</v>
      </c>
      <c r="M177" s="352">
        <f>入學要求!R178</f>
        <v>0</v>
      </c>
      <c r="R177" s="28"/>
    </row>
    <row r="178" spans="1:18" x14ac:dyDescent="0.3">
      <c r="A178" s="352" t="str">
        <f>'Reference Score Calculation'!A170</f>
        <v>JS4412</v>
      </c>
      <c r="B178" s="352" t="str">
        <f>'Reference Score Calculation'!B170</f>
        <v>CUHK</v>
      </c>
      <c r="C178" s="352" t="str">
        <f>'Reference Score Calculation'!D170</f>
        <v>計算機科學與工程</v>
      </c>
      <c r="D178" s="352" t="str">
        <f>'Reference Score Calculation'!T170</f>
        <v>COMPUTER SCI &amp; ENG</v>
      </c>
      <c r="E178" s="352" t="str">
        <f>'Reference Score Calculation'!E170</f>
        <v>2022年新科目</v>
      </c>
      <c r="F178" s="357" t="str">
        <f>'Reference Score Calculation'!F170</f>
        <v>/</v>
      </c>
      <c r="G178" s="357" t="str">
        <f>'Reference Score Calculation'!G170</f>
        <v>/</v>
      </c>
      <c r="H178" s="357" t="str">
        <f>'Reference Score Calculation'!H170</f>
        <v>/</v>
      </c>
      <c r="I178" s="357">
        <f>計分版!H191</f>
        <v>4.2250000000000006E-9</v>
      </c>
      <c r="J178" s="352">
        <f>入學要求!C179</f>
        <v>107</v>
      </c>
      <c r="K178" s="352" t="str">
        <f>IFERROR(INDEX('Offer Statistics'!$BQ$188:$BQ$255,MATCH('A123'!A178,('Offer Statistics'!$BB$188:$BB$255),0)),"/")</f>
        <v>/</v>
      </c>
      <c r="L178" s="386" t="str">
        <f>IFERROR(INDEX('Offer Statistics'!$BD$188:$BD$255,MATCH(A178,('Offer Statistics'!$BB$188:$BB$255),0))/INDEX('Offer Statistics'!$BL$188:$BL$255,MATCH(A178,('Offer Statistics'!$BB$188:$BB$255),0)),"新科目")</f>
        <v>新科目</v>
      </c>
      <c r="M178" s="352">
        <f>入學要求!R179</f>
        <v>0</v>
      </c>
      <c r="R178" s="28"/>
    </row>
    <row r="179" spans="1:18" x14ac:dyDescent="0.3">
      <c r="A179" s="352" t="str">
        <f>'Reference Score Calculation'!A171</f>
        <v>JS4416</v>
      </c>
      <c r="B179" s="352" t="str">
        <f>'Reference Score Calculation'!B171</f>
        <v>CUHK</v>
      </c>
      <c r="C179" s="352" t="str">
        <f>'Reference Score Calculation'!D171</f>
        <v>計算數據科學</v>
      </c>
      <c r="D179" s="352" t="str">
        <f>'Reference Score Calculation'!T171</f>
        <v>CDAS</v>
      </c>
      <c r="E179" s="352" t="str">
        <f>'Reference Score Calculation'!E171</f>
        <v>2022年新科目</v>
      </c>
      <c r="F179" s="357" t="str">
        <f>'Reference Score Calculation'!F171</f>
        <v>/</v>
      </c>
      <c r="G179" s="357" t="str">
        <f>'Reference Score Calculation'!G171</f>
        <v>/</v>
      </c>
      <c r="H179" s="357" t="str">
        <f>'Reference Score Calculation'!H171</f>
        <v>/</v>
      </c>
      <c r="I179" s="357">
        <f>計分版!H192</f>
        <v>4.3500000000000001E-9</v>
      </c>
      <c r="J179" s="352">
        <f>入學要求!C180</f>
        <v>20</v>
      </c>
      <c r="K179" s="352" t="str">
        <f>IFERROR(INDEX('Offer Statistics'!$BQ$188:$BQ$255,MATCH('A123'!A179,('Offer Statistics'!$BB$188:$BB$255),0)),"/")</f>
        <v>/</v>
      </c>
      <c r="L179" s="386" t="str">
        <f>IFERROR(INDEX('Offer Statistics'!$BD$188:$BD$255,MATCH(A179,('Offer Statistics'!$BB$188:$BB$255),0))/INDEX('Offer Statistics'!$BL$188:$BL$255,MATCH(A179,('Offer Statistics'!$BB$188:$BB$255),0)),"新科目")</f>
        <v>新科目</v>
      </c>
      <c r="M179" s="352">
        <f>入學要求!R180</f>
        <v>0</v>
      </c>
    </row>
    <row r="180" spans="1:18" x14ac:dyDescent="0.3">
      <c r="A180" s="352" t="str">
        <f>'Reference Score Calculation'!A172</f>
        <v>JS4428</v>
      </c>
      <c r="B180" s="352" t="str">
        <f>'Reference Score Calculation'!B172</f>
        <v>CUHK</v>
      </c>
      <c r="C180" s="352" t="str">
        <f>'Reference Score Calculation'!D172</f>
        <v>金融科技學</v>
      </c>
      <c r="D180" s="352" t="str">
        <f>'Reference Score Calculation'!T172</f>
        <v>BENG FINTECH</v>
      </c>
      <c r="E180" s="352" t="str">
        <f>'Reference Score Calculation'!E172</f>
        <v>Best 5</v>
      </c>
      <c r="F180" s="357">
        <f>'Reference Score Calculation'!F172</f>
        <v>49.750000000360004</v>
      </c>
      <c r="G180" s="357">
        <f>'Reference Score Calculation'!G172</f>
        <v>46.125000000392504</v>
      </c>
      <c r="H180" s="357">
        <f>'Reference Score Calculation'!H172</f>
        <v>45.750000000379998</v>
      </c>
      <c r="I180" s="357">
        <f>計分版!H193</f>
        <v>4.2250000000000006E-9</v>
      </c>
      <c r="J180" s="352">
        <f>入學要求!C181</f>
        <v>35</v>
      </c>
      <c r="K180" s="352">
        <f>IFERROR(INDEX('Offer Statistics'!$BQ$188:$BQ$255,MATCH('A123'!A180,('Offer Statistics'!$BB$188:$BB$255),0)),"/")</f>
        <v>33</v>
      </c>
      <c r="L180" s="386">
        <f>IFERROR(INDEX('Offer Statistics'!$BD$188:$BD$255,MATCH(A180,('Offer Statistics'!$BB$188:$BB$255),0))/INDEX('Offer Statistics'!$BL$188:$BL$255,MATCH(A180,('Offer Statistics'!$BB$188:$BB$255),0)),"新科目")</f>
        <v>5.8787878787878789</v>
      </c>
      <c r="M180" s="352">
        <f>入學要求!R181</f>
        <v>0</v>
      </c>
    </row>
    <row r="181" spans="1:18" x14ac:dyDescent="0.3">
      <c r="A181" s="352" t="str">
        <f>'Reference Score Calculation'!A173</f>
        <v>JS4434</v>
      </c>
      <c r="B181" s="352" t="str">
        <f>'Reference Score Calculation'!B173</f>
        <v>CUHK</v>
      </c>
      <c r="C181" s="352" t="str">
        <f>'Reference Score Calculation'!D173</f>
        <v>電子工程學</v>
      </c>
      <c r="D181" s="352" t="str">
        <f>'Reference Score Calculation'!T173</f>
        <v>ELEG</v>
      </c>
      <c r="E181" s="352" t="str">
        <f>'Reference Score Calculation'!E173</f>
        <v>Best 5</v>
      </c>
      <c r="F181" s="357">
        <f>'Reference Score Calculation'!F173</f>
        <v>30.000000000324999</v>
      </c>
      <c r="G181" s="357">
        <f>'Reference Score Calculation'!G173</f>
        <v>27.750000000255</v>
      </c>
      <c r="H181" s="357">
        <f>'Reference Score Calculation'!H173</f>
        <v>26.250000000295</v>
      </c>
      <c r="I181" s="357">
        <f>計分版!H194</f>
        <v>4.1000000000000003E-9</v>
      </c>
      <c r="J181" s="352">
        <f>入學要求!C182</f>
        <v>53</v>
      </c>
      <c r="K181" s="352">
        <f>IFERROR(INDEX('Offer Statistics'!$BQ$188:$BQ$255,MATCH('A123'!A181,('Offer Statistics'!$BB$188:$BB$255),0)),"/")</f>
        <v>32</v>
      </c>
      <c r="L181" s="386">
        <f>IFERROR(INDEX('Offer Statistics'!$BD$188:$BD$255,MATCH(A181,('Offer Statistics'!$BB$188:$BB$255),0))/INDEX('Offer Statistics'!$BL$188:$BL$255,MATCH(A181,('Offer Statistics'!$BB$188:$BB$255),0)),"新科目")</f>
        <v>8.59375</v>
      </c>
      <c r="M181" s="352">
        <f>入學要求!R182</f>
        <v>0</v>
      </c>
    </row>
    <row r="182" spans="1:18" x14ac:dyDescent="0.3">
      <c r="A182" s="352" t="str">
        <f>'Reference Score Calculation'!A174</f>
        <v>JS4446</v>
      </c>
      <c r="B182" s="352" t="str">
        <f>'Reference Score Calculation'!B174</f>
        <v>CUHK</v>
      </c>
      <c r="C182" s="352" t="str">
        <f>'Reference Score Calculation'!D174</f>
        <v>信息工程學</v>
      </c>
      <c r="D182" s="352" t="str">
        <f>'Reference Score Calculation'!T174</f>
        <v>IERGN</v>
      </c>
      <c r="E182" s="352" t="str">
        <f>'Reference Score Calculation'!E174</f>
        <v>2022年新科目</v>
      </c>
      <c r="F182" s="357" t="str">
        <f>'Reference Score Calculation'!F174</f>
        <v>/</v>
      </c>
      <c r="G182" s="357" t="str">
        <f>'Reference Score Calculation'!G174</f>
        <v>/</v>
      </c>
      <c r="H182" s="357" t="str">
        <f>'Reference Score Calculation'!H174</f>
        <v>/</v>
      </c>
      <c r="I182" s="357">
        <f>計分版!H195</f>
        <v>4.2250000000000006E-9</v>
      </c>
      <c r="J182" s="352">
        <f>入學要求!C183</f>
        <v>75</v>
      </c>
      <c r="K182" s="352" t="str">
        <f>IFERROR(INDEX('Offer Statistics'!$BQ$188:$BQ$255,MATCH('A123'!A182,('Offer Statistics'!$BB$188:$BB$255),0)),"/")</f>
        <v>/</v>
      </c>
      <c r="L182" s="386" t="str">
        <f>IFERROR(INDEX('Offer Statistics'!$BD$188:$BD$255,MATCH(A182,('Offer Statistics'!$BB$188:$BB$255),0))/INDEX('Offer Statistics'!$BL$188:$BL$255,MATCH(A182,('Offer Statistics'!$BB$188:$BB$255),0)),"新科目")</f>
        <v>新科目</v>
      </c>
      <c r="M182" s="352">
        <f>入學要求!R183</f>
        <v>0</v>
      </c>
    </row>
    <row r="183" spans="1:18" x14ac:dyDescent="0.3">
      <c r="A183" s="352" t="str">
        <f>'Reference Score Calculation'!A175</f>
        <v>JS4458</v>
      </c>
      <c r="B183" s="352" t="str">
        <f>'Reference Score Calculation'!B175</f>
        <v>CUHK</v>
      </c>
      <c r="C183" s="352" t="str">
        <f>'Reference Score Calculation'!D175</f>
        <v>系統工程與工程管理</v>
      </c>
      <c r="D183" s="352" t="str">
        <f>'Reference Score Calculation'!T175</f>
        <v>SEEM</v>
      </c>
      <c r="E183" s="352" t="str">
        <f>'Reference Score Calculation'!E175</f>
        <v>2022年新科目</v>
      </c>
      <c r="F183" s="357" t="str">
        <f>'Reference Score Calculation'!F175</f>
        <v>/</v>
      </c>
      <c r="G183" s="357" t="str">
        <f>'Reference Score Calculation'!G175</f>
        <v>/</v>
      </c>
      <c r="H183" s="357" t="str">
        <f>'Reference Score Calculation'!H175</f>
        <v>/</v>
      </c>
      <c r="I183" s="357">
        <f>計分版!H196</f>
        <v>4.1000000000000003E-9</v>
      </c>
      <c r="J183" s="352">
        <f>入學要求!C184</f>
        <v>53</v>
      </c>
      <c r="K183" s="352" t="str">
        <f>IFERROR(INDEX('Offer Statistics'!$BQ$188:$BQ$255,MATCH('A123'!A183,('Offer Statistics'!$BB$188:$BB$255),0)),"/")</f>
        <v>/</v>
      </c>
      <c r="L183" s="386" t="str">
        <f>IFERROR(INDEX('Offer Statistics'!$BD$188:$BD$255,MATCH(A183,('Offer Statistics'!$BB$188:$BB$255),0))/INDEX('Offer Statistics'!$BL$188:$BL$255,MATCH(A183,('Offer Statistics'!$BB$188:$BB$255),0)),"新科目")</f>
        <v>新科目</v>
      </c>
      <c r="M183" s="352">
        <f>入學要求!R184</f>
        <v>0</v>
      </c>
      <c r="R183" s="28"/>
    </row>
    <row r="184" spans="1:18" x14ac:dyDescent="0.3">
      <c r="A184" s="352" t="str">
        <f>'Reference Score Calculation'!A176</f>
        <v>JS4460</v>
      </c>
      <c r="B184" s="352" t="str">
        <f>'Reference Score Calculation'!B176</f>
        <v>CUHK</v>
      </c>
      <c r="C184" s="352" t="str">
        <f>'Reference Score Calculation'!D176</f>
        <v>生物醫學工程學</v>
      </c>
      <c r="D184" s="352" t="str">
        <f>'Reference Score Calculation'!T176</f>
        <v>BMEG</v>
      </c>
      <c r="E184" s="352" t="str">
        <f>'Reference Score Calculation'!E176</f>
        <v>Best 5</v>
      </c>
      <c r="F184" s="357">
        <f>'Reference Score Calculation'!F176</f>
        <v>44.500000000409997</v>
      </c>
      <c r="G184" s="357">
        <f>'Reference Score Calculation'!G176</f>
        <v>39.000000000390003</v>
      </c>
      <c r="H184" s="357">
        <f>'Reference Score Calculation'!H176</f>
        <v>38.500000000409997</v>
      </c>
      <c r="I184" s="357">
        <f>計分版!H197</f>
        <v>3.9500000000000006E-9</v>
      </c>
      <c r="J184" s="352">
        <f>入學要求!C185</f>
        <v>44</v>
      </c>
      <c r="K184" s="352">
        <f>IFERROR(INDEX('Offer Statistics'!$BQ$188:$BQ$255,MATCH('A123'!A184,('Offer Statistics'!$BB$188:$BB$255),0)),"/")</f>
        <v>30</v>
      </c>
      <c r="L184" s="386">
        <f>IFERROR(INDEX('Offer Statistics'!$BD$188:$BD$255,MATCH(A184,('Offer Statistics'!$BB$188:$BB$255),0))/INDEX('Offer Statistics'!$BL$188:$BL$255,MATCH(A184,('Offer Statistics'!$BB$188:$BB$255),0)),"新科目")</f>
        <v>5.7</v>
      </c>
      <c r="M184" s="352">
        <f>入學要求!R185</f>
        <v>0</v>
      </c>
    </row>
    <row r="185" spans="1:18" x14ac:dyDescent="0.3">
      <c r="A185" s="352" t="str">
        <f>'Reference Score Calculation'!A177</f>
        <v>JS4462</v>
      </c>
      <c r="B185" s="352" t="str">
        <f>'Reference Score Calculation'!B177</f>
        <v>CUHK</v>
      </c>
      <c r="C185" s="352" t="str">
        <f>'Reference Score Calculation'!D177</f>
        <v>能源與環境工程學</v>
      </c>
      <c r="D185" s="352" t="str">
        <f>'Reference Score Calculation'!T177</f>
        <v>EEEN</v>
      </c>
      <c r="E185" s="352" t="str">
        <f>'Reference Score Calculation'!E177</f>
        <v>Best 5</v>
      </c>
      <c r="F185" s="357">
        <f>'Reference Score Calculation'!F177</f>
        <v>30.250000000380002</v>
      </c>
      <c r="G185" s="357">
        <f>'Reference Score Calculation'!G177</f>
        <v>28.750000000380002</v>
      </c>
      <c r="H185" s="357">
        <f>'Reference Score Calculation'!H177</f>
        <v>27.250000000325002</v>
      </c>
      <c r="I185" s="357">
        <f>計分版!H198</f>
        <v>4.1000000000000003E-9</v>
      </c>
      <c r="J185" s="352">
        <f>入學要求!C186</f>
        <v>28</v>
      </c>
      <c r="K185" s="352">
        <f>IFERROR(INDEX('Offer Statistics'!$BQ$188:$BQ$255,MATCH('A123'!A185,('Offer Statistics'!$BB$188:$BB$255),0)),"/")</f>
        <v>38</v>
      </c>
      <c r="L185" s="386">
        <f>IFERROR(INDEX('Offer Statistics'!$BD$188:$BD$255,MATCH(A185,('Offer Statistics'!$BB$188:$BB$255),0))/INDEX('Offer Statistics'!$BL$188:$BL$255,MATCH(A185,('Offer Statistics'!$BB$188:$BB$255),0)),"新科目")</f>
        <v>6.8421052631578947</v>
      </c>
      <c r="M185" s="352">
        <f>入學要求!R186</f>
        <v>0</v>
      </c>
    </row>
    <row r="186" spans="1:18" x14ac:dyDescent="0.3">
      <c r="A186" s="352" t="str">
        <f>'Reference Score Calculation'!A178</f>
        <v>JS4468</v>
      </c>
      <c r="B186" s="352" t="str">
        <f>'Reference Score Calculation'!B178</f>
        <v>CUHK</v>
      </c>
      <c r="C186" s="352" t="str">
        <f>'Reference Score Calculation'!D178</f>
        <v>人工智能：系統與科技</v>
      </c>
      <c r="D186" s="352" t="str">
        <f>'Reference Score Calculation'!T178</f>
        <v>AIST</v>
      </c>
      <c r="E186" s="352" t="str">
        <f>'Reference Score Calculation'!E178</f>
        <v>Best 5</v>
      </c>
      <c r="F186" s="357">
        <f>'Reference Score Calculation'!F178</f>
        <v>58.750000000390003</v>
      </c>
      <c r="G186" s="357">
        <f>'Reference Score Calculation'!G178</f>
        <v>56.750000000455003</v>
      </c>
      <c r="H186" s="357">
        <f>'Reference Score Calculation'!H178</f>
        <v>53.750000000455003</v>
      </c>
      <c r="I186" s="357">
        <f>計分版!H199</f>
        <v>4.2250000000000006E-9</v>
      </c>
      <c r="J186" s="352">
        <f>入學要求!C187</f>
        <v>30</v>
      </c>
      <c r="K186" s="352">
        <f>IFERROR(INDEX('Offer Statistics'!$BQ$188:$BQ$255,MATCH('A123'!A186,('Offer Statistics'!$BB$188:$BB$255),0)),"/")</f>
        <v>34</v>
      </c>
      <c r="L186" s="386">
        <f>IFERROR(INDEX('Offer Statistics'!$BD$188:$BD$255,MATCH(A186,('Offer Statistics'!$BB$188:$BB$255),0))/INDEX('Offer Statistics'!$BL$188:$BL$255,MATCH(A186,('Offer Statistics'!$BB$188:$BB$255),0)),"新科目")</f>
        <v>5.4705882352941178</v>
      </c>
      <c r="M186" s="352">
        <f>入學要求!R187</f>
        <v>0</v>
      </c>
    </row>
    <row r="187" spans="1:18" x14ac:dyDescent="0.3">
      <c r="A187" s="352" t="str">
        <f>'Reference Score Calculation'!A179</f>
        <v>JS4501</v>
      </c>
      <c r="B187" s="352" t="str">
        <f>'Reference Score Calculation'!B179</f>
        <v>CUHK</v>
      </c>
      <c r="C187" s="352" t="str">
        <f>'Reference Score Calculation'!D179</f>
        <v>內外全科醫學士課程</v>
      </c>
      <c r="D187" s="352" t="str">
        <f>'Reference Score Calculation'!T179</f>
        <v>MBChB</v>
      </c>
      <c r="E187" s="352" t="str">
        <f>'Reference Score Calculation'!E179</f>
        <v>4C3X</v>
      </c>
      <c r="F187" s="357">
        <f>'Reference Score Calculation'!F179</f>
        <v>44.000000000310003</v>
      </c>
      <c r="G187" s="357">
        <f>'Reference Score Calculation'!G179</f>
        <v>42.000000000310003</v>
      </c>
      <c r="H187" s="357">
        <f>'Reference Score Calculation'!H179</f>
        <v>41.000000000310003</v>
      </c>
      <c r="I187" s="357">
        <f>計分版!H200</f>
        <v>3.6500000000000004E-9</v>
      </c>
      <c r="J187" s="352" t="str">
        <f>入學要求!C188</f>
        <v>295*</v>
      </c>
      <c r="K187" s="352">
        <f>IFERROR(INDEX('Offer Statistics'!$BQ$188:$BQ$255,MATCH('A123'!A187,('Offer Statistics'!$BB$188:$BB$255),0)),"/")</f>
        <v>153</v>
      </c>
      <c r="L187" s="386">
        <f>IFERROR(INDEX('Offer Statistics'!$BD$188:$BD$255,MATCH(A187,('Offer Statistics'!$BB$188:$BB$255),0))/INDEX('Offer Statistics'!$BL$188:$BL$255,MATCH(A187,('Offer Statistics'!$BB$188:$BB$255),0)),"新科目")</f>
        <v>3.1764705882352939</v>
      </c>
      <c r="M187" s="352">
        <f>入學要求!R188</f>
        <v>0</v>
      </c>
    </row>
    <row r="188" spans="1:18" x14ac:dyDescent="0.3">
      <c r="A188" s="352" t="str">
        <f>'Reference Score Calculation'!A180</f>
        <v>JS4502</v>
      </c>
      <c r="B188" s="352" t="str">
        <f>'Reference Score Calculation'!B180</f>
        <v>CUHK</v>
      </c>
      <c r="C188" s="352" t="str">
        <f>'Reference Score Calculation'!D180</f>
        <v>內外全科醫學士課程環球醫學領袖培訓專修組別</v>
      </c>
      <c r="D188" s="352" t="str">
        <f>'Reference Score Calculation'!T180</f>
        <v>MBChB-GPS</v>
      </c>
      <c r="E188" s="352" t="str">
        <f>'Reference Score Calculation'!E180</f>
        <v>4C3X</v>
      </c>
      <c r="F188" s="357">
        <f>'Reference Score Calculation'!F180</f>
        <v>47.000000000310003</v>
      </c>
      <c r="G188" s="357">
        <f>'Reference Score Calculation'!G180</f>
        <v>47.000000000310003</v>
      </c>
      <c r="H188" s="357">
        <f>'Reference Score Calculation'!H180</f>
        <v>46.000000000310003</v>
      </c>
      <c r="I188" s="357">
        <f>計分版!H201</f>
        <v>3.6500000000000004E-9</v>
      </c>
      <c r="J188" s="352" t="str">
        <f>入學要求!C189</f>
        <v>30*</v>
      </c>
      <c r="K188" s="352">
        <f>IFERROR(INDEX('Offer Statistics'!$BQ$188:$BQ$255,MATCH('A123'!A188,('Offer Statistics'!$BB$188:$BB$255),0)),"/")</f>
        <v>33</v>
      </c>
      <c r="L188" s="386">
        <f>IFERROR(INDEX('Offer Statistics'!$BD$188:$BD$255,MATCH(A188,('Offer Statistics'!$BB$188:$BB$255),0))/INDEX('Offer Statistics'!$BL$188:$BL$255,MATCH(A188,('Offer Statistics'!$BB$188:$BB$255),0)),"新科目")</f>
        <v>2.0909090909090908</v>
      </c>
      <c r="M188" s="352">
        <f>入學要求!R189</f>
        <v>0</v>
      </c>
    </row>
    <row r="189" spans="1:18" x14ac:dyDescent="0.3">
      <c r="A189" s="352" t="str">
        <f>'Reference Score Calculation'!A181</f>
        <v>JS4513</v>
      </c>
      <c r="B189" s="352" t="str">
        <f>'Reference Score Calculation'!B181</f>
        <v>CUHK</v>
      </c>
      <c r="C189" s="352" t="str">
        <f>'Reference Score Calculation'!D181</f>
        <v>護理學</v>
      </c>
      <c r="D189" s="352" t="str">
        <f>'Reference Score Calculation'!T181</f>
        <v>NURSING</v>
      </c>
      <c r="E189" s="352" t="str">
        <f>'Reference Score Calculation'!E181</f>
        <v>4C2X</v>
      </c>
      <c r="F189" s="357">
        <f>'Reference Score Calculation'!F181</f>
        <v>39.750000000309996</v>
      </c>
      <c r="G189" s="357">
        <f>'Reference Score Calculation'!G181</f>
        <v>37.750000000309996</v>
      </c>
      <c r="H189" s="357">
        <f>'Reference Score Calculation'!H181</f>
        <v>36.250000000295003</v>
      </c>
      <c r="I189" s="357">
        <f>計分版!H202</f>
        <v>2.8499999999999999E-9</v>
      </c>
      <c r="J189" s="352">
        <f>入學要求!C190</f>
        <v>217</v>
      </c>
      <c r="K189" s="352">
        <f>IFERROR(INDEX('Offer Statistics'!$BQ$188:$BQ$255,MATCH('A123'!A189,('Offer Statistics'!$BB$188:$BB$255),0)),"/")</f>
        <v>208</v>
      </c>
      <c r="L189" s="386">
        <f>IFERROR(INDEX('Offer Statistics'!$BD$188:$BD$255,MATCH(A189,('Offer Statistics'!$BB$188:$BB$255),0))/INDEX('Offer Statistics'!$BL$188:$BL$255,MATCH(A189,('Offer Statistics'!$BB$188:$BB$255),0)),"新科目")</f>
        <v>4.490384615384615</v>
      </c>
      <c r="M189" s="352">
        <f>入學要求!R190</f>
        <v>0</v>
      </c>
      <c r="R189" s="28"/>
    </row>
    <row r="190" spans="1:18" x14ac:dyDescent="0.3">
      <c r="A190" s="352" t="str">
        <f>'Reference Score Calculation'!A182</f>
        <v>JS4525</v>
      </c>
      <c r="B190" s="352" t="str">
        <f>'Reference Score Calculation'!B182</f>
        <v>CUHK</v>
      </c>
      <c r="C190" s="352" t="str">
        <f>'Reference Score Calculation'!D182</f>
        <v>藥劑學</v>
      </c>
      <c r="D190" s="352" t="str">
        <f>'Reference Score Calculation'!T182</f>
        <v>PHARMACY</v>
      </c>
      <c r="E190" s="352" t="str">
        <f>'Reference Score Calculation'!E182</f>
        <v>4C2X</v>
      </c>
      <c r="F190" s="357">
        <f>'Reference Score Calculation'!F182</f>
        <v>37.500000000230003</v>
      </c>
      <c r="G190" s="357">
        <f>'Reference Score Calculation'!G182</f>
        <v>36.000000000230003</v>
      </c>
      <c r="H190" s="357">
        <f>'Reference Score Calculation'!H182</f>
        <v>34.500000000230003</v>
      </c>
      <c r="I190" s="357">
        <f>計分版!H203</f>
        <v>2.8499999999999999E-9</v>
      </c>
      <c r="J190" s="352">
        <f>入學要求!C191</f>
        <v>59</v>
      </c>
      <c r="K190" s="352">
        <f>IFERROR(INDEX('Offer Statistics'!$BQ$188:$BQ$255,MATCH('A123'!A190,('Offer Statistics'!$BB$188:$BB$255),0)),"/")</f>
        <v>52</v>
      </c>
      <c r="L190" s="386">
        <f>IFERROR(INDEX('Offer Statistics'!$BD$188:$BD$255,MATCH(A190,('Offer Statistics'!$BB$188:$BB$255),0))/INDEX('Offer Statistics'!$BL$188:$BL$255,MATCH(A190,('Offer Statistics'!$BB$188:$BB$255),0)),"新科目")</f>
        <v>3.9423076923076925</v>
      </c>
      <c r="M190" s="352">
        <f>入學要求!R191</f>
        <v>0</v>
      </c>
    </row>
    <row r="191" spans="1:18" x14ac:dyDescent="0.3">
      <c r="A191" s="352" t="str">
        <f>'Reference Score Calculation'!A183</f>
        <v>JS4537</v>
      </c>
      <c r="B191" s="352" t="str">
        <f>'Reference Score Calculation'!B183</f>
        <v>CUHK</v>
      </c>
      <c r="C191" s="352" t="str">
        <f>'Reference Score Calculation'!D183</f>
        <v>公共衞生</v>
      </c>
      <c r="D191" s="352" t="str">
        <f>'Reference Score Calculation'!T183</f>
        <v>PUBLIC HEALTH</v>
      </c>
      <c r="E191" s="352" t="str">
        <f>'Reference Score Calculation'!E183</f>
        <v>Best 5</v>
      </c>
      <c r="F191" s="357">
        <f>'Reference Score Calculation'!F183</f>
        <v>27.500000000289997</v>
      </c>
      <c r="G191" s="357">
        <f>'Reference Score Calculation'!G183</f>
        <v>24.500000000250001</v>
      </c>
      <c r="H191" s="357">
        <f>'Reference Score Calculation'!H183</f>
        <v>23.500000000209997</v>
      </c>
      <c r="I191" s="357">
        <f>計分版!H204</f>
        <v>3.9500000000000006E-9</v>
      </c>
      <c r="J191" s="352">
        <f>入學要求!C192</f>
        <v>31</v>
      </c>
      <c r="K191" s="352">
        <f>IFERROR(INDEX('Offer Statistics'!$BQ$188:$BQ$255,MATCH('A123'!A191,('Offer Statistics'!$BB$188:$BB$255),0)),"/")</f>
        <v>19</v>
      </c>
      <c r="L191" s="386">
        <f>IFERROR(INDEX('Offer Statistics'!$BD$188:$BD$255,MATCH(A191,('Offer Statistics'!$BB$188:$BB$255),0))/INDEX('Offer Statistics'!$BL$188:$BL$255,MATCH(A191,('Offer Statistics'!$BB$188:$BB$255),0)),"新科目")</f>
        <v>12.526315789473685</v>
      </c>
      <c r="M191" s="352">
        <f>入學要求!R192</f>
        <v>0</v>
      </c>
    </row>
    <row r="192" spans="1:18" x14ac:dyDescent="0.3">
      <c r="A192" s="352" t="str">
        <f>'Reference Score Calculation'!A184</f>
        <v>JS4542</v>
      </c>
      <c r="B192" s="352" t="str">
        <f>'Reference Score Calculation'!B184</f>
        <v>CUHK</v>
      </c>
      <c r="C192" s="352" t="str">
        <f>'Reference Score Calculation'!D184</f>
        <v>中醫學</v>
      </c>
      <c r="D192" s="352" t="str">
        <f>'Reference Score Calculation'!T184</f>
        <v>CHIN MEDICINE</v>
      </c>
      <c r="E192" s="352" t="str">
        <f>'Reference Score Calculation'!E184</f>
        <v>4C2X</v>
      </c>
      <c r="F192" s="357">
        <f>'Reference Score Calculation'!F184</f>
        <v>36.000000000230003</v>
      </c>
      <c r="G192" s="357">
        <f>'Reference Score Calculation'!G184</f>
        <v>33.00000000024</v>
      </c>
      <c r="H192" s="357">
        <f>'Reference Score Calculation'!H184</f>
        <v>31.500000000229999</v>
      </c>
      <c r="I192" s="357">
        <f>計分版!H205</f>
        <v>2.8499999999999999E-9</v>
      </c>
      <c r="J192" s="352">
        <f>入學要求!C193</f>
        <v>20</v>
      </c>
      <c r="K192" s="352">
        <f>IFERROR(INDEX('Offer Statistics'!$BQ$188:$BQ$255,MATCH('A123'!A192,('Offer Statistics'!$BB$188:$BB$255),0)),"/")</f>
        <v>23</v>
      </c>
      <c r="L192" s="386">
        <f>IFERROR(INDEX('Offer Statistics'!$BD$188:$BD$255,MATCH(A192,('Offer Statistics'!$BB$188:$BB$255),0))/INDEX('Offer Statistics'!$BL$188:$BL$255,MATCH(A192,('Offer Statistics'!$BB$188:$BB$255),0)),"新科目")</f>
        <v>6.6956521739130439</v>
      </c>
      <c r="M192" s="352">
        <f>入學要求!R193</f>
        <v>0</v>
      </c>
    </row>
    <row r="193" spans="1:13" x14ac:dyDescent="0.3">
      <c r="A193" s="352" t="str">
        <f>'Reference Score Calculation'!A185</f>
        <v>JS4550</v>
      </c>
      <c r="B193" s="352" t="str">
        <f>'Reference Score Calculation'!B185</f>
        <v>CUHK</v>
      </c>
      <c r="C193" s="352" t="str">
        <f>'Reference Score Calculation'!D185</f>
        <v>生物醫學</v>
      </c>
      <c r="D193" s="352" t="str">
        <f>'Reference Score Calculation'!T185</f>
        <v>BIOMEDICAL SCIENCES</v>
      </c>
      <c r="E193" s="352" t="str">
        <f>'Reference Score Calculation'!E185</f>
        <v>4C2X</v>
      </c>
      <c r="F193" s="357">
        <f>'Reference Score Calculation'!F185</f>
        <v>37.500000000230003</v>
      </c>
      <c r="G193" s="357">
        <f>'Reference Score Calculation'!G185</f>
        <v>37.500000000230003</v>
      </c>
      <c r="H193" s="357">
        <f>'Reference Score Calculation'!H185</f>
        <v>36.500000000219998</v>
      </c>
      <c r="I193" s="357">
        <f>計分版!H206</f>
        <v>2.7000000000000002E-9</v>
      </c>
      <c r="J193" s="352">
        <f>入學要求!C194</f>
        <v>19</v>
      </c>
      <c r="K193" s="352">
        <f>IFERROR(INDEX('Offer Statistics'!$BQ$188:$BQ$255,MATCH('A123'!A193,('Offer Statistics'!$BB$188:$BB$255),0)),"/")</f>
        <v>22</v>
      </c>
      <c r="L193" s="386">
        <f>IFERROR(INDEX('Offer Statistics'!$BD$188:$BD$255,MATCH(A193,('Offer Statistics'!$BB$188:$BB$255),0))/INDEX('Offer Statistics'!$BL$188:$BL$255,MATCH(A193,('Offer Statistics'!$BB$188:$BB$255),0)),"新科目")</f>
        <v>8.0909090909090917</v>
      </c>
      <c r="M193" s="352">
        <f>入學要求!R194</f>
        <v>0</v>
      </c>
    </row>
    <row r="194" spans="1:13" x14ac:dyDescent="0.3">
      <c r="A194" s="352" t="str">
        <f>'Reference Score Calculation'!A186</f>
        <v>JS4601</v>
      </c>
      <c r="B194" s="352" t="str">
        <f>'Reference Score Calculation'!B186</f>
        <v>CUHK</v>
      </c>
      <c r="C194" s="352" t="str">
        <f>'Reference Score Calculation'!D186</f>
        <v>理學</v>
      </c>
      <c r="D194" s="352" t="str">
        <f>'Reference Score Calculation'!T186</f>
        <v>SCIENCE</v>
      </c>
      <c r="E194" s="352" t="str">
        <f>'Reference Score Calculation'!E186</f>
        <v>Best 5</v>
      </c>
      <c r="F194" s="357">
        <f>'Reference Score Calculation'!F186</f>
        <v>44.000000000349992</v>
      </c>
      <c r="G194" s="357">
        <f>'Reference Score Calculation'!G186</f>
        <v>42.750000000359996</v>
      </c>
      <c r="H194" s="357">
        <f>'Reference Score Calculation'!H186</f>
        <v>38.000000000370001</v>
      </c>
      <c r="I194" s="357">
        <f>計分版!H207</f>
        <v>3.3999999999999998E-9</v>
      </c>
      <c r="J194" s="352">
        <f>入學要求!C195</f>
        <v>352</v>
      </c>
      <c r="K194" s="352">
        <f>IFERROR(INDEX('Offer Statistics'!$BQ$188:$BQ$255,MATCH('A123'!A194,('Offer Statistics'!$BB$188:$BB$255),0)),"/")</f>
        <v>400</v>
      </c>
      <c r="L194" s="386">
        <f>IFERROR(INDEX('Offer Statistics'!$BD$188:$BD$255,MATCH(A194,('Offer Statistics'!$BB$188:$BB$255),0))/INDEX('Offer Statistics'!$BL$188:$BL$255,MATCH(A194,('Offer Statistics'!$BB$188:$BB$255),0)),"新科目")</f>
        <v>3.8174999999999999</v>
      </c>
      <c r="M194" s="352">
        <f>入學要求!R195</f>
        <v>0</v>
      </c>
    </row>
    <row r="195" spans="1:13" x14ac:dyDescent="0.3">
      <c r="A195" s="352" t="str">
        <f>'Reference Score Calculation'!A187</f>
        <v>JS4648</v>
      </c>
      <c r="B195" s="352" t="str">
        <f>'Reference Score Calculation'!B187</f>
        <v>CUHK</v>
      </c>
      <c r="C195" s="352" t="str">
        <f>'Reference Score Calculation'!D187</f>
        <v>地球與環境科學</v>
      </c>
      <c r="D195" s="352" t="str">
        <f>'Reference Score Calculation'!T187</f>
        <v>EESC</v>
      </c>
      <c r="E195" s="352" t="str">
        <f>'Reference Score Calculation'!E187</f>
        <v>2022年新科目</v>
      </c>
      <c r="F195" s="357" t="str">
        <f>'Reference Score Calculation'!F187</f>
        <v>/</v>
      </c>
      <c r="G195" s="357" t="str">
        <f>'Reference Score Calculation'!G187</f>
        <v>/</v>
      </c>
      <c r="H195" s="357" t="str">
        <f>'Reference Score Calculation'!H187</f>
        <v>/</v>
      </c>
      <c r="I195" s="357">
        <f>計分版!H208</f>
        <v>3.7500000000000005E-9</v>
      </c>
      <c r="J195" s="352">
        <f>入學要求!C196</f>
        <v>35</v>
      </c>
      <c r="K195" s="352" t="str">
        <f>IFERROR(INDEX('Offer Statistics'!$BQ$188:$BQ$255,MATCH('A123'!A195,('Offer Statistics'!$BB$188:$BB$255),0)),"/")</f>
        <v>/</v>
      </c>
      <c r="L195" s="386" t="str">
        <f>IFERROR(INDEX('Offer Statistics'!$BD$188:$BD$255,MATCH(A195,('Offer Statistics'!$BB$188:$BB$255),0))/INDEX('Offer Statistics'!$BL$188:$BL$255,MATCH(A195,('Offer Statistics'!$BB$188:$BB$255),0)),"新科目")</f>
        <v>新科目</v>
      </c>
      <c r="M195" s="352">
        <f>入學要求!R196</f>
        <v>0</v>
      </c>
    </row>
    <row r="196" spans="1:13" x14ac:dyDescent="0.3">
      <c r="A196" s="352" t="str">
        <f>'Reference Score Calculation'!A188</f>
        <v>JS4682</v>
      </c>
      <c r="B196" s="352" t="str">
        <f>'Reference Score Calculation'!B188</f>
        <v>CUHK</v>
      </c>
      <c r="C196" s="352" t="str">
        <f>'Reference Score Calculation'!D188</f>
        <v>數學精研</v>
      </c>
      <c r="D196" s="352" t="str">
        <f>'Reference Score Calculation'!T188</f>
        <v>ENRICHMENT MATHEMATICS</v>
      </c>
      <c r="E196" s="352" t="str">
        <f>'Reference Score Calculation'!E188</f>
        <v>Best 5</v>
      </c>
      <c r="F196" s="357">
        <f>'Reference Score Calculation'!F188</f>
        <v>45.000000000299998</v>
      </c>
      <c r="G196" s="357">
        <f>'Reference Score Calculation'!G188</f>
        <v>42.000000000340002</v>
      </c>
      <c r="H196" s="357">
        <f>'Reference Score Calculation'!H188</f>
        <v>40.500000000280004</v>
      </c>
      <c r="I196" s="357">
        <f>計分版!H209</f>
        <v>4.3500000000000001E-9</v>
      </c>
      <c r="J196" s="352">
        <f>入學要求!C197</f>
        <v>27</v>
      </c>
      <c r="K196" s="352">
        <f>IFERROR(INDEX('Offer Statistics'!$BQ$188:$BQ$255,MATCH('A123'!A196,('Offer Statistics'!$BB$188:$BB$255),0)),"/")</f>
        <v>32</v>
      </c>
      <c r="L196" s="386">
        <f>IFERROR(INDEX('Offer Statistics'!$BD$188:$BD$255,MATCH(A196,('Offer Statistics'!$BB$188:$BB$255),0))/INDEX('Offer Statistics'!$BL$188:$BL$255,MATCH(A196,('Offer Statistics'!$BB$188:$BB$255),0)),"新科目")</f>
        <v>3.15625</v>
      </c>
      <c r="M196" s="352">
        <f>入學要求!R197</f>
        <v>0</v>
      </c>
    </row>
    <row r="197" spans="1:13" x14ac:dyDescent="0.3">
      <c r="A197" s="352" t="str">
        <f>'Reference Score Calculation'!A189</f>
        <v>JS4690</v>
      </c>
      <c r="B197" s="352" t="str">
        <f>'Reference Score Calculation'!B189</f>
        <v>CUHK</v>
      </c>
      <c r="C197" s="352" t="str">
        <f>'Reference Score Calculation'!D189</f>
        <v>理論物理精研</v>
      </c>
      <c r="D197" s="352" t="str">
        <f>'Reference Score Calculation'!T189</f>
        <v>THEORETICAL PHYSICS</v>
      </c>
      <c r="E197" s="352" t="str">
        <f>'Reference Score Calculation'!E189</f>
        <v>Best 5</v>
      </c>
      <c r="F197" s="357">
        <f>'Reference Score Calculation'!F189</f>
        <v>47.750000000290001</v>
      </c>
      <c r="G197" s="357">
        <f>'Reference Score Calculation'!G189</f>
        <v>44.750000000359996</v>
      </c>
      <c r="H197" s="357">
        <f>'Reference Score Calculation'!H189</f>
        <v>38.75000000032</v>
      </c>
      <c r="I197" s="357">
        <f>計分版!H210</f>
        <v>4.1000000000000003E-9</v>
      </c>
      <c r="J197" s="352">
        <f>入學要求!C198</f>
        <v>20</v>
      </c>
      <c r="K197" s="352">
        <f>IFERROR(INDEX('Offer Statistics'!$BQ$188:$BQ$255,MATCH('A123'!A197,('Offer Statistics'!$BB$188:$BB$255),0)),"/")</f>
        <v>25</v>
      </c>
      <c r="L197" s="386">
        <f>IFERROR(INDEX('Offer Statistics'!$BD$188:$BD$255,MATCH(A197,('Offer Statistics'!$BB$188:$BB$255),0))/INDEX('Offer Statistics'!$BL$188:$BL$255,MATCH(A197,('Offer Statistics'!$BB$188:$BB$255),0)),"新科目")</f>
        <v>3.2</v>
      </c>
      <c r="M197" s="352">
        <f>入學要求!R198</f>
        <v>0</v>
      </c>
    </row>
    <row r="198" spans="1:13" x14ac:dyDescent="0.3">
      <c r="A198" s="352" t="str">
        <f>'Reference Score Calculation'!A190</f>
        <v>JS4719</v>
      </c>
      <c r="B198" s="352" t="str">
        <f>'Reference Score Calculation'!B190</f>
        <v>CUHK</v>
      </c>
      <c r="C198" s="352" t="str">
        <f>'Reference Score Calculation'!D190</f>
        <v>風險管理科學</v>
      </c>
      <c r="D198" s="352" t="str">
        <f>'Reference Score Calculation'!T190</f>
        <v>RISK MGT SCI</v>
      </c>
      <c r="E198" s="352" t="str">
        <f>'Reference Score Calculation'!E190</f>
        <v>Best 5</v>
      </c>
      <c r="F198" s="357">
        <f>'Reference Score Calculation'!F190</f>
        <v>44.500000000329997</v>
      </c>
      <c r="G198" s="357">
        <f>'Reference Score Calculation'!G190</f>
        <v>43.000000000330004</v>
      </c>
      <c r="H198" s="357">
        <f>'Reference Score Calculation'!H190</f>
        <v>41.500000000330004</v>
      </c>
      <c r="I198" s="357">
        <f>計分版!H211</f>
        <v>4.3500000000000001E-9</v>
      </c>
      <c r="J198" s="352">
        <f>入學要求!C199</f>
        <v>25</v>
      </c>
      <c r="K198" s="352">
        <f>IFERROR(INDEX('Offer Statistics'!$BQ$188:$BQ$255,MATCH('A123'!A198,('Offer Statistics'!$BB$188:$BB$255),0)),"/")</f>
        <v>26</v>
      </c>
      <c r="L198" s="386">
        <f>IFERROR(INDEX('Offer Statistics'!$BD$188:$BD$255,MATCH(A198,('Offer Statistics'!$BB$188:$BB$255),0))/INDEX('Offer Statistics'!$BL$188:$BL$255,MATCH(A198,('Offer Statistics'!$BB$188:$BB$255),0)),"新科目")</f>
        <v>3.7307692307692308</v>
      </c>
      <c r="M198" s="352">
        <f>入學要求!R199</f>
        <v>0</v>
      </c>
    </row>
    <row r="199" spans="1:13" x14ac:dyDescent="0.3">
      <c r="A199" s="352" t="str">
        <f>'Reference Score Calculation'!A191</f>
        <v>JS4725</v>
      </c>
      <c r="B199" s="352" t="str">
        <f>'Reference Score Calculation'!B191</f>
        <v>CUHK</v>
      </c>
      <c r="C199" s="352" t="str">
        <f>'Reference Score Calculation'!D191</f>
        <v>生物科技、創業與醫療管理</v>
      </c>
      <c r="D199" s="352" t="str">
        <f>'Reference Score Calculation'!T191</f>
        <v>BEHM</v>
      </c>
      <c r="E199" s="352" t="str">
        <f>'Reference Score Calculation'!E191</f>
        <v>2022年新科目</v>
      </c>
      <c r="F199" s="357" t="str">
        <f>'Reference Score Calculation'!F191</f>
        <v>/</v>
      </c>
      <c r="G199" s="357" t="str">
        <f>'Reference Score Calculation'!G191</f>
        <v>/</v>
      </c>
      <c r="H199" s="357" t="str">
        <f>'Reference Score Calculation'!H191</f>
        <v>/</v>
      </c>
      <c r="I199" s="357">
        <f>計分版!H212</f>
        <v>3.9500000000000006E-9</v>
      </c>
      <c r="J199" s="352">
        <f>入學要求!C200</f>
        <v>15</v>
      </c>
      <c r="K199" s="352" t="str">
        <f>IFERROR(INDEX('Offer Statistics'!$BQ$188:$BQ$255,MATCH('A123'!A199,('Offer Statistics'!$BB$188:$BB$255),0)),"/")</f>
        <v>/</v>
      </c>
      <c r="L199" s="386" t="str">
        <f>IFERROR(INDEX('Offer Statistics'!$BD$188:$BD$255,MATCH(A199,('Offer Statistics'!$BB$188:$BB$255),0))/INDEX('Offer Statistics'!$BL$188:$BL$255,MATCH(A199,('Offer Statistics'!$BB$188:$BB$255),0)),"新科目")</f>
        <v>新科目</v>
      </c>
      <c r="M199" s="352">
        <f>入學要求!R200</f>
        <v>0</v>
      </c>
    </row>
    <row r="200" spans="1:13" x14ac:dyDescent="0.3">
      <c r="A200" s="352" t="str">
        <f>'Reference Score Calculation'!A192</f>
        <v>JS4733</v>
      </c>
      <c r="B200" s="352" t="str">
        <f>'Reference Score Calculation'!B192</f>
        <v>CUHK</v>
      </c>
      <c r="C200" s="352" t="str">
        <f>'Reference Score Calculation'!D192</f>
        <v>數學與信息工程學</v>
      </c>
      <c r="D200" s="352" t="str">
        <f>'Reference Score Calculation'!T192</f>
        <v>MIEGN</v>
      </c>
      <c r="E200" s="352" t="str">
        <f>'Reference Score Calculation'!E192</f>
        <v>2022年新科目</v>
      </c>
      <c r="F200" s="357" t="str">
        <f>'Reference Score Calculation'!F192</f>
        <v>/</v>
      </c>
      <c r="G200" s="357" t="str">
        <f>'Reference Score Calculation'!G192</f>
        <v>/</v>
      </c>
      <c r="H200" s="357" t="str">
        <f>'Reference Score Calculation'!H192</f>
        <v>/</v>
      </c>
      <c r="I200" s="357">
        <f>計分版!H213</f>
        <v>3.05E-9</v>
      </c>
      <c r="J200" s="352">
        <f>入學要求!C201</f>
        <v>13</v>
      </c>
      <c r="K200" s="352" t="str">
        <f>IFERROR(INDEX('Offer Statistics'!$BQ$188:$BQ$255,MATCH('A123'!A200,('Offer Statistics'!$BB$188:$BB$255),0)),"/")</f>
        <v>/</v>
      </c>
      <c r="L200" s="386" t="str">
        <f>IFERROR(INDEX('Offer Statistics'!$BD$188:$BD$255,MATCH(A200,('Offer Statistics'!$BB$188:$BB$255),0))/INDEX('Offer Statistics'!$BL$188:$BL$255,MATCH(A200,('Offer Statistics'!$BB$188:$BB$255),0)),"新科目")</f>
        <v>新科目</v>
      </c>
      <c r="M200" s="352">
        <f>入學要求!R201</f>
        <v>0</v>
      </c>
    </row>
    <row r="201" spans="1:13" x14ac:dyDescent="0.3">
      <c r="A201" s="352" t="str">
        <f>'Reference Score Calculation'!A193</f>
        <v>JS4801</v>
      </c>
      <c r="B201" s="352" t="str">
        <f>'Reference Score Calculation'!B193</f>
        <v>CUHK</v>
      </c>
      <c r="C201" s="352" t="str">
        <f>'Reference Score Calculation'!D193</f>
        <v>社會科學</v>
      </c>
      <c r="D201" s="352" t="str">
        <f>'Reference Score Calculation'!T193</f>
        <v>SOCIAL SCIENCE</v>
      </c>
      <c r="E201" s="352" t="str">
        <f>'Reference Score Calculation'!E193</f>
        <v>Best 5</v>
      </c>
      <c r="F201" s="357">
        <f>'Reference Score Calculation'!F193</f>
        <v>30.400000000205996</v>
      </c>
      <c r="G201" s="357">
        <f>'Reference Score Calculation'!G193</f>
        <v>28.700000000226002</v>
      </c>
      <c r="H201" s="357">
        <f>'Reference Score Calculation'!H193</f>
        <v>28.100000000235998</v>
      </c>
      <c r="I201" s="357">
        <f>計分版!H214</f>
        <v>3.9500000000000006E-9</v>
      </c>
      <c r="J201" s="352">
        <f>入學要求!C202</f>
        <v>63</v>
      </c>
      <c r="K201" s="352">
        <f>IFERROR(INDEX('Offer Statistics'!$BQ$188:$BQ$255,MATCH('A123'!A201,('Offer Statistics'!$BB$188:$BB$255),0)),"/")</f>
        <v>66</v>
      </c>
      <c r="L201" s="386">
        <f>IFERROR(INDEX('Offer Statistics'!$BD$188:$BD$255,MATCH(A201,('Offer Statistics'!$BB$188:$BB$255),0))/INDEX('Offer Statistics'!$BL$188:$BL$255,MATCH(A201,('Offer Statistics'!$BB$188:$BB$255),0)),"新科目")</f>
        <v>7.5454545454545459</v>
      </c>
      <c r="M201" s="352">
        <f>入學要求!R202</f>
        <v>0</v>
      </c>
    </row>
    <row r="202" spans="1:13" x14ac:dyDescent="0.3">
      <c r="A202" s="352" t="str">
        <f>'Reference Score Calculation'!A194</f>
        <v>JS4812</v>
      </c>
      <c r="B202" s="352" t="str">
        <f>'Reference Score Calculation'!B194</f>
        <v>CUHK</v>
      </c>
      <c r="C202" s="352" t="str">
        <f>'Reference Score Calculation'!D194</f>
        <v>建築學</v>
      </c>
      <c r="D202" s="352" t="str">
        <f>'Reference Score Calculation'!T194</f>
        <v>ARCHITECTURE</v>
      </c>
      <c r="E202" s="352" t="str">
        <f>'Reference Score Calculation'!E194</f>
        <v>Best 5</v>
      </c>
      <c r="F202" s="357">
        <f>'Reference Score Calculation'!F194</f>
        <v>32.500000000250004</v>
      </c>
      <c r="G202" s="357">
        <f>'Reference Score Calculation'!G194</f>
        <v>31.000000000250001</v>
      </c>
      <c r="H202" s="357">
        <f>'Reference Score Calculation'!H194</f>
        <v>29.500000000239996</v>
      </c>
      <c r="I202" s="357">
        <f>計分版!H215</f>
        <v>3.9500000000000006E-9</v>
      </c>
      <c r="J202" s="352">
        <f>入學要求!C203</f>
        <v>31</v>
      </c>
      <c r="K202" s="352">
        <f>IFERROR(INDEX('Offer Statistics'!$BQ$188:$BQ$255,MATCH('A123'!A202,('Offer Statistics'!$BB$188:$BB$255),0)),"/")</f>
        <v>38</v>
      </c>
      <c r="L202" s="386">
        <f>IFERROR(INDEX('Offer Statistics'!$BD$188:$BD$255,MATCH(A202,('Offer Statistics'!$BB$188:$BB$255),0))/INDEX('Offer Statistics'!$BL$188:$BL$255,MATCH(A202,('Offer Statistics'!$BB$188:$BB$255),0)),"新科目")</f>
        <v>4.0526315789473681</v>
      </c>
      <c r="M202" s="352">
        <f>入學要求!R203</f>
        <v>0</v>
      </c>
    </row>
    <row r="203" spans="1:13" x14ac:dyDescent="0.3">
      <c r="A203" s="352" t="str">
        <f>'Reference Score Calculation'!A195</f>
        <v>JS4824</v>
      </c>
      <c r="B203" s="352" t="str">
        <f>'Reference Score Calculation'!B195</f>
        <v>CUHK</v>
      </c>
      <c r="C203" s="352" t="str">
        <f>'Reference Score Calculation'!D195</f>
        <v>經濟學</v>
      </c>
      <c r="D203" s="352" t="str">
        <f>'Reference Score Calculation'!T195</f>
        <v>ECONOMICS</v>
      </c>
      <c r="E203" s="352" t="str">
        <f>'Reference Score Calculation'!E195</f>
        <v>Best 5</v>
      </c>
      <c r="F203" s="357">
        <f>'Reference Score Calculation'!F195</f>
        <v>30.000000000305</v>
      </c>
      <c r="G203" s="357">
        <f>'Reference Score Calculation'!G195</f>
        <v>29.250000000255</v>
      </c>
      <c r="H203" s="357">
        <f>'Reference Score Calculation'!H195</f>
        <v>28.500000000265</v>
      </c>
      <c r="I203" s="357">
        <f>計分版!H216</f>
        <v>4.1000000000000003E-9</v>
      </c>
      <c r="J203" s="352">
        <f>入學要求!C204</f>
        <v>65</v>
      </c>
      <c r="K203" s="352">
        <f>IFERROR(INDEX('Offer Statistics'!$BQ$188:$BQ$255,MATCH('A123'!A203,('Offer Statistics'!$BB$188:$BB$255),0)),"/")</f>
        <v>59</v>
      </c>
      <c r="L203" s="386">
        <f>IFERROR(INDEX('Offer Statistics'!$BD$188:$BD$255,MATCH(A203,('Offer Statistics'!$BB$188:$BB$255),0))/INDEX('Offer Statistics'!$BL$188:$BL$255,MATCH(A203,('Offer Statistics'!$BB$188:$BB$255),0)),"新科目")</f>
        <v>7.4915254237288131</v>
      </c>
      <c r="M203" s="352">
        <f>入學要求!R204</f>
        <v>0</v>
      </c>
    </row>
    <row r="204" spans="1:13" x14ac:dyDescent="0.3">
      <c r="A204" s="352" t="str">
        <f>'Reference Score Calculation'!A196</f>
        <v>JS4836</v>
      </c>
      <c r="B204" s="352" t="str">
        <f>'Reference Score Calculation'!B196</f>
        <v>CUHK</v>
      </c>
      <c r="C204" s="352" t="str">
        <f>'Reference Score Calculation'!D196</f>
        <v>地理與資源管理學</v>
      </c>
      <c r="D204" s="352" t="str">
        <f>'Reference Score Calculation'!T196</f>
        <v>GEO &amp; RES MGT</v>
      </c>
      <c r="E204" s="352" t="str">
        <f>'Reference Score Calculation'!E196</f>
        <v>Best 5</v>
      </c>
      <c r="F204" s="357">
        <f>'Reference Score Calculation'!F196</f>
        <v>29.500000000250001</v>
      </c>
      <c r="G204" s="357">
        <f>'Reference Score Calculation'!G196</f>
        <v>28.000000000175998</v>
      </c>
      <c r="H204" s="357">
        <f>'Reference Score Calculation'!H196</f>
        <v>26.500000000229999</v>
      </c>
      <c r="I204" s="357">
        <f>計分版!H217</f>
        <v>3.9500000000000006E-9</v>
      </c>
      <c r="J204" s="352">
        <f>入學要求!C205</f>
        <v>39</v>
      </c>
      <c r="K204" s="352">
        <f>IFERROR(INDEX('Offer Statistics'!$BQ$188:$BQ$255,MATCH('A123'!A204,('Offer Statistics'!$BB$188:$BB$255),0)),"/")</f>
        <v>42</v>
      </c>
      <c r="L204" s="386">
        <f>IFERROR(INDEX('Offer Statistics'!$BD$188:$BD$255,MATCH(A204,('Offer Statistics'!$BB$188:$BB$255),0))/INDEX('Offer Statistics'!$BL$188:$BL$255,MATCH(A204,('Offer Statistics'!$BB$188:$BB$255),0)),"新科目")</f>
        <v>6.8809523809523814</v>
      </c>
      <c r="M204" s="352">
        <f>入學要求!R205</f>
        <v>0</v>
      </c>
    </row>
    <row r="205" spans="1:13" x14ac:dyDescent="0.3">
      <c r="A205" s="352" t="str">
        <f>'Reference Score Calculation'!A197</f>
        <v>JS4838</v>
      </c>
      <c r="B205" s="352" t="str">
        <f>'Reference Score Calculation'!B197</f>
        <v>CUHK</v>
      </c>
      <c r="C205" s="352" t="str">
        <f>'Reference Score Calculation'!D197</f>
        <v>城市研究</v>
      </c>
      <c r="D205" s="352" t="str">
        <f>'Reference Score Calculation'!T197</f>
        <v>URBAN STUDIES</v>
      </c>
      <c r="E205" s="352" t="str">
        <f>'Reference Score Calculation'!E197</f>
        <v>Best 5</v>
      </c>
      <c r="F205" s="357">
        <f>'Reference Score Calculation'!F197</f>
        <v>29.000000000220002</v>
      </c>
      <c r="G205" s="357">
        <f>'Reference Score Calculation'!G197</f>
        <v>27.500000000269999</v>
      </c>
      <c r="H205" s="357">
        <f>'Reference Score Calculation'!H197</f>
        <v>24.500000000250001</v>
      </c>
      <c r="I205" s="357">
        <f>計分版!H218</f>
        <v>3.9500000000000006E-9</v>
      </c>
      <c r="J205" s="352">
        <f>入學要求!C206</f>
        <v>19</v>
      </c>
      <c r="K205" s="352">
        <f>IFERROR(INDEX('Offer Statistics'!$BQ$188:$BQ$255,MATCH('A123'!A205,('Offer Statistics'!$BB$188:$BB$255),0)),"/")</f>
        <v>25</v>
      </c>
      <c r="L205" s="386">
        <f>IFERROR(INDEX('Offer Statistics'!$BD$188:$BD$255,MATCH(A205,('Offer Statistics'!$BB$188:$BB$255),0))/INDEX('Offer Statistics'!$BL$188:$BL$255,MATCH(A205,('Offer Statistics'!$BB$188:$BB$255),0)),"新科目")</f>
        <v>5.64</v>
      </c>
      <c r="M205" s="352">
        <f>入學要求!R206</f>
        <v>0</v>
      </c>
    </row>
    <row r="206" spans="1:13" x14ac:dyDescent="0.3">
      <c r="A206" s="352" t="str">
        <f>'Reference Score Calculation'!A198</f>
        <v>JS4848</v>
      </c>
      <c r="B206" s="352" t="str">
        <f>'Reference Score Calculation'!B198</f>
        <v>CUHK</v>
      </c>
      <c r="C206" s="352" t="str">
        <f>'Reference Score Calculation'!D198</f>
        <v>政治與行政學</v>
      </c>
      <c r="D206" s="352" t="str">
        <f>'Reference Score Calculation'!T198</f>
        <v>GOV'T &amp; PUBLIC ADMIN</v>
      </c>
      <c r="E206" s="352" t="str">
        <f>'Reference Score Calculation'!E198</f>
        <v>4C2X</v>
      </c>
      <c r="F206" s="357">
        <f>'Reference Score Calculation'!F198</f>
        <v>38.000000000252506</v>
      </c>
      <c r="G206" s="357">
        <f>'Reference Score Calculation'!G198</f>
        <v>29.500000000252502</v>
      </c>
      <c r="H206" s="357">
        <f>'Reference Score Calculation'!H198</f>
        <v>27.250000000252502</v>
      </c>
      <c r="I206" s="357">
        <f>計分版!H219</f>
        <v>3.0750000000000002E-9</v>
      </c>
      <c r="J206" s="352">
        <f>入學要求!C207</f>
        <v>37</v>
      </c>
      <c r="K206" s="352">
        <f>IFERROR(INDEX('Offer Statistics'!$BQ$188:$BQ$255,MATCH('A123'!A206,('Offer Statistics'!$BB$188:$BB$255),0)),"/")</f>
        <v>25</v>
      </c>
      <c r="L206" s="386">
        <f>IFERROR(INDEX('Offer Statistics'!$BD$188:$BD$255,MATCH(A206,('Offer Statistics'!$BB$188:$BB$255),0))/INDEX('Offer Statistics'!$BL$188:$BL$255,MATCH(A206,('Offer Statistics'!$BB$188:$BB$255),0)),"新科目")</f>
        <v>6.3571428571428568</v>
      </c>
      <c r="M206" s="352">
        <f>入學要求!R207</f>
        <v>0</v>
      </c>
    </row>
    <row r="207" spans="1:13" x14ac:dyDescent="0.3">
      <c r="A207" s="352" t="str">
        <f>'Reference Score Calculation'!A199</f>
        <v>JS4850</v>
      </c>
      <c r="B207" s="352" t="str">
        <f>'Reference Score Calculation'!B199</f>
        <v>CUHK</v>
      </c>
      <c r="C207" s="352" t="str">
        <f>'Reference Score Calculation'!D199</f>
        <v>新聞與傳播學</v>
      </c>
      <c r="D207" s="352" t="str">
        <f>'Reference Score Calculation'!T199</f>
        <v>JOURNALISM &amp; COMMUN</v>
      </c>
      <c r="E207" s="352" t="str">
        <f>'Reference Score Calculation'!E199</f>
        <v>Best 5</v>
      </c>
      <c r="F207" s="357">
        <f>'Reference Score Calculation'!F199</f>
        <v>35.300000000169</v>
      </c>
      <c r="G207" s="357">
        <f>'Reference Score Calculation'!G199</f>
        <v>32.300000000199006</v>
      </c>
      <c r="H207" s="357">
        <f>'Reference Score Calculation'!H199</f>
        <v>30.650000000266001</v>
      </c>
      <c r="I207" s="357">
        <f>計分版!H220</f>
        <v>3.9500000000000006E-9</v>
      </c>
      <c r="J207" s="352">
        <f>入學要求!C208</f>
        <v>43</v>
      </c>
      <c r="K207" s="352">
        <f>IFERROR(INDEX('Offer Statistics'!$BQ$188:$BQ$255,MATCH('A123'!A207,('Offer Statistics'!$BB$188:$BB$255),0)),"/")</f>
        <v>46</v>
      </c>
      <c r="L207" s="386">
        <f>IFERROR(INDEX('Offer Statistics'!$BD$188:$BD$255,MATCH(A207,('Offer Statistics'!$BB$188:$BB$255),0))/INDEX('Offer Statistics'!$BL$188:$BL$255,MATCH(A207,('Offer Statistics'!$BB$188:$BB$255),0)),"新科目")</f>
        <v>3.1956521739130435</v>
      </c>
      <c r="M207" s="352">
        <f>入學要求!R208</f>
        <v>0</v>
      </c>
    </row>
    <row r="208" spans="1:13" s="352" customFormat="1" x14ac:dyDescent="0.3">
      <c r="A208" s="352" t="str">
        <f>'Reference Score Calculation'!A200</f>
        <v>JS4858</v>
      </c>
      <c r="B208" s="352" t="str">
        <f>'Reference Score Calculation'!B200</f>
        <v>CUHK</v>
      </c>
      <c r="C208" s="352" t="str">
        <f>'Reference Score Calculation'!D200</f>
        <v>全球傳播</v>
      </c>
      <c r="D208" s="352" t="str">
        <f>'Reference Score Calculation'!T200</f>
        <v>GLOBAL COMM</v>
      </c>
      <c r="E208" s="352" t="str">
        <f>'Reference Score Calculation'!E200</f>
        <v>Best 5</v>
      </c>
      <c r="F208" s="357">
        <f>'Reference Score Calculation'!F200</f>
        <v>32.150000000205999</v>
      </c>
      <c r="G208" s="357">
        <f>'Reference Score Calculation'!G200</f>
        <v>31.100000000226</v>
      </c>
      <c r="H208" s="357">
        <f>'Reference Score Calculation'!H200</f>
        <v>28.100000000226</v>
      </c>
      <c r="I208" s="357">
        <f>計分版!H221</f>
        <v>3.9500000000000006E-9</v>
      </c>
      <c r="J208" s="352">
        <f>入學要求!C209</f>
        <v>9</v>
      </c>
      <c r="K208" s="352">
        <f>IFERROR(INDEX('Offer Statistics'!$BQ$188:$BQ$255,MATCH('A123'!A208,('Offer Statistics'!$BB$188:$BB$255),0)),"/")</f>
        <v>12</v>
      </c>
      <c r="L208" s="386">
        <f>IFERROR(INDEX('Offer Statistics'!$BD$188:$BD$255,MATCH(A208,('Offer Statistics'!$BB$188:$BB$255),0))/INDEX('Offer Statistics'!$BL$188:$BL$255,MATCH(A208,('Offer Statistics'!$BB$188:$BB$255),0)),"新科目")</f>
        <v>3.75</v>
      </c>
      <c r="M208" s="352">
        <f>入學要求!R209</f>
        <v>0</v>
      </c>
    </row>
    <row r="209" spans="1:13" s="352" customFormat="1" x14ac:dyDescent="0.3">
      <c r="A209" s="352" t="str">
        <f>'Reference Score Calculation'!A201</f>
        <v>JS4862</v>
      </c>
      <c r="B209" s="352" t="str">
        <f>'Reference Score Calculation'!B201</f>
        <v>CUHK</v>
      </c>
      <c r="C209" s="352" t="str">
        <f>'Reference Score Calculation'!D201</f>
        <v>心理學</v>
      </c>
      <c r="D209" s="352" t="str">
        <f>'Reference Score Calculation'!T201</f>
        <v>PSYCHOLOGY</v>
      </c>
      <c r="E209" s="352" t="str">
        <f>'Reference Score Calculation'!E201</f>
        <v>Best 5</v>
      </c>
      <c r="F209" s="357">
        <f>'Reference Score Calculation'!F201</f>
        <v>37.500000000245002</v>
      </c>
      <c r="G209" s="357">
        <f>'Reference Score Calculation'!G201</f>
        <v>35.250000000215003</v>
      </c>
      <c r="H209" s="357">
        <f>'Reference Score Calculation'!H201</f>
        <v>33.000000000284999</v>
      </c>
      <c r="I209" s="357">
        <f>計分版!H222</f>
        <v>3.9500000000000006E-9</v>
      </c>
      <c r="J209" s="352">
        <f>入學要求!C210</f>
        <v>56</v>
      </c>
      <c r="K209" s="352">
        <f>IFERROR(INDEX('Offer Statistics'!$BQ$188:$BQ$255,MATCH('A123'!A209,('Offer Statistics'!$BB$188:$BB$255),0)),"/")</f>
        <v>62</v>
      </c>
      <c r="L209" s="386">
        <f>IFERROR(INDEX('Offer Statistics'!$BD$188:$BD$255,MATCH(A209,('Offer Statistics'!$BB$188:$BB$255),0))/INDEX('Offer Statistics'!$BL$188:$BL$255,MATCH(A209,('Offer Statistics'!$BB$188:$BB$255),0)),"新科目")</f>
        <v>7.32258064516129</v>
      </c>
      <c r="M209" s="352">
        <f>入學要求!R210</f>
        <v>0</v>
      </c>
    </row>
    <row r="210" spans="1:13" s="352" customFormat="1" x14ac:dyDescent="0.3">
      <c r="A210" s="352" t="str">
        <f>'Reference Score Calculation'!A202</f>
        <v>JS4874</v>
      </c>
      <c r="B210" s="352" t="str">
        <f>'Reference Score Calculation'!B202</f>
        <v>CUHK</v>
      </c>
      <c r="C210" s="352" t="str">
        <f>'Reference Score Calculation'!D202</f>
        <v>社會工作</v>
      </c>
      <c r="D210" s="352" t="str">
        <f>'Reference Score Calculation'!T202</f>
        <v>SOCIAL WORK</v>
      </c>
      <c r="E210" s="352" t="str">
        <f>'Reference Score Calculation'!E202</f>
        <v>Best 5</v>
      </c>
      <c r="F210" s="357">
        <f>'Reference Score Calculation'!F202</f>
        <v>30.500000000259998</v>
      </c>
      <c r="G210" s="357">
        <f>'Reference Score Calculation'!G202</f>
        <v>29.000000000259998</v>
      </c>
      <c r="H210" s="357">
        <f>'Reference Score Calculation'!H202</f>
        <v>27.50000000028</v>
      </c>
      <c r="I210" s="357">
        <f>計分版!H223</f>
        <v>3.9500000000000006E-9</v>
      </c>
      <c r="J210" s="352">
        <f>入學要求!C211</f>
        <v>45</v>
      </c>
      <c r="K210" s="352">
        <f>IFERROR(INDEX('Offer Statistics'!$BQ$188:$BQ$255,MATCH('A123'!A210,('Offer Statistics'!$BB$188:$BB$255),0)),"/")</f>
        <v>40</v>
      </c>
      <c r="L210" s="386">
        <f>IFERROR(INDEX('Offer Statistics'!$BD$188:$BD$255,MATCH(A210,('Offer Statistics'!$BB$188:$BB$255),0))/INDEX('Offer Statistics'!$BL$188:$BL$255,MATCH(A210,('Offer Statistics'!$BB$188:$BB$255),0)),"新科目")</f>
        <v>9.0250000000000004</v>
      </c>
      <c r="M210" s="352">
        <f>入學要求!R211</f>
        <v>0</v>
      </c>
    </row>
    <row r="211" spans="1:13" s="352" customFormat="1" x14ac:dyDescent="0.3">
      <c r="A211" s="352" t="str">
        <f>'Reference Score Calculation'!A203</f>
        <v>JS4886</v>
      </c>
      <c r="B211" s="352" t="str">
        <f>'Reference Score Calculation'!B203</f>
        <v>CUHK</v>
      </c>
      <c r="C211" s="352" t="str">
        <f>'Reference Score Calculation'!D203</f>
        <v>社會學</v>
      </c>
      <c r="D211" s="352" t="str">
        <f>'Reference Score Calculation'!T203</f>
        <v>SOCIOLOGY</v>
      </c>
      <c r="E211" s="352" t="str">
        <f>'Reference Score Calculation'!E203</f>
        <v>Best 5</v>
      </c>
      <c r="F211" s="357">
        <f>'Reference Score Calculation'!F203</f>
        <v>30.000000000229999</v>
      </c>
      <c r="G211" s="357">
        <f>'Reference Score Calculation'!G203</f>
        <v>29.250000000229999</v>
      </c>
      <c r="H211" s="357">
        <f>'Reference Score Calculation'!H203</f>
        <v>28.250000000229999</v>
      </c>
      <c r="I211" s="357">
        <f>計分版!H224</f>
        <v>3.3500000000000002E-9</v>
      </c>
      <c r="J211" s="352">
        <f>入學要求!C212</f>
        <v>38</v>
      </c>
      <c r="K211" s="352">
        <f>IFERROR(INDEX('Offer Statistics'!$BQ$188:$BQ$255,MATCH('A123'!A211,('Offer Statistics'!$BB$188:$BB$255),0)),"/")</f>
        <v>38</v>
      </c>
      <c r="L211" s="386">
        <f>IFERROR(INDEX('Offer Statistics'!$BD$188:$BD$255,MATCH(A211,('Offer Statistics'!$BB$188:$BB$255),0))/INDEX('Offer Statistics'!$BL$188:$BL$255,MATCH(A211,('Offer Statistics'!$BB$188:$BB$255),0)),"新科目")</f>
        <v>7.666666666666667</v>
      </c>
      <c r="M211" s="352">
        <f>入學要求!R212</f>
        <v>0</v>
      </c>
    </row>
    <row r="212" spans="1:13" s="352" customFormat="1" x14ac:dyDescent="0.3">
      <c r="A212" s="352" t="str">
        <f>'Reference Score Calculation'!A204</f>
        <v>JS4892</v>
      </c>
      <c r="B212" s="352" t="str">
        <f>'Reference Score Calculation'!B204</f>
        <v>CUHK</v>
      </c>
      <c r="C212" s="352" t="str">
        <f>'Reference Score Calculation'!D204</f>
        <v>全球研究</v>
      </c>
      <c r="D212" s="352" t="str">
        <f>'Reference Score Calculation'!T204</f>
        <v>GLOBAL STUDIES</v>
      </c>
      <c r="E212" s="352" t="str">
        <f>'Reference Score Calculation'!E204</f>
        <v>Best 5</v>
      </c>
      <c r="F212" s="357">
        <f>'Reference Score Calculation'!F204</f>
        <v>32.500000000230003</v>
      </c>
      <c r="G212" s="357">
        <f>'Reference Score Calculation'!G204</f>
        <v>29.500000000209997</v>
      </c>
      <c r="H212" s="357">
        <f>'Reference Score Calculation'!H204</f>
        <v>25.000000000209997</v>
      </c>
      <c r="I212" s="357">
        <f>計分版!H225</f>
        <v>3.9500000000000006E-9</v>
      </c>
      <c r="J212" s="352">
        <f>入學要求!C213</f>
        <v>19</v>
      </c>
      <c r="K212" s="352">
        <f>IFERROR(INDEX('Offer Statistics'!$BQ$188:$BQ$255,MATCH('A123'!A212,('Offer Statistics'!$BB$188:$BB$255),0)),"/")</f>
        <v>19</v>
      </c>
      <c r="L212" s="386">
        <f>IFERROR(INDEX('Offer Statistics'!$BD$188:$BD$255,MATCH(A212,('Offer Statistics'!$BB$188:$BB$255),0))/INDEX('Offer Statistics'!$BL$188:$BL$255,MATCH(A212,('Offer Statistics'!$BB$188:$BB$255),0)),"新科目")</f>
        <v>3.0526315789473686</v>
      </c>
      <c r="M212" s="352">
        <f>入學要求!R213</f>
        <v>0</v>
      </c>
    </row>
    <row r="213" spans="1:13" s="352" customFormat="1" x14ac:dyDescent="0.3">
      <c r="A213" s="352" t="str">
        <f>'Reference Score Calculation'!A205</f>
        <v>JS4893</v>
      </c>
      <c r="B213" s="352" t="str">
        <f>'Reference Score Calculation'!B205</f>
        <v>CUHK</v>
      </c>
      <c r="C213" s="352" t="str">
        <f>'Reference Score Calculation'!D205</f>
        <v>數據科學與政策研究</v>
      </c>
      <c r="D213" s="352" t="str">
        <f>'Reference Score Calculation'!T205</f>
        <v>DSPS</v>
      </c>
      <c r="E213" s="352" t="str">
        <f>'Reference Score Calculation'!E205</f>
        <v>Best 5</v>
      </c>
      <c r="F213" s="357">
        <f>'Reference Score Calculation'!F205</f>
        <v>27.500000000250001</v>
      </c>
      <c r="G213" s="357">
        <f>'Reference Score Calculation'!G205</f>
        <v>26.000000000250001</v>
      </c>
      <c r="H213" s="357">
        <f>'Reference Score Calculation'!H205</f>
        <v>25.000000000250001</v>
      </c>
      <c r="I213" s="357">
        <f>計分版!H226</f>
        <v>3.9500000000000006E-9</v>
      </c>
      <c r="J213" s="352">
        <f>入學要求!C214</f>
        <v>19</v>
      </c>
      <c r="K213" s="352">
        <f>IFERROR(INDEX('Offer Statistics'!$BQ$188:$BQ$255,MATCH('A123'!A213,('Offer Statistics'!$BB$188:$BB$255),0)),"/")</f>
        <v>18</v>
      </c>
      <c r="L213" s="386">
        <f>IFERROR(INDEX('Offer Statistics'!$BD$188:$BD$255,MATCH(A213,('Offer Statistics'!$BB$188:$BB$255),0))/INDEX('Offer Statistics'!$BL$188:$BL$255,MATCH(A213,('Offer Statistics'!$BB$188:$BB$255),0)),"新科目")</f>
        <v>3.1111111111111112</v>
      </c>
      <c r="M213" s="352">
        <f>入學要求!R214</f>
        <v>0</v>
      </c>
    </row>
    <row r="214" spans="1:13" s="352" customFormat="1" x14ac:dyDescent="0.3">
      <c r="A214" s="352" t="str">
        <f>'Reference Score Calculation'!A206</f>
        <v>JS4903</v>
      </c>
      <c r="B214" s="352" t="str">
        <f>'Reference Score Calculation'!B206</f>
        <v>CUHK</v>
      </c>
      <c r="C214" s="352" t="str">
        <f>'Reference Score Calculation'!D206</f>
        <v>法學士</v>
      </c>
      <c r="D214" s="352" t="str">
        <f>'Reference Score Calculation'!T206</f>
        <v>LLB</v>
      </c>
      <c r="E214" s="352" t="str">
        <f>'Reference Score Calculation'!E206</f>
        <v>4C2X</v>
      </c>
      <c r="F214" s="357">
        <f>'Reference Score Calculation'!F206</f>
        <v>49.750000000295003</v>
      </c>
      <c r="G214" s="357">
        <f>'Reference Score Calculation'!G206</f>
        <v>46.000000000295003</v>
      </c>
      <c r="H214" s="357">
        <f>'Reference Score Calculation'!H206</f>
        <v>44.500000000305</v>
      </c>
      <c r="I214" s="357">
        <f>計分版!H227</f>
        <v>3.4999999999999999E-9</v>
      </c>
      <c r="J214" s="352">
        <f>入學要求!C215</f>
        <v>73</v>
      </c>
      <c r="K214" s="352">
        <f>IFERROR(INDEX('Offer Statistics'!$BQ$188:$BQ$255,MATCH('A123'!A214,('Offer Statistics'!$BB$188:$BB$255),0)),"/")</f>
        <v>57</v>
      </c>
      <c r="L214" s="386">
        <f>IFERROR(INDEX('Offer Statistics'!$BD$188:$BD$255,MATCH(A214,('Offer Statistics'!$BB$188:$BB$255),0))/INDEX('Offer Statistics'!$BL$188:$BL$255,MATCH(A214,('Offer Statistics'!$BB$188:$BB$255),0)),"新科目")</f>
        <v>3.5087719298245612</v>
      </c>
      <c r="M214" s="352">
        <f>入學要求!R215</f>
        <v>0</v>
      </c>
    </row>
    <row r="215" spans="1:13" x14ac:dyDescent="0.3">
      <c r="A215" s="352"/>
      <c r="B215" s="352"/>
      <c r="C215" s="352"/>
      <c r="D215" s="352"/>
      <c r="E215" s="352"/>
      <c r="M215" s="352">
        <f>入學要求!R216</f>
        <v>0</v>
      </c>
    </row>
    <row r="216" spans="1:13" x14ac:dyDescent="0.3">
      <c r="A216" s="352"/>
      <c r="B216" s="352"/>
      <c r="C216" s="352"/>
      <c r="D216" s="352"/>
      <c r="E216" s="352"/>
      <c r="F216" s="20" t="s">
        <v>2021</v>
      </c>
      <c r="G216" s="20" t="s">
        <v>2546</v>
      </c>
      <c r="H216" s="20" t="s">
        <v>2547</v>
      </c>
      <c r="I216" s="20" t="str">
        <f>計分版!H229</f>
        <v>總分</v>
      </c>
      <c r="M216" s="352">
        <f>入學要求!R217</f>
        <v>0</v>
      </c>
    </row>
    <row r="217" spans="1:13" x14ac:dyDescent="0.3">
      <c r="A217" s="352" t="str">
        <f>'Reference Score Calculation'!A209</f>
        <v>JS5101</v>
      </c>
      <c r="B217" s="352" t="str">
        <f>'Reference Score Calculation'!B209</f>
        <v>HKUST</v>
      </c>
      <c r="C217" s="352" t="str">
        <f>'Reference Score Calculation'!D209</f>
        <v>國際科研</v>
      </c>
      <c r="D217" s="352" t="str">
        <f>'Reference Score Calculation'!T209</f>
        <v>IRE</v>
      </c>
      <c r="E217" s="352" t="str">
        <f>'Reference Score Calculation'!E209</f>
        <v>英數Best3</v>
      </c>
      <c r="F217" s="357" t="str">
        <f>'Reference Score Calculation'!F209</f>
        <v>/</v>
      </c>
      <c r="G217" s="357">
        <f>'Reference Score Calculation'!G209</f>
        <v>36.5</v>
      </c>
      <c r="H217" s="357">
        <f>'Reference Score Calculation'!H209</f>
        <v>35</v>
      </c>
      <c r="I217" s="357">
        <f>計分版!H230</f>
        <v>1.6000000000000001E-9</v>
      </c>
      <c r="J217" s="352">
        <f>入學要求!C218</f>
        <v>21</v>
      </c>
      <c r="K217" s="352">
        <f>IFERROR(INDEX('Offer Statistics'!$CH$80:$CH$105,MATCH('A123'!A217,('Offer Statistics'!$BS$80:$BS$105),0)),"/")</f>
        <v>23</v>
      </c>
      <c r="L217" s="131">
        <f>IFERROR(INDEX('Offer Statistics'!$BU$80:$BU$105,MATCH(A217,('Offer Statistics'!$BS$80:$BS$105),0))/INDEX('Offer Statistics'!$CC$80:$CC$105,MATCH(A217,('Offer Statistics'!$BS$80:$BS$105),0)),"新科目")</f>
        <v>5.4782608695652177</v>
      </c>
      <c r="M217" s="352">
        <f>入學要求!R218</f>
        <v>0</v>
      </c>
    </row>
    <row r="218" spans="1:13" x14ac:dyDescent="0.3">
      <c r="A218" s="352" t="str">
        <f>'Reference Score Calculation'!A210</f>
        <v>JS5102</v>
      </c>
      <c r="B218" s="352" t="str">
        <f>'Reference Score Calculation'!B210</f>
        <v>HKUST</v>
      </c>
      <c r="C218" s="352" t="str">
        <f>'Reference Score Calculation'!D210</f>
        <v>理學Ａ組</v>
      </c>
      <c r="D218" s="352" t="str">
        <f>'Reference Score Calculation'!T210</f>
        <v>SSCI-A</v>
      </c>
      <c r="E218" s="352" t="str">
        <f>'Reference Score Calculation'!E210</f>
        <v>英數Best3</v>
      </c>
      <c r="F218" s="357" t="str">
        <f>'Reference Score Calculation'!F210</f>
        <v>/</v>
      </c>
      <c r="G218" s="357">
        <f>'Reference Score Calculation'!G210</f>
        <v>28.5</v>
      </c>
      <c r="H218" s="357">
        <f>'Reference Score Calculation'!H210</f>
        <v>27.5</v>
      </c>
      <c r="I218" s="357">
        <f>計分版!H231</f>
        <v>2.5000000000000001E-9</v>
      </c>
      <c r="J218" s="352" t="str">
        <f>入學要求!C219</f>
        <v>431*</v>
      </c>
      <c r="K218" s="352">
        <f>IFERROR(INDEX('Offer Statistics'!$CH$80:$CH$105,MATCH('A123'!A218,('Offer Statistics'!$BS$80:$BS$105),0)),"/")</f>
        <v>159</v>
      </c>
      <c r="L218" s="386">
        <f>IFERROR(INDEX('Offer Statistics'!$BU$80:$BU$105,MATCH(A218,('Offer Statistics'!$BS$80:$BS$105),0))/INDEX('Offer Statistics'!$CC$80:$CC$105,MATCH(A218,('Offer Statistics'!$BS$80:$BS$105),0)),"新科目")</f>
        <v>5.7884615384615383</v>
      </c>
      <c r="M218" s="352">
        <f>入學要求!R219</f>
        <v>0</v>
      </c>
    </row>
    <row r="219" spans="1:13" x14ac:dyDescent="0.3">
      <c r="A219" s="352" t="str">
        <f>'Reference Score Calculation'!A211</f>
        <v>JS5103</v>
      </c>
      <c r="B219" s="352" t="str">
        <f>'Reference Score Calculation'!B211</f>
        <v>HKUST</v>
      </c>
      <c r="C219" s="352" t="str">
        <f>'Reference Score Calculation'!D211</f>
        <v>理學Ｂ組</v>
      </c>
      <c r="D219" s="352" t="str">
        <f>'Reference Score Calculation'!T211</f>
        <v>SSCI-B</v>
      </c>
      <c r="E219" s="352" t="str">
        <f>'Reference Score Calculation'!E211</f>
        <v>英數Best3</v>
      </c>
      <c r="F219" s="357" t="str">
        <f>'Reference Score Calculation'!F211</f>
        <v>/</v>
      </c>
      <c r="G219" s="357">
        <f>'Reference Score Calculation'!G211</f>
        <v>30</v>
      </c>
      <c r="H219" s="357">
        <f>'Reference Score Calculation'!H211</f>
        <v>28.5</v>
      </c>
      <c r="I219" s="357">
        <f>計分版!H232</f>
        <v>2.2500000000000003E-9</v>
      </c>
      <c r="J219" s="352" t="str">
        <f>入學要求!C220</f>
        <v>431*</v>
      </c>
      <c r="K219" s="352">
        <f>IFERROR(INDEX('Offer Statistics'!$CH$80:$CH$105,MATCH('A123'!A219,('Offer Statistics'!$BS$80:$BS$105),0)),"/")</f>
        <v>268</v>
      </c>
      <c r="L219" s="386">
        <f>IFERROR(INDEX('Offer Statistics'!$BU$80:$BU$105,MATCH(A219,('Offer Statistics'!$BS$80:$BS$105),0))/INDEX('Offer Statistics'!$CC$80:$CC$105,MATCH(A219,('Offer Statistics'!$BS$80:$BS$105),0)),"新科目")</f>
        <v>4.0307692307692307</v>
      </c>
      <c r="M219" s="352">
        <f>入學要求!R220</f>
        <v>0</v>
      </c>
    </row>
    <row r="220" spans="1:13" x14ac:dyDescent="0.3">
      <c r="A220" s="352" t="str">
        <f>'Reference Score Calculation'!A212</f>
        <v>JS5181</v>
      </c>
      <c r="B220" s="352" t="str">
        <f>'Reference Score Calculation'!B212</f>
        <v>HKUST</v>
      </c>
      <c r="C220" s="352" t="str">
        <f>'Reference Score Calculation'!D212</f>
        <v>理學Ａ組– 延伸主修人工智能</v>
      </c>
      <c r="D220" s="352" t="str">
        <f>'Reference Score Calculation'!T212</f>
        <v>SSCI-A (AI)</v>
      </c>
      <c r="E220" s="352" t="str">
        <f>'Reference Score Calculation'!E212</f>
        <v>英數Best3</v>
      </c>
      <c r="F220" s="357" t="str">
        <f>'Reference Score Calculation'!F212</f>
        <v>/</v>
      </c>
      <c r="G220" s="357">
        <f>'Reference Score Calculation'!G212</f>
        <v>36.75</v>
      </c>
      <c r="H220" s="357">
        <f>'Reference Score Calculation'!H212</f>
        <v>33.75</v>
      </c>
      <c r="I220" s="357">
        <f>計分版!H233</f>
        <v>2.5000000000000001E-9</v>
      </c>
      <c r="J220" s="352">
        <f>入學要求!C221</f>
        <v>41</v>
      </c>
      <c r="K220" s="352">
        <f>IFERROR(INDEX('Offer Statistics'!$CH$80:$CH$105,MATCH('A123'!A220,('Offer Statistics'!$BS$80:$BS$105),0)),"/")</f>
        <v>41</v>
      </c>
      <c r="L220" s="386">
        <f>IFERROR(INDEX('Offer Statistics'!$BU$80:$BU$105,MATCH(A220,('Offer Statistics'!$BS$80:$BS$105),0))/INDEX('Offer Statistics'!$CC$80:$CC$105,MATCH(A220,('Offer Statistics'!$BS$80:$BS$105),0)),"新科目")</f>
        <v>4.8048780487804876</v>
      </c>
      <c r="M220" s="352">
        <f>入學要求!R221</f>
        <v>0</v>
      </c>
    </row>
    <row r="221" spans="1:13" x14ac:dyDescent="0.3">
      <c r="A221" s="352" t="str">
        <f>'Reference Score Calculation'!A213</f>
        <v>JS5200</v>
      </c>
      <c r="B221" s="352" t="str">
        <f>'Reference Score Calculation'!B213</f>
        <v>HKUST</v>
      </c>
      <c r="C221" s="352" t="str">
        <f>'Reference Score Calculation'!D213</f>
        <v>工程學</v>
      </c>
      <c r="D221" s="352" t="str">
        <f>'Reference Score Calculation'!T213</f>
        <v>ENGG</v>
      </c>
      <c r="E221" s="352" t="str">
        <f>'Reference Score Calculation'!E213</f>
        <v>英數Best3</v>
      </c>
      <c r="F221" s="357" t="str">
        <f>'Reference Score Calculation'!F213</f>
        <v>/</v>
      </c>
      <c r="G221" s="357">
        <f>'Reference Score Calculation'!G213</f>
        <v>38</v>
      </c>
      <c r="H221" s="357">
        <f>'Reference Score Calculation'!H213</f>
        <v>35.5</v>
      </c>
      <c r="I221" s="357">
        <f>計分版!H234</f>
        <v>2.5000000000000001E-9</v>
      </c>
      <c r="J221" s="352">
        <f>入學要求!C222</f>
        <v>532</v>
      </c>
      <c r="K221" s="352">
        <f>IFERROR(INDEX('Offer Statistics'!$CH$80:$CH$105,MATCH('A123'!A221,('Offer Statistics'!$BS$80:$BS$105),0)),"/")</f>
        <v>390</v>
      </c>
      <c r="L221" s="386">
        <f>IFERROR(INDEX('Offer Statistics'!$BU$80:$BU$105,MATCH(A221,('Offer Statistics'!$BS$80:$BS$105),0))/INDEX('Offer Statistics'!$CC$80:$CC$105,MATCH(A221,('Offer Statistics'!$BS$80:$BS$105),0)),"新科目")</f>
        <v>4.3056994818652852</v>
      </c>
      <c r="M221" s="352">
        <f>入學要求!R222</f>
        <v>0</v>
      </c>
    </row>
    <row r="222" spans="1:13" x14ac:dyDescent="0.3">
      <c r="A222" s="352" t="str">
        <f>'Reference Score Calculation'!A214</f>
        <v>JS5211</v>
      </c>
      <c r="B222" s="352" t="str">
        <f>'Reference Score Calculation'!B214</f>
        <v>HKUST</v>
      </c>
      <c r="C222" s="352" t="str">
        <f>'Reference Score Calculation'!D214</f>
        <v>理學士（綜合系統與設計）</v>
      </c>
      <c r="D222" s="352" t="str">
        <f>'Reference Score Calculation'!T214</f>
        <v>ISDN</v>
      </c>
      <c r="E222" s="352" t="str">
        <f>'Reference Score Calculation'!E214</f>
        <v>英數Best3</v>
      </c>
      <c r="F222" s="357" t="str">
        <f>'Reference Score Calculation'!F214</f>
        <v>/</v>
      </c>
      <c r="G222" s="357">
        <f>'Reference Score Calculation'!G214</f>
        <v>38.5</v>
      </c>
      <c r="H222" s="357">
        <f>'Reference Score Calculation'!H214</f>
        <v>34.5</v>
      </c>
      <c r="I222" s="357">
        <f>計分版!H235</f>
        <v>2.5000000000000001E-9</v>
      </c>
      <c r="J222" s="352">
        <f>入學要求!C223</f>
        <v>25</v>
      </c>
      <c r="K222" s="352">
        <f>IFERROR(INDEX('Offer Statistics'!$CH$80:$CH$105,MATCH('A123'!A222,('Offer Statistics'!$BS$80:$BS$105),0)),"/")</f>
        <v>10</v>
      </c>
      <c r="L222" s="386">
        <f>IFERROR(INDEX('Offer Statistics'!$BU$80:$BU$105,MATCH(A222,('Offer Statistics'!$BS$80:$BS$105),0))/INDEX('Offer Statistics'!$CC$80:$CC$105,MATCH(A222,('Offer Statistics'!$BS$80:$BS$105),0)),"新科目")</f>
        <v>3.6</v>
      </c>
      <c r="M222" s="352">
        <f>入學要求!R223</f>
        <v>0</v>
      </c>
    </row>
    <row r="223" spans="1:13" x14ac:dyDescent="0.3">
      <c r="A223" s="352" t="str">
        <f>'Reference Score Calculation'!A215</f>
        <v>JS5282</v>
      </c>
      <c r="B223" s="352" t="str">
        <f>'Reference Score Calculation'!B215</f>
        <v>HKUST</v>
      </c>
      <c r="C223" s="352" t="str">
        <f>'Reference Score Calculation'!D215</f>
        <v>工程學– 延伸主修人工智能</v>
      </c>
      <c r="D223" s="352" t="str">
        <f>'Reference Score Calculation'!T215</f>
        <v>ENGG+AI</v>
      </c>
      <c r="E223" s="352" t="str">
        <f>'Reference Score Calculation'!E215</f>
        <v>英數Best3</v>
      </c>
      <c r="F223" s="357" t="str">
        <f>'Reference Score Calculation'!F215</f>
        <v>/</v>
      </c>
      <c r="G223" s="357">
        <f>'Reference Score Calculation'!G215</f>
        <v>47</v>
      </c>
      <c r="H223" s="357">
        <f>'Reference Score Calculation'!H215</f>
        <v>44.5</v>
      </c>
      <c r="I223" s="357">
        <f>計分版!H236</f>
        <v>2.5000000000000001E-9</v>
      </c>
      <c r="J223" s="352">
        <f>入學要求!C224</f>
        <v>152</v>
      </c>
      <c r="K223" s="352">
        <f>IFERROR(INDEX('Offer Statistics'!$CH$80:$CH$105,MATCH('A123'!A223,('Offer Statistics'!$BS$80:$BS$105),0)),"/")</f>
        <v>182</v>
      </c>
      <c r="L223" s="386">
        <f>IFERROR(INDEX('Offer Statistics'!$BU$80:$BU$105,MATCH(A223,('Offer Statistics'!$BS$80:$BS$105),0))/INDEX('Offer Statistics'!$CC$80:$CC$105,MATCH(A223,('Offer Statistics'!$BS$80:$BS$105),0)),"新科目")</f>
        <v>3.7071823204419889</v>
      </c>
      <c r="M223" s="352">
        <f>入學要求!R224</f>
        <v>0</v>
      </c>
    </row>
    <row r="224" spans="1:13" x14ac:dyDescent="0.3">
      <c r="A224" s="352" t="str">
        <f>'Reference Score Calculation'!A216</f>
        <v>JS5300</v>
      </c>
      <c r="B224" s="352" t="str">
        <f>'Reference Score Calculation'!B216</f>
        <v>HKUST</v>
      </c>
      <c r="C224" s="352" t="str">
        <f>'Reference Score Calculation'!D216</f>
        <v>工商管理</v>
      </c>
      <c r="D224" s="352" t="str">
        <f>'Reference Score Calculation'!T216</f>
        <v>B&amp;M</v>
      </c>
      <c r="E224" s="352" t="str">
        <f>'Reference Score Calculation'!E216</f>
        <v>英數Best4</v>
      </c>
      <c r="F224" s="357" t="str">
        <f>'Reference Score Calculation'!F216</f>
        <v>/</v>
      </c>
      <c r="G224" s="357">
        <f>'Reference Score Calculation'!G216</f>
        <v>35</v>
      </c>
      <c r="H224" s="357">
        <f>'Reference Score Calculation'!H216</f>
        <v>34.5</v>
      </c>
      <c r="I224" s="357">
        <f>計分版!H237</f>
        <v>4.0000000000000002E-9</v>
      </c>
      <c r="J224" s="352">
        <f>入學要求!C225</f>
        <v>377</v>
      </c>
      <c r="K224" s="352">
        <f>IFERROR(INDEX('Offer Statistics'!$CH$80:$CH$105,MATCH('A123'!A224,('Offer Statistics'!$BS$80:$BS$105),0)),"/")</f>
        <v>340</v>
      </c>
      <c r="L224" s="386">
        <f>IFERROR(INDEX('Offer Statistics'!$BU$80:$BU$105,MATCH(A224,('Offer Statistics'!$BS$80:$BS$105),0))/INDEX('Offer Statistics'!$CC$80:$CC$105,MATCH(A224,('Offer Statistics'!$BS$80:$BS$105),0)),"新科目")</f>
        <v>3.4588235294117649</v>
      </c>
      <c r="M224" s="352">
        <f>入學要求!R225</f>
        <v>0</v>
      </c>
    </row>
    <row r="225" spans="1:13" x14ac:dyDescent="0.3">
      <c r="A225" s="352" t="str">
        <f>'Reference Score Calculation'!A217</f>
        <v>JS5311</v>
      </c>
      <c r="B225" s="352" t="str">
        <f>'Reference Score Calculation'!B217</f>
        <v>HKUST</v>
      </c>
      <c r="C225" s="352" t="str">
        <f>'Reference Score Calculation'!D217</f>
        <v>工商管理學士（經濟學）</v>
      </c>
      <c r="D225" s="352" t="str">
        <f>'Reference Score Calculation'!T217</f>
        <v>ECON</v>
      </c>
      <c r="E225" s="352" t="str">
        <f>'Reference Score Calculation'!E217</f>
        <v>英數Best4</v>
      </c>
      <c r="F225" s="357" t="str">
        <f>'Reference Score Calculation'!F217</f>
        <v>/</v>
      </c>
      <c r="G225" s="357">
        <f>'Reference Score Calculation'!G217</f>
        <v>38</v>
      </c>
      <c r="H225" s="357">
        <f>'Reference Score Calculation'!H217</f>
        <v>36</v>
      </c>
      <c r="I225" s="357">
        <f>計分版!H238</f>
        <v>4.0000000000000002E-9</v>
      </c>
      <c r="J225" s="352" t="str">
        <f>入學要求!C226</f>
        <v>125*</v>
      </c>
      <c r="K225" s="352">
        <f>IFERROR(INDEX('Offer Statistics'!$CH$80:$CH$105,MATCH('A123'!A225,('Offer Statistics'!$BS$80:$BS$105),0)),"/")</f>
        <v>35</v>
      </c>
      <c r="L225" s="386">
        <f>IFERROR(INDEX('Offer Statistics'!$BU$80:$BU$105,MATCH(A225,('Offer Statistics'!$BS$80:$BS$105),0))/INDEX('Offer Statistics'!$CC$80:$CC$105,MATCH(A225,('Offer Statistics'!$BS$80:$BS$105),0)),"新科目")</f>
        <v>3.7142857142857144</v>
      </c>
      <c r="M225" s="352">
        <f>入學要求!R226</f>
        <v>0</v>
      </c>
    </row>
    <row r="226" spans="1:13" x14ac:dyDescent="0.3">
      <c r="A226" s="352" t="str">
        <f>'Reference Score Calculation'!A218</f>
        <v>JS5312</v>
      </c>
      <c r="B226" s="352" t="str">
        <f>'Reference Score Calculation'!B218</f>
        <v>HKUST</v>
      </c>
      <c r="C226" s="352" t="str">
        <f>'Reference Score Calculation'!D218</f>
        <v>工商管理學士（金融學）</v>
      </c>
      <c r="D226" s="352" t="str">
        <f>'Reference Score Calculation'!T218</f>
        <v>FINA</v>
      </c>
      <c r="E226" s="352" t="str">
        <f>'Reference Score Calculation'!E218</f>
        <v>英數Best4</v>
      </c>
      <c r="F226" s="357" t="str">
        <f>'Reference Score Calculation'!F218</f>
        <v>/</v>
      </c>
      <c r="G226" s="357">
        <f>'Reference Score Calculation'!G218</f>
        <v>49.75</v>
      </c>
      <c r="H226" s="357">
        <f>'Reference Score Calculation'!H218</f>
        <v>48.25</v>
      </c>
      <c r="I226" s="357">
        <f>計分版!H239</f>
        <v>3.3999999999999998E-9</v>
      </c>
      <c r="J226" s="352">
        <f>入學要求!C227</f>
        <v>30</v>
      </c>
      <c r="K226" s="352">
        <f>IFERROR(INDEX('Offer Statistics'!$CH$80:$CH$105,MATCH('A123'!A226,('Offer Statistics'!$BS$80:$BS$105),0)),"/")</f>
        <v>45</v>
      </c>
      <c r="L226" s="386">
        <f>IFERROR(INDEX('Offer Statistics'!$BU$80:$BU$105,MATCH(A226,('Offer Statistics'!$BS$80:$BS$105),0))/INDEX('Offer Statistics'!$CC$80:$CC$105,MATCH(A226,('Offer Statistics'!$BS$80:$BS$105),0)),"新科目")</f>
        <v>4.1111111111111107</v>
      </c>
      <c r="M226" s="352">
        <f>入學要求!R227</f>
        <v>0</v>
      </c>
    </row>
    <row r="227" spans="1:13" x14ac:dyDescent="0.3">
      <c r="A227" s="352" t="str">
        <f>'Reference Score Calculation'!A219</f>
        <v>JS5313</v>
      </c>
      <c r="B227" s="352" t="str">
        <f>'Reference Score Calculation'!B219</f>
        <v>HKUST</v>
      </c>
      <c r="C227" s="352" t="str">
        <f>'Reference Score Calculation'!D219</f>
        <v>工商管理學士（環球商業管理）</v>
      </c>
      <c r="D227" s="352" t="str">
        <f>'Reference Score Calculation'!T219</f>
        <v>GBUS</v>
      </c>
      <c r="E227" s="352" t="str">
        <f>'Reference Score Calculation'!E219</f>
        <v>英數Best4</v>
      </c>
      <c r="F227" s="357" t="str">
        <f>'Reference Score Calculation'!F219</f>
        <v>/</v>
      </c>
      <c r="G227" s="357">
        <f>'Reference Score Calculation'!G219</f>
        <v>60.5</v>
      </c>
      <c r="H227" s="357">
        <f>'Reference Score Calculation'!H219</f>
        <v>56</v>
      </c>
      <c r="I227" s="357">
        <f>計分版!H240</f>
        <v>4.0000000000000002E-9</v>
      </c>
      <c r="J227" s="352">
        <f>入學要求!C228</f>
        <v>26</v>
      </c>
      <c r="K227" s="352">
        <f>IFERROR(INDEX('Offer Statistics'!$CH$80:$CH$105,MATCH('A123'!A227,('Offer Statistics'!$BS$80:$BS$105),0)),"/")</f>
        <v>20</v>
      </c>
      <c r="L227" s="386">
        <f>IFERROR(INDEX('Offer Statistics'!$BU$80:$BU$105,MATCH(A227,('Offer Statistics'!$BS$80:$BS$105),0))/INDEX('Offer Statistics'!$CC$80:$CC$105,MATCH(A227,('Offer Statistics'!$BS$80:$BS$105),0)),"新科目")</f>
        <v>5.95</v>
      </c>
      <c r="M227" s="352">
        <f>入學要求!R228</f>
        <v>0</v>
      </c>
    </row>
    <row r="228" spans="1:13" x14ac:dyDescent="0.3">
      <c r="A228" s="352" t="str">
        <f>'Reference Score Calculation'!A220</f>
        <v>JS5314</v>
      </c>
      <c r="B228" s="352" t="str">
        <f>'Reference Score Calculation'!B220</f>
        <v>HKUST</v>
      </c>
      <c r="C228" s="352" t="str">
        <f>'Reference Score Calculation'!D220</f>
        <v>工商管理學士（資訊系統學）</v>
      </c>
      <c r="D228" s="352" t="str">
        <f>'Reference Score Calculation'!T220</f>
        <v>IS</v>
      </c>
      <c r="E228" s="352" t="str">
        <f>'Reference Score Calculation'!E220</f>
        <v>英數Best4</v>
      </c>
      <c r="F228" s="357" t="str">
        <f>'Reference Score Calculation'!F220</f>
        <v>/</v>
      </c>
      <c r="G228" s="357">
        <f>'Reference Score Calculation'!G220</f>
        <v>39.5</v>
      </c>
      <c r="H228" s="357">
        <f>'Reference Score Calculation'!H220</f>
        <v>38</v>
      </c>
      <c r="I228" s="357">
        <f>計分版!H241</f>
        <v>4.0000000000000002E-9</v>
      </c>
      <c r="J228" s="352" t="str">
        <f>入學要求!C229</f>
        <v>125*</v>
      </c>
      <c r="K228" s="352">
        <f>IFERROR(INDEX('Offer Statistics'!$CH$80:$CH$105,MATCH('A123'!A228,('Offer Statistics'!$BS$80:$BS$105),0)),"/")</f>
        <v>40</v>
      </c>
      <c r="L228" s="386">
        <f>IFERROR(INDEX('Offer Statistics'!$BU$80:$BU$105,MATCH(A228,('Offer Statistics'!$BS$80:$BS$105),0))/INDEX('Offer Statistics'!$CC$80:$CC$105,MATCH(A228,('Offer Statistics'!$BS$80:$BS$105),0)),"新科目")</f>
        <v>3.2250000000000001</v>
      </c>
      <c r="M228" s="352">
        <f>入學要求!R229</f>
        <v>0</v>
      </c>
    </row>
    <row r="229" spans="1:13" x14ac:dyDescent="0.3">
      <c r="A229" s="352" t="str">
        <f>'Reference Score Calculation'!A221</f>
        <v>JS5315</v>
      </c>
      <c r="B229" s="352" t="str">
        <f>'Reference Score Calculation'!B221</f>
        <v>HKUST</v>
      </c>
      <c r="C229" s="352" t="str">
        <f>'Reference Score Calculation'!D221</f>
        <v>工商管理學士（管理學）</v>
      </c>
      <c r="D229" s="352" t="str">
        <f>'Reference Score Calculation'!T221</f>
        <v>MGMT</v>
      </c>
      <c r="E229" s="352" t="str">
        <f>'Reference Score Calculation'!E221</f>
        <v>英數Best4</v>
      </c>
      <c r="F229" s="357" t="str">
        <f>'Reference Score Calculation'!F221</f>
        <v>/</v>
      </c>
      <c r="G229" s="357">
        <f>'Reference Score Calculation'!G221</f>
        <v>37</v>
      </c>
      <c r="H229" s="357">
        <f>'Reference Score Calculation'!H221</f>
        <v>35</v>
      </c>
      <c r="I229" s="357">
        <f>計分版!H242</f>
        <v>4.0000000000000002E-9</v>
      </c>
      <c r="J229" s="352" t="str">
        <f>入學要求!C230</f>
        <v>125*</v>
      </c>
      <c r="K229" s="352">
        <f>IFERROR(INDEX('Offer Statistics'!$CH$80:$CH$105,MATCH('A123'!A229,('Offer Statistics'!$BS$80:$BS$105),0)),"/")</f>
        <v>24</v>
      </c>
      <c r="L229" s="386">
        <f>IFERROR(INDEX('Offer Statistics'!$BU$80:$BU$105,MATCH(A229,('Offer Statistics'!$BS$80:$BS$105),0))/INDEX('Offer Statistics'!$CC$80:$CC$105,MATCH(A229,('Offer Statistics'!$BS$80:$BS$105),0)),"新科目")</f>
        <v>4.458333333333333</v>
      </c>
      <c r="M229" s="352">
        <f>入學要求!R230</f>
        <v>0</v>
      </c>
    </row>
    <row r="230" spans="1:13" x14ac:dyDescent="0.3">
      <c r="A230" s="352" t="str">
        <f>'Reference Score Calculation'!A222</f>
        <v>JS5316</v>
      </c>
      <c r="B230" s="352" t="str">
        <f>'Reference Score Calculation'!B222</f>
        <v>HKUST</v>
      </c>
      <c r="C230" s="352" t="str">
        <f>'Reference Score Calculation'!D222</f>
        <v>工商管理學士（市場學）</v>
      </c>
      <c r="D230" s="352" t="str">
        <f>'Reference Score Calculation'!T222</f>
        <v>MARK</v>
      </c>
      <c r="E230" s="352" t="str">
        <f>'Reference Score Calculation'!E222</f>
        <v>英數Best4</v>
      </c>
      <c r="F230" s="357" t="str">
        <f>'Reference Score Calculation'!F222</f>
        <v>/</v>
      </c>
      <c r="G230" s="357">
        <f>'Reference Score Calculation'!G222</f>
        <v>38</v>
      </c>
      <c r="H230" s="357">
        <f>'Reference Score Calculation'!H222</f>
        <v>34</v>
      </c>
      <c r="I230" s="357">
        <f>計分版!H243</f>
        <v>4.0000000000000002E-9</v>
      </c>
      <c r="J230" s="352" t="str">
        <f>入學要求!C231</f>
        <v>125*</v>
      </c>
      <c r="K230" s="352">
        <f>IFERROR(INDEX('Offer Statistics'!$CH$80:$CH$105,MATCH('A123'!A230,('Offer Statistics'!$BS$80:$BS$105),0)),"/")</f>
        <v>25</v>
      </c>
      <c r="L230" s="386">
        <f>IFERROR(INDEX('Offer Statistics'!$BU$80:$BU$105,MATCH(A230,('Offer Statistics'!$BS$80:$BS$105),0))/INDEX('Offer Statistics'!$CC$80:$CC$105,MATCH(A230,('Offer Statistics'!$BS$80:$BS$105),0)),"新科目")</f>
        <v>5.52</v>
      </c>
      <c r="M230" s="352">
        <f>入學要求!R231</f>
        <v>0</v>
      </c>
    </row>
    <row r="231" spans="1:13" x14ac:dyDescent="0.3">
      <c r="A231" s="352" t="str">
        <f>'Reference Score Calculation'!A223</f>
        <v>JS5317</v>
      </c>
      <c r="B231" s="352" t="str">
        <f>'Reference Score Calculation'!B223</f>
        <v>HKUST</v>
      </c>
      <c r="C231" s="352" t="str">
        <f>'Reference Score Calculation'!D223</f>
        <v>工商管理學士（營運管理學）</v>
      </c>
      <c r="D231" s="352" t="str">
        <f>'Reference Score Calculation'!T223</f>
        <v>OM</v>
      </c>
      <c r="E231" s="352" t="str">
        <f>'Reference Score Calculation'!E223</f>
        <v>英數Best4</v>
      </c>
      <c r="F231" s="357" t="str">
        <f>'Reference Score Calculation'!F223</f>
        <v>/</v>
      </c>
      <c r="G231" s="357" t="str">
        <f>'Reference Score Calculation'!G223</f>
        <v>/</v>
      </c>
      <c r="H231" s="357" t="str">
        <f>'Reference Score Calculation'!H223</f>
        <v>/</v>
      </c>
      <c r="I231" s="357">
        <f>計分版!H244</f>
        <v>4.0000000000000002E-9</v>
      </c>
      <c r="J231" s="352" t="str">
        <f>入學要求!C232</f>
        <v>125*</v>
      </c>
      <c r="K231" s="352">
        <f>IFERROR(INDEX('Offer Statistics'!$CH$80:$CH$105,MATCH('A123'!A231,('Offer Statistics'!$BS$80:$BS$105),0)),"/")</f>
        <v>4</v>
      </c>
      <c r="L231" s="386">
        <f>IFERROR(INDEX('Offer Statistics'!$BU$80:$BU$105,MATCH(A231,('Offer Statistics'!$BS$80:$BS$105),0))/INDEX('Offer Statistics'!$CC$80:$CC$105,MATCH(A231,('Offer Statistics'!$BS$80:$BS$105),0)),"新科目")</f>
        <v>7.75</v>
      </c>
      <c r="M231" s="352">
        <f>入學要求!R232</f>
        <v>0</v>
      </c>
    </row>
    <row r="232" spans="1:13" x14ac:dyDescent="0.3">
      <c r="A232" s="352" t="str">
        <f>'Reference Score Calculation'!A224</f>
        <v>JS5318</v>
      </c>
      <c r="B232" s="352" t="str">
        <f>'Reference Score Calculation'!B224</f>
        <v>HKUST</v>
      </c>
      <c r="C232" s="352" t="str">
        <f>'Reference Score Calculation'!D224</f>
        <v>工商管理學士（專業會計學）</v>
      </c>
      <c r="D232" s="352" t="str">
        <f>'Reference Score Calculation'!T224</f>
        <v>ACCT</v>
      </c>
      <c r="E232" s="352" t="str">
        <f>'Reference Score Calculation'!E224</f>
        <v>英數Best4</v>
      </c>
      <c r="F232" s="357" t="str">
        <f>'Reference Score Calculation'!F224</f>
        <v>/</v>
      </c>
      <c r="G232" s="357">
        <f>'Reference Score Calculation'!G224</f>
        <v>39.5</v>
      </c>
      <c r="H232" s="357">
        <f>'Reference Score Calculation'!H224</f>
        <v>38</v>
      </c>
      <c r="I232" s="357">
        <f>計分版!H245</f>
        <v>4.0000000000000002E-9</v>
      </c>
      <c r="J232" s="352">
        <f>入學要求!C233</f>
        <v>60</v>
      </c>
      <c r="K232" s="352">
        <f>IFERROR(INDEX('Offer Statistics'!$CH$80:$CH$105,MATCH('A123'!A232,('Offer Statistics'!$BS$80:$BS$105),0)),"/")</f>
        <v>70</v>
      </c>
      <c r="L232" s="386">
        <f>IFERROR(INDEX('Offer Statistics'!$BU$80:$BU$105,MATCH(A232,('Offer Statistics'!$BS$80:$BS$105),0))/INDEX('Offer Statistics'!$CC$80:$CC$105,MATCH(A232,('Offer Statistics'!$BS$80:$BS$105),0)),"新科目")</f>
        <v>3.3285714285714287</v>
      </c>
      <c r="M232" s="352">
        <f>入學要求!R233</f>
        <v>0</v>
      </c>
    </row>
    <row r="233" spans="1:13" x14ac:dyDescent="0.3">
      <c r="A233" s="352" t="str">
        <f>'Reference Score Calculation'!A225</f>
        <v>JS5331</v>
      </c>
      <c r="B233" s="352" t="str">
        <f>'Reference Score Calculation'!B225</f>
        <v>HKUST</v>
      </c>
      <c r="C233" s="352" t="str">
        <f>'Reference Score Calculation'!D225</f>
        <v>理學士（經濟及金融學）</v>
      </c>
      <c r="D233" s="352" t="str">
        <f>'Reference Score Calculation'!T225</f>
        <v>ECOF</v>
      </c>
      <c r="E233" s="352" t="str">
        <f>'Reference Score Calculation'!E225</f>
        <v>英數Best4</v>
      </c>
      <c r="F233" s="357" t="str">
        <f>'Reference Score Calculation'!F225</f>
        <v>/</v>
      </c>
      <c r="G233" s="357">
        <f>'Reference Score Calculation'!G225</f>
        <v>52.75</v>
      </c>
      <c r="H233" s="357">
        <f>'Reference Score Calculation'!H225</f>
        <v>52</v>
      </c>
      <c r="I233" s="357">
        <f>計分版!H246</f>
        <v>3.3999999999999998E-9</v>
      </c>
      <c r="J233" s="352">
        <f>入學要求!C234</f>
        <v>26</v>
      </c>
      <c r="K233" s="352">
        <f>IFERROR(INDEX('Offer Statistics'!$CH$80:$CH$105,MATCH('A123'!A233,('Offer Statistics'!$BS$80:$BS$105),0)),"/")</f>
        <v>27</v>
      </c>
      <c r="L233" s="386">
        <f>IFERROR(INDEX('Offer Statistics'!$BU$80:$BU$105,MATCH(A233,('Offer Statistics'!$BS$80:$BS$105),0))/INDEX('Offer Statistics'!$CC$80:$CC$105,MATCH(A233,('Offer Statistics'!$BS$80:$BS$105),0)),"新科目")</f>
        <v>5.333333333333333</v>
      </c>
      <c r="M233" s="352">
        <f>入學要求!R234</f>
        <v>0</v>
      </c>
    </row>
    <row r="234" spans="1:13" x14ac:dyDescent="0.3">
      <c r="A234" s="352" t="str">
        <f>'Reference Score Calculation'!A226</f>
        <v>JS5332</v>
      </c>
      <c r="B234" s="352" t="str">
        <f>'Reference Score Calculation'!B226</f>
        <v>HKUST</v>
      </c>
      <c r="C234" s="352" t="str">
        <f>'Reference Score Calculation'!D226</f>
        <v>理學士（量化金融學）</v>
      </c>
      <c r="D234" s="352" t="str">
        <f>'Reference Score Calculation'!T226</f>
        <v>QFIN</v>
      </c>
      <c r="E234" s="352" t="str">
        <f>'Reference Score Calculation'!E226</f>
        <v>英數Best4</v>
      </c>
      <c r="F234" s="357" t="str">
        <f>'Reference Score Calculation'!F226</f>
        <v>/</v>
      </c>
      <c r="G234" s="357">
        <f>'Reference Score Calculation'!G226</f>
        <v>63.25</v>
      </c>
      <c r="H234" s="357">
        <f>'Reference Score Calculation'!H226</f>
        <v>60.25</v>
      </c>
      <c r="I234" s="357">
        <f>計分版!H247</f>
        <v>3.3999999999999998E-9</v>
      </c>
      <c r="J234" s="352">
        <f>入學要求!C235</f>
        <v>20</v>
      </c>
      <c r="K234" s="352">
        <f>IFERROR(INDEX('Offer Statistics'!$CH$80:$CH$105,MATCH('A123'!A234,('Offer Statistics'!$BS$80:$BS$105),0)),"/")</f>
        <v>20</v>
      </c>
      <c r="L234" s="386">
        <f>IFERROR(INDEX('Offer Statistics'!$BU$80:$BU$105,MATCH(A234,('Offer Statistics'!$BS$80:$BS$105),0))/INDEX('Offer Statistics'!$CC$80:$CC$105,MATCH(A234,('Offer Statistics'!$BS$80:$BS$105),0)),"新科目")</f>
        <v>5.2</v>
      </c>
      <c r="M234" s="352">
        <f>入學要求!R235</f>
        <v>0</v>
      </c>
    </row>
    <row r="235" spans="1:13" x14ac:dyDescent="0.3">
      <c r="A235" s="352" t="str">
        <f>'Reference Score Calculation'!A227</f>
        <v>JS5411</v>
      </c>
      <c r="B235" s="352" t="str">
        <f>'Reference Score Calculation'!B227</f>
        <v>HKUST</v>
      </c>
      <c r="C235" s="352" t="str">
        <f>'Reference Score Calculation'!D227</f>
        <v>理學士（環球中國研究）</v>
      </c>
      <c r="D235" s="352" t="str">
        <f>'Reference Score Calculation'!T227</f>
        <v>GCS</v>
      </c>
      <c r="E235" s="352" t="str">
        <f>'Reference Score Calculation'!E227</f>
        <v>中英Best4</v>
      </c>
      <c r="F235" s="357" t="str">
        <f>'Reference Score Calculation'!F227</f>
        <v>/</v>
      </c>
      <c r="G235" s="357">
        <f>'Reference Score Calculation'!G227</f>
        <v>30</v>
      </c>
      <c r="H235" s="357">
        <f>'Reference Score Calculation'!H227</f>
        <v>28.5</v>
      </c>
      <c r="I235" s="357">
        <f>計分版!H248</f>
        <v>3.5500000000000004E-9</v>
      </c>
      <c r="J235" s="352">
        <f>入學要求!C236</f>
        <v>50</v>
      </c>
      <c r="K235" s="352">
        <f>IFERROR(INDEX('Offer Statistics'!$CH$80:$CH$105,MATCH('A123'!A235,('Offer Statistics'!$BS$80:$BS$105),0)),"/")</f>
        <v>56</v>
      </c>
      <c r="L235" s="386">
        <f>IFERROR(INDEX('Offer Statistics'!$BU$80:$BU$105,MATCH(A235,('Offer Statistics'!$BS$80:$BS$105),0))/INDEX('Offer Statistics'!$CC$80:$CC$105,MATCH(A235,('Offer Statistics'!$BS$80:$BS$105),0)),"新科目")</f>
        <v>2.2000000000000002</v>
      </c>
      <c r="M235" s="352">
        <f>入學要求!R236</f>
        <v>0</v>
      </c>
    </row>
    <row r="236" spans="1:13" x14ac:dyDescent="0.3">
      <c r="A236" s="352" t="str">
        <f>'Reference Score Calculation'!A228</f>
        <v>JS5412</v>
      </c>
      <c r="B236" s="352" t="str">
        <f>'Reference Score Calculation'!B228</f>
        <v>HKUST</v>
      </c>
      <c r="C236" s="352" t="str">
        <f>'Reference Score Calculation'!D228</f>
        <v>理學士（定量社會數據分析）</v>
      </c>
      <c r="D236" s="352" t="str">
        <f>'Reference Score Calculation'!T228</f>
        <v>QSA</v>
      </c>
      <c r="E236" s="352" t="str">
        <f>'Reference Score Calculation'!E228</f>
        <v>英數Best4</v>
      </c>
      <c r="F236" s="357" t="str">
        <f>'Reference Score Calculation'!F228</f>
        <v>/</v>
      </c>
      <c r="G236" s="357">
        <f>'Reference Score Calculation'!G228</f>
        <v>34</v>
      </c>
      <c r="H236" s="357">
        <f>'Reference Score Calculation'!H228</f>
        <v>32</v>
      </c>
      <c r="I236" s="357">
        <f>計分版!H249</f>
        <v>4.1499999999999999E-9</v>
      </c>
      <c r="J236" s="352">
        <f>入學要求!C237</f>
        <v>28</v>
      </c>
      <c r="K236" s="352">
        <f>IFERROR(INDEX('Offer Statistics'!$CH$80:$CH$105,MATCH('A123'!A236,('Offer Statistics'!$BS$80:$BS$105),0)),"/")</f>
        <v>25</v>
      </c>
      <c r="L236" s="386">
        <f>IFERROR(INDEX('Offer Statistics'!$BU$80:$BU$105,MATCH(A236,('Offer Statistics'!$BS$80:$BS$105),0))/INDEX('Offer Statistics'!$CC$80:$CC$105,MATCH(A236,('Offer Statistics'!$BS$80:$BS$105),0)),"新科目")</f>
        <v>2.2000000000000002</v>
      </c>
      <c r="M236" s="352">
        <f>入學要求!R237</f>
        <v>0</v>
      </c>
    </row>
    <row r="237" spans="1:13" x14ac:dyDescent="0.3">
      <c r="A237" s="352" t="str">
        <f>'Reference Score Calculation'!A229</f>
        <v>JS5811</v>
      </c>
      <c r="B237" s="352" t="str">
        <f>'Reference Score Calculation'!B229</f>
        <v>HKUST</v>
      </c>
      <c r="C237" s="352" t="str">
        <f>'Reference Score Calculation'!D229</f>
        <v>理學士（生物科技及商學）</v>
      </c>
      <c r="D237" s="352" t="str">
        <f>'Reference Score Calculation'!T229</f>
        <v>BIBU</v>
      </c>
      <c r="E237" s="352" t="str">
        <f>'Reference Score Calculation'!E229</f>
        <v>英數Best4</v>
      </c>
      <c r="F237" s="357" t="str">
        <f>'Reference Score Calculation'!F229</f>
        <v>/</v>
      </c>
      <c r="G237" s="357">
        <f>'Reference Score Calculation'!G229</f>
        <v>48</v>
      </c>
      <c r="H237" s="357">
        <f>'Reference Score Calculation'!H229</f>
        <v>46.75</v>
      </c>
      <c r="I237" s="357">
        <f>計分版!H250</f>
        <v>3.2999999999999998E-9</v>
      </c>
      <c r="J237" s="352">
        <f>入學要求!C238</f>
        <v>26</v>
      </c>
      <c r="K237" s="352">
        <f>IFERROR(INDEX('Offer Statistics'!$CH$80:$CH$105,MATCH('A123'!A237,('Offer Statistics'!$BS$80:$BS$105),0)),"/")</f>
        <v>25</v>
      </c>
      <c r="L237" s="386">
        <f>IFERROR(INDEX('Offer Statistics'!$BU$80:$BU$105,MATCH(A237,('Offer Statistics'!$BS$80:$BS$105),0))/INDEX('Offer Statistics'!$CC$80:$CC$105,MATCH(A237,('Offer Statistics'!$BS$80:$BS$105),0)),"新科目")</f>
        <v>3.88</v>
      </c>
      <c r="M237" s="352">
        <f>入學要求!R238</f>
        <v>0</v>
      </c>
    </row>
    <row r="238" spans="1:13" x14ac:dyDescent="0.3">
      <c r="A238" s="352" t="str">
        <f>'Reference Score Calculation'!A230</f>
        <v>JS5812</v>
      </c>
      <c r="B238" s="352" t="str">
        <f>'Reference Score Calculation'!B230</f>
        <v>HKUST</v>
      </c>
      <c r="C238" s="352" t="str">
        <f>'Reference Score Calculation'!D230</f>
        <v>理學士（環境管理及科技）</v>
      </c>
      <c r="D238" s="352" t="str">
        <f>'Reference Score Calculation'!T230</f>
        <v>EVMT</v>
      </c>
      <c r="E238" s="352" t="str">
        <f>'Reference Score Calculation'!E230</f>
        <v>英數Best4</v>
      </c>
      <c r="F238" s="357" t="str">
        <f>'Reference Score Calculation'!F230</f>
        <v>/</v>
      </c>
      <c r="G238" s="357">
        <f>'Reference Score Calculation'!G230</f>
        <v>44</v>
      </c>
      <c r="H238" s="357">
        <f>'Reference Score Calculation'!H230</f>
        <v>39.5</v>
      </c>
      <c r="I238" s="357">
        <f>計分版!H251</f>
        <v>4.0000000000000002E-9</v>
      </c>
      <c r="J238" s="352">
        <f>入學要求!C239</f>
        <v>16</v>
      </c>
      <c r="K238" s="352">
        <f>IFERROR(INDEX('Offer Statistics'!$CH$80:$CH$105,MATCH('A123'!A238,('Offer Statistics'!$BS$80:$BS$105),0)),"/")</f>
        <v>15</v>
      </c>
      <c r="L238" s="386">
        <f>IFERROR(INDEX('Offer Statistics'!$BU$80:$BU$105,MATCH(A238,('Offer Statistics'!$BS$80:$BS$105),0))/INDEX('Offer Statistics'!$CC$80:$CC$105,MATCH(A238,('Offer Statistics'!$BS$80:$BS$105),0)),"新科目")</f>
        <v>4.4000000000000004</v>
      </c>
      <c r="M238" s="352">
        <f>入學要求!R239</f>
        <v>0</v>
      </c>
    </row>
    <row r="239" spans="1:13" x14ac:dyDescent="0.3">
      <c r="A239" s="352" t="str">
        <f>'Reference Score Calculation'!A231</f>
        <v>JS5813</v>
      </c>
      <c r="B239" s="352" t="str">
        <f>'Reference Score Calculation'!B231</f>
        <v>HKUST</v>
      </c>
      <c r="C239" s="352" t="str">
        <f>'Reference Score Calculation'!D231</f>
        <v>理學士（數學與經濟學）</v>
      </c>
      <c r="D239" s="352" t="str">
        <f>'Reference Score Calculation'!T231</f>
        <v>MAEC</v>
      </c>
      <c r="E239" s="352" t="str">
        <f>'Reference Score Calculation'!E231</f>
        <v>英數Best4</v>
      </c>
      <c r="F239" s="357" t="str">
        <f>'Reference Score Calculation'!F231</f>
        <v>/</v>
      </c>
      <c r="G239" s="357">
        <f>'Reference Score Calculation'!G231</f>
        <v>52.5</v>
      </c>
      <c r="H239" s="357">
        <f>'Reference Score Calculation'!H231</f>
        <v>49.5</v>
      </c>
      <c r="I239" s="357">
        <f>計分版!H252</f>
        <v>3.7E-9</v>
      </c>
      <c r="J239" s="352">
        <f>入學要求!C240</f>
        <v>16</v>
      </c>
      <c r="K239" s="352">
        <f>IFERROR(INDEX('Offer Statistics'!$CH$80:$CH$105,MATCH('A123'!A239,('Offer Statistics'!$BS$80:$BS$105),0)),"/")</f>
        <v>14</v>
      </c>
      <c r="L239" s="386">
        <f>IFERROR(INDEX('Offer Statistics'!$BU$80:$BU$105,MATCH(A239,('Offer Statistics'!$BS$80:$BS$105),0))/INDEX('Offer Statistics'!$CC$80:$CC$105,MATCH(A239,('Offer Statistics'!$BS$80:$BS$105),0)),"新科目")</f>
        <v>4.1428571428571432</v>
      </c>
      <c r="M239" s="352">
        <f>入學要求!R240</f>
        <v>0</v>
      </c>
    </row>
    <row r="240" spans="1:13" x14ac:dyDescent="0.3">
      <c r="A240" s="352" t="str">
        <f>'Reference Score Calculation'!A232</f>
        <v>JS5814</v>
      </c>
      <c r="B240" s="352" t="str">
        <f>'Reference Score Calculation'!B232</f>
        <v>HKUST</v>
      </c>
      <c r="C240" s="352" t="str">
        <f>'Reference Score Calculation'!D232</f>
        <v>理學士（風險管理及商業智能學）</v>
      </c>
      <c r="D240" s="352" t="str">
        <f>'Reference Score Calculation'!T232</f>
        <v>RMBI</v>
      </c>
      <c r="E240" s="352" t="str">
        <f>'Reference Score Calculation'!E232</f>
        <v>英數Best4</v>
      </c>
      <c r="F240" s="357" t="str">
        <f>'Reference Score Calculation'!F232</f>
        <v>/</v>
      </c>
      <c r="G240" s="357">
        <f>'Reference Score Calculation'!G232</f>
        <v>50</v>
      </c>
      <c r="H240" s="357">
        <f>'Reference Score Calculation'!H232</f>
        <v>48.5</v>
      </c>
      <c r="I240" s="357">
        <f>計分版!H253</f>
        <v>4.1499999999999999E-9</v>
      </c>
      <c r="J240" s="352">
        <f>入學要求!C241</f>
        <v>23</v>
      </c>
      <c r="K240" s="352">
        <f>IFERROR(INDEX('Offer Statistics'!$CH$80:$CH$105,MATCH('A123'!A240,('Offer Statistics'!$BS$80:$BS$105),0)),"/")</f>
        <v>24</v>
      </c>
      <c r="L240" s="386">
        <f>IFERROR(INDEX('Offer Statistics'!$BU$80:$BU$105,MATCH(A240,('Offer Statistics'!$BS$80:$BS$105),0))/INDEX('Offer Statistics'!$CC$80:$CC$105,MATCH(A240,('Offer Statistics'!$BS$80:$BS$105),0)),"新科目")</f>
        <v>3</v>
      </c>
      <c r="M240" s="352">
        <f>入學要求!R241</f>
        <v>0</v>
      </c>
    </row>
    <row r="241" spans="1:19" x14ac:dyDescent="0.3">
      <c r="A241" s="352" t="str">
        <f>'Reference Score Calculation'!A233</f>
        <v>JS5822</v>
      </c>
      <c r="B241" s="352" t="str">
        <f>'Reference Score Calculation'!B233</f>
        <v>HKUST</v>
      </c>
      <c r="C241" s="352" t="str">
        <f>'Reference Score Calculation'!D233</f>
        <v>理學士（可持續發展及綠色金融）</v>
      </c>
      <c r="D241" s="352" t="str">
        <f>'Reference Score Calculation'!T233</f>
        <v>SGFN</v>
      </c>
      <c r="E241" s="352" t="str">
        <f>'Reference Score Calculation'!E233</f>
        <v>2022年新科目</v>
      </c>
      <c r="F241" s="357" t="str">
        <f>'Reference Score Calculation'!F233</f>
        <v>/</v>
      </c>
      <c r="G241" s="357" t="str">
        <f>'Reference Score Calculation'!G233</f>
        <v>/</v>
      </c>
      <c r="H241" s="357" t="str">
        <f>'Reference Score Calculation'!H233</f>
        <v>/</v>
      </c>
      <c r="I241" s="357">
        <f>計分版!H254</f>
        <v>3.3999999999999998E-9</v>
      </c>
      <c r="J241" s="352">
        <f>入學要求!C242</f>
        <v>18</v>
      </c>
      <c r="K241" s="352" t="str">
        <f>IFERROR(INDEX('Offer Statistics'!$CH$80:$CH$105,MATCH('A123'!A241,('Offer Statistics'!$BS$80:$BS$105),0)),"/")</f>
        <v>/</v>
      </c>
      <c r="L241" s="386" t="str">
        <f>IFERROR(INDEX('Offer Statistics'!$BU$80:$BU$105,MATCH(A241,('Offer Statistics'!$BS$80:$BS$105),0))/INDEX('Offer Statistics'!$CC$80:$CC$105,MATCH(A241,('Offer Statistics'!$BS$80:$BS$105),0)),"新科目")</f>
        <v>新科目</v>
      </c>
      <c r="M241" s="352">
        <f>入學要求!R242</f>
        <v>0</v>
      </c>
    </row>
    <row r="242" spans="1:19" s="352" customFormat="1" x14ac:dyDescent="0.3">
      <c r="A242" s="352" t="str">
        <f>'Reference Score Calculation'!A234</f>
        <v>JS5901</v>
      </c>
      <c r="B242" s="352" t="str">
        <f>'Reference Score Calculation'!B234</f>
        <v>HKUST</v>
      </c>
      <c r="C242" s="352" t="str">
        <f>'Reference Score Calculation'!D234</f>
        <v>科技及管理學雙學位課程</v>
      </c>
      <c r="D242" s="352" t="str">
        <f>'Reference Score Calculation'!T234</f>
        <v>T&amp;M-DDP</v>
      </c>
      <c r="E242" s="352" t="str">
        <f>'Reference Score Calculation'!E234</f>
        <v>英數Best4</v>
      </c>
      <c r="F242" s="357" t="str">
        <f>'Reference Score Calculation'!F234</f>
        <v>/</v>
      </c>
      <c r="G242" s="357">
        <f>'Reference Score Calculation'!G234</f>
        <v>61.25</v>
      </c>
      <c r="H242" s="357">
        <f>'Reference Score Calculation'!H234</f>
        <v>58.5</v>
      </c>
      <c r="I242" s="357">
        <f>計分版!H255</f>
        <v>3.2999999999999998E-9</v>
      </c>
      <c r="J242" s="352">
        <f>入學要求!C243</f>
        <v>22</v>
      </c>
      <c r="K242" s="352">
        <f>IFERROR(INDEX('Offer Statistics'!$CH$80:$CH$105,MATCH('A123'!A242,('Offer Statistics'!$BS$80:$BS$105),0)),"/")</f>
        <v>28</v>
      </c>
      <c r="L242" s="386">
        <f>IFERROR(INDEX('Offer Statistics'!$BU$80:$BU$105,MATCH(A242,('Offer Statistics'!$BS$80:$BS$105),0))/INDEX('Offer Statistics'!$CC$80:$CC$105,MATCH(A242,('Offer Statistics'!$BS$80:$BS$105),0)),"新科目")</f>
        <v>2.5357142857142856</v>
      </c>
      <c r="M242" s="352">
        <f>入學要求!R243</f>
        <v>0</v>
      </c>
    </row>
    <row r="243" spans="1:19" x14ac:dyDescent="0.3">
      <c r="A243" s="352"/>
      <c r="C243" s="352"/>
      <c r="D243" s="13"/>
      <c r="E243" s="38"/>
      <c r="M243" s="352">
        <f>入學要求!R244</f>
        <v>0</v>
      </c>
    </row>
    <row r="244" spans="1:19" x14ac:dyDescent="0.3">
      <c r="A244" s="352"/>
      <c r="C244" s="352"/>
      <c r="D244" s="13" t="s">
        <v>2583</v>
      </c>
      <c r="E244" s="38"/>
      <c r="F244" s="20" t="s">
        <v>2021</v>
      </c>
      <c r="G244" s="20" t="s">
        <v>2546</v>
      </c>
      <c r="H244" s="20" t="s">
        <v>2547</v>
      </c>
      <c r="I244" s="20" t="s">
        <v>2331</v>
      </c>
      <c r="M244" s="352">
        <f>入學要求!R245</f>
        <v>0</v>
      </c>
    </row>
    <row r="245" spans="1:19" x14ac:dyDescent="0.3">
      <c r="A245" s="352" t="str">
        <f>'Reference Score Calculation'!A237</f>
        <v>JS6004</v>
      </c>
      <c r="B245" s="352" t="str">
        <f>'Reference Score Calculation'!B237</f>
        <v>HKU</v>
      </c>
      <c r="C245" s="352" t="str">
        <f>'Reference Score Calculation'!D237</f>
        <v>建築學文學士</v>
      </c>
      <c r="D245" s="352" t="str">
        <f>'Reference Score Calculation'!T237</f>
        <v>BA(AS)</v>
      </c>
      <c r="E245" s="352" t="str">
        <f>'Reference Score Calculation'!E237</f>
        <v>Best 6</v>
      </c>
      <c r="F245" s="357">
        <f>'Reference Score Calculation'!F237</f>
        <v>38</v>
      </c>
      <c r="G245" s="357">
        <f>'Reference Score Calculation'!G237</f>
        <v>36</v>
      </c>
      <c r="H245" s="357">
        <f>'Reference Score Calculation'!H237</f>
        <v>33</v>
      </c>
      <c r="I245" s="357">
        <f>計分版!H258</f>
        <v>4.4500000000000001E-9</v>
      </c>
      <c r="J245" s="352">
        <f>入學要求!C246</f>
        <v>54</v>
      </c>
      <c r="K245" s="352">
        <f>IFERROR(INDEX('Offer Statistics'!$DA$134:$DA$181,MATCH('A123'!A245,('Offer Statistics'!$CL$134:$CL$181),0)),"/")</f>
        <v>38</v>
      </c>
      <c r="L245" s="386">
        <f>IFERROR(INDEX('Offer Statistics'!$CN$134:$CN$181,MATCH(A245,('Offer Statistics'!$CL$134:$CL$181),0))/INDEX('Offer Statistics'!$CV$134:$CV$181,MATCH(A245,('Offer Statistics'!$CL$134:$CL$181),0)),"新科目")</f>
        <v>3.5</v>
      </c>
      <c r="M245" s="352">
        <f>入學要求!R246</f>
        <v>0</v>
      </c>
    </row>
    <row r="246" spans="1:19" x14ac:dyDescent="0.3">
      <c r="A246" s="352" t="str">
        <f>'Reference Score Calculation'!A238</f>
        <v>JS6016</v>
      </c>
      <c r="B246" s="352" t="str">
        <f>'Reference Score Calculation'!B238</f>
        <v>HKU</v>
      </c>
      <c r="C246" s="352" t="str">
        <f>'Reference Score Calculation'!D238</f>
        <v>理學士(測量學)</v>
      </c>
      <c r="D246" s="352" t="str">
        <f>'Reference Score Calculation'!T238</f>
        <v xml:space="preserve">	BSC(SURV)</v>
      </c>
      <c r="E246" s="352" t="str">
        <f>'Reference Score Calculation'!E238</f>
        <v>Best 5</v>
      </c>
      <c r="F246" s="357">
        <f>'Reference Score Calculation'!F238</f>
        <v>31</v>
      </c>
      <c r="G246" s="357">
        <f>'Reference Score Calculation'!G238</f>
        <v>29</v>
      </c>
      <c r="H246" s="357">
        <f>'Reference Score Calculation'!H238</f>
        <v>28</v>
      </c>
      <c r="I246" s="357">
        <f>計分版!H259</f>
        <v>3.9500000000000006E-9</v>
      </c>
      <c r="J246" s="352">
        <f>入學要求!C247</f>
        <v>42</v>
      </c>
      <c r="K246" s="352">
        <f>IFERROR(INDEX('Offer Statistics'!$DA$134:$DA$181,MATCH('A123'!A246,('Offer Statistics'!$CL$134:$CL$181),0)),"/")</f>
        <v>69</v>
      </c>
      <c r="L246" s="386">
        <f>IFERROR(INDEX('Offer Statistics'!$CN$134:$CN$181,MATCH(A246,('Offer Statistics'!$CL$134:$CL$181),0))/INDEX('Offer Statistics'!$CV$134:$CV$181,MATCH(A246,('Offer Statistics'!$CL$134:$CL$181),0)),"新科目")</f>
        <v>2.1449275362318843</v>
      </c>
      <c r="M246" s="352">
        <f>入學要求!R247</f>
        <v>0</v>
      </c>
    </row>
    <row r="247" spans="1:19" x14ac:dyDescent="0.3">
      <c r="A247" s="352" t="str">
        <f>'Reference Score Calculation'!A239</f>
        <v>JS6028</v>
      </c>
      <c r="B247" s="352" t="str">
        <f>'Reference Score Calculation'!B239</f>
        <v>HKU</v>
      </c>
      <c r="C247" s="352" t="str">
        <f>'Reference Score Calculation'!D239</f>
        <v>園境學文學士</v>
      </c>
      <c r="D247" s="352" t="str">
        <f>'Reference Score Calculation'!T239</f>
        <v xml:space="preserve">	BA(LS)</v>
      </c>
      <c r="E247" s="352" t="str">
        <f>'Reference Score Calculation'!E239</f>
        <v>Best 5</v>
      </c>
      <c r="F247" s="357">
        <f>'Reference Score Calculation'!F239</f>
        <v>29</v>
      </c>
      <c r="G247" s="357">
        <f>'Reference Score Calculation'!G239</f>
        <v>28</v>
      </c>
      <c r="H247" s="357">
        <f>'Reference Score Calculation'!H239</f>
        <v>26</v>
      </c>
      <c r="I247" s="357">
        <f>計分版!H260</f>
        <v>3.9500000000000006E-9</v>
      </c>
      <c r="J247" s="352">
        <f>入學要求!C248</f>
        <v>12</v>
      </c>
      <c r="K247" s="352">
        <f>IFERROR(INDEX('Offer Statistics'!$DA$134:$DA$181,MATCH('A123'!A247,('Offer Statistics'!$CL$134:$CL$181),0)),"/")</f>
        <v>7</v>
      </c>
      <c r="L247" s="386">
        <f>IFERROR(INDEX('Offer Statistics'!$CN$134:$CN$181,MATCH(A247,('Offer Statistics'!$CL$134:$CL$181),0))/INDEX('Offer Statistics'!$CV$134:$CV$181,MATCH(A247,('Offer Statistics'!$CL$134:$CL$181),0)),"新科目")</f>
        <v>4.4285714285714288</v>
      </c>
      <c r="M247" s="352">
        <f>入學要求!R248</f>
        <v>0</v>
      </c>
    </row>
    <row r="248" spans="1:19" x14ac:dyDescent="0.3">
      <c r="A248" s="352" t="str">
        <f>'Reference Score Calculation'!A240</f>
        <v>JS6042</v>
      </c>
      <c r="B248" s="352" t="str">
        <f>'Reference Score Calculation'!B240</f>
        <v>HKU</v>
      </c>
      <c r="C248" s="352" t="str">
        <f>'Reference Score Calculation'!D240</f>
        <v>文學士(城市研究)</v>
      </c>
      <c r="D248" s="352" t="str">
        <f>'Reference Score Calculation'!T240</f>
        <v xml:space="preserve">	BA(US)</v>
      </c>
      <c r="E248" s="352" t="str">
        <f>'Reference Score Calculation'!E240</f>
        <v>Best 5</v>
      </c>
      <c r="F248" s="357">
        <f>'Reference Score Calculation'!F240</f>
        <v>31</v>
      </c>
      <c r="G248" s="357">
        <f>'Reference Score Calculation'!G240</f>
        <v>28</v>
      </c>
      <c r="H248" s="357">
        <f>'Reference Score Calculation'!H240</f>
        <v>26</v>
      </c>
      <c r="I248" s="357">
        <f>計分版!H261</f>
        <v>3.9500000000000006E-9</v>
      </c>
      <c r="J248" s="352">
        <f>入學要求!C249</f>
        <v>17</v>
      </c>
      <c r="K248" s="352">
        <f>IFERROR(INDEX('Offer Statistics'!$DA$134:$DA$181,MATCH('A123'!A248,('Offer Statistics'!$CL$134:$CL$181),0)),"/")</f>
        <v>24</v>
      </c>
      <c r="L248" s="386">
        <f>IFERROR(INDEX('Offer Statistics'!$CN$134:$CN$181,MATCH(A248,('Offer Statistics'!$CL$134:$CL$181),0))/INDEX('Offer Statistics'!$CV$134:$CV$181,MATCH(A248,('Offer Statistics'!$CL$134:$CL$181),0)),"新科目")</f>
        <v>2.75</v>
      </c>
      <c r="M248" s="352">
        <f>入學要求!R249</f>
        <v>0</v>
      </c>
    </row>
    <row r="249" spans="1:19" x14ac:dyDescent="0.3">
      <c r="A249" s="352" t="str">
        <f>'Reference Score Calculation'!A241</f>
        <v>JS6054</v>
      </c>
      <c r="B249" s="352" t="str">
        <f>'Reference Score Calculation'!B241</f>
        <v>HKU</v>
      </c>
      <c r="C249" s="352" t="str">
        <f>'Reference Score Calculation'!D241</f>
        <v>文學士</v>
      </c>
      <c r="D249" s="352" t="str">
        <f>'Reference Score Calculation'!T241</f>
        <v xml:space="preserve">	BA</v>
      </c>
      <c r="E249" s="352" t="str">
        <f>'Reference Score Calculation'!E241</f>
        <v>Best 5</v>
      </c>
      <c r="F249" s="357">
        <f>'Reference Score Calculation'!F241</f>
        <v>26</v>
      </c>
      <c r="G249" s="357">
        <f>'Reference Score Calculation'!G241</f>
        <v>25</v>
      </c>
      <c r="H249" s="357">
        <f>'Reference Score Calculation'!H241</f>
        <v>24</v>
      </c>
      <c r="I249" s="357">
        <f>計分版!H262</f>
        <v>3.5500000000000004E-9</v>
      </c>
      <c r="J249" s="352">
        <f>入學要求!C250</f>
        <v>289</v>
      </c>
      <c r="K249" s="352">
        <f>IFERROR(INDEX('Offer Statistics'!$DA$134:$DA$181,MATCH('A123'!A249,('Offer Statistics'!$CL$134:$CL$181),0)),"/")</f>
        <v>328</v>
      </c>
      <c r="L249" s="386">
        <f>IFERROR(INDEX('Offer Statistics'!$CN$134:$CN$181,MATCH(A249,('Offer Statistics'!$CL$134:$CL$181),0))/INDEX('Offer Statistics'!$CV$134:$CV$181,MATCH(A249,('Offer Statistics'!$CL$134:$CL$181),0)),"新科目")</f>
        <v>3.8201219512195124</v>
      </c>
      <c r="M249" s="352">
        <f>入學要求!R250</f>
        <v>0</v>
      </c>
    </row>
    <row r="250" spans="1:19" x14ac:dyDescent="0.3">
      <c r="A250" s="352" t="str">
        <f>'Reference Score Calculation'!A242</f>
        <v>JS6286</v>
      </c>
      <c r="B250" s="352" t="str">
        <f>'Reference Score Calculation'!B242</f>
        <v>HKU</v>
      </c>
      <c r="C250" s="352" t="str">
        <f>'Reference Score Calculation'!D242</f>
        <v>文學士(人文及數碼科技)</v>
      </c>
      <c r="D250" s="352" t="str">
        <f>'Reference Score Calculation'!T242</f>
        <v>BA(HDT)</v>
      </c>
      <c r="E250" s="352" t="str">
        <f>'Reference Score Calculation'!E242</f>
        <v>2022年新科目</v>
      </c>
      <c r="F250" s="357" t="str">
        <f>'Reference Score Calculation'!F242</f>
        <v>/</v>
      </c>
      <c r="G250" s="357" t="str">
        <f>'Reference Score Calculation'!G242</f>
        <v>/</v>
      </c>
      <c r="H250" s="357" t="str">
        <f>'Reference Score Calculation'!H242</f>
        <v>/</v>
      </c>
      <c r="I250" s="357">
        <f>計分版!H263</f>
        <v>3.6500000000000004E-9</v>
      </c>
      <c r="J250" s="352">
        <f>入學要求!C251</f>
        <v>50</v>
      </c>
      <c r="K250" s="352" t="str">
        <f>IFERROR(INDEX('Offer Statistics'!$DA$134:$DA$181,MATCH('A123'!A250,('Offer Statistics'!$CL$134:$CL$181),0)),"/")</f>
        <v>/</v>
      </c>
      <c r="L250" s="386" t="str">
        <f>IFERROR(INDEX('Offer Statistics'!$CN$134:$CN$181,MATCH(A250,('Offer Statistics'!$CL$134:$CL$181),0))/INDEX('Offer Statistics'!$CV$134:$CV$181,MATCH(A250,('Offer Statistics'!$CL$134:$CL$181),0)),"新科目")</f>
        <v>新科目</v>
      </c>
      <c r="M250" s="352">
        <f>入學要求!R251</f>
        <v>0</v>
      </c>
    </row>
    <row r="251" spans="1:19" x14ac:dyDescent="0.3">
      <c r="A251" s="352" t="str">
        <f>'Reference Score Calculation'!A243</f>
        <v>JS6767</v>
      </c>
      <c r="B251" s="352" t="str">
        <f>'Reference Score Calculation'!B243</f>
        <v>HKU</v>
      </c>
      <c r="C251" s="352" t="str">
        <f>'Reference Score Calculation'!D243</f>
        <v>經濟學學士 / 經濟金融學學士</v>
      </c>
      <c r="D251" s="352" t="str">
        <f>'Reference Score Calculation'!T243</f>
        <v xml:space="preserve">	BEcon/BEcon&amp;Fin</v>
      </c>
      <c r="E251" s="352" t="str">
        <f>'Reference Score Calculation'!E243</f>
        <v>Best 6</v>
      </c>
      <c r="F251" s="357">
        <f>'Reference Score Calculation'!F243</f>
        <v>39</v>
      </c>
      <c r="G251" s="357">
        <f>'Reference Score Calculation'!G243</f>
        <v>36</v>
      </c>
      <c r="H251" s="357">
        <f>'Reference Score Calculation'!H243</f>
        <v>35</v>
      </c>
      <c r="I251" s="357">
        <f>計分版!H264</f>
        <v>3.7500000000000005E-9</v>
      </c>
      <c r="J251" s="352" t="str">
        <f>入學要求!C252</f>
        <v>220*</v>
      </c>
      <c r="K251" s="352">
        <f>IFERROR(INDEX('Offer Statistics'!$DA$134:$DA$181,MATCH('A123'!A251,('Offer Statistics'!$CL$134:$CL$181),0)),"/")</f>
        <v>90</v>
      </c>
      <c r="L251" s="386">
        <f>IFERROR(INDEX('Offer Statistics'!$CN$134:$CN$181,MATCH(A251,('Offer Statistics'!$CL$134:$CL$181),0))/INDEX('Offer Statistics'!$CV$134:$CV$181,MATCH(A251,('Offer Statistics'!$CL$134:$CL$181),0)),"新科目")</f>
        <v>4.8111111111111109</v>
      </c>
      <c r="M251" s="352">
        <f>入學要求!R252</f>
        <v>0</v>
      </c>
    </row>
    <row r="252" spans="1:19" x14ac:dyDescent="0.3">
      <c r="A252" s="352" t="str">
        <f>'Reference Score Calculation'!A244</f>
        <v>JS6781</v>
      </c>
      <c r="B252" s="352" t="str">
        <f>'Reference Score Calculation'!B244</f>
        <v>HKU</v>
      </c>
      <c r="C252" s="352" t="str">
        <f>'Reference Score Calculation'!D244</f>
        <v>工商管理學學士 / 工商管理學學士(會計及財務)</v>
      </c>
      <c r="D252" s="352" t="str">
        <f>'Reference Score Calculation'!T244</f>
        <v xml:space="preserve">	BBA/BBA(Acc&amp;Fin)</v>
      </c>
      <c r="E252" s="352" t="str">
        <f>'Reference Score Calculation'!E244</f>
        <v>Best 6</v>
      </c>
      <c r="F252" s="357">
        <f>'Reference Score Calculation'!F244</f>
        <v>39</v>
      </c>
      <c r="G252" s="357">
        <f>'Reference Score Calculation'!G244</f>
        <v>36</v>
      </c>
      <c r="H252" s="357">
        <f>'Reference Score Calculation'!H244</f>
        <v>35</v>
      </c>
      <c r="I252" s="357">
        <f>計分版!H265</f>
        <v>3.4500000000000003E-9</v>
      </c>
      <c r="J252" s="352" t="str">
        <f>入學要求!C253</f>
        <v>220*</v>
      </c>
      <c r="K252" s="352">
        <f>IFERROR(INDEX('Offer Statistics'!$DA$134:$DA$181,MATCH('A123'!A252,('Offer Statistics'!$CL$134:$CL$181),0)),"/")</f>
        <v>163</v>
      </c>
      <c r="L252" s="386">
        <f>IFERROR(INDEX('Offer Statistics'!$CN$134:$CN$181,MATCH(A252,('Offer Statistics'!$CL$134:$CL$181),0))/INDEX('Offer Statistics'!$CV$134:$CV$181,MATCH(A252,('Offer Statistics'!$CL$134:$CL$181),0)),"新科目")</f>
        <v>2.8098159509202456</v>
      </c>
      <c r="M252" s="352">
        <f>入學要求!R253</f>
        <v>0</v>
      </c>
    </row>
    <row r="253" spans="1:19" x14ac:dyDescent="0.3">
      <c r="A253" s="352" t="str">
        <f>'Reference Score Calculation'!A245</f>
        <v>JS6860</v>
      </c>
      <c r="B253" s="352" t="str">
        <f>'Reference Score Calculation'!B245</f>
        <v>HKU</v>
      </c>
      <c r="C253" s="352" t="str">
        <f>'Reference Score Calculation'!D245</f>
        <v>金融學學士(資產管理及私人銀行)</v>
      </c>
      <c r="D253" s="352" t="str">
        <f>'Reference Score Calculation'!T245</f>
        <v xml:space="preserve">	BFin(AMPB)</v>
      </c>
      <c r="E253" s="352" t="str">
        <f>'Reference Score Calculation'!E245</f>
        <v>Best 6</v>
      </c>
      <c r="F253" s="357">
        <f>'Reference Score Calculation'!F245</f>
        <v>46</v>
      </c>
      <c r="G253" s="357">
        <f>'Reference Score Calculation'!G245</f>
        <v>45</v>
      </c>
      <c r="H253" s="357">
        <f>'Reference Score Calculation'!H245</f>
        <v>44</v>
      </c>
      <c r="I253" s="357">
        <f>計分版!H266</f>
        <v>3.4500000000000003E-9</v>
      </c>
      <c r="J253" s="352">
        <f>入學要求!C254</f>
        <v>30</v>
      </c>
      <c r="K253" s="352">
        <f>IFERROR(INDEX('Offer Statistics'!$DA$134:$DA$181,MATCH('A123'!A253,('Offer Statistics'!$CL$134:$CL$181),0)),"/")</f>
        <v>23</v>
      </c>
      <c r="L253" s="386">
        <f>IFERROR(INDEX('Offer Statistics'!$CN$134:$CN$181,MATCH(A253,('Offer Statistics'!$CL$134:$CL$181),0))/INDEX('Offer Statistics'!$CV$134:$CV$181,MATCH(A253,('Offer Statistics'!$CL$134:$CL$181),0)),"新科目")</f>
        <v>4.7391304347826084</v>
      </c>
      <c r="M253" s="352">
        <f>入學要求!R254</f>
        <v>0</v>
      </c>
    </row>
    <row r="254" spans="1:19" x14ac:dyDescent="0.3">
      <c r="A254" s="352" t="str">
        <f>'Reference Score Calculation'!A246</f>
        <v>JS6793</v>
      </c>
      <c r="B254" s="352" t="str">
        <f>'Reference Score Calculation'!B246</f>
        <v>HKU</v>
      </c>
      <c r="C254" s="352" t="str">
        <f>'Reference Score Calculation'!D246</f>
        <v>工商管理學學士(資訊系統)</v>
      </c>
      <c r="D254" s="352" t="str">
        <f>'Reference Score Calculation'!T246</f>
        <v xml:space="preserve">	BBA(IS)</v>
      </c>
      <c r="E254" s="352" t="str">
        <f>'Reference Score Calculation'!E246</f>
        <v>Best 6</v>
      </c>
      <c r="F254" s="357">
        <f>'Reference Score Calculation'!F246</f>
        <v>39</v>
      </c>
      <c r="G254" s="357">
        <f>'Reference Score Calculation'!G246</f>
        <v>37</v>
      </c>
      <c r="H254" s="357">
        <f>'Reference Score Calculation'!H246</f>
        <v>36</v>
      </c>
      <c r="I254" s="357">
        <f>計分版!H267</f>
        <v>3.9000000000000002E-9</v>
      </c>
      <c r="J254" s="352">
        <f>入學要求!C255</f>
        <v>15</v>
      </c>
      <c r="K254" s="352">
        <f>IFERROR(INDEX('Offer Statistics'!$DA$134:$DA$181,MATCH('A123'!A254,('Offer Statistics'!$CL$134:$CL$181),0)),"/")</f>
        <v>22</v>
      </c>
      <c r="L254" s="386">
        <f>IFERROR(INDEX('Offer Statistics'!$CN$134:$CN$181,MATCH(A254,('Offer Statistics'!$CL$134:$CL$181),0))/INDEX('Offer Statistics'!$CV$134:$CV$181,MATCH(A254,('Offer Statistics'!$CL$134:$CL$181),0)),"新科目")</f>
        <v>4.5909090909090908</v>
      </c>
      <c r="M254" s="352">
        <f>入學要求!R255</f>
        <v>0</v>
      </c>
      <c r="S254" s="12"/>
    </row>
    <row r="255" spans="1:19" x14ac:dyDescent="0.3">
      <c r="A255" s="352" t="str">
        <f>'Reference Score Calculation'!A247</f>
        <v>JS6808</v>
      </c>
      <c r="B255" s="352" t="str">
        <f>'Reference Score Calculation'!B247</f>
        <v>HKU</v>
      </c>
      <c r="C255" s="352" t="str">
        <f>'Reference Score Calculation'!D247</f>
        <v>工商管理學學士(法學)及法學士 (雙學位課程)</v>
      </c>
      <c r="D255" s="352" t="str">
        <f>'Reference Score Calculation'!T247</f>
        <v xml:space="preserve">	BBA(Law)&amp;LLB</v>
      </c>
      <c r="E255" s="352" t="str">
        <f>'Reference Score Calculation'!E247</f>
        <v>Best 6</v>
      </c>
      <c r="F255" s="357">
        <f>'Reference Score Calculation'!F247</f>
        <v>50</v>
      </c>
      <c r="G255" s="357">
        <f>'Reference Score Calculation'!G247</f>
        <v>47</v>
      </c>
      <c r="H255" s="357">
        <f>'Reference Score Calculation'!H247</f>
        <v>45</v>
      </c>
      <c r="I255" s="357">
        <f>計分版!H268</f>
        <v>3.4500000000000003E-9</v>
      </c>
      <c r="J255" s="352">
        <f>入學要求!C256</f>
        <v>80</v>
      </c>
      <c r="K255" s="352">
        <f>IFERROR(INDEX('Offer Statistics'!$DA$134:$DA$181,MATCH('A123'!A255,('Offer Statistics'!$CL$134:$CL$181),0)),"/")</f>
        <v>68</v>
      </c>
      <c r="L255" s="386">
        <f>IFERROR(INDEX('Offer Statistics'!$CN$134:$CN$181,MATCH(A255,('Offer Statistics'!$CL$134:$CL$181),0))/INDEX('Offer Statistics'!$CV$134:$CV$181,MATCH(A255,('Offer Statistics'!$CL$134:$CL$181),0)),"新科目")</f>
        <v>1.8970588235294117</v>
      </c>
      <c r="M255" s="352">
        <f>入學要求!R256</f>
        <v>0</v>
      </c>
      <c r="S255" s="12"/>
    </row>
    <row r="256" spans="1:19" x14ac:dyDescent="0.3">
      <c r="A256" s="352" t="str">
        <f>'Reference Score Calculation'!A248</f>
        <v>JS6846</v>
      </c>
      <c r="B256" s="352" t="str">
        <f>'Reference Score Calculation'!B248</f>
        <v>HKU</v>
      </c>
      <c r="C256" s="352" t="str">
        <f>'Reference Score Calculation'!D248</f>
        <v>理學士(營銷分析及科技)</v>
      </c>
      <c r="D256" s="352" t="str">
        <f>'Reference Score Calculation'!T248</f>
        <v>BSc(MAT)</v>
      </c>
      <c r="E256" s="352" t="str">
        <f>'Reference Score Calculation'!E248</f>
        <v>2022年新科目</v>
      </c>
      <c r="F256" s="357" t="str">
        <f>'Reference Score Calculation'!F248</f>
        <v>/</v>
      </c>
      <c r="G256" s="357" t="str">
        <f>'Reference Score Calculation'!G248</f>
        <v>/</v>
      </c>
      <c r="H256" s="357" t="str">
        <f>'Reference Score Calculation'!H248</f>
        <v>/</v>
      </c>
      <c r="I256" s="357">
        <f>計分版!H269</f>
        <v>3.7E-9</v>
      </c>
      <c r="J256" s="352">
        <f>入學要求!C257</f>
        <v>25</v>
      </c>
      <c r="K256" s="352" t="str">
        <f>IFERROR(INDEX('Offer Statistics'!$DA$134:$DA$181,MATCH('A123'!A256,('Offer Statistics'!$CL$134:$CL$181),0)),"/")</f>
        <v>/</v>
      </c>
      <c r="L256" s="386" t="str">
        <f>IFERROR(INDEX('Offer Statistics'!$CN$134:$CN$181,MATCH(A256,('Offer Statistics'!$CL$134:$CL$181),0))/INDEX('Offer Statistics'!$CV$134:$CV$181,MATCH(A256,('Offer Statistics'!$CL$134:$CL$181),0)),"新科目")</f>
        <v>新科目</v>
      </c>
      <c r="M256" s="352">
        <f>入學要求!R257</f>
        <v>0</v>
      </c>
      <c r="S256" s="12"/>
    </row>
    <row r="257" spans="1:13" x14ac:dyDescent="0.3">
      <c r="A257" s="352" t="str">
        <f>'Reference Score Calculation'!A249</f>
        <v>JS6884</v>
      </c>
      <c r="B257" s="352" t="str">
        <f>'Reference Score Calculation'!B249</f>
        <v>HKU</v>
      </c>
      <c r="C257" s="352" t="str">
        <f>'Reference Score Calculation'!D249</f>
        <v>理學士(計量金融)</v>
      </c>
      <c r="D257" s="352" t="str">
        <f>'Reference Score Calculation'!T249</f>
        <v xml:space="preserve">	BSc(QFin)</v>
      </c>
      <c r="E257" s="352" t="str">
        <f>'Reference Score Calculation'!E249</f>
        <v>Best 6</v>
      </c>
      <c r="F257" s="357">
        <f>'Reference Score Calculation'!F249</f>
        <v>52</v>
      </c>
      <c r="G257" s="357">
        <f>'Reference Score Calculation'!G249</f>
        <v>49</v>
      </c>
      <c r="H257" s="357">
        <f>'Reference Score Calculation'!H249</f>
        <v>48</v>
      </c>
      <c r="I257" s="357">
        <f>計分版!H270</f>
        <v>3.7E-9</v>
      </c>
      <c r="J257" s="352">
        <f>入學要求!C258</f>
        <v>25</v>
      </c>
      <c r="K257" s="352">
        <f>IFERROR(INDEX('Offer Statistics'!$DA$134:$DA$181,MATCH('A123'!A257,('Offer Statistics'!$CL$134:$CL$181),0)),"/")</f>
        <v>18</v>
      </c>
      <c r="L257" s="386">
        <f>IFERROR(INDEX('Offer Statistics'!$CN$134:$CN$181,MATCH(A257,('Offer Statistics'!$CL$134:$CL$181),0))/INDEX('Offer Statistics'!$CV$134:$CV$181,MATCH(A257,('Offer Statistics'!$CL$134:$CL$181),0)),"新科目")</f>
        <v>5.5555555555555554</v>
      </c>
      <c r="M257" s="352">
        <f>入學要求!R258</f>
        <v>0</v>
      </c>
    </row>
    <row r="258" spans="1:13" x14ac:dyDescent="0.3">
      <c r="A258" s="352" t="str">
        <f>'Reference Score Calculation'!A250</f>
        <v>JS6896</v>
      </c>
      <c r="B258" s="352" t="str">
        <f>'Reference Score Calculation'!B250</f>
        <v>HKU</v>
      </c>
      <c r="C258" s="352" t="str">
        <f>'Reference Score Calculation'!D250</f>
        <v>工商管理學學士(國際商業及環球管理)</v>
      </c>
      <c r="D258" s="352" t="str">
        <f>'Reference Score Calculation'!T250</f>
        <v>BBA(IBGM)</v>
      </c>
      <c r="E258" s="352" t="str">
        <f>'Reference Score Calculation'!E250</f>
        <v>Best 6</v>
      </c>
      <c r="F258" s="357">
        <f>'Reference Score Calculation'!F250</f>
        <v>54</v>
      </c>
      <c r="G258" s="357">
        <f>'Reference Score Calculation'!G250</f>
        <v>52</v>
      </c>
      <c r="H258" s="357">
        <f>'Reference Score Calculation'!H250</f>
        <v>50</v>
      </c>
      <c r="I258" s="357">
        <f>計分版!H271</f>
        <v>3.4500000000000003E-9</v>
      </c>
      <c r="J258" s="352">
        <f>入學要求!C259</f>
        <v>31</v>
      </c>
      <c r="K258" s="352">
        <f>IFERROR(INDEX('Offer Statistics'!$DA$134:$DA$181,MATCH('A123'!A258,('Offer Statistics'!$CL$134:$CL$181),0)),"/")</f>
        <v>10</v>
      </c>
      <c r="L258" s="386">
        <f>IFERROR(INDEX('Offer Statistics'!$CN$134:$CN$181,MATCH(A258,('Offer Statistics'!$CL$134:$CL$181),0))/INDEX('Offer Statistics'!$CV$134:$CV$181,MATCH(A258,('Offer Statistics'!$CL$134:$CL$181),0)),"新科目")</f>
        <v>6.3</v>
      </c>
      <c r="M258" s="352">
        <f>入學要求!R259</f>
        <v>0</v>
      </c>
    </row>
    <row r="259" spans="1:13" x14ac:dyDescent="0.3">
      <c r="A259" s="352" t="str">
        <f>'Reference Score Calculation'!A251</f>
        <v>JS6107</v>
      </c>
      <c r="B259" s="352" t="str">
        <f>'Reference Score Calculation'!B251</f>
        <v>HKU</v>
      </c>
      <c r="C259" s="352" t="str">
        <f>'Reference Score Calculation'!D251</f>
        <v>牙醫學士</v>
      </c>
      <c r="D259" s="352" t="str">
        <f>'Reference Score Calculation'!T251</f>
        <v>BDS</v>
      </c>
      <c r="E259" s="352" t="str">
        <f>'Reference Score Calculation'!E251</f>
        <v>Best 6</v>
      </c>
      <c r="F259" s="357">
        <f>'Reference Score Calculation'!F251</f>
        <v>47</v>
      </c>
      <c r="G259" s="357">
        <f>'Reference Score Calculation'!G251</f>
        <v>46</v>
      </c>
      <c r="H259" s="357">
        <f>'Reference Score Calculation'!H251</f>
        <v>45</v>
      </c>
      <c r="I259" s="357">
        <f>計分版!H272</f>
        <v>3.6800000000000005E-9</v>
      </c>
      <c r="J259" s="352">
        <f>入學要求!C260</f>
        <v>90</v>
      </c>
      <c r="K259" s="352">
        <f>IFERROR(INDEX('Offer Statistics'!$DA$134:$DA$181,MATCH('A123'!A259,('Offer Statistics'!$CL$134:$CL$181),0)),"/")</f>
        <v>57</v>
      </c>
      <c r="L259" s="386">
        <f>IFERROR(INDEX('Offer Statistics'!$CN$134:$CN$181,MATCH(A259,('Offer Statistics'!$CL$134:$CL$181),0))/INDEX('Offer Statistics'!$CV$134:$CV$181,MATCH(A259,('Offer Statistics'!$CL$134:$CL$181),0)),"新科目")</f>
        <v>4.3157894736842106</v>
      </c>
      <c r="M259" s="352">
        <f>入學要求!R260</f>
        <v>0</v>
      </c>
    </row>
    <row r="260" spans="1:13" x14ac:dyDescent="0.3">
      <c r="A260" s="352" t="str">
        <f>'Reference Score Calculation'!A252</f>
        <v>JS6066</v>
      </c>
      <c r="B260" s="352" t="str">
        <f>'Reference Score Calculation'!B252</f>
        <v>HKU</v>
      </c>
      <c r="C260" s="352" t="str">
        <f>'Reference Score Calculation'!D252</f>
        <v>文學士及教育學士(語文教育) - 英文教育 (雙學位課程)</v>
      </c>
      <c r="D260" s="352" t="str">
        <f>'Reference Score Calculation'!T252</f>
        <v>BA&amp;BED(LangEd)-Eng</v>
      </c>
      <c r="E260" s="352" t="str">
        <f>'Reference Score Calculation'!E252</f>
        <v>Best 5</v>
      </c>
      <c r="F260" s="357">
        <f>'Reference Score Calculation'!F252</f>
        <v>33</v>
      </c>
      <c r="G260" s="357">
        <f>'Reference Score Calculation'!G252</f>
        <v>31</v>
      </c>
      <c r="H260" s="357">
        <f>'Reference Score Calculation'!H252</f>
        <v>29</v>
      </c>
      <c r="I260" s="357">
        <f>計分版!H273</f>
        <v>3.1800000000000002E-9</v>
      </c>
      <c r="J260" s="352">
        <f>入學要求!C261</f>
        <v>17</v>
      </c>
      <c r="K260" s="352">
        <f>IFERROR(INDEX('Offer Statistics'!$DA$134:$DA$181,MATCH('A123'!A260,('Offer Statistics'!$CL$134:$CL$181),0)),"/")</f>
        <v>27</v>
      </c>
      <c r="L260" s="386">
        <f>IFERROR(INDEX('Offer Statistics'!$CN$134:$CN$181,MATCH(A260,('Offer Statistics'!$CL$134:$CL$181),0))/INDEX('Offer Statistics'!$CV$134:$CV$181,MATCH(A260,('Offer Statistics'!$CL$134:$CL$181),0)),"新科目")</f>
        <v>7.9629629629629628</v>
      </c>
      <c r="M260" s="352">
        <f>入學要求!R261</f>
        <v>0</v>
      </c>
    </row>
    <row r="261" spans="1:13" x14ac:dyDescent="0.3">
      <c r="A261" s="352" t="str">
        <f>'Reference Score Calculation'!A253</f>
        <v>JS6080</v>
      </c>
      <c r="B261" s="352" t="str">
        <f>'Reference Score Calculation'!B253</f>
        <v>HKU</v>
      </c>
      <c r="C261" s="352" t="str">
        <f>'Reference Score Calculation'!D253</f>
        <v>文學士及教育學士(語文教育) - 中文教育 (雙學位課程)</v>
      </c>
      <c r="D261" s="352" t="str">
        <f>'Reference Score Calculation'!T253</f>
        <v xml:space="preserve">	BA&amp;BED(LangEd)-Chin</v>
      </c>
      <c r="E261" s="352" t="str">
        <f>'Reference Score Calculation'!E253</f>
        <v>Best 5</v>
      </c>
      <c r="F261" s="357">
        <f>'Reference Score Calculation'!F253</f>
        <v>35</v>
      </c>
      <c r="G261" s="357">
        <f>'Reference Score Calculation'!G253</f>
        <v>33</v>
      </c>
      <c r="H261" s="357">
        <f>'Reference Score Calculation'!H253</f>
        <v>32</v>
      </c>
      <c r="I261" s="357">
        <f>計分版!H274</f>
        <v>3.0299999999999997E-9</v>
      </c>
      <c r="J261" s="352">
        <f>入學要求!C262</f>
        <v>17</v>
      </c>
      <c r="K261" s="352">
        <f>IFERROR(INDEX('Offer Statistics'!$DA$134:$DA$181,MATCH('A123'!A261,('Offer Statistics'!$CL$134:$CL$181),0)),"/")</f>
        <v>19</v>
      </c>
      <c r="L261" s="386">
        <f>IFERROR(INDEX('Offer Statistics'!$CN$134:$CN$181,MATCH(A261,('Offer Statistics'!$CL$134:$CL$181),0))/INDEX('Offer Statistics'!$CV$134:$CV$181,MATCH(A261,('Offer Statistics'!$CL$134:$CL$181),0)),"新科目")</f>
        <v>6.4736842105263159</v>
      </c>
      <c r="M261" s="352">
        <f>入學要求!R262</f>
        <v>0</v>
      </c>
    </row>
    <row r="262" spans="1:13" x14ac:dyDescent="0.3">
      <c r="A262" s="352" t="str">
        <f>'Reference Score Calculation'!A254</f>
        <v>JS6092</v>
      </c>
      <c r="B262" s="352" t="str">
        <f>'Reference Score Calculation'!B254</f>
        <v>HKU</v>
      </c>
      <c r="C262" s="352" t="str">
        <f>'Reference Score Calculation'!D254</f>
        <v>教育學士(幼兒教育及特殊教育)</v>
      </c>
      <c r="D262" s="352" t="str">
        <f>'Reference Score Calculation'!T254</f>
        <v xml:space="preserve">	BED(ECE&amp;SE)</v>
      </c>
      <c r="E262" s="352" t="str">
        <f>'Reference Score Calculation'!E254</f>
        <v>Best 5</v>
      </c>
      <c r="F262" s="357">
        <f>'Reference Score Calculation'!F254</f>
        <v>27</v>
      </c>
      <c r="G262" s="357">
        <f>'Reference Score Calculation'!G254</f>
        <v>26</v>
      </c>
      <c r="H262" s="357">
        <f>'Reference Score Calculation'!H254</f>
        <v>25</v>
      </c>
      <c r="I262" s="357">
        <f>計分版!H275</f>
        <v>2.8199999999999998E-9</v>
      </c>
      <c r="J262" s="352">
        <f>入學要求!C263</f>
        <v>18</v>
      </c>
      <c r="K262" s="352">
        <f>IFERROR(INDEX('Offer Statistics'!$DA$134:$DA$181,MATCH('A123'!A262,('Offer Statistics'!$CL$134:$CL$181),0)),"/")</f>
        <v>18</v>
      </c>
      <c r="L262" s="386">
        <f>IFERROR(INDEX('Offer Statistics'!$CN$134:$CN$181,MATCH(A262,('Offer Statistics'!$CL$134:$CL$181),0))/INDEX('Offer Statistics'!$CV$134:$CV$181,MATCH(A262,('Offer Statistics'!$CL$134:$CL$181),0)),"新科目")</f>
        <v>16.666666666666668</v>
      </c>
      <c r="M262" s="352">
        <f>入學要求!R263</f>
        <v>0</v>
      </c>
    </row>
    <row r="263" spans="1:13" x14ac:dyDescent="0.3">
      <c r="A263" s="352" t="str">
        <f>'Reference Score Calculation'!A255</f>
        <v>JS6119</v>
      </c>
      <c r="B263" s="352" t="str">
        <f>'Reference Score Calculation'!B255</f>
        <v>HKU</v>
      </c>
      <c r="C263" s="352" t="str">
        <f>'Reference Score Calculation'!D255</f>
        <v>教育學士及理學士 (雙學位課程)</v>
      </c>
      <c r="D263" s="352" t="str">
        <f>'Reference Score Calculation'!T255</f>
        <v xml:space="preserve">	BED&amp;BSC</v>
      </c>
      <c r="E263" s="352" t="str">
        <f>'Reference Score Calculation'!E255</f>
        <v>Best 5</v>
      </c>
      <c r="F263" s="357">
        <f>'Reference Score Calculation'!F255</f>
        <v>59</v>
      </c>
      <c r="G263" s="357">
        <f>'Reference Score Calculation'!G255</f>
        <v>56</v>
      </c>
      <c r="H263" s="357">
        <f>'Reference Score Calculation'!H255</f>
        <v>55</v>
      </c>
      <c r="I263" s="357">
        <f>計分版!H276</f>
        <v>2.775E-9</v>
      </c>
      <c r="J263" s="352">
        <f>入學要求!C264</f>
        <v>16</v>
      </c>
      <c r="K263" s="352">
        <f>IFERROR(INDEX('Offer Statistics'!$DA$134:$DA$181,MATCH('A123'!A263,('Offer Statistics'!$CL$134:$CL$181),0)),"/")</f>
        <v>18</v>
      </c>
      <c r="L263" s="386">
        <f>IFERROR(INDEX('Offer Statistics'!$CN$134:$CN$181,MATCH(A263,('Offer Statistics'!$CL$134:$CL$181),0))/INDEX('Offer Statistics'!$CV$134:$CV$181,MATCH(A263,('Offer Statistics'!$CL$134:$CL$181),0)),"新科目")</f>
        <v>4.8888888888888893</v>
      </c>
      <c r="M263" s="352">
        <f>入學要求!R264</f>
        <v>0</v>
      </c>
    </row>
    <row r="264" spans="1:13" x14ac:dyDescent="0.3">
      <c r="A264" s="352" t="str">
        <f>'Reference Score Calculation'!A256</f>
        <v>JS6157</v>
      </c>
      <c r="B264" s="352" t="str">
        <f>'Reference Score Calculation'!B256</f>
        <v>HKU</v>
      </c>
      <c r="C264" s="352" t="str">
        <f>'Reference Score Calculation'!D256</f>
        <v>理學士(言語及聽覺科學)</v>
      </c>
      <c r="D264" s="352" t="str">
        <f>'Reference Score Calculation'!T256</f>
        <v xml:space="preserve">	BSC(SPEECH)</v>
      </c>
      <c r="E264" s="352" t="str">
        <f>'Reference Score Calculation'!E256</f>
        <v>Best 6</v>
      </c>
      <c r="F264" s="357">
        <f>'Reference Score Calculation'!F256</f>
        <v>39</v>
      </c>
      <c r="G264" s="357">
        <f>'Reference Score Calculation'!G256</f>
        <v>38</v>
      </c>
      <c r="H264" s="357">
        <f>'Reference Score Calculation'!H256</f>
        <v>36</v>
      </c>
      <c r="I264" s="357">
        <f>計分版!H277</f>
        <v>3.9000000000000002E-9</v>
      </c>
      <c r="J264" s="352">
        <f>入學要求!C265</f>
        <v>48</v>
      </c>
      <c r="K264" s="352">
        <f>IFERROR(INDEX('Offer Statistics'!$DA$134:$DA$181,MATCH('A123'!A264,('Offer Statistics'!$CL$134:$CL$181),0)),"/")</f>
        <v>54</v>
      </c>
      <c r="L264" s="386">
        <f>IFERROR(INDEX('Offer Statistics'!$CN$134:$CN$181,MATCH(A264,('Offer Statistics'!$CL$134:$CL$181),0))/INDEX('Offer Statistics'!$CV$134:$CV$181,MATCH(A264,('Offer Statistics'!$CL$134:$CL$181),0)),"新科目")</f>
        <v>2.7592592592592591</v>
      </c>
      <c r="M264" s="352">
        <f>入學要求!R265</f>
        <v>0</v>
      </c>
    </row>
    <row r="265" spans="1:13" x14ac:dyDescent="0.3">
      <c r="A265" s="352" t="str">
        <f>'Reference Score Calculation'!A257</f>
        <v>JS6262</v>
      </c>
      <c r="B265" s="352" t="str">
        <f>'Reference Score Calculation'!B257</f>
        <v>HKU</v>
      </c>
      <c r="C265" s="352" t="str">
        <f>'Reference Score Calculation'!D257</f>
        <v>工學學士(數據科學及工程)</v>
      </c>
      <c r="D265" s="352" t="str">
        <f>'Reference Score Calculation'!T257</f>
        <v>BEng(DS&amp;E)</v>
      </c>
      <c r="E265" s="352" t="str">
        <f>'Reference Score Calculation'!E257</f>
        <v>2022年新科目</v>
      </c>
      <c r="F265" s="357" t="str">
        <f>'Reference Score Calculation'!F257</f>
        <v>/</v>
      </c>
      <c r="G265" s="357" t="str">
        <f>'Reference Score Calculation'!G257</f>
        <v>/</v>
      </c>
      <c r="H265" s="357" t="str">
        <f>'Reference Score Calculation'!H257</f>
        <v>/</v>
      </c>
      <c r="I265" s="357">
        <f>計分版!H278</f>
        <v>3.1500000000000001E-9</v>
      </c>
      <c r="J265" s="352">
        <f>入學要求!C266</f>
        <v>30</v>
      </c>
      <c r="K265" s="352" t="str">
        <f>IFERROR(INDEX('Offer Statistics'!$DA$134:$DA$181,MATCH('A123'!A265,('Offer Statistics'!$CL$134:$CL$181),0)),"/")</f>
        <v>/</v>
      </c>
      <c r="L265" s="386" t="str">
        <f>IFERROR(INDEX('Offer Statistics'!$CN$134:$CN$181,MATCH(A265,('Offer Statistics'!$CL$134:$CL$181),0))/INDEX('Offer Statistics'!$CV$134:$CV$181,MATCH(A265,('Offer Statistics'!$CL$134:$CL$181),0)),"新科目")</f>
        <v>新科目</v>
      </c>
      <c r="M265" s="352">
        <f>入學要求!R266</f>
        <v>0</v>
      </c>
    </row>
    <row r="266" spans="1:13" x14ac:dyDescent="0.3">
      <c r="A266" s="352" t="str">
        <f>'Reference Score Calculation'!A258</f>
        <v>JS6925</v>
      </c>
      <c r="B266" s="352" t="str">
        <f>'Reference Score Calculation'!B258</f>
        <v>HKU</v>
      </c>
      <c r="C266" s="352" t="str">
        <f>'Reference Score Calculation'!D258</f>
        <v>工學學士(生物醫學工程)</v>
      </c>
      <c r="D266" s="352" t="str">
        <f>'Reference Score Calculation'!T258</f>
        <v xml:space="preserve">	BENG(BME)</v>
      </c>
      <c r="E266" s="352" t="str">
        <f>'Reference Score Calculation'!E258</f>
        <v>Best 5</v>
      </c>
      <c r="F266" s="357">
        <f>'Reference Score Calculation'!F258</f>
        <v>31</v>
      </c>
      <c r="G266" s="357">
        <f>'Reference Score Calculation'!G258</f>
        <v>30</v>
      </c>
      <c r="H266" s="357">
        <f>'Reference Score Calculation'!H258</f>
        <v>29</v>
      </c>
      <c r="I266" s="357">
        <f>計分版!H279</f>
        <v>3.1500000000000001E-9</v>
      </c>
      <c r="J266" s="352">
        <f>入學要求!C267</f>
        <v>35</v>
      </c>
      <c r="K266" s="352">
        <f>IFERROR(INDEX('Offer Statistics'!$DA$134:$DA$181,MATCH('A123'!A266,('Offer Statistics'!$CL$134:$CL$181),0)),"/")</f>
        <v>18</v>
      </c>
      <c r="L266" s="386">
        <f>IFERROR(INDEX('Offer Statistics'!$CN$134:$CN$181,MATCH(A266,('Offer Statistics'!$CL$134:$CL$181),0))/INDEX('Offer Statistics'!$CV$134:$CV$181,MATCH(A266,('Offer Statistics'!$CL$134:$CL$181),0)),"新科目")</f>
        <v>4.2777777777777777</v>
      </c>
      <c r="M266" s="352">
        <f>入學要求!R267</f>
        <v>0</v>
      </c>
    </row>
    <row r="267" spans="1:13" x14ac:dyDescent="0.3">
      <c r="A267" s="352" t="str">
        <f>'Reference Score Calculation'!A259</f>
        <v>JS6937</v>
      </c>
      <c r="B267" s="352" t="str">
        <f>'Reference Score Calculation'!B259</f>
        <v>HKU</v>
      </c>
      <c r="C267" s="352" t="str">
        <f>'Reference Score Calculation'!D259</f>
        <v>環球工程與商業課程</v>
      </c>
      <c r="D267" s="352" t="str">
        <f>'Reference Score Calculation'!T259</f>
        <v>GEBP</v>
      </c>
      <c r="E267" s="352" t="str">
        <f>'Reference Score Calculation'!E259</f>
        <v>Best 5</v>
      </c>
      <c r="F267" s="357">
        <f>'Reference Score Calculation'!F259</f>
        <v>34</v>
      </c>
      <c r="G267" s="357">
        <f>'Reference Score Calculation'!G259</f>
        <v>31</v>
      </c>
      <c r="H267" s="357">
        <f>'Reference Score Calculation'!H259</f>
        <v>29</v>
      </c>
      <c r="I267" s="357">
        <f>計分版!H280</f>
        <v>3.1500000000000001E-9</v>
      </c>
      <c r="J267" s="352" t="str">
        <f>入學要求!C268</f>
        <v>355*</v>
      </c>
      <c r="K267" s="352">
        <f>IFERROR(INDEX('Offer Statistics'!$DA$134:$DA$181,MATCH('A123'!A267,('Offer Statistics'!$CL$134:$CL$181),0)),"/")</f>
        <v>18</v>
      </c>
      <c r="L267" s="386">
        <f>IFERROR(INDEX('Offer Statistics'!$CN$134:$CN$181,MATCH(A267,('Offer Statistics'!$CL$134:$CL$181),0))/INDEX('Offer Statistics'!$CV$134:$CV$181,MATCH(A267,('Offer Statistics'!$CL$134:$CL$181),0)),"新科目")</f>
        <v>2.2777777777777777</v>
      </c>
      <c r="M267" s="352">
        <f>入學要求!R268</f>
        <v>0</v>
      </c>
    </row>
    <row r="268" spans="1:13" x14ac:dyDescent="0.3">
      <c r="A268" s="352" t="str">
        <f>'Reference Score Calculation'!A260</f>
        <v>JS6951</v>
      </c>
      <c r="B268" s="352" t="str">
        <f>'Reference Score Calculation'!B260</f>
        <v>HKU</v>
      </c>
      <c r="C268" s="352" t="str">
        <f>'Reference Score Calculation'!D260</f>
        <v>工學學士(工程科學)</v>
      </c>
      <c r="D268" s="352" t="str">
        <f>'Reference Score Calculation'!T260</f>
        <v xml:space="preserve">	BENG(EngSc)</v>
      </c>
      <c r="E268" s="352" t="str">
        <f>'Reference Score Calculation'!E260</f>
        <v>Best 5</v>
      </c>
      <c r="F268" s="357">
        <f>'Reference Score Calculation'!F260</f>
        <v>27</v>
      </c>
      <c r="G268" s="357">
        <f>'Reference Score Calculation'!G260</f>
        <v>26</v>
      </c>
      <c r="H268" s="357">
        <f>'Reference Score Calculation'!H260</f>
        <v>25</v>
      </c>
      <c r="I268" s="357">
        <f>計分版!H281</f>
        <v>3.1500000000000001E-9</v>
      </c>
      <c r="J268" s="352">
        <f>入學要求!C269</f>
        <v>18</v>
      </c>
      <c r="K268" s="352">
        <f>IFERROR(INDEX('Offer Statistics'!$DA$134:$DA$181,MATCH('A123'!A268,('Offer Statistics'!$CL$134:$CL$181),0)),"/")</f>
        <v>12</v>
      </c>
      <c r="L268" s="386">
        <f>IFERROR(INDEX('Offer Statistics'!$CN$134:$CN$181,MATCH(A268,('Offer Statistics'!$CL$134:$CL$181),0))/INDEX('Offer Statistics'!$CV$134:$CV$181,MATCH(A268,('Offer Statistics'!$CL$134:$CL$181),0)),"新科目")</f>
        <v>5.583333333333333</v>
      </c>
      <c r="M268" s="352">
        <f>入學要求!R269</f>
        <v>0</v>
      </c>
    </row>
    <row r="269" spans="1:13" x14ac:dyDescent="0.3">
      <c r="A269" s="352" t="str">
        <f>'Reference Score Calculation'!A261</f>
        <v>JS6963</v>
      </c>
      <c r="B269" s="352" t="str">
        <f>'Reference Score Calculation'!B261</f>
        <v>HKU</v>
      </c>
      <c r="C269" s="352" t="str">
        <f>'Reference Score Calculation'!D261</f>
        <v>工學學士</v>
      </c>
      <c r="D269" s="352" t="str">
        <f>'Reference Score Calculation'!T261</f>
        <v xml:space="preserve">	BENG</v>
      </c>
      <c r="E269" s="352" t="str">
        <f>'Reference Score Calculation'!E261</f>
        <v>Best 5</v>
      </c>
      <c r="F269" s="357">
        <f>'Reference Score Calculation'!F261</f>
        <v>27</v>
      </c>
      <c r="G269" s="357">
        <f>'Reference Score Calculation'!G261</f>
        <v>25</v>
      </c>
      <c r="H269" s="357">
        <f>'Reference Score Calculation'!H261</f>
        <v>23</v>
      </c>
      <c r="I269" s="357">
        <f>計分版!H282</f>
        <v>3.1500000000000001E-9</v>
      </c>
      <c r="J269" s="352" t="str">
        <f>入學要求!C270</f>
        <v>355*</v>
      </c>
      <c r="K269" s="352">
        <f>IFERROR(INDEX('Offer Statistics'!$DA$134:$DA$181,MATCH('A123'!A269,('Offer Statistics'!$CL$134:$CL$181),0)),"/")</f>
        <v>260</v>
      </c>
      <c r="L269" s="386">
        <f>IFERROR(INDEX('Offer Statistics'!$CN$134:$CN$181,MATCH(A269,('Offer Statistics'!$CL$134:$CL$181),0))/INDEX('Offer Statistics'!$CV$134:$CV$181,MATCH(A269,('Offer Statistics'!$CL$134:$CL$181),0)),"新科目")</f>
        <v>3.2209302325581395</v>
      </c>
      <c r="M269" s="352">
        <f>入學要求!R270</f>
        <v>0</v>
      </c>
    </row>
    <row r="270" spans="1:13" x14ac:dyDescent="0.3">
      <c r="A270" s="352" t="str">
        <f>'Reference Score Calculation'!A262</f>
        <v>JS6078</v>
      </c>
      <c r="B270" s="352" t="str">
        <f>'Reference Score Calculation'!B262</f>
        <v>HKU</v>
      </c>
      <c r="C270" s="352" t="str">
        <f>'Reference Score Calculation'!D262</f>
        <v>文學士及法學士 (雙學位課程)</v>
      </c>
      <c r="D270" s="352" t="str">
        <f>'Reference Score Calculation'!T262</f>
        <v xml:space="preserve">	BA&amp;LLB</v>
      </c>
      <c r="E270" s="352" t="str">
        <f>'Reference Score Calculation'!E262</f>
        <v>Best 6</v>
      </c>
      <c r="F270" s="357">
        <f>'Reference Score Calculation'!F262</f>
        <v>41</v>
      </c>
      <c r="G270" s="357">
        <f>'Reference Score Calculation'!G262</f>
        <v>39</v>
      </c>
      <c r="H270" s="357">
        <f>'Reference Score Calculation'!H262</f>
        <v>37</v>
      </c>
      <c r="I270" s="357">
        <f>計分版!H283</f>
        <v>3.7E-9</v>
      </c>
      <c r="J270" s="352">
        <f>入學要求!C271</f>
        <v>20</v>
      </c>
      <c r="K270" s="352">
        <f>IFERROR(INDEX('Offer Statistics'!$DA$134:$DA$181,MATCH('A123'!A270,('Offer Statistics'!$CL$134:$CL$181),0)),"/")</f>
        <v>20</v>
      </c>
      <c r="L270" s="386">
        <f>IFERROR(INDEX('Offer Statistics'!$CN$134:$CN$181,MATCH(A270,('Offer Statistics'!$CL$134:$CL$181),0))/INDEX('Offer Statistics'!$CV$134:$CV$181,MATCH(A270,('Offer Statistics'!$CL$134:$CL$181),0)),"新科目")</f>
        <v>1.55</v>
      </c>
      <c r="M270" s="352">
        <f>入學要求!R271</f>
        <v>0</v>
      </c>
    </row>
    <row r="271" spans="1:13" x14ac:dyDescent="0.3">
      <c r="A271" s="352" t="str">
        <f>'Reference Score Calculation'!A263</f>
        <v>JS6406</v>
      </c>
      <c r="B271" s="352" t="str">
        <f>'Reference Score Calculation'!B263</f>
        <v>HKU</v>
      </c>
      <c r="C271" s="352" t="str">
        <f>'Reference Score Calculation'!D263</f>
        <v>法學士</v>
      </c>
      <c r="D271" s="352" t="str">
        <f>'Reference Score Calculation'!T263</f>
        <v xml:space="preserve">	LLB</v>
      </c>
      <c r="E271" s="352" t="str">
        <f>'Reference Score Calculation'!E263</f>
        <v>Best 6</v>
      </c>
      <c r="F271" s="357">
        <f>'Reference Score Calculation'!F263</f>
        <v>38</v>
      </c>
      <c r="G271" s="357">
        <f>'Reference Score Calculation'!G263</f>
        <v>36</v>
      </c>
      <c r="H271" s="357">
        <f>'Reference Score Calculation'!H263</f>
        <v>35</v>
      </c>
      <c r="I271" s="357">
        <f>計分版!H284</f>
        <v>3.7E-9</v>
      </c>
      <c r="J271" s="352">
        <f>入學要求!C272</f>
        <v>93</v>
      </c>
      <c r="K271" s="352">
        <f>IFERROR(INDEX('Offer Statistics'!$DA$134:$DA$181,MATCH('A123'!A271,('Offer Statistics'!$CL$134:$CL$181),0)),"/")</f>
        <v>70</v>
      </c>
      <c r="L271" s="386">
        <f>IFERROR(INDEX('Offer Statistics'!$CN$134:$CN$181,MATCH(A271,('Offer Statistics'!$CL$134:$CL$181),0))/INDEX('Offer Statistics'!$CV$134:$CV$181,MATCH(A271,('Offer Statistics'!$CL$134:$CL$181),0)),"新科目")</f>
        <v>3.2285714285714286</v>
      </c>
      <c r="M271" s="352">
        <f>入學要求!R272</f>
        <v>0</v>
      </c>
    </row>
    <row r="272" spans="1:13" x14ac:dyDescent="0.3">
      <c r="A272" s="352" t="str">
        <f>'Reference Score Calculation'!A264</f>
        <v>JS6418</v>
      </c>
      <c r="B272" s="352" t="str">
        <f>'Reference Score Calculation'!B264</f>
        <v>HKU</v>
      </c>
      <c r="C272" s="352" t="str">
        <f>'Reference Score Calculation'!D264</f>
        <v>護理學學士菁英領袖培育專修組別</v>
      </c>
      <c r="D272" s="352" t="str">
        <f>'Reference Score Calculation'!T264</f>
        <v>BNURS-ALT</v>
      </c>
      <c r="E272" s="352" t="str">
        <f>'Reference Score Calculation'!E264</f>
        <v>Best 5</v>
      </c>
      <c r="F272" s="357">
        <f>'Reference Score Calculation'!F264</f>
        <v>34</v>
      </c>
      <c r="G272" s="357">
        <f>'Reference Score Calculation'!G264</f>
        <v>34</v>
      </c>
      <c r="H272" s="357">
        <f>'Reference Score Calculation'!H264</f>
        <v>33</v>
      </c>
      <c r="I272" s="357">
        <f>計分版!H285</f>
        <v>3.9500000000000006E-9</v>
      </c>
      <c r="J272" s="352" t="str">
        <f>入學要求!C273</f>
        <v>210*</v>
      </c>
      <c r="K272" s="352">
        <f>IFERROR(INDEX('Offer Statistics'!$DA$134:$DA$181,MATCH('A123'!A272,('Offer Statistics'!$CL$134:$CL$181),0)),"/")</f>
        <v>4</v>
      </c>
      <c r="L272" s="386">
        <f>IFERROR(INDEX('Offer Statistics'!$CN$134:$CN$181,MATCH(A272,('Offer Statistics'!$CL$134:$CL$181),0))/INDEX('Offer Statistics'!$CV$134:$CV$181,MATCH(A272,('Offer Statistics'!$CL$134:$CL$181),0)),"新科目")</f>
        <v>12.5</v>
      </c>
      <c r="M272" s="352">
        <f>入學要求!R273</f>
        <v>0</v>
      </c>
    </row>
    <row r="273" spans="1:13" x14ac:dyDescent="0.3">
      <c r="A273" s="352" t="str">
        <f>'Reference Score Calculation'!A265</f>
        <v>JS6456</v>
      </c>
      <c r="B273" s="352" t="str">
        <f>'Reference Score Calculation'!B265</f>
        <v>HKU</v>
      </c>
      <c r="C273" s="352" t="str">
        <f>'Reference Score Calculation'!D265</f>
        <v>內外全科醫學士</v>
      </c>
      <c r="D273" s="352" t="str">
        <f>'Reference Score Calculation'!T265</f>
        <v xml:space="preserve">	MBBS</v>
      </c>
      <c r="E273" s="352" t="str">
        <f>'Reference Score Calculation'!E265</f>
        <v>Best 6</v>
      </c>
      <c r="F273" s="357">
        <f>'Reference Score Calculation'!F265</f>
        <v>47</v>
      </c>
      <c r="G273" s="357">
        <f>'Reference Score Calculation'!G265</f>
        <v>45</v>
      </c>
      <c r="H273" s="357">
        <f>'Reference Score Calculation'!H265</f>
        <v>42</v>
      </c>
      <c r="I273" s="357">
        <f>計分版!H286</f>
        <v>3.9000000000000002E-9</v>
      </c>
      <c r="J273" s="352">
        <f>入學要求!C274</f>
        <v>295</v>
      </c>
      <c r="K273" s="352">
        <f>IFERROR(INDEX('Offer Statistics'!$DA$134:$DA$181,MATCH('A123'!A273,('Offer Statistics'!$CL$134:$CL$181),0)),"/")</f>
        <v>135</v>
      </c>
      <c r="L273" s="386">
        <f>IFERROR(INDEX('Offer Statistics'!$CN$134:$CN$181,MATCH(A273,('Offer Statistics'!$CL$134:$CL$181),0))/INDEX('Offer Statistics'!$CV$134:$CV$181,MATCH(A273,('Offer Statistics'!$CL$134:$CL$181),0)),"新科目")</f>
        <v>2.9629629629629628</v>
      </c>
      <c r="M273" s="352">
        <f>入學要求!R274</f>
        <v>0</v>
      </c>
    </row>
    <row r="274" spans="1:13" x14ac:dyDescent="0.3">
      <c r="A274" s="352" t="str">
        <f>'Reference Score Calculation'!A266</f>
        <v>JS6468</v>
      </c>
      <c r="B274" s="352" t="str">
        <f>'Reference Score Calculation'!B266</f>
        <v>HKU</v>
      </c>
      <c r="C274" s="352" t="str">
        <f>'Reference Score Calculation'!D266</f>
        <v>護理學學士</v>
      </c>
      <c r="D274" s="352" t="str">
        <f>'Reference Score Calculation'!T266</f>
        <v xml:space="preserve">	BNURS</v>
      </c>
      <c r="E274" s="352" t="str">
        <f>'Reference Score Calculation'!E266</f>
        <v>Best 5</v>
      </c>
      <c r="F274" s="357">
        <f>'Reference Score Calculation'!F266</f>
        <v>26</v>
      </c>
      <c r="G274" s="357">
        <f>'Reference Score Calculation'!G266</f>
        <v>25</v>
      </c>
      <c r="H274" s="357">
        <f>'Reference Score Calculation'!H266</f>
        <v>25</v>
      </c>
      <c r="I274" s="357">
        <f>計分版!H287</f>
        <v>3.9500000000000006E-9</v>
      </c>
      <c r="J274" s="352" t="str">
        <f>入學要求!C275</f>
        <v>210*</v>
      </c>
      <c r="K274" s="352">
        <f>IFERROR(INDEX('Offer Statistics'!$DA$134:$DA$181,MATCH('A123'!A274,('Offer Statistics'!$CL$134:$CL$181),0)),"/")</f>
        <v>171</v>
      </c>
      <c r="L274" s="386">
        <f>IFERROR(INDEX('Offer Statistics'!$CN$134:$CN$181,MATCH(A274,('Offer Statistics'!$CL$134:$CL$181),0))/INDEX('Offer Statistics'!$CV$134:$CV$181,MATCH(A274,('Offer Statistics'!$CL$134:$CL$181),0)),"新科目")</f>
        <v>7.581818181818182</v>
      </c>
      <c r="M274" s="352">
        <f>入學要求!R275</f>
        <v>0</v>
      </c>
    </row>
    <row r="275" spans="1:13" x14ac:dyDescent="0.3">
      <c r="A275" s="352" t="str">
        <f>'Reference Score Calculation'!A267</f>
        <v>JS6470</v>
      </c>
      <c r="B275" s="352" t="str">
        <f>'Reference Score Calculation'!B267</f>
        <v>HKU</v>
      </c>
      <c r="C275" s="352" t="str">
        <f>'Reference Score Calculation'!D267</f>
        <v>理學士(生物訊息學)</v>
      </c>
      <c r="D275" s="352" t="str">
        <f>'Reference Score Calculation'!T267</f>
        <v>BSc(Bioinformatics)</v>
      </c>
      <c r="E275" s="352" t="str">
        <f>'Reference Score Calculation'!E267</f>
        <v>2022年新科目</v>
      </c>
      <c r="F275" s="357" t="str">
        <f>'Reference Score Calculation'!F267</f>
        <v>/</v>
      </c>
      <c r="G275" s="357" t="str">
        <f>'Reference Score Calculation'!G267</f>
        <v>/</v>
      </c>
      <c r="H275" s="357" t="str">
        <f>'Reference Score Calculation'!H267</f>
        <v>/</v>
      </c>
      <c r="I275" s="357">
        <f>計分版!H288</f>
        <v>3.9000000000000002E-9</v>
      </c>
      <c r="J275" s="352">
        <f>入學要求!C276</f>
        <v>15</v>
      </c>
      <c r="K275" s="352" t="str">
        <f>IFERROR(INDEX('Offer Statistics'!$DA$134:$DA$181,MATCH('A123'!A275,('Offer Statistics'!$CL$134:$CL$181),0)),"/")</f>
        <v>/</v>
      </c>
      <c r="L275" s="386" t="str">
        <f>IFERROR(INDEX('Offer Statistics'!$CN$134:$CN$181,MATCH(A275,('Offer Statistics'!$CL$134:$CL$181),0))/INDEX('Offer Statistics'!$CV$134:$CV$181,MATCH(A275,('Offer Statistics'!$CL$134:$CL$181),0)),"新科目")</f>
        <v>新科目</v>
      </c>
      <c r="M275" s="352">
        <f>入學要求!R276</f>
        <v>0</v>
      </c>
    </row>
    <row r="276" spans="1:13" x14ac:dyDescent="0.3">
      <c r="A276" s="352" t="str">
        <f>'Reference Score Calculation'!A268</f>
        <v>JS6482</v>
      </c>
      <c r="B276" s="352" t="str">
        <f>'Reference Score Calculation'!B268</f>
        <v>HKU</v>
      </c>
      <c r="C276" s="352" t="str">
        <f>'Reference Score Calculation'!D268</f>
        <v>中醫全科學士</v>
      </c>
      <c r="D276" s="352" t="str">
        <f>'Reference Score Calculation'!T268</f>
        <v>BChinMed</v>
      </c>
      <c r="E276" s="352" t="str">
        <f>'Reference Score Calculation'!E268</f>
        <v>Best 5</v>
      </c>
      <c r="F276" s="357">
        <f>'Reference Score Calculation'!F268</f>
        <v>31</v>
      </c>
      <c r="G276" s="357">
        <f>'Reference Score Calculation'!G268</f>
        <v>28</v>
      </c>
      <c r="H276" s="357">
        <f>'Reference Score Calculation'!H268</f>
        <v>27</v>
      </c>
      <c r="I276" s="357">
        <f>計分版!H289</f>
        <v>3.9500000000000006E-9</v>
      </c>
      <c r="J276" s="352">
        <f>入學要求!C277</f>
        <v>24</v>
      </c>
      <c r="K276" s="352">
        <f>IFERROR(INDEX('Offer Statistics'!$DA$134:$DA$181,MATCH('A123'!A276,('Offer Statistics'!$CL$134:$CL$181),0)),"/")</f>
        <v>18</v>
      </c>
      <c r="L276" s="386">
        <f>IFERROR(INDEX('Offer Statistics'!$CN$134:$CN$181,MATCH(A276,('Offer Statistics'!$CL$134:$CL$181),0))/INDEX('Offer Statistics'!$CV$134:$CV$181,MATCH(A276,('Offer Statistics'!$CL$134:$CL$181),0)),"新科目")</f>
        <v>6.166666666666667</v>
      </c>
      <c r="M276" s="352">
        <f>入學要求!R277</f>
        <v>0</v>
      </c>
    </row>
    <row r="277" spans="1:13" x14ac:dyDescent="0.3">
      <c r="A277" s="352" t="str">
        <f>'Reference Score Calculation'!A269</f>
        <v>JS6494</v>
      </c>
      <c r="B277" s="352" t="str">
        <f>'Reference Score Calculation'!B269</f>
        <v>HKU</v>
      </c>
      <c r="C277" s="352" t="str">
        <f>'Reference Score Calculation'!D269</f>
        <v>藥劑學學士</v>
      </c>
      <c r="D277" s="352" t="str">
        <f>'Reference Score Calculation'!T269</f>
        <v>BPharm</v>
      </c>
      <c r="E277" s="352" t="str">
        <f>'Reference Score Calculation'!E269</f>
        <v>Best 6</v>
      </c>
      <c r="F277" s="357">
        <f>'Reference Score Calculation'!F269</f>
        <v>39</v>
      </c>
      <c r="G277" s="357">
        <f>'Reference Score Calculation'!G269</f>
        <v>38</v>
      </c>
      <c r="H277" s="357">
        <f>'Reference Score Calculation'!H269</f>
        <v>37</v>
      </c>
      <c r="I277" s="357">
        <f>計分版!H290</f>
        <v>3.9000000000000002E-9</v>
      </c>
      <c r="J277" s="352">
        <f>入學要求!C278</f>
        <v>35</v>
      </c>
      <c r="K277" s="352">
        <f>IFERROR(INDEX('Offer Statistics'!$DA$134:$DA$181,MATCH('A123'!A277,('Offer Statistics'!$CL$134:$CL$181),0)),"/")</f>
        <v>29</v>
      </c>
      <c r="L277" s="386">
        <f>IFERROR(INDEX('Offer Statistics'!$CN$134:$CN$181,MATCH(A277,('Offer Statistics'!$CL$134:$CL$181),0))/INDEX('Offer Statistics'!$CV$134:$CV$181,MATCH(A277,('Offer Statistics'!$CL$134:$CL$181),0)),"新科目")</f>
        <v>4.2068965517241379</v>
      </c>
      <c r="M277" s="352">
        <f>入學要求!R278</f>
        <v>0</v>
      </c>
    </row>
    <row r="278" spans="1:13" x14ac:dyDescent="0.3">
      <c r="A278" s="352" t="str">
        <f>'Reference Score Calculation'!A270</f>
        <v>JS6949</v>
      </c>
      <c r="B278" s="352" t="str">
        <f>'Reference Score Calculation'!B270</f>
        <v>HKU</v>
      </c>
      <c r="C278" s="352" t="str">
        <f>'Reference Score Calculation'!D270</f>
        <v>生物醫學學士</v>
      </c>
      <c r="D278" s="352" t="str">
        <f>'Reference Score Calculation'!T270</f>
        <v xml:space="preserve">	BBiomedSc</v>
      </c>
      <c r="E278" s="352" t="str">
        <f>'Reference Score Calculation'!E270</f>
        <v>Best 6</v>
      </c>
      <c r="F278" s="357">
        <f>'Reference Score Calculation'!F270</f>
        <v>41</v>
      </c>
      <c r="G278" s="357">
        <f>'Reference Score Calculation'!G270</f>
        <v>41</v>
      </c>
      <c r="H278" s="357">
        <f>'Reference Score Calculation'!H270</f>
        <v>40</v>
      </c>
      <c r="I278" s="357">
        <f>計分版!H291</f>
        <v>3.9000000000000002E-9</v>
      </c>
      <c r="J278" s="352">
        <f>入學要求!C279</f>
        <v>38</v>
      </c>
      <c r="K278" s="352">
        <f>IFERROR(INDEX('Offer Statistics'!$DA$134:$DA$181,MATCH('A123'!A278,('Offer Statistics'!$CL$134:$CL$181),0)),"/")</f>
        <v>28</v>
      </c>
      <c r="L278" s="386">
        <f>IFERROR(INDEX('Offer Statistics'!$CN$134:$CN$181,MATCH(A278,('Offer Statistics'!$CL$134:$CL$181),0))/INDEX('Offer Statistics'!$CV$134:$CV$181,MATCH(A278,('Offer Statistics'!$CL$134:$CL$181),0)),"新科目")</f>
        <v>6.5357142857142856</v>
      </c>
      <c r="M278" s="352">
        <f>入學要求!R279</f>
        <v>0</v>
      </c>
    </row>
    <row r="279" spans="1:13" x14ac:dyDescent="0.3">
      <c r="A279" s="352" t="str">
        <f>'Reference Score Calculation'!A271</f>
        <v>JS6688</v>
      </c>
      <c r="B279" s="352" t="str">
        <f>'Reference Score Calculation'!B271</f>
        <v>HKU</v>
      </c>
      <c r="C279" s="352" t="str">
        <f>'Reference Score Calculation'!D271</f>
        <v>科研專才啟導課程</v>
      </c>
      <c r="D279" s="352" t="str">
        <f>'Reference Score Calculation'!T271</f>
        <v>SMC</v>
      </c>
      <c r="E279" s="352" t="str">
        <f>'Reference Score Calculation'!E271</f>
        <v>Best 6</v>
      </c>
      <c r="F279" s="357">
        <f>'Reference Score Calculation'!F271</f>
        <v>82</v>
      </c>
      <c r="G279" s="357">
        <f>'Reference Score Calculation'!G271</f>
        <v>73</v>
      </c>
      <c r="H279" s="357">
        <f>'Reference Score Calculation'!H271</f>
        <v>71</v>
      </c>
      <c r="I279" s="357">
        <f>計分版!H292</f>
        <v>2.7500000000000002E-9</v>
      </c>
      <c r="J279" s="352">
        <f>入學要求!C280</f>
        <v>24</v>
      </c>
      <c r="K279" s="352">
        <f>IFERROR(INDEX('Offer Statistics'!$DA$134:$DA$181,MATCH('A123'!A279,('Offer Statistics'!$CL$134:$CL$181),0)),"/")</f>
        <v>17</v>
      </c>
      <c r="L279" s="386">
        <f>IFERROR(INDEX('Offer Statistics'!$CN$134:$CN$181,MATCH(A279,('Offer Statistics'!$CL$134:$CL$181),0))/INDEX('Offer Statistics'!$CV$134:$CV$181,MATCH(A279,('Offer Statistics'!$CL$134:$CL$181),0)),"新科目")</f>
        <v>3</v>
      </c>
      <c r="M279" s="352">
        <f>入學要求!R280</f>
        <v>0</v>
      </c>
    </row>
    <row r="280" spans="1:13" x14ac:dyDescent="0.3">
      <c r="A280" s="352" t="str">
        <f>'Reference Score Calculation'!A272</f>
        <v>JS6729</v>
      </c>
      <c r="B280" s="352" t="str">
        <f>'Reference Score Calculation'!B272</f>
        <v>HKU</v>
      </c>
      <c r="C280" s="352" t="str">
        <f>'Reference Score Calculation'!D272</f>
        <v>理學士(精算學)</v>
      </c>
      <c r="D280" s="352" t="str">
        <f>'Reference Score Calculation'!T272</f>
        <v xml:space="preserve">	BSC(AC)</v>
      </c>
      <c r="E280" s="352" t="str">
        <f>'Reference Score Calculation'!E272</f>
        <v>Best 6</v>
      </c>
      <c r="F280" s="357">
        <f>'Reference Score Calculation'!F272</f>
        <v>54</v>
      </c>
      <c r="G280" s="357">
        <f>'Reference Score Calculation'!G272</f>
        <v>51</v>
      </c>
      <c r="H280" s="357">
        <f>'Reference Score Calculation'!H272</f>
        <v>48</v>
      </c>
      <c r="I280" s="357">
        <f>計分版!H293</f>
        <v>4.4000000000000005E-9</v>
      </c>
      <c r="J280" s="352">
        <f>入學要求!C281</f>
        <v>50</v>
      </c>
      <c r="K280" s="352">
        <f>IFERROR(INDEX('Offer Statistics'!$DA$134:$DA$181,MATCH('A123'!A280,('Offer Statistics'!$CL$134:$CL$181),0)),"/")</f>
        <v>62</v>
      </c>
      <c r="L280" s="386">
        <f>IFERROR(INDEX('Offer Statistics'!$CN$134:$CN$181,MATCH(A280,('Offer Statistics'!$CL$134:$CL$181),0))/INDEX('Offer Statistics'!$CV$134:$CV$181,MATCH(A280,('Offer Statistics'!$CL$134:$CL$181),0)),"新科目")</f>
        <v>2.629032258064516</v>
      </c>
      <c r="M280" s="352">
        <f>入學要求!R281</f>
        <v>0</v>
      </c>
    </row>
    <row r="281" spans="1:13" x14ac:dyDescent="0.3">
      <c r="A281" s="352" t="str">
        <f>'Reference Score Calculation'!A273</f>
        <v>JS6858</v>
      </c>
      <c r="B281" s="352" t="str">
        <f>'Reference Score Calculation'!B273</f>
        <v>HKU</v>
      </c>
      <c r="C281" s="352" t="str">
        <f>'Reference Score Calculation'!D273</f>
        <v>理學士及法學士(雙學位課程)</v>
      </c>
      <c r="D281" s="352" t="str">
        <f>'Reference Score Calculation'!T273</f>
        <v>BSc&amp;LLB</v>
      </c>
      <c r="E281" s="352" t="str">
        <f>'Reference Score Calculation'!E273</f>
        <v>2022年新科目</v>
      </c>
      <c r="F281" s="357" t="str">
        <f>'Reference Score Calculation'!F273</f>
        <v>/</v>
      </c>
      <c r="G281" s="357" t="str">
        <f>'Reference Score Calculation'!G273</f>
        <v>/</v>
      </c>
      <c r="H281" s="357" t="str">
        <f>'Reference Score Calculation'!H273</f>
        <v>/</v>
      </c>
      <c r="I281" s="357">
        <f>計分版!H294</f>
        <v>4.3000000000000005E-9</v>
      </c>
      <c r="J281" s="352">
        <f>入學要求!C282</f>
        <v>20</v>
      </c>
      <c r="K281" s="352" t="str">
        <f>IFERROR(INDEX('Offer Statistics'!$DA$134:$DA$181,MATCH('A123'!A281,('Offer Statistics'!$CL$134:$CL$181),0)),"/")</f>
        <v>/</v>
      </c>
      <c r="L281" s="386" t="str">
        <f>IFERROR(INDEX('Offer Statistics'!$CN$134:$CN$181,MATCH(A281,('Offer Statistics'!$CL$134:$CL$181),0))/INDEX('Offer Statistics'!$CV$134:$CV$181,MATCH(A281,('Offer Statistics'!$CL$134:$CL$181),0)),"新科目")</f>
        <v>新科目</v>
      </c>
      <c r="M281" s="352">
        <f>入學要求!R282</f>
        <v>0</v>
      </c>
    </row>
    <row r="282" spans="1:13" x14ac:dyDescent="0.3">
      <c r="A282" s="352" t="str">
        <f>'Reference Score Calculation'!A274</f>
        <v>JS6901</v>
      </c>
      <c r="B282" s="352" t="str">
        <f>'Reference Score Calculation'!B274</f>
        <v>HKU</v>
      </c>
      <c r="C282" s="352" t="str">
        <f>'Reference Score Calculation'!D274</f>
        <v>理學士</v>
      </c>
      <c r="D282" s="352" t="str">
        <f>'Reference Score Calculation'!T274</f>
        <v xml:space="preserve">	BSC</v>
      </c>
      <c r="E282" s="352" t="str">
        <f>'Reference Score Calculation'!E274</f>
        <v>Best 5</v>
      </c>
      <c r="F282" s="357">
        <f>'Reference Score Calculation'!F274</f>
        <v>46</v>
      </c>
      <c r="G282" s="357">
        <f>'Reference Score Calculation'!G274</f>
        <v>41</v>
      </c>
      <c r="H282" s="357">
        <f>'Reference Score Calculation'!H274</f>
        <v>39</v>
      </c>
      <c r="I282" s="357">
        <f>計分版!H295</f>
        <v>2.775E-9</v>
      </c>
      <c r="J282" s="352">
        <f>入學要求!C283</f>
        <v>305</v>
      </c>
      <c r="K282" s="352">
        <f>IFERROR(INDEX('Offer Statistics'!$DA$134:$DA$181,MATCH('A123'!A282,('Offer Statistics'!$CL$134:$CL$181),0)),"/")</f>
        <v>243</v>
      </c>
      <c r="L282" s="386">
        <f>IFERROR(INDEX('Offer Statistics'!$CN$134:$CN$181,MATCH(A282,('Offer Statistics'!$CL$134:$CL$181),0))/INDEX('Offer Statistics'!$CV$134:$CV$181,MATCH(A282,('Offer Statistics'!$CL$134:$CL$181),0)),"新科目")</f>
        <v>4.761316872427984</v>
      </c>
      <c r="M282" s="352">
        <f>入學要求!R283</f>
        <v>0</v>
      </c>
    </row>
    <row r="283" spans="1:13" x14ac:dyDescent="0.3">
      <c r="A283" s="352" t="str">
        <f>'Reference Score Calculation'!A275</f>
        <v>JS6705</v>
      </c>
      <c r="B283" s="352" t="str">
        <f>'Reference Score Calculation'!B275</f>
        <v>HKU</v>
      </c>
      <c r="C283" s="352" t="str">
        <f>'Reference Score Calculation'!D275</f>
        <v>心理學學士</v>
      </c>
      <c r="D283" s="352" t="str">
        <f>'Reference Score Calculation'!T275</f>
        <v>BPsych</v>
      </c>
      <c r="E283" s="352" t="str">
        <f>'Reference Score Calculation'!E275</f>
        <v>2022年新科目</v>
      </c>
      <c r="F283" s="357" t="str">
        <f>'Reference Score Calculation'!F275</f>
        <v>/</v>
      </c>
      <c r="G283" s="357" t="str">
        <f>'Reference Score Calculation'!G275</f>
        <v>/</v>
      </c>
      <c r="H283" s="357" t="str">
        <f>'Reference Score Calculation'!H275</f>
        <v>/</v>
      </c>
      <c r="I283" s="357">
        <f>計分版!H296</f>
        <v>3.9500000000000006E-9</v>
      </c>
      <c r="J283" s="352">
        <f>入學要求!C284</f>
        <v>70</v>
      </c>
      <c r="K283" s="352" t="str">
        <f>IFERROR(INDEX('Offer Statistics'!$DA$134:$DA$181,MATCH('A123'!A283,('Offer Statistics'!$CL$134:$CL$181),0)),"/")</f>
        <v>/</v>
      </c>
      <c r="L283" s="386" t="str">
        <f>IFERROR(INDEX('Offer Statistics'!$CN$134:$CN$181,MATCH(A283,('Offer Statistics'!$CL$134:$CL$181),0))/INDEX('Offer Statistics'!$CV$134:$CV$181,MATCH(A283,('Offer Statistics'!$CL$134:$CL$181),0)),"新科目")</f>
        <v>新科目</v>
      </c>
      <c r="M283" s="352">
        <f>入學要求!R284</f>
        <v>0</v>
      </c>
    </row>
    <row r="284" spans="1:13" x14ac:dyDescent="0.3">
      <c r="A284" s="352" t="str">
        <f>'Reference Score Calculation'!A276</f>
        <v>JS6717</v>
      </c>
      <c r="B284" s="352" t="str">
        <f>'Reference Score Calculation'!B276</f>
        <v>HKU</v>
      </c>
      <c r="C284" s="352" t="str">
        <f>'Reference Score Calculation'!D276</f>
        <v>社會科學學士</v>
      </c>
      <c r="D284" s="352" t="str">
        <f>'Reference Score Calculation'!T276</f>
        <v xml:space="preserve">	BSS</v>
      </c>
      <c r="E284" s="352" t="str">
        <f>'Reference Score Calculation'!E276</f>
        <v>Best 5</v>
      </c>
      <c r="F284" s="357">
        <f>'Reference Score Calculation'!F276</f>
        <v>29</v>
      </c>
      <c r="G284" s="357">
        <f>'Reference Score Calculation'!G276</f>
        <v>26</v>
      </c>
      <c r="H284" s="357">
        <f>'Reference Score Calculation'!H276</f>
        <v>25</v>
      </c>
      <c r="I284" s="357">
        <f>計分版!H297</f>
        <v>3.9500000000000006E-9</v>
      </c>
      <c r="J284" s="352">
        <f>入學要求!C285</f>
        <v>114</v>
      </c>
      <c r="K284" s="352">
        <f>IFERROR(INDEX('Offer Statistics'!$DA$134:$DA$181,MATCH('A123'!A284,('Offer Statistics'!$CL$134:$CL$181),0)),"/")</f>
        <v>143</v>
      </c>
      <c r="L284" s="386">
        <f>IFERROR(INDEX('Offer Statistics'!$CN$134:$CN$181,MATCH(A284,('Offer Statistics'!$CL$134:$CL$181),0))/INDEX('Offer Statistics'!$CV$134:$CV$181,MATCH(A284,('Offer Statistics'!$CL$134:$CL$181),0)),"新科目")</f>
        <v>3.6433566433566433</v>
      </c>
      <c r="M284" s="352">
        <f>入學要求!R285</f>
        <v>0</v>
      </c>
    </row>
    <row r="285" spans="1:13" x14ac:dyDescent="0.3">
      <c r="A285" s="352" t="str">
        <f>'Reference Score Calculation'!A277</f>
        <v>JS6731</v>
      </c>
      <c r="B285" s="352" t="str">
        <f>'Reference Score Calculation'!B277</f>
        <v>HKU</v>
      </c>
      <c r="C285" s="352" t="str">
        <f>'Reference Score Calculation'!D277</f>
        <v>社會工作學學士</v>
      </c>
      <c r="D285" s="352" t="str">
        <f>'Reference Score Calculation'!T277</f>
        <v>BSW</v>
      </c>
      <c r="E285" s="352" t="str">
        <f>'Reference Score Calculation'!E277</f>
        <v>Best 5</v>
      </c>
      <c r="F285" s="357">
        <f>'Reference Score Calculation'!F277</f>
        <v>29</v>
      </c>
      <c r="G285" s="357">
        <f>'Reference Score Calculation'!G277</f>
        <v>28</v>
      </c>
      <c r="H285" s="357">
        <f>'Reference Score Calculation'!H277</f>
        <v>26</v>
      </c>
      <c r="I285" s="357">
        <f>計分版!H298</f>
        <v>3.9500000000000006E-9</v>
      </c>
      <c r="J285" s="352">
        <f>入學要求!C286</f>
        <v>30</v>
      </c>
      <c r="K285" s="352">
        <f>IFERROR(INDEX('Offer Statistics'!$DA$134:$DA$181,MATCH('A123'!A285,('Offer Statistics'!$CL$134:$CL$181),0)),"/")</f>
        <v>22</v>
      </c>
      <c r="L285" s="386">
        <f>IFERROR(INDEX('Offer Statistics'!$CN$134:$CN$181,MATCH(A285,('Offer Statistics'!$CL$134:$CL$181),0))/INDEX('Offer Statistics'!$CV$134:$CV$181,MATCH(A285,('Offer Statistics'!$CL$134:$CL$181),0)),"新科目")</f>
        <v>9.6363636363636367</v>
      </c>
      <c r="M285" s="352">
        <f>入學要求!R286</f>
        <v>0</v>
      </c>
    </row>
    <row r="286" spans="1:13" x14ac:dyDescent="0.3">
      <c r="A286" s="352" t="str">
        <f>'Reference Score Calculation'!A278</f>
        <v>JS6810</v>
      </c>
      <c r="B286" s="352" t="str">
        <f>'Reference Score Calculation'!B278</f>
        <v>HKU</v>
      </c>
      <c r="C286" s="352" t="str">
        <f>'Reference Score Calculation'!D278</f>
        <v>社會科學學士(政治學與法學)及法學士 (雙學位課程)</v>
      </c>
      <c r="D286" s="352" t="str">
        <f>'Reference Score Calculation'!T278</f>
        <v xml:space="preserve">	BSS(GL)&amp;LLB</v>
      </c>
      <c r="E286" s="352" t="str">
        <f>'Reference Score Calculation'!E278</f>
        <v>Best 6</v>
      </c>
      <c r="F286" s="357">
        <f>'Reference Score Calculation'!F278</f>
        <v>42</v>
      </c>
      <c r="G286" s="357">
        <f>'Reference Score Calculation'!G278</f>
        <v>41</v>
      </c>
      <c r="H286" s="357">
        <f>'Reference Score Calculation'!H278</f>
        <v>38</v>
      </c>
      <c r="I286" s="357">
        <f>計分版!H299</f>
        <v>3.9000000000000002E-9</v>
      </c>
      <c r="J286" s="352">
        <f>入學要求!C287</f>
        <v>50</v>
      </c>
      <c r="K286" s="352">
        <f>IFERROR(INDEX('Offer Statistics'!$DA$134:$DA$181,MATCH('A123'!A286,('Offer Statistics'!$CL$134:$CL$181),0)),"/")</f>
        <v>37</v>
      </c>
      <c r="L286" s="386">
        <f>IFERROR(INDEX('Offer Statistics'!$CN$134:$CN$181,MATCH(A286,('Offer Statistics'!$CL$134:$CL$181),0))/INDEX('Offer Statistics'!$CV$134:$CV$181,MATCH(A286,('Offer Statistics'!$CL$134:$CL$181),0)),"新科目")</f>
        <v>2.1621621621621623</v>
      </c>
      <c r="M286" s="352">
        <f>入學要求!R287</f>
        <v>0</v>
      </c>
    </row>
    <row r="287" spans="1:13" x14ac:dyDescent="0.3">
      <c r="A287" s="352" t="str">
        <f>'Reference Score Calculation'!A279</f>
        <v>JS6822</v>
      </c>
      <c r="B287" s="352" t="str">
        <f>'Reference Score Calculation'!B279</f>
        <v>HKU</v>
      </c>
      <c r="C287" s="352" t="str">
        <f>'Reference Score Calculation'!D279</f>
        <v>新聞學學士</v>
      </c>
      <c r="D287" s="352" t="str">
        <f>'Reference Score Calculation'!T279</f>
        <v xml:space="preserve">	BJ</v>
      </c>
      <c r="E287" s="352" t="str">
        <f>'Reference Score Calculation'!E279</f>
        <v>Best 5</v>
      </c>
      <c r="F287" s="357">
        <f>'Reference Score Calculation'!F279</f>
        <v>31</v>
      </c>
      <c r="G287" s="357">
        <f>'Reference Score Calculation'!G279</f>
        <v>29</v>
      </c>
      <c r="H287" s="357">
        <f>'Reference Score Calculation'!H279</f>
        <v>28</v>
      </c>
      <c r="I287" s="357">
        <f>計分版!H300</f>
        <v>3.9500000000000006E-9</v>
      </c>
      <c r="J287" s="352">
        <f>入學要求!C288</f>
        <v>19</v>
      </c>
      <c r="K287" s="352">
        <f>IFERROR(INDEX('Offer Statistics'!$DA$134:$DA$181,MATCH('A123'!A287,('Offer Statistics'!$CL$134:$CL$181),0)),"/")</f>
        <v>11</v>
      </c>
      <c r="L287" s="386">
        <f>IFERROR(INDEX('Offer Statistics'!$CN$134:$CN$181,MATCH(A287,('Offer Statistics'!$CL$134:$CL$181),0))/INDEX('Offer Statistics'!$CV$134:$CV$181,MATCH(A287,('Offer Statistics'!$CL$134:$CL$181),0)),"新科目")</f>
        <v>7</v>
      </c>
      <c r="M287" s="352">
        <f>入學要求!R288</f>
        <v>0</v>
      </c>
    </row>
    <row r="288" spans="1:13" s="352" customFormat="1" x14ac:dyDescent="0.3">
      <c r="A288" s="352" t="str">
        <f>'Reference Score Calculation'!A280</f>
        <v>JS6212</v>
      </c>
      <c r="B288" s="352" t="str">
        <f>'Reference Score Calculation'!B280</f>
        <v>HKU</v>
      </c>
      <c r="C288" s="352" t="str">
        <f>'Reference Score Calculation'!D280</f>
        <v>文理學士</v>
      </c>
      <c r="D288" s="352" t="str">
        <f>'Reference Score Calculation'!T280</f>
        <v xml:space="preserve">	BASc</v>
      </c>
      <c r="E288" s="352" t="str">
        <f>'Reference Score Calculation'!E280</f>
        <v>Best 5</v>
      </c>
      <c r="F288" s="357">
        <f>'Reference Score Calculation'!F280</f>
        <v>31</v>
      </c>
      <c r="G288" s="357">
        <f>'Reference Score Calculation'!G280</f>
        <v>29</v>
      </c>
      <c r="H288" s="357">
        <f>'Reference Score Calculation'!H280</f>
        <v>28</v>
      </c>
      <c r="I288" s="357">
        <f>計分版!H301</f>
        <v>3.9500000000000006E-9</v>
      </c>
      <c r="J288" s="352">
        <f>入學要求!C289</f>
        <v>24</v>
      </c>
      <c r="K288" s="352">
        <f>IFERROR(INDEX('Offer Statistics'!$DA$134:$DA$181,MATCH('A123'!A288,('Offer Statistics'!$CL$134:$CL$181),0)),"/")</f>
        <v>15</v>
      </c>
      <c r="L288" s="386">
        <f>IFERROR(INDEX('Offer Statistics'!$CN$134:$CN$181,MATCH(A288,('Offer Statistics'!$CL$134:$CL$181),0))/INDEX('Offer Statistics'!$CV$134:$CV$181,MATCH(A288,('Offer Statistics'!$CL$134:$CL$181),0)),"新科目")</f>
        <v>2.7333333333333334</v>
      </c>
      <c r="M288" s="352">
        <f>入學要求!R289</f>
        <v>0</v>
      </c>
    </row>
    <row r="289" spans="1:13" s="352" customFormat="1" x14ac:dyDescent="0.3">
      <c r="A289" s="352" t="str">
        <f>'Reference Score Calculation'!A281</f>
        <v>JS6224</v>
      </c>
      <c r="B289" s="352" t="str">
        <f>'Reference Score Calculation'!B281</f>
        <v>HKU</v>
      </c>
      <c r="C289" s="352" t="str">
        <f>'Reference Score Calculation'!D281</f>
        <v>文理學士(應用人工智能)</v>
      </c>
      <c r="D289" s="352" t="str">
        <f>'Reference Score Calculation'!T281</f>
        <v>BASc(AppliedAI)</v>
      </c>
      <c r="E289" s="352" t="str">
        <f>'Reference Score Calculation'!E281</f>
        <v>Best 6</v>
      </c>
      <c r="F289" s="357">
        <f>'Reference Score Calculation'!F281</f>
        <v>72</v>
      </c>
      <c r="G289" s="357">
        <f>'Reference Score Calculation'!G281</f>
        <v>68</v>
      </c>
      <c r="H289" s="357">
        <f>'Reference Score Calculation'!H281</f>
        <v>63</v>
      </c>
      <c r="I289" s="357">
        <f>計分版!H302</f>
        <v>4.4000000000000005E-9</v>
      </c>
      <c r="J289" s="352">
        <f>入學要求!C290</f>
        <v>15</v>
      </c>
      <c r="K289" s="352">
        <f>IFERROR(INDEX('Offer Statistics'!$DA$134:$DA$181,MATCH('A123'!A289,('Offer Statistics'!$CL$134:$CL$181),0)),"/")</f>
        <v>12</v>
      </c>
      <c r="L289" s="386">
        <f>IFERROR(INDEX('Offer Statistics'!$CN$134:$CN$181,MATCH(A289,('Offer Statistics'!$CL$134:$CL$181),0))/INDEX('Offer Statistics'!$CV$134:$CV$181,MATCH(A289,('Offer Statistics'!$CL$134:$CL$181),0)),"新科目")</f>
        <v>4.25</v>
      </c>
      <c r="M289" s="352">
        <f>入學要求!R290</f>
        <v>0</v>
      </c>
    </row>
    <row r="290" spans="1:13" s="352" customFormat="1" x14ac:dyDescent="0.3">
      <c r="A290" s="352" t="str">
        <f>'Reference Score Calculation'!A282</f>
        <v>JS6236</v>
      </c>
      <c r="B290" s="352" t="str">
        <f>'Reference Score Calculation'!B282</f>
        <v>HKU</v>
      </c>
      <c r="C290" s="352" t="str">
        <f>'Reference Score Calculation'!D282</f>
        <v>文理學士(設計＋)</v>
      </c>
      <c r="D290" s="352" t="str">
        <f>'Reference Score Calculation'!T282</f>
        <v xml:space="preserve">	BASc(Design+)</v>
      </c>
      <c r="E290" s="352" t="str">
        <f>'Reference Score Calculation'!E282</f>
        <v>Best 6</v>
      </c>
      <c r="F290" s="357" t="str">
        <f>'Reference Score Calculation'!F282</f>
        <v>/</v>
      </c>
      <c r="G290" s="357" t="str">
        <f>'Reference Score Calculation'!G282</f>
        <v>/</v>
      </c>
      <c r="H290" s="357" t="str">
        <f>'Reference Score Calculation'!H282</f>
        <v>/</v>
      </c>
      <c r="I290" s="357">
        <f>計分版!H303</f>
        <v>4.4500000000000001E-9</v>
      </c>
      <c r="J290" s="352">
        <f>入學要求!C291</f>
        <v>13</v>
      </c>
      <c r="K290" s="352">
        <f>IFERROR(INDEX('Offer Statistics'!$DA$134:$DA$181,MATCH('A123'!A290,('Offer Statistics'!$CL$134:$CL$181),0)),"/")</f>
        <v>1</v>
      </c>
      <c r="L290" s="386">
        <f>IFERROR(INDEX('Offer Statistics'!$CN$134:$CN$181,MATCH(A290,('Offer Statistics'!$CL$134:$CL$181),0))/INDEX('Offer Statistics'!$CV$134:$CV$181,MATCH(A290,('Offer Statistics'!$CL$134:$CL$181),0)),"新科目")</f>
        <v>58</v>
      </c>
      <c r="M290" s="352">
        <f>入學要求!R291</f>
        <v>0</v>
      </c>
    </row>
    <row r="291" spans="1:13" s="352" customFormat="1" x14ac:dyDescent="0.3">
      <c r="A291" s="352" t="str">
        <f>'Reference Score Calculation'!A283</f>
        <v>JS6248</v>
      </c>
      <c r="B291" s="352" t="str">
        <f>'Reference Score Calculation'!B283</f>
        <v>HKU</v>
      </c>
      <c r="C291" s="352" t="str">
        <f>'Reference Score Calculation'!D283</f>
        <v>文理學士(金融科技)</v>
      </c>
      <c r="D291" s="352" t="str">
        <f>'Reference Score Calculation'!T283</f>
        <v xml:space="preserve">	BASc(FinTech)</v>
      </c>
      <c r="E291" s="352" t="str">
        <f>'Reference Score Calculation'!E283</f>
        <v>Best 6</v>
      </c>
      <c r="F291" s="357">
        <f>'Reference Score Calculation'!F283</f>
        <v>38</v>
      </c>
      <c r="G291" s="357">
        <f>'Reference Score Calculation'!G283</f>
        <v>36</v>
      </c>
      <c r="H291" s="357">
        <f>'Reference Score Calculation'!H283</f>
        <v>35</v>
      </c>
      <c r="I291" s="357">
        <f>計分版!H304</f>
        <v>3.8500000000000006E-9</v>
      </c>
      <c r="J291" s="352">
        <f>入學要求!C292</f>
        <v>24</v>
      </c>
      <c r="K291" s="352">
        <f>IFERROR(INDEX('Offer Statistics'!$DA$134:$DA$181,MATCH('A123'!A291,('Offer Statistics'!$CL$134:$CL$181),0)),"/")</f>
        <v>16</v>
      </c>
      <c r="L291" s="386">
        <f>IFERROR(INDEX('Offer Statistics'!$CN$134:$CN$181,MATCH(A291,('Offer Statistics'!$CL$134:$CL$181),0))/INDEX('Offer Statistics'!$CV$134:$CV$181,MATCH(A291,('Offer Statistics'!$CL$134:$CL$181),0)),"新科目")</f>
        <v>3.375</v>
      </c>
      <c r="M291" s="352">
        <f>入學要求!R292</f>
        <v>0</v>
      </c>
    </row>
    <row r="292" spans="1:13" s="352" customFormat="1" x14ac:dyDescent="0.3">
      <c r="A292" s="352" t="str">
        <f>'Reference Score Calculation'!A284</f>
        <v>JS6250</v>
      </c>
      <c r="B292" s="352" t="str">
        <f>'Reference Score Calculation'!B284</f>
        <v>HKU</v>
      </c>
      <c r="C292" s="352" t="str">
        <f>'Reference Score Calculation'!D284</f>
        <v>文理學士(環球衞生及發展)</v>
      </c>
      <c r="D292" s="352" t="str">
        <f>'Reference Score Calculation'!T284</f>
        <v xml:space="preserve">	BASc(GHD)</v>
      </c>
      <c r="E292" s="352" t="str">
        <f>'Reference Score Calculation'!E284</f>
        <v>Best 5</v>
      </c>
      <c r="F292" s="357">
        <f>'Reference Score Calculation'!F284</f>
        <v>32</v>
      </c>
      <c r="G292" s="357">
        <f>'Reference Score Calculation'!G284</f>
        <v>29</v>
      </c>
      <c r="H292" s="357">
        <f>'Reference Score Calculation'!H284</f>
        <v>28</v>
      </c>
      <c r="I292" s="357">
        <f>計分版!H305</f>
        <v>3.9500000000000006E-9</v>
      </c>
      <c r="J292" s="352">
        <f>入學要求!C293</f>
        <v>18</v>
      </c>
      <c r="K292" s="352">
        <f>IFERROR(INDEX('Offer Statistics'!$DA$134:$DA$181,MATCH('A123'!A292,('Offer Statistics'!$CL$134:$CL$181),0)),"/")</f>
        <v>14</v>
      </c>
      <c r="L292" s="386">
        <f>IFERROR(INDEX('Offer Statistics'!$CN$134:$CN$181,MATCH(A292,('Offer Statistics'!$CL$134:$CL$181),0))/INDEX('Offer Statistics'!$CV$134:$CV$181,MATCH(A292,('Offer Statistics'!$CL$134:$CL$181),0)),"新科目")</f>
        <v>2.2142857142857144</v>
      </c>
      <c r="M292" s="352">
        <f>入學要求!R293</f>
        <v>0</v>
      </c>
    </row>
    <row r="293" spans="1:13" x14ac:dyDescent="0.3">
      <c r="D293" s="13"/>
      <c r="E293" s="38"/>
      <c r="M293" s="352">
        <f>入學要求!R294</f>
        <v>0</v>
      </c>
    </row>
    <row r="294" spans="1:13" x14ac:dyDescent="0.3">
      <c r="D294" s="13"/>
      <c r="E294" s="38"/>
      <c r="F294" s="87" t="s">
        <v>2021</v>
      </c>
      <c r="G294" s="87" t="s">
        <v>2546</v>
      </c>
      <c r="H294" s="87" t="s">
        <v>2547</v>
      </c>
      <c r="I294" s="20" t="str">
        <f>計分版!H307</f>
        <v>總分</v>
      </c>
      <c r="M294" s="352">
        <f>入學要求!R295</f>
        <v>0</v>
      </c>
    </row>
    <row r="295" spans="1:13" x14ac:dyDescent="0.3">
      <c r="A295" s="352" t="str">
        <f>'Reference Score Calculation'!A287</f>
        <v>JS7101</v>
      </c>
      <c r="B295" s="352" t="str">
        <f>'Reference Score Calculation'!B287</f>
        <v>LingU</v>
      </c>
      <c r="C295" s="352" t="str">
        <f>'Reference Score Calculation'!D287</f>
        <v>中文(榮譽)文學士</v>
      </c>
      <c r="D295" s="352" t="str">
        <f>'Reference Score Calculation'!T287</f>
        <v>BA (Hons) Chinese</v>
      </c>
      <c r="E295" s="352" t="str">
        <f>'Reference Score Calculation'!E287</f>
        <v>Best 5</v>
      </c>
      <c r="F295" s="357" t="str">
        <f>'Reference Score Calculation'!F287</f>
        <v>/</v>
      </c>
      <c r="G295" s="357">
        <f>'Reference Score Calculation'!G287</f>
        <v>25.000000000244999</v>
      </c>
      <c r="H295" s="357">
        <f>'Reference Score Calculation'!H287</f>
        <v>24.500000000204999</v>
      </c>
      <c r="I295" s="357">
        <f>計分版!H308</f>
        <v>3.9500000000000006E-9</v>
      </c>
      <c r="J295" s="352">
        <f>入學要求!C296</f>
        <v>45</v>
      </c>
      <c r="K295" s="352">
        <f>IFERROR(INDEX('Offer Statistics'!$DS$41:$DS$58,MATCH('A123'!A295,('Offer Statistics'!$DD$41:$DD$58),0)),"/")</f>
        <v>58</v>
      </c>
      <c r="L295" s="386">
        <f>IFERROR(INDEX('Offer Statistics'!$DF$41:$DF$58,MATCH(A295,('Offer Statistics'!$DD$41:$DD$58),0))/INDEX('Offer Statistics'!$DN$41:$DN$58,MATCH(A295,('Offer Statistics'!$DD$41:$DD$58),0)),"新科目")</f>
        <v>6.8035714285714288</v>
      </c>
      <c r="M295" s="352">
        <f>入學要求!R296</f>
        <v>0</v>
      </c>
    </row>
    <row r="296" spans="1:13" x14ac:dyDescent="0.3">
      <c r="A296" s="352" t="str">
        <f>'Reference Score Calculation'!A288</f>
        <v>JS7123</v>
      </c>
      <c r="B296" s="352" t="str">
        <f>'Reference Score Calculation'!B288</f>
        <v>LingU</v>
      </c>
      <c r="C296" s="352" t="str">
        <f>'Reference Score Calculation'!D288</f>
        <v>環球可持續發展(榮譽)博雅學士</v>
      </c>
      <c r="D296" s="352" t="str">
        <f>'Reference Score Calculation'!T288</f>
        <v>BLA (Hons) GDS</v>
      </c>
      <c r="E296" s="352" t="str">
        <f>'Reference Score Calculation'!E288</f>
        <v>Best 5</v>
      </c>
      <c r="F296" s="357" t="str">
        <f>'Reference Score Calculation'!F288</f>
        <v>/</v>
      </c>
      <c r="G296" s="357">
        <f>'Reference Score Calculation'!G288</f>
        <v>25.000000000209997</v>
      </c>
      <c r="H296" s="357">
        <f>'Reference Score Calculation'!H288</f>
        <v>24.000000000209997</v>
      </c>
      <c r="I296" s="357">
        <f>計分版!H309</f>
        <v>3.3500000000000002E-9</v>
      </c>
      <c r="J296" s="352">
        <f>入學要求!C297</f>
        <v>20</v>
      </c>
      <c r="K296" s="352">
        <f>IFERROR(INDEX('Offer Statistics'!$DS$41:$DS$58,MATCH('A123'!A296,('Offer Statistics'!$DD$41:$DD$58),0)),"/")</f>
        <v>12</v>
      </c>
      <c r="L296" s="386">
        <f>IFERROR(INDEX('Offer Statistics'!$DF$41:$DF$58,MATCH(A296,('Offer Statistics'!$DD$41:$DD$58),0))/INDEX('Offer Statistics'!$DN$41:$DN$58,MATCH(A296,('Offer Statistics'!$DD$41:$DD$58),0)),"新科目")</f>
        <v>10.7</v>
      </c>
      <c r="M296" s="352">
        <f>入學要求!R297</f>
        <v>0</v>
      </c>
    </row>
    <row r="297" spans="1:13" x14ac:dyDescent="0.3">
      <c r="A297" s="352" t="str">
        <f>'Reference Score Calculation'!A289</f>
        <v>JS7133</v>
      </c>
      <c r="B297" s="352" t="str">
        <f>'Reference Score Calculation'!B289</f>
        <v>LingU</v>
      </c>
      <c r="C297" s="352" t="str">
        <f>'Reference Score Calculation'!D289</f>
        <v>動畫及數碼藝術(榮譽)文學士</v>
      </c>
      <c r="D297" s="352" t="str">
        <f>'Reference Score Calculation'!T289</f>
        <v>BA (Hons) ADA</v>
      </c>
      <c r="E297" s="352" t="str">
        <f>'Reference Score Calculation'!E289</f>
        <v>2022年新科目</v>
      </c>
      <c r="F297" s="357" t="str">
        <f>'Reference Score Calculation'!F289</f>
        <v>/</v>
      </c>
      <c r="G297" s="357" t="str">
        <f>'Reference Score Calculation'!G289</f>
        <v>/</v>
      </c>
      <c r="H297" s="357" t="str">
        <f>'Reference Score Calculation'!H289</f>
        <v>/</v>
      </c>
      <c r="I297" s="357">
        <f>計分版!H310</f>
        <v>3.9500000000000006E-9</v>
      </c>
      <c r="J297" s="352">
        <f>入學要求!C298</f>
        <v>15</v>
      </c>
      <c r="K297" s="352" t="str">
        <f>IFERROR(INDEX('Offer Statistics'!$DS$41:$DS$58,MATCH('A123'!A297,('Offer Statistics'!$DD$41:$DD$58),0)),"/")</f>
        <v>/</v>
      </c>
      <c r="L297" s="386" t="str">
        <f>IFERROR(INDEX('Offer Statistics'!$DF$41:$DF$58,MATCH(A297,('Offer Statistics'!$DD$41:$DD$58),0))/INDEX('Offer Statistics'!$DN$41:$DN$58,MATCH(A297,('Offer Statistics'!$DD$41:$DD$58),0)),"新科目")</f>
        <v>新科目</v>
      </c>
      <c r="M297" s="352">
        <f>入學要求!R298</f>
        <v>0</v>
      </c>
    </row>
    <row r="298" spans="1:13" x14ac:dyDescent="0.3">
      <c r="A298" s="352" t="str">
        <f>'Reference Score Calculation'!A290</f>
        <v>JS7200</v>
      </c>
      <c r="B298" s="352" t="str">
        <f>'Reference Score Calculation'!B290</f>
        <v>LingU</v>
      </c>
      <c r="C298" s="352" t="str">
        <f>'Reference Score Calculation'!D290</f>
        <v>工商管理(榮譽)學士</v>
      </c>
      <c r="D298" s="352" t="str">
        <f>'Reference Score Calculation'!T290</f>
        <v>BBA (Hons)</v>
      </c>
      <c r="E298" s="352" t="str">
        <f>'Reference Score Calculation'!E290</f>
        <v>Best 5</v>
      </c>
      <c r="F298" s="357" t="str">
        <f>'Reference Score Calculation'!F290</f>
        <v>/</v>
      </c>
      <c r="G298" s="357">
        <f>'Reference Score Calculation'!G290</f>
        <v>23.000000000204999</v>
      </c>
      <c r="H298" s="357">
        <f>'Reference Score Calculation'!H290</f>
        <v>22.500000000255</v>
      </c>
      <c r="I298" s="357">
        <f>計分版!H311</f>
        <v>3.9500000000000006E-9</v>
      </c>
      <c r="J298" s="352">
        <f>入學要求!C299</f>
        <v>144</v>
      </c>
      <c r="K298" s="352">
        <f>IFERROR(INDEX('Offer Statistics'!$DS$41:$DS$58,MATCH('A123'!A298,('Offer Statistics'!$DD$41:$DD$58),0)),"/")</f>
        <v>200</v>
      </c>
      <c r="L298" s="386">
        <f>IFERROR(INDEX('Offer Statistics'!$DF$41:$DF$58,MATCH(A298,('Offer Statistics'!$DD$41:$DD$58),0))/INDEX('Offer Statistics'!$DN$41:$DN$58,MATCH(A298,('Offer Statistics'!$DD$41:$DD$58),0)),"新科目")</f>
        <v>5.6428571428571432</v>
      </c>
      <c r="M298" s="352">
        <f>入學要求!R299</f>
        <v>0</v>
      </c>
    </row>
    <row r="299" spans="1:13" x14ac:dyDescent="0.3">
      <c r="A299" s="352" t="str">
        <f>'Reference Score Calculation'!A291</f>
        <v>JS7204</v>
      </c>
      <c r="B299" s="352" t="str">
        <f>'Reference Score Calculation'!B291</f>
        <v>LingU</v>
      </c>
      <c r="C299" s="352" t="str">
        <f>'Reference Score Calculation'!D291</f>
        <v>翻譯、跨文化研究及企業傳訊(榮譽)文學士</v>
      </c>
      <c r="D299" s="352" t="str">
        <f>'Reference Score Calculation'!T291</f>
        <v>BA (Hons) Trans, CS &amp; CC</v>
      </c>
      <c r="E299" s="352" t="str">
        <f>'Reference Score Calculation'!E291</f>
        <v>Best 5</v>
      </c>
      <c r="F299" s="357" t="str">
        <f>'Reference Score Calculation'!F291</f>
        <v>/</v>
      </c>
      <c r="G299" s="357">
        <f>'Reference Score Calculation'!G291</f>
        <v>25.500000000224997</v>
      </c>
      <c r="H299" s="357">
        <f>'Reference Score Calculation'!H291</f>
        <v>24.500000000259998</v>
      </c>
      <c r="I299" s="357">
        <f>計分版!H312</f>
        <v>3.9500000000000006E-9</v>
      </c>
      <c r="J299" s="352">
        <f>入學要求!C300</f>
        <v>38</v>
      </c>
      <c r="K299" s="352">
        <f>IFERROR(INDEX('Offer Statistics'!$DS$41:$DS$58,MATCH('A123'!A299,('Offer Statistics'!$DD$41:$DD$58),0)),"/")</f>
        <v>48</v>
      </c>
      <c r="L299" s="386">
        <f>IFERROR(INDEX('Offer Statistics'!$DF$41:$DF$58,MATCH(A299,('Offer Statistics'!$DD$41:$DD$58),0))/INDEX('Offer Statistics'!$DN$41:$DN$58,MATCH(A299,('Offer Statistics'!$DD$41:$DD$58),0)),"新科目")</f>
        <v>5.0270270270270272</v>
      </c>
      <c r="M299" s="352">
        <f>入學要求!R300</f>
        <v>0</v>
      </c>
    </row>
    <row r="300" spans="1:13" x14ac:dyDescent="0.3">
      <c r="A300" s="352" t="str">
        <f>'Reference Score Calculation'!A292</f>
        <v>JS7216</v>
      </c>
      <c r="B300" s="352" t="str">
        <f>'Reference Score Calculation'!B292</f>
        <v>LingU</v>
      </c>
      <c r="C300" s="352" t="str">
        <f>'Reference Score Calculation'!D292</f>
        <v>工商管理(榮譽)學士 - 風險及保險管理</v>
      </c>
      <c r="D300" s="352" t="str">
        <f>'Reference Score Calculation'!T292</f>
        <v>BBA (Hons) - RIM</v>
      </c>
      <c r="E300" s="352" t="str">
        <f>'Reference Score Calculation'!E292</f>
        <v>Best 5</v>
      </c>
      <c r="F300" s="357" t="str">
        <f>'Reference Score Calculation'!F292</f>
        <v>/</v>
      </c>
      <c r="G300" s="357">
        <f>'Reference Score Calculation'!G292</f>
        <v>23.500000000204999</v>
      </c>
      <c r="H300" s="357">
        <f>'Reference Score Calculation'!H292</f>
        <v>23.000000000224997</v>
      </c>
      <c r="I300" s="357">
        <f>計分版!H313</f>
        <v>3.9500000000000006E-9</v>
      </c>
      <c r="J300" s="352">
        <f>入學要求!C301</f>
        <v>25</v>
      </c>
      <c r="K300" s="352">
        <f>IFERROR(INDEX('Offer Statistics'!$DS$41:$DS$58,MATCH('A123'!A300,('Offer Statistics'!$DD$41:$DD$58),0)),"/")</f>
        <v>45</v>
      </c>
      <c r="L300" s="386">
        <f>IFERROR(INDEX('Offer Statistics'!$DF$41:$DF$58,MATCH(A300,('Offer Statistics'!$DD$41:$DD$58),0))/INDEX('Offer Statistics'!$DN$41:$DN$58,MATCH(A300,('Offer Statistics'!$DD$41:$DD$58),0)),"新科目")</f>
        <v>7.6944444444444446</v>
      </c>
      <c r="M300" s="352">
        <f>入學要求!R301</f>
        <v>0</v>
      </c>
    </row>
    <row r="301" spans="1:13" x14ac:dyDescent="0.3">
      <c r="A301" s="352" t="str">
        <f>'Reference Score Calculation'!A293</f>
        <v>JS7225</v>
      </c>
      <c r="B301" s="352" t="str">
        <f>'Reference Score Calculation'!B293</f>
        <v>LingU</v>
      </c>
      <c r="C301" s="352" t="str">
        <f>'Reference Score Calculation'!D293</f>
        <v>數據科學(榮譽)理學士</v>
      </c>
      <c r="D301" s="352" t="str">
        <f>'Reference Score Calculation'!T293</f>
        <v>BSc (Hons) Data Science</v>
      </c>
      <c r="E301" s="352" t="str">
        <f>'Reference Score Calculation'!E293</f>
        <v>Best 5</v>
      </c>
      <c r="F301" s="357" t="str">
        <f>'Reference Score Calculation'!F293</f>
        <v>/</v>
      </c>
      <c r="G301" s="357">
        <f>'Reference Score Calculation'!G293</f>
        <v>28.000000000269999</v>
      </c>
      <c r="H301" s="357">
        <f>'Reference Score Calculation'!H293</f>
        <v>26.000000000269996</v>
      </c>
      <c r="I301" s="357">
        <f>計分版!H314</f>
        <v>3.3500000000000002E-9</v>
      </c>
      <c r="J301" s="352">
        <f>入學要求!C302</f>
        <v>25</v>
      </c>
      <c r="K301" s="352">
        <f>IFERROR(INDEX('Offer Statistics'!$DS$41:$DS$58,MATCH('A123'!A301,('Offer Statistics'!$DD$41:$DD$58),0)),"/")</f>
        <v>28</v>
      </c>
      <c r="L301" s="386">
        <f>IFERROR(INDEX('Offer Statistics'!$DF$41:$DF$58,MATCH(A301,('Offer Statistics'!$DD$41:$DD$58),0))/INDEX('Offer Statistics'!$DN$41:$DN$58,MATCH(A301,('Offer Statistics'!$DD$41:$DD$58),0)),"新科目")</f>
        <v>5.5238095238095237</v>
      </c>
      <c r="M301" s="352">
        <f>入學要求!R302</f>
        <v>0</v>
      </c>
    </row>
    <row r="302" spans="1:13" x14ac:dyDescent="0.3">
      <c r="A302" s="352" t="str">
        <f>'Reference Score Calculation'!A294</f>
        <v>JS7301</v>
      </c>
      <c r="B302" s="352" t="str">
        <f>'Reference Score Calculation'!B294</f>
        <v>LingU</v>
      </c>
      <c r="C302" s="352" t="str">
        <f>'Reference Score Calculation'!D294</f>
        <v>社會科學(榮譽)學士 - 經濟學</v>
      </c>
      <c r="D302" s="352" t="str">
        <f>'Reference Score Calculation'!T294</f>
        <v>BSocSc (Hons) Economics</v>
      </c>
      <c r="E302" s="352" t="str">
        <f>'Reference Score Calculation'!E294</f>
        <v>2022年新科目</v>
      </c>
      <c r="F302" s="357" t="str">
        <f>'Reference Score Calculation'!F294</f>
        <v>/</v>
      </c>
      <c r="G302" s="357">
        <f>'Reference Score Calculation'!G294</f>
        <v>25.500000000214996</v>
      </c>
      <c r="H302" s="357">
        <f>'Reference Score Calculation'!H294</f>
        <v>24.500000000274998</v>
      </c>
      <c r="I302" s="357">
        <f>計分版!H315</f>
        <v>3.3500000000000002E-9</v>
      </c>
      <c r="J302" s="352">
        <f>入學要求!C303</f>
        <v>19</v>
      </c>
      <c r="K302" s="352" t="str">
        <f>IFERROR(INDEX('Offer Statistics'!$DS$41:$DS$58,MATCH('A123'!A302,('Offer Statistics'!$DD$41:$DD$58),0)),"/")</f>
        <v>/</v>
      </c>
      <c r="L302" s="386" t="str">
        <f>IFERROR(INDEX('Offer Statistics'!$DF$41:$DF$58,MATCH(A302,('Offer Statistics'!$DD$41:$DD$58),0))/INDEX('Offer Statistics'!$DN$41:$DN$58,MATCH(A302,('Offer Statistics'!$DD$41:$DD$58),0)),"新科目")</f>
        <v>新科目</v>
      </c>
      <c r="M302" s="352">
        <f>入學要求!R303</f>
        <v>0</v>
      </c>
    </row>
    <row r="303" spans="1:13" x14ac:dyDescent="0.3">
      <c r="A303" s="352" t="str">
        <f>'Reference Score Calculation'!A295</f>
        <v>JS7302</v>
      </c>
      <c r="B303" s="352" t="str">
        <f>'Reference Score Calculation'!B295</f>
        <v>LingU</v>
      </c>
      <c r="C303" s="352" t="str">
        <f>'Reference Score Calculation'!D295</f>
        <v>社會科學(榮譽)學士 - 政府與國際事務學</v>
      </c>
      <c r="D303" s="352" t="str">
        <f>'Reference Score Calculation'!T295</f>
        <v>BSocSc (Hons) Gov't &amp; IA</v>
      </c>
      <c r="E303" s="352" t="str">
        <f>'Reference Score Calculation'!E295</f>
        <v>2022年新科目</v>
      </c>
      <c r="F303" s="357" t="str">
        <f>'Reference Score Calculation'!F295</f>
        <v>/</v>
      </c>
      <c r="G303" s="357">
        <f>'Reference Score Calculation'!G295</f>
        <v>25.500000000214996</v>
      </c>
      <c r="H303" s="357">
        <f>'Reference Score Calculation'!H295</f>
        <v>24.500000000274998</v>
      </c>
      <c r="I303" s="357">
        <f>計分版!H316</f>
        <v>3.3500000000000002E-9</v>
      </c>
      <c r="J303" s="352">
        <f>入學要求!C304</f>
        <v>19</v>
      </c>
      <c r="K303" s="352" t="str">
        <f>IFERROR(INDEX('Offer Statistics'!$DS$41:$DS$58,MATCH('A123'!A303,('Offer Statistics'!$DD$41:$DD$58),0)),"/")</f>
        <v>/</v>
      </c>
      <c r="L303" s="386" t="str">
        <f>IFERROR(INDEX('Offer Statistics'!$DF$41:$DF$58,MATCH(A303,('Offer Statistics'!$DD$41:$DD$58),0))/INDEX('Offer Statistics'!$DN$41:$DN$58,MATCH(A303,('Offer Statistics'!$DD$41:$DD$58),0)),"新科目")</f>
        <v>新科目</v>
      </c>
      <c r="M303" s="352">
        <f>入學要求!R304</f>
        <v>0</v>
      </c>
    </row>
    <row r="304" spans="1:13" x14ac:dyDescent="0.3">
      <c r="A304" s="352" t="str">
        <f>'Reference Score Calculation'!A296</f>
        <v>JS7303</v>
      </c>
      <c r="B304" s="352" t="str">
        <f>'Reference Score Calculation'!B296</f>
        <v>LingU</v>
      </c>
      <c r="C304" s="352" t="str">
        <f>'Reference Score Calculation'!D296</f>
        <v>社會科學(榮譽)學士 - 心理學</v>
      </c>
      <c r="D304" s="352" t="str">
        <f>'Reference Score Calculation'!T296</f>
        <v>BSocSc (Hons) Psychology</v>
      </c>
      <c r="E304" s="352" t="str">
        <f>'Reference Score Calculation'!E296</f>
        <v>2022年新科目</v>
      </c>
      <c r="F304" s="357" t="str">
        <f>'Reference Score Calculation'!F296</f>
        <v>/</v>
      </c>
      <c r="G304" s="357">
        <f>'Reference Score Calculation'!G296</f>
        <v>25.500000000214996</v>
      </c>
      <c r="H304" s="357">
        <f>'Reference Score Calculation'!H296</f>
        <v>24.500000000274998</v>
      </c>
      <c r="I304" s="357">
        <f>計分版!H317</f>
        <v>3.3500000000000002E-9</v>
      </c>
      <c r="J304" s="352">
        <f>入學要求!C305</f>
        <v>20</v>
      </c>
      <c r="K304" s="352" t="str">
        <f>IFERROR(INDEX('Offer Statistics'!$DS$41:$DS$58,MATCH('A123'!A304,('Offer Statistics'!$DD$41:$DD$58),0)),"/")</f>
        <v>/</v>
      </c>
      <c r="L304" s="386" t="str">
        <f>IFERROR(INDEX('Offer Statistics'!$DF$41:$DF$58,MATCH(A304,('Offer Statistics'!$DD$41:$DD$58),0))/INDEX('Offer Statistics'!$DN$41:$DN$58,MATCH(A304,('Offer Statistics'!$DD$41:$DD$58),0)),"新科目")</f>
        <v>新科目</v>
      </c>
      <c r="M304" s="352">
        <f>入學要求!R305</f>
        <v>0</v>
      </c>
    </row>
    <row r="305" spans="1:13" x14ac:dyDescent="0.3">
      <c r="A305" s="352" t="str">
        <f>'Reference Score Calculation'!A297</f>
        <v>JS7304</v>
      </c>
      <c r="B305" s="352" t="str">
        <f>'Reference Score Calculation'!B297</f>
        <v>LingU</v>
      </c>
      <c r="C305" s="352" t="str">
        <f>'Reference Score Calculation'!D297</f>
        <v>社會科學(榮譽)學士 - 社會學</v>
      </c>
      <c r="D305" s="352" t="str">
        <f>'Reference Score Calculation'!T297</f>
        <v>BSocSc (Hons) Sociology</v>
      </c>
      <c r="E305" s="352" t="str">
        <f>'Reference Score Calculation'!E297</f>
        <v>2022年新科目</v>
      </c>
      <c r="F305" s="357" t="str">
        <f>'Reference Score Calculation'!F297</f>
        <v>/</v>
      </c>
      <c r="G305" s="357">
        <f>'Reference Score Calculation'!G297</f>
        <v>25.500000000214996</v>
      </c>
      <c r="H305" s="357">
        <f>'Reference Score Calculation'!H297</f>
        <v>24.500000000274998</v>
      </c>
      <c r="I305" s="357">
        <f>計分版!H318</f>
        <v>3.3500000000000002E-9</v>
      </c>
      <c r="J305" s="352">
        <f>入學要求!C306</f>
        <v>20</v>
      </c>
      <c r="K305" s="352" t="str">
        <f>IFERROR(INDEX('Offer Statistics'!$DS$41:$DS$58,MATCH('A123'!A305,('Offer Statistics'!$DD$41:$DD$58),0)),"/")</f>
        <v>/</v>
      </c>
      <c r="L305" s="386" t="str">
        <f>IFERROR(INDEX('Offer Statistics'!$DF$41:$DF$58,MATCH(A305,('Offer Statistics'!$DD$41:$DD$58),0))/INDEX('Offer Statistics'!$DN$41:$DN$58,MATCH(A305,('Offer Statistics'!$DD$41:$DD$58),0)),"新科目")</f>
        <v>新科目</v>
      </c>
      <c r="M305" s="352">
        <f>入學要求!R306</f>
        <v>0</v>
      </c>
    </row>
    <row r="306" spans="1:13" x14ac:dyDescent="0.3">
      <c r="A306" s="352" t="str">
        <f>'Reference Score Calculation'!A298</f>
        <v>JS7305</v>
      </c>
      <c r="B306" s="352" t="str">
        <f>'Reference Score Calculation'!B298</f>
        <v>LingU</v>
      </c>
      <c r="C306" s="352" t="str">
        <f>'Reference Score Calculation'!D298</f>
        <v>社會科學(榮譽)學士 - 健康及社會服務管理</v>
      </c>
      <c r="D306" s="352" t="str">
        <f>'Reference Score Calculation'!T298</f>
        <v>BSocSc (Hons) HSSM</v>
      </c>
      <c r="E306" s="352" t="str">
        <f>'Reference Score Calculation'!E298</f>
        <v>2022年新科目</v>
      </c>
      <c r="F306" s="357" t="str">
        <f>'Reference Score Calculation'!F298</f>
        <v>/</v>
      </c>
      <c r="G306" s="357">
        <f>'Reference Score Calculation'!G298</f>
        <v>25.500000000214996</v>
      </c>
      <c r="H306" s="357">
        <f>'Reference Score Calculation'!H298</f>
        <v>24.500000000274998</v>
      </c>
      <c r="I306" s="357">
        <f>計分版!H319</f>
        <v>3.3500000000000002E-9</v>
      </c>
      <c r="J306" s="352">
        <f>入學要求!C307</f>
        <v>15</v>
      </c>
      <c r="K306" s="352" t="str">
        <f>IFERROR(INDEX('Offer Statistics'!$DS$41:$DS$58,MATCH('A123'!A306,('Offer Statistics'!$DD$41:$DD$58),0)),"/")</f>
        <v>/</v>
      </c>
      <c r="L306" s="386" t="str">
        <f>IFERROR(INDEX('Offer Statistics'!$DF$41:$DF$58,MATCH(A306,('Offer Statistics'!$DD$41:$DD$58),0))/INDEX('Offer Statistics'!$DN$41:$DN$58,MATCH(A306,('Offer Statistics'!$DD$41:$DD$58),0)),"新科目")</f>
        <v>新科目</v>
      </c>
      <c r="M306" s="352">
        <f>入學要求!R307</f>
        <v>0</v>
      </c>
    </row>
    <row r="307" spans="1:13" s="352" customFormat="1" x14ac:dyDescent="0.3">
      <c r="A307" s="352" t="str">
        <f>'Reference Score Calculation'!A299</f>
        <v>JS7306</v>
      </c>
      <c r="B307" s="352" t="str">
        <f>'Reference Score Calculation'!B299</f>
        <v>LingU</v>
      </c>
      <c r="C307" s="352" t="str">
        <f>'Reference Score Calculation'!D299</f>
        <v>社會科學(榮譽)學士 - 社會與公共政策研究</v>
      </c>
      <c r="D307" s="352" t="str">
        <f>'Reference Score Calculation'!T299</f>
        <v>BSocSc (Hons) SPPS</v>
      </c>
      <c r="E307" s="352" t="str">
        <f>'Reference Score Calculation'!E299</f>
        <v>2022年新科目</v>
      </c>
      <c r="F307" s="357" t="str">
        <f>'Reference Score Calculation'!F299</f>
        <v>/</v>
      </c>
      <c r="G307" s="357">
        <f>'Reference Score Calculation'!G299</f>
        <v>25.500000000214996</v>
      </c>
      <c r="H307" s="357">
        <f>'Reference Score Calculation'!H299</f>
        <v>24.500000000274998</v>
      </c>
      <c r="I307" s="357">
        <f>計分版!H320</f>
        <v>3.3500000000000002E-9</v>
      </c>
      <c r="J307" s="352">
        <f>入學要求!C308</f>
        <v>20</v>
      </c>
      <c r="K307" s="352" t="str">
        <f>IFERROR(INDEX('Offer Statistics'!$DS$41:$DS$58,MATCH('A123'!A307,('Offer Statistics'!$DD$41:$DD$58),0)),"/")</f>
        <v>/</v>
      </c>
      <c r="L307" s="386" t="str">
        <f>IFERROR(INDEX('Offer Statistics'!$DF$41:$DF$58,MATCH(A307,('Offer Statistics'!$DD$41:$DD$58),0))/INDEX('Offer Statistics'!$DN$41:$DN$58,MATCH(A307,('Offer Statistics'!$DD$41:$DD$58),0)),"新科目")</f>
        <v>新科目</v>
      </c>
      <c r="M307" s="352">
        <f>入學要求!R308</f>
        <v>0</v>
      </c>
    </row>
    <row r="308" spans="1:13" s="352" customFormat="1" x14ac:dyDescent="0.3">
      <c r="A308" s="352" t="str">
        <f>'Reference Score Calculation'!A300</f>
        <v>JS7503</v>
      </c>
      <c r="B308" s="352" t="str">
        <f>'Reference Score Calculation'!B300</f>
        <v>LingU</v>
      </c>
      <c r="C308" s="352" t="str">
        <f>'Reference Score Calculation'!D300</f>
        <v>當代英語語言文學課程(榮譽)文學士</v>
      </c>
      <c r="D308" s="352" t="str">
        <f>'Reference Score Calculation'!T300</f>
        <v>BA (Hons) Contem English</v>
      </c>
      <c r="E308" s="352" t="str">
        <f>'Reference Score Calculation'!E300</f>
        <v>Best 5</v>
      </c>
      <c r="F308" s="357" t="str">
        <f>'Reference Score Calculation'!F300</f>
        <v>/</v>
      </c>
      <c r="G308" s="357">
        <f>'Reference Score Calculation'!G300</f>
        <v>26.000000000235001</v>
      </c>
      <c r="H308" s="357">
        <f>'Reference Score Calculation'!H300</f>
        <v>25.500000000224997</v>
      </c>
      <c r="I308" s="357">
        <f>計分版!H321</f>
        <v>3.9500000000000006E-9</v>
      </c>
      <c r="J308" s="352">
        <f>入學要求!C309</f>
        <v>19</v>
      </c>
      <c r="K308" s="352">
        <f>IFERROR(INDEX('Offer Statistics'!$DS$41:$DS$58,MATCH('A123'!A308,('Offer Statistics'!$DD$41:$DD$58),0)),"/")</f>
        <v>36</v>
      </c>
      <c r="L308" s="386">
        <f>IFERROR(INDEX('Offer Statistics'!$DF$41:$DF$58,MATCH(A308,('Offer Statistics'!$DD$41:$DD$58),0))/INDEX('Offer Statistics'!$DN$41:$DN$58,MATCH(A308,('Offer Statistics'!$DD$41:$DD$58),0)),"新科目")</f>
        <v>7.04</v>
      </c>
      <c r="M308" s="352">
        <f>入學要求!R309</f>
        <v>0</v>
      </c>
    </row>
    <row r="309" spans="1:13" s="352" customFormat="1" x14ac:dyDescent="0.3">
      <c r="A309" s="352" t="str">
        <f>'Reference Score Calculation'!A301</f>
        <v>JS7606</v>
      </c>
      <c r="B309" s="352" t="str">
        <f>'Reference Score Calculation'!B301</f>
        <v>LingU</v>
      </c>
      <c r="C309" s="352" t="str">
        <f>'Reference Score Calculation'!D301</f>
        <v>文化研究(榮譽)文學士</v>
      </c>
      <c r="D309" s="352" t="str">
        <f>'Reference Score Calculation'!T301</f>
        <v>BA (Hons) Cultural Stud</v>
      </c>
      <c r="E309" s="352" t="str">
        <f>'Reference Score Calculation'!E301</f>
        <v>Best 5</v>
      </c>
      <c r="F309" s="357" t="str">
        <f>'Reference Score Calculation'!F301</f>
        <v>/</v>
      </c>
      <c r="G309" s="357">
        <f>'Reference Score Calculation'!G301</f>
        <v>25.000000000184997</v>
      </c>
      <c r="H309" s="357">
        <f>'Reference Score Calculation'!H301</f>
        <v>24.5</v>
      </c>
      <c r="I309" s="357">
        <f>計分版!H322</f>
        <v>3.9500000000000006E-9</v>
      </c>
      <c r="J309" s="352">
        <f>入學要求!C310</f>
        <v>29</v>
      </c>
      <c r="K309" s="352">
        <f>IFERROR(INDEX('Offer Statistics'!$DS$41:$DS$58,MATCH('A123'!A309,('Offer Statistics'!$DD$41:$DD$58),0)),"/")</f>
        <v>36</v>
      </c>
      <c r="L309" s="386">
        <f>IFERROR(INDEX('Offer Statistics'!$DF$41:$DF$58,MATCH(A309,('Offer Statistics'!$DD$41:$DD$58),0))/INDEX('Offer Statistics'!$DN$41:$DN$58,MATCH(A309,('Offer Statistics'!$DD$41:$DD$58),0)),"新科目")</f>
        <v>7.2666666666666666</v>
      </c>
      <c r="M309" s="352">
        <f>入學要求!R310</f>
        <v>0</v>
      </c>
    </row>
    <row r="310" spans="1:13" s="352" customFormat="1" x14ac:dyDescent="0.3">
      <c r="A310" s="352" t="str">
        <f>'Reference Score Calculation'!A302</f>
        <v>JS7709</v>
      </c>
      <c r="B310" s="352" t="str">
        <f>'Reference Score Calculation'!B302</f>
        <v>LingU</v>
      </c>
      <c r="C310" s="352" t="str">
        <f>'Reference Score Calculation'!D302</f>
        <v>歷史(榮譽)文學士</v>
      </c>
      <c r="D310" s="352" t="str">
        <f>'Reference Score Calculation'!T302</f>
        <v>BA (Hons) History</v>
      </c>
      <c r="E310" s="352" t="str">
        <f>'Reference Score Calculation'!E302</f>
        <v>Best 5</v>
      </c>
      <c r="F310" s="357" t="str">
        <f>'Reference Score Calculation'!F302</f>
        <v>/</v>
      </c>
      <c r="G310" s="357">
        <f>'Reference Score Calculation'!G302</f>
        <v>25.600000000241</v>
      </c>
      <c r="H310" s="357">
        <f>'Reference Score Calculation'!H302</f>
        <v>24.800000000196999</v>
      </c>
      <c r="I310" s="357">
        <f>計分版!H323</f>
        <v>3.9500000000000006E-9</v>
      </c>
      <c r="J310" s="352">
        <f>入學要求!C311</f>
        <v>30</v>
      </c>
      <c r="K310" s="352">
        <f>IFERROR(INDEX('Offer Statistics'!$DS$41:$DS$58,MATCH('A123'!A310,('Offer Statistics'!$DD$41:$DD$58),0)),"/")</f>
        <v>41</v>
      </c>
      <c r="L310" s="386">
        <f>IFERROR(INDEX('Offer Statistics'!$DF$41:$DF$58,MATCH(A310,('Offer Statistics'!$DD$41:$DD$58),0))/INDEX('Offer Statistics'!$DN$41:$DN$58,MATCH(A310,('Offer Statistics'!$DD$41:$DD$58),0)),"新科目")</f>
        <v>9.8857142857142861</v>
      </c>
      <c r="M310" s="352">
        <f>入學要求!R311</f>
        <v>0</v>
      </c>
    </row>
    <row r="311" spans="1:13" s="352" customFormat="1" x14ac:dyDescent="0.3">
      <c r="A311" s="352" t="str">
        <f>'Reference Score Calculation'!A303</f>
        <v>JS7802</v>
      </c>
      <c r="B311" s="352" t="str">
        <f>'Reference Score Calculation'!B303</f>
        <v>LingU</v>
      </c>
      <c r="C311" s="352" t="str">
        <f>'Reference Score Calculation'!D303</f>
        <v>哲學(榮譽)文學士</v>
      </c>
      <c r="D311" s="352" t="str">
        <f>'Reference Score Calculation'!T303</f>
        <v>BA (Hons) Philosophy</v>
      </c>
      <c r="E311" s="352" t="str">
        <f>'Reference Score Calculation'!E303</f>
        <v>Best 5</v>
      </c>
      <c r="F311" s="357" t="str">
        <f>'Reference Score Calculation'!F303</f>
        <v>/</v>
      </c>
      <c r="G311" s="357">
        <f>'Reference Score Calculation'!G303</f>
        <v>26.000000000229999</v>
      </c>
      <c r="H311" s="357">
        <f>'Reference Score Calculation'!H303</f>
        <v>25.500000000199996</v>
      </c>
      <c r="I311" s="357">
        <f>計分版!H324</f>
        <v>3.9500000000000006E-9</v>
      </c>
      <c r="J311" s="352">
        <f>入學要求!C312</f>
        <v>29</v>
      </c>
      <c r="K311" s="352">
        <f>IFERROR(INDEX('Offer Statistics'!$DS$41:$DS$58,MATCH('A123'!A311,('Offer Statistics'!$DD$41:$DD$58),0)),"/")</f>
        <v>39</v>
      </c>
      <c r="L311" s="386">
        <f>IFERROR(INDEX('Offer Statistics'!$DF$41:$DF$58,MATCH(A311,('Offer Statistics'!$DD$41:$DD$58),0))/INDEX('Offer Statistics'!$DN$41:$DN$58,MATCH(A311,('Offer Statistics'!$DD$41:$DD$58),0)),"新科目")</f>
        <v>7.5714285714285712</v>
      </c>
      <c r="M311" s="352">
        <f>入學要求!R312</f>
        <v>0</v>
      </c>
    </row>
    <row r="312" spans="1:13" s="352" customFormat="1" x14ac:dyDescent="0.3">
      <c r="A312" s="352" t="str">
        <f>'Reference Score Calculation'!A304</f>
        <v>JS7905</v>
      </c>
      <c r="B312" s="352" t="str">
        <f>'Reference Score Calculation'!B304</f>
        <v>LingU</v>
      </c>
      <c r="C312" s="352" t="str">
        <f>'Reference Score Calculation'!D304</f>
        <v>視覺研究(榮譽)文學士</v>
      </c>
      <c r="D312" s="352" t="str">
        <f>'Reference Score Calculation'!T304</f>
        <v>BA (Hons) Visual Studies</v>
      </c>
      <c r="E312" s="352" t="str">
        <f>'Reference Score Calculation'!E304</f>
        <v>Best 5</v>
      </c>
      <c r="F312" s="357" t="str">
        <f>'Reference Score Calculation'!F304</f>
        <v>/</v>
      </c>
      <c r="G312" s="357">
        <f>'Reference Score Calculation'!G304</f>
        <v>24.000000000184997</v>
      </c>
      <c r="H312" s="357">
        <f>'Reference Score Calculation'!H304</f>
        <v>23.000000000194998</v>
      </c>
      <c r="I312" s="357">
        <f>計分版!H325</f>
        <v>3.9500000000000006E-9</v>
      </c>
      <c r="J312" s="352">
        <f>入學要求!C313</f>
        <v>21</v>
      </c>
      <c r="K312" s="352">
        <f>IFERROR(INDEX('Offer Statistics'!$DS$41:$DS$58,MATCH('A123'!A312,('Offer Statistics'!$DD$41:$DD$58),0)),"/")</f>
        <v>41</v>
      </c>
      <c r="L312" s="386">
        <f>IFERROR(INDEX('Offer Statistics'!$DF$41:$DF$58,MATCH(A312,('Offer Statistics'!$DD$41:$DD$58),0))/INDEX('Offer Statistics'!$DN$41:$DN$58,MATCH(A312,('Offer Statistics'!$DD$41:$DD$58),0)),"新科目")</f>
        <v>9.375</v>
      </c>
      <c r="M312" s="352">
        <f>入學要求!R313</f>
        <v>0</v>
      </c>
    </row>
    <row r="313" spans="1:13" x14ac:dyDescent="0.3">
      <c r="D313" s="13"/>
      <c r="E313" s="38"/>
      <c r="M313" s="352">
        <f>入學要求!R314</f>
        <v>0</v>
      </c>
    </row>
    <row r="314" spans="1:13" x14ac:dyDescent="0.3">
      <c r="D314" s="13"/>
      <c r="E314" s="38"/>
      <c r="F314" s="87" t="s">
        <v>2021</v>
      </c>
      <c r="G314" s="87" t="s">
        <v>2377</v>
      </c>
      <c r="H314" s="87" t="s">
        <v>2547</v>
      </c>
      <c r="I314" s="20" t="str">
        <f>計分版!H327</f>
        <v>總分</v>
      </c>
      <c r="M314" s="352">
        <f>入學要求!R315</f>
        <v>0</v>
      </c>
    </row>
    <row r="315" spans="1:13" x14ac:dyDescent="0.3">
      <c r="A315" s="352" t="str">
        <f>'Reference Score Calculation'!A307</f>
        <v>JS8105</v>
      </c>
      <c r="B315" s="352" t="str">
        <f>'Reference Score Calculation'!B307</f>
        <v>EdUHK</v>
      </c>
      <c r="C315" s="352" t="str">
        <f>'Reference Score Calculation'!D307</f>
        <v>中國語文教育榮譽學士</v>
      </c>
      <c r="D315" s="352" t="str">
        <f>'Reference Score Calculation'!T307</f>
        <v>BEd(CHI)</v>
      </c>
      <c r="E315" s="352" t="str">
        <f>'Reference Score Calculation'!E307</f>
        <v>Best 5</v>
      </c>
      <c r="F315" s="357" t="str">
        <f>'Reference Score Calculation'!F307</f>
        <v>/</v>
      </c>
      <c r="G315" s="357" t="str">
        <f>'Reference Score Calculation'!G307</f>
        <v>/</v>
      </c>
      <c r="H315" s="357">
        <f>'Reference Score Calculation'!H307</f>
        <v>21</v>
      </c>
      <c r="I315" s="357">
        <f>計分版!H328</f>
        <v>3.9500000000000006E-9</v>
      </c>
      <c r="J315" s="352">
        <f>入學要求!C316</f>
        <v>75</v>
      </c>
      <c r="K315" s="352">
        <f>IFERROR(INDEX('Offer Statistics'!$EK$74:$EK$97,MATCH('A123'!A315,('Offer Statistics'!$DV$74:$DV$97),0)),"/")</f>
        <v>61</v>
      </c>
      <c r="L315" s="386">
        <f>IFERROR(INDEX('Offer Statistics'!$DX$74:$DX$97,MATCH(A315,('Offer Statistics'!$DV$74:$DV$97),0))/INDEX('Offer Statistics'!$EF$74:$EF$97,MATCH(A315,('Offer Statistics'!$DV$74:$DV$97),0)),"新科目")</f>
        <v>9.1967213114754092</v>
      </c>
      <c r="M315" s="352">
        <f>入學要求!R316</f>
        <v>0</v>
      </c>
    </row>
    <row r="316" spans="1:13" x14ac:dyDescent="0.3">
      <c r="A316" s="352" t="str">
        <f>'Reference Score Calculation'!A308</f>
        <v>JS8222</v>
      </c>
      <c r="B316" s="352" t="str">
        <f>'Reference Score Calculation'!B308</f>
        <v>EdUHK</v>
      </c>
      <c r="C316" s="352" t="str">
        <f>'Reference Score Calculation'!D308</f>
        <v>英國語文教育榮譽學士 — 小學</v>
      </c>
      <c r="D316" s="352" t="str">
        <f>'Reference Score Calculation'!T308</f>
        <v>BEd(ENG)-Pri</v>
      </c>
      <c r="E316" s="352" t="str">
        <f>'Reference Score Calculation'!E308</f>
        <v>Best 5</v>
      </c>
      <c r="F316" s="357" t="str">
        <f>'Reference Score Calculation'!F308</f>
        <v>/</v>
      </c>
      <c r="G316" s="357" t="str">
        <f>'Reference Score Calculation'!G308</f>
        <v>/</v>
      </c>
      <c r="H316" s="357">
        <f>'Reference Score Calculation'!H308</f>
        <v>21</v>
      </c>
      <c r="I316" s="357">
        <f>計分版!H329</f>
        <v>3.9500000000000006E-9</v>
      </c>
      <c r="J316" s="352">
        <f>入學要求!C317</f>
        <v>18</v>
      </c>
      <c r="K316" s="352">
        <f>IFERROR(INDEX('Offer Statistics'!$EK$74:$EK$97,MATCH('A123'!A316,('Offer Statistics'!$DV$74:$DV$97),0)),"/")</f>
        <v>15</v>
      </c>
      <c r="L316" s="386">
        <f>IFERROR(INDEX('Offer Statistics'!$DX$74:$DX$97,MATCH(A316,('Offer Statistics'!$DV$74:$DV$97),0))/INDEX('Offer Statistics'!$EF$74:$EF$97,MATCH(A316,('Offer Statistics'!$DV$74:$DV$97),0)),"新科目")</f>
        <v>13.066666666666666</v>
      </c>
      <c r="M316" s="352">
        <f>入學要求!R317</f>
        <v>0</v>
      </c>
    </row>
    <row r="317" spans="1:13" x14ac:dyDescent="0.3">
      <c r="A317" s="352" t="str">
        <f>'Reference Score Calculation'!A309</f>
        <v>JS8234</v>
      </c>
      <c r="B317" s="352" t="str">
        <f>'Reference Score Calculation'!B309</f>
        <v>EdUHK</v>
      </c>
      <c r="C317" s="352" t="str">
        <f>'Reference Score Calculation'!D309</f>
        <v>小學教育榮譽學士 - 常識</v>
      </c>
      <c r="D317" s="352" t="str">
        <f>'Reference Score Calculation'!T309</f>
        <v>BEd(P)-GS</v>
      </c>
      <c r="E317" s="352" t="str">
        <f>'Reference Score Calculation'!E309</f>
        <v>Best 5</v>
      </c>
      <c r="F317" s="357" t="str">
        <f>'Reference Score Calculation'!F309</f>
        <v>/</v>
      </c>
      <c r="G317" s="357" t="str">
        <f>'Reference Score Calculation'!G309</f>
        <v>/</v>
      </c>
      <c r="H317" s="357">
        <f>'Reference Score Calculation'!H309</f>
        <v>20</v>
      </c>
      <c r="I317" s="357">
        <f>計分版!H330</f>
        <v>3.9500000000000006E-9</v>
      </c>
      <c r="J317" s="352">
        <f>入學要求!C318</f>
        <v>39</v>
      </c>
      <c r="K317" s="352">
        <f>IFERROR(INDEX('Offer Statistics'!$EK$74:$EK$97,MATCH('A123'!A317,('Offer Statistics'!$DV$74:$DV$97),0)),"/")</f>
        <v>42</v>
      </c>
      <c r="L317" s="386">
        <f>IFERROR(INDEX('Offer Statistics'!$DX$74:$DX$97,MATCH(A317,('Offer Statistics'!$DV$74:$DV$97),0))/INDEX('Offer Statistics'!$EF$74:$EF$97,MATCH(A317,('Offer Statistics'!$DV$74:$DV$97),0)),"新科目")</f>
        <v>20.179487179487179</v>
      </c>
      <c r="M317" s="352">
        <f>入學要求!R318</f>
        <v>0</v>
      </c>
    </row>
    <row r="318" spans="1:13" x14ac:dyDescent="0.3">
      <c r="A318" s="352" t="str">
        <f>'Reference Score Calculation'!A310</f>
        <v>JS8246</v>
      </c>
      <c r="B318" s="352" t="str">
        <f>'Reference Score Calculation'!B310</f>
        <v>EdUHK</v>
      </c>
      <c r="C318" s="352" t="str">
        <f>'Reference Score Calculation'!D310</f>
        <v>小學教育榮譽學士 - 數學</v>
      </c>
      <c r="D318" s="352" t="str">
        <f>'Reference Score Calculation'!T310</f>
        <v>BEd(P)-MA</v>
      </c>
      <c r="E318" s="352" t="str">
        <f>'Reference Score Calculation'!E310</f>
        <v>Best 5</v>
      </c>
      <c r="F318" s="357" t="str">
        <f>'Reference Score Calculation'!F310</f>
        <v>/</v>
      </c>
      <c r="G318" s="357" t="str">
        <f>'Reference Score Calculation'!G310</f>
        <v>/</v>
      </c>
      <c r="H318" s="357">
        <f>'Reference Score Calculation'!H310</f>
        <v>21</v>
      </c>
      <c r="I318" s="357">
        <f>計分版!H331</f>
        <v>3.9500000000000006E-9</v>
      </c>
      <c r="J318" s="352">
        <f>入學要求!C319</f>
        <v>63</v>
      </c>
      <c r="K318" s="352">
        <f>IFERROR(INDEX('Offer Statistics'!$EK$74:$EK$97,MATCH('A123'!A318,('Offer Statistics'!$DV$74:$DV$97),0)),"/")</f>
        <v>46</v>
      </c>
      <c r="L318" s="386">
        <f>IFERROR(INDEX('Offer Statistics'!$DX$74:$DX$97,MATCH(A318,('Offer Statistics'!$DV$74:$DV$97),0))/INDEX('Offer Statistics'!$EF$74:$EF$97,MATCH(A318,('Offer Statistics'!$DV$74:$DV$97),0)),"新科目")</f>
        <v>9.1521739130434785</v>
      </c>
      <c r="M318" s="352">
        <f>入學要求!R319</f>
        <v>0</v>
      </c>
    </row>
    <row r="319" spans="1:13" x14ac:dyDescent="0.3">
      <c r="A319" s="352" t="str">
        <f>'Reference Score Calculation'!A311</f>
        <v>JS8325</v>
      </c>
      <c r="B319" s="352" t="str">
        <f>'Reference Score Calculation'!B311</f>
        <v>EdUHK</v>
      </c>
      <c r="C319" s="352" t="str">
        <f>'Reference Score Calculation'!D311</f>
        <v>體育教育榮譽學士</v>
      </c>
      <c r="D319" s="352" t="str">
        <f>'Reference Score Calculation'!T311</f>
        <v>BEd(PE)</v>
      </c>
      <c r="E319" s="352" t="str">
        <f>'Reference Score Calculation'!E311</f>
        <v>Best 5</v>
      </c>
      <c r="F319" s="357" t="str">
        <f>'Reference Score Calculation'!F311</f>
        <v>/</v>
      </c>
      <c r="G319" s="357" t="str">
        <f>'Reference Score Calculation'!G311</f>
        <v>/</v>
      </c>
      <c r="H319" s="357">
        <f>'Reference Score Calculation'!H311</f>
        <v>20</v>
      </c>
      <c r="I319" s="357">
        <f>計分版!H332</f>
        <v>3.9500000000000006E-9</v>
      </c>
      <c r="J319" s="352">
        <f>入學要求!C320</f>
        <v>30</v>
      </c>
      <c r="K319" s="352">
        <f>IFERROR(INDEX('Offer Statistics'!$EK$74:$EK$97,MATCH('A123'!A319,('Offer Statistics'!$DV$74:$DV$97),0)),"/")</f>
        <v>20</v>
      </c>
      <c r="L319" s="386">
        <f>IFERROR(INDEX('Offer Statistics'!$DX$74:$DX$97,MATCH(A319,('Offer Statistics'!$DV$74:$DV$97),0))/INDEX('Offer Statistics'!$EF$74:$EF$97,MATCH(A319,('Offer Statistics'!$DV$74:$DV$97),0)),"新科目")</f>
        <v>40.15</v>
      </c>
      <c r="M319" s="352">
        <f>入學要求!R320</f>
        <v>0</v>
      </c>
    </row>
    <row r="320" spans="1:13" x14ac:dyDescent="0.3">
      <c r="A320" s="352" t="str">
        <f>'Reference Score Calculation'!A312</f>
        <v>JS8361</v>
      </c>
      <c r="B320" s="352" t="str">
        <f>'Reference Score Calculation'!B312</f>
        <v>EdUHK</v>
      </c>
      <c r="C320" s="352" t="str">
        <f>'Reference Score Calculation'!D312</f>
        <v>中學教育榮譽學士 - 資訊及通訊科技</v>
      </c>
      <c r="D320" s="352" t="str">
        <f>'Reference Score Calculation'!T312</f>
        <v>BEd(S)-ICT</v>
      </c>
      <c r="E320" s="352" t="str">
        <f>'Reference Score Calculation'!E312</f>
        <v>Best 5</v>
      </c>
      <c r="F320" s="357" t="str">
        <f>'Reference Score Calculation'!F312</f>
        <v>/</v>
      </c>
      <c r="G320" s="357" t="str">
        <f>'Reference Score Calculation'!G312</f>
        <v>/</v>
      </c>
      <c r="H320" s="357">
        <f>'Reference Score Calculation'!H312</f>
        <v>19</v>
      </c>
      <c r="I320" s="357">
        <f>計分版!H333</f>
        <v>3.9500000000000006E-9</v>
      </c>
      <c r="J320" s="352">
        <f>入學要求!C321</f>
        <v>18</v>
      </c>
      <c r="K320" s="352">
        <f>IFERROR(INDEX('Offer Statistics'!$EK$74:$EK$97,MATCH('A123'!A320,('Offer Statistics'!$DV$74:$DV$97),0)),"/")</f>
        <v>13</v>
      </c>
      <c r="L320" s="386">
        <f>IFERROR(INDEX('Offer Statistics'!$DX$74:$DX$97,MATCH(A320,('Offer Statistics'!$DV$74:$DV$97),0))/INDEX('Offer Statistics'!$EF$74:$EF$97,MATCH(A320,('Offer Statistics'!$DV$74:$DV$97),0)),"新科目")</f>
        <v>15.23076923076923</v>
      </c>
      <c r="M320" s="352">
        <f>入學要求!R321</f>
        <v>0</v>
      </c>
    </row>
    <row r="321" spans="1:13" x14ac:dyDescent="0.3">
      <c r="A321" s="352" t="str">
        <f>'Reference Score Calculation'!A313</f>
        <v>JS8371</v>
      </c>
      <c r="B321" s="352" t="str">
        <f>'Reference Score Calculation'!B313</f>
        <v>EdUHK</v>
      </c>
      <c r="C321" s="352" t="str">
        <f>'Reference Score Calculation'!D313</f>
        <v>企業、會計與財務概論教育榮譽學士</v>
      </c>
      <c r="D321" s="352" t="str">
        <f>'Reference Score Calculation'!T313</f>
        <v>BEd(BAFS)</v>
      </c>
      <c r="E321" s="352" t="str">
        <f>'Reference Score Calculation'!E313</f>
        <v>Best 5</v>
      </c>
      <c r="F321" s="357" t="str">
        <f>'Reference Score Calculation'!F313</f>
        <v>/</v>
      </c>
      <c r="G321" s="357" t="str">
        <f>'Reference Score Calculation'!G313</f>
        <v>/</v>
      </c>
      <c r="H321" s="357">
        <f>'Reference Score Calculation'!H313</f>
        <v>20</v>
      </c>
      <c r="I321" s="357">
        <f>計分版!H334</f>
        <v>3.9500000000000006E-9</v>
      </c>
      <c r="J321" s="352">
        <f>入學要求!C322</f>
        <v>22</v>
      </c>
      <c r="K321" s="352">
        <f>IFERROR(INDEX('Offer Statistics'!$EK$74:$EK$97,MATCH('A123'!A321,('Offer Statistics'!$DV$74:$DV$97),0)),"/")</f>
        <v>20</v>
      </c>
      <c r="L321" s="386">
        <f>IFERROR(INDEX('Offer Statistics'!$DX$74:$DX$97,MATCH(A321,('Offer Statistics'!$DV$74:$DV$97),0))/INDEX('Offer Statistics'!$EF$74:$EF$97,MATCH(A321,('Offer Statistics'!$DV$74:$DV$97),0)),"新科目")</f>
        <v>15.75</v>
      </c>
      <c r="M321" s="352">
        <f>入學要求!R322</f>
        <v>0</v>
      </c>
    </row>
    <row r="322" spans="1:13" x14ac:dyDescent="0.3">
      <c r="A322" s="352" t="str">
        <f>'Reference Score Calculation'!A314</f>
        <v>JS8381</v>
      </c>
      <c r="B322" s="352" t="str">
        <f>'Reference Score Calculation'!B314</f>
        <v>EdUHK</v>
      </c>
      <c r="C322" s="352" t="str">
        <f>'Reference Score Calculation'!D314</f>
        <v>歷史教育榮譽學士</v>
      </c>
      <c r="D322" s="352" t="str">
        <f>'Reference Score Calculation'!T314</f>
        <v>BEd(HIST)</v>
      </c>
      <c r="E322" s="352" t="str">
        <f>'Reference Score Calculation'!E314</f>
        <v>Best 5</v>
      </c>
      <c r="F322" s="357" t="str">
        <f>'Reference Score Calculation'!F314</f>
        <v>/</v>
      </c>
      <c r="G322" s="357" t="str">
        <f>'Reference Score Calculation'!G314</f>
        <v>/</v>
      </c>
      <c r="H322" s="357">
        <f>'Reference Score Calculation'!H314</f>
        <v>21</v>
      </c>
      <c r="I322" s="357">
        <f>計分版!H335</f>
        <v>3.9500000000000006E-9</v>
      </c>
      <c r="J322" s="352">
        <f>入學要求!C323</f>
        <v>10</v>
      </c>
      <c r="K322" s="352">
        <f>IFERROR(INDEX('Offer Statistics'!$EK$74:$EK$97,MATCH('A123'!A322,('Offer Statistics'!$DV$74:$DV$97),0)),"/")</f>
        <v>9</v>
      </c>
      <c r="L322" s="386">
        <f>IFERROR(INDEX('Offer Statistics'!$DX$74:$DX$97,MATCH(A322,('Offer Statistics'!$DV$74:$DV$97),0))/INDEX('Offer Statistics'!$EF$74:$EF$97,MATCH(A322,('Offer Statistics'!$DV$74:$DV$97),0)),"新科目")</f>
        <v>37.333333333333336</v>
      </c>
      <c r="M322" s="352">
        <f>入學要求!R323</f>
        <v>0</v>
      </c>
    </row>
    <row r="323" spans="1:13" x14ac:dyDescent="0.3">
      <c r="A323" s="352" t="str">
        <f>'Reference Score Calculation'!A315</f>
        <v>JS8404</v>
      </c>
      <c r="B323" s="352" t="str">
        <f>'Reference Score Calculation'!B315</f>
        <v>EdUHK</v>
      </c>
      <c r="C323" s="352" t="str">
        <f>'Reference Score Calculation'!D315</f>
        <v>幼兒教育榮譽學士</v>
      </c>
      <c r="D323" s="352" t="str">
        <f>'Reference Score Calculation'!T315</f>
        <v>BEd(ECE)</v>
      </c>
      <c r="E323" s="352" t="str">
        <f>'Reference Score Calculation'!E315</f>
        <v>Best 5</v>
      </c>
      <c r="F323" s="357" t="str">
        <f>'Reference Score Calculation'!F315</f>
        <v>/</v>
      </c>
      <c r="G323" s="357" t="str">
        <f>'Reference Score Calculation'!G315</f>
        <v>/</v>
      </c>
      <c r="H323" s="357">
        <f>'Reference Score Calculation'!H315</f>
        <v>20</v>
      </c>
      <c r="I323" s="357">
        <f>計分版!H336</f>
        <v>3.9500000000000006E-9</v>
      </c>
      <c r="J323" s="352">
        <f>入學要求!C324</f>
        <v>49</v>
      </c>
      <c r="K323" s="352">
        <f>IFERROR(INDEX('Offer Statistics'!$EK$74:$EK$97,MATCH('A123'!A323,('Offer Statistics'!$DV$74:$DV$97),0)),"/")</f>
        <v>51</v>
      </c>
      <c r="L323" s="386">
        <f>IFERROR(INDEX('Offer Statistics'!$DX$74:$DX$97,MATCH(A323,('Offer Statistics'!$DV$74:$DV$97),0))/INDEX('Offer Statistics'!$EF$74:$EF$97,MATCH(A323,('Offer Statistics'!$DV$74:$DV$97),0)),"新科目")</f>
        <v>27.568627450980394</v>
      </c>
      <c r="M323" s="352">
        <f>入學要求!R324</f>
        <v>0</v>
      </c>
    </row>
    <row r="324" spans="1:13" x14ac:dyDescent="0.3">
      <c r="A324" s="352" t="str">
        <f>'Reference Score Calculation'!A316</f>
        <v>JS8428</v>
      </c>
      <c r="B324" s="352" t="str">
        <f>'Reference Score Calculation'!B316</f>
        <v>EdUHK</v>
      </c>
      <c r="C324" s="352" t="str">
        <f>'Reference Score Calculation'!D316</f>
        <v>地理教育榮譽學士</v>
      </c>
      <c r="D324" s="352" t="str">
        <f>'Reference Score Calculation'!T316</f>
        <v>BEd(GEOG)</v>
      </c>
      <c r="E324" s="352" t="str">
        <f>'Reference Score Calculation'!E316</f>
        <v>Best 5</v>
      </c>
      <c r="F324" s="357" t="str">
        <f>'Reference Score Calculation'!F316</f>
        <v>/</v>
      </c>
      <c r="G324" s="357" t="str">
        <f>'Reference Score Calculation'!G316</f>
        <v>/</v>
      </c>
      <c r="H324" s="357">
        <f>'Reference Score Calculation'!H316</f>
        <v>20</v>
      </c>
      <c r="I324" s="357">
        <f>計分版!H337</f>
        <v>3.9500000000000006E-9</v>
      </c>
      <c r="J324" s="352">
        <f>入學要求!C325</f>
        <v>10</v>
      </c>
      <c r="K324" s="352">
        <f>IFERROR(INDEX('Offer Statistics'!$EK$74:$EK$97,MATCH('A123'!A324,('Offer Statistics'!$DV$74:$DV$97),0)),"/")</f>
        <v>12</v>
      </c>
      <c r="L324" s="386">
        <f>IFERROR(INDEX('Offer Statistics'!$DX$74:$DX$97,MATCH(A324,('Offer Statistics'!$DV$74:$DV$97),0))/INDEX('Offer Statistics'!$EF$74:$EF$97,MATCH(A324,('Offer Statistics'!$DV$74:$DV$97),0)),"新科目")</f>
        <v>14.583333333333334</v>
      </c>
      <c r="M324" s="352">
        <f>入學要求!R325</f>
        <v>0</v>
      </c>
    </row>
    <row r="325" spans="1:13" x14ac:dyDescent="0.3">
      <c r="A325" s="352" t="str">
        <f>'Reference Score Calculation'!A317</f>
        <v>JS8430</v>
      </c>
      <c r="B325" s="352" t="str">
        <f>'Reference Score Calculation'!B317</f>
        <v>EdUHK</v>
      </c>
      <c r="C325" s="352" t="str">
        <f>'Reference Score Calculation'!D317</f>
        <v>科學教育榮譽學士</v>
      </c>
      <c r="D325" s="352" t="str">
        <f>'Reference Score Calculation'!T317</f>
        <v>BEd(Science)</v>
      </c>
      <c r="E325" s="352" t="str">
        <f>'Reference Score Calculation'!E317</f>
        <v>Best 5</v>
      </c>
      <c r="F325" s="357" t="str">
        <f>'Reference Score Calculation'!F317</f>
        <v>/</v>
      </c>
      <c r="G325" s="357" t="str">
        <f>'Reference Score Calculation'!G317</f>
        <v>/</v>
      </c>
      <c r="H325" s="357">
        <f>'Reference Score Calculation'!H317</f>
        <v>19</v>
      </c>
      <c r="I325" s="357">
        <f>計分版!H338</f>
        <v>3.9500000000000006E-9</v>
      </c>
      <c r="J325" s="352">
        <f>入學要求!C326</f>
        <v>14</v>
      </c>
      <c r="K325" s="352">
        <f>IFERROR(INDEX('Offer Statistics'!$EK$74:$EK$97,MATCH('A123'!A325,('Offer Statistics'!$DV$74:$DV$97),0)),"/")</f>
        <v>12</v>
      </c>
      <c r="L325" s="386">
        <f>IFERROR(INDEX('Offer Statistics'!$DX$74:$DX$97,MATCH(A325,('Offer Statistics'!$DV$74:$DV$97),0))/INDEX('Offer Statistics'!$EF$74:$EF$97,MATCH(A325,('Offer Statistics'!$DV$74:$DV$97),0)),"新科目")</f>
        <v>14.416666666666666</v>
      </c>
      <c r="M325" s="352">
        <f>入學要求!R326</f>
        <v>0</v>
      </c>
    </row>
    <row r="326" spans="1:13" x14ac:dyDescent="0.3">
      <c r="A326" s="352" t="str">
        <f>'Reference Score Calculation'!A318</f>
        <v>JS8507</v>
      </c>
      <c r="B326" s="352" t="str">
        <f>'Reference Score Calculation'!B318</f>
        <v>EdUHK</v>
      </c>
      <c r="C326" s="352" t="str">
        <f>'Reference Score Calculation'!D318</f>
        <v>幼兒教育高級文憑</v>
      </c>
      <c r="D326" s="352" t="str">
        <f>'Reference Score Calculation'!T318</f>
        <v>HD(ECE)</v>
      </c>
      <c r="E326" s="352" t="str">
        <f>'Reference Score Calculation'!E318</f>
        <v>Best 5</v>
      </c>
      <c r="F326" s="357" t="str">
        <f>'Reference Score Calculation'!F318</f>
        <v>/</v>
      </c>
      <c r="G326" s="357" t="str">
        <f>'Reference Score Calculation'!G318</f>
        <v>/</v>
      </c>
      <c r="H326" s="357" t="str">
        <f>'Reference Score Calculation'!H318</f>
        <v>/</v>
      </c>
      <c r="I326" s="357">
        <f>計分版!H339</f>
        <v>3.9500000000000006E-9</v>
      </c>
      <c r="J326" s="352">
        <f>入學要求!C327</f>
        <v>330</v>
      </c>
      <c r="K326" s="352">
        <f>IFERROR(INDEX('Offer Statistics'!$EK$74:$EK$97,MATCH('A123'!A326,('Offer Statistics'!$DV$74:$DV$97),0)),"/")</f>
        <v>384</v>
      </c>
      <c r="L326" s="386">
        <f>IFERROR(INDEX('Offer Statistics'!$DX$74:$DX$97,MATCH(A326,('Offer Statistics'!$DV$74:$DV$97),0))/INDEX('Offer Statistics'!$EF$74:$EF$97,MATCH(A326,('Offer Statistics'!$DV$74:$DV$97),0)),"新科目")</f>
        <v>6.3887323943661976</v>
      </c>
      <c r="M326" s="352">
        <f>入學要求!R327</f>
        <v>0</v>
      </c>
    </row>
    <row r="327" spans="1:13" x14ac:dyDescent="0.3">
      <c r="A327" s="352" t="str">
        <f>'Reference Score Calculation'!A319</f>
        <v>JS8600</v>
      </c>
      <c r="B327" s="352" t="str">
        <f>'Reference Score Calculation'!B319</f>
        <v>EdUHK</v>
      </c>
      <c r="C327" s="352" t="str">
        <f>'Reference Score Calculation'!D319</f>
        <v>語文研究榮譽文學士 (中文主修)</v>
      </c>
      <c r="D327" s="352" t="str">
        <f>'Reference Score Calculation'!T319</f>
        <v>BA(Lang Studies)-CN</v>
      </c>
      <c r="E327" s="352" t="str">
        <f>'Reference Score Calculation'!E319</f>
        <v>Best 5</v>
      </c>
      <c r="F327" s="357" t="str">
        <f>'Reference Score Calculation'!F319</f>
        <v>/</v>
      </c>
      <c r="G327" s="357" t="str">
        <f>'Reference Score Calculation'!G319</f>
        <v>/</v>
      </c>
      <c r="H327" s="357">
        <f>'Reference Score Calculation'!H319</f>
        <v>20</v>
      </c>
      <c r="I327" s="357">
        <f>計分版!H340</f>
        <v>3.9500000000000006E-9</v>
      </c>
      <c r="J327" s="352">
        <f>入學要求!C328</f>
        <v>16</v>
      </c>
      <c r="K327" s="352">
        <f>IFERROR(INDEX('Offer Statistics'!$EK$74:$EK$97,MATCH('A123'!A327,('Offer Statistics'!$DV$74:$DV$97),0)),"/")</f>
        <v>21</v>
      </c>
      <c r="L327" s="386">
        <f>IFERROR(INDEX('Offer Statistics'!$DX$74:$DX$97,MATCH(A327,('Offer Statistics'!$DV$74:$DV$97),0))/INDEX('Offer Statistics'!$EF$74:$EF$97,MATCH(A327,('Offer Statistics'!$DV$74:$DV$97),0)),"新科目")</f>
        <v>10.368421052631579</v>
      </c>
      <c r="M327" s="352">
        <f>入學要求!R328</f>
        <v>0</v>
      </c>
    </row>
    <row r="328" spans="1:13" x14ac:dyDescent="0.3">
      <c r="A328" s="352" t="str">
        <f>'Reference Score Calculation'!A320</f>
        <v>JS8612</v>
      </c>
      <c r="B328" s="352" t="str">
        <f>'Reference Score Calculation'!B320</f>
        <v>EdUHK</v>
      </c>
      <c r="C328" s="352" t="str">
        <f>'Reference Score Calculation'!D320</f>
        <v>語文研究榮譽文學士 (英文主修)</v>
      </c>
      <c r="D328" s="352" t="str">
        <f>'Reference Score Calculation'!T320</f>
        <v>BA(Lang Studies)-EG</v>
      </c>
      <c r="E328" s="352" t="str">
        <f>'Reference Score Calculation'!E320</f>
        <v>Best 5</v>
      </c>
      <c r="F328" s="357" t="str">
        <f>'Reference Score Calculation'!F320</f>
        <v>/</v>
      </c>
      <c r="G328" s="357" t="str">
        <f>'Reference Score Calculation'!G320</f>
        <v>/</v>
      </c>
      <c r="H328" s="357">
        <f>'Reference Score Calculation'!H320</f>
        <v>19</v>
      </c>
      <c r="I328" s="357">
        <f>計分版!H341</f>
        <v>3.9500000000000006E-9</v>
      </c>
      <c r="J328" s="352">
        <f>入學要求!C329</f>
        <v>16</v>
      </c>
      <c r="K328" s="352">
        <f>IFERROR(INDEX('Offer Statistics'!$EK$74:$EK$97,MATCH('A123'!A328,('Offer Statistics'!$DV$74:$DV$97),0)),"/")</f>
        <v>11</v>
      </c>
      <c r="L328" s="386">
        <f>IFERROR(INDEX('Offer Statistics'!$DX$74:$DX$97,MATCH(A328,('Offer Statistics'!$DV$74:$DV$97),0))/INDEX('Offer Statistics'!$EF$74:$EF$97,MATCH(A328,('Offer Statistics'!$DV$74:$DV$97),0)),"新科目")</f>
        <v>10.1</v>
      </c>
      <c r="M328" s="352">
        <f>入學要求!R329</f>
        <v>0</v>
      </c>
    </row>
    <row r="329" spans="1:13" x14ac:dyDescent="0.3">
      <c r="A329" s="352" t="str">
        <f>'Reference Score Calculation'!A321</f>
        <v>JS8636</v>
      </c>
      <c r="B329" s="352" t="str">
        <f>'Reference Score Calculation'!B321</f>
        <v>EdUHK</v>
      </c>
      <c r="C329" s="352" t="str">
        <f>'Reference Score Calculation'!D321</f>
        <v>創意藝術與文化榮譽文學士 (音樂)</v>
      </c>
      <c r="D329" s="352" t="str">
        <f>'Reference Score Calculation'!T321</f>
        <v>BA(CAC)-MU</v>
      </c>
      <c r="E329" s="352" t="str">
        <f>'Reference Score Calculation'!E321</f>
        <v>Best 5</v>
      </c>
      <c r="F329" s="357" t="str">
        <f>'Reference Score Calculation'!F321</f>
        <v>/</v>
      </c>
      <c r="G329" s="357" t="str">
        <f>'Reference Score Calculation'!G321</f>
        <v>/</v>
      </c>
      <c r="H329" s="357">
        <f>'Reference Score Calculation'!H321</f>
        <v>18</v>
      </c>
      <c r="I329" s="357">
        <f>計分版!H342</f>
        <v>3.9500000000000006E-9</v>
      </c>
      <c r="J329" s="352">
        <f>入學要求!C330</f>
        <v>12</v>
      </c>
      <c r="K329" s="352">
        <f>IFERROR(INDEX('Offer Statistics'!$EK$74:$EK$97,MATCH('A123'!A329,('Offer Statistics'!$DV$74:$DV$97),0)),"/")</f>
        <v>12</v>
      </c>
      <c r="L329" s="386">
        <f>IFERROR(INDEX('Offer Statistics'!$DX$74:$DX$97,MATCH(A329,('Offer Statistics'!$DV$74:$DV$97),0))/INDEX('Offer Statistics'!$EF$74:$EF$97,MATCH(A329,('Offer Statistics'!$DV$74:$DV$97),0)),"新科目")</f>
        <v>14.75</v>
      </c>
      <c r="M329" s="352">
        <f>入學要求!R330</f>
        <v>0</v>
      </c>
    </row>
    <row r="330" spans="1:13" x14ac:dyDescent="0.3">
      <c r="A330" s="352" t="str">
        <f>'Reference Score Calculation'!A322</f>
        <v>JS8648</v>
      </c>
      <c r="B330" s="352" t="str">
        <f>'Reference Score Calculation'!B322</f>
        <v>EdUHK</v>
      </c>
      <c r="C330" s="352" t="str">
        <f>'Reference Score Calculation'!D322</f>
        <v>創意藝術與文化榮譽文學士 (視覺藝術)</v>
      </c>
      <c r="D330" s="352" t="str">
        <f>'Reference Score Calculation'!T322</f>
        <v>BA(CAC)-VA</v>
      </c>
      <c r="E330" s="352" t="str">
        <f>'Reference Score Calculation'!E322</f>
        <v>Best 5</v>
      </c>
      <c r="F330" s="357" t="str">
        <f>'Reference Score Calculation'!F322</f>
        <v>/</v>
      </c>
      <c r="G330" s="357" t="str">
        <f>'Reference Score Calculation'!G322</f>
        <v>/</v>
      </c>
      <c r="H330" s="357">
        <f>'Reference Score Calculation'!H322</f>
        <v>19</v>
      </c>
      <c r="I330" s="357">
        <f>計分版!H343</f>
        <v>3.9500000000000006E-9</v>
      </c>
      <c r="J330" s="352">
        <f>入學要求!C331</f>
        <v>12</v>
      </c>
      <c r="K330" s="352">
        <f>IFERROR(INDEX('Offer Statistics'!$EK$74:$EK$97,MATCH('A123'!A330,('Offer Statistics'!$DV$74:$DV$97),0)),"/")</f>
        <v>16</v>
      </c>
      <c r="L330" s="386">
        <f>IFERROR(INDEX('Offer Statistics'!$DX$74:$DX$97,MATCH(A330,('Offer Statistics'!$DV$74:$DV$97),0))/INDEX('Offer Statistics'!$EF$74:$EF$97,MATCH(A330,('Offer Statistics'!$DV$74:$DV$97),0)),"新科目")</f>
        <v>22.76923076923077</v>
      </c>
      <c r="M330" s="352">
        <f>入學要求!R331</f>
        <v>0</v>
      </c>
    </row>
    <row r="331" spans="1:13" x14ac:dyDescent="0.3">
      <c r="A331" s="352" t="str">
        <f>'Reference Score Calculation'!A323</f>
        <v>JS8651</v>
      </c>
      <c r="B331" s="352" t="str">
        <f>'Reference Score Calculation'!B323</f>
        <v>EdUHK</v>
      </c>
      <c r="C331" s="352" t="str">
        <f>'Reference Score Calculation'!D323</f>
        <v>心理學榮譽社會科學學士</v>
      </c>
      <c r="D331" s="352" t="str">
        <f>'Reference Score Calculation'!T323</f>
        <v>BSocSc(Psy)</v>
      </c>
      <c r="E331" s="352" t="str">
        <f>'Reference Score Calculation'!E323</f>
        <v>Best 5</v>
      </c>
      <c r="F331" s="357" t="str">
        <f>'Reference Score Calculation'!F323</f>
        <v>/</v>
      </c>
      <c r="G331" s="357" t="str">
        <f>'Reference Score Calculation'!G323</f>
        <v>/</v>
      </c>
      <c r="H331" s="357">
        <f>'Reference Score Calculation'!H323</f>
        <v>20</v>
      </c>
      <c r="I331" s="357">
        <f>計分版!H344</f>
        <v>3.9500000000000006E-9</v>
      </c>
      <c r="J331" s="352">
        <f>入學要求!C332</f>
        <v>20</v>
      </c>
      <c r="K331" s="352">
        <f>IFERROR(INDEX('Offer Statistics'!$EK$74:$EK$97,MATCH('A123'!A331,('Offer Statistics'!$DV$74:$DV$97),0)),"/")</f>
        <v>25</v>
      </c>
      <c r="L331" s="386">
        <f>IFERROR(INDEX('Offer Statistics'!$DX$74:$DX$97,MATCH(A331,('Offer Statistics'!$DV$74:$DV$97),0))/INDEX('Offer Statistics'!$EF$74:$EF$97,MATCH(A331,('Offer Statistics'!$DV$74:$DV$97),0)),"新科目")</f>
        <v>23.61904761904762</v>
      </c>
      <c r="M331" s="352">
        <f>入學要求!R332</f>
        <v>0</v>
      </c>
    </row>
    <row r="332" spans="1:13" x14ac:dyDescent="0.3">
      <c r="A332" s="352" t="str">
        <f>'Reference Score Calculation'!A324</f>
        <v>JS8663</v>
      </c>
      <c r="B332" s="352" t="str">
        <f>'Reference Score Calculation'!B324</f>
        <v>EdUHK</v>
      </c>
      <c r="C332" s="352" t="str">
        <f>'Reference Score Calculation'!D324</f>
        <v>特殊教育榮譽文學士</v>
      </c>
      <c r="D332" s="352" t="str">
        <f>'Reference Score Calculation'!T324</f>
        <v>BA(SE)</v>
      </c>
      <c r="E332" s="352" t="str">
        <f>'Reference Score Calculation'!E324</f>
        <v>Best 5</v>
      </c>
      <c r="F332" s="357" t="str">
        <f>'Reference Score Calculation'!F324</f>
        <v>/</v>
      </c>
      <c r="G332" s="357" t="str">
        <f>'Reference Score Calculation'!G324</f>
        <v>/</v>
      </c>
      <c r="H332" s="357">
        <f>'Reference Score Calculation'!H324</f>
        <v>19</v>
      </c>
      <c r="I332" s="357">
        <f>計分版!H345</f>
        <v>3.9500000000000006E-9</v>
      </c>
      <c r="J332" s="352">
        <f>入學要求!C333</f>
        <v>20</v>
      </c>
      <c r="K332" s="352">
        <f>IFERROR(INDEX('Offer Statistics'!$EK$74:$EK$97,MATCH('A123'!A332,('Offer Statistics'!$DV$74:$DV$97),0)),"/")</f>
        <v>21</v>
      </c>
      <c r="L332" s="386">
        <f>IFERROR(INDEX('Offer Statistics'!$DX$74:$DX$97,MATCH(A332,('Offer Statistics'!$DV$74:$DV$97),0))/INDEX('Offer Statistics'!$EF$74:$EF$97,MATCH(A332,('Offer Statistics'!$DV$74:$DV$97),0)),"新科目")</f>
        <v>14.833333333333334</v>
      </c>
      <c r="M332" s="352">
        <f>入學要求!R333</f>
        <v>0</v>
      </c>
    </row>
    <row r="333" spans="1:13" x14ac:dyDescent="0.3">
      <c r="A333" s="352" t="str">
        <f>'Reference Score Calculation'!A325</f>
        <v>JS8702</v>
      </c>
      <c r="B333" s="352" t="str">
        <f>'Reference Score Calculation'!B325</f>
        <v>EdUHK</v>
      </c>
      <c r="C333" s="352" t="str">
        <f>'Reference Score Calculation'!D325</f>
        <v>綜合環境管理榮譽理學士</v>
      </c>
      <c r="D333" s="352" t="str">
        <f>'Reference Score Calculation'!T325</f>
        <v>BSc(IEM)</v>
      </c>
      <c r="E333" s="352" t="str">
        <f>'Reference Score Calculation'!E325</f>
        <v>Best 5</v>
      </c>
      <c r="F333" s="357" t="str">
        <f>'Reference Score Calculation'!F325</f>
        <v>/</v>
      </c>
      <c r="G333" s="357" t="str">
        <f>'Reference Score Calculation'!G325</f>
        <v>/</v>
      </c>
      <c r="H333" s="357" t="str">
        <f>'Reference Score Calculation'!H325</f>
        <v>/</v>
      </c>
      <c r="I333" s="357">
        <f>計分版!H346</f>
        <v>3.9500000000000006E-9</v>
      </c>
      <c r="J333" s="352">
        <f>入學要求!C334</f>
        <v>23</v>
      </c>
      <c r="K333" s="352" t="str">
        <f>IFERROR(INDEX('Offer Statistics'!$EK$74:$EK$97,MATCH('A123'!A333,('Offer Statistics'!$DV$74:$DV$97),0)),"/")</f>
        <v>/</v>
      </c>
      <c r="L333" s="386" t="str">
        <f>IFERROR(INDEX('Offer Statistics'!$DX$74:$DX$97,MATCH(A333,('Offer Statistics'!$DV$74:$DV$97),0))/INDEX('Offer Statistics'!$EF$74:$EF$97,MATCH(A333,('Offer Statistics'!$DV$74:$DV$97),0)),"新科目")</f>
        <v>新科目</v>
      </c>
      <c r="M333" s="352">
        <f>入學要求!R334</f>
        <v>0</v>
      </c>
    </row>
    <row r="334" spans="1:13" x14ac:dyDescent="0.3">
      <c r="A334" s="352" t="str">
        <f>'Reference Score Calculation'!A326</f>
        <v>JS8714</v>
      </c>
      <c r="B334" s="352" t="str">
        <f>'Reference Score Calculation'!B326</f>
        <v>EdUHK</v>
      </c>
      <c r="C334" s="352" t="str">
        <f>'Reference Score Calculation'!D326</f>
        <v>人工智能與教育科技榮譽理學士</v>
      </c>
      <c r="D334" s="352" t="str">
        <f>'Reference Score Calculation'!T326</f>
        <v>BSc(AI&amp;EdTech)</v>
      </c>
      <c r="E334" s="352" t="str">
        <f>'Reference Score Calculation'!E326</f>
        <v>Best 5</v>
      </c>
      <c r="F334" s="357" t="str">
        <f>'Reference Score Calculation'!F326</f>
        <v>/</v>
      </c>
      <c r="G334" s="357" t="str">
        <f>'Reference Score Calculation'!G326</f>
        <v>/</v>
      </c>
      <c r="H334" s="357" t="str">
        <f>'Reference Score Calculation'!H326</f>
        <v>/</v>
      </c>
      <c r="I334" s="357">
        <f>計分版!H347</f>
        <v>3.9500000000000006E-9</v>
      </c>
      <c r="J334" s="352">
        <f>入學要求!C335</f>
        <v>20</v>
      </c>
      <c r="K334" s="352" t="str">
        <f>IFERROR(INDEX('Offer Statistics'!$EK$74:$EK$97,MATCH('A123'!A334,('Offer Statistics'!$DV$74:$DV$97),0)),"/")</f>
        <v>/</v>
      </c>
      <c r="L334" s="386" t="str">
        <f>IFERROR(INDEX('Offer Statistics'!$DX$74:$DX$97,MATCH(A334,('Offer Statistics'!$DV$74:$DV$97),0))/INDEX('Offer Statistics'!$EF$74:$EF$97,MATCH(A334,('Offer Statistics'!$DV$74:$DV$97),0)),"新科目")</f>
        <v>新科目</v>
      </c>
      <c r="M334" s="352">
        <f>入學要求!R335</f>
        <v>0</v>
      </c>
    </row>
    <row r="335" spans="1:13" x14ac:dyDescent="0.3">
      <c r="A335" s="352" t="str">
        <f>'Reference Score Calculation'!A327</f>
        <v>JS8726</v>
      </c>
      <c r="B335" s="352" t="str">
        <f>'Reference Score Calculation'!B327</f>
        <v>EdUHK</v>
      </c>
      <c r="C335" s="352" t="str">
        <f>'Reference Score Calculation'!D327</f>
        <v>運動科學及教練榮譽理學士</v>
      </c>
      <c r="D335" s="352" t="str">
        <f>'Reference Score Calculation'!T327</f>
        <v>BSc(SPSC)</v>
      </c>
      <c r="E335" s="352" t="str">
        <f>'Reference Score Calculation'!E327</f>
        <v>Best 5</v>
      </c>
      <c r="F335" s="357" t="str">
        <f>'Reference Score Calculation'!F327</f>
        <v>/</v>
      </c>
      <c r="G335" s="357" t="str">
        <f>'Reference Score Calculation'!G327</f>
        <v>/</v>
      </c>
      <c r="H335" s="357" t="str">
        <f>'Reference Score Calculation'!H327</f>
        <v>/</v>
      </c>
      <c r="I335" s="357">
        <f>計分版!H348</f>
        <v>3.9500000000000006E-9</v>
      </c>
      <c r="J335" s="352">
        <f>入學要求!C336</f>
        <v>20</v>
      </c>
      <c r="K335" s="352" t="str">
        <f>IFERROR(INDEX('Offer Statistics'!$EK$74:$EK$97,MATCH('A123'!A335,('Offer Statistics'!$DV$74:$DV$97),0)),"/")</f>
        <v>/</v>
      </c>
      <c r="L335" s="386" t="str">
        <f>IFERROR(INDEX('Offer Statistics'!$DX$74:$DX$97,MATCH(A335,('Offer Statistics'!$DV$74:$DV$97),0))/INDEX('Offer Statistics'!$EF$74:$EF$97,MATCH(A335,('Offer Statistics'!$DV$74:$DV$97),0)),"新科目")</f>
        <v>新科目</v>
      </c>
      <c r="M335" s="352">
        <f>入學要求!R336</f>
        <v>0</v>
      </c>
    </row>
    <row r="336" spans="1:13" x14ac:dyDescent="0.3">
      <c r="A336" s="352" t="str">
        <f>'Reference Score Calculation'!A328</f>
        <v>JS8801</v>
      </c>
      <c r="B336" s="352" t="str">
        <f>'Reference Score Calculation'!B328</f>
        <v>EdUHK</v>
      </c>
      <c r="C336" s="352" t="str">
        <f>'Reference Score Calculation'!D328</f>
        <v>創意藝術與文化榮譽文學士及音樂教育榮譽學士 (同期結業雙學位課程)</v>
      </c>
      <c r="D336" s="352" t="str">
        <f>'Reference Score Calculation'!T328</f>
        <v>BA(CAC) &amp; BEd(MU)</v>
      </c>
      <c r="E336" s="352" t="str">
        <f>'Reference Score Calculation'!E328</f>
        <v>Best 5</v>
      </c>
      <c r="F336" s="357" t="str">
        <f>'Reference Score Calculation'!F328</f>
        <v>/</v>
      </c>
      <c r="G336" s="357" t="str">
        <f>'Reference Score Calculation'!G328</f>
        <v>/</v>
      </c>
      <c r="H336" s="357">
        <f>'Reference Score Calculation'!H328</f>
        <v>19</v>
      </c>
      <c r="I336" s="357">
        <f>計分版!H349</f>
        <v>3.9500000000000006E-9</v>
      </c>
      <c r="J336" s="352">
        <f>入學要求!C337</f>
        <v>38</v>
      </c>
      <c r="K336" s="352">
        <f>IFERROR(INDEX('Offer Statistics'!$EK$74:$EK$97,MATCH('A123'!A336,('Offer Statistics'!$DV$74:$DV$97),0)),"/")</f>
        <v>29</v>
      </c>
      <c r="L336" s="386">
        <f>IFERROR(INDEX('Offer Statistics'!$DX$74:$DX$97,MATCH(A336,('Offer Statistics'!$DV$74:$DV$97),0))/INDEX('Offer Statistics'!$EF$74:$EF$97,MATCH(A336,('Offer Statistics'!$DV$74:$DV$97),0)),"新科目")</f>
        <v>5.4827586206896548</v>
      </c>
      <c r="M336" s="352">
        <f>入學要求!R337</f>
        <v>0</v>
      </c>
    </row>
    <row r="337" spans="1:13" x14ac:dyDescent="0.3">
      <c r="A337" s="352" t="str">
        <f>'Reference Score Calculation'!A329</f>
        <v>JS8813</v>
      </c>
      <c r="B337" s="352" t="str">
        <f>'Reference Score Calculation'!B329</f>
        <v>EdUHK</v>
      </c>
      <c r="C337" s="352" t="str">
        <f>'Reference Score Calculation'!D329</f>
        <v>創意藝術與文化榮譽文學士及視覺藝術教育榮譽學士 (同期結業雙學位課程)</v>
      </c>
      <c r="D337" s="352" t="str">
        <f>'Reference Score Calculation'!T329</f>
        <v>BA(CAC) &amp; BEd(VA)</v>
      </c>
      <c r="E337" s="352" t="str">
        <f>'Reference Score Calculation'!E329</f>
        <v>Best 5</v>
      </c>
      <c r="F337" s="357" t="str">
        <f>'Reference Score Calculation'!F329</f>
        <v>/</v>
      </c>
      <c r="G337" s="357" t="str">
        <f>'Reference Score Calculation'!G329</f>
        <v>/</v>
      </c>
      <c r="H337" s="357">
        <f>'Reference Score Calculation'!H329</f>
        <v>20</v>
      </c>
      <c r="I337" s="357">
        <f>計分版!H350</f>
        <v>3.9500000000000006E-9</v>
      </c>
      <c r="J337" s="352">
        <f>入學要求!C338</f>
        <v>38</v>
      </c>
      <c r="K337" s="352">
        <f>IFERROR(INDEX('Offer Statistics'!$EK$74:$EK$97,MATCH('A123'!A337,('Offer Statistics'!$DV$74:$DV$97),0)),"/")</f>
        <v>30</v>
      </c>
      <c r="L337" s="386">
        <f>IFERROR(INDEX('Offer Statistics'!$DX$74:$DX$97,MATCH(A337,('Offer Statistics'!$DV$74:$DV$97),0))/INDEX('Offer Statistics'!$EF$74:$EF$97,MATCH(A337,('Offer Statistics'!$DV$74:$DV$97),0)),"新科目")</f>
        <v>9.7333333333333325</v>
      </c>
      <c r="M337" s="352">
        <f>入學要求!R338</f>
        <v>0</v>
      </c>
    </row>
    <row r="338" spans="1:13" s="352" customFormat="1" x14ac:dyDescent="0.3">
      <c r="A338" s="352" t="str">
        <f>'Reference Score Calculation'!A330</f>
        <v>JS8825</v>
      </c>
      <c r="B338" s="352" t="str">
        <f>'Reference Score Calculation'!B330</f>
        <v>EdUHK</v>
      </c>
      <c r="C338" s="352" t="str">
        <f>'Reference Score Calculation'!D330</f>
        <v>語文研究榮譽文學士及英文教育榮譽學士 (同期結業雙學位課程)</v>
      </c>
      <c r="D338" s="352" t="str">
        <f>'Reference Score Calculation'!T330</f>
        <v>BA(Lang Studies)&amp;BEd(EL)</v>
      </c>
      <c r="E338" s="352" t="str">
        <f>'Reference Score Calculation'!E330</f>
        <v>Best 5</v>
      </c>
      <c r="F338" s="357" t="str">
        <f>'Reference Score Calculation'!F330</f>
        <v>/</v>
      </c>
      <c r="G338" s="357" t="str">
        <f>'Reference Score Calculation'!G330</f>
        <v>/</v>
      </c>
      <c r="H338" s="357">
        <f>'Reference Score Calculation'!H330</f>
        <v>20</v>
      </c>
      <c r="I338" s="357">
        <f>計分版!H351</f>
        <v>3.9500000000000006E-9</v>
      </c>
      <c r="J338" s="352">
        <f>入學要求!C339</f>
        <v>20</v>
      </c>
      <c r="K338" s="352">
        <f>IFERROR(INDEX('Offer Statistics'!$EK$74:$EK$97,MATCH('A123'!A338,('Offer Statistics'!$DV$74:$DV$97),0)),"/")</f>
        <v>11</v>
      </c>
      <c r="L338" s="386">
        <f>IFERROR(INDEX('Offer Statistics'!$DX$74:$DX$97,MATCH(A338,('Offer Statistics'!$DV$74:$DV$97),0))/INDEX('Offer Statistics'!$EF$74:$EF$97,MATCH(A338,('Offer Statistics'!$DV$74:$DV$97),0)),"新科目")</f>
        <v>8.6363636363636367</v>
      </c>
      <c r="M338" s="352">
        <f>入學要求!R339</f>
        <v>0</v>
      </c>
    </row>
    <row r="339" spans="1:13" s="352" customFormat="1" x14ac:dyDescent="0.3">
      <c r="F339" s="357"/>
      <c r="G339" s="357"/>
      <c r="H339" s="357"/>
      <c r="I339" s="357"/>
      <c r="L339" s="386"/>
      <c r="M339" s="352">
        <f>入學要求!R340</f>
        <v>0</v>
      </c>
    </row>
    <row r="340" spans="1:13" x14ac:dyDescent="0.3">
      <c r="A340" s="54"/>
      <c r="B340" s="54"/>
      <c r="C340" s="53"/>
      <c r="D340" s="54"/>
      <c r="E340" s="55"/>
      <c r="F340" s="87" t="s">
        <v>2021</v>
      </c>
      <c r="G340" s="87" t="s">
        <v>2546</v>
      </c>
      <c r="H340" s="87" t="s">
        <v>2547</v>
      </c>
      <c r="I340" s="87" t="str">
        <f>計分版!H353</f>
        <v>總分</v>
      </c>
      <c r="J340" s="54"/>
      <c r="K340" s="54"/>
      <c r="L340" s="133"/>
      <c r="M340" s="352">
        <f>入學要求!R341</f>
        <v>0</v>
      </c>
    </row>
    <row r="341" spans="1:13" x14ac:dyDescent="0.3">
      <c r="A341" s="352" t="str">
        <f>'Reference Score Calculation'!A333</f>
        <v>JS9001</v>
      </c>
      <c r="B341" s="352" t="str">
        <f>'Reference Score Calculation'!B333</f>
        <v>HKMU</v>
      </c>
      <c r="C341" s="352" t="str">
        <f>'Reference Score Calculation'!D333</f>
        <v>心理學榮譽社會科學學士</v>
      </c>
      <c r="D341" s="352" t="str">
        <f>'Reference Score Calculation'!T333</f>
        <v>BSSc(Hons)Psychology</v>
      </c>
      <c r="E341" s="352" t="str">
        <f>'Reference Score Calculation'!E333</f>
        <v>4C1X</v>
      </c>
      <c r="F341" s="357" t="str">
        <f>'Reference Score Calculation'!F333</f>
        <v>/</v>
      </c>
      <c r="G341" s="357">
        <f>'Reference Score Calculation'!G333</f>
        <v>15</v>
      </c>
      <c r="H341" s="357">
        <f>'Reference Score Calculation'!H333</f>
        <v>14</v>
      </c>
      <c r="I341" s="357">
        <f>計分版!H354</f>
        <v>1.9500000000000001E-9</v>
      </c>
      <c r="J341" s="352">
        <f>入學要求!C342</f>
        <v>85</v>
      </c>
      <c r="K341" s="352">
        <f>IFERROR(INDEX('Offer Statistics'!$FC$110:$FC$145,MATCH('A123'!A341,('Offer Statistics'!$EN$110:$EN$145),0)),"/")</f>
        <v>200</v>
      </c>
      <c r="L341" s="386">
        <f>IFERROR(INDEX('Offer Statistics'!$EP$110:$EP$145,MATCH(A341,('Offer Statistics'!$EN$110:$EN$145),0))/INDEX('Offer Statistics'!$EX$110:$EX$145,MATCH(A341,('Offer Statistics'!$EN$110:$EN$145),0)),"新科目")</f>
        <v>6.0275229357798166</v>
      </c>
      <c r="M341" s="352">
        <f>入學要求!R342</f>
        <v>0</v>
      </c>
    </row>
    <row r="342" spans="1:13" x14ac:dyDescent="0.3">
      <c r="A342" s="352" t="str">
        <f>'Reference Score Calculation'!A334</f>
        <v>JS9003</v>
      </c>
      <c r="B342" s="352" t="str">
        <f>'Reference Score Calculation'!B334</f>
        <v>HKMU</v>
      </c>
      <c r="C342" s="352" t="str">
        <f>'Reference Score Calculation'!D334</f>
        <v>政治及公共行政榮譽社會科學學士</v>
      </c>
      <c r="D342" s="352" t="str">
        <f>'Reference Score Calculation'!T334</f>
        <v>BSSc(Hons)Poltics&amp;PubAdm</v>
      </c>
      <c r="E342" s="352" t="str">
        <f>'Reference Score Calculation'!E334</f>
        <v>4C1X</v>
      </c>
      <c r="F342" s="357" t="str">
        <f>'Reference Score Calculation'!F334</f>
        <v>/</v>
      </c>
      <c r="G342" s="357">
        <f>'Reference Score Calculation'!G334</f>
        <v>16</v>
      </c>
      <c r="H342" s="357">
        <f>'Reference Score Calculation'!H334</f>
        <v>15</v>
      </c>
      <c r="I342" s="357">
        <f>計分版!H355</f>
        <v>1.9500000000000001E-9</v>
      </c>
      <c r="J342" s="352">
        <f>入學要求!C343</f>
        <v>25</v>
      </c>
      <c r="K342" s="352">
        <f>IFERROR(INDEX('Offer Statistics'!$FC$110:$FC$145,MATCH('A123'!A342,('Offer Statistics'!$EN$110:$EN$145),0)),"/")</f>
        <v>47</v>
      </c>
      <c r="L342" s="386">
        <f>IFERROR(INDEX('Offer Statistics'!$EP$110:$EP$145,MATCH(A342,('Offer Statistics'!$EN$110:$EN$145),0))/INDEX('Offer Statistics'!$EX$110:$EX$145,MATCH(A342,('Offer Statistics'!$EN$110:$EN$145),0)),"新科目")</f>
        <v>5.5294117647058822</v>
      </c>
      <c r="M342" s="352">
        <f>入學要求!R343</f>
        <v>0</v>
      </c>
    </row>
    <row r="343" spans="1:13" x14ac:dyDescent="0.3">
      <c r="A343" s="352" t="str">
        <f>'Reference Score Calculation'!A335</f>
        <v>JS9004</v>
      </c>
      <c r="B343" s="352" t="str">
        <f>'Reference Score Calculation'!B335</f>
        <v>HKMU</v>
      </c>
      <c r="C343" s="352" t="str">
        <f>'Reference Score Calculation'!D335</f>
        <v>應用社會研究榮譽社會科學學士</v>
      </c>
      <c r="D343" s="352" t="str">
        <f>'Reference Score Calculation'!T335</f>
        <v>BSSc(Hons) App Soc Stud</v>
      </c>
      <c r="E343" s="352" t="str">
        <f>'Reference Score Calculation'!E335</f>
        <v>4C1X</v>
      </c>
      <c r="F343" s="357" t="str">
        <f>'Reference Score Calculation'!F335</f>
        <v>/</v>
      </c>
      <c r="G343" s="357">
        <f>'Reference Score Calculation'!G335</f>
        <v>16</v>
      </c>
      <c r="H343" s="357">
        <f>'Reference Score Calculation'!H335</f>
        <v>15</v>
      </c>
      <c r="I343" s="357">
        <f>計分版!H356</f>
        <v>1.9500000000000001E-9</v>
      </c>
      <c r="J343" s="352">
        <f>入學要求!C344</f>
        <v>30</v>
      </c>
      <c r="K343" s="352">
        <f>IFERROR(INDEX('Offer Statistics'!$FC$110:$FC$145,MATCH('A123'!A343,('Offer Statistics'!$EN$110:$EN$145),0)),"/")</f>
        <v>54</v>
      </c>
      <c r="L343" s="386">
        <f>IFERROR(INDEX('Offer Statistics'!$EP$110:$EP$145,MATCH(A343,('Offer Statistics'!$EN$110:$EN$145),0))/INDEX('Offer Statistics'!$EX$110:$EX$145,MATCH(A343,('Offer Statistics'!$EN$110:$EN$145),0)),"新科目")</f>
        <v>4.5666666666666664</v>
      </c>
      <c r="M343" s="352">
        <f>入學要求!R344</f>
        <v>0</v>
      </c>
    </row>
    <row r="344" spans="1:13" x14ac:dyDescent="0.3">
      <c r="A344" s="352" t="str">
        <f>'Reference Score Calculation'!A336</f>
        <v>JS9005</v>
      </c>
      <c r="B344" s="352" t="str">
        <f>'Reference Score Calculation'!B336</f>
        <v>HKMU</v>
      </c>
      <c r="C344" s="352" t="str">
        <f>'Reference Score Calculation'!D336</f>
        <v>全球與中國研究榮譽社會科學學士</v>
      </c>
      <c r="D344" s="352" t="str">
        <f>'Reference Score Calculation'!T336</f>
        <v>BSSc(Hons) Glob &amp; China</v>
      </c>
      <c r="E344" s="352" t="str">
        <f>'Reference Score Calculation'!E336</f>
        <v>4C1X</v>
      </c>
      <c r="F344" s="357" t="str">
        <f>'Reference Score Calculation'!F336</f>
        <v>/</v>
      </c>
      <c r="G344" s="357">
        <f>'Reference Score Calculation'!G336</f>
        <v>15</v>
      </c>
      <c r="H344" s="357">
        <f>'Reference Score Calculation'!H336</f>
        <v>15</v>
      </c>
      <c r="I344" s="357">
        <f>計分版!H357</f>
        <v>1.9500000000000001E-9</v>
      </c>
      <c r="J344" s="352">
        <f>入學要求!C345</f>
        <v>20</v>
      </c>
      <c r="K344" s="352">
        <f>IFERROR(INDEX('Offer Statistics'!$FC$110:$FC$145,MATCH('A123'!A344,('Offer Statistics'!$EN$110:$EN$145),0)),"/")</f>
        <v>17</v>
      </c>
      <c r="L344" s="386">
        <f>IFERROR(INDEX('Offer Statistics'!$EP$110:$EP$145,MATCH(A344,('Offer Statistics'!$EN$110:$EN$145),0))/INDEX('Offer Statistics'!$EX$110:$EX$145,MATCH(A344,('Offer Statistics'!$EN$110:$EN$145),0)),"新科目")</f>
        <v>14</v>
      </c>
      <c r="M344" s="352">
        <f>入學要求!R345</f>
        <v>0</v>
      </c>
    </row>
    <row r="345" spans="1:13" x14ac:dyDescent="0.3">
      <c r="A345" s="352" t="str">
        <f>'Reference Score Calculation'!A337</f>
        <v>JS9006</v>
      </c>
      <c r="B345" s="352" t="str">
        <f>'Reference Score Calculation'!B337</f>
        <v>HKMU</v>
      </c>
      <c r="C345" s="352" t="str">
        <f>'Reference Score Calculation'!D337</f>
        <v>高齡社會與服務研究榮譽社會科學學士</v>
      </c>
      <c r="D345" s="352" t="str">
        <f>'Reference Score Calculation'!T337</f>
        <v>BSSc(Hons)Ageing&amp;Serv</v>
      </c>
      <c r="E345" s="352" t="str">
        <f>'Reference Score Calculation'!E337</f>
        <v>4C1X</v>
      </c>
      <c r="F345" s="357" t="str">
        <f>'Reference Score Calculation'!F337</f>
        <v>/</v>
      </c>
      <c r="G345" s="357">
        <f>'Reference Score Calculation'!G337</f>
        <v>15</v>
      </c>
      <c r="H345" s="357">
        <f>'Reference Score Calculation'!H337</f>
        <v>15</v>
      </c>
      <c r="I345" s="357">
        <f>計分版!H358</f>
        <v>1.9500000000000001E-9</v>
      </c>
      <c r="J345" s="352">
        <f>入學要求!C346</f>
        <v>15</v>
      </c>
      <c r="K345" s="352">
        <f>IFERROR(INDEX('Offer Statistics'!$FC$110:$FC$145,MATCH('A123'!A345,('Offer Statistics'!$EN$110:$EN$145),0)),"/")</f>
        <v>22</v>
      </c>
      <c r="L345" s="386">
        <f>IFERROR(INDEX('Offer Statistics'!$EP$110:$EP$145,MATCH(A345,('Offer Statistics'!$EN$110:$EN$145),0))/INDEX('Offer Statistics'!$EX$110:$EX$145,MATCH(A345,('Offer Statistics'!$EN$110:$EN$145),0)),"新科目")</f>
        <v>11.25</v>
      </c>
      <c r="M345" s="352">
        <f>入學要求!R346</f>
        <v>0</v>
      </c>
    </row>
    <row r="346" spans="1:13" x14ac:dyDescent="0.3">
      <c r="A346" s="352" t="str">
        <f>'Reference Score Calculation'!A338</f>
        <v>JS9007</v>
      </c>
      <c r="B346" s="352" t="str">
        <f>'Reference Score Calculation'!B338</f>
        <v>HKMU</v>
      </c>
      <c r="C346" s="352" t="str">
        <f>'Reference Score Calculation'!D338</f>
        <v>經濟及公共政策分析榮譽社會科學學士</v>
      </c>
      <c r="D346" s="352" t="str">
        <f>'Reference Score Calculation'!T338</f>
        <v>BSSc(Hons)Econ&amp;PubPolAna</v>
      </c>
      <c r="E346" s="352" t="str">
        <f>'Reference Score Calculation'!E338</f>
        <v>4C1X</v>
      </c>
      <c r="F346" s="357" t="str">
        <f>'Reference Score Calculation'!F338</f>
        <v>/</v>
      </c>
      <c r="G346" s="357" t="str">
        <f>'Reference Score Calculation'!G338</f>
        <v>/</v>
      </c>
      <c r="H346" s="357" t="str">
        <f>'Reference Score Calculation'!H338</f>
        <v>/</v>
      </c>
      <c r="I346" s="357">
        <f>計分版!H359</f>
        <v>1.9500000000000001E-9</v>
      </c>
      <c r="J346" s="352">
        <f>入學要求!C347</f>
        <v>20</v>
      </c>
      <c r="K346" s="352">
        <f>IFERROR(INDEX('Offer Statistics'!$FC$110:$FC$145,MATCH('A123'!A346,('Offer Statistics'!$EN$110:$EN$145),0)),"/")</f>
        <v>7</v>
      </c>
      <c r="L346" s="386">
        <f>IFERROR(INDEX('Offer Statistics'!$EP$110:$EP$145,MATCH(A346,('Offer Statistics'!$EN$110:$EN$145),0))/INDEX('Offer Statistics'!$EX$110:$EX$145,MATCH(A346,('Offer Statistics'!$EN$110:$EN$145),0)),"新科目")</f>
        <v>10</v>
      </c>
      <c r="M346" s="352">
        <f>入學要求!R347</f>
        <v>0</v>
      </c>
    </row>
    <row r="347" spans="1:13" x14ac:dyDescent="0.3">
      <c r="A347" s="352" t="str">
        <f>'Reference Score Calculation'!A339</f>
        <v>JS9008</v>
      </c>
      <c r="B347" s="352" t="str">
        <f>'Reference Score Calculation'!B339</f>
        <v>HKMU</v>
      </c>
      <c r="C347" s="352" t="str">
        <f>'Reference Score Calculation'!D339</f>
        <v>心理學與精神健康榮譽社會科學學士</v>
      </c>
      <c r="D347" s="352" t="str">
        <f>'Reference Score Calculation'!T339</f>
        <v>BSSc(Hons) Psy&amp;Mental H</v>
      </c>
      <c r="E347" s="352" t="str">
        <f>'Reference Score Calculation'!E339</f>
        <v>4C1X</v>
      </c>
      <c r="F347" s="357" t="str">
        <f>'Reference Score Calculation'!F339</f>
        <v>/</v>
      </c>
      <c r="G347" s="357">
        <f>'Reference Score Calculation'!G339</f>
        <v>16</v>
      </c>
      <c r="H347" s="357">
        <f>'Reference Score Calculation'!H339</f>
        <v>15</v>
      </c>
      <c r="I347" s="357">
        <f>計分版!H360</f>
        <v>1.9500000000000001E-9</v>
      </c>
      <c r="J347" s="352">
        <f>入學要求!C348</f>
        <v>60</v>
      </c>
      <c r="K347" s="352">
        <f>IFERROR(INDEX('Offer Statistics'!$FC$110:$FC$145,MATCH('A123'!A347,('Offer Statistics'!$EN$110:$EN$145),0)),"/")</f>
        <v>120</v>
      </c>
      <c r="L347" s="386">
        <f>IFERROR(INDEX('Offer Statistics'!$EP$110:$EP$145,MATCH(A347,('Offer Statistics'!$EN$110:$EN$145),0))/INDEX('Offer Statistics'!$EX$110:$EX$145,MATCH(A347,('Offer Statistics'!$EN$110:$EN$145),0)),"新科目")</f>
        <v>5.7538461538461538</v>
      </c>
      <c r="M347" s="352">
        <f>入學要求!R348</f>
        <v>0</v>
      </c>
    </row>
    <row r="348" spans="1:13" x14ac:dyDescent="0.3">
      <c r="A348" s="352" t="str">
        <f>'Reference Score Calculation'!A340</f>
        <v>JS9011</v>
      </c>
      <c r="B348" s="352" t="str">
        <f>'Reference Score Calculation'!B340</f>
        <v>HKMU</v>
      </c>
      <c r="C348" s="352" t="str">
        <f>'Reference Score Calculation'!D340</f>
        <v>中文榮譽文學士</v>
      </c>
      <c r="D348" s="352" t="str">
        <f>'Reference Score Calculation'!T340</f>
        <v>BA(Hons) Chinese</v>
      </c>
      <c r="E348" s="352" t="str">
        <f>'Reference Score Calculation'!E340</f>
        <v>4C1X</v>
      </c>
      <c r="F348" s="357" t="str">
        <f>'Reference Score Calculation'!F340</f>
        <v>/</v>
      </c>
      <c r="G348" s="357">
        <f>'Reference Score Calculation'!G340</f>
        <v>20</v>
      </c>
      <c r="H348" s="357">
        <f>'Reference Score Calculation'!H340</f>
        <v>19</v>
      </c>
      <c r="I348" s="357">
        <f>計分版!H361</f>
        <v>2.0500000000000002E-9</v>
      </c>
      <c r="J348" s="352">
        <f>入學要求!C349</f>
        <v>30</v>
      </c>
      <c r="K348" s="352">
        <f>IFERROR(INDEX('Offer Statistics'!$FC$110:$FC$145,MATCH('A123'!A348,('Offer Statistics'!$EN$110:$EN$145),0)),"/")</f>
        <v>70</v>
      </c>
      <c r="L348" s="386">
        <f>IFERROR(INDEX('Offer Statistics'!$EP$110:$EP$145,MATCH(A348,('Offer Statistics'!$EN$110:$EN$145),0))/INDEX('Offer Statistics'!$EX$110:$EX$145,MATCH(A348,('Offer Statistics'!$EN$110:$EN$145),0)),"新科目")</f>
        <v>3.5714285714285716</v>
      </c>
      <c r="M348" s="352">
        <f>入學要求!R349</f>
        <v>0</v>
      </c>
    </row>
    <row r="349" spans="1:13" x14ac:dyDescent="0.3">
      <c r="A349" s="352" t="str">
        <f>'Reference Score Calculation'!A341</f>
        <v>JS9013</v>
      </c>
      <c r="B349" s="352" t="str">
        <f>'Reference Score Calculation'!B341</f>
        <v>HKMU</v>
      </c>
      <c r="C349" s="352" t="str">
        <f>'Reference Score Calculation'!D341</f>
        <v>語言研究與翻譯榮譽文學士</v>
      </c>
      <c r="D349" s="352" t="str">
        <f>'Reference Score Calculation'!T341</f>
        <v>BA(Hons) LangStud &amp; Tran</v>
      </c>
      <c r="E349" s="352" t="str">
        <f>'Reference Score Calculation'!E341</f>
        <v>4C1X</v>
      </c>
      <c r="F349" s="357" t="str">
        <f>'Reference Score Calculation'!F341</f>
        <v>/</v>
      </c>
      <c r="G349" s="357">
        <f>'Reference Score Calculation'!G341</f>
        <v>20</v>
      </c>
      <c r="H349" s="357">
        <f>'Reference Score Calculation'!H341</f>
        <v>18</v>
      </c>
      <c r="I349" s="357">
        <f>計分版!H362</f>
        <v>2.0999999999999998E-9</v>
      </c>
      <c r="J349" s="352">
        <f>入學要求!C350</f>
        <v>45</v>
      </c>
      <c r="K349" s="352">
        <f>IFERROR(INDEX('Offer Statistics'!$FC$110:$FC$145,MATCH('A123'!A349,('Offer Statistics'!$EN$110:$EN$145),0)),"/")</f>
        <v>89</v>
      </c>
      <c r="L349" s="386">
        <f>IFERROR(INDEX('Offer Statistics'!$EP$110:$EP$145,MATCH(A349,('Offer Statistics'!$EN$110:$EN$145),0))/INDEX('Offer Statistics'!$EX$110:$EX$145,MATCH(A349,('Offer Statistics'!$EN$110:$EN$145),0)),"新科目")</f>
        <v>2.4339622641509435</v>
      </c>
      <c r="M349" s="352">
        <f>入學要求!R350</f>
        <v>0</v>
      </c>
    </row>
    <row r="350" spans="1:13" x14ac:dyDescent="0.3">
      <c r="A350" s="352" t="str">
        <f>'Reference Score Calculation'!A342</f>
        <v>JS9016</v>
      </c>
      <c r="B350" s="352" t="str">
        <f>'Reference Score Calculation'!B342</f>
        <v>HKMU</v>
      </c>
      <c r="C350" s="352" t="str">
        <f>'Reference Score Calculation'!D342</f>
        <v>創意廣告及媒體設計榮譽文學士</v>
      </c>
      <c r="D350" s="352" t="str">
        <f>'Reference Score Calculation'!T342</f>
        <v>BA(Hons)CreAd&amp;MediaDesig</v>
      </c>
      <c r="E350" s="352" t="str">
        <f>'Reference Score Calculation'!E342</f>
        <v>4C1X</v>
      </c>
      <c r="F350" s="357" t="str">
        <f>'Reference Score Calculation'!F342</f>
        <v>/</v>
      </c>
      <c r="G350" s="357">
        <f>'Reference Score Calculation'!G342</f>
        <v>20</v>
      </c>
      <c r="H350" s="357">
        <f>'Reference Score Calculation'!H342</f>
        <v>19</v>
      </c>
      <c r="I350" s="357">
        <f>計分版!H363</f>
        <v>2.0999999999999998E-9</v>
      </c>
      <c r="J350" s="352">
        <f>入學要求!C351</f>
        <v>70</v>
      </c>
      <c r="K350" s="352">
        <f>IFERROR(INDEX('Offer Statistics'!$FC$110:$FC$145,MATCH('A123'!A350,('Offer Statistics'!$EN$110:$EN$145),0)),"/")</f>
        <v>148</v>
      </c>
      <c r="L350" s="386">
        <f>IFERROR(INDEX('Offer Statistics'!$EP$110:$EP$145,MATCH(A350,('Offer Statistics'!$EN$110:$EN$145),0))/INDEX('Offer Statistics'!$EX$110:$EX$145,MATCH(A350,('Offer Statistics'!$EN$110:$EN$145),0)),"新科目")</f>
        <v>6.1066666666666665</v>
      </c>
      <c r="M350" s="352">
        <f>入學要求!R351</f>
        <v>0</v>
      </c>
    </row>
    <row r="351" spans="1:13" x14ac:dyDescent="0.3">
      <c r="A351" s="352" t="str">
        <f>'Reference Score Calculation'!A343</f>
        <v>JS9019</v>
      </c>
      <c r="B351" s="352" t="str">
        <f>'Reference Score Calculation'!B343</f>
        <v>HKMU</v>
      </c>
      <c r="C351" s="352" t="str">
        <f>'Reference Score Calculation'!D343</f>
        <v>英語及文化榮譽文學士</v>
      </c>
      <c r="D351" s="352" t="str">
        <f>'Reference Score Calculation'!T343</f>
        <v>BA(Hons) EngLang&amp;Cult</v>
      </c>
      <c r="E351" s="352" t="str">
        <f>'Reference Score Calculation'!E343</f>
        <v>4C1X</v>
      </c>
      <c r="F351" s="357" t="str">
        <f>'Reference Score Calculation'!F343</f>
        <v>/</v>
      </c>
      <c r="G351" s="357">
        <f>'Reference Score Calculation'!G343</f>
        <v>14</v>
      </c>
      <c r="H351" s="357">
        <f>'Reference Score Calculation'!H343</f>
        <v>14</v>
      </c>
      <c r="I351" s="357">
        <f>計分版!H364</f>
        <v>1.9500000000000001E-9</v>
      </c>
      <c r="J351" s="352">
        <f>入學要求!C352</f>
        <v>20</v>
      </c>
      <c r="K351" s="352">
        <f>IFERROR(INDEX('Offer Statistics'!$FC$110:$FC$145,MATCH('A123'!A351,('Offer Statistics'!$EN$110:$EN$145),0)),"/")</f>
        <v>32</v>
      </c>
      <c r="L351" s="386">
        <f>IFERROR(INDEX('Offer Statistics'!$EP$110:$EP$145,MATCH(A351,('Offer Statistics'!$EN$110:$EN$145),0))/INDEX('Offer Statistics'!$EX$110:$EX$145,MATCH(A351,('Offer Statistics'!$EN$110:$EN$145),0)),"新科目")</f>
        <v>4.2173913043478262</v>
      </c>
      <c r="M351" s="352">
        <f>入學要求!R352</f>
        <v>0</v>
      </c>
    </row>
    <row r="352" spans="1:13" x14ac:dyDescent="0.3">
      <c r="A352" s="352" t="str">
        <f>'Reference Score Calculation'!A344</f>
        <v>JS9220</v>
      </c>
      <c r="B352" s="352" t="str">
        <f>'Reference Score Calculation'!B344</f>
        <v>HKMU</v>
      </c>
      <c r="C352" s="352" t="str">
        <f>'Reference Score Calculation'!D344</f>
        <v>專業會計榮譽工商管理學士</v>
      </c>
      <c r="D352" s="352" t="str">
        <f>'Reference Score Calculation'!T344</f>
        <v>BBA(Hons) Pro Acct</v>
      </c>
      <c r="E352" s="352" t="str">
        <f>'Reference Score Calculation'!E344</f>
        <v>4C1X</v>
      </c>
      <c r="F352" s="357" t="str">
        <f>'Reference Score Calculation'!F344</f>
        <v>/</v>
      </c>
      <c r="G352" s="357">
        <f>'Reference Score Calculation'!G344</f>
        <v>17</v>
      </c>
      <c r="H352" s="357">
        <f>'Reference Score Calculation'!H344</f>
        <v>16</v>
      </c>
      <c r="I352" s="357">
        <f>計分版!H365</f>
        <v>1.9500000000000001E-9</v>
      </c>
      <c r="J352" s="352">
        <f>入學要求!C353</f>
        <v>40</v>
      </c>
      <c r="K352" s="352">
        <f>IFERROR(INDEX('Offer Statistics'!$FC$110:$FC$145,MATCH('A123'!A352,('Offer Statistics'!$EN$110:$EN$145),0)),"/")</f>
        <v>69</v>
      </c>
      <c r="L352" s="386">
        <f>IFERROR(INDEX('Offer Statistics'!$EP$110:$EP$145,MATCH(A352,('Offer Statistics'!$EN$110:$EN$145),0))/INDEX('Offer Statistics'!$EX$110:$EX$145,MATCH(A352,('Offer Statistics'!$EN$110:$EN$145),0)),"新科目")</f>
        <v>4.6097560975609753</v>
      </c>
      <c r="M352" s="352">
        <f>入學要求!R353</f>
        <v>0</v>
      </c>
    </row>
    <row r="353" spans="1:13" x14ac:dyDescent="0.3">
      <c r="A353" s="352" t="str">
        <f>'Reference Score Calculation'!A345</f>
        <v>JS9222</v>
      </c>
      <c r="B353" s="352" t="str">
        <f>'Reference Score Calculation'!B345</f>
        <v>HKMU</v>
      </c>
      <c r="C353" s="352" t="str">
        <f>'Reference Score Calculation'!D345</f>
        <v>會計及稅務學榮譽工商管理學士</v>
      </c>
      <c r="D353" s="352" t="str">
        <f>'Reference Score Calculation'!T345</f>
        <v>BBA(Hons) Acct &amp; Tax</v>
      </c>
      <c r="E353" s="352" t="str">
        <f>'Reference Score Calculation'!E345</f>
        <v>4C1X</v>
      </c>
      <c r="F353" s="357" t="str">
        <f>'Reference Score Calculation'!F345</f>
        <v>/</v>
      </c>
      <c r="G353" s="357">
        <f>'Reference Score Calculation'!G345</f>
        <v>17</v>
      </c>
      <c r="H353" s="357">
        <f>'Reference Score Calculation'!H345</f>
        <v>17</v>
      </c>
      <c r="I353" s="357">
        <f>計分版!H366</f>
        <v>1.9500000000000001E-9</v>
      </c>
      <c r="J353" s="352">
        <f>入學要求!C354</f>
        <v>20</v>
      </c>
      <c r="K353" s="352">
        <f>IFERROR(INDEX('Offer Statistics'!$FC$110:$FC$145,MATCH('A123'!A353,('Offer Statistics'!$EN$110:$EN$145),0)),"/")</f>
        <v>14</v>
      </c>
      <c r="L353" s="386">
        <f>IFERROR(INDEX('Offer Statistics'!$EP$110:$EP$145,MATCH(A353,('Offer Statistics'!$EN$110:$EN$145),0))/INDEX('Offer Statistics'!$EX$110:$EX$145,MATCH(A353,('Offer Statistics'!$EN$110:$EN$145),0)),"新科目")</f>
        <v>10.428571428571429</v>
      </c>
      <c r="M353" s="352">
        <f>入學要求!R354</f>
        <v>0</v>
      </c>
    </row>
    <row r="354" spans="1:13" x14ac:dyDescent="0.3">
      <c r="A354" s="352" t="str">
        <f>'Reference Score Calculation'!A346</f>
        <v>JS9230</v>
      </c>
      <c r="B354" s="352" t="str">
        <f>'Reference Score Calculation'!B346</f>
        <v>HKMU</v>
      </c>
      <c r="C354" s="352" t="str">
        <f>'Reference Score Calculation'!D346</f>
        <v>商業管理學榮譽工商管理學士</v>
      </c>
      <c r="D354" s="352" t="str">
        <f>'Reference Score Calculation'!T346</f>
        <v>BBA(Hons) Business Mgt</v>
      </c>
      <c r="E354" s="352" t="str">
        <f>'Reference Score Calculation'!E346</f>
        <v>4C1X</v>
      </c>
      <c r="F354" s="357" t="str">
        <f>'Reference Score Calculation'!F346</f>
        <v>/</v>
      </c>
      <c r="G354" s="357">
        <f>'Reference Score Calculation'!G346</f>
        <v>16</v>
      </c>
      <c r="H354" s="357">
        <f>'Reference Score Calculation'!H346</f>
        <v>15</v>
      </c>
      <c r="I354" s="357">
        <f>計分版!H367</f>
        <v>1.9500000000000001E-9</v>
      </c>
      <c r="J354" s="352">
        <f>入學要求!C355</f>
        <v>40</v>
      </c>
      <c r="K354" s="352">
        <f>IFERROR(INDEX('Offer Statistics'!$FC$110:$FC$145,MATCH('A123'!A354,('Offer Statistics'!$EN$110:$EN$145),0)),"/")</f>
        <v>88</v>
      </c>
      <c r="L354" s="386">
        <f>IFERROR(INDEX('Offer Statistics'!$EP$110:$EP$145,MATCH(A354,('Offer Statistics'!$EN$110:$EN$145),0))/INDEX('Offer Statistics'!$EX$110:$EX$145,MATCH(A354,('Offer Statistics'!$EN$110:$EN$145),0)),"新科目")</f>
        <v>8.5714285714285712</v>
      </c>
      <c r="M354" s="352">
        <f>入學要求!R355</f>
        <v>0</v>
      </c>
    </row>
    <row r="355" spans="1:13" x14ac:dyDescent="0.3">
      <c r="A355" s="352" t="str">
        <f>'Reference Score Calculation'!A347</f>
        <v>JS9240</v>
      </c>
      <c r="B355" s="352" t="str">
        <f>'Reference Score Calculation'!B347</f>
        <v>HKMU</v>
      </c>
      <c r="C355" s="352" t="str">
        <f>'Reference Score Calculation'!D347</f>
        <v>環球商業及市場學榮譽工商管理學士</v>
      </c>
      <c r="D355" s="352" t="str">
        <f>'Reference Score Calculation'!T347</f>
        <v>BBA(Hons)GB &amp; Mktg</v>
      </c>
      <c r="E355" s="352" t="str">
        <f>'Reference Score Calculation'!E347</f>
        <v>4C1X</v>
      </c>
      <c r="F355" s="357" t="str">
        <f>'Reference Score Calculation'!F347</f>
        <v>/</v>
      </c>
      <c r="G355" s="357">
        <f>'Reference Score Calculation'!G347</f>
        <v>17</v>
      </c>
      <c r="H355" s="357">
        <f>'Reference Score Calculation'!H347</f>
        <v>16</v>
      </c>
      <c r="I355" s="357">
        <f>計分版!H368</f>
        <v>1.9500000000000001E-9</v>
      </c>
      <c r="J355" s="352">
        <f>入學要求!C356</f>
        <v>40</v>
      </c>
      <c r="K355" s="352">
        <f>IFERROR(INDEX('Offer Statistics'!$FC$110:$FC$145,MATCH('A123'!A355,('Offer Statistics'!$EN$110:$EN$145),0)),"/")</f>
        <v>88</v>
      </c>
      <c r="L355" s="386">
        <f>IFERROR(INDEX('Offer Statistics'!$EP$110:$EP$145,MATCH(A355,('Offer Statistics'!$EN$110:$EN$145),0))/INDEX('Offer Statistics'!$EX$110:$EX$145,MATCH(A355,('Offer Statistics'!$EN$110:$EN$145),0)),"新科目")</f>
        <v>4.8</v>
      </c>
      <c r="M355" s="352">
        <f>入學要求!R356</f>
        <v>0</v>
      </c>
    </row>
    <row r="356" spans="1:13" x14ac:dyDescent="0.3">
      <c r="A356" s="352" t="str">
        <f>'Reference Score Calculation'!A348</f>
        <v>JS9250</v>
      </c>
      <c r="B356" s="352" t="str">
        <f>'Reference Score Calculation'!B348</f>
        <v>HKMU</v>
      </c>
      <c r="C356" s="352" t="str">
        <f>'Reference Score Calculation'!D348</f>
        <v>企業管治榮譽工商管理學士</v>
      </c>
      <c r="D356" s="352" t="str">
        <f>'Reference Score Calculation'!T348</f>
        <v>BBA(Hons)Corp Governance</v>
      </c>
      <c r="E356" s="352" t="str">
        <f>'Reference Score Calculation'!E348</f>
        <v>4C1X</v>
      </c>
      <c r="F356" s="357" t="str">
        <f>'Reference Score Calculation'!F348</f>
        <v>/</v>
      </c>
      <c r="G356" s="357">
        <f>'Reference Score Calculation'!G348</f>
        <v>17</v>
      </c>
      <c r="H356" s="357">
        <f>'Reference Score Calculation'!H348</f>
        <v>17</v>
      </c>
      <c r="I356" s="357">
        <f>計分版!H369</f>
        <v>1.9500000000000001E-9</v>
      </c>
      <c r="J356" s="352">
        <f>入學要求!C357</f>
        <v>10</v>
      </c>
      <c r="K356" s="352">
        <f>IFERROR(INDEX('Offer Statistics'!$FC$110:$FC$145,MATCH('A123'!A356,('Offer Statistics'!$EN$110:$EN$145),0)),"/")</f>
        <v>9</v>
      </c>
      <c r="L356" s="386">
        <f>IFERROR(INDEX('Offer Statistics'!$EP$110:$EP$145,MATCH(A356,('Offer Statistics'!$EN$110:$EN$145),0))/INDEX('Offer Statistics'!$EX$110:$EX$145,MATCH(A356,('Offer Statistics'!$EN$110:$EN$145),0)),"新科目")</f>
        <v>12.6</v>
      </c>
      <c r="M356" s="352">
        <f>入學要求!R357</f>
        <v>0</v>
      </c>
    </row>
    <row r="357" spans="1:13" x14ac:dyDescent="0.3">
      <c r="A357" s="352" t="str">
        <f>'Reference Score Calculation'!A349</f>
        <v>JS9261</v>
      </c>
      <c r="B357" s="352" t="str">
        <f>'Reference Score Calculation'!B349</f>
        <v>HKMU</v>
      </c>
      <c r="C357" s="352" t="str">
        <f>'Reference Score Calculation'!D349</f>
        <v>數碼商業榮譽工商管理學士</v>
      </c>
      <c r="D357" s="352" t="str">
        <f>'Reference Score Calculation'!T349</f>
        <v>BBA(Hons) DigBus</v>
      </c>
      <c r="E357" s="352" t="str">
        <f>'Reference Score Calculation'!E349</f>
        <v>4C1X</v>
      </c>
      <c r="F357" s="357" t="str">
        <f>'Reference Score Calculation'!F349</f>
        <v>/</v>
      </c>
      <c r="G357" s="357" t="str">
        <f>'Reference Score Calculation'!G349</f>
        <v>/</v>
      </c>
      <c r="H357" s="357" t="str">
        <f>'Reference Score Calculation'!H349</f>
        <v>/</v>
      </c>
      <c r="I357" s="357">
        <f>計分版!H370</f>
        <v>1.9500000000000001E-9</v>
      </c>
      <c r="J357" s="352">
        <f>入學要求!C358</f>
        <v>10</v>
      </c>
      <c r="K357" s="352">
        <f>IFERROR(INDEX('Offer Statistics'!$FC$110:$FC$145,MATCH('A123'!A357,('Offer Statistics'!$EN$110:$EN$145),0)),"/")</f>
        <v>14</v>
      </c>
      <c r="L357" s="386">
        <f>IFERROR(INDEX('Offer Statistics'!$EP$110:$EP$145,MATCH(A357,('Offer Statistics'!$EN$110:$EN$145),0))/INDEX('Offer Statistics'!$EX$110:$EX$145,MATCH(A357,('Offer Statistics'!$EN$110:$EN$145),0)),"新科目")</f>
        <v>14.454545454545455</v>
      </c>
      <c r="M357" s="352">
        <f>入學要求!R358</f>
        <v>0</v>
      </c>
    </row>
    <row r="358" spans="1:13" x14ac:dyDescent="0.3">
      <c r="A358" s="352" t="str">
        <f>'Reference Score Calculation'!A350</f>
        <v>JS9272</v>
      </c>
      <c r="B358" s="352" t="str">
        <f>'Reference Score Calculation'!B350</f>
        <v>HKMU</v>
      </c>
      <c r="C358" s="352" t="str">
        <f>'Reference Score Calculation'!D350</f>
        <v>財務及風險管理榮譽工商管理學士</v>
      </c>
      <c r="D358" s="352" t="str">
        <f>'Reference Score Calculation'!T350</f>
        <v>BBA(Hons) Fin &amp; Risk Mgt</v>
      </c>
      <c r="E358" s="352" t="str">
        <f>'Reference Score Calculation'!E350</f>
        <v>4C1X</v>
      </c>
      <c r="F358" s="357" t="str">
        <f>'Reference Score Calculation'!F350</f>
        <v>/</v>
      </c>
      <c r="G358" s="357">
        <f>'Reference Score Calculation'!G350</f>
        <v>16</v>
      </c>
      <c r="H358" s="357">
        <f>'Reference Score Calculation'!H350</f>
        <v>16</v>
      </c>
      <c r="I358" s="357">
        <f>計分版!H371</f>
        <v>1.9500000000000001E-9</v>
      </c>
      <c r="J358" s="352">
        <f>入學要求!C359</f>
        <v>10</v>
      </c>
      <c r="K358" s="352">
        <f>IFERROR(INDEX('Offer Statistics'!$FC$110:$FC$145,MATCH('A123'!A358,('Offer Statistics'!$EN$110:$EN$145),0)),"/")</f>
        <v>13</v>
      </c>
      <c r="L358" s="386">
        <f>IFERROR(INDEX('Offer Statistics'!$EP$110:$EP$145,MATCH(A358,('Offer Statistics'!$EN$110:$EN$145),0))/INDEX('Offer Statistics'!$EX$110:$EX$145,MATCH(A358,('Offer Statistics'!$EN$110:$EN$145),0)),"新科目")</f>
        <v>7.166666666666667</v>
      </c>
      <c r="M358" s="352">
        <f>入學要求!R359</f>
        <v>0</v>
      </c>
    </row>
    <row r="359" spans="1:13" x14ac:dyDescent="0.3">
      <c r="A359" s="352" t="str">
        <f>'Reference Score Calculation'!A351</f>
        <v>JS9276</v>
      </c>
      <c r="B359" s="352" t="str">
        <f>'Reference Score Calculation'!B351</f>
        <v>HKMU</v>
      </c>
      <c r="C359" s="352" t="str">
        <f>'Reference Score Calculation'!D351</f>
        <v>房地產及設施管理榮譽工商管理學士</v>
      </c>
      <c r="D359" s="352" t="str">
        <f>'Reference Score Calculation'!T351</f>
        <v>BBA(Hons) RealEst&amp;FacMgt</v>
      </c>
      <c r="E359" s="352" t="str">
        <f>'Reference Score Calculation'!E351</f>
        <v>4C1X</v>
      </c>
      <c r="F359" s="357" t="str">
        <f>'Reference Score Calculation'!F351</f>
        <v>/</v>
      </c>
      <c r="G359" s="357">
        <f>'Reference Score Calculation'!G351</f>
        <v>16</v>
      </c>
      <c r="H359" s="357">
        <f>'Reference Score Calculation'!H351</f>
        <v>16</v>
      </c>
      <c r="I359" s="357">
        <f>計分版!H372</f>
        <v>1.9500000000000001E-9</v>
      </c>
      <c r="J359" s="352">
        <f>入學要求!C360</f>
        <v>10</v>
      </c>
      <c r="K359" s="352">
        <f>IFERROR(INDEX('Offer Statistics'!$FC$110:$FC$145,MATCH('A123'!A359,('Offer Statistics'!$EN$110:$EN$145),0)),"/")</f>
        <v>5</v>
      </c>
      <c r="L359" s="386">
        <f>IFERROR(INDEX('Offer Statistics'!$EP$110:$EP$145,MATCH(A359,('Offer Statistics'!$EN$110:$EN$145),0))/INDEX('Offer Statistics'!$EX$110:$EX$145,MATCH(A359,('Offer Statistics'!$EN$110:$EN$145),0)),"新科目")</f>
        <v>12.666666666666666</v>
      </c>
      <c r="M359" s="352">
        <f>入學要求!R360</f>
        <v>0</v>
      </c>
    </row>
    <row r="360" spans="1:13" x14ac:dyDescent="0.3">
      <c r="A360" s="352" t="str">
        <f>'Reference Score Calculation'!A352</f>
        <v>JS9280</v>
      </c>
      <c r="B360" s="352" t="str">
        <f>'Reference Score Calculation'!B352</f>
        <v>HKMU</v>
      </c>
      <c r="C360" s="352" t="str">
        <f>'Reference Score Calculation'!D352</f>
        <v>應用心理學榮譽學士，商業管理榮譽學士</v>
      </c>
      <c r="D360" s="352" t="str">
        <f>'Reference Score Calculation'!T352</f>
        <v>BAPH &amp; BBMH</v>
      </c>
      <c r="E360" s="352" t="str">
        <f>'Reference Score Calculation'!E352</f>
        <v>4C1X</v>
      </c>
      <c r="F360" s="357" t="str">
        <f>'Reference Score Calculation'!F352</f>
        <v>/</v>
      </c>
      <c r="G360" s="357">
        <f>'Reference Score Calculation'!G352</f>
        <v>15</v>
      </c>
      <c r="H360" s="357">
        <f>'Reference Score Calculation'!H352</f>
        <v>15</v>
      </c>
      <c r="I360" s="357">
        <f>計分版!H373</f>
        <v>1.9500000000000001E-9</v>
      </c>
      <c r="J360" s="352">
        <f>入學要求!C361</f>
        <v>30</v>
      </c>
      <c r="K360" s="352">
        <f>IFERROR(INDEX('Offer Statistics'!$FC$110:$FC$145,MATCH('A123'!A360,('Offer Statistics'!$EN$110:$EN$145),0)),"/")</f>
        <v>34</v>
      </c>
      <c r="L360" s="386">
        <f>IFERROR(INDEX('Offer Statistics'!$EP$110:$EP$145,MATCH(A360,('Offer Statistics'!$EN$110:$EN$145),0))/INDEX('Offer Statistics'!$EX$110:$EX$145,MATCH(A360,('Offer Statistics'!$EN$110:$EN$145),0)),"新科目")</f>
        <v>5.75</v>
      </c>
      <c r="M360" s="352">
        <f>入學要求!R361</f>
        <v>0</v>
      </c>
    </row>
    <row r="361" spans="1:13" x14ac:dyDescent="0.3">
      <c r="A361" s="352" t="str">
        <f>'Reference Score Calculation'!A353</f>
        <v>JS9291</v>
      </c>
      <c r="B361" s="352" t="str">
        <f>'Reference Score Calculation'!B353</f>
        <v>HKMU</v>
      </c>
      <c r="C361" s="352" t="str">
        <f>'Reference Score Calculation'!D353</f>
        <v>酒店及可持續旅遊管理榮譽工商管理學士</v>
      </c>
      <c r="D361" s="352" t="str">
        <f>'Reference Score Calculation'!T353</f>
        <v>BBA(Hons)Hotel &amp;SustTour</v>
      </c>
      <c r="E361" s="352" t="str">
        <f>'Reference Score Calculation'!E353</f>
        <v>4C1X</v>
      </c>
      <c r="F361" s="357" t="str">
        <f>'Reference Score Calculation'!F353</f>
        <v>/</v>
      </c>
      <c r="G361" s="357">
        <f>'Reference Score Calculation'!G353</f>
        <v>15</v>
      </c>
      <c r="H361" s="357">
        <f>'Reference Score Calculation'!H353</f>
        <v>15</v>
      </c>
      <c r="I361" s="357">
        <f>計分版!H374</f>
        <v>1.9500000000000001E-9</v>
      </c>
      <c r="J361" s="352">
        <f>入學要求!C362</f>
        <v>30</v>
      </c>
      <c r="K361" s="352">
        <f>IFERROR(INDEX('Offer Statistics'!$FC$110:$FC$145,MATCH('A123'!A361,('Offer Statistics'!$EN$110:$EN$145),0)),"/")</f>
        <v>75</v>
      </c>
      <c r="L361" s="386">
        <f>IFERROR(INDEX('Offer Statistics'!$EP$110:$EP$145,MATCH(A361,('Offer Statistics'!$EN$110:$EN$145),0))/INDEX('Offer Statistics'!$EX$110:$EX$145,MATCH(A361,('Offer Statistics'!$EN$110:$EN$145),0)),"新科目")</f>
        <v>10.954545454545455</v>
      </c>
      <c r="M361" s="352">
        <f>入學要求!R362</f>
        <v>0</v>
      </c>
    </row>
    <row r="362" spans="1:13" x14ac:dyDescent="0.3">
      <c r="A362" s="352" t="str">
        <f>'Reference Score Calculation'!A354</f>
        <v>JS9294</v>
      </c>
      <c r="B362" s="352" t="str">
        <f>'Reference Score Calculation'!B354</f>
        <v>HKMU</v>
      </c>
      <c r="C362" s="352" t="str">
        <f>'Reference Score Calculation'!D354</f>
        <v>運動及電競運動管理榮譽工商管理學士</v>
      </c>
      <c r="D362" s="352" t="str">
        <f>'Reference Score Calculation'!T354</f>
        <v>BBA(Hons) eSports Mgt</v>
      </c>
      <c r="E362" s="352" t="str">
        <f>'Reference Score Calculation'!E354</f>
        <v>4C1X</v>
      </c>
      <c r="F362" s="357" t="str">
        <f>'Reference Score Calculation'!F354</f>
        <v>/</v>
      </c>
      <c r="G362" s="357">
        <f>'Reference Score Calculation'!G354</f>
        <v>16</v>
      </c>
      <c r="H362" s="357">
        <f>'Reference Score Calculation'!H354</f>
        <v>14</v>
      </c>
      <c r="I362" s="357">
        <f>計分版!H375</f>
        <v>1.9500000000000001E-9</v>
      </c>
      <c r="J362" s="352">
        <f>入學要求!C363</f>
        <v>30</v>
      </c>
      <c r="K362" s="352">
        <f>IFERROR(INDEX('Offer Statistics'!$FC$110:$FC$145,MATCH('A123'!A362,('Offer Statistics'!$EN$110:$EN$145),0)),"/")</f>
        <v>40</v>
      </c>
      <c r="L362" s="386">
        <f>IFERROR(INDEX('Offer Statistics'!$EP$110:$EP$145,MATCH(A362,('Offer Statistics'!$EN$110:$EN$145),0))/INDEX('Offer Statistics'!$EX$110:$EX$145,MATCH(A362,('Offer Statistics'!$EN$110:$EN$145),0)),"新科目")</f>
        <v>14.666666666666666</v>
      </c>
      <c r="M362" s="352">
        <f>入學要求!R363</f>
        <v>0</v>
      </c>
    </row>
    <row r="363" spans="1:13" x14ac:dyDescent="0.3">
      <c r="A363" s="352" t="str">
        <f>'Reference Score Calculation'!A355</f>
        <v>JS9530</v>
      </c>
      <c r="B363" s="352" t="str">
        <f>'Reference Score Calculation'!B355</f>
        <v>HKMU</v>
      </c>
      <c r="C363" s="352" t="str">
        <f>'Reference Score Calculation'!D355</f>
        <v>英語教學榮譽教育學士及英語研究榮譽學士</v>
      </c>
      <c r="D363" s="352" t="str">
        <f>'Reference Score Calculation'!T355</f>
        <v>BEd(Hons)&amp;BEngLang(Hons)</v>
      </c>
      <c r="E363" s="352" t="str">
        <f>'Reference Score Calculation'!E355</f>
        <v>Best 5</v>
      </c>
      <c r="F363" s="357" t="str">
        <f>'Reference Score Calculation'!F355</f>
        <v>/</v>
      </c>
      <c r="G363" s="357">
        <f>'Reference Score Calculation'!G355</f>
        <v>21</v>
      </c>
      <c r="H363" s="357">
        <f>'Reference Score Calculation'!H355</f>
        <v>20</v>
      </c>
      <c r="I363" s="357">
        <f>計分版!H376</f>
        <v>3.9500000000000006E-9</v>
      </c>
      <c r="J363" s="352">
        <f>入學要求!C364</f>
        <v>30</v>
      </c>
      <c r="K363" s="352">
        <f>IFERROR(INDEX('Offer Statistics'!$FC$110:$FC$145,MATCH('A123'!A363,('Offer Statistics'!$EN$110:$EN$145),0)),"/")</f>
        <v>28</v>
      </c>
      <c r="L363" s="386">
        <f>IFERROR(INDEX('Offer Statistics'!$EP$110:$EP$145,MATCH(A363,('Offer Statistics'!$EN$110:$EN$145),0))/INDEX('Offer Statistics'!$EX$110:$EX$145,MATCH(A363,('Offer Statistics'!$EN$110:$EN$145),0)),"新科目")</f>
        <v>3.5</v>
      </c>
      <c r="M363" s="352">
        <f>入學要求!R364</f>
        <v>0</v>
      </c>
    </row>
    <row r="364" spans="1:13" x14ac:dyDescent="0.3">
      <c r="A364" s="352" t="str">
        <f>'Reference Score Calculation'!A356</f>
        <v>JS9540</v>
      </c>
      <c r="B364" s="352" t="str">
        <f>'Reference Score Calculation'!B356</f>
        <v>HKMU</v>
      </c>
      <c r="C364" s="352" t="str">
        <f>'Reference Score Calculation'!D356</f>
        <v>英語研究榮譽學士</v>
      </c>
      <c r="D364" s="352" t="str">
        <f>'Reference Score Calculation'!T356</f>
        <v>BEng Lang (Hons)</v>
      </c>
      <c r="E364" s="352" t="str">
        <f>'Reference Score Calculation'!E356</f>
        <v>Best 5</v>
      </c>
      <c r="F364" s="357" t="str">
        <f>'Reference Score Calculation'!F356</f>
        <v>/</v>
      </c>
      <c r="G364" s="357">
        <f>'Reference Score Calculation'!G356</f>
        <v>20</v>
      </c>
      <c r="H364" s="357">
        <f>'Reference Score Calculation'!H356</f>
        <v>19</v>
      </c>
      <c r="I364" s="357">
        <f>計分版!H377</f>
        <v>3.9500000000000006E-9</v>
      </c>
      <c r="J364" s="352">
        <f>入學要求!C365</f>
        <v>20</v>
      </c>
      <c r="K364" s="352">
        <f>IFERROR(INDEX('Offer Statistics'!$FC$110:$FC$145,MATCH('A123'!A364,('Offer Statistics'!$EN$110:$EN$145),0)),"/")</f>
        <v>38</v>
      </c>
      <c r="L364" s="386">
        <f>IFERROR(INDEX('Offer Statistics'!$EP$110:$EP$145,MATCH(A364,('Offer Statistics'!$EN$110:$EN$145),0))/INDEX('Offer Statistics'!$EX$110:$EX$145,MATCH(A364,('Offer Statistics'!$EN$110:$EN$145),0)),"新科目")</f>
        <v>3.6190476190476191</v>
      </c>
      <c r="M364" s="352">
        <f>入學要求!R365</f>
        <v>0</v>
      </c>
    </row>
    <row r="365" spans="1:13" x14ac:dyDescent="0.3">
      <c r="A365" s="352" t="str">
        <f>'Reference Score Calculation'!A357</f>
        <v>JS9550</v>
      </c>
      <c r="B365" s="352" t="str">
        <f>'Reference Score Calculation'!B357</f>
        <v>HKMU</v>
      </c>
      <c r="C365" s="352" t="str">
        <f>'Reference Score Calculation'!D357</f>
        <v>語言研究榮譽學士（應用中國語言）</v>
      </c>
      <c r="D365" s="352" t="str">
        <f>'Reference Score Calculation'!T357</f>
        <v>BLang(Hons) Applied Chin</v>
      </c>
      <c r="E365" s="352" t="str">
        <f>'Reference Score Calculation'!E357</f>
        <v>Best 5</v>
      </c>
      <c r="F365" s="357" t="str">
        <f>'Reference Score Calculation'!F357</f>
        <v>/</v>
      </c>
      <c r="G365" s="357">
        <f>'Reference Score Calculation'!G357</f>
        <v>22</v>
      </c>
      <c r="H365" s="357">
        <f>'Reference Score Calculation'!H357</f>
        <v>21</v>
      </c>
      <c r="I365" s="357">
        <f>計分版!H378</f>
        <v>3.9500000000000006E-9</v>
      </c>
      <c r="J365" s="352">
        <f>入學要求!C366</f>
        <v>20</v>
      </c>
      <c r="K365" s="352">
        <f>IFERROR(INDEX('Offer Statistics'!$FC$110:$FC$145,MATCH('A123'!A365,('Offer Statistics'!$EN$110:$EN$145),0)),"/")</f>
        <v>21</v>
      </c>
      <c r="L365" s="386">
        <f>IFERROR(INDEX('Offer Statistics'!$EP$110:$EP$145,MATCH(A365,('Offer Statistics'!$EN$110:$EN$145),0))/INDEX('Offer Statistics'!$EX$110:$EX$145,MATCH(A365,('Offer Statistics'!$EN$110:$EN$145),0)),"新科目")</f>
        <v>3.5384615384615383</v>
      </c>
      <c r="M365" s="352">
        <f>入學要求!R366</f>
        <v>0</v>
      </c>
    </row>
    <row r="366" spans="1:13" x14ac:dyDescent="0.3">
      <c r="A366" s="352" t="str">
        <f>'Reference Score Calculation'!A358</f>
        <v>JS9560</v>
      </c>
      <c r="B366" s="352" t="str">
        <f>'Reference Score Calculation'!B358</f>
        <v>HKMU</v>
      </c>
      <c r="C366" s="352" t="str">
        <f>'Reference Score Calculation'!D358</f>
        <v>教育榮譽學士（中國語文教學）及語言研究榮譽學士（應用中國語言）</v>
      </c>
      <c r="D366" s="352" t="str">
        <f>'Reference Score Calculation'!T358</f>
        <v>BEd(Hons)&amp;BLang(Hons)Chi</v>
      </c>
      <c r="E366" s="352" t="str">
        <f>'Reference Score Calculation'!E358</f>
        <v>Best 5</v>
      </c>
      <c r="F366" s="357" t="str">
        <f>'Reference Score Calculation'!F358</f>
        <v>/</v>
      </c>
      <c r="G366" s="357">
        <f>'Reference Score Calculation'!G358</f>
        <v>20</v>
      </c>
      <c r="H366" s="357">
        <f>'Reference Score Calculation'!H358</f>
        <v>19</v>
      </c>
      <c r="I366" s="357">
        <f>計分版!H379</f>
        <v>3.9500000000000006E-9</v>
      </c>
      <c r="J366" s="352">
        <f>入學要求!C367</f>
        <v>35</v>
      </c>
      <c r="K366" s="352">
        <f>IFERROR(INDEX('Offer Statistics'!$FC$110:$FC$145,MATCH('A123'!A366,('Offer Statistics'!$EN$110:$EN$145),0)),"/")</f>
        <v>25</v>
      </c>
      <c r="L366" s="386">
        <f>IFERROR(INDEX('Offer Statistics'!$EP$110:$EP$145,MATCH(A366,('Offer Statistics'!$EN$110:$EN$145),0))/INDEX('Offer Statistics'!$EX$110:$EX$145,MATCH(A366,('Offer Statistics'!$EN$110:$EN$145),0)),"新科目")</f>
        <v>4.75</v>
      </c>
      <c r="M366" s="352">
        <f>入學要求!R367</f>
        <v>0</v>
      </c>
    </row>
    <row r="367" spans="1:13" x14ac:dyDescent="0.3">
      <c r="A367" s="352" t="str">
        <f>'Reference Score Calculation'!A359</f>
        <v>JS9570</v>
      </c>
      <c r="B367" s="352" t="str">
        <f>'Reference Score Calculation'!B359</f>
        <v>HKMU</v>
      </c>
      <c r="C367" s="352" t="str">
        <f>'Reference Score Calculation'!D359</f>
        <v>語言硏究（雙語傳意）榮譽學士，國際商業榮譽學士</v>
      </c>
      <c r="D367" s="352" t="str">
        <f>'Reference Score Calculation'!T359</f>
        <v>BLang(Hons)BGBus(Hons)</v>
      </c>
      <c r="E367" s="352" t="str">
        <f>'Reference Score Calculation'!E359</f>
        <v>Best 5</v>
      </c>
      <c r="F367" s="357" t="str">
        <f>'Reference Score Calculation'!F359</f>
        <v>/</v>
      </c>
      <c r="G367" s="357">
        <f>'Reference Score Calculation'!G359</f>
        <v>17</v>
      </c>
      <c r="H367" s="357">
        <f>'Reference Score Calculation'!H359</f>
        <v>17</v>
      </c>
      <c r="I367" s="357">
        <f>計分版!H380</f>
        <v>3.9500000000000006E-9</v>
      </c>
      <c r="J367" s="352">
        <f>入學要求!C368</f>
        <v>15</v>
      </c>
      <c r="K367" s="352">
        <f>IFERROR(INDEX('Offer Statistics'!$FC$110:$FC$145,MATCH('A123'!A367,('Offer Statistics'!$EN$110:$EN$145),0)),"/")</f>
        <v>14</v>
      </c>
      <c r="L367" s="386">
        <f>IFERROR(INDEX('Offer Statistics'!$EP$110:$EP$145,MATCH(A367,('Offer Statistics'!$EN$110:$EN$145),0))/INDEX('Offer Statistics'!$EX$110:$EX$145,MATCH(A367,('Offer Statistics'!$EN$110:$EN$145),0)),"新科目")</f>
        <v>5.333333333333333</v>
      </c>
      <c r="M367" s="352">
        <f>入學要求!R368</f>
        <v>0</v>
      </c>
    </row>
    <row r="368" spans="1:13" x14ac:dyDescent="0.3">
      <c r="A368" s="352" t="str">
        <f>'Reference Score Calculation'!A360</f>
        <v>JS9580</v>
      </c>
      <c r="B368" s="352" t="str">
        <f>'Reference Score Calculation'!B360</f>
        <v>HKMU</v>
      </c>
      <c r="C368" s="352" t="str">
        <f>'Reference Score Calculation'!D360</f>
        <v>教育榮譽學士（幼兒教育：領導及特殊教育需要）</v>
      </c>
      <c r="D368" s="352" t="str">
        <f>'Reference Score Calculation'!T360</f>
        <v>BEd(Hons)ECE-Leader&amp;SEN</v>
      </c>
      <c r="E368" s="352" t="str">
        <f>'Reference Score Calculation'!E360</f>
        <v>Best 5</v>
      </c>
      <c r="F368" s="357" t="str">
        <f>'Reference Score Calculation'!F360</f>
        <v>/</v>
      </c>
      <c r="G368" s="357">
        <f>'Reference Score Calculation'!G360</f>
        <v>16</v>
      </c>
      <c r="H368" s="357">
        <f>'Reference Score Calculation'!H360</f>
        <v>15</v>
      </c>
      <c r="I368" s="357">
        <f>計分版!H381</f>
        <v>3.9500000000000006E-9</v>
      </c>
      <c r="J368" s="352">
        <f>入學要求!C369</f>
        <v>40</v>
      </c>
      <c r="K368" s="352">
        <f>IFERROR(INDEX('Offer Statistics'!$FC$110:$FC$145,MATCH('A123'!A368,('Offer Statistics'!$EN$110:$EN$145),0)),"/")</f>
        <v>93</v>
      </c>
      <c r="L368" s="386">
        <f>IFERROR(INDEX('Offer Statistics'!$EP$110:$EP$145,MATCH(A368,('Offer Statistics'!$EN$110:$EN$145),0))/INDEX('Offer Statistics'!$EX$110:$EX$145,MATCH(A368,('Offer Statistics'!$EN$110:$EN$145),0)),"新科目")</f>
        <v>8.8625000000000007</v>
      </c>
      <c r="M368" s="352">
        <f>入學要求!R369</f>
        <v>0</v>
      </c>
    </row>
    <row r="369" spans="1:13" x14ac:dyDescent="0.3">
      <c r="A369" s="352" t="str">
        <f>'Reference Score Calculation'!A361</f>
        <v>JS9718</v>
      </c>
      <c r="B369" s="352" t="str">
        <f>'Reference Score Calculation'!B361</f>
        <v>HKMU</v>
      </c>
      <c r="C369" s="352" t="str">
        <f>'Reference Score Calculation'!D361</f>
        <v>電腦科學榮譽理學士</v>
      </c>
      <c r="D369" s="352" t="str">
        <f>'Reference Score Calculation'!T361</f>
        <v>BSc(Hons) Comp Sci</v>
      </c>
      <c r="E369" s="352" t="str">
        <f>'Reference Score Calculation'!E361</f>
        <v>4C1X</v>
      </c>
      <c r="F369" s="357" t="str">
        <f>'Reference Score Calculation'!F361</f>
        <v>/</v>
      </c>
      <c r="G369" s="357">
        <f>'Reference Score Calculation'!G361</f>
        <v>16</v>
      </c>
      <c r="H369" s="357">
        <f>'Reference Score Calculation'!H361</f>
        <v>15</v>
      </c>
      <c r="I369" s="357">
        <f>計分版!H382</f>
        <v>1.9500000000000001E-9</v>
      </c>
      <c r="J369" s="352">
        <f>入學要求!C370</f>
        <v>35</v>
      </c>
      <c r="K369" s="352">
        <f>IFERROR(INDEX('Offer Statistics'!$FC$110:$FC$145,MATCH('A123'!A369,('Offer Statistics'!$EN$110:$EN$145),0)),"/")</f>
        <v>22</v>
      </c>
      <c r="L369" s="386">
        <f>IFERROR(INDEX('Offer Statistics'!$EP$110:$EP$145,MATCH(A369,('Offer Statistics'!$EN$110:$EN$145),0))/INDEX('Offer Statistics'!$EX$110:$EX$145,MATCH(A369,('Offer Statistics'!$EN$110:$EN$145),0)),"新科目")</f>
        <v>8.615384615384615</v>
      </c>
      <c r="M369" s="352">
        <f>入學要求!R370</f>
        <v>0</v>
      </c>
    </row>
    <row r="370" spans="1:13" x14ac:dyDescent="0.3">
      <c r="A370" s="352" t="str">
        <f>'Reference Score Calculation'!A362</f>
        <v>JS9719</v>
      </c>
      <c r="B370" s="352" t="str">
        <f>'Reference Score Calculation'!B362</f>
        <v>HKMU</v>
      </c>
      <c r="C370" s="352" t="str">
        <f>'Reference Score Calculation'!D362</f>
        <v>網路及電腦安全榮譽理學士</v>
      </c>
      <c r="D370" s="352" t="str">
        <f>'Reference Score Calculation'!T362</f>
        <v>BSc(Hons) Cyber&amp;ComSecy</v>
      </c>
      <c r="E370" s="352" t="str">
        <f>'Reference Score Calculation'!E362</f>
        <v>4C1X</v>
      </c>
      <c r="F370" s="357" t="str">
        <f>'Reference Score Calculation'!F362</f>
        <v>/</v>
      </c>
      <c r="G370" s="357">
        <f>'Reference Score Calculation'!G362</f>
        <v>16</v>
      </c>
      <c r="H370" s="357">
        <f>'Reference Score Calculation'!H362</f>
        <v>15</v>
      </c>
      <c r="I370" s="357">
        <f>計分版!H383</f>
        <v>1.9500000000000001E-9</v>
      </c>
      <c r="J370" s="352">
        <f>入學要求!C371</f>
        <v>30</v>
      </c>
      <c r="K370" s="352">
        <f>IFERROR(INDEX('Offer Statistics'!$FC$110:$FC$145,MATCH('A123'!A370,('Offer Statistics'!$EN$110:$EN$145),0)),"/")</f>
        <v>7</v>
      </c>
      <c r="L370" s="386">
        <f>IFERROR(INDEX('Offer Statistics'!$EP$110:$EP$145,MATCH(A370,('Offer Statistics'!$EN$110:$EN$145),0))/INDEX('Offer Statistics'!$EX$110:$EX$145,MATCH(A370,('Offer Statistics'!$EN$110:$EN$145),0)),"新科目")</f>
        <v>19.25</v>
      </c>
      <c r="M370" s="352">
        <f>入學要求!R371</f>
        <v>0</v>
      </c>
    </row>
    <row r="371" spans="1:13" x14ac:dyDescent="0.3">
      <c r="A371" s="352" t="str">
        <f>'Reference Score Calculation'!A363</f>
        <v>JS9720</v>
      </c>
      <c r="B371" s="352" t="str">
        <f>'Reference Score Calculation'!B363</f>
        <v>HKMU</v>
      </c>
      <c r="C371" s="352" t="str">
        <f>'Reference Score Calculation'!D363</f>
        <v>電子及電腦工程學榮譽工學士</v>
      </c>
      <c r="D371" s="352" t="str">
        <f>'Reference Score Calculation'!T363</f>
        <v>BEng(Hons)Elec &amp; CompEng</v>
      </c>
      <c r="E371" s="352" t="str">
        <f>'Reference Score Calculation'!E363</f>
        <v>4C1X</v>
      </c>
      <c r="F371" s="357" t="str">
        <f>'Reference Score Calculation'!F363</f>
        <v>/</v>
      </c>
      <c r="G371" s="357">
        <f>'Reference Score Calculation'!G363</f>
        <v>16</v>
      </c>
      <c r="H371" s="357">
        <f>'Reference Score Calculation'!H363</f>
        <v>16</v>
      </c>
      <c r="I371" s="357">
        <f>計分版!H384</f>
        <v>1.9500000000000001E-9</v>
      </c>
      <c r="J371" s="352">
        <f>入學要求!C372</f>
        <v>30</v>
      </c>
      <c r="K371" s="352">
        <f>IFERROR(INDEX('Offer Statistics'!$FC$110:$FC$145,MATCH('A123'!A371,('Offer Statistics'!$EN$110:$EN$145),0)),"/")</f>
        <v>25</v>
      </c>
      <c r="L371" s="386">
        <f>IFERROR(INDEX('Offer Statistics'!$EP$110:$EP$145,MATCH(A371,('Offer Statistics'!$EN$110:$EN$145),0))/INDEX('Offer Statistics'!$EX$110:$EX$145,MATCH(A371,('Offer Statistics'!$EN$110:$EN$145),0)),"新科目")</f>
        <v>8.8666666666666671</v>
      </c>
      <c r="M371" s="352">
        <f>入學要求!R372</f>
        <v>0</v>
      </c>
    </row>
    <row r="372" spans="1:13" x14ac:dyDescent="0.3">
      <c r="A372" s="352" t="str">
        <f>'Reference Score Calculation'!A364</f>
        <v>JS9721</v>
      </c>
      <c r="B372" s="352" t="str">
        <f>'Reference Score Calculation'!B364</f>
        <v>HKMU</v>
      </c>
      <c r="C372" s="352" t="str">
        <f>'Reference Score Calculation'!D364</f>
        <v>屋宇設備工程及可持續發展榮譽工學士</v>
      </c>
      <c r="D372" s="352" t="str">
        <f>'Reference Score Calculation'!T364</f>
        <v>BENG(Hons)BSE&amp;SustainDev</v>
      </c>
      <c r="E372" s="352" t="str">
        <f>'Reference Score Calculation'!E364</f>
        <v>4C1X</v>
      </c>
      <c r="F372" s="357" t="str">
        <f>'Reference Score Calculation'!F364</f>
        <v>/</v>
      </c>
      <c r="G372" s="357">
        <f>'Reference Score Calculation'!G364</f>
        <v>16</v>
      </c>
      <c r="H372" s="357">
        <f>'Reference Score Calculation'!H364</f>
        <v>16</v>
      </c>
      <c r="I372" s="357">
        <f>計分版!H385</f>
        <v>1.9500000000000001E-9</v>
      </c>
      <c r="J372" s="352">
        <f>入學要求!C373</f>
        <v>30</v>
      </c>
      <c r="K372" s="352">
        <f>IFERROR(INDEX('Offer Statistics'!$FC$110:$FC$145,MATCH('A123'!A372,('Offer Statistics'!$EN$110:$EN$145),0)),"/")</f>
        <v>4</v>
      </c>
      <c r="L372" s="386">
        <f>IFERROR(INDEX('Offer Statistics'!$EP$110:$EP$145,MATCH(A372,('Offer Statistics'!$EN$110:$EN$145),0))/INDEX('Offer Statistics'!$EX$110:$EX$145,MATCH(A372,('Offer Statistics'!$EN$110:$EN$145),0)),"新科目")</f>
        <v>8.25</v>
      </c>
      <c r="M372" s="352">
        <f>入學要求!R373</f>
        <v>0</v>
      </c>
    </row>
    <row r="373" spans="1:13" x14ac:dyDescent="0.3">
      <c r="A373" s="352" t="str">
        <f>'Reference Score Calculation'!A365</f>
        <v>JS9722</v>
      </c>
      <c r="B373" s="352" t="str">
        <f>'Reference Score Calculation'!B365</f>
        <v>HKMU</v>
      </c>
      <c r="C373" s="352" t="str">
        <f>'Reference Score Calculation'!D365</f>
        <v>土木及環境工程榮譽工學士</v>
      </c>
      <c r="D373" s="352" t="str">
        <f>'Reference Score Calculation'!T365</f>
        <v>BENG(Hons) Civil&amp;EnvrEng</v>
      </c>
      <c r="E373" s="352" t="str">
        <f>'Reference Score Calculation'!E365</f>
        <v>4C1X</v>
      </c>
      <c r="F373" s="357" t="str">
        <f>'Reference Score Calculation'!F365</f>
        <v>/</v>
      </c>
      <c r="G373" s="357">
        <f>'Reference Score Calculation'!G365</f>
        <v>15</v>
      </c>
      <c r="H373" s="357">
        <f>'Reference Score Calculation'!H365</f>
        <v>15</v>
      </c>
      <c r="I373" s="357">
        <f>計分版!H386</f>
        <v>1.9500000000000001E-9</v>
      </c>
      <c r="J373" s="352">
        <f>入學要求!C374</f>
        <v>30</v>
      </c>
      <c r="K373" s="352">
        <f>IFERROR(INDEX('Offer Statistics'!$FC$110:$FC$145,MATCH('A123'!A373,('Offer Statistics'!$EN$110:$EN$145),0)),"/")</f>
        <v>18</v>
      </c>
      <c r="L373" s="386">
        <f>IFERROR(INDEX('Offer Statistics'!$EP$110:$EP$145,MATCH(A373,('Offer Statistics'!$EN$110:$EN$145),0))/INDEX('Offer Statistics'!$EX$110:$EX$145,MATCH(A373,('Offer Statistics'!$EN$110:$EN$145),0)),"新科目")</f>
        <v>4.6363636363636367</v>
      </c>
      <c r="M373" s="352">
        <f>入學要求!R374</f>
        <v>0</v>
      </c>
    </row>
    <row r="374" spans="1:13" x14ac:dyDescent="0.3">
      <c r="A374" s="352" t="str">
        <f>'Reference Score Calculation'!A366</f>
        <v>JS9731</v>
      </c>
      <c r="B374" s="352" t="str">
        <f>'Reference Score Calculation'!B366</f>
        <v>HKMU</v>
      </c>
      <c r="C374" s="352" t="str">
        <f>'Reference Score Calculation'!D366</f>
        <v>環境科學與綠色管理榮譽理學士</v>
      </c>
      <c r="D374" s="352" t="str">
        <f>'Reference Score Calculation'!T366</f>
        <v>BSc(Hons)EnvSci&amp;GreenMgt</v>
      </c>
      <c r="E374" s="352" t="str">
        <f>'Reference Score Calculation'!E366</f>
        <v>4C1X</v>
      </c>
      <c r="F374" s="357" t="str">
        <f>'Reference Score Calculation'!F366</f>
        <v>/</v>
      </c>
      <c r="G374" s="357">
        <f>'Reference Score Calculation'!G366</f>
        <v>15</v>
      </c>
      <c r="H374" s="357">
        <f>'Reference Score Calculation'!H366</f>
        <v>15</v>
      </c>
      <c r="I374" s="357">
        <f>計分版!H387</f>
        <v>1.9500000000000001E-9</v>
      </c>
      <c r="J374" s="352">
        <f>入學要求!C375</f>
        <v>35</v>
      </c>
      <c r="K374" s="352">
        <f>IFERROR(INDEX('Offer Statistics'!$FC$110:$FC$145,MATCH('A123'!A374,('Offer Statistics'!$EN$110:$EN$145),0)),"/")</f>
        <v>27</v>
      </c>
      <c r="L374" s="386">
        <f>IFERROR(INDEX('Offer Statistics'!$EP$110:$EP$145,MATCH(A374,('Offer Statistics'!$EN$110:$EN$145),0))/INDEX('Offer Statistics'!$EX$110:$EX$145,MATCH(A374,('Offer Statistics'!$EN$110:$EN$145),0)),"新科目")</f>
        <v>6.45</v>
      </c>
      <c r="M374" s="352">
        <f>入學要求!R375</f>
        <v>0</v>
      </c>
    </row>
    <row r="375" spans="1:13" x14ac:dyDescent="0.3">
      <c r="A375" s="352" t="str">
        <f>'Reference Score Calculation'!A367</f>
        <v>JS9732</v>
      </c>
      <c r="B375" s="352" t="str">
        <f>'Reference Score Calculation'!B367</f>
        <v>HKMU</v>
      </c>
      <c r="C375" s="352" t="str">
        <f>'Reference Score Calculation'!D367</f>
        <v>生命科學榮譽理學士</v>
      </c>
      <c r="D375" s="352" t="str">
        <f>'Reference Score Calculation'!T367</f>
        <v>BSc(Hons) LifeSci</v>
      </c>
      <c r="E375" s="352" t="str">
        <f>'Reference Score Calculation'!E367</f>
        <v>4C1X</v>
      </c>
      <c r="F375" s="357" t="str">
        <f>'Reference Score Calculation'!F367</f>
        <v>/</v>
      </c>
      <c r="G375" s="357">
        <f>'Reference Score Calculation'!G367</f>
        <v>16</v>
      </c>
      <c r="H375" s="357">
        <f>'Reference Score Calculation'!H367</f>
        <v>15</v>
      </c>
      <c r="I375" s="357">
        <f>計分版!H388</f>
        <v>1.9500000000000001E-9</v>
      </c>
      <c r="J375" s="352">
        <f>入學要求!C376</f>
        <v>30</v>
      </c>
      <c r="K375" s="352">
        <f>IFERROR(INDEX('Offer Statistics'!$FC$110:$FC$145,MATCH('A123'!A375,('Offer Statistics'!$EN$110:$EN$145),0)),"/")</f>
        <v>25</v>
      </c>
      <c r="L375" s="386">
        <f>IFERROR(INDEX('Offer Statistics'!$EP$110:$EP$145,MATCH(A375,('Offer Statistics'!$EN$110:$EN$145),0))/INDEX('Offer Statistics'!$EX$110:$EX$145,MATCH(A375,('Offer Statistics'!$EN$110:$EN$145),0)),"新科目")</f>
        <v>3.7058823529411766</v>
      </c>
      <c r="M375" s="352">
        <f>入學要求!R376</f>
        <v>0</v>
      </c>
    </row>
    <row r="376" spans="1:13" s="352" customFormat="1" x14ac:dyDescent="0.3">
      <c r="A376" s="352" t="str">
        <f>'Reference Score Calculation'!A368</f>
        <v>JS9733</v>
      </c>
      <c r="B376" s="352" t="str">
        <f>'Reference Score Calculation'!B368</f>
        <v>HKMU</v>
      </c>
      <c r="C376" s="352" t="str">
        <f>'Reference Score Calculation'!D368</f>
        <v>科學（ＳＴＥＭ）榮譽理學士</v>
      </c>
      <c r="D376" s="352" t="str">
        <f>'Reference Score Calculation'!T368</f>
        <v>BSc(Hons)Science(STEM)</v>
      </c>
      <c r="E376" s="352" t="str">
        <f>'Reference Score Calculation'!E368</f>
        <v>2022年新科目</v>
      </c>
      <c r="F376" s="357" t="str">
        <f>'Reference Score Calculation'!F368</f>
        <v>/</v>
      </c>
      <c r="G376" s="357" t="str">
        <f>'Reference Score Calculation'!G368</f>
        <v>/</v>
      </c>
      <c r="H376" s="357" t="str">
        <f>'Reference Score Calculation'!H368</f>
        <v>/</v>
      </c>
      <c r="I376" s="357">
        <f>計分版!H389</f>
        <v>1.9500000000000001E-9</v>
      </c>
      <c r="J376" s="352">
        <f>入學要求!C377</f>
        <v>30</v>
      </c>
      <c r="K376" s="352" t="str">
        <f>IFERROR(INDEX('Offer Statistics'!$FC$110:$FC$145,MATCH('A123'!A376,('Offer Statistics'!$EN$110:$EN$145),0)),"/")</f>
        <v>/</v>
      </c>
      <c r="L376" s="386" t="str">
        <f>IFERROR(INDEX('Offer Statistics'!$EP$110:$EP$145,MATCH(A376,('Offer Statistics'!$EN$110:$EN$145),0))/INDEX('Offer Statistics'!$EX$110:$EX$145,MATCH(A376,('Offer Statistics'!$EN$110:$EN$145),0)),"新科目")</f>
        <v>新科目</v>
      </c>
      <c r="M376" s="352">
        <f>入學要求!R377</f>
        <v>0</v>
      </c>
    </row>
    <row r="377" spans="1:13" x14ac:dyDescent="0.3">
      <c r="A377" s="352"/>
      <c r="B377" s="352"/>
      <c r="C377" s="352"/>
      <c r="D377" s="352"/>
      <c r="E377" s="352"/>
      <c r="F377" s="357"/>
      <c r="G377" s="357"/>
      <c r="H377" s="357"/>
      <c r="I377" s="357"/>
      <c r="J377" s="352"/>
      <c r="M377" s="352"/>
    </row>
    <row r="378" spans="1:13" x14ac:dyDescent="0.3">
      <c r="A378" s="352"/>
      <c r="B378" s="352"/>
      <c r="C378" s="352"/>
      <c r="D378" s="352"/>
      <c r="E378" s="352"/>
      <c r="F378" s="357"/>
      <c r="G378" s="357"/>
      <c r="H378" s="357"/>
      <c r="I378" s="357"/>
      <c r="J378" s="352"/>
      <c r="K378" s="54"/>
      <c r="L378" s="133"/>
      <c r="M378" s="352"/>
    </row>
    <row r="379" spans="1:13" x14ac:dyDescent="0.3">
      <c r="A379" s="352" t="str">
        <f>'Reference Score Calculation'!A371</f>
        <v>JSSA01</v>
      </c>
      <c r="B379" s="352" t="str">
        <f>'Reference Score Calculation'!B371</f>
        <v>SSSDP</v>
      </c>
      <c r="C379" s="352" t="str">
        <f>'Reference Score Calculation'!D371</f>
        <v>護理學榮譽學士</v>
      </c>
      <c r="D379" s="352" t="str">
        <f>'Reference Score Calculation'!T371</f>
        <v>BN (Hons)</v>
      </c>
      <c r="E379" s="352" t="str">
        <f>'Reference Score Calculation'!E371</f>
        <v>4C1X</v>
      </c>
      <c r="F379" s="357" t="str">
        <f>'Reference Score Calculation'!F371</f>
        <v>/</v>
      </c>
      <c r="G379" s="357">
        <f>'Reference Score Calculation'!G371</f>
        <v>16.2</v>
      </c>
      <c r="H379" s="357" t="str">
        <f>'Reference Score Calculation'!H371</f>
        <v>/</v>
      </c>
      <c r="I379" s="357">
        <f>計分版!H392</f>
        <v>1.9000000000000001E-9</v>
      </c>
      <c r="J379" s="352">
        <f>入學要求!C380</f>
        <v>520</v>
      </c>
      <c r="K379" s="352">
        <f>IFERROR(INDEX('Offer Statistics'!$FU$140:$FU$183,MATCH('A123'!A379,('Offer Statistics'!$FF$140:$FF$183),0)),"/")</f>
        <v>530</v>
      </c>
      <c r="L379" s="386">
        <f>IFERROR(INDEX('Offer Statistics'!$FH$140:$FH$183,MATCH(A379,('Offer Statistics'!$FF$140:$FF$183),0))/INDEX('Offer Statistics'!$FP$140:$FP$183,MATCH(A379,('Offer Statistics'!$FF$140:$FF$183),0)),"新科目")</f>
        <v>5.0566037735849054</v>
      </c>
      <c r="M379" s="352">
        <f>入學要求!R380</f>
        <v>0</v>
      </c>
    </row>
    <row r="380" spans="1:13" x14ac:dyDescent="0.3">
      <c r="A380" s="352" t="str">
        <f>'Reference Score Calculation'!A372</f>
        <v>JSSA02</v>
      </c>
      <c r="B380" s="352" t="str">
        <f>'Reference Score Calculation'!B372</f>
        <v>SSSDP</v>
      </c>
      <c r="C380" s="352" t="str">
        <f>'Reference Score Calculation'!D372</f>
        <v>數碼娛樂科技（榮譽）理學士</v>
      </c>
      <c r="D380" s="352" t="str">
        <f>'Reference Score Calculation'!T372</f>
        <v>BSDET (Hons)</v>
      </c>
      <c r="E380" s="352" t="str">
        <f>'Reference Score Calculation'!E372</f>
        <v>4C1X</v>
      </c>
      <c r="F380" s="357" t="str">
        <f>'Reference Score Calculation'!F372</f>
        <v>/</v>
      </c>
      <c r="G380" s="357">
        <f>'Reference Score Calculation'!G372</f>
        <v>14.4</v>
      </c>
      <c r="H380" s="357" t="str">
        <f>'Reference Score Calculation'!H372</f>
        <v>/</v>
      </c>
      <c r="I380" s="357">
        <f>計分版!H393</f>
        <v>1.9000000000000001E-9</v>
      </c>
      <c r="J380" s="352">
        <f>入學要求!C381</f>
        <v>30</v>
      </c>
      <c r="K380" s="352">
        <f>IFERROR(INDEX('Offer Statistics'!$FU$140:$FU$183,MATCH('A123'!A380,('Offer Statistics'!$FF$140:$FF$183),0)),"/")</f>
        <v>19</v>
      </c>
      <c r="L380" s="386">
        <f>IFERROR(INDEX('Offer Statistics'!$FH$140:$FH$183,MATCH(A380,('Offer Statistics'!$FF$140:$FF$183),0))/INDEX('Offer Statistics'!$FP$140:$FP$183,MATCH(A380,('Offer Statistics'!$FF$140:$FF$183),0)),"新科目")</f>
        <v>14.818181818181818</v>
      </c>
      <c r="M380" s="352">
        <f>入學要求!R381</f>
        <v>0</v>
      </c>
    </row>
    <row r="381" spans="1:13" x14ac:dyDescent="0.3">
      <c r="A381" s="352" t="str">
        <f>'Reference Score Calculation'!A373</f>
        <v>JSSA03</v>
      </c>
      <c r="B381" s="352" t="str">
        <f>'Reference Score Calculation'!B373</f>
        <v>SSSDP</v>
      </c>
      <c r="C381" s="352" t="str">
        <f>'Reference Score Calculation'!D373</f>
        <v>物理治療學（榮譽）理學士</v>
      </c>
      <c r="D381" s="352" t="str">
        <f>'Reference Score Calculation'!T373</f>
        <v>BSPT (Hons)</v>
      </c>
      <c r="E381" s="352" t="str">
        <f>'Reference Score Calculation'!E373</f>
        <v>4C1X</v>
      </c>
      <c r="F381" s="357" t="str">
        <f>'Reference Score Calculation'!F373</f>
        <v>/</v>
      </c>
      <c r="G381" s="357">
        <f>'Reference Score Calculation'!G373</f>
        <v>18.8</v>
      </c>
      <c r="H381" s="357" t="str">
        <f>'Reference Score Calculation'!H373</f>
        <v>/</v>
      </c>
      <c r="I381" s="357">
        <f>計分版!H394</f>
        <v>1.9000000000000001E-9</v>
      </c>
      <c r="J381" s="352">
        <f>入學要求!C382</f>
        <v>50</v>
      </c>
      <c r="K381" s="352">
        <f>IFERROR(INDEX('Offer Statistics'!$FU$140:$FU$183,MATCH('A123'!A381,('Offer Statistics'!$FF$140:$FF$183),0)),"/")</f>
        <v>70</v>
      </c>
      <c r="L381" s="386">
        <f>IFERROR(INDEX('Offer Statistics'!$FH$140:$FH$183,MATCH(A381,('Offer Statistics'!$FF$140:$FF$183),0))/INDEX('Offer Statistics'!$FP$140:$FP$183,MATCH(A381,('Offer Statistics'!$FF$140:$FF$183),0)),"新科目")</f>
        <v>5.6571428571428575</v>
      </c>
      <c r="M381" s="352">
        <f>入學要求!R382</f>
        <v>0</v>
      </c>
    </row>
    <row r="382" spans="1:13" x14ac:dyDescent="0.3">
      <c r="A382" s="352" t="str">
        <f>'Reference Score Calculation'!A374</f>
        <v>JSSA04</v>
      </c>
      <c r="B382" s="352" t="str">
        <f>'Reference Score Calculation'!B374</f>
        <v>SSSDP</v>
      </c>
      <c r="C382" s="352" t="str">
        <f>'Reference Score Calculation'!D374</f>
        <v>人工智能（榮譽）理學士</v>
      </c>
      <c r="D382" s="352" t="str">
        <f>'Reference Score Calculation'!T374</f>
        <v>BSAI (Hons)</v>
      </c>
      <c r="E382" s="352" t="str">
        <f>'Reference Score Calculation'!E374</f>
        <v>4C1X</v>
      </c>
      <c r="F382" s="357" t="str">
        <f>'Reference Score Calculation'!F374</f>
        <v>/</v>
      </c>
      <c r="G382" s="357">
        <f>'Reference Score Calculation'!G374</f>
        <v>14.4</v>
      </c>
      <c r="H382" s="357" t="str">
        <f>'Reference Score Calculation'!H374</f>
        <v>/</v>
      </c>
      <c r="I382" s="357">
        <f>計分版!H395</f>
        <v>1.9000000000000001E-9</v>
      </c>
      <c r="J382" s="352">
        <f>入學要求!C383</f>
        <v>30</v>
      </c>
      <c r="K382" s="352">
        <f>IFERROR(INDEX('Offer Statistics'!$FU$140:$FU$183,MATCH('A123'!A382,('Offer Statistics'!$FF$140:$FF$183),0)),"/")</f>
        <v>18</v>
      </c>
      <c r="L382" s="386">
        <f>IFERROR(INDEX('Offer Statistics'!$FH$140:$FH$183,MATCH(A382,('Offer Statistics'!$FF$140:$FF$183),0))/INDEX('Offer Statistics'!$FP$140:$FP$183,MATCH(A382,('Offer Statistics'!$FF$140:$FF$183),0)),"新科目")</f>
        <v>8.3076923076923084</v>
      </c>
      <c r="M382" s="352">
        <f>入學要求!R383</f>
        <v>0</v>
      </c>
    </row>
    <row r="383" spans="1:13" x14ac:dyDescent="0.3">
      <c r="A383" s="352" t="str">
        <f>'Reference Score Calculation'!A375</f>
        <v>JSSC02</v>
      </c>
      <c r="B383" s="352" t="str">
        <f>'Reference Score Calculation'!B375</f>
        <v>SSSDP</v>
      </c>
      <c r="C383" s="352" t="str">
        <f>'Reference Score Calculation'!D375</f>
        <v>建築學（榮譽）理學士</v>
      </c>
      <c r="D383" s="352" t="str">
        <f>'Reference Score Calculation'!T375</f>
        <v>B.Sc (Hons) in Arch</v>
      </c>
      <c r="E383" s="352" t="str">
        <f>'Reference Score Calculation'!E375</f>
        <v>4C1X</v>
      </c>
      <c r="F383" s="357">
        <f>'Reference Score Calculation'!F375</f>
        <v>20</v>
      </c>
      <c r="G383" s="357" t="str">
        <f>'Reference Score Calculation'!G375</f>
        <v>/</v>
      </c>
      <c r="H383" s="357">
        <f>'Reference Score Calculation'!H375</f>
        <v>15</v>
      </c>
      <c r="I383" s="357">
        <f>計分版!H396</f>
        <v>1.9500000000000001E-9</v>
      </c>
      <c r="J383" s="352">
        <f>入學要求!C384</f>
        <v>60</v>
      </c>
      <c r="K383" s="352">
        <f>IFERROR(INDEX('Offer Statistics'!$FU$140:$FU$183,MATCH('A123'!A383,('Offer Statistics'!$FF$140:$FF$183),0)),"/")</f>
        <v>15</v>
      </c>
      <c r="L383" s="386">
        <f>IFERROR(INDEX('Offer Statistics'!$FH$140:$FH$183,MATCH(A383,('Offer Statistics'!$FF$140:$FF$183),0))/INDEX('Offer Statistics'!$FP$140:$FP$183,MATCH(A383,('Offer Statistics'!$FF$140:$FF$183),0)),"新科目")</f>
        <v>8</v>
      </c>
      <c r="M383" s="352">
        <f>入學要求!R384</f>
        <v>0</v>
      </c>
    </row>
    <row r="384" spans="1:13" x14ac:dyDescent="0.3">
      <c r="A384" s="352" t="str">
        <f>'Reference Score Calculation'!A376</f>
        <v>JSSC03</v>
      </c>
      <c r="B384" s="352" t="str">
        <f>'Reference Score Calculation'!B376</f>
        <v>SSSDP</v>
      </c>
      <c r="C384" s="352" t="str">
        <f>'Reference Score Calculation'!D376</f>
        <v>資訊科學（榮譽）理學士</v>
      </c>
      <c r="D384" s="352" t="str">
        <f>'Reference Score Calculation'!T376</f>
        <v>B.Sc (Hons) in CS</v>
      </c>
      <c r="E384" s="352" t="str">
        <f>'Reference Score Calculation'!E376</f>
        <v>4C1X</v>
      </c>
      <c r="F384" s="357">
        <f>'Reference Score Calculation'!F376</f>
        <v>19</v>
      </c>
      <c r="G384" s="357" t="str">
        <f>'Reference Score Calculation'!G376</f>
        <v>/</v>
      </c>
      <c r="H384" s="357">
        <f>'Reference Score Calculation'!H376</f>
        <v>17</v>
      </c>
      <c r="I384" s="357">
        <f>計分版!H397</f>
        <v>1.9500000000000001E-9</v>
      </c>
      <c r="J384" s="352">
        <f>入學要求!C385</f>
        <v>20</v>
      </c>
      <c r="K384" s="352">
        <f>IFERROR(INDEX('Offer Statistics'!$FU$140:$FU$183,MATCH('A123'!A384,('Offer Statistics'!$FF$140:$FF$183),0)),"/")</f>
        <v>7</v>
      </c>
      <c r="L384" s="386">
        <f>IFERROR(INDEX('Offer Statistics'!$FH$140:$FH$183,MATCH(A384,('Offer Statistics'!$FF$140:$FF$183),0))/INDEX('Offer Statistics'!$FP$140:$FP$183,MATCH(A384,('Offer Statistics'!$FF$140:$FF$183),0)),"新科目")</f>
        <v>48</v>
      </c>
      <c r="M384" s="352">
        <f>入學要求!R385</f>
        <v>0</v>
      </c>
    </row>
    <row r="385" spans="1:13" x14ac:dyDescent="0.3">
      <c r="A385" s="352" t="str">
        <f>'Reference Score Calculation'!A377</f>
        <v>JSSC04</v>
      </c>
      <c r="B385" s="352" t="str">
        <f>'Reference Score Calculation'!B377</f>
        <v>SSSDP</v>
      </c>
      <c r="C385" s="352" t="str">
        <f>'Reference Score Calculation'!D377</f>
        <v>傳播及跨媒體（榮譽）文學士</v>
      </c>
      <c r="D385" s="352" t="str">
        <f>'Reference Score Calculation'!T377</f>
        <v>BA (Hons) in JCC</v>
      </c>
      <c r="E385" s="352" t="str">
        <f>'Reference Score Calculation'!E377</f>
        <v>4C1X</v>
      </c>
      <c r="F385" s="357">
        <f>'Reference Score Calculation'!F377</f>
        <v>14</v>
      </c>
      <c r="G385" s="357" t="str">
        <f>'Reference Score Calculation'!G377</f>
        <v>/</v>
      </c>
      <c r="H385" s="357" t="str">
        <f>'Reference Score Calculation'!H377</f>
        <v>/</v>
      </c>
      <c r="I385" s="357">
        <f>計分版!H398</f>
        <v>1.9500000000000001E-9</v>
      </c>
      <c r="J385" s="352">
        <f>入學要求!C386</f>
        <v>20</v>
      </c>
      <c r="K385" s="352">
        <f>IFERROR(INDEX('Offer Statistics'!$FU$140:$FU$183,MATCH('A123'!A385,('Offer Statistics'!$FF$140:$FF$183),0)),"/")</f>
        <v>33</v>
      </c>
      <c r="L385" s="386">
        <f>IFERROR(INDEX('Offer Statistics'!$FH$140:$FH$183,MATCH(A385,('Offer Statistics'!$FF$140:$FF$183),0))/INDEX('Offer Statistics'!$FP$140:$FP$183,MATCH(A385,('Offer Statistics'!$FF$140:$FF$183),0)),"新科目")</f>
        <v>18.777777777777779</v>
      </c>
      <c r="M385" s="352">
        <f>入學要求!R386</f>
        <v>0</v>
      </c>
    </row>
    <row r="386" spans="1:13" x14ac:dyDescent="0.3">
      <c r="A386" s="352" t="str">
        <f>'Reference Score Calculation'!A378</f>
        <v>JSSH01</v>
      </c>
      <c r="B386" s="352" t="str">
        <f>'Reference Score Calculation'!B378</f>
        <v>SSSDP</v>
      </c>
      <c r="C386" s="352" t="str">
        <f>'Reference Score Calculation'!D378</f>
        <v>供應鏈管理工商管理（榮譽）學士</v>
      </c>
      <c r="D386" s="352" t="str">
        <f>'Reference Score Calculation'!T378</f>
        <v>BBA-SCM</v>
      </c>
      <c r="E386" s="352" t="str">
        <f>'Reference Score Calculation'!E378</f>
        <v>4C1X</v>
      </c>
      <c r="F386" s="357" t="str">
        <f>'Reference Score Calculation'!F378</f>
        <v>/</v>
      </c>
      <c r="G386" s="357">
        <f>'Reference Score Calculation'!G378</f>
        <v>16.29</v>
      </c>
      <c r="H386" s="357" t="str">
        <f>'Reference Score Calculation'!H378</f>
        <v>/</v>
      </c>
      <c r="I386" s="357">
        <f>計分版!H399</f>
        <v>1.9000000000000001E-9</v>
      </c>
      <c r="J386" s="352">
        <f>入學要求!C387</f>
        <v>105</v>
      </c>
      <c r="K386" s="352">
        <f>IFERROR(INDEX('Offer Statistics'!$FU$140:$FU$183,MATCH('A123'!A386,('Offer Statistics'!$FF$140:$FF$183),0)),"/")</f>
        <v>231</v>
      </c>
      <c r="L386" s="386">
        <f>IFERROR(INDEX('Offer Statistics'!$FH$140:$FH$183,MATCH(A386,('Offer Statistics'!$FF$140:$FF$183),0))/INDEX('Offer Statistics'!$FP$140:$FP$183,MATCH(A386,('Offer Statistics'!$FF$140:$FF$183),0)),"新科目")</f>
        <v>3.2554347826086958</v>
      </c>
      <c r="M386" s="352">
        <f>入學要求!R387</f>
        <v>0</v>
      </c>
    </row>
    <row r="387" spans="1:13" x14ac:dyDescent="0.3">
      <c r="A387" s="352" t="str">
        <f>'Reference Score Calculation'!A379</f>
        <v>JSSH02</v>
      </c>
      <c r="B387" s="352" t="str">
        <f>'Reference Score Calculation'!B379</f>
        <v>SSSDP</v>
      </c>
      <c r="C387" s="352" t="str">
        <f>'Reference Score Calculation'!D379</f>
        <v>精算及保險 （榮譽）理學士</v>
      </c>
      <c r="D387" s="352" t="str">
        <f>'Reference Score Calculation'!T379</f>
        <v>BSC-AIN</v>
      </c>
      <c r="E387" s="352" t="str">
        <f>'Reference Score Calculation'!E379</f>
        <v>4C1X</v>
      </c>
      <c r="F387" s="357" t="str">
        <f>'Reference Score Calculation'!F379</f>
        <v>/</v>
      </c>
      <c r="G387" s="357">
        <f>'Reference Score Calculation'!G379</f>
        <v>16.649999999999999</v>
      </c>
      <c r="H387" s="357" t="str">
        <f>'Reference Score Calculation'!H379</f>
        <v>/</v>
      </c>
      <c r="I387" s="357">
        <f>計分版!H400</f>
        <v>1.9000000000000001E-9</v>
      </c>
      <c r="J387" s="352">
        <f>入學要求!C388</f>
        <v>35</v>
      </c>
      <c r="K387" s="352">
        <f>IFERROR(INDEX('Offer Statistics'!$FU$140:$FU$183,MATCH('A123'!A387,('Offer Statistics'!$FF$140:$FF$183),0)),"/")</f>
        <v>46</v>
      </c>
      <c r="L387" s="386">
        <f>IFERROR(INDEX('Offer Statistics'!$FH$140:$FH$183,MATCH(A387,('Offer Statistics'!$FF$140:$FF$183),0))/INDEX('Offer Statistics'!$FP$140:$FP$183,MATCH(A387,('Offer Statistics'!$FF$140:$FF$183),0)),"新科目")</f>
        <v>4.387096774193548</v>
      </c>
      <c r="M387" s="352">
        <f>入學要求!R388</f>
        <v>0</v>
      </c>
    </row>
    <row r="388" spans="1:13" x14ac:dyDescent="0.3">
      <c r="A388" s="352" t="str">
        <f>'Reference Score Calculation'!A380</f>
        <v>JSSH03</v>
      </c>
      <c r="B388" s="352" t="str">
        <f>'Reference Score Calculation'!B380</f>
        <v>SSSDP</v>
      </c>
      <c r="C388" s="352" t="str">
        <f>'Reference Score Calculation'!D380</f>
        <v>計算機應用（榮譽）理學士</v>
      </c>
      <c r="D388" s="352" t="str">
        <f>'Reference Score Calculation'!T380</f>
        <v>BSC-AC</v>
      </c>
      <c r="E388" s="352" t="str">
        <f>'Reference Score Calculation'!E380</f>
        <v>4C1X</v>
      </c>
      <c r="F388" s="357" t="str">
        <f>'Reference Score Calculation'!F380</f>
        <v>/</v>
      </c>
      <c r="G388" s="357">
        <f>'Reference Score Calculation'!G380</f>
        <v>16.03</v>
      </c>
      <c r="H388" s="357" t="str">
        <f>'Reference Score Calculation'!H380</f>
        <v>/</v>
      </c>
      <c r="I388" s="357">
        <f>計分版!H401</f>
        <v>1.9000000000000001E-9</v>
      </c>
      <c r="J388" s="352">
        <f>入學要求!C389</f>
        <v>60</v>
      </c>
      <c r="K388" s="352">
        <f>IFERROR(INDEX('Offer Statistics'!$FU$140:$FU$183,MATCH('A123'!A388,('Offer Statistics'!$FF$140:$FF$183),0)),"/")</f>
        <v>48</v>
      </c>
      <c r="L388" s="386">
        <f>IFERROR(INDEX('Offer Statistics'!$FH$140:$FH$183,MATCH(A388,('Offer Statistics'!$FF$140:$FF$183),0))/INDEX('Offer Statistics'!$FP$140:$FP$183,MATCH(A388,('Offer Statistics'!$FF$140:$FF$183),0)),"新科目")</f>
        <v>4.9512195121951219</v>
      </c>
      <c r="M388" s="352">
        <f>入學要求!R389</f>
        <v>0</v>
      </c>
    </row>
    <row r="389" spans="1:13" x14ac:dyDescent="0.3">
      <c r="A389" s="352" t="str">
        <f>'Reference Score Calculation'!A381</f>
        <v>JSSH04</v>
      </c>
      <c r="B389" s="352" t="str">
        <f>'Reference Score Calculation'!B381</f>
        <v>SSSDP</v>
      </c>
      <c r="C389" s="352" t="str">
        <f>'Reference Score Calculation'!D381</f>
        <v>數據科學及商業智能學（榮譽）理學士</v>
      </c>
      <c r="D389" s="352" t="str">
        <f>'Reference Score Calculation'!T381</f>
        <v>BSC-DSBI</v>
      </c>
      <c r="E389" s="352" t="str">
        <f>'Reference Score Calculation'!E381</f>
        <v>4C1X</v>
      </c>
      <c r="F389" s="357" t="str">
        <f>'Reference Score Calculation'!F381</f>
        <v>/</v>
      </c>
      <c r="G389" s="357">
        <f>'Reference Score Calculation'!G381</f>
        <v>16.239999999999998</v>
      </c>
      <c r="H389" s="357" t="str">
        <f>'Reference Score Calculation'!H381</f>
        <v>/</v>
      </c>
      <c r="I389" s="357">
        <f>計分版!H402</f>
        <v>1.9000000000000001E-9</v>
      </c>
      <c r="J389" s="352">
        <f>入學要求!C390</f>
        <v>70</v>
      </c>
      <c r="K389" s="352">
        <f>IFERROR(INDEX('Offer Statistics'!$FU$140:$FU$183,MATCH('A123'!A389,('Offer Statistics'!$FF$140:$FF$183),0)),"/")</f>
        <v>82</v>
      </c>
      <c r="L389" s="386">
        <f>IFERROR(INDEX('Offer Statistics'!$FH$140:$FH$183,MATCH(A389,('Offer Statistics'!$FF$140:$FF$183),0))/INDEX('Offer Statistics'!$FP$140:$FP$183,MATCH(A389,('Offer Statistics'!$FF$140:$FF$183),0)),"新科目")</f>
        <v>4.278688524590164</v>
      </c>
      <c r="M389" s="352">
        <f>入學要求!R390</f>
        <v>0</v>
      </c>
    </row>
    <row r="390" spans="1:13" x14ac:dyDescent="0.3">
      <c r="A390" s="352" t="str">
        <f>'Reference Score Calculation'!A382</f>
        <v>JSSH05</v>
      </c>
      <c r="B390" s="352" t="str">
        <f>'Reference Score Calculation'!B382</f>
        <v>SSSDP</v>
      </c>
      <c r="C390" s="352" t="str">
        <f>'Reference Score Calculation'!D382</f>
        <v>管理科學與資訊管理（榮譽）學士</v>
      </c>
      <c r="D390" s="352" t="str">
        <f>'Reference Score Calculation'!T382</f>
        <v>BMSIM</v>
      </c>
      <c r="E390" s="352" t="str">
        <f>'Reference Score Calculation'!E382</f>
        <v>4C1X</v>
      </c>
      <c r="F390" s="357" t="str">
        <f>'Reference Score Calculation'!F382</f>
        <v>/</v>
      </c>
      <c r="G390" s="357">
        <f>'Reference Score Calculation'!G382</f>
        <v>16.559999999999999</v>
      </c>
      <c r="H390" s="357" t="str">
        <f>'Reference Score Calculation'!H382</f>
        <v>/</v>
      </c>
      <c r="I390" s="357">
        <f>計分版!H403</f>
        <v>1.9000000000000001E-9</v>
      </c>
      <c r="J390" s="352">
        <f>入學要求!C391</f>
        <v>65</v>
      </c>
      <c r="K390" s="352">
        <f>IFERROR(INDEX('Offer Statistics'!$FU$140:$FU$183,MATCH('A123'!A390,('Offer Statistics'!$FF$140:$FF$183),0)),"/")</f>
        <v>98</v>
      </c>
      <c r="L390" s="386">
        <f>IFERROR(INDEX('Offer Statistics'!$FH$140:$FH$183,MATCH(A390,('Offer Statistics'!$FF$140:$FF$183),0))/INDEX('Offer Statistics'!$FP$140:$FP$183,MATCH(A390,('Offer Statistics'!$FF$140:$FF$183),0)),"新科目")</f>
        <v>4.9523809523809526</v>
      </c>
      <c r="M390" s="352">
        <f>入學要求!R391</f>
        <v>0</v>
      </c>
    </row>
    <row r="391" spans="1:13" x14ac:dyDescent="0.3">
      <c r="A391" s="352" t="str">
        <f>'Reference Score Calculation'!A383</f>
        <v>JSSH06</v>
      </c>
      <c r="B391" s="352" t="str">
        <f>'Reference Score Calculation'!B383</f>
        <v>SSSDP</v>
      </c>
      <c r="C391" s="352" t="str">
        <f>'Reference Score Calculation'!D383</f>
        <v>藝術設計（榮譽）文學士</v>
      </c>
      <c r="D391" s="352" t="str">
        <f>'Reference Score Calculation'!T383</f>
        <v>BA-AD</v>
      </c>
      <c r="E391" s="352" t="str">
        <f>'Reference Score Calculation'!E383</f>
        <v>4C1X</v>
      </c>
      <c r="F391" s="357" t="str">
        <f>'Reference Score Calculation'!F383</f>
        <v>/</v>
      </c>
      <c r="G391" s="357">
        <f>'Reference Score Calculation'!G383</f>
        <v>16.440000000000001</v>
      </c>
      <c r="H391" s="357" t="str">
        <f>'Reference Score Calculation'!H383</f>
        <v>/</v>
      </c>
      <c r="I391" s="357">
        <f>計分版!H404</f>
        <v>1.9000000000000001E-9</v>
      </c>
      <c r="J391" s="352">
        <f>入學要求!C392</f>
        <v>40</v>
      </c>
      <c r="K391" s="352">
        <f>IFERROR(INDEX('Offer Statistics'!$FU$140:$FU$183,MATCH('A123'!A391,('Offer Statistics'!$FF$140:$FF$183),0)),"/")</f>
        <v>61</v>
      </c>
      <c r="L391" s="386">
        <f>IFERROR(INDEX('Offer Statistics'!$FH$140:$FH$183,MATCH(A391,('Offer Statistics'!$FF$140:$FF$183),0))/INDEX('Offer Statistics'!$FP$140:$FP$183,MATCH(A391,('Offer Statistics'!$FF$140:$FF$183),0)),"新科目")</f>
        <v>6.6875</v>
      </c>
      <c r="M391" s="352">
        <f>入學要求!R392</f>
        <v>0</v>
      </c>
    </row>
    <row r="392" spans="1:13" x14ac:dyDescent="0.3">
      <c r="A392" s="352" t="str">
        <f>'Reference Score Calculation'!A384</f>
        <v>JSST01</v>
      </c>
      <c r="B392" s="352" t="str">
        <f>'Reference Score Calculation'!B384</f>
        <v>SSSDP</v>
      </c>
      <c r="C392" s="352" t="str">
        <f>'Reference Score Calculation'!D384</f>
        <v>護理學（榮譽）健康科學學士</v>
      </c>
      <c r="D392" s="352" t="str">
        <f>'Reference Score Calculation'!T384</f>
        <v>BHSc(N)</v>
      </c>
      <c r="E392" s="352" t="str">
        <f>'Reference Score Calculation'!E384</f>
        <v>Best 5</v>
      </c>
      <c r="F392" s="357" t="str">
        <f>'Reference Score Calculation'!F384</f>
        <v>/</v>
      </c>
      <c r="G392" s="357">
        <f>'Reference Score Calculation'!G384</f>
        <v>17.5</v>
      </c>
      <c r="H392" s="357" t="str">
        <f>'Reference Score Calculation'!H384</f>
        <v>/</v>
      </c>
      <c r="I392" s="357">
        <f>計分版!H405</f>
        <v>3.3999999999999998E-9</v>
      </c>
      <c r="J392" s="352">
        <f>入學要求!C393</f>
        <v>350</v>
      </c>
      <c r="K392" s="352">
        <f>IFERROR(INDEX('Offer Statistics'!$FU$140:$FU$183,MATCH('A123'!A392,('Offer Statistics'!$FF$140:$FF$183),0)),"/")</f>
        <v>550</v>
      </c>
      <c r="L392" s="386">
        <f>IFERROR(INDEX('Offer Statistics'!$FH$140:$FH$183,MATCH(A392,('Offer Statistics'!$FF$140:$FF$183),0))/INDEX('Offer Statistics'!$FP$140:$FP$183,MATCH(A392,('Offer Statistics'!$FF$140:$FF$183),0)),"新科目")</f>
        <v>4.182389937106918</v>
      </c>
      <c r="M392" s="352">
        <f>入學要求!R393</f>
        <v>0</v>
      </c>
    </row>
    <row r="393" spans="1:13" x14ac:dyDescent="0.3">
      <c r="A393" s="352" t="str">
        <f>'Reference Score Calculation'!A385</f>
        <v>JSST02</v>
      </c>
      <c r="B393" s="352" t="str">
        <f>'Reference Score Calculation'!B385</f>
        <v>SSSDP</v>
      </c>
      <c r="C393" s="352" t="str">
        <f>'Reference Score Calculation'!D385</f>
        <v>醫療化驗科學（榮譽）理學士</v>
      </c>
      <c r="D393" s="352" t="str">
        <f>'Reference Score Calculation'!T385</f>
        <v>BSc(MLSc)</v>
      </c>
      <c r="E393" s="352" t="str">
        <f>'Reference Score Calculation'!E385</f>
        <v>Best 5</v>
      </c>
      <c r="F393" s="357" t="str">
        <f>'Reference Score Calculation'!F385</f>
        <v>/</v>
      </c>
      <c r="G393" s="357">
        <f>'Reference Score Calculation'!G385</f>
        <v>21.5</v>
      </c>
      <c r="H393" s="357" t="str">
        <f>'Reference Score Calculation'!H385</f>
        <v>/</v>
      </c>
      <c r="I393" s="357">
        <f>計分版!H406</f>
        <v>3.3999999999999998E-9</v>
      </c>
      <c r="J393" s="352">
        <f>入學要求!C394</f>
        <v>45</v>
      </c>
      <c r="K393" s="352">
        <f>IFERROR(INDEX('Offer Statistics'!$FU$140:$FU$183,MATCH('A123'!A393,('Offer Statistics'!$FF$140:$FF$183),0)),"/")</f>
        <v>52</v>
      </c>
      <c r="L393" s="386">
        <f>IFERROR(INDEX('Offer Statistics'!$FH$140:$FH$183,MATCH(A393,('Offer Statistics'!$FF$140:$FF$183),0))/INDEX('Offer Statistics'!$FP$140:$FP$183,MATCH(A393,('Offer Statistics'!$FF$140:$FF$183),0)),"新科目")</f>
        <v>4.8235294117647056</v>
      </c>
      <c r="M393" s="352">
        <f>入學要求!R394</f>
        <v>0</v>
      </c>
    </row>
    <row r="394" spans="1:13" x14ac:dyDescent="0.3">
      <c r="A394" s="352" t="str">
        <f>'Reference Score Calculation'!A386</f>
        <v>JSST03</v>
      </c>
      <c r="B394" s="352" t="str">
        <f>'Reference Score Calculation'!B386</f>
        <v>SSSDP</v>
      </c>
      <c r="C394" s="352" t="str">
        <f>'Reference Score Calculation'!D386</f>
        <v>放射治療學（榮譽）理學士</v>
      </c>
      <c r="D394" s="352" t="str">
        <f>'Reference Score Calculation'!T386</f>
        <v>BSc(RT)</v>
      </c>
      <c r="E394" s="352" t="str">
        <f>'Reference Score Calculation'!E386</f>
        <v>Best 5</v>
      </c>
      <c r="F394" s="357" t="str">
        <f>'Reference Score Calculation'!F386</f>
        <v>/</v>
      </c>
      <c r="G394" s="357">
        <f>'Reference Score Calculation'!G386</f>
        <v>23.9</v>
      </c>
      <c r="H394" s="357" t="str">
        <f>'Reference Score Calculation'!H386</f>
        <v>/</v>
      </c>
      <c r="I394" s="357">
        <f>計分版!H407</f>
        <v>3.3999999999999998E-9</v>
      </c>
      <c r="J394" s="352">
        <f>入學要求!C395</f>
        <v>20</v>
      </c>
      <c r="K394" s="352">
        <f>IFERROR(INDEX('Offer Statistics'!$FU$140:$FU$183,MATCH('A123'!A394,('Offer Statistics'!$FF$140:$FF$183),0)),"/")</f>
        <v>17</v>
      </c>
      <c r="L394" s="386">
        <f>IFERROR(INDEX('Offer Statistics'!$FH$140:$FH$183,MATCH(A394,('Offer Statistics'!$FF$140:$FF$183),0))/INDEX('Offer Statistics'!$FP$140:$FP$183,MATCH(A394,('Offer Statistics'!$FF$140:$FF$183),0)),"新科目")</f>
        <v>11.941176470588236</v>
      </c>
      <c r="M394" s="352">
        <f>入學要求!R395</f>
        <v>0</v>
      </c>
    </row>
    <row r="395" spans="1:13" x14ac:dyDescent="0.3">
      <c r="A395" s="352" t="str">
        <f>'Reference Score Calculation'!A387</f>
        <v>JSST04</v>
      </c>
      <c r="B395" s="352" t="str">
        <f>'Reference Score Calculation'!B387</f>
        <v>SSSDP</v>
      </c>
      <c r="C395" s="352" t="str">
        <f>'Reference Score Calculation'!D387</f>
        <v>職業治療學（榮譽）理學士</v>
      </c>
      <c r="D395" s="352" t="str">
        <f>'Reference Score Calculation'!T387</f>
        <v>BSc(OT)</v>
      </c>
      <c r="E395" s="352" t="str">
        <f>'Reference Score Calculation'!E387</f>
        <v>Best 5</v>
      </c>
      <c r="F395" s="357" t="str">
        <f>'Reference Score Calculation'!F387</f>
        <v>/</v>
      </c>
      <c r="G395" s="357">
        <f>'Reference Score Calculation'!G387</f>
        <v>21.9</v>
      </c>
      <c r="H395" s="357" t="str">
        <f>'Reference Score Calculation'!H387</f>
        <v>/</v>
      </c>
      <c r="I395" s="357">
        <f>計分版!H408</f>
        <v>3.3999999999999998E-9</v>
      </c>
      <c r="J395" s="352">
        <f>入學要求!C396</f>
        <v>60</v>
      </c>
      <c r="K395" s="352">
        <f>IFERROR(INDEX('Offer Statistics'!$FU$140:$FU$183,MATCH('A123'!A395,('Offer Statistics'!$FF$140:$FF$183),0)),"/")</f>
        <v>69</v>
      </c>
      <c r="L395" s="386">
        <f>IFERROR(INDEX('Offer Statistics'!$FH$140:$FH$183,MATCH(A395,('Offer Statistics'!$FF$140:$FF$183),0))/INDEX('Offer Statistics'!$FP$140:$FP$183,MATCH(A395,('Offer Statistics'!$FF$140:$FF$183),0)),"新科目")</f>
        <v>5.6086956521739131</v>
      </c>
      <c r="M395" s="352">
        <f>入學要求!R396</f>
        <v>0</v>
      </c>
    </row>
    <row r="396" spans="1:13" x14ac:dyDescent="0.3">
      <c r="A396" s="352" t="str">
        <f>'Reference Score Calculation'!A388</f>
        <v>JSST05</v>
      </c>
      <c r="B396" s="352" t="str">
        <f>'Reference Score Calculation'!B388</f>
        <v>SSSDP</v>
      </c>
      <c r="C396" s="352" t="str">
        <f>'Reference Score Calculation'!D388</f>
        <v>物理治療學(榮譽)理學士</v>
      </c>
      <c r="D396" s="352" t="str">
        <f>'Reference Score Calculation'!T388</f>
        <v>BSc(PT)</v>
      </c>
      <c r="E396" s="352" t="str">
        <f>'Reference Score Calculation'!E388</f>
        <v>Best 5</v>
      </c>
      <c r="F396" s="357" t="str">
        <f>'Reference Score Calculation'!F388</f>
        <v>/</v>
      </c>
      <c r="G396" s="357">
        <f>'Reference Score Calculation'!G388</f>
        <v>24</v>
      </c>
      <c r="H396" s="357" t="str">
        <f>'Reference Score Calculation'!H388</f>
        <v>/</v>
      </c>
      <c r="I396" s="357">
        <f>計分版!H409</f>
        <v>3.3999999999999998E-9</v>
      </c>
      <c r="J396" s="352">
        <f>入學要求!C397</f>
        <v>50</v>
      </c>
      <c r="K396" s="352">
        <f>IFERROR(INDEX('Offer Statistics'!$FU$140:$FU$183,MATCH('A123'!A396,('Offer Statistics'!$FF$140:$FF$183),0)),"/")</f>
        <v>58</v>
      </c>
      <c r="L396" s="386">
        <f>IFERROR(INDEX('Offer Statistics'!$FH$140:$FH$183,MATCH(A396,('Offer Statistics'!$FF$140:$FF$183),0))/INDEX('Offer Statistics'!$FP$140:$FP$183,MATCH(A396,('Offer Statistics'!$FF$140:$FF$183),0)),"新科目")</f>
        <v>6.6842105263157894</v>
      </c>
      <c r="M396" s="352">
        <f>入學要求!R397</f>
        <v>0</v>
      </c>
    </row>
    <row r="397" spans="1:13" x14ac:dyDescent="0.3">
      <c r="A397" s="352" t="str">
        <f>'Reference Score Calculation'!A389</f>
        <v>JSST06</v>
      </c>
      <c r="B397" s="352" t="str">
        <f>'Reference Score Calculation'!B389</f>
        <v>SSSDP</v>
      </c>
      <c r="C397" s="352" t="str">
        <f>'Reference Score Calculation'!D389</f>
        <v>應用老年學(榮譽)理學士</v>
      </c>
      <c r="D397" s="352" t="str">
        <f>'Reference Score Calculation'!T389</f>
        <v>BSc(AG)</v>
      </c>
      <c r="E397" s="352" t="str">
        <f>'Reference Score Calculation'!E389</f>
        <v>2022年新科目</v>
      </c>
      <c r="F397" s="357" t="str">
        <f>'Reference Score Calculation'!F389</f>
        <v>/</v>
      </c>
      <c r="G397" s="357" t="str">
        <f>'Reference Score Calculation'!G389</f>
        <v>/</v>
      </c>
      <c r="H397" s="357" t="str">
        <f>'Reference Score Calculation'!H389</f>
        <v>/</v>
      </c>
      <c r="I397" s="357">
        <f>計分版!H410</f>
        <v>3.3999999999999998E-9</v>
      </c>
      <c r="J397" s="352">
        <f>入學要求!C398</f>
        <v>50</v>
      </c>
      <c r="K397" s="352" t="str">
        <f>IFERROR(INDEX('Offer Statistics'!$FU$140:$FU$183,MATCH('A123'!A397,('Offer Statistics'!$FF$140:$FF$183),0)),"/")</f>
        <v>/</v>
      </c>
      <c r="L397" s="386" t="str">
        <f>IFERROR(INDEX('Offer Statistics'!$FH$140:$FH$183,MATCH(A397,('Offer Statistics'!$FF$140:$FF$183),0))/INDEX('Offer Statistics'!$FP$140:$FP$183,MATCH(A397,('Offer Statistics'!$FF$140:$FF$183),0)),"新科目")</f>
        <v>新科目</v>
      </c>
      <c r="M397" s="352">
        <f>入學要求!R398</f>
        <v>0</v>
      </c>
    </row>
    <row r="398" spans="1:13" x14ac:dyDescent="0.3">
      <c r="A398" s="352" t="str">
        <f>'Reference Score Calculation'!A390</f>
        <v>JSSU12</v>
      </c>
      <c r="B398" s="352" t="str">
        <f>'Reference Score Calculation'!B390</f>
        <v>SSSDP</v>
      </c>
      <c r="C398" s="352" t="str">
        <f>'Reference Score Calculation'!D390</f>
        <v>創意寫作與電影藝術榮譽文學士</v>
      </c>
      <c r="D398" s="352" t="str">
        <f>'Reference Score Calculation'!T390</f>
        <v>BA(Hons) CreWri&amp;FilmArts</v>
      </c>
      <c r="E398" s="352" t="str">
        <f>'Reference Score Calculation'!E390</f>
        <v>4C1X</v>
      </c>
      <c r="F398" s="357" t="str">
        <f>'Reference Score Calculation'!F390</f>
        <v>/</v>
      </c>
      <c r="G398" s="357">
        <f>'Reference Score Calculation'!G390</f>
        <v>19</v>
      </c>
      <c r="H398" s="357">
        <f>'Reference Score Calculation'!H390</f>
        <v>18</v>
      </c>
      <c r="I398" s="357">
        <f>計分版!H411</f>
        <v>2.0999999999999998E-9</v>
      </c>
      <c r="J398" s="352">
        <f>入學要求!C399</f>
        <v>80</v>
      </c>
      <c r="K398" s="352">
        <f>IFERROR(INDEX('Offer Statistics'!$FU$140:$FU$183,MATCH('A123'!A398,('Offer Statistics'!$FF$140:$FF$183),0)),"/")</f>
        <v>113</v>
      </c>
      <c r="L398" s="386">
        <f>IFERROR(INDEX('Offer Statistics'!$FH$140:$FH$183,MATCH(A398,('Offer Statistics'!$FF$140:$FF$183),0))/INDEX('Offer Statistics'!$FP$140:$FP$183,MATCH(A398,('Offer Statistics'!$FF$140:$FF$183),0)),"新科目")</f>
        <v>4.8630136986301373</v>
      </c>
      <c r="M398" s="352">
        <f>入學要求!R399</f>
        <v>0</v>
      </c>
    </row>
    <row r="399" spans="1:13" x14ac:dyDescent="0.3">
      <c r="A399" s="352" t="str">
        <f>'Reference Score Calculation'!A391</f>
        <v>JSSU14</v>
      </c>
      <c r="B399" s="352" t="str">
        <f>'Reference Score Calculation'!B391</f>
        <v>SSSDP</v>
      </c>
      <c r="C399" s="352" t="str">
        <f>'Reference Score Calculation'!D391</f>
        <v>動畫及視覺特效榮譽藝術學士</v>
      </c>
      <c r="D399" s="352" t="str">
        <f>'Reference Score Calculation'!T391</f>
        <v>BFA (Hons) Animation VE</v>
      </c>
      <c r="E399" s="352" t="str">
        <f>'Reference Score Calculation'!E391</f>
        <v>4C1X</v>
      </c>
      <c r="F399" s="357" t="str">
        <f>'Reference Score Calculation'!F391</f>
        <v>/</v>
      </c>
      <c r="G399" s="357">
        <f>'Reference Score Calculation'!G391</f>
        <v>16</v>
      </c>
      <c r="H399" s="357">
        <f>'Reference Score Calculation'!H391</f>
        <v>15</v>
      </c>
      <c r="I399" s="357">
        <f>計分版!H412</f>
        <v>1.9500000000000001E-9</v>
      </c>
      <c r="J399" s="352">
        <f>入學要求!C400</f>
        <v>80</v>
      </c>
      <c r="K399" s="352">
        <f>IFERROR(INDEX('Offer Statistics'!$FU$140:$FU$183,MATCH('A123'!A399,('Offer Statistics'!$FF$140:$FF$183),0)),"/")</f>
        <v>86</v>
      </c>
      <c r="L399" s="386">
        <f>IFERROR(INDEX('Offer Statistics'!$FH$140:$FH$183,MATCH(A399,('Offer Statistics'!$FF$140:$FF$183),0))/INDEX('Offer Statistics'!$FP$140:$FP$183,MATCH(A399,('Offer Statistics'!$FF$140:$FF$183),0)),"新科目")</f>
        <v>8.721311475409836</v>
      </c>
      <c r="M399" s="352">
        <f>入學要求!R400</f>
        <v>0</v>
      </c>
    </row>
    <row r="400" spans="1:13" x14ac:dyDescent="0.3">
      <c r="A400" s="352" t="str">
        <f>'Reference Score Calculation'!A392</f>
        <v>JSSU15</v>
      </c>
      <c r="B400" s="352" t="str">
        <f>'Reference Score Calculation'!B392</f>
        <v>SSSDP</v>
      </c>
      <c r="C400" s="352" t="str">
        <f>'Reference Score Calculation'!D392</f>
        <v>影像設計及數碼藝術榮譽藝術學士</v>
      </c>
      <c r="D400" s="352" t="str">
        <f>'Reference Score Calculation'!T392</f>
        <v>BFA (Hons) IDDA</v>
      </c>
      <c r="E400" s="352" t="str">
        <f>'Reference Score Calculation'!E392</f>
        <v>4C1X</v>
      </c>
      <c r="F400" s="357" t="str">
        <f>'Reference Score Calculation'!F392</f>
        <v>/</v>
      </c>
      <c r="G400" s="357">
        <f>'Reference Score Calculation'!G392</f>
        <v>17</v>
      </c>
      <c r="H400" s="357">
        <f>'Reference Score Calculation'!H392</f>
        <v>15</v>
      </c>
      <c r="I400" s="357">
        <f>計分版!H413</f>
        <v>1.9500000000000001E-9</v>
      </c>
      <c r="J400" s="352">
        <f>入學要求!C401</f>
        <v>80</v>
      </c>
      <c r="K400" s="352">
        <f>IFERROR(INDEX('Offer Statistics'!$FU$140:$FU$183,MATCH('A123'!A400,('Offer Statistics'!$FF$140:$FF$183),0)),"/")</f>
        <v>47</v>
      </c>
      <c r="L400" s="386">
        <f>IFERROR(INDEX('Offer Statistics'!$FH$140:$FH$183,MATCH(A400,('Offer Statistics'!$FF$140:$FF$183),0))/INDEX('Offer Statistics'!$FP$140:$FP$183,MATCH(A400,('Offer Statistics'!$FF$140:$FF$183),0)),"新科目")</f>
        <v>9</v>
      </c>
      <c r="M400" s="352">
        <f>入學要求!R401</f>
        <v>0</v>
      </c>
    </row>
    <row r="401" spans="1:13" x14ac:dyDescent="0.3">
      <c r="A401" s="352" t="str">
        <f>'Reference Score Calculation'!A393</f>
        <v>JSSU40</v>
      </c>
      <c r="B401" s="352" t="str">
        <f>'Reference Score Calculation'!B393</f>
        <v>SSSDP</v>
      </c>
      <c r="C401" s="352" t="str">
        <f>'Reference Score Calculation'!D393</f>
        <v>護理學榮譽學士（普通科）</v>
      </c>
      <c r="D401" s="352" t="str">
        <f>'Reference Score Calculation'!T393</f>
        <v>BNursing (Hons) General</v>
      </c>
      <c r="E401" s="352" t="str">
        <f>'Reference Score Calculation'!E393</f>
        <v>4C1X</v>
      </c>
      <c r="F401" s="357" t="str">
        <f>'Reference Score Calculation'!F393</f>
        <v>/</v>
      </c>
      <c r="G401" s="357">
        <f>'Reference Score Calculation'!G393</f>
        <v>20</v>
      </c>
      <c r="H401" s="357">
        <f>'Reference Score Calculation'!H393</f>
        <v>19</v>
      </c>
      <c r="I401" s="357">
        <f>計分版!H414</f>
        <v>1.9500000000000001E-9</v>
      </c>
      <c r="J401" s="352">
        <f>入學要求!C402</f>
        <v>385</v>
      </c>
      <c r="K401" s="352">
        <f>IFERROR(INDEX('Offer Statistics'!$FU$140:$FU$183,MATCH('A123'!A401,('Offer Statistics'!$FF$140:$FF$183),0)),"/")</f>
        <v>375</v>
      </c>
      <c r="L401" s="386">
        <f>IFERROR(INDEX('Offer Statistics'!$FH$140:$FH$183,MATCH(A401,('Offer Statistics'!$FF$140:$FF$183),0))/INDEX('Offer Statistics'!$FP$140:$FP$183,MATCH(A401,('Offer Statistics'!$FF$140:$FF$183),0)),"新科目")</f>
        <v>5.8159999999999998</v>
      </c>
      <c r="M401" s="352">
        <f>入學要求!R402</f>
        <v>0</v>
      </c>
    </row>
    <row r="402" spans="1:13" x14ac:dyDescent="0.3">
      <c r="A402" s="352" t="str">
        <f>'Reference Score Calculation'!A394</f>
        <v>JSSU50</v>
      </c>
      <c r="B402" s="352" t="str">
        <f>'Reference Score Calculation'!B394</f>
        <v>SSSDP</v>
      </c>
      <c r="C402" s="352" t="str">
        <f>'Reference Score Calculation'!D394</f>
        <v>護理學榮譽學士（精神科）</v>
      </c>
      <c r="D402" s="352" t="str">
        <f>'Reference Score Calculation'!T394</f>
        <v>BNursing (Hons) Mental</v>
      </c>
      <c r="E402" s="352" t="str">
        <f>'Reference Score Calculation'!E394</f>
        <v>4C1X</v>
      </c>
      <c r="F402" s="357" t="str">
        <f>'Reference Score Calculation'!F394</f>
        <v>/</v>
      </c>
      <c r="G402" s="357">
        <f>'Reference Score Calculation'!G394</f>
        <v>17</v>
      </c>
      <c r="H402" s="357">
        <f>'Reference Score Calculation'!H394</f>
        <v>16</v>
      </c>
      <c r="I402" s="357">
        <f>計分版!H415</f>
        <v>1.9500000000000001E-9</v>
      </c>
      <c r="J402" s="352">
        <f>入學要求!C403</f>
        <v>125</v>
      </c>
      <c r="K402" s="352">
        <f>IFERROR(INDEX('Offer Statistics'!$FU$140:$FU$183,MATCH('A123'!A402,('Offer Statistics'!$FF$140:$FF$183),0)),"/")</f>
        <v>170</v>
      </c>
      <c r="L402" s="386">
        <f>IFERROR(INDEX('Offer Statistics'!$FH$140:$FH$183,MATCH(A402,('Offer Statistics'!$FF$140:$FF$183),0))/INDEX('Offer Statistics'!$FP$140:$FP$183,MATCH(A402,('Offer Statistics'!$FF$140:$FF$183),0)),"新科目")</f>
        <v>4.9515151515151512</v>
      </c>
      <c r="M402" s="352">
        <f>入學要求!R403</f>
        <v>0</v>
      </c>
    </row>
    <row r="403" spans="1:13" x14ac:dyDescent="0.3">
      <c r="A403" s="352" t="str">
        <f>'Reference Score Calculation'!A395</f>
        <v>JSSU55</v>
      </c>
      <c r="B403" s="352" t="str">
        <f>'Reference Score Calculation'!B395</f>
        <v>SSSDP</v>
      </c>
      <c r="C403" s="352" t="str">
        <f>'Reference Score Calculation'!D395</f>
        <v>物理治療學榮譽理學士</v>
      </c>
      <c r="D403" s="352" t="str">
        <f>'Reference Score Calculation'!T395</f>
        <v>BSc(Hons) Physiotherapy</v>
      </c>
      <c r="E403" s="352" t="str">
        <f>'Reference Score Calculation'!E395</f>
        <v>Best 5</v>
      </c>
      <c r="F403" s="357" t="str">
        <f>'Reference Score Calculation'!F395</f>
        <v>/</v>
      </c>
      <c r="G403" s="357">
        <f>'Reference Score Calculation'!G395</f>
        <v>34</v>
      </c>
      <c r="H403" s="357">
        <f>'Reference Score Calculation'!H395</f>
        <v>31</v>
      </c>
      <c r="I403" s="357">
        <f>計分版!H416</f>
        <v>3.9500000000000006E-9</v>
      </c>
      <c r="J403" s="352">
        <f>入學要求!C404</f>
        <v>50</v>
      </c>
      <c r="K403" s="352">
        <f>IFERROR(INDEX('Offer Statistics'!$FU$140:$FU$183,MATCH('A123'!A403,('Offer Statistics'!$FF$140:$FF$183),0)),"/")</f>
        <v>55</v>
      </c>
      <c r="L403" s="386">
        <f>IFERROR(INDEX('Offer Statistics'!$FH$140:$FH$183,MATCH(A403,('Offer Statistics'!$FF$140:$FF$183),0))/INDEX('Offer Statistics'!$FP$140:$FP$183,MATCH(A403,('Offer Statistics'!$FF$140:$FF$183),0)),"新科目")</f>
        <v>5.333333333333333</v>
      </c>
      <c r="M403" s="352">
        <f>入學要求!R404</f>
        <v>0</v>
      </c>
    </row>
    <row r="404" spans="1:13" x14ac:dyDescent="0.3">
      <c r="A404" s="352" t="str">
        <f>'Reference Score Calculation'!A396</f>
        <v>JSSU61</v>
      </c>
      <c r="B404" s="352" t="str">
        <f>'Reference Score Calculation'!B396</f>
        <v>SSSDP</v>
      </c>
      <c r="C404" s="352" t="str">
        <f>'Reference Score Calculation'!D396</f>
        <v>綜合檢測和認證榮譽應用理學士</v>
      </c>
      <c r="D404" s="352" t="str">
        <f>'Reference Score Calculation'!T396</f>
        <v>BASc (Hons) Int TIC</v>
      </c>
      <c r="E404" s="352" t="str">
        <f>'Reference Score Calculation'!E396</f>
        <v>4C1X</v>
      </c>
      <c r="F404" s="357" t="str">
        <f>'Reference Score Calculation'!F396</f>
        <v>/</v>
      </c>
      <c r="G404" s="357">
        <f>'Reference Score Calculation'!G396</f>
        <v>14</v>
      </c>
      <c r="H404" s="357">
        <f>'Reference Score Calculation'!H396</f>
        <v>13</v>
      </c>
      <c r="I404" s="357">
        <f>計分版!H417</f>
        <v>1.9500000000000001E-9</v>
      </c>
      <c r="J404" s="352">
        <f>入學要求!C405</f>
        <v>50</v>
      </c>
      <c r="K404" s="352" t="str">
        <f>IFERROR(INDEX('Offer Statistics'!$FU$140:$FU$183,MATCH('A123'!A404,('Offer Statistics'!$FF$140:$FF$183),0)),"/")</f>
        <v>/</v>
      </c>
      <c r="L404" s="386" t="str">
        <f>IFERROR(INDEX('Offer Statistics'!$FH$140:$FH$183,MATCH(A404,('Offer Statistics'!$FF$140:$FF$183),0))/INDEX('Offer Statistics'!$FP$140:$FP$183,MATCH(A404,('Offer Statistics'!$FF$140:$FF$183),0)),"新科目")</f>
        <v>新科目</v>
      </c>
      <c r="M404" s="352">
        <f>入學要求!R405</f>
        <v>0</v>
      </c>
    </row>
    <row r="405" spans="1:13" x14ac:dyDescent="0.3">
      <c r="A405" s="352" t="str">
        <f>'Reference Score Calculation'!A397</f>
        <v>JSSU68</v>
      </c>
      <c r="B405" s="352" t="str">
        <f>'Reference Score Calculation'!B397</f>
        <v>SSSDP</v>
      </c>
      <c r="C405" s="352" t="str">
        <f>'Reference Score Calculation'!D397</f>
        <v>檢測科學和認證榮譽理學士</v>
      </c>
      <c r="D405" s="352" t="str">
        <f>'Reference Score Calculation'!T397</f>
        <v>BSc(Hons)Test Sci &amp; Cert</v>
      </c>
      <c r="E405" s="352" t="str">
        <f>'Reference Score Calculation'!E397</f>
        <v>4C1X</v>
      </c>
      <c r="F405" s="357" t="str">
        <f>'Reference Score Calculation'!F397</f>
        <v>/</v>
      </c>
      <c r="G405" s="357">
        <f>'Reference Score Calculation'!G397</f>
        <v>16</v>
      </c>
      <c r="H405" s="357">
        <f>'Reference Score Calculation'!H397</f>
        <v>16</v>
      </c>
      <c r="I405" s="357">
        <f>計分版!H418</f>
        <v>1.9500000000000001E-9</v>
      </c>
      <c r="J405" s="352">
        <f>入學要求!C406</f>
        <v>55</v>
      </c>
      <c r="K405" s="352">
        <f>IFERROR(INDEX('Offer Statistics'!$FU$140:$FU$183,MATCH('A123'!A405,('Offer Statistics'!$FF$140:$FF$183),0)),"/")</f>
        <v>28</v>
      </c>
      <c r="L405" s="386">
        <f>IFERROR(INDEX('Offer Statistics'!$FH$140:$FH$183,MATCH(A405,('Offer Statistics'!$FF$140:$FF$183),0))/INDEX('Offer Statistics'!$FP$140:$FP$183,MATCH(A405,('Offer Statistics'!$FF$140:$FF$183),0)),"新科目")</f>
        <v>9</v>
      </c>
      <c r="M405" s="352">
        <f>入學要求!R406</f>
        <v>0</v>
      </c>
    </row>
    <row r="406" spans="1:13" x14ac:dyDescent="0.3">
      <c r="A406" s="352" t="str">
        <f>'Reference Score Calculation'!A398</f>
        <v>JSSU69</v>
      </c>
      <c r="B406" s="352" t="str">
        <f>'Reference Score Calculation'!B398</f>
        <v>SSSDP</v>
      </c>
      <c r="C406" s="352" t="str">
        <f>'Reference Score Calculation'!D398</f>
        <v>食品測試科學榮譽理學士</v>
      </c>
      <c r="D406" s="352" t="str">
        <f>'Reference Score Calculation'!T398</f>
        <v>BSc(Hons)FoodTestSci</v>
      </c>
      <c r="E406" s="352" t="str">
        <f>'Reference Score Calculation'!E398</f>
        <v>4C1X</v>
      </c>
      <c r="F406" s="357" t="str">
        <f>'Reference Score Calculation'!F398</f>
        <v>/</v>
      </c>
      <c r="G406" s="357">
        <f>'Reference Score Calculation'!G398</f>
        <v>16</v>
      </c>
      <c r="H406" s="357">
        <f>'Reference Score Calculation'!H398</f>
        <v>15</v>
      </c>
      <c r="I406" s="357">
        <f>計分版!H419</f>
        <v>1.9500000000000001E-9</v>
      </c>
      <c r="J406" s="352">
        <f>入學要求!C407</f>
        <v>55</v>
      </c>
      <c r="K406" s="352">
        <f>IFERROR(INDEX('Offer Statistics'!$FU$140:$FU$183,MATCH('A123'!A406,('Offer Statistics'!$FF$140:$FF$183),0)),"/")</f>
        <v>57</v>
      </c>
      <c r="L406" s="386">
        <f>IFERROR(INDEX('Offer Statistics'!$FH$140:$FH$183,MATCH(A406,('Offer Statistics'!$FF$140:$FF$183),0))/INDEX('Offer Statistics'!$FP$140:$FP$183,MATCH(A406,('Offer Statistics'!$FF$140:$FF$183),0)),"新科目")</f>
        <v>5.7804878048780486</v>
      </c>
      <c r="M406" s="352">
        <f>入學要求!R407</f>
        <v>0</v>
      </c>
    </row>
    <row r="407" spans="1:13" x14ac:dyDescent="0.3">
      <c r="A407" s="352" t="str">
        <f>'Reference Score Calculation'!A399</f>
        <v>JSSU70</v>
      </c>
      <c r="B407" s="352" t="str">
        <f>'Reference Score Calculation'!B399</f>
        <v>SSSDP</v>
      </c>
      <c r="C407" s="352" t="str">
        <f>'Reference Score Calculation'!D399</f>
        <v>數據科學及人工智能榮譽理學士</v>
      </c>
      <c r="D407" s="352" t="str">
        <f>'Reference Score Calculation'!T399</f>
        <v>BSc(Hons) Data Sci &amp; AI</v>
      </c>
      <c r="E407" s="352" t="str">
        <f>'Reference Score Calculation'!E399</f>
        <v>4C1X</v>
      </c>
      <c r="F407" s="357" t="str">
        <f>'Reference Score Calculation'!F399</f>
        <v>/</v>
      </c>
      <c r="G407" s="357">
        <f>'Reference Score Calculation'!G399</f>
        <v>15</v>
      </c>
      <c r="H407" s="357">
        <f>'Reference Score Calculation'!H399</f>
        <v>15</v>
      </c>
      <c r="I407" s="357">
        <f>計分版!H420</f>
        <v>1.9500000000000001E-9</v>
      </c>
      <c r="J407" s="352">
        <f>入學要求!C408</f>
        <v>25</v>
      </c>
      <c r="K407" s="352">
        <f>IFERROR(INDEX('Offer Statistics'!$FU$140:$FU$183,MATCH('A123'!A407,('Offer Statistics'!$FF$140:$FF$183),0)),"/")</f>
        <v>30</v>
      </c>
      <c r="L407" s="386">
        <f>IFERROR(INDEX('Offer Statistics'!$FH$140:$FH$183,MATCH(A407,('Offer Statistics'!$FF$140:$FF$183),0))/INDEX('Offer Statistics'!$FP$140:$FP$183,MATCH(A407,('Offer Statistics'!$FF$140:$FF$183),0)),"新科目")</f>
        <v>4.5599999999999996</v>
      </c>
      <c r="M407" s="352">
        <f>入學要求!R408</f>
        <v>0</v>
      </c>
    </row>
    <row r="408" spans="1:13" x14ac:dyDescent="0.3">
      <c r="A408" s="352" t="str">
        <f>'Reference Score Calculation'!A400</f>
        <v>JSSU71</v>
      </c>
      <c r="B408" s="352" t="str">
        <f>'Reference Score Calculation'!B400</f>
        <v>SSSDP</v>
      </c>
      <c r="C408" s="352" t="str">
        <f>'Reference Score Calculation'!D400</f>
        <v>互聯網科技榮譽電腦學學士</v>
      </c>
      <c r="D408" s="352" t="str">
        <f>'Reference Score Calculation'!T400</f>
        <v>BComp(Hons)Internet Tech</v>
      </c>
      <c r="E408" s="352" t="str">
        <f>'Reference Score Calculation'!E400</f>
        <v>4C1X</v>
      </c>
      <c r="F408" s="357" t="str">
        <f>'Reference Score Calculation'!F400</f>
        <v>/</v>
      </c>
      <c r="G408" s="357">
        <f>'Reference Score Calculation'!G400</f>
        <v>16</v>
      </c>
      <c r="H408" s="357">
        <f>'Reference Score Calculation'!H400</f>
        <v>16</v>
      </c>
      <c r="I408" s="357">
        <f>計分版!H421</f>
        <v>1.9500000000000001E-9</v>
      </c>
      <c r="J408" s="352">
        <f>入學要求!C409</f>
        <v>60</v>
      </c>
      <c r="K408" s="352">
        <f>IFERROR(INDEX('Offer Statistics'!$FU$140:$FU$183,MATCH('A123'!A408,('Offer Statistics'!$FF$140:$FF$183),0)),"/")</f>
        <v>26</v>
      </c>
      <c r="L408" s="386">
        <f>IFERROR(INDEX('Offer Statistics'!$FH$140:$FH$183,MATCH(A408,('Offer Statistics'!$FF$140:$FF$183),0))/INDEX('Offer Statistics'!$FP$140:$FP$183,MATCH(A408,('Offer Statistics'!$FF$140:$FF$183),0)),"新科目")</f>
        <v>6.9047619047619051</v>
      </c>
      <c r="M408" s="352">
        <f>入學要求!R409</f>
        <v>0</v>
      </c>
    </row>
    <row r="409" spans="1:13" x14ac:dyDescent="0.3">
      <c r="A409" s="352" t="str">
        <f>'Reference Score Calculation'!A401</f>
        <v>JSSU90</v>
      </c>
      <c r="B409" s="352" t="str">
        <f>'Reference Score Calculation'!B401</f>
        <v>SSSDP</v>
      </c>
      <c r="C409" s="352" t="str">
        <f>'Reference Score Calculation'!D401</f>
        <v>國際款待及景區管理榮譽學士</v>
      </c>
      <c r="D409" s="352" t="str">
        <f>'Reference Score Calculation'!T401</f>
        <v>B Intl Hospitality(Hons)</v>
      </c>
      <c r="E409" s="352" t="str">
        <f>'Reference Score Calculation'!E401</f>
        <v>4C1X</v>
      </c>
      <c r="F409" s="357" t="str">
        <f>'Reference Score Calculation'!F401</f>
        <v>/</v>
      </c>
      <c r="G409" s="357">
        <f>'Reference Score Calculation'!G401</f>
        <v>16</v>
      </c>
      <c r="H409" s="357">
        <f>'Reference Score Calculation'!H401</f>
        <v>15</v>
      </c>
      <c r="I409" s="357">
        <f>計分版!H422</f>
        <v>1.9500000000000001E-9</v>
      </c>
      <c r="J409" s="352">
        <f>入學要求!C410</f>
        <v>80</v>
      </c>
      <c r="K409" s="352">
        <f>IFERROR(INDEX('Offer Statistics'!$FU$140:$FU$183,MATCH('A123'!A409,('Offer Statistics'!$FF$140:$FF$183),0)),"/")</f>
        <v>52</v>
      </c>
      <c r="L409" s="386">
        <f>IFERROR(INDEX('Offer Statistics'!$FH$140:$FH$183,MATCH(A409,('Offer Statistics'!$FF$140:$FF$183),0))/INDEX('Offer Statistics'!$FP$140:$FP$183,MATCH(A409,('Offer Statistics'!$FF$140:$FF$183),0)),"新科目")</f>
        <v>10.424242424242424</v>
      </c>
      <c r="M409" s="352">
        <f>入學要求!R410</f>
        <v>0</v>
      </c>
    </row>
    <row r="410" spans="1:13" x14ac:dyDescent="0.3">
      <c r="A410" s="352" t="str">
        <f>'Reference Score Calculation'!A402</f>
        <v>JSSU95</v>
      </c>
      <c r="B410" s="352" t="str">
        <f>'Reference Score Calculation'!B402</f>
        <v>SSSDP</v>
      </c>
      <c r="C410" s="352" t="str">
        <f>'Reference Score Calculation'!D402</f>
        <v>由都會大學開辦：運動及康樂管理榮譽學士</v>
      </c>
      <c r="D410" s="352" t="str">
        <f>'Reference Score Calculation'!T402</f>
        <v>B(Hons)Sports &amp; R Mgnt</v>
      </c>
      <c r="E410" s="352" t="str">
        <f>'Reference Score Calculation'!E402</f>
        <v>4C1X</v>
      </c>
      <c r="F410" s="357" t="str">
        <f>'Reference Score Calculation'!F402</f>
        <v>/</v>
      </c>
      <c r="G410" s="357">
        <f>'Reference Score Calculation'!G402</f>
        <v>16</v>
      </c>
      <c r="H410" s="357">
        <f>'Reference Score Calculation'!H402</f>
        <v>15</v>
      </c>
      <c r="I410" s="357">
        <f>計分版!H423</f>
        <v>1.9500000000000001E-9</v>
      </c>
      <c r="J410" s="352">
        <f>入學要求!C411</f>
        <v>40</v>
      </c>
      <c r="K410" s="352">
        <f>IFERROR(INDEX('Offer Statistics'!$FU$140:$FU$183,MATCH('A123'!A410,('Offer Statistics'!$FF$140:$FF$183),0)),"/")</f>
        <v>94</v>
      </c>
      <c r="L410" s="386">
        <f>IFERROR(INDEX('Offer Statistics'!$FH$140:$FH$183,MATCH(A410,('Offer Statistics'!$FF$140:$FF$183),0))/INDEX('Offer Statistics'!$FP$140:$FP$183,MATCH(A410,('Offer Statistics'!$FF$140:$FF$183),0)),"新科目")</f>
        <v>5.6911764705882355</v>
      </c>
      <c r="M410" s="352">
        <f>入學要求!R411</f>
        <v>0</v>
      </c>
    </row>
    <row r="411" spans="1:13" x14ac:dyDescent="0.3">
      <c r="A411" s="352" t="str">
        <f>'Reference Score Calculation'!A403</f>
        <v>JSSU96</v>
      </c>
      <c r="B411" s="352" t="str">
        <f>'Reference Score Calculation'!B403</f>
        <v>SSSDP</v>
      </c>
      <c r="C411" s="352" t="str">
        <f>'Reference Score Calculation'!D403</f>
        <v>金融科技及創新榮譽工商管理學士</v>
      </c>
      <c r="D411" s="352" t="str">
        <f>'Reference Score Calculation'!T403</f>
        <v>BBA (Hons) Fintech</v>
      </c>
      <c r="E411" s="352" t="str">
        <f>'Reference Score Calculation'!E403</f>
        <v>4C1X</v>
      </c>
      <c r="F411" s="357" t="str">
        <f>'Reference Score Calculation'!F403</f>
        <v>/</v>
      </c>
      <c r="G411" s="357">
        <f>'Reference Score Calculation'!G403</f>
        <v>17</v>
      </c>
      <c r="H411" s="357">
        <f>'Reference Score Calculation'!H403</f>
        <v>15</v>
      </c>
      <c r="I411" s="357">
        <f>計分版!H424</f>
        <v>1.9500000000000001E-9</v>
      </c>
      <c r="J411" s="352">
        <f>入學要求!C412</f>
        <v>30</v>
      </c>
      <c r="K411" s="352">
        <f>IFERROR(INDEX('Offer Statistics'!$FU$140:$FU$183,MATCH('A123'!A411,('Offer Statistics'!$FF$140:$FF$183),0)),"/")</f>
        <v>27</v>
      </c>
      <c r="L411" s="386">
        <f>IFERROR(INDEX('Offer Statistics'!$FH$140:$FH$183,MATCH(A411,('Offer Statistics'!$FF$140:$FF$183),0))/INDEX('Offer Statistics'!$FP$140:$FP$183,MATCH(A411,('Offer Statistics'!$FF$140:$FF$183),0)),"新科目")</f>
        <v>8.2307692307692299</v>
      </c>
      <c r="M411" s="352">
        <f>入學要求!R412</f>
        <v>0</v>
      </c>
    </row>
    <row r="412" spans="1:13" x14ac:dyDescent="0.3">
      <c r="A412" s="352" t="str">
        <f>'Reference Score Calculation'!A404</f>
        <v>JSSU97</v>
      </c>
      <c r="B412" s="352" t="str">
        <f>'Reference Score Calculation'!B404</f>
        <v>SSSDP</v>
      </c>
      <c r="C412" s="352" t="str">
        <f>'Reference Score Calculation'!D404</f>
        <v>環球市場及供應鏈榮譽工商管理學士</v>
      </c>
      <c r="D412" s="352" t="str">
        <f>'Reference Score Calculation'!T404</f>
        <v>BBA (Hons) GM &amp; SC Mgt</v>
      </c>
      <c r="E412" s="352" t="str">
        <f>'Reference Score Calculation'!E404</f>
        <v>4C1X</v>
      </c>
      <c r="F412" s="357" t="str">
        <f>'Reference Score Calculation'!F404</f>
        <v>/</v>
      </c>
      <c r="G412" s="357">
        <f>'Reference Score Calculation'!G404</f>
        <v>15</v>
      </c>
      <c r="H412" s="357">
        <f>'Reference Score Calculation'!H404</f>
        <v>15</v>
      </c>
      <c r="I412" s="357">
        <f>計分版!H425</f>
        <v>1.9500000000000001E-9</v>
      </c>
      <c r="J412" s="352">
        <f>入學要求!C413</f>
        <v>40</v>
      </c>
      <c r="K412" s="352">
        <f>IFERROR(INDEX('Offer Statistics'!$FU$140:$FU$183,MATCH('A123'!A412,('Offer Statistics'!$FF$140:$FF$183),0)),"/")</f>
        <v>43</v>
      </c>
      <c r="L412" s="386">
        <f>IFERROR(INDEX('Offer Statistics'!$FH$140:$FH$183,MATCH(A412,('Offer Statistics'!$FF$140:$FF$183),0))/INDEX('Offer Statistics'!$FP$140:$FP$183,MATCH(A412,('Offer Statistics'!$FF$140:$FF$183),0)),"新科目")</f>
        <v>10.19047619047619</v>
      </c>
      <c r="M412" s="352">
        <f>入學要求!R413</f>
        <v>0</v>
      </c>
    </row>
    <row r="413" spans="1:13" x14ac:dyDescent="0.3">
      <c r="A413" s="352" t="str">
        <f>'Reference Score Calculation'!A405</f>
        <v>JSSV01</v>
      </c>
      <c r="B413" s="352" t="str">
        <f>'Reference Score Calculation'!B405</f>
        <v>SSSDP</v>
      </c>
      <c r="C413" s="352" t="str">
        <f>'Reference Score Calculation'!D405</f>
        <v>時裝設計（榮譽）文學士</v>
      </c>
      <c r="D413" s="352" t="str">
        <f>'Reference Score Calculation'!T405</f>
        <v>BA(FD)</v>
      </c>
      <c r="E413" s="352" t="str">
        <f>'Reference Score Calculation'!E405</f>
        <v>4C1X</v>
      </c>
      <c r="F413" s="357" t="str">
        <f>'Reference Score Calculation'!F405</f>
        <v>/</v>
      </c>
      <c r="G413" s="357">
        <f>'Reference Score Calculation'!G405</f>
        <v>16</v>
      </c>
      <c r="H413" s="357" t="str">
        <f>'Reference Score Calculation'!H405</f>
        <v>/</v>
      </c>
      <c r="I413" s="357">
        <f>計分版!H426</f>
        <v>1.9000000000000001E-9</v>
      </c>
      <c r="J413" s="352">
        <f>入學要求!C414</f>
        <v>40</v>
      </c>
      <c r="K413" s="352">
        <f>IFERROR(INDEX('Offer Statistics'!$FU$140:$FU$183,MATCH('A123'!A413,('Offer Statistics'!$FF$140:$FF$183),0)),"/")</f>
        <v>45</v>
      </c>
      <c r="L413" s="386">
        <f>IFERROR(INDEX('Offer Statistics'!$FH$140:$FH$183,MATCH(A413,('Offer Statistics'!$FF$140:$FF$183),0))/INDEX('Offer Statistics'!$FP$140:$FP$183,MATCH(A413,('Offer Statistics'!$FF$140:$FF$183),0)),"新科目")</f>
        <v>9.9642857142857135</v>
      </c>
      <c r="M413" s="352">
        <f>入學要求!R414</f>
        <v>0</v>
      </c>
    </row>
    <row r="414" spans="1:13" x14ac:dyDescent="0.3">
      <c r="A414" s="352" t="str">
        <f>'Reference Score Calculation'!A406</f>
        <v>JSSV02</v>
      </c>
      <c r="B414" s="352" t="str">
        <f>'Reference Score Calculation'!B406</f>
        <v>SSSDP</v>
      </c>
      <c r="C414" s="352" t="str">
        <f>'Reference Score Calculation'!D406</f>
        <v>產品設計（榮譽）文學士</v>
      </c>
      <c r="D414" s="352" t="str">
        <f>'Reference Score Calculation'!T406</f>
        <v>BA(PD)</v>
      </c>
      <c r="E414" s="352" t="str">
        <f>'Reference Score Calculation'!E406</f>
        <v>4C1X</v>
      </c>
      <c r="F414" s="357" t="str">
        <f>'Reference Score Calculation'!F406</f>
        <v>/</v>
      </c>
      <c r="G414" s="357">
        <f>'Reference Score Calculation'!G406</f>
        <v>16</v>
      </c>
      <c r="H414" s="357" t="str">
        <f>'Reference Score Calculation'!H406</f>
        <v>/</v>
      </c>
      <c r="I414" s="357">
        <f>計分版!H427</f>
        <v>1.9000000000000001E-9</v>
      </c>
      <c r="J414" s="352">
        <f>入學要求!C415</f>
        <v>25</v>
      </c>
      <c r="K414" s="352">
        <f>IFERROR(INDEX('Offer Statistics'!$FU$140:$FU$183,MATCH('A123'!A414,('Offer Statistics'!$FF$140:$FF$183),0)),"/")</f>
        <v>32</v>
      </c>
      <c r="L414" s="386">
        <f>IFERROR(INDEX('Offer Statistics'!$FH$140:$FH$183,MATCH(A414,('Offer Statistics'!$FF$140:$FF$183),0))/INDEX('Offer Statistics'!$FP$140:$FP$183,MATCH(A414,('Offer Statistics'!$FF$140:$FF$183),0)),"新科目")</f>
        <v>13</v>
      </c>
      <c r="M414" s="352">
        <f>入學要求!R415</f>
        <v>0</v>
      </c>
    </row>
    <row r="415" spans="1:13" x14ac:dyDescent="0.3">
      <c r="A415" s="352" t="str">
        <f>'Reference Score Calculation'!A407</f>
        <v>JSSV03</v>
      </c>
      <c r="B415" s="352" t="str">
        <f>'Reference Score Calculation'!B407</f>
        <v>SSSDP</v>
      </c>
      <c r="C415" s="352" t="str">
        <f>'Reference Score Calculation'!D407</f>
        <v>園境建築（榮譽）文學士</v>
      </c>
      <c r="D415" s="352" t="str">
        <f>'Reference Score Calculation'!T407</f>
        <v>BA(LA)</v>
      </c>
      <c r="E415" s="352" t="str">
        <f>'Reference Score Calculation'!E407</f>
        <v>4C1X</v>
      </c>
      <c r="F415" s="357" t="str">
        <f>'Reference Score Calculation'!F407</f>
        <v>/</v>
      </c>
      <c r="G415" s="357">
        <f>'Reference Score Calculation'!G407</f>
        <v>17</v>
      </c>
      <c r="H415" s="357" t="str">
        <f>'Reference Score Calculation'!H407</f>
        <v>/</v>
      </c>
      <c r="I415" s="357">
        <f>計分版!H428</f>
        <v>1.9000000000000001E-9</v>
      </c>
      <c r="J415" s="352">
        <f>入學要求!C416</f>
        <v>25</v>
      </c>
      <c r="K415" s="352">
        <f>IFERROR(INDEX('Offer Statistics'!$FU$140:$FU$183,MATCH('A123'!A415,('Offer Statistics'!$FF$140:$FF$183),0)),"/")</f>
        <v>10</v>
      </c>
      <c r="L415" s="386">
        <f>IFERROR(INDEX('Offer Statistics'!$FH$140:$FH$183,MATCH(A415,('Offer Statistics'!$FF$140:$FF$183),0))/INDEX('Offer Statistics'!$FP$140:$FP$183,MATCH(A415,('Offer Statistics'!$FF$140:$FF$183),0)),"新科目")</f>
        <v>11.166666666666666</v>
      </c>
      <c r="M415" s="352">
        <f>入學要求!R416</f>
        <v>0</v>
      </c>
    </row>
    <row r="416" spans="1:13" x14ac:dyDescent="0.3">
      <c r="A416" s="352" t="str">
        <f>'Reference Score Calculation'!A408</f>
        <v>JSSV04</v>
      </c>
      <c r="B416" s="352" t="str">
        <f>'Reference Score Calculation'!B408</f>
        <v>SSSDP</v>
      </c>
      <c r="C416" s="352" t="str">
        <f>'Reference Score Calculation'!D408</f>
        <v>廚藝及管理（榮譽）文學士</v>
      </c>
      <c r="D416" s="352" t="str">
        <f>'Reference Score Calculation'!T408</f>
        <v>BA(CAM)</v>
      </c>
      <c r="E416" s="352" t="str">
        <f>'Reference Score Calculation'!E408</f>
        <v>4C1X</v>
      </c>
      <c r="F416" s="357" t="str">
        <f>'Reference Score Calculation'!F408</f>
        <v>/</v>
      </c>
      <c r="G416" s="357">
        <f>'Reference Score Calculation'!G408</f>
        <v>17</v>
      </c>
      <c r="H416" s="357" t="str">
        <f>'Reference Score Calculation'!H408</f>
        <v>/</v>
      </c>
      <c r="I416" s="357">
        <f>計分版!H429</f>
        <v>1.9000000000000001E-9</v>
      </c>
      <c r="J416" s="352">
        <f>入學要求!C417</f>
        <v>25</v>
      </c>
      <c r="K416" s="352">
        <f>IFERROR(INDEX('Offer Statistics'!$FU$140:$FU$183,MATCH('A123'!A416,('Offer Statistics'!$FF$140:$FF$183),0)),"/")</f>
        <v>29</v>
      </c>
      <c r="L416" s="386">
        <f>IFERROR(INDEX('Offer Statistics'!$FH$140:$FH$183,MATCH(A416,('Offer Statistics'!$FF$140:$FF$183),0))/INDEX('Offer Statistics'!$FP$140:$FP$183,MATCH(A416,('Offer Statistics'!$FF$140:$FF$183),0)),"新科目")</f>
        <v>16.05263157894737</v>
      </c>
      <c r="M416" s="352">
        <f>入學要求!R417</f>
        <v>0</v>
      </c>
    </row>
    <row r="417" spans="1:13" x14ac:dyDescent="0.3">
      <c r="A417" s="352" t="str">
        <f>'Reference Score Calculation'!A409</f>
        <v>JSSV05</v>
      </c>
      <c r="B417" s="352" t="str">
        <f>'Reference Score Calculation'!B409</f>
        <v>SSSDP</v>
      </c>
      <c r="C417" s="352" t="str">
        <f>'Reference Score Calculation'!D409</f>
        <v>土木工程（榮譽）工學士</v>
      </c>
      <c r="D417" s="352" t="str">
        <f>'Reference Score Calculation'!T409</f>
        <v>BEng(CE)</v>
      </c>
      <c r="E417" s="352" t="str">
        <f>'Reference Score Calculation'!E409</f>
        <v>4C1X</v>
      </c>
      <c r="F417" s="357" t="str">
        <f>'Reference Score Calculation'!F409</f>
        <v>/</v>
      </c>
      <c r="G417" s="357">
        <f>'Reference Score Calculation'!G409</f>
        <v>16</v>
      </c>
      <c r="H417" s="357" t="str">
        <f>'Reference Score Calculation'!H409</f>
        <v>/</v>
      </c>
      <c r="I417" s="357">
        <f>計分版!H430</f>
        <v>1.9000000000000001E-9</v>
      </c>
      <c r="J417" s="352">
        <f>入學要求!C418</f>
        <v>30</v>
      </c>
      <c r="K417" s="352">
        <f>IFERROR(INDEX('Offer Statistics'!$FU$140:$FU$183,MATCH('A123'!A417,('Offer Statistics'!$FF$140:$FF$183),0)),"/")</f>
        <v>19</v>
      </c>
      <c r="L417" s="386">
        <f>IFERROR(INDEX('Offer Statistics'!$FH$140:$FH$183,MATCH(A417,('Offer Statistics'!$FF$140:$FF$183),0))/INDEX('Offer Statistics'!$FP$140:$FP$183,MATCH(A417,('Offer Statistics'!$FF$140:$FF$183),0)),"新科目")</f>
        <v>5.0588235294117645</v>
      </c>
      <c r="M417" s="352">
        <f>入學要求!R418</f>
        <v>0</v>
      </c>
    </row>
    <row r="418" spans="1:13" x14ac:dyDescent="0.3">
      <c r="A418" s="352" t="str">
        <f>'Reference Score Calculation'!A410</f>
        <v>JSSV07</v>
      </c>
      <c r="B418" s="352" t="str">
        <f>'Reference Score Calculation'!B410</f>
        <v>SSSDP</v>
      </c>
      <c r="C418" s="352" t="str">
        <f>'Reference Score Calculation'!D410</f>
        <v>園藝樹藝及園境管理（榮譽）理學士</v>
      </c>
      <c r="D418" s="352" t="str">
        <f>'Reference Score Calculation'!T410</f>
        <v>BSc(HALM)</v>
      </c>
      <c r="E418" s="352" t="str">
        <f>'Reference Score Calculation'!E410</f>
        <v>4C1X</v>
      </c>
      <c r="F418" s="357" t="str">
        <f>'Reference Score Calculation'!F410</f>
        <v>/</v>
      </c>
      <c r="G418" s="357">
        <f>'Reference Score Calculation'!G410</f>
        <v>17</v>
      </c>
      <c r="H418" s="357" t="str">
        <f>'Reference Score Calculation'!H410</f>
        <v>/</v>
      </c>
      <c r="I418" s="357">
        <f>計分版!H431</f>
        <v>1.9000000000000001E-9</v>
      </c>
      <c r="J418" s="352">
        <f>入學要求!C419</f>
        <v>25</v>
      </c>
      <c r="K418" s="352">
        <f>IFERROR(INDEX('Offer Statistics'!$FU$140:$FU$183,MATCH('A123'!A418,('Offer Statistics'!$FF$140:$FF$183),0)),"/")</f>
        <v>13</v>
      </c>
      <c r="L418" s="386">
        <f>IFERROR(INDEX('Offer Statistics'!$FH$140:$FH$183,MATCH(A418,('Offer Statistics'!$FF$140:$FF$183),0))/INDEX('Offer Statistics'!$FP$140:$FP$183,MATCH(A418,('Offer Statistics'!$FF$140:$FF$183),0)),"新科目")</f>
        <v>9.1111111111111107</v>
      </c>
      <c r="M418" s="352">
        <f>入學要求!R419</f>
        <v>0</v>
      </c>
    </row>
    <row r="419" spans="1:13" x14ac:dyDescent="0.3">
      <c r="A419" s="352" t="str">
        <f>'Reference Score Calculation'!A411</f>
        <v>JSSV08</v>
      </c>
      <c r="B419" s="352" t="str">
        <f>'Reference Score Calculation'!B411</f>
        <v>SSSDP</v>
      </c>
      <c r="C419" s="352" t="str">
        <f>'Reference Score Calculation'!D411</f>
        <v>測量學（榮譽）理學士</v>
      </c>
      <c r="D419" s="352" t="str">
        <f>'Reference Score Calculation'!T411</f>
        <v>BSc(SUR)</v>
      </c>
      <c r="E419" s="352" t="str">
        <f>'Reference Score Calculation'!E411</f>
        <v>4C1X</v>
      </c>
      <c r="F419" s="357" t="str">
        <f>'Reference Score Calculation'!F411</f>
        <v>/</v>
      </c>
      <c r="G419" s="357">
        <f>'Reference Score Calculation'!G411</f>
        <v>17</v>
      </c>
      <c r="H419" s="357" t="str">
        <f>'Reference Score Calculation'!H411</f>
        <v>/</v>
      </c>
      <c r="I419" s="357">
        <f>計分版!H432</f>
        <v>1.9000000000000001E-9</v>
      </c>
      <c r="J419" s="352">
        <f>入學要求!C420</f>
        <v>25</v>
      </c>
      <c r="K419" s="352">
        <f>IFERROR(INDEX('Offer Statistics'!$FU$140:$FU$183,MATCH('A123'!A419,('Offer Statistics'!$FF$140:$FF$183),0)),"/")</f>
        <v>21</v>
      </c>
      <c r="L419" s="386">
        <f>IFERROR(INDEX('Offer Statistics'!$FH$140:$FH$183,MATCH(A419,('Offer Statistics'!$FF$140:$FF$183),0))/INDEX('Offer Statistics'!$FP$140:$FP$183,MATCH(A419,('Offer Statistics'!$FF$140:$FF$183),0)),"新科目")</f>
        <v>5</v>
      </c>
      <c r="M419" s="352">
        <f>入學要求!R420</f>
        <v>0</v>
      </c>
    </row>
    <row r="420" spans="1:13" x14ac:dyDescent="0.3">
      <c r="A420" s="352" t="str">
        <f>'Reference Score Calculation'!A412</f>
        <v>JSSV09</v>
      </c>
      <c r="B420" s="352" t="str">
        <f>'Reference Score Calculation'!B412</f>
        <v>SSSDP</v>
      </c>
      <c r="C420" s="352" t="str">
        <f>'Reference Score Calculation'!D412</f>
        <v>運動及康樂管理（榮譽）社會科學學士</v>
      </c>
      <c r="D420" s="352" t="str">
        <f>'Reference Score Calculation'!T412</f>
        <v>BSocSc(SRM)</v>
      </c>
      <c r="E420" s="352" t="str">
        <f>'Reference Score Calculation'!E412</f>
        <v>4C1X</v>
      </c>
      <c r="F420" s="357" t="str">
        <f>'Reference Score Calculation'!F412</f>
        <v>/</v>
      </c>
      <c r="G420" s="357">
        <f>'Reference Score Calculation'!G412</f>
        <v>16</v>
      </c>
      <c r="H420" s="357" t="str">
        <f>'Reference Score Calculation'!H412</f>
        <v>/</v>
      </c>
      <c r="I420" s="357">
        <f>計分版!H433</f>
        <v>1.9000000000000001E-9</v>
      </c>
      <c r="J420" s="352">
        <f>入學要求!C421</f>
        <v>30</v>
      </c>
      <c r="K420" s="352">
        <f>IFERROR(INDEX('Offer Statistics'!$FU$140:$FU$183,MATCH('A123'!A420,('Offer Statistics'!$FF$140:$FF$183),0)),"/")</f>
        <v>42</v>
      </c>
      <c r="L420" s="386">
        <f>IFERROR(INDEX('Offer Statistics'!$FH$140:$FH$183,MATCH(A420,('Offer Statistics'!$FF$140:$FF$183),0))/INDEX('Offer Statistics'!$FP$140:$FP$183,MATCH(A420,('Offer Statistics'!$FF$140:$FF$183),0)),"新科目")</f>
        <v>9.4285714285714288</v>
      </c>
      <c r="M420" s="352">
        <f>入學要求!R421</f>
        <v>0</v>
      </c>
    </row>
    <row r="421" spans="1:13" x14ac:dyDescent="0.3">
      <c r="A421" s="352" t="str">
        <f>'Reference Score Calculation'!A413</f>
        <v>JSSW01</v>
      </c>
      <c r="B421" s="352" t="str">
        <f>'Reference Score Calculation'!B413</f>
        <v>SSSDP</v>
      </c>
      <c r="C421" s="352" t="str">
        <f>'Reference Score Calculation'!D413</f>
        <v>由香港伍倫貢學院開辦：營運及管理（榮譽）航空學士</v>
      </c>
      <c r="D421" s="352" t="str">
        <f>'Reference Score Calculation'!T413</f>
        <v>BAvOM</v>
      </c>
      <c r="E421" s="352" t="s">
        <v>2354</v>
      </c>
      <c r="F421" s="357" t="str">
        <f>'Reference Score Calculation'!F413</f>
        <v>/</v>
      </c>
      <c r="G421" s="357">
        <f>'Reference Score Calculation'!G413</f>
        <v>15.5</v>
      </c>
      <c r="H421" s="357" t="str">
        <f>'Reference Score Calculation'!H413</f>
        <v>/</v>
      </c>
      <c r="I421" s="357">
        <f>計分版!H434</f>
        <v>1.9000000000000001E-9</v>
      </c>
      <c r="J421" s="352">
        <f>入學要求!C422</f>
        <v>25</v>
      </c>
      <c r="K421" s="352">
        <f>IFERROR(INDEX('Offer Statistics'!$FU$140:$FU$183,MATCH('A123'!A421,('Offer Statistics'!$FF$140:$FF$183),0)),"/")</f>
        <v>13</v>
      </c>
      <c r="L421" s="386">
        <f>IFERROR(INDEX('Offer Statistics'!$FH$140:$FH$183,MATCH(A421,('Offer Statistics'!$FF$140:$FF$183),0))/INDEX('Offer Statistics'!$FP$140:$FP$183,MATCH(A421,('Offer Statistics'!$FF$140:$FF$183),0)),"新科目")</f>
        <v>11.272727272727273</v>
      </c>
      <c r="M421" s="352">
        <f>入學要求!R422</f>
        <v>0</v>
      </c>
    </row>
    <row r="422" spans="1:13" x14ac:dyDescent="0.3">
      <c r="A422" s="352" t="str">
        <f>'Reference Score Calculation'!A414</f>
        <v>JSSY01</v>
      </c>
      <c r="B422" s="352" t="str">
        <f>'Reference Score Calculation'!B414</f>
        <v>SSSDP</v>
      </c>
      <c r="C422" s="352" t="str">
        <f>'Reference Score Calculation'!D414</f>
        <v>由仁大開辦： 金融科技（榮譽）商學士</v>
      </c>
      <c r="D422" s="352" t="str">
        <f>'Reference Score Calculation'!T414</f>
        <v>BCom (Hons) FinTech</v>
      </c>
      <c r="E422" s="352" t="str">
        <f>'Reference Score Calculation'!E414</f>
        <v>Best 5</v>
      </c>
      <c r="F422" s="357" t="str">
        <f>'Reference Score Calculation'!F414</f>
        <v>/</v>
      </c>
      <c r="G422" s="357">
        <f>'Reference Score Calculation'!G414</f>
        <v>16.670000000000002</v>
      </c>
      <c r="H422" s="357" t="str">
        <f>'Reference Score Calculation'!H414</f>
        <v>/</v>
      </c>
      <c r="I422" s="357">
        <f>計分版!H435</f>
        <v>3.3999999999999998E-9</v>
      </c>
      <c r="J422" s="352">
        <f>入學要求!C423</f>
        <v>30</v>
      </c>
      <c r="K422" s="352">
        <f>IFERROR(INDEX('Offer Statistics'!$FU$140:$FU$183,MATCH('A123'!A422,('Offer Statistics'!$FF$140:$FF$183),0)),"/")</f>
        <v>22</v>
      </c>
      <c r="L422" s="386">
        <f>IFERROR(INDEX('Offer Statistics'!$FH$140:$FH$183,MATCH(A422,('Offer Statistics'!$FF$140:$FF$183),0))/INDEX('Offer Statistics'!$FP$140:$FP$183,MATCH(A422,('Offer Statistics'!$FF$140:$FF$183),0)),"新科目")</f>
        <v>6.8571428571428568</v>
      </c>
      <c r="M422" s="352">
        <f>入學要求!R423</f>
        <v>0</v>
      </c>
    </row>
    <row r="423" spans="1:13" x14ac:dyDescent="0.3">
      <c r="A423" s="352"/>
      <c r="B423" s="352"/>
      <c r="C423" s="352"/>
      <c r="D423" s="352"/>
      <c r="E423" s="352"/>
      <c r="F423" s="357"/>
      <c r="G423" s="357"/>
      <c r="H423" s="357"/>
      <c r="I423" s="357"/>
      <c r="J423" s="352"/>
    </row>
    <row r="424" spans="1:13" x14ac:dyDescent="0.3">
      <c r="A424" s="352"/>
      <c r="B424" s="352"/>
      <c r="C424" s="352"/>
      <c r="D424" s="352"/>
      <c r="E424" s="352"/>
    </row>
    <row r="425" spans="1:13" x14ac:dyDescent="0.3">
      <c r="A425" s="352"/>
      <c r="B425" s="352"/>
      <c r="C425" s="352"/>
      <c r="D425" s="352"/>
      <c r="E425" s="352"/>
    </row>
    <row r="426" spans="1:13" x14ac:dyDescent="0.3">
      <c r="A426" s="352"/>
      <c r="B426" s="352"/>
      <c r="C426" s="352"/>
      <c r="D426" s="352"/>
      <c r="E426" s="352"/>
    </row>
    <row r="427" spans="1:13" x14ac:dyDescent="0.3">
      <c r="A427" s="352"/>
      <c r="B427" s="352"/>
      <c r="C427" s="352"/>
      <c r="D427" s="352"/>
      <c r="E427" s="352"/>
    </row>
    <row r="428" spans="1:13" x14ac:dyDescent="0.3">
      <c r="A428" s="352"/>
      <c r="B428" s="352"/>
      <c r="C428" s="352"/>
      <c r="D428" s="352"/>
      <c r="E428" s="352"/>
    </row>
    <row r="429" spans="1:13" x14ac:dyDescent="0.3">
      <c r="A429" s="352"/>
      <c r="B429" s="352"/>
      <c r="C429" s="352"/>
      <c r="D429" s="352"/>
      <c r="E429" s="352"/>
    </row>
    <row r="430" spans="1:13" x14ac:dyDescent="0.3">
      <c r="A430" s="352"/>
      <c r="B430" s="352"/>
      <c r="C430" s="352"/>
      <c r="D430" s="352"/>
      <c r="E430" s="352"/>
    </row>
    <row r="431" spans="1:13" x14ac:dyDescent="0.3">
      <c r="A431" s="352"/>
      <c r="B431" s="352"/>
      <c r="C431" s="352"/>
      <c r="D431" s="352"/>
      <c r="E431" s="352"/>
    </row>
    <row r="432" spans="1:13" x14ac:dyDescent="0.3">
      <c r="A432" s="352"/>
      <c r="B432" s="352"/>
      <c r="C432" s="352"/>
      <c r="D432" s="352"/>
      <c r="E432" s="352"/>
    </row>
    <row r="433" spans="1:5" x14ac:dyDescent="0.3">
      <c r="A433" s="352"/>
      <c r="B433" s="352"/>
      <c r="C433" s="352"/>
      <c r="D433" s="352"/>
      <c r="E433" s="352"/>
    </row>
    <row r="434" spans="1:5" x14ac:dyDescent="0.3">
      <c r="A434" s="352"/>
      <c r="B434" s="352"/>
      <c r="C434" s="352"/>
      <c r="D434" s="352"/>
      <c r="E434" s="352"/>
    </row>
    <row r="435" spans="1:5" x14ac:dyDescent="0.3">
      <c r="A435" s="352"/>
      <c r="B435" s="352"/>
      <c r="C435" s="352"/>
      <c r="D435" s="352"/>
      <c r="E435" s="352"/>
    </row>
    <row r="436" spans="1:5" x14ac:dyDescent="0.3">
      <c r="A436" s="352"/>
      <c r="B436" s="352"/>
      <c r="C436" s="352"/>
      <c r="D436" s="352"/>
      <c r="E436" s="352"/>
    </row>
    <row r="437" spans="1:5" x14ac:dyDescent="0.3">
      <c r="A437" s="352"/>
      <c r="B437" s="352"/>
      <c r="C437" s="352"/>
      <c r="D437" s="352"/>
      <c r="E437" s="352"/>
    </row>
    <row r="438" spans="1:5" x14ac:dyDescent="0.3">
      <c r="A438" s="352"/>
      <c r="B438" s="352"/>
      <c r="C438" s="352"/>
      <c r="D438" s="352"/>
      <c r="E438" s="352"/>
    </row>
    <row r="439" spans="1:5" x14ac:dyDescent="0.3">
      <c r="A439" s="352"/>
      <c r="B439" s="352"/>
      <c r="C439" s="352"/>
      <c r="D439" s="352"/>
      <c r="E439" s="352"/>
    </row>
    <row r="440" spans="1:5" x14ac:dyDescent="0.3">
      <c r="A440" s="352"/>
      <c r="B440" s="352"/>
      <c r="C440" s="352"/>
      <c r="D440" s="352"/>
      <c r="E440" s="352"/>
    </row>
    <row r="441" spans="1:5" x14ac:dyDescent="0.3">
      <c r="A441" s="352"/>
      <c r="B441" s="352"/>
      <c r="C441" s="352"/>
      <c r="D441" s="352"/>
      <c r="E441" s="352"/>
    </row>
    <row r="442" spans="1:5" x14ac:dyDescent="0.3">
      <c r="A442" s="352"/>
      <c r="B442" s="352"/>
      <c r="C442" s="352"/>
      <c r="D442" s="352"/>
      <c r="E442" s="352"/>
    </row>
    <row r="443" spans="1:5" x14ac:dyDescent="0.3">
      <c r="A443" s="352"/>
      <c r="B443" s="352"/>
      <c r="C443" s="352"/>
      <c r="D443" s="352"/>
      <c r="E443" s="352"/>
    </row>
    <row r="444" spans="1:5" x14ac:dyDescent="0.3">
      <c r="A444" s="352"/>
      <c r="B444" s="352"/>
      <c r="C444" s="352"/>
      <c r="D444" s="352"/>
      <c r="E444" s="352"/>
    </row>
    <row r="445" spans="1:5" x14ac:dyDescent="0.3">
      <c r="A445" s="352"/>
      <c r="B445" s="352"/>
      <c r="C445" s="352"/>
      <c r="D445" s="352"/>
      <c r="E445" s="352"/>
    </row>
    <row r="446" spans="1:5" x14ac:dyDescent="0.3">
      <c r="A446" s="352"/>
      <c r="B446" s="352"/>
      <c r="C446" s="352"/>
      <c r="D446" s="352"/>
      <c r="E446" s="352"/>
    </row>
    <row r="447" spans="1:5" x14ac:dyDescent="0.3">
      <c r="A447" s="352"/>
      <c r="B447" s="352"/>
      <c r="C447" s="352"/>
      <c r="D447" s="352"/>
      <c r="E447" s="352"/>
    </row>
    <row r="448" spans="1:5" x14ac:dyDescent="0.3">
      <c r="A448" s="352"/>
      <c r="B448" s="352"/>
      <c r="C448" s="352"/>
      <c r="D448" s="352"/>
      <c r="E448" s="352"/>
    </row>
    <row r="449" spans="1:5" x14ac:dyDescent="0.3">
      <c r="A449" s="352"/>
      <c r="B449" s="352"/>
      <c r="C449" s="352"/>
      <c r="D449" s="352"/>
      <c r="E449" s="352"/>
    </row>
    <row r="450" spans="1:5" x14ac:dyDescent="0.3">
      <c r="A450" s="352"/>
      <c r="B450" s="352"/>
      <c r="C450" s="352"/>
      <c r="D450" s="352"/>
      <c r="E450" s="352"/>
    </row>
    <row r="451" spans="1:5" x14ac:dyDescent="0.3">
      <c r="A451" s="352"/>
      <c r="B451" s="352"/>
      <c r="C451" s="352"/>
      <c r="D451" s="352"/>
      <c r="E451" s="352"/>
    </row>
    <row r="452" spans="1:5" x14ac:dyDescent="0.3">
      <c r="A452" s="352"/>
      <c r="B452" s="352"/>
      <c r="C452" s="352"/>
      <c r="D452" s="352"/>
      <c r="E452" s="352"/>
    </row>
    <row r="453" spans="1:5" x14ac:dyDescent="0.3">
      <c r="A453" s="352"/>
      <c r="B453" s="352"/>
      <c r="C453" s="352"/>
      <c r="D453" s="352"/>
      <c r="E453" s="352"/>
    </row>
    <row r="454" spans="1:5" x14ac:dyDescent="0.3">
      <c r="A454" s="352"/>
      <c r="B454" s="352"/>
      <c r="C454" s="352"/>
      <c r="D454" s="352"/>
      <c r="E454" s="352"/>
    </row>
    <row r="455" spans="1:5" x14ac:dyDescent="0.3">
      <c r="A455" s="352"/>
      <c r="B455" s="352"/>
      <c r="C455" s="352"/>
      <c r="D455" s="352"/>
      <c r="E455" s="352"/>
    </row>
    <row r="456" spans="1:5" x14ac:dyDescent="0.3">
      <c r="A456" s="352"/>
      <c r="B456" s="352"/>
      <c r="C456" s="352"/>
      <c r="D456" s="352"/>
      <c r="E456" s="352"/>
    </row>
    <row r="457" spans="1:5" x14ac:dyDescent="0.3">
      <c r="A457" s="352"/>
      <c r="B457" s="352"/>
      <c r="C457" s="352"/>
      <c r="D457" s="352"/>
      <c r="E457" s="352"/>
    </row>
    <row r="458" spans="1:5" x14ac:dyDescent="0.3">
      <c r="A458" s="352"/>
      <c r="B458" s="352"/>
      <c r="C458" s="352"/>
      <c r="D458" s="352"/>
      <c r="E458" s="352"/>
    </row>
    <row r="459" spans="1:5" x14ac:dyDescent="0.3">
      <c r="A459" s="352"/>
      <c r="B459" s="352"/>
      <c r="C459" s="352"/>
      <c r="D459" s="352"/>
      <c r="E459" s="352"/>
    </row>
    <row r="460" spans="1:5" x14ac:dyDescent="0.3">
      <c r="A460" s="352"/>
      <c r="B460" s="352"/>
      <c r="C460" s="352"/>
      <c r="D460" s="352"/>
      <c r="E460" s="352"/>
    </row>
    <row r="461" spans="1:5" x14ac:dyDescent="0.3">
      <c r="A461" s="352"/>
      <c r="B461" s="352"/>
      <c r="C461" s="352"/>
      <c r="D461" s="352"/>
      <c r="E461" s="352"/>
    </row>
    <row r="462" spans="1:5" x14ac:dyDescent="0.3">
      <c r="A462" s="352"/>
      <c r="B462" s="352"/>
      <c r="C462" s="352"/>
      <c r="D462" s="352"/>
      <c r="E462" s="352"/>
    </row>
    <row r="463" spans="1:5" x14ac:dyDescent="0.3">
      <c r="A463" s="352"/>
      <c r="B463" s="352"/>
      <c r="C463" s="352"/>
      <c r="D463" s="352"/>
      <c r="E463" s="352"/>
    </row>
    <row r="464" spans="1:5" x14ac:dyDescent="0.3">
      <c r="A464" s="352"/>
      <c r="B464" s="352"/>
      <c r="C464" s="352"/>
      <c r="D464" s="352"/>
      <c r="E464" s="352"/>
    </row>
    <row r="465" spans="1:9" x14ac:dyDescent="0.3">
      <c r="A465" s="352"/>
      <c r="B465" s="352"/>
      <c r="C465" s="352"/>
      <c r="D465" s="352"/>
      <c r="E465" s="352"/>
    </row>
    <row r="466" spans="1:9" x14ac:dyDescent="0.3">
      <c r="A466" s="352"/>
      <c r="B466" s="352"/>
      <c r="C466" s="352"/>
      <c r="D466" s="352"/>
      <c r="E466" s="352"/>
    </row>
    <row r="467" spans="1:9" x14ac:dyDescent="0.3">
      <c r="A467" s="352"/>
      <c r="B467" s="352"/>
      <c r="C467" s="352"/>
      <c r="D467" s="352"/>
      <c r="E467" s="352"/>
    </row>
    <row r="468" spans="1:9" x14ac:dyDescent="0.3">
      <c r="A468" s="352"/>
      <c r="B468" s="352"/>
      <c r="C468" s="352"/>
      <c r="D468" s="352"/>
      <c r="E468" s="352"/>
    </row>
    <row r="469" spans="1:9" x14ac:dyDescent="0.3">
      <c r="A469" s="352"/>
      <c r="B469" s="352"/>
      <c r="C469" s="352"/>
      <c r="D469" s="352"/>
      <c r="E469" s="352"/>
    </row>
    <row r="470" spans="1:9" x14ac:dyDescent="0.3">
      <c r="A470" s="352"/>
      <c r="B470" s="352"/>
      <c r="C470" s="352"/>
      <c r="D470" s="352"/>
      <c r="E470" s="352"/>
    </row>
    <row r="471" spans="1:9" x14ac:dyDescent="0.3">
      <c r="A471" s="352"/>
      <c r="B471" s="352"/>
      <c r="C471" s="352"/>
      <c r="D471" s="352"/>
      <c r="E471" s="352"/>
    </row>
    <row r="472" spans="1:9" x14ac:dyDescent="0.3">
      <c r="A472" s="352"/>
      <c r="B472" s="352"/>
      <c r="C472" s="352"/>
      <c r="D472" s="352"/>
      <c r="E472" s="352"/>
    </row>
    <row r="473" spans="1:9" x14ac:dyDescent="0.3">
      <c r="A473" s="352"/>
      <c r="B473" s="352"/>
      <c r="C473" s="352"/>
      <c r="D473" s="352"/>
      <c r="E473" s="352"/>
    </row>
    <row r="474" spans="1:9" x14ac:dyDescent="0.3">
      <c r="A474" s="352"/>
      <c r="B474" s="352"/>
      <c r="C474" s="352"/>
      <c r="D474" s="352"/>
      <c r="E474" s="352"/>
    </row>
    <row r="475" spans="1:9" x14ac:dyDescent="0.3">
      <c r="A475" s="352"/>
      <c r="B475" s="352"/>
      <c r="C475" s="352"/>
      <c r="D475" s="352"/>
      <c r="E475" s="352"/>
      <c r="I475" s="87"/>
    </row>
    <row r="476" spans="1:9" x14ac:dyDescent="0.3">
      <c r="A476" s="352"/>
      <c r="B476" s="352"/>
      <c r="C476" s="352"/>
      <c r="D476" s="352"/>
      <c r="E476" s="352"/>
    </row>
    <row r="477" spans="1:9" x14ac:dyDescent="0.3">
      <c r="A477" s="352"/>
      <c r="B477" s="352"/>
      <c r="C477" s="352"/>
      <c r="D477" s="352"/>
      <c r="E477" s="352"/>
    </row>
    <row r="478" spans="1:9" x14ac:dyDescent="0.3">
      <c r="A478" s="352"/>
      <c r="B478" s="352"/>
      <c r="C478" s="352"/>
      <c r="D478" s="352"/>
      <c r="E478" s="352"/>
    </row>
    <row r="479" spans="1:9" x14ac:dyDescent="0.3">
      <c r="A479" s="352"/>
      <c r="B479" s="352"/>
      <c r="C479" s="352"/>
      <c r="D479" s="352"/>
      <c r="E479" s="352"/>
    </row>
    <row r="480" spans="1:9" x14ac:dyDescent="0.3">
      <c r="A480" s="352"/>
      <c r="B480" s="352"/>
      <c r="C480" s="352"/>
      <c r="D480" s="352"/>
      <c r="E480" s="352"/>
    </row>
    <row r="481" spans="1:5" x14ac:dyDescent="0.3">
      <c r="A481" s="352"/>
      <c r="B481" s="352"/>
      <c r="C481" s="352"/>
      <c r="D481" s="352"/>
      <c r="E481" s="352"/>
    </row>
    <row r="482" spans="1:5" x14ac:dyDescent="0.3">
      <c r="A482" s="352"/>
      <c r="B482" s="352"/>
      <c r="C482" s="352"/>
      <c r="D482" s="352"/>
      <c r="E482" s="352"/>
    </row>
    <row r="483" spans="1:5" x14ac:dyDescent="0.3">
      <c r="A483" s="352"/>
      <c r="B483" s="352"/>
      <c r="C483" s="352"/>
      <c r="D483" s="352"/>
      <c r="E483" s="352"/>
    </row>
    <row r="484" spans="1:5" x14ac:dyDescent="0.3">
      <c r="A484" s="352"/>
      <c r="B484" s="352"/>
      <c r="C484" s="352"/>
      <c r="D484" s="352"/>
      <c r="E484" s="352"/>
    </row>
    <row r="485" spans="1:5" x14ac:dyDescent="0.3">
      <c r="A485" s="352"/>
      <c r="B485" s="352"/>
      <c r="C485" s="352"/>
      <c r="D485" s="352"/>
      <c r="E485" s="352"/>
    </row>
    <row r="486" spans="1:5" x14ac:dyDescent="0.3">
      <c r="A486" s="352"/>
      <c r="B486" s="352"/>
      <c r="C486" s="352"/>
      <c r="D486" s="352"/>
      <c r="E486" s="352"/>
    </row>
    <row r="487" spans="1:5" x14ac:dyDescent="0.3">
      <c r="A487" s="352"/>
      <c r="B487" s="352"/>
      <c r="C487" s="352"/>
      <c r="D487" s="352"/>
      <c r="E487" s="352"/>
    </row>
    <row r="488" spans="1:5" x14ac:dyDescent="0.3">
      <c r="A488" s="352"/>
      <c r="B488" s="352"/>
      <c r="C488" s="352"/>
      <c r="D488" s="352"/>
      <c r="E488" s="352"/>
    </row>
    <row r="489" spans="1:5" x14ac:dyDescent="0.3">
      <c r="A489" s="352"/>
      <c r="B489" s="352"/>
      <c r="C489" s="352"/>
      <c r="D489" s="352"/>
      <c r="E489" s="352"/>
    </row>
    <row r="490" spans="1:5" x14ac:dyDescent="0.3">
      <c r="A490" s="352"/>
      <c r="B490" s="352"/>
      <c r="C490" s="352"/>
      <c r="D490" s="352"/>
      <c r="E490" s="352"/>
    </row>
    <row r="491" spans="1:5" x14ac:dyDescent="0.3">
      <c r="A491" s="352"/>
      <c r="B491" s="352"/>
      <c r="C491" s="352"/>
      <c r="D491" s="352"/>
      <c r="E491" s="352"/>
    </row>
    <row r="492" spans="1:5" x14ac:dyDescent="0.3">
      <c r="A492" s="352"/>
      <c r="B492" s="352"/>
      <c r="C492" s="352"/>
      <c r="D492" s="352"/>
      <c r="E492" s="352"/>
    </row>
    <row r="493" spans="1:5" x14ac:dyDescent="0.3">
      <c r="A493" s="352"/>
      <c r="B493" s="352"/>
      <c r="C493" s="352"/>
      <c r="D493" s="352"/>
      <c r="E493" s="352"/>
    </row>
    <row r="494" spans="1:5" x14ac:dyDescent="0.3">
      <c r="A494" s="352"/>
      <c r="B494" s="352"/>
      <c r="C494" s="352"/>
      <c r="D494" s="352"/>
      <c r="E494" s="352"/>
    </row>
    <row r="495" spans="1:5" x14ac:dyDescent="0.3">
      <c r="A495" s="352"/>
      <c r="B495" s="352"/>
      <c r="C495" s="352"/>
      <c r="D495" s="352"/>
      <c r="E495" s="352"/>
    </row>
    <row r="496" spans="1:5" x14ac:dyDescent="0.3">
      <c r="A496" s="352"/>
      <c r="B496" s="352"/>
      <c r="C496" s="352"/>
      <c r="D496" s="352"/>
      <c r="E496" s="352"/>
    </row>
    <row r="497" spans="1:5" x14ac:dyDescent="0.3">
      <c r="A497" s="352"/>
      <c r="B497" s="352"/>
      <c r="C497" s="352"/>
      <c r="D497" s="352"/>
      <c r="E497" s="352"/>
    </row>
    <row r="654" spans="9:9" x14ac:dyDescent="0.3">
      <c r="I654" s="20" t="s">
        <v>1997</v>
      </c>
    </row>
    <row r="737" spans="9:9" x14ac:dyDescent="0.3">
      <c r="I737" s="87"/>
    </row>
    <row r="774" spans="9:9" x14ac:dyDescent="0.3">
      <c r="I774" s="87"/>
    </row>
    <row r="780" spans="9:9" x14ac:dyDescent="0.3">
      <c r="I780" s="16"/>
    </row>
  </sheetData>
  <phoneticPr fontId="2" type="noConversion"/>
  <conditionalFormatting sqref="N426:N1048576 N1:N20 M21:M423">
    <cfRule type="cellIs" dxfId="60" priority="3" operator="equal">
      <formula>2</formula>
    </cfRule>
    <cfRule type="cellIs" dxfId="59" priority="4" operator="equal">
      <formula>1</formula>
    </cfRule>
    <cfRule type="cellIs" dxfId="58" priority="5" operator="equal">
      <formula>0</formula>
    </cfRule>
  </conditionalFormatting>
  <pageMargins left="0.7" right="0.7" top="0.75" bottom="0.75" header="0.3" footer="0.3"/>
  <pageSetup paperSize="9" orientation="portrait" horizontalDpi="1200" verticalDpi="1200"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C36B5-C206-4C62-816A-68B8BBA7B3E2}">
  <dimension ref="A1:CI107"/>
  <sheetViews>
    <sheetView zoomScale="70" zoomScaleNormal="70" workbookViewId="0">
      <pane xSplit="15" ySplit="1" topLeftCell="X2" activePane="bottomRight" state="frozen"/>
      <selection pane="topRight" activeCell="P1" sqref="P1"/>
      <selection pane="bottomLeft" activeCell="A2" sqref="A2"/>
      <selection pane="bottomRight" activeCell="AF45" sqref="AF45:AM45"/>
    </sheetView>
  </sheetViews>
  <sheetFormatPr defaultColWidth="8.88671875" defaultRowHeight="13.8" x14ac:dyDescent="0.3"/>
  <cols>
    <col min="1" max="1" width="8.88671875" style="251"/>
    <col min="2" max="2" width="5.88671875" style="251" customWidth="1"/>
    <col min="3" max="4" width="6.77734375" style="251" customWidth="1"/>
    <col min="5" max="5" width="10" style="254" customWidth="1"/>
    <col min="6" max="6" width="10" style="251" customWidth="1"/>
    <col min="7" max="7" width="8.44140625" style="251" customWidth="1"/>
    <col min="8" max="13" width="6.77734375" style="251" customWidth="1"/>
    <col min="14" max="14" width="8.44140625" style="251" customWidth="1"/>
    <col min="15" max="15" width="6.77734375" style="254" customWidth="1"/>
    <col min="16" max="16" width="18.77734375" style="251" customWidth="1"/>
    <col min="17" max="17" width="23.77734375" style="251" customWidth="1"/>
    <col min="18" max="22" width="6.77734375" style="251" customWidth="1"/>
    <col min="23" max="23" width="8.44140625" style="251" customWidth="1"/>
    <col min="24" max="31" width="8.88671875" style="251"/>
    <col min="32" max="150" width="6.77734375" style="251" customWidth="1"/>
    <col min="151" max="16384" width="8.88671875" style="251"/>
  </cols>
  <sheetData>
    <row r="1" spans="1:87" s="254" customFormat="1" ht="13.95" customHeight="1" x14ac:dyDescent="0.3">
      <c r="A1" s="254" t="s">
        <v>1942</v>
      </c>
      <c r="B1" s="254" t="s">
        <v>1943</v>
      </c>
      <c r="C1" s="254" t="s">
        <v>1996</v>
      </c>
      <c r="E1" s="254" t="s">
        <v>1945</v>
      </c>
      <c r="F1" s="254" t="s">
        <v>1950</v>
      </c>
      <c r="G1" s="254" t="s">
        <v>2602</v>
      </c>
      <c r="H1" s="254" t="s">
        <v>2038</v>
      </c>
      <c r="I1" s="254" t="s">
        <v>2603</v>
      </c>
      <c r="J1" s="254" t="s">
        <v>2040</v>
      </c>
      <c r="K1" s="254" t="s">
        <v>2785</v>
      </c>
      <c r="M1" s="254" t="s">
        <v>2995</v>
      </c>
      <c r="N1" s="254" t="s">
        <v>2993</v>
      </c>
      <c r="O1" s="254" t="s">
        <v>2005</v>
      </c>
      <c r="P1" s="254" t="s">
        <v>2033</v>
      </c>
      <c r="Q1" s="254" t="s">
        <v>2034</v>
      </c>
      <c r="R1" s="254" t="s">
        <v>2957</v>
      </c>
      <c r="T1" s="254" t="s">
        <v>3030</v>
      </c>
      <c r="U1" s="254" t="s">
        <v>3031</v>
      </c>
      <c r="V1" s="254" t="s">
        <v>2547</v>
      </c>
      <c r="W1" s="254" t="s">
        <v>2546</v>
      </c>
      <c r="X1" s="254" t="s">
        <v>2049</v>
      </c>
      <c r="Y1" s="254" t="s">
        <v>2050</v>
      </c>
      <c r="Z1" s="254" t="s">
        <v>2051</v>
      </c>
      <c r="AA1" s="254" t="s">
        <v>2052</v>
      </c>
      <c r="AB1" s="254" t="s">
        <v>2053</v>
      </c>
      <c r="AC1" s="254" t="s">
        <v>2054</v>
      </c>
      <c r="AD1" s="254" t="s">
        <v>2055</v>
      </c>
      <c r="AE1" s="254" t="s">
        <v>2056</v>
      </c>
      <c r="AF1" s="254" t="s">
        <v>2057</v>
      </c>
      <c r="AG1" s="254" t="s">
        <v>2058</v>
      </c>
      <c r="AH1" s="254" t="s">
        <v>2059</v>
      </c>
      <c r="AI1" s="254" t="s">
        <v>2060</v>
      </c>
      <c r="AJ1" s="254" t="s">
        <v>2061</v>
      </c>
      <c r="AK1" s="254" t="s">
        <v>2062</v>
      </c>
      <c r="AL1" s="254" t="s">
        <v>2063</v>
      </c>
      <c r="AM1" s="254" t="s">
        <v>2064</v>
      </c>
      <c r="AN1" s="254" t="s">
        <v>2065</v>
      </c>
      <c r="AO1" s="254" t="s">
        <v>2066</v>
      </c>
      <c r="AP1" s="254" t="s">
        <v>2067</v>
      </c>
      <c r="AQ1" s="254" t="s">
        <v>2068</v>
      </c>
      <c r="AR1" s="254" t="s">
        <v>2069</v>
      </c>
      <c r="AS1" s="254" t="s">
        <v>2070</v>
      </c>
      <c r="AT1" s="254" t="s">
        <v>2071</v>
      </c>
      <c r="AU1" s="254" t="s">
        <v>2072</v>
      </c>
      <c r="AV1" s="254" t="s">
        <v>2147</v>
      </c>
      <c r="AW1" s="254" t="s">
        <v>2074</v>
      </c>
      <c r="AX1" s="254" t="s">
        <v>2075</v>
      </c>
      <c r="AY1" s="254" t="s">
        <v>2076</v>
      </c>
      <c r="AZ1" s="254" t="s">
        <v>2077</v>
      </c>
      <c r="BA1" s="254" t="s">
        <v>2078</v>
      </c>
      <c r="BB1" s="254" t="s">
        <v>2079</v>
      </c>
      <c r="BC1" s="254" t="s">
        <v>2080</v>
      </c>
      <c r="BD1" s="254" t="s">
        <v>2081</v>
      </c>
      <c r="BE1" s="254" t="s">
        <v>2082</v>
      </c>
      <c r="BF1" s="254" t="s">
        <v>2083</v>
      </c>
      <c r="BG1" s="254" t="s">
        <v>2084</v>
      </c>
      <c r="BH1" s="254" t="s">
        <v>2085</v>
      </c>
      <c r="BI1" s="254" t="s">
        <v>2086</v>
      </c>
      <c r="BJ1" s="254" t="s">
        <v>2087</v>
      </c>
      <c r="BK1" s="254" t="s">
        <v>2088</v>
      </c>
      <c r="BL1" s="254" t="s">
        <v>2089</v>
      </c>
      <c r="BM1" s="254" t="s">
        <v>2090</v>
      </c>
      <c r="BN1" s="254" t="s">
        <v>2091</v>
      </c>
      <c r="BO1" s="254" t="s">
        <v>2092</v>
      </c>
      <c r="BP1" s="254" t="s">
        <v>2093</v>
      </c>
      <c r="BQ1" s="254" t="s">
        <v>2094</v>
      </c>
      <c r="BR1" s="254" t="s">
        <v>2095</v>
      </c>
      <c r="BS1" s="254" t="s">
        <v>2096</v>
      </c>
      <c r="BT1" s="254" t="s">
        <v>2097</v>
      </c>
      <c r="BU1" s="254" t="s">
        <v>2098</v>
      </c>
      <c r="BV1" s="254" t="s">
        <v>2099</v>
      </c>
      <c r="BW1" s="254" t="s">
        <v>2100</v>
      </c>
      <c r="BX1" s="254" t="s">
        <v>2101</v>
      </c>
      <c r="BY1" s="254" t="s">
        <v>2102</v>
      </c>
      <c r="BZ1" s="254" t="s">
        <v>2103</v>
      </c>
      <c r="CA1" s="254" t="s">
        <v>2104</v>
      </c>
      <c r="CB1" s="254" t="s">
        <v>2105</v>
      </c>
      <c r="CC1" s="254" t="s">
        <v>2106</v>
      </c>
      <c r="CD1" s="254" t="s">
        <v>2107</v>
      </c>
      <c r="CE1" s="254" t="s">
        <v>2108</v>
      </c>
      <c r="CF1" s="254" t="s">
        <v>2109</v>
      </c>
      <c r="CG1" s="254" t="s">
        <v>2110</v>
      </c>
      <c r="CH1" s="254" t="s">
        <v>2111</v>
      </c>
      <c r="CI1" s="254" t="s">
        <v>2112</v>
      </c>
    </row>
    <row r="2" spans="1:87" x14ac:dyDescent="0.3">
      <c r="A2" s="251" t="s">
        <v>3032</v>
      </c>
      <c r="B2" s="251" t="s">
        <v>2159</v>
      </c>
      <c r="C2" s="251" t="s">
        <v>483</v>
      </c>
      <c r="D2" s="282" t="s">
        <v>481</v>
      </c>
      <c r="E2" s="254" t="s">
        <v>2171</v>
      </c>
      <c r="F2" s="251">
        <v>76</v>
      </c>
      <c r="G2" s="251" t="s">
        <v>1978</v>
      </c>
      <c r="H2" s="251" t="s">
        <v>1978</v>
      </c>
      <c r="I2" s="251" t="s">
        <v>2997</v>
      </c>
      <c r="J2" s="251" t="s">
        <v>2998</v>
      </c>
      <c r="K2" s="251" t="s">
        <v>2999</v>
      </c>
      <c r="M2" s="251" t="s">
        <v>562</v>
      </c>
      <c r="N2" s="251" t="s">
        <v>565</v>
      </c>
      <c r="O2" s="254" t="s">
        <v>2171</v>
      </c>
      <c r="P2" s="251" t="s">
        <v>3025</v>
      </c>
      <c r="Q2" s="251" t="s">
        <v>2998</v>
      </c>
      <c r="R2" s="251" t="s">
        <v>2999</v>
      </c>
      <c r="T2" s="251">
        <v>21.4</v>
      </c>
      <c r="U2" s="251">
        <v>21</v>
      </c>
      <c r="V2" s="251">
        <f>SUMIF(AV2:BC2,TRUE,AN2:AU2)</f>
        <v>190.00000000260002</v>
      </c>
      <c r="W2" s="251">
        <f>SUMIF(CB2:CI2,TRUE,BT2:CA2)</f>
        <v>193.00000000207999</v>
      </c>
      <c r="X2" s="251">
        <v>7</v>
      </c>
      <c r="Y2" s="251">
        <v>10</v>
      </c>
      <c r="Z2" s="251">
        <v>10</v>
      </c>
      <c r="AA2" s="251">
        <v>7</v>
      </c>
      <c r="AB2" s="251">
        <v>10</v>
      </c>
      <c r="AC2" s="251">
        <v>10</v>
      </c>
      <c r="AD2" s="251">
        <v>10</v>
      </c>
      <c r="AE2" s="251">
        <v>10</v>
      </c>
      <c r="AF2" s="251">
        <v>4.00000000001</v>
      </c>
      <c r="AG2" s="251">
        <v>4.00000000002</v>
      </c>
      <c r="AH2" s="251">
        <v>4.00000000003</v>
      </c>
      <c r="AI2" s="251">
        <v>4.00000000004</v>
      </c>
      <c r="AJ2" s="251">
        <v>5.0000000000000002E-11</v>
      </c>
      <c r="AK2" s="251">
        <v>4.00000000006</v>
      </c>
      <c r="AL2" s="251">
        <v>4.00000000007</v>
      </c>
      <c r="AM2" s="251">
        <v>3.00000000008</v>
      </c>
      <c r="AN2" s="251">
        <f>AF2*X2</f>
        <v>28.000000000069999</v>
      </c>
      <c r="AO2" s="251">
        <f t="shared" ref="AO2:AU2" si="0">AG2*Y2</f>
        <v>40.000000000200004</v>
      </c>
      <c r="AP2" s="251">
        <f t="shared" si="0"/>
        <v>40.000000000299998</v>
      </c>
      <c r="AQ2" s="251">
        <f t="shared" si="0"/>
        <v>28.00000000028</v>
      </c>
      <c r="AR2" s="251">
        <f t="shared" si="0"/>
        <v>5.0000000000000003E-10</v>
      </c>
      <c r="AS2" s="251">
        <f t="shared" si="0"/>
        <v>40.000000000599996</v>
      </c>
      <c r="AT2" s="251">
        <f t="shared" si="0"/>
        <v>40.000000000699998</v>
      </c>
      <c r="AU2" s="251">
        <f t="shared" si="0"/>
        <v>30.0000000008</v>
      </c>
      <c r="AV2" s="251" t="b">
        <f>IF(AN2&gt;LARGE($AN2:$AU2,6),TRUE)</f>
        <v>0</v>
      </c>
      <c r="AW2" s="344" t="b">
        <f t="shared" ref="AW2:BC2" si="1">IF(AO2&gt;LARGE($AN2:$AU2,6),TRUE)</f>
        <v>1</v>
      </c>
      <c r="AX2" s="344" t="b">
        <f t="shared" si="1"/>
        <v>1</v>
      </c>
      <c r="AY2" s="344" t="b">
        <f t="shared" si="1"/>
        <v>0</v>
      </c>
      <c r="AZ2" s="344" t="b">
        <f t="shared" si="1"/>
        <v>0</v>
      </c>
      <c r="BA2" s="344" t="b">
        <f t="shared" si="1"/>
        <v>1</v>
      </c>
      <c r="BB2" s="344" t="b">
        <f t="shared" si="1"/>
        <v>1</v>
      </c>
      <c r="BC2" s="344" t="b">
        <f t="shared" si="1"/>
        <v>1</v>
      </c>
      <c r="BD2" s="251">
        <v>7</v>
      </c>
      <c r="BE2" s="251">
        <v>10</v>
      </c>
      <c r="BF2" s="251">
        <v>10</v>
      </c>
      <c r="BG2" s="251">
        <v>7</v>
      </c>
      <c r="BH2" s="251">
        <v>10</v>
      </c>
      <c r="BI2" s="251">
        <v>10</v>
      </c>
      <c r="BJ2" s="251">
        <v>10</v>
      </c>
      <c r="BK2" s="251">
        <v>10</v>
      </c>
      <c r="BL2" s="251">
        <v>4.00000000001</v>
      </c>
      <c r="BM2" s="251">
        <v>4.00000000002</v>
      </c>
      <c r="BN2" s="251">
        <v>3.00000000003</v>
      </c>
      <c r="BO2" s="251">
        <v>4.00000000004</v>
      </c>
      <c r="BP2" s="251">
        <v>5.0000000000000002E-11</v>
      </c>
      <c r="BQ2" s="251">
        <v>5.50000000006</v>
      </c>
      <c r="BR2" s="251">
        <v>4.00000000007</v>
      </c>
      <c r="BS2" s="251">
        <v>7.9999999999999995E-11</v>
      </c>
      <c r="BT2" s="251">
        <f>BD2*BL2</f>
        <v>28.000000000069999</v>
      </c>
      <c r="BU2" s="251">
        <f t="shared" ref="BU2:CA2" si="2">BE2*BM2</f>
        <v>40.000000000200004</v>
      </c>
      <c r="BV2" s="251">
        <f t="shared" si="2"/>
        <v>30.000000000299998</v>
      </c>
      <c r="BW2" s="251">
        <f t="shared" si="2"/>
        <v>28.00000000028</v>
      </c>
      <c r="BX2" s="251">
        <f t="shared" si="2"/>
        <v>5.0000000000000003E-10</v>
      </c>
      <c r="BY2" s="251">
        <f t="shared" si="2"/>
        <v>55.000000000599996</v>
      </c>
      <c r="BZ2" s="251">
        <f t="shared" si="2"/>
        <v>40.000000000699998</v>
      </c>
      <c r="CA2" s="251">
        <f t="shared" si="2"/>
        <v>7.9999999999999993E-10</v>
      </c>
      <c r="CB2" s="344" t="b">
        <f>IF(BT2&gt;LARGE($BT2:$CA2,6),TRUE)</f>
        <v>0</v>
      </c>
      <c r="CC2" s="344" t="b">
        <f t="shared" ref="CC2:CI2" si="3">IF(BU2&gt;LARGE($BT2:$CA2,6),TRUE)</f>
        <v>1</v>
      </c>
      <c r="CD2" s="344" t="b">
        <f t="shared" si="3"/>
        <v>1</v>
      </c>
      <c r="CE2" s="344" t="b">
        <f t="shared" si="3"/>
        <v>1</v>
      </c>
      <c r="CF2" s="344" t="b">
        <f t="shared" si="3"/>
        <v>0</v>
      </c>
      <c r="CG2" s="344" t="b">
        <f t="shared" si="3"/>
        <v>1</v>
      </c>
      <c r="CH2" s="344" t="b">
        <f t="shared" si="3"/>
        <v>1</v>
      </c>
      <c r="CI2" s="344" t="b">
        <f t="shared" si="3"/>
        <v>0</v>
      </c>
    </row>
    <row r="3" spans="1:87" x14ac:dyDescent="0.3">
      <c r="A3" s="251" t="str">
        <f>_xlfn.CONCAT(A2,"-2")</f>
        <v>JS3010-2</v>
      </c>
      <c r="D3" s="282"/>
      <c r="G3" s="282"/>
      <c r="H3" s="282"/>
      <c r="I3" s="282"/>
      <c r="J3" s="282"/>
      <c r="K3" s="282"/>
      <c r="L3" s="282"/>
      <c r="M3" s="251" t="s">
        <v>738</v>
      </c>
      <c r="N3" s="251" t="s">
        <v>741</v>
      </c>
      <c r="O3" s="254" t="s">
        <v>2171</v>
      </c>
      <c r="P3" s="251" t="s">
        <v>3026</v>
      </c>
      <c r="Q3" s="251" t="s">
        <v>2998</v>
      </c>
      <c r="R3" s="251" t="s">
        <v>2999</v>
      </c>
      <c r="S3" s="282"/>
      <c r="U3" s="251">
        <v>22.1</v>
      </c>
      <c r="V3" s="251">
        <f t="shared" ref="V3:V46" si="4">SUMIF(AV3:BC3,TRUE,AN3:AU3)</f>
        <v>177.00000000145002</v>
      </c>
      <c r="W3" s="251">
        <f t="shared" ref="W3:W46" si="5">SUMIF(CB3:CI3,TRUE,BT3:CA3)</f>
        <v>180.50000000172997</v>
      </c>
      <c r="X3" s="251">
        <v>7</v>
      </c>
      <c r="Y3" s="251">
        <v>10</v>
      </c>
      <c r="Z3" s="251">
        <v>10</v>
      </c>
      <c r="AA3" s="251">
        <v>7</v>
      </c>
      <c r="AB3" s="251">
        <v>5</v>
      </c>
      <c r="AC3" s="251">
        <v>10</v>
      </c>
      <c r="AD3" s="251">
        <v>5</v>
      </c>
      <c r="AE3" s="251">
        <v>5</v>
      </c>
      <c r="AF3" s="251">
        <v>7.00000000001</v>
      </c>
      <c r="AG3" s="251">
        <v>3.00000000002</v>
      </c>
      <c r="AH3" s="251">
        <v>4.00000000003</v>
      </c>
      <c r="AI3" s="251">
        <v>4.00000000004</v>
      </c>
      <c r="AJ3" s="251">
        <v>5.0000000000000002E-11</v>
      </c>
      <c r="AK3" s="251">
        <v>3.00000000006</v>
      </c>
      <c r="AL3" s="251">
        <v>3.00000000007</v>
      </c>
      <c r="AM3" s="251">
        <v>2.00000000008</v>
      </c>
      <c r="AN3" s="251">
        <f t="shared" ref="AN3:AN46" si="6">AF3*X3</f>
        <v>49.000000000070003</v>
      </c>
      <c r="AO3" s="251">
        <f t="shared" ref="AO3:AO46" si="7">AG3*Y3</f>
        <v>30.0000000002</v>
      </c>
      <c r="AP3" s="251">
        <f t="shared" ref="AP3:AP46" si="8">AH3*Z3</f>
        <v>40.000000000299998</v>
      </c>
      <c r="AQ3" s="251">
        <f t="shared" ref="AQ3:AQ46" si="9">AI3*AA3</f>
        <v>28.00000000028</v>
      </c>
      <c r="AR3" s="251">
        <f t="shared" ref="AR3:AR46" si="10">AJ3*AB3</f>
        <v>2.5000000000000002E-10</v>
      </c>
      <c r="AS3" s="251">
        <f t="shared" ref="AS3:AS46" si="11">AK3*AC3</f>
        <v>30.0000000006</v>
      </c>
      <c r="AT3" s="251">
        <f t="shared" ref="AT3:AT46" si="12">AL3*AD3</f>
        <v>15.000000000349999</v>
      </c>
      <c r="AU3" s="251">
        <f t="shared" ref="AU3:AU46" si="13">AM3*AE3</f>
        <v>10.0000000004</v>
      </c>
      <c r="AV3" s="344" t="b">
        <f t="shared" ref="AV3:AV30" si="14">IF(AN3&gt;LARGE($AN3:$AU3,6),TRUE)</f>
        <v>1</v>
      </c>
      <c r="AW3" s="344" t="b">
        <f t="shared" ref="AW3:AW31" si="15">IF(AO3&gt;LARGE($AN3:$AU3,6),TRUE)</f>
        <v>1</v>
      </c>
      <c r="AX3" s="344" t="b">
        <f t="shared" ref="AX3:AX31" si="16">IF(AP3&gt;LARGE($AN3:$AU3,6),TRUE)</f>
        <v>1</v>
      </c>
      <c r="AY3" s="344" t="b">
        <f t="shared" ref="AY3:AY31" si="17">IF(AQ3&gt;LARGE($AN3:$AU3,6),TRUE)</f>
        <v>1</v>
      </c>
      <c r="AZ3" s="344" t="b">
        <f t="shared" ref="AZ3:AZ31" si="18">IF(AR3&gt;LARGE($AN3:$AU3,6),TRUE)</f>
        <v>0</v>
      </c>
      <c r="BA3" s="344" t="b">
        <f t="shared" ref="BA3:BA31" si="19">IF(AS3&gt;LARGE($AN3:$AU3,6),TRUE)</f>
        <v>1</v>
      </c>
      <c r="BB3" s="344" t="b">
        <f t="shared" ref="BB3:BB31" si="20">IF(AT3&gt;LARGE($AN3:$AU3,6),TRUE)</f>
        <v>0</v>
      </c>
      <c r="BC3" s="344" t="b">
        <f t="shared" ref="BC3:BC31" si="21">IF(AU3&gt;LARGE($AN3:$AU3,6),TRUE)</f>
        <v>0</v>
      </c>
      <c r="BD3" s="251">
        <v>7</v>
      </c>
      <c r="BE3" s="251">
        <v>10</v>
      </c>
      <c r="BF3" s="251">
        <v>10</v>
      </c>
      <c r="BG3" s="251">
        <v>7</v>
      </c>
      <c r="BH3" s="251">
        <v>5</v>
      </c>
      <c r="BI3" s="251">
        <v>10</v>
      </c>
      <c r="BJ3" s="251">
        <v>5</v>
      </c>
      <c r="BK3" s="251">
        <v>5</v>
      </c>
      <c r="BL3" s="251">
        <v>3.00000000001</v>
      </c>
      <c r="BM3" s="251">
        <v>3.00000000002</v>
      </c>
      <c r="BN3" s="251">
        <v>4.00000000003</v>
      </c>
      <c r="BO3" s="251">
        <v>4.00000000004</v>
      </c>
      <c r="BP3" s="251">
        <v>5.0000000000000002E-11</v>
      </c>
      <c r="BQ3" s="251">
        <v>5.50000000006</v>
      </c>
      <c r="BR3" s="251">
        <v>5.50000000007</v>
      </c>
      <c r="BS3" s="251">
        <v>4.00000000008</v>
      </c>
      <c r="BT3" s="251">
        <f t="shared" ref="BT3:BT46" si="22">BD3*BL3</f>
        <v>21.000000000069999</v>
      </c>
      <c r="BU3" s="251">
        <f t="shared" ref="BU3:BU46" si="23">BE3*BM3</f>
        <v>30.0000000002</v>
      </c>
      <c r="BV3" s="251">
        <f t="shared" ref="BV3:BV46" si="24">BF3*BN3</f>
        <v>40.000000000299998</v>
      </c>
      <c r="BW3" s="251">
        <f t="shared" ref="BW3:BW46" si="25">BG3*BO3</f>
        <v>28.00000000028</v>
      </c>
      <c r="BX3" s="251">
        <f t="shared" ref="BX3:BX46" si="26">BH3*BP3</f>
        <v>2.5000000000000002E-10</v>
      </c>
      <c r="BY3" s="251">
        <f t="shared" ref="BY3:BY46" si="27">BI3*BQ3</f>
        <v>55.000000000599996</v>
      </c>
      <c r="BZ3" s="251">
        <f t="shared" ref="BZ3:BZ46" si="28">BJ3*BR3</f>
        <v>27.500000000349999</v>
      </c>
      <c r="CA3" s="251">
        <f t="shared" ref="CA3:CA46" si="29">BK3*BS3</f>
        <v>20.0000000004</v>
      </c>
      <c r="CB3" s="344" t="b">
        <f t="shared" ref="CB3:CB29" si="30">IF(BT3&gt;LARGE($BT3:$CA3,6),TRUE)</f>
        <v>0</v>
      </c>
      <c r="CC3" s="344" t="b">
        <f t="shared" ref="CC3:CC30" si="31">IF(BU3&gt;LARGE($BT3:$CA3,6),TRUE)</f>
        <v>1</v>
      </c>
      <c r="CD3" s="344" t="b">
        <f t="shared" ref="CD3:CD30" si="32">IF(BV3&gt;LARGE($BT3:$CA3,6),TRUE)</f>
        <v>1</v>
      </c>
      <c r="CE3" s="344" t="b">
        <f t="shared" ref="CE3:CE30" si="33">IF(BW3&gt;LARGE($BT3:$CA3,6),TRUE)</f>
        <v>1</v>
      </c>
      <c r="CF3" s="344" t="b">
        <f t="shared" ref="CF3:CF30" si="34">IF(BX3&gt;LARGE($BT3:$CA3,6),TRUE)</f>
        <v>0</v>
      </c>
      <c r="CG3" s="344" t="b">
        <f t="shared" ref="CG3:CG30" si="35">IF(BY3&gt;LARGE($BT3:$CA3,6),TRUE)</f>
        <v>1</v>
      </c>
      <c r="CH3" s="344" t="b">
        <f t="shared" ref="CH3:CH30" si="36">IF(BZ3&gt;LARGE($BT3:$CA3,6),TRUE)</f>
        <v>1</v>
      </c>
      <c r="CI3" s="344" t="b">
        <f t="shared" ref="CI3:CI30" si="37">IF(CA3&gt;LARGE($BT3:$CA3,6),TRUE)</f>
        <v>0</v>
      </c>
    </row>
    <row r="4" spans="1:87" x14ac:dyDescent="0.3">
      <c r="A4" s="251" t="str">
        <f>_xlfn.CONCAT(A2,"-3")</f>
        <v>JS3010-3</v>
      </c>
      <c r="D4" s="282"/>
      <c r="G4" s="282"/>
      <c r="H4" s="282"/>
      <c r="I4" s="282"/>
      <c r="J4" s="282"/>
      <c r="K4" s="282"/>
      <c r="L4" s="282"/>
      <c r="M4" s="251" t="s">
        <v>743</v>
      </c>
      <c r="N4" s="251" t="s">
        <v>746</v>
      </c>
      <c r="O4" s="254" t="s">
        <v>2171</v>
      </c>
      <c r="P4" s="251" t="s">
        <v>3027</v>
      </c>
      <c r="Q4" s="251" t="s">
        <v>2998</v>
      </c>
      <c r="R4" s="251" t="s">
        <v>2999</v>
      </c>
      <c r="S4" s="282"/>
      <c r="U4" s="251">
        <v>21.2</v>
      </c>
      <c r="V4" s="251">
        <f t="shared" si="4"/>
        <v>161.00000000151999</v>
      </c>
      <c r="W4" s="251">
        <f t="shared" si="5"/>
        <v>176.00000000145002</v>
      </c>
      <c r="X4" s="251">
        <v>7</v>
      </c>
      <c r="Y4" s="251">
        <v>10</v>
      </c>
      <c r="Z4" s="251">
        <v>10</v>
      </c>
      <c r="AA4" s="251">
        <v>7</v>
      </c>
      <c r="AB4" s="251">
        <v>5</v>
      </c>
      <c r="AC4" s="251">
        <v>10</v>
      </c>
      <c r="AD4" s="251">
        <v>5</v>
      </c>
      <c r="AE4" s="251">
        <v>5</v>
      </c>
      <c r="AF4" s="251">
        <v>3.00000000001</v>
      </c>
      <c r="AG4" s="251">
        <v>4.00000000002</v>
      </c>
      <c r="AH4" s="251">
        <v>4.00000000003</v>
      </c>
      <c r="AI4" s="251">
        <v>2.00000000004</v>
      </c>
      <c r="AJ4" s="251">
        <v>5.0000000000000002E-11</v>
      </c>
      <c r="AK4" s="251">
        <v>4.00000000006</v>
      </c>
      <c r="AL4" s="251">
        <v>4.00000000007</v>
      </c>
      <c r="AM4" s="251">
        <v>7.9999999999999995E-11</v>
      </c>
      <c r="AN4" s="251">
        <f t="shared" si="6"/>
        <v>21.000000000069999</v>
      </c>
      <c r="AO4" s="251">
        <f t="shared" si="7"/>
        <v>40.000000000200004</v>
      </c>
      <c r="AP4" s="251">
        <f t="shared" si="8"/>
        <v>40.000000000299998</v>
      </c>
      <c r="AQ4" s="251">
        <f t="shared" si="9"/>
        <v>14.00000000028</v>
      </c>
      <c r="AR4" s="251">
        <f t="shared" si="10"/>
        <v>2.5000000000000002E-10</v>
      </c>
      <c r="AS4" s="251">
        <f t="shared" si="11"/>
        <v>40.000000000599996</v>
      </c>
      <c r="AT4" s="251">
        <f t="shared" si="12"/>
        <v>20.000000000349999</v>
      </c>
      <c r="AU4" s="251">
        <f t="shared" si="13"/>
        <v>3.9999999999999996E-10</v>
      </c>
      <c r="AV4" s="344" t="b">
        <f t="shared" si="14"/>
        <v>1</v>
      </c>
      <c r="AW4" s="344" t="b">
        <f t="shared" si="15"/>
        <v>1</v>
      </c>
      <c r="AX4" s="344" t="b">
        <f t="shared" si="16"/>
        <v>1</v>
      </c>
      <c r="AY4" s="344" t="b">
        <f t="shared" si="17"/>
        <v>0</v>
      </c>
      <c r="AZ4" s="344" t="b">
        <f t="shared" si="18"/>
        <v>0</v>
      </c>
      <c r="BA4" s="344" t="b">
        <f t="shared" si="19"/>
        <v>1</v>
      </c>
      <c r="BB4" s="344" t="b">
        <f t="shared" si="20"/>
        <v>1</v>
      </c>
      <c r="BC4" s="344" t="b">
        <f t="shared" si="21"/>
        <v>0</v>
      </c>
      <c r="BD4" s="251">
        <v>7</v>
      </c>
      <c r="BE4" s="251">
        <v>10</v>
      </c>
      <c r="BF4" s="251">
        <v>10</v>
      </c>
      <c r="BG4" s="251">
        <v>7</v>
      </c>
      <c r="BH4" s="251">
        <v>5</v>
      </c>
      <c r="BI4" s="251">
        <v>10</v>
      </c>
      <c r="BJ4" s="251">
        <v>5</v>
      </c>
      <c r="BK4" s="251">
        <v>5</v>
      </c>
      <c r="BL4" s="251">
        <v>4.00000000001</v>
      </c>
      <c r="BM4" s="251">
        <v>4.00000000002</v>
      </c>
      <c r="BN4" s="251">
        <v>4.00000000003</v>
      </c>
      <c r="BO4" s="251">
        <v>4.00000000004</v>
      </c>
      <c r="BP4" s="251">
        <v>5.0000000000000002E-11</v>
      </c>
      <c r="BQ4" s="251">
        <v>4.00000000006</v>
      </c>
      <c r="BR4" s="251">
        <v>4.00000000007</v>
      </c>
      <c r="BS4" s="251">
        <v>7.9999999999999995E-11</v>
      </c>
      <c r="BT4" s="251">
        <f t="shared" si="22"/>
        <v>28.000000000069999</v>
      </c>
      <c r="BU4" s="251">
        <f t="shared" si="23"/>
        <v>40.000000000200004</v>
      </c>
      <c r="BV4" s="251">
        <f t="shared" si="24"/>
        <v>40.000000000299998</v>
      </c>
      <c r="BW4" s="251">
        <f t="shared" si="25"/>
        <v>28.00000000028</v>
      </c>
      <c r="BX4" s="251">
        <f t="shared" si="26"/>
        <v>2.5000000000000002E-10</v>
      </c>
      <c r="BY4" s="251">
        <f t="shared" si="27"/>
        <v>40.000000000599996</v>
      </c>
      <c r="BZ4" s="251">
        <f t="shared" si="28"/>
        <v>20.000000000349999</v>
      </c>
      <c r="CA4" s="251">
        <f t="shared" si="29"/>
        <v>3.9999999999999996E-10</v>
      </c>
      <c r="CB4" s="344" t="b">
        <f t="shared" si="30"/>
        <v>1</v>
      </c>
      <c r="CC4" s="344" t="b">
        <f t="shared" si="31"/>
        <v>1</v>
      </c>
      <c r="CD4" s="344" t="b">
        <f t="shared" si="32"/>
        <v>1</v>
      </c>
      <c r="CE4" s="344" t="b">
        <f t="shared" si="33"/>
        <v>1</v>
      </c>
      <c r="CF4" s="344" t="b">
        <f t="shared" si="34"/>
        <v>0</v>
      </c>
      <c r="CG4" s="344" t="b">
        <f t="shared" si="35"/>
        <v>1</v>
      </c>
      <c r="CH4" s="344" t="b">
        <f t="shared" si="36"/>
        <v>0</v>
      </c>
      <c r="CI4" s="344" t="b">
        <f t="shared" si="37"/>
        <v>0</v>
      </c>
    </row>
    <row r="5" spans="1:87" x14ac:dyDescent="0.3">
      <c r="A5" s="251" t="s">
        <v>484</v>
      </c>
      <c r="B5" s="251" t="s">
        <v>2159</v>
      </c>
      <c r="C5" s="251" t="s">
        <v>487</v>
      </c>
      <c r="D5" s="282" t="s">
        <v>485</v>
      </c>
      <c r="E5" s="254" t="s">
        <v>2171</v>
      </c>
      <c r="F5" s="251">
        <v>25</v>
      </c>
      <c r="G5" s="282"/>
      <c r="H5" s="282"/>
      <c r="I5" s="251" t="s">
        <v>3000</v>
      </c>
      <c r="J5" s="251" t="s">
        <v>2998</v>
      </c>
      <c r="K5" s="251" t="s">
        <v>2999</v>
      </c>
      <c r="L5" s="282"/>
      <c r="M5" s="251" t="s">
        <v>701</v>
      </c>
      <c r="N5" s="251" t="s">
        <v>704</v>
      </c>
      <c r="O5" s="254" t="s">
        <v>2171</v>
      </c>
      <c r="P5" s="251" t="s">
        <v>3000</v>
      </c>
      <c r="Q5" s="251" t="s">
        <v>2998</v>
      </c>
      <c r="R5" s="251" t="s">
        <v>2999</v>
      </c>
      <c r="S5" s="282"/>
      <c r="T5" s="251">
        <v>21.9</v>
      </c>
      <c r="U5" s="251">
        <v>21.9</v>
      </c>
      <c r="V5" s="251">
        <f t="shared" si="4"/>
        <v>146.50000000115</v>
      </c>
      <c r="W5" s="251">
        <f t="shared" si="5"/>
        <v>164.00000000115</v>
      </c>
      <c r="X5" s="251">
        <v>7</v>
      </c>
      <c r="Y5" s="251">
        <v>10</v>
      </c>
      <c r="Z5" s="251">
        <v>10</v>
      </c>
      <c r="AA5" s="251">
        <v>7</v>
      </c>
      <c r="AB5" s="251">
        <v>5</v>
      </c>
      <c r="AC5" s="251">
        <v>5</v>
      </c>
      <c r="AD5" s="251">
        <v>5</v>
      </c>
      <c r="AE5" s="251">
        <v>5</v>
      </c>
      <c r="AF5" s="251">
        <v>3.00000000001</v>
      </c>
      <c r="AG5" s="251">
        <v>3.00000000002</v>
      </c>
      <c r="AH5" s="251">
        <v>4.00000000003</v>
      </c>
      <c r="AI5" s="251">
        <v>4.00000000004</v>
      </c>
      <c r="AJ5" s="251">
        <v>5.0000000000000002E-11</v>
      </c>
      <c r="AK5" s="251">
        <v>5.50000000006</v>
      </c>
      <c r="AL5" s="251">
        <v>4.00000000007</v>
      </c>
      <c r="AM5" s="251">
        <v>7.9999999999999995E-11</v>
      </c>
      <c r="AN5" s="251">
        <f t="shared" si="6"/>
        <v>21.000000000069999</v>
      </c>
      <c r="AO5" s="251">
        <f t="shared" si="7"/>
        <v>30.0000000002</v>
      </c>
      <c r="AP5" s="251">
        <f t="shared" si="8"/>
        <v>40.000000000299998</v>
      </c>
      <c r="AQ5" s="251">
        <f t="shared" si="9"/>
        <v>28.00000000028</v>
      </c>
      <c r="AR5" s="251">
        <f t="shared" si="10"/>
        <v>2.5000000000000002E-10</v>
      </c>
      <c r="AS5" s="251">
        <f t="shared" si="11"/>
        <v>27.500000000299998</v>
      </c>
      <c r="AT5" s="251">
        <f t="shared" si="12"/>
        <v>20.000000000349999</v>
      </c>
      <c r="AU5" s="251">
        <f t="shared" si="13"/>
        <v>3.9999999999999996E-10</v>
      </c>
      <c r="AV5" s="344" t="b">
        <f t="shared" si="14"/>
        <v>1</v>
      </c>
      <c r="AW5" s="344" t="b">
        <f t="shared" si="15"/>
        <v>1</v>
      </c>
      <c r="AX5" s="344" t="b">
        <f t="shared" si="16"/>
        <v>1</v>
      </c>
      <c r="AY5" s="344" t="b">
        <f t="shared" si="17"/>
        <v>1</v>
      </c>
      <c r="AZ5" s="344" t="b">
        <f t="shared" si="18"/>
        <v>0</v>
      </c>
      <c r="BA5" s="344" t="b">
        <f t="shared" si="19"/>
        <v>1</v>
      </c>
      <c r="BB5" s="344" t="b">
        <f t="shared" si="20"/>
        <v>0</v>
      </c>
      <c r="BC5" s="344" t="b">
        <f t="shared" si="21"/>
        <v>0</v>
      </c>
      <c r="BD5" s="251">
        <v>7</v>
      </c>
      <c r="BE5" s="251">
        <v>10</v>
      </c>
      <c r="BF5" s="251">
        <v>10</v>
      </c>
      <c r="BG5" s="251">
        <v>7</v>
      </c>
      <c r="BH5" s="251">
        <v>5</v>
      </c>
      <c r="BI5" s="251">
        <v>5</v>
      </c>
      <c r="BJ5" s="251">
        <v>5</v>
      </c>
      <c r="BK5" s="251">
        <v>5</v>
      </c>
      <c r="BL5" s="251">
        <v>4.00000000001</v>
      </c>
      <c r="BM5" s="251">
        <v>4.00000000002</v>
      </c>
      <c r="BN5" s="251">
        <v>5.50000000003</v>
      </c>
      <c r="BO5" s="251">
        <v>3.00000000004</v>
      </c>
      <c r="BP5" s="251">
        <v>2.00000000005</v>
      </c>
      <c r="BQ5" s="251">
        <v>4.00000000006</v>
      </c>
      <c r="BR5" s="251">
        <v>3.00000000007</v>
      </c>
      <c r="BS5" s="251">
        <v>7.9999999999999995E-11</v>
      </c>
      <c r="BT5" s="251">
        <f t="shared" si="22"/>
        <v>28.000000000069999</v>
      </c>
      <c r="BU5" s="251">
        <f t="shared" si="23"/>
        <v>40.000000000200004</v>
      </c>
      <c r="BV5" s="251">
        <f t="shared" si="24"/>
        <v>55.000000000299998</v>
      </c>
      <c r="BW5" s="251">
        <f t="shared" si="25"/>
        <v>21.00000000028</v>
      </c>
      <c r="BX5" s="251">
        <f t="shared" si="26"/>
        <v>10.000000000250001</v>
      </c>
      <c r="BY5" s="251">
        <f t="shared" si="27"/>
        <v>20.000000000299998</v>
      </c>
      <c r="BZ5" s="251">
        <f t="shared" si="28"/>
        <v>15.000000000349999</v>
      </c>
      <c r="CA5" s="251">
        <f t="shared" si="29"/>
        <v>3.9999999999999996E-10</v>
      </c>
      <c r="CB5" s="344" t="b">
        <f t="shared" si="30"/>
        <v>1</v>
      </c>
      <c r="CC5" s="344" t="b">
        <f t="shared" si="31"/>
        <v>1</v>
      </c>
      <c r="CD5" s="344" t="b">
        <f t="shared" si="32"/>
        <v>1</v>
      </c>
      <c r="CE5" s="344" t="b">
        <f t="shared" si="33"/>
        <v>1</v>
      </c>
      <c r="CF5" s="344" t="b">
        <f t="shared" si="34"/>
        <v>0</v>
      </c>
      <c r="CG5" s="344" t="b">
        <f t="shared" si="35"/>
        <v>1</v>
      </c>
      <c r="CH5" s="344" t="b">
        <f t="shared" si="36"/>
        <v>0</v>
      </c>
      <c r="CI5" s="344" t="b">
        <f t="shared" si="37"/>
        <v>0</v>
      </c>
    </row>
    <row r="6" spans="1:87" x14ac:dyDescent="0.3">
      <c r="A6" s="251" t="s">
        <v>488</v>
      </c>
      <c r="B6" s="251" t="s">
        <v>2159</v>
      </c>
      <c r="C6" s="251" t="s">
        <v>491</v>
      </c>
      <c r="D6" s="282" t="s">
        <v>489</v>
      </c>
      <c r="E6" s="254" t="s">
        <v>2171</v>
      </c>
      <c r="F6" s="251">
        <v>25</v>
      </c>
      <c r="G6" s="282"/>
      <c r="H6" s="282"/>
      <c r="I6" s="251" t="s">
        <v>3001</v>
      </c>
      <c r="J6" s="251" t="s">
        <v>2998</v>
      </c>
      <c r="K6" s="251" t="s">
        <v>2999</v>
      </c>
      <c r="L6" s="282"/>
      <c r="M6" s="251" t="s">
        <v>1970</v>
      </c>
      <c r="N6" s="251" t="s">
        <v>1978</v>
      </c>
      <c r="O6" s="254" t="s">
        <v>1978</v>
      </c>
      <c r="P6" s="251" t="s">
        <v>1978</v>
      </c>
      <c r="Q6" s="251" t="s">
        <v>1978</v>
      </c>
      <c r="R6" s="251" t="s">
        <v>1978</v>
      </c>
      <c r="S6" s="282"/>
      <c r="T6" s="251" t="s">
        <v>1978</v>
      </c>
      <c r="U6" s="251" t="s">
        <v>1978</v>
      </c>
      <c r="V6" s="251" t="s">
        <v>1978</v>
      </c>
      <c r="W6" s="251" t="s">
        <v>1978</v>
      </c>
      <c r="AF6" s="251">
        <v>9.9999999999999994E-12</v>
      </c>
      <c r="AG6" s="251">
        <v>1.9999999999999999E-11</v>
      </c>
      <c r="AH6" s="251">
        <v>3E-11</v>
      </c>
      <c r="AI6" s="251">
        <v>3.9999999999999998E-11</v>
      </c>
      <c r="AJ6" s="251">
        <v>5.0000000000000002E-11</v>
      </c>
      <c r="AK6" s="251">
        <v>6E-11</v>
      </c>
      <c r="AL6" s="251">
        <v>7.0000000000000004E-11</v>
      </c>
      <c r="AM6" s="251">
        <v>7.9999999999999995E-11</v>
      </c>
      <c r="AV6" s="344" t="e">
        <f t="shared" si="14"/>
        <v>#NUM!</v>
      </c>
      <c r="AW6" s="344" t="e">
        <f t="shared" si="15"/>
        <v>#NUM!</v>
      </c>
      <c r="AX6" s="344" t="e">
        <f t="shared" si="16"/>
        <v>#NUM!</v>
      </c>
      <c r="AY6" s="344" t="e">
        <f t="shared" si="17"/>
        <v>#NUM!</v>
      </c>
      <c r="AZ6" s="344" t="e">
        <f t="shared" si="18"/>
        <v>#NUM!</v>
      </c>
      <c r="BA6" s="344" t="e">
        <f t="shared" si="19"/>
        <v>#NUM!</v>
      </c>
      <c r="BB6" s="344" t="e">
        <f t="shared" si="20"/>
        <v>#NUM!</v>
      </c>
      <c r="BC6" s="344" t="e">
        <f t="shared" si="21"/>
        <v>#NUM!</v>
      </c>
      <c r="BL6" s="251">
        <v>9.9999999999999994E-12</v>
      </c>
      <c r="BM6" s="251">
        <v>1.9999999999999999E-11</v>
      </c>
      <c r="BN6" s="251">
        <v>3E-11</v>
      </c>
      <c r="BO6" s="251">
        <v>3.9999999999999998E-11</v>
      </c>
      <c r="BP6" s="251">
        <v>5.0000000000000002E-11</v>
      </c>
      <c r="BQ6" s="251">
        <v>6E-11</v>
      </c>
      <c r="BR6" s="251">
        <v>7.0000000000000004E-11</v>
      </c>
      <c r="BS6" s="251">
        <v>7.9999999999999995E-11</v>
      </c>
      <c r="CB6" s="344" t="e">
        <f t="shared" si="30"/>
        <v>#NUM!</v>
      </c>
      <c r="CC6" s="344" t="e">
        <f t="shared" si="31"/>
        <v>#NUM!</v>
      </c>
      <c r="CD6" s="344" t="e">
        <f t="shared" si="32"/>
        <v>#NUM!</v>
      </c>
      <c r="CE6" s="344" t="e">
        <f t="shared" si="33"/>
        <v>#NUM!</v>
      </c>
      <c r="CF6" s="344" t="e">
        <f t="shared" si="34"/>
        <v>#NUM!</v>
      </c>
      <c r="CG6" s="344" t="e">
        <f t="shared" si="35"/>
        <v>#NUM!</v>
      </c>
      <c r="CH6" s="344" t="e">
        <f t="shared" si="36"/>
        <v>#NUM!</v>
      </c>
      <c r="CI6" s="344" t="e">
        <f t="shared" si="37"/>
        <v>#NUM!</v>
      </c>
    </row>
    <row r="7" spans="1:87" s="266" customFormat="1" x14ac:dyDescent="0.3">
      <c r="A7" s="266" t="s">
        <v>492</v>
      </c>
      <c r="B7" s="266" t="s">
        <v>2368</v>
      </c>
      <c r="C7" s="266" t="s">
        <v>495</v>
      </c>
      <c r="D7" s="307" t="s">
        <v>493</v>
      </c>
      <c r="E7" s="234" t="s">
        <v>2171</v>
      </c>
      <c r="F7" s="266">
        <v>160</v>
      </c>
      <c r="G7" s="307"/>
      <c r="H7" s="307"/>
      <c r="I7" s="266" t="s">
        <v>3000</v>
      </c>
      <c r="J7" s="266" t="s">
        <v>2998</v>
      </c>
      <c r="K7" s="266" t="s">
        <v>2999</v>
      </c>
      <c r="L7" s="307"/>
      <c r="M7" s="266" t="s">
        <v>582</v>
      </c>
      <c r="N7" s="266" t="s">
        <v>584</v>
      </c>
      <c r="O7" s="234" t="s">
        <v>2171</v>
      </c>
      <c r="P7" s="266" t="s">
        <v>3000</v>
      </c>
      <c r="Q7" s="266" t="s">
        <v>2998</v>
      </c>
      <c r="R7" s="266" t="s">
        <v>2999</v>
      </c>
      <c r="S7" s="307"/>
      <c r="T7" s="266">
        <v>22.1</v>
      </c>
      <c r="U7" s="266">
        <v>23.1</v>
      </c>
      <c r="V7" s="266">
        <f t="shared" si="4"/>
        <v>163.50000000115</v>
      </c>
      <c r="W7" s="266">
        <f>SUMIF(CB7:CI7,TRUE,BT7:CA7)</f>
        <v>161.50000000115</v>
      </c>
      <c r="X7" s="266">
        <v>7</v>
      </c>
      <c r="Y7" s="266">
        <v>10</v>
      </c>
      <c r="Z7" s="266">
        <v>10</v>
      </c>
      <c r="AA7" s="266">
        <v>7</v>
      </c>
      <c r="AB7" s="266">
        <v>5</v>
      </c>
      <c r="AC7" s="266">
        <v>5</v>
      </c>
      <c r="AD7" s="266">
        <v>5</v>
      </c>
      <c r="AE7" s="266">
        <v>5</v>
      </c>
      <c r="AF7" s="266">
        <v>4.00000000001</v>
      </c>
      <c r="AG7" s="266">
        <v>4.00000000002</v>
      </c>
      <c r="AH7" s="266">
        <v>4.00000000003</v>
      </c>
      <c r="AI7" s="266">
        <v>4.00000000004</v>
      </c>
      <c r="AJ7" s="266">
        <v>5.0000000000000002E-11</v>
      </c>
      <c r="AK7" s="266">
        <v>5.50000000006</v>
      </c>
      <c r="AL7" s="266">
        <v>4.00000000007</v>
      </c>
      <c r="AM7" s="266">
        <v>7.9999999999999995E-11</v>
      </c>
      <c r="AN7" s="266">
        <f t="shared" si="6"/>
        <v>28.000000000069999</v>
      </c>
      <c r="AO7" s="266">
        <f t="shared" si="7"/>
        <v>40.000000000200004</v>
      </c>
      <c r="AP7" s="266">
        <f t="shared" si="8"/>
        <v>40.000000000299998</v>
      </c>
      <c r="AQ7" s="266">
        <f t="shared" si="9"/>
        <v>28.00000000028</v>
      </c>
      <c r="AR7" s="266">
        <f t="shared" si="10"/>
        <v>2.5000000000000002E-10</v>
      </c>
      <c r="AS7" s="266">
        <f t="shared" si="11"/>
        <v>27.500000000299998</v>
      </c>
      <c r="AT7" s="266">
        <f t="shared" si="12"/>
        <v>20.000000000349999</v>
      </c>
      <c r="AU7" s="266">
        <f t="shared" si="13"/>
        <v>3.9999999999999996E-10</v>
      </c>
      <c r="AV7" s="344" t="b">
        <f t="shared" si="14"/>
        <v>1</v>
      </c>
      <c r="AW7" s="344" t="b">
        <f t="shared" si="15"/>
        <v>1</v>
      </c>
      <c r="AX7" s="344" t="b">
        <f t="shared" si="16"/>
        <v>1</v>
      </c>
      <c r="AY7" s="344" t="b">
        <f t="shared" si="17"/>
        <v>1</v>
      </c>
      <c r="AZ7" s="344" t="b">
        <f t="shared" si="18"/>
        <v>0</v>
      </c>
      <c r="BA7" s="344" t="b">
        <f t="shared" si="19"/>
        <v>1</v>
      </c>
      <c r="BB7" s="344" t="b">
        <f t="shared" si="20"/>
        <v>0</v>
      </c>
      <c r="BC7" s="344" t="b">
        <f t="shared" si="21"/>
        <v>0</v>
      </c>
      <c r="BD7" s="266">
        <v>7</v>
      </c>
      <c r="BE7" s="266">
        <v>10</v>
      </c>
      <c r="BF7" s="266">
        <v>10</v>
      </c>
      <c r="BG7" s="266">
        <v>7</v>
      </c>
      <c r="BH7" s="266">
        <v>5</v>
      </c>
      <c r="BI7" s="266">
        <v>5</v>
      </c>
      <c r="BJ7" s="266">
        <v>5</v>
      </c>
      <c r="BK7" s="266">
        <v>5</v>
      </c>
      <c r="BL7" s="266">
        <v>4.00000000001</v>
      </c>
      <c r="BM7" s="266">
        <v>3.00000000002</v>
      </c>
      <c r="BN7" s="266">
        <v>5.50000000003</v>
      </c>
      <c r="BO7" s="266">
        <v>3.00000000004</v>
      </c>
      <c r="BP7" s="266">
        <v>4.00000000005</v>
      </c>
      <c r="BQ7" s="266">
        <v>5.50000000006</v>
      </c>
      <c r="BR7" s="266">
        <v>4.00000000007</v>
      </c>
      <c r="BS7" s="266">
        <v>7.9999999999999995E-11</v>
      </c>
      <c r="BT7" s="266">
        <f t="shared" si="22"/>
        <v>28.000000000069999</v>
      </c>
      <c r="BU7" s="266">
        <f t="shared" si="23"/>
        <v>30.0000000002</v>
      </c>
      <c r="BV7" s="266">
        <f t="shared" si="24"/>
        <v>55.000000000299998</v>
      </c>
      <c r="BW7" s="266">
        <f t="shared" si="25"/>
        <v>21.00000000028</v>
      </c>
      <c r="BX7" s="266">
        <f t="shared" si="26"/>
        <v>20.000000000250001</v>
      </c>
      <c r="BY7" s="266">
        <f t="shared" si="27"/>
        <v>27.500000000299998</v>
      </c>
      <c r="BZ7" s="266">
        <f t="shared" si="28"/>
        <v>20.000000000349999</v>
      </c>
      <c r="CA7" s="266">
        <f t="shared" si="29"/>
        <v>3.9999999999999996E-10</v>
      </c>
      <c r="CB7" s="344" t="b">
        <f t="shared" si="30"/>
        <v>1</v>
      </c>
      <c r="CC7" s="344" t="b">
        <f t="shared" si="31"/>
        <v>1</v>
      </c>
      <c r="CD7" s="344" t="b">
        <f t="shared" si="32"/>
        <v>1</v>
      </c>
      <c r="CE7" s="344" t="b">
        <f t="shared" si="33"/>
        <v>1</v>
      </c>
      <c r="CF7" s="344" t="b">
        <f t="shared" si="34"/>
        <v>0</v>
      </c>
      <c r="CG7" s="344" t="b">
        <f t="shared" si="35"/>
        <v>1</v>
      </c>
      <c r="CH7" s="344" t="b">
        <f t="shared" si="36"/>
        <v>0</v>
      </c>
      <c r="CI7" s="344" t="b">
        <f t="shared" si="37"/>
        <v>0</v>
      </c>
    </row>
    <row r="8" spans="1:87" x14ac:dyDescent="0.3">
      <c r="A8" s="251" t="str">
        <f>_xlfn.CONCAT(A7,"-2")</f>
        <v>JS3060-2</v>
      </c>
      <c r="D8" s="282"/>
      <c r="G8" s="282"/>
      <c r="H8" s="282"/>
      <c r="I8" s="282"/>
      <c r="J8" s="282"/>
      <c r="K8" s="282"/>
      <c r="L8" s="282"/>
      <c r="M8" s="251" t="s">
        <v>623</v>
      </c>
      <c r="N8" s="251" t="s">
        <v>626</v>
      </c>
      <c r="O8" s="254" t="s">
        <v>2171</v>
      </c>
      <c r="P8" s="251" t="s">
        <v>3000</v>
      </c>
      <c r="Q8" s="251" t="s">
        <v>2998</v>
      </c>
      <c r="R8" s="251" t="s">
        <v>2999</v>
      </c>
      <c r="S8" s="282"/>
      <c r="U8" s="251">
        <v>20.5</v>
      </c>
      <c r="V8" s="251">
        <f t="shared" si="4"/>
        <v>149.50000000115</v>
      </c>
      <c r="W8" s="251">
        <f t="shared" si="5"/>
        <v>156.00000000120002</v>
      </c>
      <c r="X8" s="251">
        <v>7</v>
      </c>
      <c r="Y8" s="251">
        <v>10</v>
      </c>
      <c r="Z8" s="251">
        <v>10</v>
      </c>
      <c r="AA8" s="251">
        <v>7</v>
      </c>
      <c r="AB8" s="251">
        <v>5</v>
      </c>
      <c r="AC8" s="251">
        <v>5</v>
      </c>
      <c r="AD8" s="251">
        <v>5</v>
      </c>
      <c r="AE8" s="251">
        <v>5</v>
      </c>
      <c r="AF8" s="251">
        <v>3.00000000001</v>
      </c>
      <c r="AG8" s="251">
        <v>4.00000000002</v>
      </c>
      <c r="AH8" s="251">
        <v>4.00000000003</v>
      </c>
      <c r="AI8" s="251">
        <v>3.00000000004</v>
      </c>
      <c r="AJ8" s="251">
        <v>5.0000000000000002E-11</v>
      </c>
      <c r="AK8" s="251">
        <v>5.50000000006</v>
      </c>
      <c r="AL8" s="251">
        <v>3.00000000007</v>
      </c>
      <c r="AM8" s="251">
        <v>7.9999999999999995E-11</v>
      </c>
      <c r="AN8" s="251">
        <f t="shared" si="6"/>
        <v>21.000000000069999</v>
      </c>
      <c r="AO8" s="251">
        <f t="shared" si="7"/>
        <v>40.000000000200004</v>
      </c>
      <c r="AP8" s="251">
        <f t="shared" si="8"/>
        <v>40.000000000299998</v>
      </c>
      <c r="AQ8" s="251">
        <f t="shared" si="9"/>
        <v>21.00000000028</v>
      </c>
      <c r="AR8" s="251">
        <f t="shared" si="10"/>
        <v>2.5000000000000002E-10</v>
      </c>
      <c r="AS8" s="251">
        <f t="shared" si="11"/>
        <v>27.500000000299998</v>
      </c>
      <c r="AT8" s="251">
        <f t="shared" si="12"/>
        <v>15.000000000349999</v>
      </c>
      <c r="AU8" s="251">
        <f t="shared" si="13"/>
        <v>3.9999999999999996E-10</v>
      </c>
      <c r="AV8" s="344" t="b">
        <f t="shared" si="14"/>
        <v>1</v>
      </c>
      <c r="AW8" s="344" t="b">
        <f t="shared" si="15"/>
        <v>1</v>
      </c>
      <c r="AX8" s="344" t="b">
        <f t="shared" si="16"/>
        <v>1</v>
      </c>
      <c r="AY8" s="344" t="b">
        <f t="shared" si="17"/>
        <v>1</v>
      </c>
      <c r="AZ8" s="344" t="b">
        <f t="shared" si="18"/>
        <v>0</v>
      </c>
      <c r="BA8" s="344" t="b">
        <f t="shared" si="19"/>
        <v>1</v>
      </c>
      <c r="BB8" s="344" t="b">
        <f t="shared" si="20"/>
        <v>0</v>
      </c>
      <c r="BC8" s="344" t="b">
        <f t="shared" si="21"/>
        <v>0</v>
      </c>
      <c r="BD8" s="251">
        <v>7</v>
      </c>
      <c r="BE8" s="251">
        <v>10</v>
      </c>
      <c r="BF8" s="251">
        <v>10</v>
      </c>
      <c r="BG8" s="251">
        <v>7</v>
      </c>
      <c r="BH8" s="251">
        <v>5</v>
      </c>
      <c r="BI8" s="251">
        <v>5</v>
      </c>
      <c r="BJ8" s="251">
        <v>5</v>
      </c>
      <c r="BK8" s="251">
        <v>5</v>
      </c>
      <c r="BL8" s="251">
        <v>4.00000000001</v>
      </c>
      <c r="BM8" s="251">
        <v>4.00000000002</v>
      </c>
      <c r="BN8" s="251">
        <v>4.00000000003</v>
      </c>
      <c r="BO8" s="251">
        <v>4.00000000004</v>
      </c>
      <c r="BP8" s="251">
        <v>5.0000000000000002E-11</v>
      </c>
      <c r="BQ8" s="251">
        <v>4.00000000006</v>
      </c>
      <c r="BR8" s="251">
        <v>4.00000000007</v>
      </c>
      <c r="BS8" s="251">
        <v>7.9999999999999995E-11</v>
      </c>
      <c r="BT8" s="251">
        <f t="shared" si="22"/>
        <v>28.000000000069999</v>
      </c>
      <c r="BU8" s="251">
        <f t="shared" si="23"/>
        <v>40.000000000200004</v>
      </c>
      <c r="BV8" s="251">
        <f t="shared" si="24"/>
        <v>40.000000000299998</v>
      </c>
      <c r="BW8" s="251">
        <f t="shared" si="25"/>
        <v>28.00000000028</v>
      </c>
      <c r="BX8" s="251">
        <f t="shared" si="26"/>
        <v>2.5000000000000002E-10</v>
      </c>
      <c r="BY8" s="251">
        <f t="shared" si="27"/>
        <v>20.000000000299998</v>
      </c>
      <c r="BZ8" s="251">
        <f t="shared" si="28"/>
        <v>20.000000000349999</v>
      </c>
      <c r="CA8" s="251">
        <f t="shared" si="29"/>
        <v>3.9999999999999996E-10</v>
      </c>
      <c r="CB8" s="344" t="b">
        <f t="shared" si="30"/>
        <v>1</v>
      </c>
      <c r="CC8" s="344" t="b">
        <f t="shared" si="31"/>
        <v>1</v>
      </c>
      <c r="CD8" s="344" t="b">
        <f t="shared" si="32"/>
        <v>1</v>
      </c>
      <c r="CE8" s="344" t="b">
        <f t="shared" si="33"/>
        <v>1</v>
      </c>
      <c r="CF8" s="344" t="b">
        <f t="shared" si="34"/>
        <v>0</v>
      </c>
      <c r="CG8" s="344" t="b">
        <f t="shared" si="35"/>
        <v>0</v>
      </c>
      <c r="CH8" s="344" t="b">
        <f t="shared" si="36"/>
        <v>1</v>
      </c>
      <c r="CI8" s="344" t="b">
        <f t="shared" si="37"/>
        <v>0</v>
      </c>
    </row>
    <row r="9" spans="1:87" s="266" customFormat="1" x14ac:dyDescent="0.3">
      <c r="A9" s="251" t="str">
        <f>_xlfn.CONCAT(A7,"-3")</f>
        <v>JS3060-3</v>
      </c>
      <c r="D9" s="307"/>
      <c r="E9" s="234"/>
      <c r="G9" s="307"/>
      <c r="H9" s="307"/>
      <c r="I9" s="307"/>
      <c r="J9" s="307"/>
      <c r="K9" s="307"/>
      <c r="L9" s="307"/>
      <c r="M9" s="266" t="s">
        <v>734</v>
      </c>
      <c r="N9" s="266" t="s">
        <v>737</v>
      </c>
      <c r="O9" s="234" t="s">
        <v>2171</v>
      </c>
      <c r="P9" s="266" t="s">
        <v>3000</v>
      </c>
      <c r="Q9" s="266" t="s">
        <v>2998</v>
      </c>
      <c r="R9" s="266" t="s">
        <v>2999</v>
      </c>
      <c r="S9" s="307"/>
      <c r="U9" s="266">
        <v>22.2</v>
      </c>
      <c r="V9" s="266">
        <f t="shared" si="4"/>
        <v>166.50000000114997</v>
      </c>
      <c r="W9" s="266">
        <f t="shared" si="5"/>
        <v>161.00000000115</v>
      </c>
      <c r="X9" s="266">
        <v>7</v>
      </c>
      <c r="Y9" s="266">
        <v>10</v>
      </c>
      <c r="Z9" s="266">
        <v>10</v>
      </c>
      <c r="AA9" s="266">
        <v>7</v>
      </c>
      <c r="AB9" s="266">
        <v>5</v>
      </c>
      <c r="AC9" s="266">
        <v>5</v>
      </c>
      <c r="AD9" s="266">
        <v>5</v>
      </c>
      <c r="AE9" s="266">
        <v>5</v>
      </c>
      <c r="AF9" s="266">
        <v>4.00000000001</v>
      </c>
      <c r="AG9" s="266">
        <v>4.00000000002</v>
      </c>
      <c r="AH9" s="266">
        <v>4.00000000003</v>
      </c>
      <c r="AI9" s="266">
        <v>5.50000000004</v>
      </c>
      <c r="AJ9" s="266">
        <v>5.0000000000000002E-11</v>
      </c>
      <c r="AK9" s="266">
        <v>4.00000000006</v>
      </c>
      <c r="AL9" s="266">
        <v>3.00000000007</v>
      </c>
      <c r="AM9" s="266">
        <v>7.9999999999999995E-11</v>
      </c>
      <c r="AN9" s="266">
        <f t="shared" si="6"/>
        <v>28.000000000069999</v>
      </c>
      <c r="AO9" s="266">
        <f t="shared" si="7"/>
        <v>40.000000000200004</v>
      </c>
      <c r="AP9" s="266">
        <f t="shared" si="8"/>
        <v>40.000000000299998</v>
      </c>
      <c r="AQ9" s="266">
        <f t="shared" si="9"/>
        <v>38.500000000279996</v>
      </c>
      <c r="AR9" s="266">
        <f t="shared" si="10"/>
        <v>2.5000000000000002E-10</v>
      </c>
      <c r="AS9" s="266">
        <f t="shared" si="11"/>
        <v>20.000000000299998</v>
      </c>
      <c r="AT9" s="266">
        <f t="shared" si="12"/>
        <v>15.000000000349999</v>
      </c>
      <c r="AU9" s="266">
        <f t="shared" si="13"/>
        <v>3.9999999999999996E-10</v>
      </c>
      <c r="AV9" s="344" t="b">
        <f t="shared" si="14"/>
        <v>1</v>
      </c>
      <c r="AW9" s="344" t="b">
        <f t="shared" si="15"/>
        <v>1</v>
      </c>
      <c r="AX9" s="344" t="b">
        <f t="shared" si="16"/>
        <v>1</v>
      </c>
      <c r="AY9" s="344" t="b">
        <f t="shared" si="17"/>
        <v>1</v>
      </c>
      <c r="AZ9" s="344" t="b">
        <f t="shared" si="18"/>
        <v>0</v>
      </c>
      <c r="BA9" s="344" t="b">
        <f t="shared" si="19"/>
        <v>1</v>
      </c>
      <c r="BB9" s="344" t="b">
        <f t="shared" si="20"/>
        <v>0</v>
      </c>
      <c r="BC9" s="344" t="b">
        <f t="shared" si="21"/>
        <v>0</v>
      </c>
      <c r="BD9" s="266">
        <v>7</v>
      </c>
      <c r="BE9" s="266">
        <v>10</v>
      </c>
      <c r="BF9" s="266">
        <v>10</v>
      </c>
      <c r="BG9" s="266">
        <v>7</v>
      </c>
      <c r="BH9" s="266">
        <v>5</v>
      </c>
      <c r="BI9" s="266">
        <v>5</v>
      </c>
      <c r="BJ9" s="266">
        <v>5</v>
      </c>
      <c r="BK9" s="266">
        <v>5</v>
      </c>
      <c r="BL9" s="266">
        <v>4.00000000001</v>
      </c>
      <c r="BM9" s="266">
        <v>3.00000000002</v>
      </c>
      <c r="BN9" s="266">
        <v>4.00000000003</v>
      </c>
      <c r="BO9" s="266">
        <v>4.00000000004</v>
      </c>
      <c r="BP9" s="266">
        <v>4.00000000005</v>
      </c>
      <c r="BQ9" s="266">
        <v>7.00000000006</v>
      </c>
      <c r="BR9" s="266">
        <v>4.00000000007</v>
      </c>
      <c r="BS9" s="266">
        <v>7.9999999999999995E-11</v>
      </c>
      <c r="BT9" s="266">
        <f t="shared" si="22"/>
        <v>28.000000000069999</v>
      </c>
      <c r="BU9" s="266">
        <f t="shared" si="23"/>
        <v>30.0000000002</v>
      </c>
      <c r="BV9" s="266">
        <f t="shared" si="24"/>
        <v>40.000000000299998</v>
      </c>
      <c r="BW9" s="266">
        <f t="shared" si="25"/>
        <v>28.00000000028</v>
      </c>
      <c r="BX9" s="266">
        <f t="shared" si="26"/>
        <v>20.000000000250001</v>
      </c>
      <c r="BY9" s="266">
        <f t="shared" si="27"/>
        <v>35.000000000299998</v>
      </c>
      <c r="BZ9" s="266">
        <f t="shared" si="28"/>
        <v>20.000000000349999</v>
      </c>
      <c r="CA9" s="266">
        <f t="shared" si="29"/>
        <v>3.9999999999999996E-10</v>
      </c>
      <c r="CB9" s="344" t="b">
        <f t="shared" si="30"/>
        <v>1</v>
      </c>
      <c r="CC9" s="344" t="b">
        <f t="shared" si="31"/>
        <v>1</v>
      </c>
      <c r="CD9" s="344" t="b">
        <f t="shared" si="32"/>
        <v>1</v>
      </c>
      <c r="CE9" s="344" t="b">
        <f t="shared" si="33"/>
        <v>1</v>
      </c>
      <c r="CF9" s="344" t="b">
        <f t="shared" si="34"/>
        <v>0</v>
      </c>
      <c r="CG9" s="344" t="b">
        <f t="shared" si="35"/>
        <v>1</v>
      </c>
      <c r="CH9" s="344" t="b">
        <f t="shared" si="36"/>
        <v>0</v>
      </c>
      <c r="CI9" s="344" t="b">
        <f t="shared" si="37"/>
        <v>0</v>
      </c>
    </row>
    <row r="10" spans="1:87" s="266" customFormat="1" x14ac:dyDescent="0.3">
      <c r="A10" s="266" t="s">
        <v>496</v>
      </c>
      <c r="B10" s="266" t="s">
        <v>2368</v>
      </c>
      <c r="C10" s="266" t="s">
        <v>499</v>
      </c>
      <c r="D10" s="307" t="s">
        <v>497</v>
      </c>
      <c r="E10" s="234" t="s">
        <v>2171</v>
      </c>
      <c r="F10" s="266">
        <v>60</v>
      </c>
      <c r="G10" s="307"/>
      <c r="H10" s="307"/>
      <c r="I10" s="266" t="s">
        <v>3000</v>
      </c>
      <c r="J10" s="266" t="s">
        <v>2998</v>
      </c>
      <c r="K10" s="266" t="s">
        <v>2999</v>
      </c>
      <c r="L10" s="307"/>
      <c r="M10" s="266" t="s">
        <v>661</v>
      </c>
      <c r="N10" s="266" t="s">
        <v>664</v>
      </c>
      <c r="O10" s="234" t="s">
        <v>2171</v>
      </c>
      <c r="P10" s="266" t="s">
        <v>3000</v>
      </c>
      <c r="Q10" s="266" t="s">
        <v>2998</v>
      </c>
      <c r="R10" s="266" t="s">
        <v>2999</v>
      </c>
      <c r="S10" s="307"/>
      <c r="T10" s="266">
        <v>19.7</v>
      </c>
      <c r="U10" s="266">
        <v>19.7</v>
      </c>
      <c r="V10" s="266">
        <f t="shared" si="4"/>
        <v>149.00000000115</v>
      </c>
      <c r="W10" s="266">
        <f t="shared" si="5"/>
        <v>146.50000000115</v>
      </c>
      <c r="X10" s="266">
        <v>7</v>
      </c>
      <c r="Y10" s="266">
        <v>10</v>
      </c>
      <c r="Z10" s="266">
        <v>10</v>
      </c>
      <c r="AA10" s="266">
        <v>7</v>
      </c>
      <c r="AB10" s="266">
        <v>5</v>
      </c>
      <c r="AC10" s="266">
        <v>5</v>
      </c>
      <c r="AD10" s="266">
        <v>5</v>
      </c>
      <c r="AE10" s="266">
        <v>5</v>
      </c>
      <c r="AF10" s="266">
        <v>4.00000000001</v>
      </c>
      <c r="AG10" s="266">
        <v>4.00000000002</v>
      </c>
      <c r="AH10" s="266">
        <v>4.00000000003</v>
      </c>
      <c r="AI10" s="266">
        <v>3.00000000004</v>
      </c>
      <c r="AJ10" s="266">
        <v>5.0000000000000002E-11</v>
      </c>
      <c r="AK10" s="266">
        <v>4.00000000006</v>
      </c>
      <c r="AL10" s="266">
        <v>3.00000000007</v>
      </c>
      <c r="AM10" s="266">
        <v>7.9999999999999995E-11</v>
      </c>
      <c r="AN10" s="266">
        <f t="shared" si="6"/>
        <v>28.000000000069999</v>
      </c>
      <c r="AO10" s="266">
        <f t="shared" si="7"/>
        <v>40.000000000200004</v>
      </c>
      <c r="AP10" s="266">
        <f t="shared" si="8"/>
        <v>40.000000000299998</v>
      </c>
      <c r="AQ10" s="266">
        <f t="shared" si="9"/>
        <v>21.00000000028</v>
      </c>
      <c r="AR10" s="266">
        <f t="shared" si="10"/>
        <v>2.5000000000000002E-10</v>
      </c>
      <c r="AS10" s="266">
        <f t="shared" si="11"/>
        <v>20.000000000299998</v>
      </c>
      <c r="AT10" s="266">
        <f t="shared" si="12"/>
        <v>15.000000000349999</v>
      </c>
      <c r="AU10" s="266">
        <f t="shared" si="13"/>
        <v>3.9999999999999996E-10</v>
      </c>
      <c r="AV10" s="344" t="b">
        <f t="shared" si="14"/>
        <v>1</v>
      </c>
      <c r="AW10" s="344" t="b">
        <f t="shared" si="15"/>
        <v>1</v>
      </c>
      <c r="AX10" s="344" t="b">
        <f t="shared" si="16"/>
        <v>1</v>
      </c>
      <c r="AY10" s="344" t="b">
        <f t="shared" si="17"/>
        <v>1</v>
      </c>
      <c r="AZ10" s="344" t="b">
        <f t="shared" si="18"/>
        <v>0</v>
      </c>
      <c r="BA10" s="344" t="b">
        <f t="shared" si="19"/>
        <v>1</v>
      </c>
      <c r="BB10" s="344" t="b">
        <f t="shared" si="20"/>
        <v>0</v>
      </c>
      <c r="BC10" s="344" t="b">
        <f t="shared" si="21"/>
        <v>0</v>
      </c>
      <c r="BD10" s="266">
        <v>7</v>
      </c>
      <c r="BE10" s="266">
        <v>10</v>
      </c>
      <c r="BF10" s="266">
        <v>10</v>
      </c>
      <c r="BG10" s="266">
        <v>7</v>
      </c>
      <c r="BH10" s="266">
        <v>5</v>
      </c>
      <c r="BI10" s="266">
        <v>5</v>
      </c>
      <c r="BJ10" s="266">
        <v>5</v>
      </c>
      <c r="BK10" s="266">
        <v>5</v>
      </c>
      <c r="BL10" s="266">
        <v>3.00000000001</v>
      </c>
      <c r="BM10" s="266">
        <v>3.00000000002</v>
      </c>
      <c r="BN10" s="266">
        <v>4.00000000003</v>
      </c>
      <c r="BO10" s="266">
        <v>4.00000000004</v>
      </c>
      <c r="BP10" s="266">
        <v>5.0000000000000002E-11</v>
      </c>
      <c r="BQ10" s="266">
        <v>5.50000000006</v>
      </c>
      <c r="BR10" s="266">
        <v>4.00000000007</v>
      </c>
      <c r="BS10" s="266">
        <v>7.9999999999999995E-11</v>
      </c>
      <c r="BT10" s="266">
        <f t="shared" si="22"/>
        <v>21.000000000069999</v>
      </c>
      <c r="BU10" s="266">
        <f t="shared" si="23"/>
        <v>30.0000000002</v>
      </c>
      <c r="BV10" s="266">
        <f t="shared" si="24"/>
        <v>40.000000000299998</v>
      </c>
      <c r="BW10" s="266">
        <f t="shared" si="25"/>
        <v>28.00000000028</v>
      </c>
      <c r="BX10" s="266">
        <f t="shared" si="26"/>
        <v>2.5000000000000002E-10</v>
      </c>
      <c r="BY10" s="266">
        <f t="shared" si="27"/>
        <v>27.500000000299998</v>
      </c>
      <c r="BZ10" s="266">
        <f t="shared" si="28"/>
        <v>20.000000000349999</v>
      </c>
      <c r="CA10" s="266">
        <f t="shared" si="29"/>
        <v>3.9999999999999996E-10</v>
      </c>
      <c r="CB10" s="344" t="b">
        <f t="shared" si="30"/>
        <v>1</v>
      </c>
      <c r="CC10" s="344" t="b">
        <f t="shared" si="31"/>
        <v>1</v>
      </c>
      <c r="CD10" s="344" t="b">
        <f t="shared" si="32"/>
        <v>1</v>
      </c>
      <c r="CE10" s="344" t="b">
        <f t="shared" si="33"/>
        <v>1</v>
      </c>
      <c r="CF10" s="344" t="b">
        <f t="shared" si="34"/>
        <v>0</v>
      </c>
      <c r="CG10" s="344" t="b">
        <f t="shared" si="35"/>
        <v>1</v>
      </c>
      <c r="CH10" s="344" t="b">
        <f t="shared" si="36"/>
        <v>0</v>
      </c>
      <c r="CI10" s="344" t="b">
        <f t="shared" si="37"/>
        <v>0</v>
      </c>
    </row>
    <row r="11" spans="1:87" x14ac:dyDescent="0.3">
      <c r="A11" s="251" t="str">
        <f>_xlfn.CONCAT(A10,"-2")</f>
        <v>JS3070-2</v>
      </c>
      <c r="D11" s="282"/>
      <c r="G11" s="282"/>
      <c r="H11" s="282"/>
      <c r="I11" s="282"/>
      <c r="J11" s="282"/>
      <c r="K11" s="282"/>
      <c r="L11" s="282"/>
      <c r="M11" s="251" t="s">
        <v>715</v>
      </c>
      <c r="N11" s="251" t="s">
        <v>718</v>
      </c>
      <c r="O11" s="254" t="s">
        <v>1977</v>
      </c>
      <c r="P11" s="251" t="s">
        <v>3000</v>
      </c>
      <c r="Q11" s="251" t="s">
        <v>2998</v>
      </c>
      <c r="R11" s="251" t="s">
        <v>2999</v>
      </c>
      <c r="S11" s="282"/>
      <c r="U11" s="251">
        <v>19.8</v>
      </c>
      <c r="V11" s="251">
        <f t="shared" si="4"/>
        <v>143.00000000121997</v>
      </c>
      <c r="W11" s="251">
        <f t="shared" si="5"/>
        <v>151.00000000120002</v>
      </c>
      <c r="X11" s="251">
        <v>7</v>
      </c>
      <c r="Y11" s="251">
        <v>10</v>
      </c>
      <c r="Z11" s="251">
        <v>10</v>
      </c>
      <c r="AA11" s="251">
        <v>7</v>
      </c>
      <c r="AB11" s="251">
        <v>5</v>
      </c>
      <c r="AC11" s="251">
        <v>5</v>
      </c>
      <c r="AD11" s="251">
        <v>5</v>
      </c>
      <c r="AE11" s="251">
        <v>5</v>
      </c>
      <c r="AF11" s="251">
        <v>4.00000000001</v>
      </c>
      <c r="AG11" s="251">
        <v>4.00000000002</v>
      </c>
      <c r="AH11" s="251">
        <v>4.00000000003</v>
      </c>
      <c r="AI11" s="251">
        <v>2.00000000004</v>
      </c>
      <c r="AJ11" s="251">
        <v>5.0000000000000002E-11</v>
      </c>
      <c r="AK11" s="251">
        <v>4.00000000006</v>
      </c>
      <c r="AL11" s="251">
        <v>3.00000000007</v>
      </c>
      <c r="AM11" s="251">
        <v>7.9999999999999995E-11</v>
      </c>
      <c r="AN11" s="251">
        <f t="shared" si="6"/>
        <v>28.000000000069999</v>
      </c>
      <c r="AO11" s="251">
        <f t="shared" si="7"/>
        <v>40.000000000200004</v>
      </c>
      <c r="AP11" s="251">
        <f t="shared" si="8"/>
        <v>40.000000000299998</v>
      </c>
      <c r="AQ11" s="251">
        <f t="shared" si="9"/>
        <v>14.00000000028</v>
      </c>
      <c r="AR11" s="251">
        <f t="shared" si="10"/>
        <v>2.5000000000000002E-10</v>
      </c>
      <c r="AS11" s="251">
        <f t="shared" si="11"/>
        <v>20.000000000299998</v>
      </c>
      <c r="AT11" s="251">
        <f t="shared" si="12"/>
        <v>15.000000000349999</v>
      </c>
      <c r="AU11" s="251">
        <f t="shared" si="13"/>
        <v>3.9999999999999996E-10</v>
      </c>
      <c r="AV11" s="344" t="b">
        <f t="shared" si="14"/>
        <v>1</v>
      </c>
      <c r="AW11" s="344" t="b">
        <f t="shared" si="15"/>
        <v>1</v>
      </c>
      <c r="AX11" s="344" t="b">
        <f t="shared" si="16"/>
        <v>1</v>
      </c>
      <c r="AY11" s="344" t="b">
        <f t="shared" si="17"/>
        <v>0</v>
      </c>
      <c r="AZ11" s="344" t="b">
        <f t="shared" si="18"/>
        <v>0</v>
      </c>
      <c r="BA11" s="344" t="b">
        <f t="shared" si="19"/>
        <v>1</v>
      </c>
      <c r="BB11" s="344" t="b">
        <f t="shared" si="20"/>
        <v>1</v>
      </c>
      <c r="BC11" s="344" t="b">
        <f t="shared" si="21"/>
        <v>0</v>
      </c>
      <c r="BD11" s="251">
        <v>7</v>
      </c>
      <c r="BE11" s="251">
        <v>10</v>
      </c>
      <c r="BF11" s="251">
        <v>10</v>
      </c>
      <c r="BG11" s="251">
        <v>7</v>
      </c>
      <c r="BH11" s="251">
        <v>5</v>
      </c>
      <c r="BI11" s="251">
        <v>5</v>
      </c>
      <c r="BJ11" s="251">
        <v>5</v>
      </c>
      <c r="BK11" s="251">
        <v>5</v>
      </c>
      <c r="BL11" s="251">
        <v>4.00000000001</v>
      </c>
      <c r="BM11" s="251">
        <v>4.00000000002</v>
      </c>
      <c r="BN11" s="251">
        <v>4.00000000003</v>
      </c>
      <c r="BO11" s="251">
        <v>4.00000000004</v>
      </c>
      <c r="BP11" s="251">
        <v>5.0000000000000002E-11</v>
      </c>
      <c r="BQ11" s="251">
        <v>3.00000000006</v>
      </c>
      <c r="BR11" s="251">
        <v>3.00000000007</v>
      </c>
      <c r="BS11" s="251">
        <v>7.9999999999999995E-11</v>
      </c>
      <c r="BT11" s="251">
        <f t="shared" si="22"/>
        <v>28.000000000069999</v>
      </c>
      <c r="BU11" s="251">
        <f t="shared" si="23"/>
        <v>40.000000000200004</v>
      </c>
      <c r="BV11" s="251">
        <f t="shared" si="24"/>
        <v>40.000000000299998</v>
      </c>
      <c r="BW11" s="251">
        <f t="shared" si="25"/>
        <v>28.00000000028</v>
      </c>
      <c r="BX11" s="251">
        <f t="shared" si="26"/>
        <v>2.5000000000000002E-10</v>
      </c>
      <c r="BY11" s="251">
        <f t="shared" si="27"/>
        <v>15.0000000003</v>
      </c>
      <c r="BZ11" s="251">
        <f t="shared" si="28"/>
        <v>15.000000000349999</v>
      </c>
      <c r="CA11" s="251">
        <f t="shared" si="29"/>
        <v>3.9999999999999996E-10</v>
      </c>
      <c r="CB11" s="344" t="b">
        <f t="shared" si="30"/>
        <v>1</v>
      </c>
      <c r="CC11" s="344" t="b">
        <f t="shared" si="31"/>
        <v>1</v>
      </c>
      <c r="CD11" s="344" t="b">
        <f t="shared" si="32"/>
        <v>1</v>
      </c>
      <c r="CE11" s="344" t="b">
        <f t="shared" si="33"/>
        <v>1</v>
      </c>
      <c r="CF11" s="344" t="b">
        <f t="shared" si="34"/>
        <v>0</v>
      </c>
      <c r="CG11" s="344" t="b">
        <f t="shared" si="35"/>
        <v>0</v>
      </c>
      <c r="CH11" s="344" t="b">
        <f t="shared" si="36"/>
        <v>1</v>
      </c>
      <c r="CI11" s="344" t="b">
        <f t="shared" si="37"/>
        <v>0</v>
      </c>
    </row>
    <row r="12" spans="1:87" x14ac:dyDescent="0.3">
      <c r="A12" s="251" t="s">
        <v>500</v>
      </c>
      <c r="B12" s="251" t="s">
        <v>2368</v>
      </c>
      <c r="C12" s="251" t="s">
        <v>503</v>
      </c>
      <c r="D12" s="282" t="s">
        <v>501</v>
      </c>
      <c r="E12" s="254" t="s">
        <v>2171</v>
      </c>
      <c r="F12" s="251">
        <v>97</v>
      </c>
      <c r="G12" s="282"/>
      <c r="H12" s="282"/>
      <c r="I12" s="251" t="s">
        <v>3000</v>
      </c>
      <c r="J12" s="251" t="s">
        <v>2998</v>
      </c>
      <c r="K12" s="251" t="s">
        <v>2999</v>
      </c>
      <c r="L12" s="282"/>
      <c r="M12" s="251" t="s">
        <v>619</v>
      </c>
      <c r="N12" s="251" t="s">
        <v>622</v>
      </c>
      <c r="O12" s="254" t="s">
        <v>2171</v>
      </c>
      <c r="P12" s="251" t="s">
        <v>3000</v>
      </c>
      <c r="Q12" s="251" t="s">
        <v>2998</v>
      </c>
      <c r="R12" s="251" t="s">
        <v>2999</v>
      </c>
      <c r="S12" s="282"/>
      <c r="T12" s="251">
        <v>21.1</v>
      </c>
      <c r="U12" s="251">
        <v>21.3</v>
      </c>
      <c r="V12" s="251">
        <f t="shared" si="4"/>
        <v>146.50000000115</v>
      </c>
      <c r="W12" s="251">
        <f t="shared" si="5"/>
        <v>154.00000000125002</v>
      </c>
      <c r="X12" s="251">
        <v>7</v>
      </c>
      <c r="Y12" s="251">
        <v>10</v>
      </c>
      <c r="Z12" s="251">
        <v>10</v>
      </c>
      <c r="AA12" s="251">
        <v>7</v>
      </c>
      <c r="AB12" s="251">
        <v>5</v>
      </c>
      <c r="AC12" s="251">
        <v>5</v>
      </c>
      <c r="AD12" s="251">
        <v>5</v>
      </c>
      <c r="AE12" s="251">
        <v>5</v>
      </c>
      <c r="AF12" s="251">
        <v>4.00000000001</v>
      </c>
      <c r="AG12" s="251">
        <v>3.00000000002</v>
      </c>
      <c r="AH12" s="251">
        <v>4.00000000003</v>
      </c>
      <c r="AI12" s="251">
        <v>3.00000000004</v>
      </c>
      <c r="AJ12" s="251">
        <v>5.0000000000000002E-11</v>
      </c>
      <c r="AK12" s="251">
        <v>5.50000000006</v>
      </c>
      <c r="AL12" s="251">
        <v>4.00000000007</v>
      </c>
      <c r="AM12" s="251">
        <v>7.9999999999999995E-11</v>
      </c>
      <c r="AN12" s="251">
        <f t="shared" si="6"/>
        <v>28.000000000069999</v>
      </c>
      <c r="AO12" s="251">
        <f t="shared" si="7"/>
        <v>30.0000000002</v>
      </c>
      <c r="AP12" s="251">
        <f t="shared" si="8"/>
        <v>40.000000000299998</v>
      </c>
      <c r="AQ12" s="251">
        <f t="shared" si="9"/>
        <v>21.00000000028</v>
      </c>
      <c r="AR12" s="251">
        <f t="shared" si="10"/>
        <v>2.5000000000000002E-10</v>
      </c>
      <c r="AS12" s="251">
        <f t="shared" si="11"/>
        <v>27.500000000299998</v>
      </c>
      <c r="AT12" s="251">
        <f t="shared" si="12"/>
        <v>20.000000000349999</v>
      </c>
      <c r="AU12" s="251">
        <f t="shared" si="13"/>
        <v>3.9999999999999996E-10</v>
      </c>
      <c r="AV12" s="344" t="b">
        <f t="shared" si="14"/>
        <v>1</v>
      </c>
      <c r="AW12" s="344" t="b">
        <f t="shared" si="15"/>
        <v>1</v>
      </c>
      <c r="AX12" s="344" t="b">
        <f t="shared" si="16"/>
        <v>1</v>
      </c>
      <c r="AY12" s="344" t="b">
        <f t="shared" si="17"/>
        <v>1</v>
      </c>
      <c r="AZ12" s="344" t="b">
        <f t="shared" si="18"/>
        <v>0</v>
      </c>
      <c r="BA12" s="344" t="b">
        <f t="shared" si="19"/>
        <v>1</v>
      </c>
      <c r="BB12" s="344" t="b">
        <f t="shared" si="20"/>
        <v>0</v>
      </c>
      <c r="BC12" s="344" t="b">
        <f t="shared" si="21"/>
        <v>0</v>
      </c>
      <c r="BD12" s="251">
        <v>7</v>
      </c>
      <c r="BE12" s="251">
        <v>10</v>
      </c>
      <c r="BF12" s="251">
        <v>10</v>
      </c>
      <c r="BG12" s="251">
        <v>7</v>
      </c>
      <c r="BH12" s="251">
        <v>5</v>
      </c>
      <c r="BI12" s="251">
        <v>5</v>
      </c>
      <c r="BJ12" s="251">
        <v>5</v>
      </c>
      <c r="BK12" s="251">
        <v>5</v>
      </c>
      <c r="BL12" s="251">
        <v>4.00000000001</v>
      </c>
      <c r="BM12" s="251">
        <v>3.00000000002</v>
      </c>
      <c r="BN12" s="251">
        <v>5.50000000003</v>
      </c>
      <c r="BO12" s="251">
        <v>3.00000000004</v>
      </c>
      <c r="BP12" s="251">
        <v>5.0000000000000002E-11</v>
      </c>
      <c r="BQ12" s="251">
        <v>4.00000000006</v>
      </c>
      <c r="BR12" s="251">
        <v>4.00000000007</v>
      </c>
      <c r="BS12" s="251">
        <v>4.00000000008</v>
      </c>
      <c r="BT12" s="251">
        <f t="shared" si="22"/>
        <v>28.000000000069999</v>
      </c>
      <c r="BU12" s="251">
        <f t="shared" si="23"/>
        <v>30.0000000002</v>
      </c>
      <c r="BV12" s="251">
        <f t="shared" si="24"/>
        <v>55.000000000299998</v>
      </c>
      <c r="BW12" s="251">
        <f t="shared" si="25"/>
        <v>21.00000000028</v>
      </c>
      <c r="BX12" s="251">
        <f t="shared" si="26"/>
        <v>2.5000000000000002E-10</v>
      </c>
      <c r="BY12" s="251">
        <f t="shared" si="27"/>
        <v>20.000000000299998</v>
      </c>
      <c r="BZ12" s="251">
        <f t="shared" si="28"/>
        <v>20.000000000349999</v>
      </c>
      <c r="CA12" s="251">
        <f t="shared" si="29"/>
        <v>20.0000000004</v>
      </c>
      <c r="CB12" s="344" t="b">
        <f t="shared" si="30"/>
        <v>1</v>
      </c>
      <c r="CC12" s="344" t="b">
        <f t="shared" si="31"/>
        <v>1</v>
      </c>
      <c r="CD12" s="344" t="b">
        <f t="shared" si="32"/>
        <v>1</v>
      </c>
      <c r="CE12" s="344" t="b">
        <f t="shared" si="33"/>
        <v>1</v>
      </c>
      <c r="CF12" s="344" t="b">
        <f t="shared" si="34"/>
        <v>0</v>
      </c>
      <c r="CG12" s="344" t="b">
        <f t="shared" si="35"/>
        <v>0</v>
      </c>
      <c r="CH12" s="344" t="b">
        <f t="shared" si="36"/>
        <v>0</v>
      </c>
      <c r="CI12" s="344" t="b">
        <f t="shared" si="37"/>
        <v>1</v>
      </c>
    </row>
    <row r="13" spans="1:87" x14ac:dyDescent="0.3">
      <c r="A13" s="251" t="str">
        <f>_xlfn.CONCAT(A12,"-2")</f>
        <v>JS3080-2</v>
      </c>
      <c r="D13" s="282"/>
      <c r="G13" s="282"/>
      <c r="H13" s="282"/>
      <c r="I13" s="282"/>
      <c r="J13" s="282"/>
      <c r="K13" s="282"/>
      <c r="L13" s="282"/>
      <c r="M13" s="251" t="s">
        <v>730</v>
      </c>
      <c r="N13" s="251" t="s">
        <v>733</v>
      </c>
      <c r="O13" s="254" t="s">
        <v>2171</v>
      </c>
      <c r="P13" s="251" t="s">
        <v>3000</v>
      </c>
      <c r="Q13" s="251" t="s">
        <v>2998</v>
      </c>
      <c r="R13" s="251" t="s">
        <v>2999</v>
      </c>
      <c r="S13" s="282"/>
      <c r="U13" s="251">
        <v>21</v>
      </c>
      <c r="V13" s="251">
        <f t="shared" si="4"/>
        <v>149.00000000120002</v>
      </c>
      <c r="W13" s="251">
        <f t="shared" si="5"/>
        <v>149.50000000125002</v>
      </c>
      <c r="X13" s="251">
        <v>7</v>
      </c>
      <c r="Y13" s="251">
        <v>10</v>
      </c>
      <c r="Z13" s="251">
        <v>10</v>
      </c>
      <c r="AA13" s="251">
        <v>7</v>
      </c>
      <c r="AB13" s="251">
        <v>5</v>
      </c>
      <c r="AC13" s="251">
        <v>5</v>
      </c>
      <c r="AD13" s="251">
        <v>5</v>
      </c>
      <c r="AE13" s="251">
        <v>5</v>
      </c>
      <c r="AF13" s="251">
        <v>3.00000000001</v>
      </c>
      <c r="AG13" s="251">
        <v>4.00000000002</v>
      </c>
      <c r="AH13" s="251">
        <v>4.00000000003</v>
      </c>
      <c r="AI13" s="251">
        <v>4.00000000004</v>
      </c>
      <c r="AJ13" s="251">
        <v>5.0000000000000002E-11</v>
      </c>
      <c r="AK13" s="251">
        <v>4.00000000006</v>
      </c>
      <c r="AL13" s="251">
        <v>4.00000000007</v>
      </c>
      <c r="AM13" s="251">
        <v>3.00000000008</v>
      </c>
      <c r="AN13" s="251">
        <f t="shared" si="6"/>
        <v>21.000000000069999</v>
      </c>
      <c r="AO13" s="251">
        <f t="shared" si="7"/>
        <v>40.000000000200004</v>
      </c>
      <c r="AP13" s="251">
        <f t="shared" si="8"/>
        <v>40.000000000299998</v>
      </c>
      <c r="AQ13" s="251">
        <f t="shared" si="9"/>
        <v>28.00000000028</v>
      </c>
      <c r="AR13" s="251">
        <f t="shared" si="10"/>
        <v>2.5000000000000002E-10</v>
      </c>
      <c r="AS13" s="251">
        <f t="shared" si="11"/>
        <v>20.000000000299998</v>
      </c>
      <c r="AT13" s="251">
        <f t="shared" si="12"/>
        <v>20.000000000349999</v>
      </c>
      <c r="AU13" s="251">
        <f t="shared" si="13"/>
        <v>15.0000000004</v>
      </c>
      <c r="AV13" s="344" t="b">
        <f t="shared" si="14"/>
        <v>1</v>
      </c>
      <c r="AW13" s="344" t="b">
        <f t="shared" si="15"/>
        <v>1</v>
      </c>
      <c r="AX13" s="344" t="b">
        <f t="shared" si="16"/>
        <v>1</v>
      </c>
      <c r="AY13" s="344" t="b">
        <f t="shared" si="17"/>
        <v>1</v>
      </c>
      <c r="AZ13" s="344" t="b">
        <f t="shared" si="18"/>
        <v>0</v>
      </c>
      <c r="BA13" s="344" t="b">
        <f t="shared" si="19"/>
        <v>0</v>
      </c>
      <c r="BB13" s="344" t="b">
        <f t="shared" si="20"/>
        <v>1</v>
      </c>
      <c r="BC13" s="344" t="b">
        <f t="shared" si="21"/>
        <v>0</v>
      </c>
      <c r="BD13" s="251">
        <v>7</v>
      </c>
      <c r="BE13" s="251">
        <v>10</v>
      </c>
      <c r="BF13" s="251">
        <v>10</v>
      </c>
      <c r="BG13" s="251">
        <v>7</v>
      </c>
      <c r="BH13" s="251">
        <v>5</v>
      </c>
      <c r="BI13" s="251">
        <v>5</v>
      </c>
      <c r="BJ13" s="251">
        <v>5</v>
      </c>
      <c r="BK13" s="251">
        <v>5</v>
      </c>
      <c r="BL13" s="251">
        <v>5.50000000001</v>
      </c>
      <c r="BM13" s="251">
        <v>3.00000000002</v>
      </c>
      <c r="BN13" s="251">
        <v>4.00000000003</v>
      </c>
      <c r="BO13" s="251">
        <v>3.00000000004</v>
      </c>
      <c r="BP13" s="251">
        <v>5.0000000000000002E-11</v>
      </c>
      <c r="BQ13" s="251">
        <v>4.00000000006</v>
      </c>
      <c r="BR13" s="251">
        <v>4.00000000007</v>
      </c>
      <c r="BS13" s="251">
        <v>4.00000000008</v>
      </c>
      <c r="BT13" s="251">
        <f t="shared" si="22"/>
        <v>38.500000000070003</v>
      </c>
      <c r="BU13" s="251">
        <f t="shared" si="23"/>
        <v>30.0000000002</v>
      </c>
      <c r="BV13" s="251">
        <f t="shared" si="24"/>
        <v>40.000000000299998</v>
      </c>
      <c r="BW13" s="251">
        <f t="shared" si="25"/>
        <v>21.00000000028</v>
      </c>
      <c r="BX13" s="251">
        <f t="shared" si="26"/>
        <v>2.5000000000000002E-10</v>
      </c>
      <c r="BY13" s="251">
        <f t="shared" si="27"/>
        <v>20.000000000299998</v>
      </c>
      <c r="BZ13" s="251">
        <f t="shared" si="28"/>
        <v>20.000000000349999</v>
      </c>
      <c r="CA13" s="251">
        <f t="shared" si="29"/>
        <v>20.0000000004</v>
      </c>
      <c r="CB13" s="344" t="b">
        <f t="shared" si="30"/>
        <v>1</v>
      </c>
      <c r="CC13" s="344" t="b">
        <f t="shared" si="31"/>
        <v>1</v>
      </c>
      <c r="CD13" s="344" t="b">
        <f t="shared" si="32"/>
        <v>1</v>
      </c>
      <c r="CE13" s="344" t="b">
        <f t="shared" si="33"/>
        <v>1</v>
      </c>
      <c r="CF13" s="344" t="b">
        <f t="shared" si="34"/>
        <v>0</v>
      </c>
      <c r="CG13" s="344" t="b">
        <f t="shared" si="35"/>
        <v>0</v>
      </c>
      <c r="CH13" s="344" t="b">
        <f t="shared" si="36"/>
        <v>0</v>
      </c>
      <c r="CI13" s="344" t="b">
        <f t="shared" si="37"/>
        <v>1</v>
      </c>
    </row>
    <row r="14" spans="1:87" s="266" customFormat="1" x14ac:dyDescent="0.3">
      <c r="A14" s="266" t="s">
        <v>504</v>
      </c>
      <c r="B14" s="266" t="s">
        <v>2987</v>
      </c>
      <c r="C14" s="266" t="s">
        <v>507</v>
      </c>
      <c r="D14" s="307" t="s">
        <v>505</v>
      </c>
      <c r="E14" s="234" t="s">
        <v>2171</v>
      </c>
      <c r="F14" s="266">
        <v>98</v>
      </c>
      <c r="G14" s="307"/>
      <c r="H14" s="307"/>
      <c r="I14" s="266" t="s">
        <v>3002</v>
      </c>
      <c r="J14" s="266" t="s">
        <v>3003</v>
      </c>
      <c r="K14" s="266" t="s">
        <v>2999</v>
      </c>
      <c r="L14" s="307"/>
      <c r="M14" s="266" t="s">
        <v>578</v>
      </c>
      <c r="N14" s="266" t="s">
        <v>581</v>
      </c>
      <c r="O14" s="234" t="s">
        <v>2171</v>
      </c>
      <c r="P14" s="266" t="s">
        <v>3002</v>
      </c>
      <c r="Q14" s="266" t="s">
        <v>3003</v>
      </c>
      <c r="R14" s="266" t="s">
        <v>2999</v>
      </c>
      <c r="S14" s="307"/>
      <c r="T14" s="266">
        <v>23.1</v>
      </c>
      <c r="U14" s="266">
        <v>20</v>
      </c>
      <c r="V14" s="266">
        <f t="shared" si="4"/>
        <v>137.00000000106002</v>
      </c>
      <c r="W14" s="266">
        <f t="shared" si="5"/>
        <v>127.00000000111</v>
      </c>
      <c r="X14" s="266">
        <v>7</v>
      </c>
      <c r="Y14" s="266">
        <v>10</v>
      </c>
      <c r="Z14" s="266">
        <v>7</v>
      </c>
      <c r="AA14" s="266">
        <v>7</v>
      </c>
      <c r="AB14" s="266">
        <v>5</v>
      </c>
      <c r="AC14" s="266">
        <v>5</v>
      </c>
      <c r="AD14" s="266">
        <v>5</v>
      </c>
      <c r="AE14" s="266">
        <v>5</v>
      </c>
      <c r="AF14" s="266">
        <v>3.00000000001</v>
      </c>
      <c r="AG14" s="266">
        <v>4.00000000002</v>
      </c>
      <c r="AH14" s="266">
        <v>4.00000000003</v>
      </c>
      <c r="AI14" s="266">
        <v>4.00000000004</v>
      </c>
      <c r="AJ14" s="266">
        <v>5.0000000000000002E-11</v>
      </c>
      <c r="AK14" s="266">
        <v>4.00000000006</v>
      </c>
      <c r="AL14" s="266">
        <v>3.00000000007</v>
      </c>
      <c r="AM14" s="266">
        <v>7.9999999999999995E-11</v>
      </c>
      <c r="AN14" s="266">
        <f t="shared" si="6"/>
        <v>21.000000000069999</v>
      </c>
      <c r="AO14" s="266">
        <f t="shared" si="7"/>
        <v>40.000000000200004</v>
      </c>
      <c r="AP14" s="266">
        <f t="shared" si="8"/>
        <v>28.000000000210001</v>
      </c>
      <c r="AQ14" s="266">
        <f t="shared" si="9"/>
        <v>28.00000000028</v>
      </c>
      <c r="AR14" s="266">
        <f t="shared" si="10"/>
        <v>2.5000000000000002E-10</v>
      </c>
      <c r="AS14" s="266">
        <f t="shared" si="11"/>
        <v>20.000000000299998</v>
      </c>
      <c r="AT14" s="266">
        <f t="shared" si="12"/>
        <v>15.000000000349999</v>
      </c>
      <c r="AU14" s="266">
        <f t="shared" si="13"/>
        <v>3.9999999999999996E-10</v>
      </c>
      <c r="AV14" s="344" t="b">
        <f t="shared" si="14"/>
        <v>1</v>
      </c>
      <c r="AW14" s="344" t="b">
        <f t="shared" si="15"/>
        <v>1</v>
      </c>
      <c r="AX14" s="344" t="b">
        <f t="shared" si="16"/>
        <v>1</v>
      </c>
      <c r="AY14" s="344" t="b">
        <f t="shared" si="17"/>
        <v>1</v>
      </c>
      <c r="AZ14" s="344" t="b">
        <f t="shared" si="18"/>
        <v>0</v>
      </c>
      <c r="BA14" s="344" t="b">
        <f t="shared" si="19"/>
        <v>1</v>
      </c>
      <c r="BB14" s="344" t="b">
        <f t="shared" si="20"/>
        <v>0</v>
      </c>
      <c r="BC14" s="344" t="b">
        <f t="shared" si="21"/>
        <v>0</v>
      </c>
      <c r="BD14" s="266">
        <v>7</v>
      </c>
      <c r="BE14" s="266">
        <v>10</v>
      </c>
      <c r="BF14" s="266">
        <v>7</v>
      </c>
      <c r="BG14" s="266">
        <v>7</v>
      </c>
      <c r="BH14" s="266">
        <v>5</v>
      </c>
      <c r="BI14" s="266">
        <v>5</v>
      </c>
      <c r="BJ14" s="266">
        <v>5</v>
      </c>
      <c r="BK14" s="266">
        <v>5</v>
      </c>
      <c r="BL14" s="266">
        <v>4.00000000001</v>
      </c>
      <c r="BM14" s="266">
        <v>3.00000000002</v>
      </c>
      <c r="BN14" s="266">
        <v>3.00000000003</v>
      </c>
      <c r="BO14" s="266">
        <v>4.00000000004</v>
      </c>
      <c r="BP14" s="266">
        <v>5.0000000000000002E-11</v>
      </c>
      <c r="BQ14" s="266">
        <v>4.00000000006</v>
      </c>
      <c r="BR14" s="266">
        <v>4.00000000007</v>
      </c>
      <c r="BS14" s="266">
        <v>3.00000000008</v>
      </c>
      <c r="BT14" s="266">
        <f t="shared" si="22"/>
        <v>28.000000000069999</v>
      </c>
      <c r="BU14" s="266">
        <f t="shared" si="23"/>
        <v>30.0000000002</v>
      </c>
      <c r="BV14" s="266">
        <f t="shared" si="24"/>
        <v>21.000000000210001</v>
      </c>
      <c r="BW14" s="266">
        <f t="shared" si="25"/>
        <v>28.00000000028</v>
      </c>
      <c r="BX14" s="266">
        <f t="shared" si="26"/>
        <v>2.5000000000000002E-10</v>
      </c>
      <c r="BY14" s="266">
        <f t="shared" si="27"/>
        <v>20.000000000299998</v>
      </c>
      <c r="BZ14" s="266">
        <f t="shared" si="28"/>
        <v>20.000000000349999</v>
      </c>
      <c r="CA14" s="266">
        <f t="shared" si="29"/>
        <v>15.0000000004</v>
      </c>
      <c r="CB14" s="344" t="b">
        <f t="shared" si="30"/>
        <v>1</v>
      </c>
      <c r="CC14" s="344" t="b">
        <f t="shared" si="31"/>
        <v>1</v>
      </c>
      <c r="CD14" s="344" t="b">
        <f t="shared" si="32"/>
        <v>1</v>
      </c>
      <c r="CE14" s="344" t="b">
        <f t="shared" si="33"/>
        <v>1</v>
      </c>
      <c r="CF14" s="344" t="b">
        <f t="shared" si="34"/>
        <v>0</v>
      </c>
      <c r="CG14" s="344" t="b">
        <f t="shared" si="35"/>
        <v>0</v>
      </c>
      <c r="CH14" s="344" t="b">
        <f t="shared" si="36"/>
        <v>1</v>
      </c>
      <c r="CI14" s="344" t="b">
        <f t="shared" si="37"/>
        <v>0</v>
      </c>
    </row>
    <row r="15" spans="1:87" x14ac:dyDescent="0.3">
      <c r="A15" s="251" t="str">
        <f>_xlfn.CONCAT(A14,"-2")</f>
        <v>JS3100-2</v>
      </c>
      <c r="D15" s="282"/>
      <c r="G15" s="282"/>
      <c r="H15" s="282"/>
      <c r="I15" s="282"/>
      <c r="J15" s="282"/>
      <c r="K15" s="282"/>
      <c r="L15" s="282"/>
      <c r="M15" s="251" t="s">
        <v>693</v>
      </c>
      <c r="N15" s="251" t="s">
        <v>696</v>
      </c>
      <c r="O15" s="254" t="s">
        <v>2171</v>
      </c>
      <c r="P15" s="251" t="s">
        <v>3002</v>
      </c>
      <c r="Q15" s="251" t="s">
        <v>3003</v>
      </c>
      <c r="R15" s="251" t="s">
        <v>2999</v>
      </c>
      <c r="S15" s="282"/>
      <c r="U15" s="251">
        <v>25.9</v>
      </c>
      <c r="V15" s="251">
        <f t="shared" si="4"/>
        <v>175.00000000110998</v>
      </c>
      <c r="W15" s="251">
        <f t="shared" si="5"/>
        <v>180.50000000105999</v>
      </c>
      <c r="X15" s="251">
        <v>7</v>
      </c>
      <c r="Y15" s="251">
        <v>10</v>
      </c>
      <c r="Z15" s="251">
        <v>7</v>
      </c>
      <c r="AA15" s="251">
        <v>7</v>
      </c>
      <c r="AB15" s="251">
        <v>5</v>
      </c>
      <c r="AC15" s="251">
        <v>5</v>
      </c>
      <c r="AD15" s="251">
        <v>5</v>
      </c>
      <c r="AE15" s="251">
        <v>5</v>
      </c>
      <c r="AF15" s="251">
        <v>4.00000000001</v>
      </c>
      <c r="AG15" s="251">
        <v>5.50000000002</v>
      </c>
      <c r="AH15" s="251">
        <v>4.00000000003</v>
      </c>
      <c r="AI15" s="251">
        <v>7.00000000004</v>
      </c>
      <c r="AJ15" s="251">
        <v>5.0000000000000002E-11</v>
      </c>
      <c r="AK15" s="251">
        <v>3.00000000006</v>
      </c>
      <c r="AL15" s="251">
        <v>3.00000000007</v>
      </c>
      <c r="AM15" s="251">
        <v>2.00000000008</v>
      </c>
      <c r="AN15" s="251">
        <f t="shared" si="6"/>
        <v>28.000000000069999</v>
      </c>
      <c r="AO15" s="251">
        <f t="shared" si="7"/>
        <v>55.000000000200004</v>
      </c>
      <c r="AP15" s="251">
        <f t="shared" si="8"/>
        <v>28.000000000210001</v>
      </c>
      <c r="AQ15" s="251">
        <f t="shared" si="9"/>
        <v>49.000000000279996</v>
      </c>
      <c r="AR15" s="251">
        <f t="shared" si="10"/>
        <v>2.5000000000000002E-10</v>
      </c>
      <c r="AS15" s="251">
        <f t="shared" si="11"/>
        <v>15.0000000003</v>
      </c>
      <c r="AT15" s="251">
        <f t="shared" si="12"/>
        <v>15.000000000349999</v>
      </c>
      <c r="AU15" s="251">
        <f t="shared" si="13"/>
        <v>10.0000000004</v>
      </c>
      <c r="AV15" s="344" t="b">
        <f t="shared" si="14"/>
        <v>1</v>
      </c>
      <c r="AW15" s="344" t="b">
        <f t="shared" si="15"/>
        <v>1</v>
      </c>
      <c r="AX15" s="344" t="b">
        <f t="shared" si="16"/>
        <v>1</v>
      </c>
      <c r="AY15" s="344" t="b">
        <f t="shared" si="17"/>
        <v>1</v>
      </c>
      <c r="AZ15" s="344" t="b">
        <f t="shared" si="18"/>
        <v>0</v>
      </c>
      <c r="BA15" s="344" t="b">
        <f t="shared" si="19"/>
        <v>0</v>
      </c>
      <c r="BB15" s="344" t="b">
        <f t="shared" si="20"/>
        <v>1</v>
      </c>
      <c r="BC15" s="344" t="b">
        <f t="shared" si="21"/>
        <v>0</v>
      </c>
      <c r="BD15" s="251">
        <v>7</v>
      </c>
      <c r="BE15" s="251">
        <v>10</v>
      </c>
      <c r="BF15" s="251">
        <v>7</v>
      </c>
      <c r="BG15" s="251">
        <v>7</v>
      </c>
      <c r="BH15" s="251">
        <v>5</v>
      </c>
      <c r="BI15" s="251">
        <v>5</v>
      </c>
      <c r="BJ15" s="251">
        <v>5</v>
      </c>
      <c r="BK15" s="251">
        <v>5</v>
      </c>
      <c r="BL15" s="251">
        <v>3.00000000001</v>
      </c>
      <c r="BM15" s="251">
        <v>5.50000000002</v>
      </c>
      <c r="BN15" s="251">
        <v>5.50000000003</v>
      </c>
      <c r="BO15" s="251">
        <v>5.50000000004</v>
      </c>
      <c r="BP15" s="251">
        <v>5.0000000000000002E-11</v>
      </c>
      <c r="BQ15" s="251">
        <v>5.50000000006</v>
      </c>
      <c r="BR15" s="251">
        <v>4.00000000007</v>
      </c>
      <c r="BS15" s="251">
        <v>4.00000000008</v>
      </c>
      <c r="BT15" s="251">
        <f t="shared" si="22"/>
        <v>21.000000000069999</v>
      </c>
      <c r="BU15" s="251">
        <f t="shared" si="23"/>
        <v>55.000000000200004</v>
      </c>
      <c r="BV15" s="251">
        <f t="shared" si="24"/>
        <v>38.500000000210001</v>
      </c>
      <c r="BW15" s="251">
        <f t="shared" si="25"/>
        <v>38.500000000279996</v>
      </c>
      <c r="BX15" s="251">
        <f t="shared" si="26"/>
        <v>2.5000000000000002E-10</v>
      </c>
      <c r="BY15" s="251">
        <f t="shared" si="27"/>
        <v>27.500000000299998</v>
      </c>
      <c r="BZ15" s="251">
        <f t="shared" si="28"/>
        <v>20.000000000349999</v>
      </c>
      <c r="CA15" s="251">
        <f t="shared" si="29"/>
        <v>20.0000000004</v>
      </c>
      <c r="CB15" s="344" t="b">
        <f t="shared" si="30"/>
        <v>1</v>
      </c>
      <c r="CC15" s="344" t="b">
        <f t="shared" si="31"/>
        <v>1</v>
      </c>
      <c r="CD15" s="344" t="b">
        <f t="shared" si="32"/>
        <v>1</v>
      </c>
      <c r="CE15" s="344" t="b">
        <f t="shared" si="33"/>
        <v>1</v>
      </c>
      <c r="CF15" s="344" t="b">
        <f t="shared" si="34"/>
        <v>0</v>
      </c>
      <c r="CG15" s="344" t="b">
        <f t="shared" si="35"/>
        <v>1</v>
      </c>
      <c r="CH15" s="344" t="b">
        <f t="shared" si="36"/>
        <v>0</v>
      </c>
      <c r="CI15" s="344" t="b">
        <f t="shared" si="37"/>
        <v>0</v>
      </c>
    </row>
    <row r="16" spans="1:87" s="266" customFormat="1" x14ac:dyDescent="0.3">
      <c r="A16" s="251" t="str">
        <f>_xlfn.CONCAT(A14,"-3")</f>
        <v>JS3100-3</v>
      </c>
      <c r="D16" s="307"/>
      <c r="E16" s="234"/>
      <c r="G16" s="307"/>
      <c r="H16" s="307"/>
      <c r="I16" s="307"/>
      <c r="J16" s="307"/>
      <c r="K16" s="307"/>
      <c r="L16" s="307"/>
      <c r="M16" s="266" t="s">
        <v>697</v>
      </c>
      <c r="N16" s="266" t="s">
        <v>700</v>
      </c>
      <c r="O16" s="234" t="s">
        <v>2171</v>
      </c>
      <c r="P16" s="266" t="s">
        <v>3001</v>
      </c>
      <c r="Q16" s="266" t="s">
        <v>2998</v>
      </c>
      <c r="R16" s="266" t="s">
        <v>2999</v>
      </c>
      <c r="S16" s="307"/>
      <c r="U16" s="266">
        <v>19.399999999999999</v>
      </c>
      <c r="V16" s="266">
        <f t="shared" si="4"/>
        <v>171.00000000187998</v>
      </c>
      <c r="W16" s="266">
        <f t="shared" si="5"/>
        <v>159.00000000144999</v>
      </c>
      <c r="X16" s="266">
        <v>7</v>
      </c>
      <c r="Y16" s="266">
        <v>10</v>
      </c>
      <c r="Z16" s="266">
        <v>10</v>
      </c>
      <c r="AA16" s="266">
        <v>7</v>
      </c>
      <c r="AB16" s="266">
        <v>10</v>
      </c>
      <c r="AC16" s="266">
        <v>10</v>
      </c>
      <c r="AD16" s="266">
        <v>5</v>
      </c>
      <c r="AE16" s="266">
        <v>5</v>
      </c>
      <c r="AF16" s="266">
        <v>3.00000000001</v>
      </c>
      <c r="AG16" s="266">
        <v>3.00000000002</v>
      </c>
      <c r="AH16" s="266">
        <v>4.00000000003</v>
      </c>
      <c r="AI16" s="266">
        <v>3.00000000004</v>
      </c>
      <c r="AJ16" s="266">
        <v>4.00000000005</v>
      </c>
      <c r="AK16" s="266">
        <v>4.00000000006</v>
      </c>
      <c r="AL16" s="266">
        <v>3.00000000007</v>
      </c>
      <c r="AM16" s="266">
        <v>7.9999999999999995E-11</v>
      </c>
      <c r="AN16" s="266">
        <f t="shared" si="6"/>
        <v>21.000000000069999</v>
      </c>
      <c r="AO16" s="266">
        <f t="shared" si="7"/>
        <v>30.0000000002</v>
      </c>
      <c r="AP16" s="266">
        <f t="shared" si="8"/>
        <v>40.000000000299998</v>
      </c>
      <c r="AQ16" s="266">
        <f t="shared" si="9"/>
        <v>21.00000000028</v>
      </c>
      <c r="AR16" s="266">
        <f t="shared" si="10"/>
        <v>40.000000000500002</v>
      </c>
      <c r="AS16" s="266">
        <f t="shared" si="11"/>
        <v>40.000000000599996</v>
      </c>
      <c r="AT16" s="266">
        <f t="shared" si="12"/>
        <v>15.000000000349999</v>
      </c>
      <c r="AU16" s="266">
        <f t="shared" si="13"/>
        <v>3.9999999999999996E-10</v>
      </c>
      <c r="AV16" s="344" t="b">
        <f t="shared" si="14"/>
        <v>0</v>
      </c>
      <c r="AW16" s="344" t="b">
        <f t="shared" si="15"/>
        <v>1</v>
      </c>
      <c r="AX16" s="344" t="b">
        <f t="shared" si="16"/>
        <v>1</v>
      </c>
      <c r="AY16" s="344" t="b">
        <f t="shared" si="17"/>
        <v>1</v>
      </c>
      <c r="AZ16" s="344" t="b">
        <f t="shared" si="18"/>
        <v>1</v>
      </c>
      <c r="BA16" s="344" t="b">
        <f t="shared" si="19"/>
        <v>1</v>
      </c>
      <c r="BB16" s="344" t="b">
        <f t="shared" si="20"/>
        <v>0</v>
      </c>
      <c r="BC16" s="344" t="b">
        <f t="shared" si="21"/>
        <v>0</v>
      </c>
      <c r="BD16" s="266">
        <v>7</v>
      </c>
      <c r="BE16" s="266">
        <v>10</v>
      </c>
      <c r="BF16" s="266">
        <v>10</v>
      </c>
      <c r="BG16" s="266">
        <v>7</v>
      </c>
      <c r="BH16" s="266">
        <v>10</v>
      </c>
      <c r="BI16" s="266">
        <v>10</v>
      </c>
      <c r="BJ16" s="266">
        <v>5</v>
      </c>
      <c r="BK16" s="266">
        <v>5</v>
      </c>
      <c r="BL16" s="266">
        <v>3.00000000001</v>
      </c>
      <c r="BM16" s="266">
        <v>3.00000000002</v>
      </c>
      <c r="BN16" s="266">
        <v>4.00000000003</v>
      </c>
      <c r="BO16" s="266">
        <v>4.00000000004</v>
      </c>
      <c r="BP16" s="266">
        <v>5.0000000000000002E-11</v>
      </c>
      <c r="BQ16" s="266">
        <v>4.00000000006</v>
      </c>
      <c r="BR16" s="266">
        <v>4.00000000007</v>
      </c>
      <c r="BS16" s="266">
        <v>3.00000000008</v>
      </c>
      <c r="BT16" s="266">
        <f t="shared" si="22"/>
        <v>21.000000000069999</v>
      </c>
      <c r="BU16" s="266">
        <f t="shared" si="23"/>
        <v>30.0000000002</v>
      </c>
      <c r="BV16" s="266">
        <f t="shared" si="24"/>
        <v>40.000000000299998</v>
      </c>
      <c r="BW16" s="266">
        <f t="shared" si="25"/>
        <v>28.00000000028</v>
      </c>
      <c r="BX16" s="266">
        <f t="shared" si="26"/>
        <v>5.0000000000000003E-10</v>
      </c>
      <c r="BY16" s="266">
        <f t="shared" si="27"/>
        <v>40.000000000599996</v>
      </c>
      <c r="BZ16" s="266">
        <f t="shared" si="28"/>
        <v>20.000000000349999</v>
      </c>
      <c r="CA16" s="266">
        <f t="shared" si="29"/>
        <v>15.0000000004</v>
      </c>
      <c r="CB16" s="344" t="b">
        <f t="shared" si="30"/>
        <v>1</v>
      </c>
      <c r="CC16" s="344" t="b">
        <f t="shared" si="31"/>
        <v>1</v>
      </c>
      <c r="CD16" s="344" t="b">
        <f t="shared" si="32"/>
        <v>1</v>
      </c>
      <c r="CE16" s="344" t="b">
        <f t="shared" si="33"/>
        <v>1</v>
      </c>
      <c r="CF16" s="344" t="b">
        <f t="shared" si="34"/>
        <v>0</v>
      </c>
      <c r="CG16" s="344" t="b">
        <f t="shared" si="35"/>
        <v>1</v>
      </c>
      <c r="CH16" s="344" t="b">
        <f t="shared" si="36"/>
        <v>0</v>
      </c>
      <c r="CI16" s="344" t="b">
        <f t="shared" si="37"/>
        <v>0</v>
      </c>
    </row>
    <row r="17" spans="1:87" x14ac:dyDescent="0.3">
      <c r="A17" s="251" t="s">
        <v>508</v>
      </c>
      <c r="B17" s="251" t="s">
        <v>2987</v>
      </c>
      <c r="C17" s="251" t="s">
        <v>511</v>
      </c>
      <c r="D17" s="282" t="s">
        <v>509</v>
      </c>
      <c r="E17" s="254" t="s">
        <v>2171</v>
      </c>
      <c r="F17" s="251">
        <v>35</v>
      </c>
      <c r="G17" s="282"/>
      <c r="H17" s="282"/>
      <c r="I17" s="251" t="s">
        <v>3004</v>
      </c>
      <c r="J17" s="251" t="s">
        <v>2998</v>
      </c>
      <c r="K17" s="251" t="s">
        <v>2999</v>
      </c>
      <c r="L17" s="282"/>
      <c r="M17" s="251" t="s">
        <v>681</v>
      </c>
      <c r="N17" s="251" t="s">
        <v>684</v>
      </c>
      <c r="O17" s="254" t="s">
        <v>2171</v>
      </c>
      <c r="P17" s="251" t="s">
        <v>3004</v>
      </c>
      <c r="Q17" s="251" t="s">
        <v>2998</v>
      </c>
      <c r="R17" s="251" t="s">
        <v>2999</v>
      </c>
      <c r="S17" s="282"/>
      <c r="T17" s="251">
        <v>20</v>
      </c>
      <c r="U17" s="251">
        <v>20</v>
      </c>
      <c r="V17" s="251">
        <f t="shared" si="4"/>
        <v>159.50000000145002</v>
      </c>
      <c r="W17" s="251">
        <f t="shared" si="5"/>
        <v>166.00000000145002</v>
      </c>
      <c r="X17" s="251">
        <v>7</v>
      </c>
      <c r="Y17" s="251">
        <v>10</v>
      </c>
      <c r="Z17" s="251">
        <v>10</v>
      </c>
      <c r="AA17" s="251">
        <v>7</v>
      </c>
      <c r="AB17" s="251">
        <v>5</v>
      </c>
      <c r="AC17" s="251">
        <v>10</v>
      </c>
      <c r="AD17" s="251">
        <v>5</v>
      </c>
      <c r="AE17" s="251">
        <v>5</v>
      </c>
      <c r="AF17" s="251">
        <v>5.50000000001</v>
      </c>
      <c r="AG17" s="251">
        <v>3.00000000002</v>
      </c>
      <c r="AH17" s="251">
        <v>4.00000000003</v>
      </c>
      <c r="AI17" s="251">
        <v>3.00000000004</v>
      </c>
      <c r="AJ17" s="251">
        <v>5.0000000000000002E-11</v>
      </c>
      <c r="AK17" s="251">
        <v>3.00000000006</v>
      </c>
      <c r="AL17" s="251">
        <v>3.00000000007</v>
      </c>
      <c r="AM17" s="251">
        <v>7.9999999999999995E-11</v>
      </c>
      <c r="AN17" s="251">
        <f t="shared" si="6"/>
        <v>38.500000000070003</v>
      </c>
      <c r="AO17" s="251">
        <f t="shared" si="7"/>
        <v>30.0000000002</v>
      </c>
      <c r="AP17" s="251">
        <f t="shared" si="8"/>
        <v>40.000000000299998</v>
      </c>
      <c r="AQ17" s="251">
        <f t="shared" si="9"/>
        <v>21.00000000028</v>
      </c>
      <c r="AR17" s="251">
        <f t="shared" si="10"/>
        <v>2.5000000000000002E-10</v>
      </c>
      <c r="AS17" s="251">
        <f t="shared" si="11"/>
        <v>30.0000000006</v>
      </c>
      <c r="AT17" s="251">
        <f t="shared" si="12"/>
        <v>15.000000000349999</v>
      </c>
      <c r="AU17" s="251">
        <f t="shared" si="13"/>
        <v>3.9999999999999996E-10</v>
      </c>
      <c r="AV17" s="344" t="b">
        <f t="shared" si="14"/>
        <v>1</v>
      </c>
      <c r="AW17" s="344" t="b">
        <f t="shared" si="15"/>
        <v>1</v>
      </c>
      <c r="AX17" s="344" t="b">
        <f t="shared" si="16"/>
        <v>1</v>
      </c>
      <c r="AY17" s="344" t="b">
        <f t="shared" si="17"/>
        <v>1</v>
      </c>
      <c r="AZ17" s="344" t="b">
        <f t="shared" si="18"/>
        <v>0</v>
      </c>
      <c r="BA17" s="344" t="b">
        <f t="shared" si="19"/>
        <v>1</v>
      </c>
      <c r="BB17" s="344" t="b">
        <f t="shared" si="20"/>
        <v>0</v>
      </c>
      <c r="BC17" s="344" t="b">
        <f t="shared" si="21"/>
        <v>0</v>
      </c>
      <c r="BD17" s="251">
        <v>7</v>
      </c>
      <c r="BE17" s="251">
        <v>10</v>
      </c>
      <c r="BF17" s="251">
        <v>10</v>
      </c>
      <c r="BG17" s="251">
        <v>7</v>
      </c>
      <c r="BH17" s="251">
        <v>5</v>
      </c>
      <c r="BI17" s="251">
        <v>10</v>
      </c>
      <c r="BJ17" s="251">
        <v>5</v>
      </c>
      <c r="BK17" s="251">
        <v>5</v>
      </c>
      <c r="BL17" s="251">
        <v>4.00000000001</v>
      </c>
      <c r="BM17" s="251">
        <v>4.00000000002</v>
      </c>
      <c r="BN17" s="251">
        <v>4.00000000003</v>
      </c>
      <c r="BO17" s="251">
        <v>4.00000000004</v>
      </c>
      <c r="BP17" s="251">
        <v>4.00000000005</v>
      </c>
      <c r="BQ17" s="251">
        <v>3.00000000006</v>
      </c>
      <c r="BR17" s="251">
        <v>7.0000000000000004E-11</v>
      </c>
      <c r="BS17" s="251">
        <v>7.9999999999999995E-11</v>
      </c>
      <c r="BT17" s="251">
        <f t="shared" si="22"/>
        <v>28.000000000069999</v>
      </c>
      <c r="BU17" s="251">
        <f t="shared" si="23"/>
        <v>40.000000000200004</v>
      </c>
      <c r="BV17" s="251">
        <f t="shared" si="24"/>
        <v>40.000000000299998</v>
      </c>
      <c r="BW17" s="251">
        <f t="shared" si="25"/>
        <v>28.00000000028</v>
      </c>
      <c r="BX17" s="251">
        <f t="shared" si="26"/>
        <v>20.000000000250001</v>
      </c>
      <c r="BY17" s="251">
        <f t="shared" si="27"/>
        <v>30.0000000006</v>
      </c>
      <c r="BZ17" s="251">
        <f t="shared" si="28"/>
        <v>3.5000000000000003E-10</v>
      </c>
      <c r="CA17" s="251">
        <f t="shared" si="29"/>
        <v>3.9999999999999996E-10</v>
      </c>
      <c r="CB17" s="344" t="b">
        <f t="shared" si="30"/>
        <v>1</v>
      </c>
      <c r="CC17" s="344" t="b">
        <f t="shared" si="31"/>
        <v>1</v>
      </c>
      <c r="CD17" s="344" t="b">
        <f t="shared" si="32"/>
        <v>1</v>
      </c>
      <c r="CE17" s="344" t="b">
        <f t="shared" si="33"/>
        <v>1</v>
      </c>
      <c r="CF17" s="344" t="b">
        <f t="shared" si="34"/>
        <v>0</v>
      </c>
      <c r="CG17" s="344" t="b">
        <f t="shared" si="35"/>
        <v>1</v>
      </c>
      <c r="CH17" s="344" t="b">
        <f t="shared" si="36"/>
        <v>0</v>
      </c>
      <c r="CI17" s="344" t="b">
        <f t="shared" si="37"/>
        <v>0</v>
      </c>
    </row>
    <row r="18" spans="1:87" s="279" customFormat="1" x14ac:dyDescent="0.3">
      <c r="A18" s="279" t="s">
        <v>512</v>
      </c>
      <c r="B18" s="279" t="s">
        <v>2987</v>
      </c>
      <c r="C18" s="279" t="s">
        <v>515</v>
      </c>
      <c r="D18" s="308" t="s">
        <v>513</v>
      </c>
      <c r="E18" s="269" t="s">
        <v>2171</v>
      </c>
      <c r="F18" s="279">
        <v>128</v>
      </c>
      <c r="G18" s="308"/>
      <c r="H18" s="308"/>
      <c r="I18" s="279" t="s">
        <v>3005</v>
      </c>
      <c r="J18" s="279" t="s">
        <v>3007</v>
      </c>
      <c r="K18" s="279" t="s">
        <v>2999</v>
      </c>
      <c r="L18" s="308"/>
      <c r="M18" s="279" t="s">
        <v>570</v>
      </c>
      <c r="N18" s="279" t="s">
        <v>573</v>
      </c>
      <c r="O18" s="269" t="s">
        <v>2171</v>
      </c>
      <c r="P18" s="279" t="s">
        <v>3028</v>
      </c>
      <c r="Q18" s="279" t="s">
        <v>1978</v>
      </c>
      <c r="R18" s="279" t="s">
        <v>2999</v>
      </c>
      <c r="S18" s="308"/>
      <c r="T18" s="279">
        <v>20.5</v>
      </c>
      <c r="U18" s="279">
        <v>20.2</v>
      </c>
      <c r="V18" s="279">
        <f t="shared" si="4"/>
        <v>195.00000000219998</v>
      </c>
      <c r="W18" s="279">
        <f t="shared" si="5"/>
        <v>195.00000000279999</v>
      </c>
      <c r="X18" s="279">
        <v>10</v>
      </c>
      <c r="Y18" s="279">
        <v>10</v>
      </c>
      <c r="Z18" s="279">
        <v>10</v>
      </c>
      <c r="AA18" s="279">
        <v>10</v>
      </c>
      <c r="AB18" s="279">
        <v>10</v>
      </c>
      <c r="AC18" s="279">
        <v>10</v>
      </c>
      <c r="AD18" s="279">
        <v>10</v>
      </c>
      <c r="AE18" s="279">
        <v>10</v>
      </c>
      <c r="AF18" s="279">
        <v>3.00000000001</v>
      </c>
      <c r="AG18" s="279">
        <v>5.50000000002</v>
      </c>
      <c r="AH18" s="279">
        <v>4.00000000003</v>
      </c>
      <c r="AI18" s="279">
        <v>3.00000000004</v>
      </c>
      <c r="AJ18" s="279">
        <v>5.0000000000000002E-11</v>
      </c>
      <c r="AK18" s="279">
        <v>4.00000000006</v>
      </c>
      <c r="AL18" s="279">
        <v>3.00000000007</v>
      </c>
      <c r="AM18" s="279">
        <v>7.9999999999999995E-11</v>
      </c>
      <c r="AN18" s="279">
        <f t="shared" si="6"/>
        <v>30.000000000100002</v>
      </c>
      <c r="AO18" s="279">
        <f t="shared" si="7"/>
        <v>55.000000000200004</v>
      </c>
      <c r="AP18" s="279">
        <f t="shared" si="8"/>
        <v>40.000000000299998</v>
      </c>
      <c r="AQ18" s="279">
        <f t="shared" si="9"/>
        <v>30.0000000004</v>
      </c>
      <c r="AR18" s="279">
        <f t="shared" si="10"/>
        <v>5.0000000000000003E-10</v>
      </c>
      <c r="AS18" s="279">
        <f t="shared" si="11"/>
        <v>40.000000000599996</v>
      </c>
      <c r="AT18" s="279">
        <f t="shared" si="12"/>
        <v>30.000000000699998</v>
      </c>
      <c r="AU18" s="279">
        <f t="shared" si="13"/>
        <v>7.9999999999999993E-10</v>
      </c>
      <c r="AV18" s="344" t="b">
        <f t="shared" si="14"/>
        <v>0</v>
      </c>
      <c r="AW18" s="344" t="b">
        <f t="shared" si="15"/>
        <v>1</v>
      </c>
      <c r="AX18" s="344" t="b">
        <f t="shared" si="16"/>
        <v>1</v>
      </c>
      <c r="AY18" s="344" t="b">
        <f t="shared" si="17"/>
        <v>1</v>
      </c>
      <c r="AZ18" s="344" t="b">
        <f t="shared" si="18"/>
        <v>0</v>
      </c>
      <c r="BA18" s="344" t="b">
        <f t="shared" si="19"/>
        <v>1</v>
      </c>
      <c r="BB18" s="344" t="b">
        <f t="shared" si="20"/>
        <v>1</v>
      </c>
      <c r="BC18" s="344" t="b">
        <f t="shared" si="21"/>
        <v>0</v>
      </c>
      <c r="BD18" s="279">
        <v>10</v>
      </c>
      <c r="BE18" s="279">
        <v>10</v>
      </c>
      <c r="BF18" s="279">
        <v>10</v>
      </c>
      <c r="BG18" s="279">
        <v>10</v>
      </c>
      <c r="BH18" s="279">
        <v>10</v>
      </c>
      <c r="BI18" s="279">
        <v>10</v>
      </c>
      <c r="BJ18" s="279">
        <v>10</v>
      </c>
      <c r="BK18" s="279">
        <v>10</v>
      </c>
      <c r="BL18" s="279">
        <v>3.00000000001</v>
      </c>
      <c r="BM18" s="279">
        <v>3.00000000002</v>
      </c>
      <c r="BN18" s="279">
        <v>3.00000000003</v>
      </c>
      <c r="BO18" s="279">
        <v>5.50000000004</v>
      </c>
      <c r="BP18" s="279">
        <v>5.0000000000000002E-11</v>
      </c>
      <c r="BQ18" s="279">
        <v>4.00000000006</v>
      </c>
      <c r="BR18" s="279">
        <v>4.00000000007</v>
      </c>
      <c r="BS18" s="279">
        <v>3.00000000008</v>
      </c>
      <c r="BT18" s="279">
        <f t="shared" si="22"/>
        <v>30.000000000100002</v>
      </c>
      <c r="BU18" s="279">
        <f t="shared" si="23"/>
        <v>30.0000000002</v>
      </c>
      <c r="BV18" s="279">
        <f t="shared" si="24"/>
        <v>30.000000000299998</v>
      </c>
      <c r="BW18" s="279">
        <f t="shared" si="25"/>
        <v>55.0000000004</v>
      </c>
      <c r="BX18" s="279">
        <f t="shared" si="26"/>
        <v>5.0000000000000003E-10</v>
      </c>
      <c r="BY18" s="279">
        <f t="shared" si="27"/>
        <v>40.000000000599996</v>
      </c>
      <c r="BZ18" s="279">
        <f t="shared" si="28"/>
        <v>40.000000000699998</v>
      </c>
      <c r="CA18" s="279">
        <f t="shared" si="29"/>
        <v>30.0000000008</v>
      </c>
      <c r="CB18" s="344" t="b">
        <f t="shared" si="30"/>
        <v>0</v>
      </c>
      <c r="CC18" s="344" t="b">
        <f t="shared" si="31"/>
        <v>0</v>
      </c>
      <c r="CD18" s="344" t="b">
        <f t="shared" si="32"/>
        <v>1</v>
      </c>
      <c r="CE18" s="344" t="b">
        <f t="shared" si="33"/>
        <v>1</v>
      </c>
      <c r="CF18" s="344" t="b">
        <f t="shared" si="34"/>
        <v>0</v>
      </c>
      <c r="CG18" s="344" t="b">
        <f t="shared" si="35"/>
        <v>1</v>
      </c>
      <c r="CH18" s="344" t="b">
        <f t="shared" si="36"/>
        <v>1</v>
      </c>
      <c r="CI18" s="344" t="b">
        <f t="shared" si="37"/>
        <v>1</v>
      </c>
    </row>
    <row r="19" spans="1:87" x14ac:dyDescent="0.3">
      <c r="A19" s="251" t="str">
        <f>_xlfn.CONCAT(A18,"-2")</f>
        <v>JS3120-2</v>
      </c>
      <c r="D19" s="282"/>
      <c r="G19" s="282"/>
      <c r="H19" s="282"/>
      <c r="I19" s="282"/>
      <c r="J19" s="282"/>
      <c r="K19" s="282"/>
      <c r="L19" s="282"/>
      <c r="M19" s="251" t="s">
        <v>672</v>
      </c>
      <c r="N19" s="251" t="s">
        <v>675</v>
      </c>
      <c r="O19" s="254" t="s">
        <v>1977</v>
      </c>
      <c r="P19" s="251" t="s">
        <v>3001</v>
      </c>
      <c r="Q19" s="251" t="s">
        <v>2998</v>
      </c>
      <c r="R19" s="251" t="s">
        <v>2999</v>
      </c>
      <c r="S19" s="282"/>
      <c r="U19" s="251">
        <v>21.7</v>
      </c>
      <c r="V19" s="251">
        <f t="shared" si="4"/>
        <v>178.00000000187998</v>
      </c>
      <c r="W19" s="251">
        <f t="shared" si="5"/>
        <v>186.50000000144996</v>
      </c>
      <c r="X19" s="251">
        <v>7</v>
      </c>
      <c r="Y19" s="251">
        <v>10</v>
      </c>
      <c r="Z19" s="251">
        <v>10</v>
      </c>
      <c r="AA19" s="251">
        <v>7</v>
      </c>
      <c r="AB19" s="251">
        <v>10</v>
      </c>
      <c r="AC19" s="251">
        <v>10</v>
      </c>
      <c r="AD19" s="251">
        <v>5</v>
      </c>
      <c r="AE19" s="251">
        <v>5</v>
      </c>
      <c r="AF19" s="251">
        <v>3.00000000001</v>
      </c>
      <c r="AG19" s="251">
        <v>4.00000000002</v>
      </c>
      <c r="AH19" s="251">
        <v>4.00000000003</v>
      </c>
      <c r="AI19" s="251">
        <v>4.00000000004</v>
      </c>
      <c r="AJ19" s="251">
        <v>3.00000000005</v>
      </c>
      <c r="AK19" s="251">
        <v>4.00000000006</v>
      </c>
      <c r="AL19" s="251">
        <v>4.00000000007</v>
      </c>
      <c r="AM19" s="251">
        <v>7.9999999999999995E-11</v>
      </c>
      <c r="AN19" s="251">
        <f t="shared" si="6"/>
        <v>21.000000000069999</v>
      </c>
      <c r="AO19" s="251">
        <f t="shared" si="7"/>
        <v>40.000000000200004</v>
      </c>
      <c r="AP19" s="251">
        <f t="shared" si="8"/>
        <v>40.000000000299998</v>
      </c>
      <c r="AQ19" s="251">
        <f t="shared" si="9"/>
        <v>28.00000000028</v>
      </c>
      <c r="AR19" s="251">
        <f t="shared" si="10"/>
        <v>30.000000000500002</v>
      </c>
      <c r="AS19" s="251">
        <f t="shared" si="11"/>
        <v>40.000000000599996</v>
      </c>
      <c r="AT19" s="251">
        <f t="shared" si="12"/>
        <v>20.000000000349999</v>
      </c>
      <c r="AU19" s="251">
        <f t="shared" si="13"/>
        <v>3.9999999999999996E-10</v>
      </c>
      <c r="AV19" s="344" t="b">
        <f t="shared" si="14"/>
        <v>0</v>
      </c>
      <c r="AW19" s="344" t="b">
        <f t="shared" si="15"/>
        <v>1</v>
      </c>
      <c r="AX19" s="344" t="b">
        <f t="shared" si="16"/>
        <v>1</v>
      </c>
      <c r="AY19" s="344" t="b">
        <f t="shared" si="17"/>
        <v>1</v>
      </c>
      <c r="AZ19" s="344" t="b">
        <f t="shared" si="18"/>
        <v>1</v>
      </c>
      <c r="BA19" s="344" t="b">
        <f t="shared" si="19"/>
        <v>1</v>
      </c>
      <c r="BB19" s="344" t="b">
        <f t="shared" si="20"/>
        <v>0</v>
      </c>
      <c r="BC19" s="344" t="b">
        <f t="shared" si="21"/>
        <v>0</v>
      </c>
      <c r="BD19" s="251">
        <v>7</v>
      </c>
      <c r="BE19" s="251">
        <v>10</v>
      </c>
      <c r="BF19" s="251">
        <v>10</v>
      </c>
      <c r="BG19" s="251">
        <v>7</v>
      </c>
      <c r="BH19" s="251">
        <v>10</v>
      </c>
      <c r="BI19" s="251">
        <v>10</v>
      </c>
      <c r="BJ19" s="251">
        <v>5</v>
      </c>
      <c r="BK19" s="251">
        <v>5</v>
      </c>
      <c r="BL19" s="251">
        <v>4.00000000001</v>
      </c>
      <c r="BM19" s="251">
        <v>4.00000000002</v>
      </c>
      <c r="BN19" s="251">
        <v>4.00000000003</v>
      </c>
      <c r="BO19" s="251">
        <v>5.50000000004</v>
      </c>
      <c r="BP19" s="251">
        <v>5.0000000000000002E-11</v>
      </c>
      <c r="BQ19" s="251">
        <v>4.00000000006</v>
      </c>
      <c r="BR19" s="251">
        <v>4.00000000007</v>
      </c>
      <c r="BS19" s="251">
        <v>7.9999999999999995E-11</v>
      </c>
      <c r="BT19" s="251">
        <f t="shared" si="22"/>
        <v>28.000000000069999</v>
      </c>
      <c r="BU19" s="251">
        <f t="shared" si="23"/>
        <v>40.000000000200004</v>
      </c>
      <c r="BV19" s="251">
        <f t="shared" si="24"/>
        <v>40.000000000299998</v>
      </c>
      <c r="BW19" s="251">
        <f t="shared" si="25"/>
        <v>38.500000000279996</v>
      </c>
      <c r="BX19" s="251">
        <f t="shared" si="26"/>
        <v>5.0000000000000003E-10</v>
      </c>
      <c r="BY19" s="251">
        <f t="shared" si="27"/>
        <v>40.000000000599996</v>
      </c>
      <c r="BZ19" s="251">
        <f t="shared" si="28"/>
        <v>20.000000000349999</v>
      </c>
      <c r="CA19" s="251">
        <f t="shared" si="29"/>
        <v>3.9999999999999996E-10</v>
      </c>
      <c r="CB19" s="344" t="b">
        <f t="shared" si="30"/>
        <v>1</v>
      </c>
      <c r="CC19" s="344" t="b">
        <f t="shared" si="31"/>
        <v>1</v>
      </c>
      <c r="CD19" s="344" t="b">
        <f t="shared" si="32"/>
        <v>1</v>
      </c>
      <c r="CE19" s="344" t="b">
        <f t="shared" si="33"/>
        <v>1</v>
      </c>
      <c r="CF19" s="344" t="b">
        <f t="shared" si="34"/>
        <v>0</v>
      </c>
      <c r="CG19" s="344" t="b">
        <f t="shared" si="35"/>
        <v>1</v>
      </c>
      <c r="CH19" s="344" t="b">
        <f t="shared" si="36"/>
        <v>0</v>
      </c>
      <c r="CI19" s="344" t="b">
        <f t="shared" si="37"/>
        <v>0</v>
      </c>
    </row>
    <row r="20" spans="1:87" x14ac:dyDescent="0.3">
      <c r="A20" s="251" t="str">
        <f>_xlfn.CONCAT(A18,"-3")</f>
        <v>JS3120-3</v>
      </c>
      <c r="D20" s="282"/>
      <c r="G20" s="282"/>
      <c r="H20" s="282"/>
      <c r="I20" s="282"/>
      <c r="J20" s="282"/>
      <c r="K20" s="282"/>
      <c r="L20" s="282"/>
      <c r="M20" s="251" t="s">
        <v>689</v>
      </c>
      <c r="N20" s="251" t="s">
        <v>692</v>
      </c>
      <c r="O20" s="254" t="s">
        <v>1977</v>
      </c>
      <c r="P20" s="251" t="s">
        <v>3001</v>
      </c>
      <c r="Q20" s="251" t="s">
        <v>2998</v>
      </c>
      <c r="R20" s="251" t="s">
        <v>2999</v>
      </c>
      <c r="S20" s="282"/>
      <c r="U20" s="251">
        <v>18.7</v>
      </c>
      <c r="V20" s="251">
        <f t="shared" si="4"/>
        <v>151.00000000188001</v>
      </c>
      <c r="W20" s="251">
        <f t="shared" si="5"/>
        <v>157.00000000144999</v>
      </c>
      <c r="X20" s="251">
        <v>7</v>
      </c>
      <c r="Y20" s="251">
        <v>10</v>
      </c>
      <c r="Z20" s="251">
        <v>10</v>
      </c>
      <c r="AA20" s="251">
        <v>7</v>
      </c>
      <c r="AB20" s="251">
        <v>10</v>
      </c>
      <c r="AC20" s="251">
        <v>10</v>
      </c>
      <c r="AD20" s="251">
        <v>5</v>
      </c>
      <c r="AE20" s="251">
        <v>5</v>
      </c>
      <c r="AF20" s="251">
        <v>3.00000000001</v>
      </c>
      <c r="AG20" s="251">
        <v>3.00000000002</v>
      </c>
      <c r="AH20" s="251">
        <v>4.00000000003</v>
      </c>
      <c r="AI20" s="251">
        <v>3.00000000004</v>
      </c>
      <c r="AJ20" s="251">
        <v>3.00000000005</v>
      </c>
      <c r="AK20" s="251">
        <v>3.00000000006</v>
      </c>
      <c r="AL20" s="251">
        <v>3.00000000007</v>
      </c>
      <c r="AM20" s="251">
        <v>7.9999999999999995E-11</v>
      </c>
      <c r="AN20" s="251">
        <f t="shared" si="6"/>
        <v>21.000000000069999</v>
      </c>
      <c r="AO20" s="251">
        <f t="shared" si="7"/>
        <v>30.0000000002</v>
      </c>
      <c r="AP20" s="251">
        <f t="shared" si="8"/>
        <v>40.000000000299998</v>
      </c>
      <c r="AQ20" s="251">
        <f t="shared" si="9"/>
        <v>21.00000000028</v>
      </c>
      <c r="AR20" s="251">
        <f t="shared" si="10"/>
        <v>30.000000000500002</v>
      </c>
      <c r="AS20" s="251">
        <f t="shared" si="11"/>
        <v>30.0000000006</v>
      </c>
      <c r="AT20" s="251">
        <f t="shared" si="12"/>
        <v>15.000000000349999</v>
      </c>
      <c r="AU20" s="251">
        <f t="shared" si="13"/>
        <v>3.9999999999999996E-10</v>
      </c>
      <c r="AV20" s="344" t="b">
        <f t="shared" si="14"/>
        <v>0</v>
      </c>
      <c r="AW20" s="344" t="b">
        <f t="shared" si="15"/>
        <v>1</v>
      </c>
      <c r="AX20" s="344" t="b">
        <f t="shared" si="16"/>
        <v>1</v>
      </c>
      <c r="AY20" s="344" t="b">
        <f t="shared" si="17"/>
        <v>1</v>
      </c>
      <c r="AZ20" s="344" t="b">
        <f t="shared" si="18"/>
        <v>1</v>
      </c>
      <c r="BA20" s="344" t="b">
        <f t="shared" si="19"/>
        <v>1</v>
      </c>
      <c r="BB20" s="344" t="b">
        <f t="shared" si="20"/>
        <v>0</v>
      </c>
      <c r="BC20" s="344" t="b">
        <f t="shared" si="21"/>
        <v>0</v>
      </c>
      <c r="BD20" s="251">
        <v>7</v>
      </c>
      <c r="BE20" s="251">
        <v>10</v>
      </c>
      <c r="BF20" s="251">
        <v>10</v>
      </c>
      <c r="BG20" s="251">
        <v>7</v>
      </c>
      <c r="BH20" s="251">
        <v>10</v>
      </c>
      <c r="BI20" s="251">
        <v>10</v>
      </c>
      <c r="BJ20" s="251">
        <v>5</v>
      </c>
      <c r="BK20" s="251">
        <v>5</v>
      </c>
      <c r="BL20" s="251">
        <v>3.00000000001</v>
      </c>
      <c r="BM20" s="251">
        <v>3.00000000002</v>
      </c>
      <c r="BN20" s="251">
        <v>5.50000000003</v>
      </c>
      <c r="BO20" s="251">
        <v>3.00000000004</v>
      </c>
      <c r="BP20" s="251">
        <v>2.00000000005</v>
      </c>
      <c r="BQ20" s="251">
        <v>3.00000000006</v>
      </c>
      <c r="BR20" s="251">
        <v>3.00000000007</v>
      </c>
      <c r="BS20" s="251">
        <v>7.9999999999999995E-11</v>
      </c>
      <c r="BT20" s="251">
        <f t="shared" si="22"/>
        <v>21.000000000069999</v>
      </c>
      <c r="BU20" s="251">
        <f t="shared" si="23"/>
        <v>30.0000000002</v>
      </c>
      <c r="BV20" s="251">
        <f t="shared" si="24"/>
        <v>55.000000000299998</v>
      </c>
      <c r="BW20" s="251">
        <f t="shared" si="25"/>
        <v>21.00000000028</v>
      </c>
      <c r="BX20" s="251">
        <f t="shared" si="26"/>
        <v>20.000000000500002</v>
      </c>
      <c r="BY20" s="251">
        <f t="shared" si="27"/>
        <v>30.0000000006</v>
      </c>
      <c r="BZ20" s="251">
        <f t="shared" si="28"/>
        <v>15.000000000349999</v>
      </c>
      <c r="CA20" s="251">
        <f t="shared" si="29"/>
        <v>3.9999999999999996E-10</v>
      </c>
      <c r="CB20" s="344" t="b">
        <f t="shared" si="30"/>
        <v>1</v>
      </c>
      <c r="CC20" s="344" t="b">
        <f t="shared" si="31"/>
        <v>1</v>
      </c>
      <c r="CD20" s="344" t="b">
        <f t="shared" si="32"/>
        <v>1</v>
      </c>
      <c r="CE20" s="344" t="b">
        <f t="shared" si="33"/>
        <v>1</v>
      </c>
      <c r="CF20" s="344" t="b">
        <f t="shared" si="34"/>
        <v>0</v>
      </c>
      <c r="CG20" s="344" t="b">
        <f t="shared" si="35"/>
        <v>1</v>
      </c>
      <c r="CH20" s="344" t="b">
        <f t="shared" si="36"/>
        <v>0</v>
      </c>
      <c r="CI20" s="344" t="b">
        <f t="shared" si="37"/>
        <v>0</v>
      </c>
    </row>
    <row r="21" spans="1:87" x14ac:dyDescent="0.3">
      <c r="A21" s="251" t="s">
        <v>516</v>
      </c>
      <c r="B21" s="251" t="s">
        <v>2987</v>
      </c>
      <c r="C21" s="251" t="s">
        <v>519</v>
      </c>
      <c r="D21" s="282" t="s">
        <v>517</v>
      </c>
      <c r="E21" s="254" t="s">
        <v>2171</v>
      </c>
      <c r="F21" s="251">
        <v>39</v>
      </c>
      <c r="G21" s="282"/>
      <c r="H21" s="282"/>
      <c r="I21" s="251" t="s">
        <v>3006</v>
      </c>
      <c r="J21" s="251" t="s">
        <v>2998</v>
      </c>
      <c r="K21" s="251" t="s">
        <v>2999</v>
      </c>
      <c r="L21" s="282"/>
      <c r="M21" s="251" t="s">
        <v>574</v>
      </c>
      <c r="N21" s="251" t="s">
        <v>577</v>
      </c>
      <c r="O21" s="254" t="s">
        <v>1977</v>
      </c>
      <c r="P21" s="251" t="s">
        <v>3006</v>
      </c>
      <c r="Q21" s="251" t="s">
        <v>2998</v>
      </c>
      <c r="R21" s="251" t="s">
        <v>2999</v>
      </c>
      <c r="S21" s="282"/>
      <c r="T21" s="251">
        <v>21.5</v>
      </c>
      <c r="U21" s="251">
        <v>21.5</v>
      </c>
      <c r="V21" s="251">
        <f t="shared" si="4"/>
        <v>181.00000000144999</v>
      </c>
      <c r="W21" s="251">
        <f t="shared" si="5"/>
        <v>184.00000000145002</v>
      </c>
      <c r="X21" s="251">
        <v>7</v>
      </c>
      <c r="Y21" s="251">
        <v>10</v>
      </c>
      <c r="Z21" s="251">
        <v>10</v>
      </c>
      <c r="AA21" s="251">
        <v>7</v>
      </c>
      <c r="AB21" s="251">
        <v>10</v>
      </c>
      <c r="AC21" s="251">
        <v>10</v>
      </c>
      <c r="AD21" s="251">
        <v>5</v>
      </c>
      <c r="AE21" s="251">
        <v>5</v>
      </c>
      <c r="AF21" s="251">
        <v>4.00000000001</v>
      </c>
      <c r="AG21" s="251">
        <v>3.00000000002</v>
      </c>
      <c r="AH21" s="251">
        <v>4.00000000003</v>
      </c>
      <c r="AI21" s="251">
        <v>4.00000000004</v>
      </c>
      <c r="AJ21" s="251">
        <v>5.0000000000000002E-11</v>
      </c>
      <c r="AK21" s="251">
        <v>5.50000000006</v>
      </c>
      <c r="AL21" s="251">
        <v>3.00000000007</v>
      </c>
      <c r="AM21" s="251">
        <v>7.9999999999999995E-11</v>
      </c>
      <c r="AN21" s="251">
        <f t="shared" si="6"/>
        <v>28.000000000069999</v>
      </c>
      <c r="AO21" s="251">
        <f t="shared" si="7"/>
        <v>30.0000000002</v>
      </c>
      <c r="AP21" s="251">
        <f t="shared" si="8"/>
        <v>40.000000000299998</v>
      </c>
      <c r="AQ21" s="251">
        <f t="shared" si="9"/>
        <v>28.00000000028</v>
      </c>
      <c r="AR21" s="251">
        <f t="shared" si="10"/>
        <v>5.0000000000000003E-10</v>
      </c>
      <c r="AS21" s="251">
        <f t="shared" si="11"/>
        <v>55.000000000599996</v>
      </c>
      <c r="AT21" s="251">
        <f t="shared" si="12"/>
        <v>15.000000000349999</v>
      </c>
      <c r="AU21" s="251">
        <f t="shared" si="13"/>
        <v>3.9999999999999996E-10</v>
      </c>
      <c r="AV21" s="344" t="b">
        <f t="shared" si="14"/>
        <v>1</v>
      </c>
      <c r="AW21" s="344" t="b">
        <f t="shared" si="15"/>
        <v>1</v>
      </c>
      <c r="AX21" s="344" t="b">
        <f t="shared" si="16"/>
        <v>1</v>
      </c>
      <c r="AY21" s="344" t="b">
        <f t="shared" si="17"/>
        <v>1</v>
      </c>
      <c r="AZ21" s="344" t="b">
        <f t="shared" si="18"/>
        <v>0</v>
      </c>
      <c r="BA21" s="344" t="b">
        <f t="shared" si="19"/>
        <v>1</v>
      </c>
      <c r="BB21" s="344" t="b">
        <f t="shared" si="20"/>
        <v>0</v>
      </c>
      <c r="BC21" s="344" t="b">
        <f t="shared" si="21"/>
        <v>0</v>
      </c>
      <c r="BD21" s="251">
        <v>7</v>
      </c>
      <c r="BE21" s="251">
        <v>10</v>
      </c>
      <c r="BF21" s="251">
        <v>10</v>
      </c>
      <c r="BG21" s="251">
        <v>7</v>
      </c>
      <c r="BH21" s="251">
        <v>10</v>
      </c>
      <c r="BI21" s="251">
        <v>10</v>
      </c>
      <c r="BJ21" s="251">
        <v>5</v>
      </c>
      <c r="BK21" s="251">
        <v>5</v>
      </c>
      <c r="BL21" s="251">
        <v>3.00000000001</v>
      </c>
      <c r="BM21" s="251">
        <v>5.50000000002</v>
      </c>
      <c r="BN21" s="251">
        <v>4.00000000003</v>
      </c>
      <c r="BO21" s="251">
        <v>4.00000000004</v>
      </c>
      <c r="BP21" s="251">
        <v>5.0000000000000002E-11</v>
      </c>
      <c r="BQ21" s="251">
        <v>4.00000000006</v>
      </c>
      <c r="BR21" s="251">
        <v>4.00000000007</v>
      </c>
      <c r="BS21" s="251">
        <v>3.00000000008</v>
      </c>
      <c r="BT21" s="251">
        <f t="shared" si="22"/>
        <v>21.000000000069999</v>
      </c>
      <c r="BU21" s="251">
        <f t="shared" si="23"/>
        <v>55.000000000200004</v>
      </c>
      <c r="BV21" s="251">
        <f t="shared" si="24"/>
        <v>40.000000000299998</v>
      </c>
      <c r="BW21" s="251">
        <f t="shared" si="25"/>
        <v>28.00000000028</v>
      </c>
      <c r="BX21" s="251">
        <f t="shared" si="26"/>
        <v>5.0000000000000003E-10</v>
      </c>
      <c r="BY21" s="251">
        <f t="shared" si="27"/>
        <v>40.000000000599996</v>
      </c>
      <c r="BZ21" s="251">
        <f t="shared" si="28"/>
        <v>20.000000000349999</v>
      </c>
      <c r="CA21" s="251">
        <f t="shared" si="29"/>
        <v>15.0000000004</v>
      </c>
      <c r="CB21" s="344" t="b">
        <f t="shared" si="30"/>
        <v>1</v>
      </c>
      <c r="CC21" s="344" t="b">
        <f t="shared" si="31"/>
        <v>1</v>
      </c>
      <c r="CD21" s="344" t="b">
        <f t="shared" si="32"/>
        <v>1</v>
      </c>
      <c r="CE21" s="344" t="b">
        <f t="shared" si="33"/>
        <v>1</v>
      </c>
      <c r="CF21" s="344" t="b">
        <f t="shared" si="34"/>
        <v>0</v>
      </c>
      <c r="CG21" s="344" t="b">
        <f t="shared" si="35"/>
        <v>1</v>
      </c>
      <c r="CH21" s="344" t="b">
        <f t="shared" si="36"/>
        <v>0</v>
      </c>
      <c r="CI21" s="344" t="b">
        <f t="shared" si="37"/>
        <v>0</v>
      </c>
    </row>
    <row r="22" spans="1:87" s="266" customFormat="1" x14ac:dyDescent="0.3">
      <c r="A22" s="266" t="s">
        <v>520</v>
      </c>
      <c r="B22" s="266" t="s">
        <v>2201</v>
      </c>
      <c r="C22" s="266" t="s">
        <v>523</v>
      </c>
      <c r="D22" s="307" t="s">
        <v>521</v>
      </c>
      <c r="E22" s="234" t="s">
        <v>2171</v>
      </c>
      <c r="F22" s="266">
        <v>56</v>
      </c>
      <c r="G22" s="307"/>
      <c r="H22" s="307"/>
      <c r="I22" s="266" t="s">
        <v>3008</v>
      </c>
      <c r="J22" s="266" t="s">
        <v>2998</v>
      </c>
      <c r="K22" s="266" t="s">
        <v>2999</v>
      </c>
      <c r="L22" s="307"/>
      <c r="M22" s="266" t="s">
        <v>596</v>
      </c>
      <c r="N22" s="266" t="s">
        <v>598</v>
      </c>
      <c r="O22" s="234" t="s">
        <v>1977</v>
      </c>
      <c r="P22" s="266" t="s">
        <v>3011</v>
      </c>
      <c r="Q22" s="266" t="s">
        <v>2998</v>
      </c>
      <c r="R22" s="266" t="s">
        <v>2999</v>
      </c>
      <c r="S22" s="307"/>
      <c r="T22" s="266">
        <v>20.2</v>
      </c>
      <c r="U22" s="266">
        <v>20.2</v>
      </c>
      <c r="V22" s="266">
        <f t="shared" si="4"/>
        <v>181.00000000207999</v>
      </c>
      <c r="W22" s="266">
        <f t="shared" si="5"/>
        <v>178.50000000187001</v>
      </c>
      <c r="X22" s="266">
        <v>7</v>
      </c>
      <c r="Y22" s="266">
        <v>10</v>
      </c>
      <c r="Z22" s="266">
        <v>10</v>
      </c>
      <c r="AA22" s="266">
        <v>7</v>
      </c>
      <c r="AB22" s="266">
        <v>10</v>
      </c>
      <c r="AC22" s="266">
        <v>10</v>
      </c>
      <c r="AD22" s="266">
        <v>10</v>
      </c>
      <c r="AE22" s="266">
        <v>10</v>
      </c>
      <c r="AF22" s="266">
        <v>3.00000000001</v>
      </c>
      <c r="AG22" s="266">
        <v>4.00000000002</v>
      </c>
      <c r="AH22" s="266">
        <v>4.00000000003</v>
      </c>
      <c r="AI22" s="266">
        <v>3.00000000004</v>
      </c>
      <c r="AJ22" s="266">
        <v>5.0000000000000002E-11</v>
      </c>
      <c r="AK22" s="266">
        <v>4.00000000006</v>
      </c>
      <c r="AL22" s="266">
        <v>4.00000000007</v>
      </c>
      <c r="AM22" s="266">
        <v>7.9999999999999995E-11</v>
      </c>
      <c r="AN22" s="266">
        <f t="shared" si="6"/>
        <v>21.000000000069999</v>
      </c>
      <c r="AO22" s="266">
        <f t="shared" si="7"/>
        <v>40.000000000200004</v>
      </c>
      <c r="AP22" s="266">
        <f t="shared" si="8"/>
        <v>40.000000000299998</v>
      </c>
      <c r="AQ22" s="266">
        <f t="shared" si="9"/>
        <v>21.00000000028</v>
      </c>
      <c r="AR22" s="266">
        <f t="shared" si="10"/>
        <v>5.0000000000000003E-10</v>
      </c>
      <c r="AS22" s="266">
        <f t="shared" si="11"/>
        <v>40.000000000599996</v>
      </c>
      <c r="AT22" s="266">
        <f t="shared" si="12"/>
        <v>40.000000000699998</v>
      </c>
      <c r="AU22" s="266">
        <f t="shared" si="13"/>
        <v>7.9999999999999993E-10</v>
      </c>
      <c r="AV22" s="344" t="b">
        <f t="shared" si="14"/>
        <v>0</v>
      </c>
      <c r="AW22" s="344" t="b">
        <f t="shared" si="15"/>
        <v>1</v>
      </c>
      <c r="AX22" s="344" t="b">
        <f t="shared" si="16"/>
        <v>1</v>
      </c>
      <c r="AY22" s="344" t="b">
        <f t="shared" si="17"/>
        <v>1</v>
      </c>
      <c r="AZ22" s="344" t="b">
        <f t="shared" si="18"/>
        <v>0</v>
      </c>
      <c r="BA22" s="344" t="b">
        <f t="shared" si="19"/>
        <v>1</v>
      </c>
      <c r="BB22" s="344" t="b">
        <f t="shared" si="20"/>
        <v>1</v>
      </c>
      <c r="BC22" s="344" t="b">
        <f t="shared" si="21"/>
        <v>0</v>
      </c>
      <c r="BD22" s="266">
        <v>7</v>
      </c>
      <c r="BE22" s="266">
        <v>10</v>
      </c>
      <c r="BF22" s="266">
        <v>10</v>
      </c>
      <c r="BG22" s="266">
        <v>7</v>
      </c>
      <c r="BH22" s="266">
        <v>10</v>
      </c>
      <c r="BI22" s="266">
        <v>10</v>
      </c>
      <c r="BJ22" s="266">
        <v>10</v>
      </c>
      <c r="BK22" s="266">
        <v>10</v>
      </c>
      <c r="BL22" s="266">
        <v>5.50000000001</v>
      </c>
      <c r="BM22" s="266">
        <v>3.00000000002</v>
      </c>
      <c r="BN22" s="266">
        <v>4.00000000003</v>
      </c>
      <c r="BO22" s="266">
        <v>4.00000000004</v>
      </c>
      <c r="BP22" s="266">
        <v>5.0000000000000002E-11</v>
      </c>
      <c r="BQ22" s="266">
        <v>4.00000000006</v>
      </c>
      <c r="BR22" s="266">
        <v>3.00000000007</v>
      </c>
      <c r="BS22" s="266">
        <v>7.9999999999999995E-11</v>
      </c>
      <c r="BT22" s="266">
        <f t="shared" si="22"/>
        <v>38.500000000070003</v>
      </c>
      <c r="BU22" s="266">
        <f t="shared" si="23"/>
        <v>30.0000000002</v>
      </c>
      <c r="BV22" s="266">
        <f t="shared" si="24"/>
        <v>40.000000000299998</v>
      </c>
      <c r="BW22" s="266">
        <f t="shared" si="25"/>
        <v>28.00000000028</v>
      </c>
      <c r="BX22" s="266">
        <f t="shared" si="26"/>
        <v>5.0000000000000003E-10</v>
      </c>
      <c r="BY22" s="266">
        <f t="shared" si="27"/>
        <v>40.000000000599996</v>
      </c>
      <c r="BZ22" s="266">
        <f t="shared" si="28"/>
        <v>30.000000000699998</v>
      </c>
      <c r="CA22" s="266">
        <f t="shared" si="29"/>
        <v>7.9999999999999993E-10</v>
      </c>
      <c r="CB22" s="344" t="b">
        <f t="shared" si="30"/>
        <v>1</v>
      </c>
      <c r="CC22" s="344" t="b">
        <f t="shared" si="31"/>
        <v>1</v>
      </c>
      <c r="CD22" s="344" t="b">
        <f t="shared" si="32"/>
        <v>1</v>
      </c>
      <c r="CE22" s="344" t="b">
        <f t="shared" si="33"/>
        <v>0</v>
      </c>
      <c r="CF22" s="344" t="b">
        <f t="shared" si="34"/>
        <v>0</v>
      </c>
      <c r="CG22" s="344" t="b">
        <f t="shared" si="35"/>
        <v>1</v>
      </c>
      <c r="CH22" s="344" t="b">
        <f t="shared" si="36"/>
        <v>1</v>
      </c>
      <c r="CI22" s="344" t="b">
        <f t="shared" si="37"/>
        <v>0</v>
      </c>
    </row>
    <row r="23" spans="1:87" x14ac:dyDescent="0.3">
      <c r="A23" s="251" t="s">
        <v>524</v>
      </c>
      <c r="B23" s="251" t="s">
        <v>2201</v>
      </c>
      <c r="C23" s="251" t="s">
        <v>527</v>
      </c>
      <c r="D23" s="282" t="s">
        <v>525</v>
      </c>
      <c r="E23" s="254" t="s">
        <v>2171</v>
      </c>
      <c r="F23" s="251">
        <v>24</v>
      </c>
      <c r="G23" s="282"/>
      <c r="H23" s="282"/>
      <c r="I23" s="251" t="s">
        <v>3009</v>
      </c>
      <c r="J23" s="251" t="s">
        <v>3010</v>
      </c>
      <c r="K23" s="251" t="s">
        <v>2999</v>
      </c>
      <c r="L23" s="282"/>
      <c r="M23" s="251" t="s">
        <v>627</v>
      </c>
      <c r="N23" s="251" t="s">
        <v>629</v>
      </c>
      <c r="O23" s="254" t="s">
        <v>1977</v>
      </c>
      <c r="P23" s="251" t="s">
        <v>3009</v>
      </c>
      <c r="Q23" s="251" t="s">
        <v>3010</v>
      </c>
      <c r="R23" s="251" t="s">
        <v>2999</v>
      </c>
      <c r="S23" s="282"/>
      <c r="T23" s="251">
        <v>23.6</v>
      </c>
      <c r="U23" s="251">
        <v>23.6</v>
      </c>
      <c r="V23" s="251">
        <f t="shared" si="4"/>
        <v>200.00000000289998</v>
      </c>
      <c r="W23" s="251">
        <f t="shared" si="5"/>
        <v>243.50000000253999</v>
      </c>
      <c r="X23" s="251">
        <v>7</v>
      </c>
      <c r="Y23" s="251">
        <v>7</v>
      </c>
      <c r="Z23" s="251">
        <v>10</v>
      </c>
      <c r="AA23" s="251">
        <v>7</v>
      </c>
      <c r="AB23" s="251">
        <v>10</v>
      </c>
      <c r="AC23" s="251">
        <v>10</v>
      </c>
      <c r="AD23" s="251">
        <v>10</v>
      </c>
      <c r="AE23" s="251">
        <v>10</v>
      </c>
      <c r="AF23" s="251">
        <v>4.00000000001</v>
      </c>
      <c r="AG23" s="251">
        <v>4.00000000002</v>
      </c>
      <c r="AH23" s="251">
        <v>4.00000000003</v>
      </c>
      <c r="AI23" s="251">
        <v>5.50000000004</v>
      </c>
      <c r="AJ23" s="251">
        <v>4.00000000005</v>
      </c>
      <c r="AK23" s="251">
        <v>4.00000000006</v>
      </c>
      <c r="AL23" s="251">
        <v>4.00000000007</v>
      </c>
      <c r="AM23" s="251">
        <v>4.00000000008</v>
      </c>
      <c r="AN23" s="251">
        <f t="shared" si="6"/>
        <v>28.000000000069999</v>
      </c>
      <c r="AO23" s="251">
        <f t="shared" si="7"/>
        <v>28.000000000139998</v>
      </c>
      <c r="AP23" s="251">
        <f t="shared" si="8"/>
        <v>40.000000000299998</v>
      </c>
      <c r="AQ23" s="251">
        <f t="shared" si="9"/>
        <v>38.500000000279996</v>
      </c>
      <c r="AR23" s="251">
        <f t="shared" si="10"/>
        <v>40.000000000500002</v>
      </c>
      <c r="AS23" s="251">
        <f t="shared" si="11"/>
        <v>40.000000000599996</v>
      </c>
      <c r="AT23" s="251">
        <f t="shared" si="12"/>
        <v>40.000000000699998</v>
      </c>
      <c r="AU23" s="251">
        <f t="shared" si="13"/>
        <v>40.0000000008</v>
      </c>
      <c r="AV23" s="344" t="b">
        <f t="shared" si="14"/>
        <v>0</v>
      </c>
      <c r="AW23" s="344" t="b">
        <f t="shared" si="15"/>
        <v>0</v>
      </c>
      <c r="AX23" s="344" t="b">
        <f t="shared" si="16"/>
        <v>1</v>
      </c>
      <c r="AY23" s="344" t="b">
        <f t="shared" si="17"/>
        <v>0</v>
      </c>
      <c r="AZ23" s="344" t="b">
        <f t="shared" si="18"/>
        <v>1</v>
      </c>
      <c r="BA23" s="344" t="b">
        <f t="shared" si="19"/>
        <v>1</v>
      </c>
      <c r="BB23" s="344" t="b">
        <f t="shared" si="20"/>
        <v>1</v>
      </c>
      <c r="BC23" s="344" t="b">
        <f t="shared" si="21"/>
        <v>1</v>
      </c>
      <c r="BD23" s="251">
        <v>7</v>
      </c>
      <c r="BE23" s="251">
        <v>7</v>
      </c>
      <c r="BF23" s="251">
        <v>10</v>
      </c>
      <c r="BG23" s="251">
        <v>7</v>
      </c>
      <c r="BH23" s="251">
        <v>10</v>
      </c>
      <c r="BI23" s="251">
        <v>10</v>
      </c>
      <c r="BJ23" s="251">
        <v>10</v>
      </c>
      <c r="BK23" s="251">
        <v>10</v>
      </c>
      <c r="BL23" s="251">
        <v>5.50000000001</v>
      </c>
      <c r="BM23" s="251">
        <v>5.50000000002</v>
      </c>
      <c r="BN23" s="251">
        <v>5.50000000003</v>
      </c>
      <c r="BO23" s="251">
        <v>4.00000000004</v>
      </c>
      <c r="BP23" s="251">
        <v>5.0000000000000002E-11</v>
      </c>
      <c r="BQ23" s="251">
        <v>5.50000000006</v>
      </c>
      <c r="BR23" s="251">
        <v>5.50000000007</v>
      </c>
      <c r="BS23" s="251">
        <v>4.00000000008</v>
      </c>
      <c r="BT23" s="251">
        <f t="shared" si="22"/>
        <v>38.500000000070003</v>
      </c>
      <c r="BU23" s="251">
        <f t="shared" si="23"/>
        <v>38.500000000139998</v>
      </c>
      <c r="BV23" s="251">
        <f t="shared" si="24"/>
        <v>55.000000000299998</v>
      </c>
      <c r="BW23" s="251">
        <f t="shared" si="25"/>
        <v>28.00000000028</v>
      </c>
      <c r="BX23" s="251">
        <f t="shared" si="26"/>
        <v>5.0000000000000003E-10</v>
      </c>
      <c r="BY23" s="251">
        <f t="shared" si="27"/>
        <v>55.000000000599996</v>
      </c>
      <c r="BZ23" s="251">
        <f t="shared" si="28"/>
        <v>55.000000000699998</v>
      </c>
      <c r="CA23" s="251">
        <f t="shared" si="29"/>
        <v>40.0000000008</v>
      </c>
      <c r="CB23" s="344" t="b">
        <f t="shared" si="30"/>
        <v>0</v>
      </c>
      <c r="CC23" s="344" t="b">
        <f t="shared" si="31"/>
        <v>1</v>
      </c>
      <c r="CD23" s="344" t="b">
        <f t="shared" si="32"/>
        <v>1</v>
      </c>
      <c r="CE23" s="344" t="b">
        <f t="shared" si="33"/>
        <v>0</v>
      </c>
      <c r="CF23" s="344" t="b">
        <f t="shared" si="34"/>
        <v>0</v>
      </c>
      <c r="CG23" s="344" t="b">
        <f t="shared" si="35"/>
        <v>1</v>
      </c>
      <c r="CH23" s="344" t="b">
        <f t="shared" si="36"/>
        <v>1</v>
      </c>
      <c r="CI23" s="344" t="b">
        <f t="shared" si="37"/>
        <v>1</v>
      </c>
    </row>
    <row r="24" spans="1:87" x14ac:dyDescent="0.3">
      <c r="A24" s="251" t="s">
        <v>528</v>
      </c>
      <c r="B24" s="251" t="s">
        <v>2201</v>
      </c>
      <c r="C24" s="251" t="s">
        <v>531</v>
      </c>
      <c r="D24" s="282" t="s">
        <v>529</v>
      </c>
      <c r="E24" s="254" t="s">
        <v>2171</v>
      </c>
      <c r="F24" s="251">
        <v>61</v>
      </c>
      <c r="G24" s="282"/>
      <c r="H24" s="282"/>
      <c r="I24" s="251" t="s">
        <v>3011</v>
      </c>
      <c r="J24" s="251" t="s">
        <v>2998</v>
      </c>
      <c r="K24" s="251" t="s">
        <v>2999</v>
      </c>
      <c r="L24" s="282"/>
      <c r="M24" s="251" t="s">
        <v>566</v>
      </c>
      <c r="N24" s="251" t="s">
        <v>569</v>
      </c>
      <c r="O24" s="254" t="s">
        <v>1977</v>
      </c>
      <c r="P24" s="251" t="s">
        <v>3011</v>
      </c>
      <c r="Q24" s="251" t="s">
        <v>2998</v>
      </c>
      <c r="R24" s="251" t="s">
        <v>2999</v>
      </c>
      <c r="S24" s="282"/>
      <c r="T24" s="251">
        <v>19.5</v>
      </c>
      <c r="U24" s="251">
        <v>18.2</v>
      </c>
      <c r="V24" s="251">
        <f t="shared" si="4"/>
        <v>161.00000000207999</v>
      </c>
      <c r="W24" s="251">
        <f t="shared" si="5"/>
        <v>168.00000000207999</v>
      </c>
      <c r="X24" s="251">
        <v>7</v>
      </c>
      <c r="Y24" s="251">
        <v>10</v>
      </c>
      <c r="Z24" s="251">
        <v>10</v>
      </c>
      <c r="AA24" s="251">
        <v>7</v>
      </c>
      <c r="AB24" s="251">
        <v>10</v>
      </c>
      <c r="AC24" s="251">
        <v>10</v>
      </c>
      <c r="AD24" s="251">
        <v>10</v>
      </c>
      <c r="AE24" s="251">
        <v>10</v>
      </c>
      <c r="AF24" s="251">
        <v>3.00000000001</v>
      </c>
      <c r="AG24" s="251">
        <v>3.00000000002</v>
      </c>
      <c r="AH24" s="251">
        <v>4.00000000003</v>
      </c>
      <c r="AI24" s="251">
        <v>3.00000000004</v>
      </c>
      <c r="AJ24" s="251">
        <v>5.0000000000000002E-11</v>
      </c>
      <c r="AK24" s="251">
        <v>4.00000000006</v>
      </c>
      <c r="AL24" s="251">
        <v>3.00000000007</v>
      </c>
      <c r="AM24" s="251">
        <v>7.9999999999999995E-11</v>
      </c>
      <c r="AN24" s="251">
        <f t="shared" si="6"/>
        <v>21.000000000069999</v>
      </c>
      <c r="AO24" s="251">
        <f t="shared" si="7"/>
        <v>30.0000000002</v>
      </c>
      <c r="AP24" s="251">
        <f t="shared" si="8"/>
        <v>40.000000000299998</v>
      </c>
      <c r="AQ24" s="251">
        <f t="shared" si="9"/>
        <v>21.00000000028</v>
      </c>
      <c r="AR24" s="251">
        <f t="shared" si="10"/>
        <v>5.0000000000000003E-10</v>
      </c>
      <c r="AS24" s="251">
        <f t="shared" si="11"/>
        <v>40.000000000599996</v>
      </c>
      <c r="AT24" s="251">
        <f t="shared" si="12"/>
        <v>30.000000000699998</v>
      </c>
      <c r="AU24" s="251">
        <f t="shared" si="13"/>
        <v>7.9999999999999993E-10</v>
      </c>
      <c r="AV24" s="344" t="b">
        <f t="shared" si="14"/>
        <v>0</v>
      </c>
      <c r="AW24" s="344" t="b">
        <f t="shared" si="15"/>
        <v>1</v>
      </c>
      <c r="AX24" s="344" t="b">
        <f t="shared" si="16"/>
        <v>1</v>
      </c>
      <c r="AY24" s="344" t="b">
        <f t="shared" si="17"/>
        <v>1</v>
      </c>
      <c r="AZ24" s="344" t="b">
        <f t="shared" si="18"/>
        <v>0</v>
      </c>
      <c r="BA24" s="344" t="b">
        <f t="shared" si="19"/>
        <v>1</v>
      </c>
      <c r="BB24" s="344" t="b">
        <f t="shared" si="20"/>
        <v>1</v>
      </c>
      <c r="BC24" s="344" t="b">
        <f t="shared" si="21"/>
        <v>0</v>
      </c>
      <c r="BD24" s="251">
        <v>7</v>
      </c>
      <c r="BE24" s="251">
        <v>10</v>
      </c>
      <c r="BF24" s="251">
        <v>10</v>
      </c>
      <c r="BG24" s="251">
        <v>7</v>
      </c>
      <c r="BH24" s="251">
        <v>10</v>
      </c>
      <c r="BI24" s="251">
        <v>10</v>
      </c>
      <c r="BJ24" s="251">
        <v>10</v>
      </c>
      <c r="BK24" s="251">
        <v>10</v>
      </c>
      <c r="BL24" s="251">
        <v>3.00000000001</v>
      </c>
      <c r="BM24" s="251">
        <v>4.00000000002</v>
      </c>
      <c r="BN24" s="251">
        <v>3.00000000003</v>
      </c>
      <c r="BO24" s="251">
        <v>4.00000000004</v>
      </c>
      <c r="BP24" s="251">
        <v>5.0000000000000002E-11</v>
      </c>
      <c r="BQ24" s="251">
        <v>4.00000000006</v>
      </c>
      <c r="BR24" s="251">
        <v>3.00000000007</v>
      </c>
      <c r="BS24" s="251">
        <v>7.9999999999999995E-11</v>
      </c>
      <c r="BT24" s="251">
        <f t="shared" si="22"/>
        <v>21.000000000069999</v>
      </c>
      <c r="BU24" s="251">
        <f t="shared" si="23"/>
        <v>40.000000000200004</v>
      </c>
      <c r="BV24" s="251">
        <f t="shared" si="24"/>
        <v>30.000000000299998</v>
      </c>
      <c r="BW24" s="251">
        <f t="shared" si="25"/>
        <v>28.00000000028</v>
      </c>
      <c r="BX24" s="251">
        <f t="shared" si="26"/>
        <v>5.0000000000000003E-10</v>
      </c>
      <c r="BY24" s="251">
        <f t="shared" si="27"/>
        <v>40.000000000599996</v>
      </c>
      <c r="BZ24" s="251">
        <f t="shared" si="28"/>
        <v>30.000000000699998</v>
      </c>
      <c r="CA24" s="251">
        <f t="shared" si="29"/>
        <v>7.9999999999999993E-10</v>
      </c>
      <c r="CB24" s="344" t="b">
        <f t="shared" si="30"/>
        <v>0</v>
      </c>
      <c r="CC24" s="344" t="b">
        <f t="shared" si="31"/>
        <v>1</v>
      </c>
      <c r="CD24" s="344" t="b">
        <f t="shared" si="32"/>
        <v>1</v>
      </c>
      <c r="CE24" s="344" t="b">
        <f t="shared" si="33"/>
        <v>1</v>
      </c>
      <c r="CF24" s="344" t="b">
        <f t="shared" si="34"/>
        <v>0</v>
      </c>
      <c r="CG24" s="344" t="b">
        <f t="shared" si="35"/>
        <v>1</v>
      </c>
      <c r="CH24" s="344" t="b">
        <f t="shared" si="36"/>
        <v>1</v>
      </c>
      <c r="CI24" s="344" t="b">
        <f t="shared" si="37"/>
        <v>0</v>
      </c>
    </row>
    <row r="25" spans="1:87" x14ac:dyDescent="0.3">
      <c r="A25" s="251" t="str">
        <f>_xlfn.CONCAT(A24,"-2")</f>
        <v>JS3170-2</v>
      </c>
      <c r="D25" s="282"/>
      <c r="G25" s="282"/>
      <c r="H25" s="282"/>
      <c r="I25" s="282"/>
      <c r="J25" s="282"/>
      <c r="K25" s="282"/>
      <c r="L25" s="282"/>
      <c r="M25" s="251" t="s">
        <v>669</v>
      </c>
      <c r="N25" s="251" t="s">
        <v>671</v>
      </c>
      <c r="O25" s="254" t="s">
        <v>1977</v>
      </c>
      <c r="P25" s="251" t="s">
        <v>3011</v>
      </c>
      <c r="Q25" s="251" t="s">
        <v>2998</v>
      </c>
      <c r="R25" s="251" t="s">
        <v>2999</v>
      </c>
      <c r="S25" s="282"/>
      <c r="U25" s="251">
        <v>20.2</v>
      </c>
      <c r="V25" s="251">
        <f t="shared" si="4"/>
        <v>168.50000000187001</v>
      </c>
      <c r="W25" s="251">
        <f t="shared" si="5"/>
        <v>183.00000000187001</v>
      </c>
      <c r="X25" s="251">
        <v>7</v>
      </c>
      <c r="Y25" s="251">
        <v>10</v>
      </c>
      <c r="Z25" s="251">
        <v>10</v>
      </c>
      <c r="AA25" s="251">
        <v>7</v>
      </c>
      <c r="AB25" s="251">
        <v>10</v>
      </c>
      <c r="AC25" s="251">
        <v>10</v>
      </c>
      <c r="AD25" s="251">
        <v>10</v>
      </c>
      <c r="AE25" s="251">
        <v>10</v>
      </c>
      <c r="AF25" s="251">
        <v>5.50000000001</v>
      </c>
      <c r="AG25" s="251">
        <v>3.00000000002</v>
      </c>
      <c r="AH25" s="251">
        <v>4.00000000003</v>
      </c>
      <c r="AI25" s="251">
        <v>4.00000000004</v>
      </c>
      <c r="AJ25" s="251">
        <v>2.00000000005</v>
      </c>
      <c r="AK25" s="251">
        <v>3.00000000006</v>
      </c>
      <c r="AL25" s="251">
        <v>3.00000000007</v>
      </c>
      <c r="AM25" s="251">
        <v>7.9999999999999995E-11</v>
      </c>
      <c r="AN25" s="251">
        <f t="shared" si="6"/>
        <v>38.500000000070003</v>
      </c>
      <c r="AO25" s="251">
        <f t="shared" si="7"/>
        <v>30.0000000002</v>
      </c>
      <c r="AP25" s="251">
        <f t="shared" si="8"/>
        <v>40.000000000299998</v>
      </c>
      <c r="AQ25" s="251">
        <f t="shared" si="9"/>
        <v>28.00000000028</v>
      </c>
      <c r="AR25" s="251">
        <f t="shared" si="10"/>
        <v>20.000000000500002</v>
      </c>
      <c r="AS25" s="251">
        <f t="shared" si="11"/>
        <v>30.0000000006</v>
      </c>
      <c r="AT25" s="251">
        <f t="shared" si="12"/>
        <v>30.000000000699998</v>
      </c>
      <c r="AU25" s="251">
        <f t="shared" si="13"/>
        <v>7.9999999999999993E-10</v>
      </c>
      <c r="AV25" s="344" t="b">
        <f t="shared" si="14"/>
        <v>1</v>
      </c>
      <c r="AW25" s="344" t="b">
        <f t="shared" si="15"/>
        <v>1</v>
      </c>
      <c r="AX25" s="344" t="b">
        <f t="shared" si="16"/>
        <v>1</v>
      </c>
      <c r="AY25" s="344" t="b">
        <f t="shared" si="17"/>
        <v>0</v>
      </c>
      <c r="AZ25" s="344" t="b">
        <f t="shared" si="18"/>
        <v>0</v>
      </c>
      <c r="BA25" s="344" t="b">
        <f t="shared" si="19"/>
        <v>1</v>
      </c>
      <c r="BB25" s="344" t="b">
        <f t="shared" si="20"/>
        <v>1</v>
      </c>
      <c r="BC25" s="344" t="b">
        <f t="shared" si="21"/>
        <v>0</v>
      </c>
      <c r="BD25" s="251">
        <v>7</v>
      </c>
      <c r="BE25" s="251">
        <v>10</v>
      </c>
      <c r="BF25" s="251">
        <v>10</v>
      </c>
      <c r="BG25" s="251">
        <v>7</v>
      </c>
      <c r="BH25" s="251">
        <v>10</v>
      </c>
      <c r="BI25" s="251">
        <v>10</v>
      </c>
      <c r="BJ25" s="251">
        <v>10</v>
      </c>
      <c r="BK25" s="251">
        <v>10</v>
      </c>
      <c r="BL25" s="251">
        <v>4.00000000001</v>
      </c>
      <c r="BM25" s="251">
        <v>3.00000000002</v>
      </c>
      <c r="BN25" s="251">
        <v>4.00000000003</v>
      </c>
      <c r="BO25" s="251">
        <v>3.00000000004</v>
      </c>
      <c r="BP25" s="251">
        <v>5.0000000000000002E-11</v>
      </c>
      <c r="BQ25" s="251">
        <v>5.50000000006</v>
      </c>
      <c r="BR25" s="251">
        <v>3.00000000007</v>
      </c>
      <c r="BS25" s="251">
        <v>7.9999999999999995E-11</v>
      </c>
      <c r="BT25" s="251">
        <f t="shared" si="22"/>
        <v>28.000000000069999</v>
      </c>
      <c r="BU25" s="251">
        <f t="shared" si="23"/>
        <v>30.0000000002</v>
      </c>
      <c r="BV25" s="251">
        <f t="shared" si="24"/>
        <v>40.000000000299998</v>
      </c>
      <c r="BW25" s="251">
        <f t="shared" si="25"/>
        <v>21.00000000028</v>
      </c>
      <c r="BX25" s="251">
        <f t="shared" si="26"/>
        <v>5.0000000000000003E-10</v>
      </c>
      <c r="BY25" s="251">
        <f t="shared" si="27"/>
        <v>55.000000000599996</v>
      </c>
      <c r="BZ25" s="251">
        <f t="shared" si="28"/>
        <v>30.000000000699998</v>
      </c>
      <c r="CA25" s="251">
        <f t="shared" si="29"/>
        <v>7.9999999999999993E-10</v>
      </c>
      <c r="CB25" s="344" t="b">
        <f t="shared" si="30"/>
        <v>1</v>
      </c>
      <c r="CC25" s="344" t="b">
        <f t="shared" si="31"/>
        <v>1</v>
      </c>
      <c r="CD25" s="344" t="b">
        <f t="shared" si="32"/>
        <v>1</v>
      </c>
      <c r="CE25" s="344" t="b">
        <f t="shared" si="33"/>
        <v>0</v>
      </c>
      <c r="CF25" s="344" t="b">
        <f t="shared" si="34"/>
        <v>0</v>
      </c>
      <c r="CG25" s="344" t="b">
        <f t="shared" si="35"/>
        <v>1</v>
      </c>
      <c r="CH25" s="344" t="b">
        <f t="shared" si="36"/>
        <v>1</v>
      </c>
      <c r="CI25" s="344" t="b">
        <f t="shared" si="37"/>
        <v>0</v>
      </c>
    </row>
    <row r="26" spans="1:87" x14ac:dyDescent="0.3">
      <c r="A26" s="251" t="s">
        <v>532</v>
      </c>
      <c r="B26" s="251" t="s">
        <v>2201</v>
      </c>
      <c r="C26" s="251" t="s">
        <v>535</v>
      </c>
      <c r="D26" s="282" t="s">
        <v>533</v>
      </c>
      <c r="E26" s="254" t="s">
        <v>2171</v>
      </c>
      <c r="F26" s="251">
        <v>68</v>
      </c>
      <c r="G26" s="282"/>
      <c r="H26" s="282"/>
      <c r="I26" s="251" t="s">
        <v>3011</v>
      </c>
      <c r="J26" s="251" t="s">
        <v>2998</v>
      </c>
      <c r="K26" s="251" t="s">
        <v>2999</v>
      </c>
      <c r="L26" s="282"/>
      <c r="M26" s="251" t="s">
        <v>599</v>
      </c>
      <c r="N26" s="251" t="s">
        <v>602</v>
      </c>
      <c r="O26" s="254" t="s">
        <v>1977</v>
      </c>
      <c r="P26" s="251" t="s">
        <v>3011</v>
      </c>
      <c r="Q26" s="251" t="s">
        <v>2998</v>
      </c>
      <c r="R26" s="251" t="s">
        <v>2999</v>
      </c>
      <c r="S26" s="282"/>
      <c r="T26" s="251">
        <v>19.7</v>
      </c>
      <c r="U26" s="251">
        <v>20.3</v>
      </c>
      <c r="V26" s="251">
        <f t="shared" si="4"/>
        <v>171.00000000207999</v>
      </c>
      <c r="W26" s="251">
        <f t="shared" si="5"/>
        <v>180.00000000229997</v>
      </c>
      <c r="X26" s="251">
        <v>7</v>
      </c>
      <c r="Y26" s="251">
        <v>10</v>
      </c>
      <c r="Z26" s="251">
        <v>10</v>
      </c>
      <c r="AA26" s="251">
        <v>7</v>
      </c>
      <c r="AB26" s="251">
        <v>10</v>
      </c>
      <c r="AC26" s="251">
        <v>10</v>
      </c>
      <c r="AD26" s="251">
        <v>10</v>
      </c>
      <c r="AE26" s="251">
        <v>10</v>
      </c>
      <c r="AF26" s="251">
        <v>3.00000000001</v>
      </c>
      <c r="AG26" s="251">
        <v>4.00000000002</v>
      </c>
      <c r="AH26" s="251">
        <v>4.00000000003</v>
      </c>
      <c r="AI26" s="251">
        <v>3.00000000004</v>
      </c>
      <c r="AJ26" s="251">
        <v>5.0000000000000002E-11</v>
      </c>
      <c r="AK26" s="251">
        <v>4.00000000006</v>
      </c>
      <c r="AL26" s="251">
        <v>3.00000000007</v>
      </c>
      <c r="AM26" s="251">
        <v>7.9999999999999995E-11</v>
      </c>
      <c r="AN26" s="251">
        <f t="shared" si="6"/>
        <v>21.000000000069999</v>
      </c>
      <c r="AO26" s="251">
        <f t="shared" si="7"/>
        <v>40.000000000200004</v>
      </c>
      <c r="AP26" s="251">
        <f t="shared" si="8"/>
        <v>40.000000000299998</v>
      </c>
      <c r="AQ26" s="251">
        <f t="shared" si="9"/>
        <v>21.00000000028</v>
      </c>
      <c r="AR26" s="251">
        <f t="shared" si="10"/>
        <v>5.0000000000000003E-10</v>
      </c>
      <c r="AS26" s="251">
        <f t="shared" si="11"/>
        <v>40.000000000599996</v>
      </c>
      <c r="AT26" s="251">
        <f t="shared" si="12"/>
        <v>30.000000000699998</v>
      </c>
      <c r="AU26" s="251">
        <f t="shared" si="13"/>
        <v>7.9999999999999993E-10</v>
      </c>
      <c r="AV26" s="344" t="b">
        <f t="shared" si="14"/>
        <v>0</v>
      </c>
      <c r="AW26" s="344" t="b">
        <f t="shared" si="15"/>
        <v>1</v>
      </c>
      <c r="AX26" s="344" t="b">
        <f t="shared" si="16"/>
        <v>1</v>
      </c>
      <c r="AY26" s="344" t="b">
        <f t="shared" si="17"/>
        <v>1</v>
      </c>
      <c r="AZ26" s="344" t="b">
        <f t="shared" si="18"/>
        <v>0</v>
      </c>
      <c r="BA26" s="344" t="b">
        <f t="shared" si="19"/>
        <v>1</v>
      </c>
      <c r="BB26" s="344" t="b">
        <f t="shared" si="20"/>
        <v>1</v>
      </c>
      <c r="BC26" s="344" t="b">
        <f t="shared" si="21"/>
        <v>0</v>
      </c>
      <c r="BD26" s="251">
        <v>7</v>
      </c>
      <c r="BE26" s="251">
        <v>10</v>
      </c>
      <c r="BF26" s="251">
        <v>10</v>
      </c>
      <c r="BG26" s="251">
        <v>7</v>
      </c>
      <c r="BH26" s="251">
        <v>10</v>
      </c>
      <c r="BI26" s="251">
        <v>10</v>
      </c>
      <c r="BJ26" s="251">
        <v>10</v>
      </c>
      <c r="BK26" s="251">
        <v>10</v>
      </c>
      <c r="BL26" s="251">
        <v>3.00000000001</v>
      </c>
      <c r="BM26" s="251">
        <v>3.00000000002</v>
      </c>
      <c r="BN26" s="251">
        <v>4.00000000003</v>
      </c>
      <c r="BO26" s="251">
        <v>4.00000000004</v>
      </c>
      <c r="BP26" s="251">
        <v>3.00000000005</v>
      </c>
      <c r="BQ26" s="251">
        <v>4.00000000006</v>
      </c>
      <c r="BR26" s="251">
        <v>4.00000000007</v>
      </c>
      <c r="BS26" s="251">
        <v>7.9999999999999995E-11</v>
      </c>
      <c r="BT26" s="251">
        <f t="shared" si="22"/>
        <v>21.000000000069999</v>
      </c>
      <c r="BU26" s="251">
        <f t="shared" si="23"/>
        <v>30.0000000002</v>
      </c>
      <c r="BV26" s="251">
        <f t="shared" si="24"/>
        <v>40.000000000299998</v>
      </c>
      <c r="BW26" s="251">
        <f t="shared" si="25"/>
        <v>28.00000000028</v>
      </c>
      <c r="BX26" s="251">
        <f t="shared" si="26"/>
        <v>30.000000000500002</v>
      </c>
      <c r="BY26" s="251">
        <f t="shared" si="27"/>
        <v>40.000000000599996</v>
      </c>
      <c r="BZ26" s="251">
        <f t="shared" si="28"/>
        <v>40.000000000699998</v>
      </c>
      <c r="CA26" s="251">
        <f t="shared" si="29"/>
        <v>7.9999999999999993E-10</v>
      </c>
      <c r="CB26" s="344" t="b">
        <f t="shared" si="30"/>
        <v>0</v>
      </c>
      <c r="CC26" s="344" t="b">
        <f t="shared" si="31"/>
        <v>1</v>
      </c>
      <c r="CD26" s="344" t="b">
        <f t="shared" si="32"/>
        <v>1</v>
      </c>
      <c r="CE26" s="344" t="b">
        <f t="shared" si="33"/>
        <v>0</v>
      </c>
      <c r="CF26" s="344" t="b">
        <f t="shared" si="34"/>
        <v>1</v>
      </c>
      <c r="CG26" s="344" t="b">
        <f t="shared" si="35"/>
        <v>1</v>
      </c>
      <c r="CH26" s="344" t="b">
        <f t="shared" si="36"/>
        <v>1</v>
      </c>
      <c r="CI26" s="344" t="b">
        <f t="shared" si="37"/>
        <v>0</v>
      </c>
    </row>
    <row r="27" spans="1:87" x14ac:dyDescent="0.3">
      <c r="A27" s="251" t="str">
        <f>_xlfn.CONCAT(A26,"-2")</f>
        <v>JS3180-2</v>
      </c>
      <c r="D27" s="282"/>
      <c r="G27" s="282"/>
      <c r="H27" s="282"/>
      <c r="I27" s="282"/>
      <c r="J27" s="282"/>
      <c r="K27" s="282"/>
      <c r="L27" s="282"/>
      <c r="M27" s="251" t="s">
        <v>665</v>
      </c>
      <c r="N27" s="251" t="s">
        <v>668</v>
      </c>
      <c r="O27" s="254" t="s">
        <v>1977</v>
      </c>
      <c r="P27" s="251" t="s">
        <v>3011</v>
      </c>
      <c r="Q27" s="251" t="s">
        <v>2998</v>
      </c>
      <c r="R27" s="251" t="s">
        <v>2999</v>
      </c>
      <c r="S27" s="282"/>
      <c r="U27" s="251">
        <v>19.100000000000001</v>
      </c>
      <c r="V27" s="251">
        <f t="shared" si="4"/>
        <v>190.00000000260002</v>
      </c>
      <c r="W27" s="251">
        <f t="shared" si="5"/>
        <v>190.00000000260002</v>
      </c>
      <c r="X27" s="251">
        <v>7</v>
      </c>
      <c r="Y27" s="251">
        <v>10</v>
      </c>
      <c r="Z27" s="251">
        <v>10</v>
      </c>
      <c r="AA27" s="251">
        <v>7</v>
      </c>
      <c r="AB27" s="251">
        <v>10</v>
      </c>
      <c r="AC27" s="251">
        <v>10</v>
      </c>
      <c r="AD27" s="251">
        <v>10</v>
      </c>
      <c r="AE27" s="251">
        <v>10</v>
      </c>
      <c r="AF27" s="251">
        <v>3.00000000001</v>
      </c>
      <c r="AG27" s="251">
        <v>3.00000000002</v>
      </c>
      <c r="AH27" s="251">
        <v>4.00000000003</v>
      </c>
      <c r="AI27" s="251">
        <v>3.00000000004</v>
      </c>
      <c r="AJ27" s="251">
        <v>5.0000000000000002E-11</v>
      </c>
      <c r="AK27" s="251">
        <v>4.00000000006</v>
      </c>
      <c r="AL27" s="251">
        <v>4.00000000007</v>
      </c>
      <c r="AM27" s="251">
        <v>4.00000000008</v>
      </c>
      <c r="AN27" s="251">
        <f t="shared" si="6"/>
        <v>21.000000000069999</v>
      </c>
      <c r="AO27" s="251">
        <f t="shared" si="7"/>
        <v>30.0000000002</v>
      </c>
      <c r="AP27" s="251">
        <f t="shared" si="8"/>
        <v>40.000000000299998</v>
      </c>
      <c r="AQ27" s="251">
        <f t="shared" si="9"/>
        <v>21.00000000028</v>
      </c>
      <c r="AR27" s="251">
        <f t="shared" si="10"/>
        <v>5.0000000000000003E-10</v>
      </c>
      <c r="AS27" s="251">
        <f t="shared" si="11"/>
        <v>40.000000000599996</v>
      </c>
      <c r="AT27" s="251">
        <f t="shared" si="12"/>
        <v>40.000000000699998</v>
      </c>
      <c r="AU27" s="251">
        <f t="shared" si="13"/>
        <v>40.0000000008</v>
      </c>
      <c r="AV27" s="344" t="b">
        <f t="shared" si="14"/>
        <v>0</v>
      </c>
      <c r="AW27" s="344" t="b">
        <f t="shared" si="15"/>
        <v>1</v>
      </c>
      <c r="AX27" s="344" t="b">
        <f t="shared" si="16"/>
        <v>1</v>
      </c>
      <c r="AY27" s="344" t="b">
        <f t="shared" si="17"/>
        <v>0</v>
      </c>
      <c r="AZ27" s="344" t="b">
        <f t="shared" si="18"/>
        <v>0</v>
      </c>
      <c r="BA27" s="344" t="b">
        <f t="shared" si="19"/>
        <v>1</v>
      </c>
      <c r="BB27" s="344" t="b">
        <f t="shared" si="20"/>
        <v>1</v>
      </c>
      <c r="BC27" s="344" t="b">
        <f t="shared" si="21"/>
        <v>1</v>
      </c>
      <c r="BD27" s="251">
        <v>7</v>
      </c>
      <c r="BE27" s="251">
        <v>10</v>
      </c>
      <c r="BF27" s="251">
        <v>10</v>
      </c>
      <c r="BG27" s="251">
        <v>7</v>
      </c>
      <c r="BH27" s="251">
        <v>10</v>
      </c>
      <c r="BI27" s="251">
        <v>10</v>
      </c>
      <c r="BJ27" s="251">
        <v>10</v>
      </c>
      <c r="BK27" s="251">
        <v>10</v>
      </c>
      <c r="BL27" s="251">
        <v>4.00000000001</v>
      </c>
      <c r="BM27" s="251">
        <v>3.00000000002</v>
      </c>
      <c r="BN27" s="251">
        <v>4.00000000003</v>
      </c>
      <c r="BO27" s="251">
        <v>3.00000000004</v>
      </c>
      <c r="BP27" s="251">
        <v>5.0000000000000002E-11</v>
      </c>
      <c r="BQ27" s="251">
        <v>4.00000000006</v>
      </c>
      <c r="BR27" s="251">
        <v>4.00000000007</v>
      </c>
      <c r="BS27" s="251">
        <v>4.00000000008</v>
      </c>
      <c r="BT27" s="251">
        <f t="shared" si="22"/>
        <v>28.000000000069999</v>
      </c>
      <c r="BU27" s="251">
        <f t="shared" si="23"/>
        <v>30.0000000002</v>
      </c>
      <c r="BV27" s="251">
        <f t="shared" si="24"/>
        <v>40.000000000299998</v>
      </c>
      <c r="BW27" s="251">
        <f t="shared" si="25"/>
        <v>21.00000000028</v>
      </c>
      <c r="BX27" s="251">
        <f t="shared" si="26"/>
        <v>5.0000000000000003E-10</v>
      </c>
      <c r="BY27" s="251">
        <f t="shared" si="27"/>
        <v>40.000000000599996</v>
      </c>
      <c r="BZ27" s="251">
        <f t="shared" si="28"/>
        <v>40.000000000699998</v>
      </c>
      <c r="CA27" s="251">
        <f t="shared" si="29"/>
        <v>40.0000000008</v>
      </c>
      <c r="CB27" s="344" t="b">
        <f t="shared" si="30"/>
        <v>0</v>
      </c>
      <c r="CC27" s="344" t="b">
        <f t="shared" si="31"/>
        <v>1</v>
      </c>
      <c r="CD27" s="344" t="b">
        <f t="shared" si="32"/>
        <v>1</v>
      </c>
      <c r="CE27" s="344" t="b">
        <f t="shared" si="33"/>
        <v>0</v>
      </c>
      <c r="CF27" s="344" t="b">
        <f t="shared" si="34"/>
        <v>0</v>
      </c>
      <c r="CG27" s="344" t="b">
        <f t="shared" si="35"/>
        <v>1</v>
      </c>
      <c r="CH27" s="344" t="b">
        <f t="shared" si="36"/>
        <v>1</v>
      </c>
      <c r="CI27" s="344" t="b">
        <f t="shared" si="37"/>
        <v>1</v>
      </c>
    </row>
    <row r="28" spans="1:87" x14ac:dyDescent="0.3">
      <c r="A28" s="251" t="s">
        <v>719</v>
      </c>
      <c r="B28" s="251" t="s">
        <v>2201</v>
      </c>
      <c r="C28" s="251" t="s">
        <v>725</v>
      </c>
      <c r="D28" s="282" t="s">
        <v>723</v>
      </c>
      <c r="E28" s="254" t="s">
        <v>2171</v>
      </c>
      <c r="F28" s="251">
        <v>113</v>
      </c>
      <c r="I28" s="251" t="s">
        <v>3012</v>
      </c>
      <c r="J28" s="251" t="s">
        <v>2998</v>
      </c>
      <c r="K28" s="251" t="s">
        <v>2999</v>
      </c>
      <c r="L28" s="282"/>
      <c r="M28" s="251" t="s">
        <v>719</v>
      </c>
      <c r="N28" s="251" t="s">
        <v>722</v>
      </c>
      <c r="O28" s="254" t="s">
        <v>1977</v>
      </c>
      <c r="P28" s="251" t="s">
        <v>3012</v>
      </c>
      <c r="Q28" s="251" t="s">
        <v>2998</v>
      </c>
      <c r="R28" s="251" t="s">
        <v>2999</v>
      </c>
      <c r="S28" s="282"/>
      <c r="T28" s="251">
        <v>19.8</v>
      </c>
      <c r="U28" s="251">
        <v>19.8</v>
      </c>
      <c r="V28" s="251">
        <f t="shared" si="4"/>
        <v>173.00000000207999</v>
      </c>
      <c r="W28" s="251">
        <f t="shared" si="5"/>
        <v>180.00000000260002</v>
      </c>
      <c r="X28" s="251">
        <v>7</v>
      </c>
      <c r="Y28" s="251">
        <v>10</v>
      </c>
      <c r="Z28" s="251">
        <v>10</v>
      </c>
      <c r="AA28" s="251">
        <v>7</v>
      </c>
      <c r="AB28" s="251">
        <v>10</v>
      </c>
      <c r="AC28" s="251">
        <v>10</v>
      </c>
      <c r="AD28" s="251">
        <v>10</v>
      </c>
      <c r="AE28" s="251">
        <v>10</v>
      </c>
      <c r="AF28" s="251">
        <v>3.00000000001</v>
      </c>
      <c r="AG28" s="251">
        <v>3.00000000002</v>
      </c>
      <c r="AH28" s="251">
        <v>5.50000000003</v>
      </c>
      <c r="AI28" s="251">
        <v>4.00000000004</v>
      </c>
      <c r="AJ28" s="251">
        <v>5.0000000000000002E-11</v>
      </c>
      <c r="AK28" s="251">
        <v>3.00000000006</v>
      </c>
      <c r="AL28" s="251">
        <v>3.00000000007</v>
      </c>
      <c r="AM28" s="251">
        <v>7.9999999999999995E-11</v>
      </c>
      <c r="AN28" s="251">
        <f t="shared" si="6"/>
        <v>21.000000000069999</v>
      </c>
      <c r="AO28" s="251">
        <f t="shared" si="7"/>
        <v>30.0000000002</v>
      </c>
      <c r="AP28" s="251">
        <f t="shared" si="8"/>
        <v>55.000000000299998</v>
      </c>
      <c r="AQ28" s="251">
        <f t="shared" si="9"/>
        <v>28.00000000028</v>
      </c>
      <c r="AR28" s="251">
        <f t="shared" si="10"/>
        <v>5.0000000000000003E-10</v>
      </c>
      <c r="AS28" s="251">
        <f t="shared" si="11"/>
        <v>30.0000000006</v>
      </c>
      <c r="AT28" s="251">
        <f t="shared" si="12"/>
        <v>30.000000000699998</v>
      </c>
      <c r="AU28" s="251">
        <f t="shared" si="13"/>
        <v>7.9999999999999993E-10</v>
      </c>
      <c r="AV28" s="344" t="b">
        <f t="shared" si="14"/>
        <v>0</v>
      </c>
      <c r="AW28" s="344" t="b">
        <f t="shared" si="15"/>
        <v>1</v>
      </c>
      <c r="AX28" s="344" t="b">
        <f t="shared" si="16"/>
        <v>1</v>
      </c>
      <c r="AY28" s="344" t="b">
        <f t="shared" si="17"/>
        <v>1</v>
      </c>
      <c r="AZ28" s="344" t="b">
        <f t="shared" si="18"/>
        <v>0</v>
      </c>
      <c r="BA28" s="344" t="b">
        <f t="shared" si="19"/>
        <v>1</v>
      </c>
      <c r="BB28" s="344" t="b">
        <f t="shared" si="20"/>
        <v>1</v>
      </c>
      <c r="BC28" s="344" t="b">
        <f t="shared" si="21"/>
        <v>0</v>
      </c>
      <c r="BD28" s="251">
        <v>7</v>
      </c>
      <c r="BE28" s="251">
        <v>10</v>
      </c>
      <c r="BF28" s="251">
        <v>10</v>
      </c>
      <c r="BG28" s="251">
        <v>7</v>
      </c>
      <c r="BH28" s="251">
        <v>10</v>
      </c>
      <c r="BI28" s="251">
        <v>10</v>
      </c>
      <c r="BJ28" s="251">
        <v>10</v>
      </c>
      <c r="BK28" s="251">
        <v>10</v>
      </c>
      <c r="BL28" s="251">
        <v>4.00000000001</v>
      </c>
      <c r="BM28" s="251">
        <v>4.00000000002</v>
      </c>
      <c r="BN28" s="251">
        <v>4.00000000003</v>
      </c>
      <c r="BO28" s="251">
        <v>3.00000000004</v>
      </c>
      <c r="BP28" s="251">
        <v>5.0000000000000002E-11</v>
      </c>
      <c r="BQ28" s="251">
        <v>4.00000000006</v>
      </c>
      <c r="BR28" s="251">
        <v>3.00000000007</v>
      </c>
      <c r="BS28" s="251">
        <v>3.00000000008</v>
      </c>
      <c r="BT28" s="251">
        <f t="shared" si="22"/>
        <v>28.000000000069999</v>
      </c>
      <c r="BU28" s="251">
        <f t="shared" si="23"/>
        <v>40.000000000200004</v>
      </c>
      <c r="BV28" s="251">
        <f t="shared" si="24"/>
        <v>40.000000000299998</v>
      </c>
      <c r="BW28" s="251">
        <f t="shared" si="25"/>
        <v>21.00000000028</v>
      </c>
      <c r="BX28" s="251">
        <f t="shared" si="26"/>
        <v>5.0000000000000003E-10</v>
      </c>
      <c r="BY28" s="251">
        <f t="shared" si="27"/>
        <v>40.000000000599996</v>
      </c>
      <c r="BZ28" s="251">
        <f t="shared" si="28"/>
        <v>30.000000000699998</v>
      </c>
      <c r="CA28" s="251">
        <f t="shared" si="29"/>
        <v>30.0000000008</v>
      </c>
      <c r="CB28" s="344" t="b">
        <f t="shared" si="30"/>
        <v>0</v>
      </c>
      <c r="CC28" s="344" t="b">
        <f t="shared" si="31"/>
        <v>1</v>
      </c>
      <c r="CD28" s="344" t="b">
        <f t="shared" si="32"/>
        <v>1</v>
      </c>
      <c r="CE28" s="344" t="b">
        <f t="shared" si="33"/>
        <v>0</v>
      </c>
      <c r="CF28" s="344" t="b">
        <f t="shared" si="34"/>
        <v>0</v>
      </c>
      <c r="CG28" s="344" t="b">
        <f t="shared" si="35"/>
        <v>1</v>
      </c>
      <c r="CH28" s="344" t="b">
        <f t="shared" si="36"/>
        <v>1</v>
      </c>
      <c r="CI28" s="344" t="b">
        <f t="shared" si="37"/>
        <v>1</v>
      </c>
    </row>
    <row r="29" spans="1:87" x14ac:dyDescent="0.3">
      <c r="A29" s="251" t="s">
        <v>614</v>
      </c>
      <c r="B29" s="251" t="s">
        <v>2201</v>
      </c>
      <c r="C29" s="251" t="s">
        <v>618</v>
      </c>
      <c r="D29" s="282" t="s">
        <v>615</v>
      </c>
      <c r="E29" s="254" t="s">
        <v>2171</v>
      </c>
      <c r="F29" s="251">
        <v>49</v>
      </c>
      <c r="G29" s="282"/>
      <c r="H29" s="282"/>
      <c r="I29" s="251" t="s">
        <v>3000</v>
      </c>
      <c r="J29" s="251" t="s">
        <v>2998</v>
      </c>
      <c r="K29" s="251" t="s">
        <v>2999</v>
      </c>
      <c r="L29" s="282"/>
      <c r="M29" s="251" t="s">
        <v>614</v>
      </c>
      <c r="N29" s="251" t="s">
        <v>617</v>
      </c>
      <c r="O29" s="254" t="s">
        <v>1977</v>
      </c>
      <c r="P29" s="251" t="s">
        <v>3000</v>
      </c>
      <c r="Q29" s="251" t="s">
        <v>2998</v>
      </c>
      <c r="R29" s="251" t="s">
        <v>2999</v>
      </c>
      <c r="S29" s="282"/>
      <c r="T29" s="251">
        <v>18.899999999999999</v>
      </c>
      <c r="U29" s="251">
        <v>18.899999999999999</v>
      </c>
      <c r="V29" s="251">
        <f t="shared" si="4"/>
        <v>132.00000000115</v>
      </c>
      <c r="W29" s="251">
        <f t="shared" si="5"/>
        <v>144.00000000120002</v>
      </c>
      <c r="X29" s="251">
        <v>7</v>
      </c>
      <c r="Y29" s="251">
        <v>10</v>
      </c>
      <c r="Z29" s="251">
        <v>10</v>
      </c>
      <c r="AA29" s="251">
        <v>7</v>
      </c>
      <c r="AB29" s="251">
        <v>5</v>
      </c>
      <c r="AC29" s="251">
        <v>5</v>
      </c>
      <c r="AD29" s="251">
        <v>5</v>
      </c>
      <c r="AE29" s="251">
        <v>5</v>
      </c>
      <c r="AF29" s="251">
        <v>3.00000000001</v>
      </c>
      <c r="AG29" s="251">
        <v>3.00000000002</v>
      </c>
      <c r="AH29" s="251">
        <v>4.00000000003</v>
      </c>
      <c r="AI29" s="251">
        <v>3.00000000004</v>
      </c>
      <c r="AJ29" s="251">
        <v>4.00000000005</v>
      </c>
      <c r="AK29" s="251">
        <v>4.00000000006</v>
      </c>
      <c r="AL29" s="251">
        <v>2.00000000007</v>
      </c>
      <c r="AM29" s="251">
        <v>7.9999999999999995E-11</v>
      </c>
      <c r="AN29" s="251">
        <f t="shared" si="6"/>
        <v>21.000000000069999</v>
      </c>
      <c r="AO29" s="251">
        <f t="shared" si="7"/>
        <v>30.0000000002</v>
      </c>
      <c r="AP29" s="251">
        <f t="shared" si="8"/>
        <v>40.000000000299998</v>
      </c>
      <c r="AQ29" s="251">
        <f t="shared" si="9"/>
        <v>21.00000000028</v>
      </c>
      <c r="AR29" s="251">
        <f t="shared" si="10"/>
        <v>20.000000000250001</v>
      </c>
      <c r="AS29" s="251">
        <f t="shared" si="11"/>
        <v>20.000000000299998</v>
      </c>
      <c r="AT29" s="251">
        <f t="shared" si="12"/>
        <v>10.000000000349999</v>
      </c>
      <c r="AU29" s="251">
        <f t="shared" si="13"/>
        <v>3.9999999999999996E-10</v>
      </c>
      <c r="AV29" s="344" t="b">
        <f t="shared" si="14"/>
        <v>1</v>
      </c>
      <c r="AW29" s="344" t="b">
        <f t="shared" si="15"/>
        <v>1</v>
      </c>
      <c r="AX29" s="344" t="b">
        <f t="shared" si="16"/>
        <v>1</v>
      </c>
      <c r="AY29" s="344" t="b">
        <f t="shared" si="17"/>
        <v>1</v>
      </c>
      <c r="AZ29" s="344" t="b">
        <f t="shared" si="18"/>
        <v>0</v>
      </c>
      <c r="BA29" s="344" t="b">
        <f t="shared" si="19"/>
        <v>1</v>
      </c>
      <c r="BB29" s="344" t="b">
        <f t="shared" si="20"/>
        <v>0</v>
      </c>
      <c r="BC29" s="344" t="b">
        <f t="shared" si="21"/>
        <v>0</v>
      </c>
      <c r="BD29" s="251">
        <v>7</v>
      </c>
      <c r="BE29" s="251">
        <v>10</v>
      </c>
      <c r="BF29" s="251">
        <v>10</v>
      </c>
      <c r="BG29" s="251">
        <v>7</v>
      </c>
      <c r="BH29" s="251">
        <v>5</v>
      </c>
      <c r="BI29" s="251">
        <v>5</v>
      </c>
      <c r="BJ29" s="251">
        <v>5</v>
      </c>
      <c r="BK29" s="251">
        <v>5</v>
      </c>
      <c r="BL29" s="251">
        <v>4.00000000001</v>
      </c>
      <c r="BM29" s="251">
        <v>4.00000000002</v>
      </c>
      <c r="BN29" s="251">
        <v>4.00000000003</v>
      </c>
      <c r="BO29" s="251">
        <v>3.00000000004</v>
      </c>
      <c r="BP29" s="251">
        <v>5.0000000000000002E-11</v>
      </c>
      <c r="BQ29" s="251">
        <v>3.00000000006</v>
      </c>
      <c r="BR29" s="251">
        <v>3.00000000007</v>
      </c>
      <c r="BS29" s="251">
        <v>7.9999999999999995E-11</v>
      </c>
      <c r="BT29" s="251">
        <f t="shared" si="22"/>
        <v>28.000000000069999</v>
      </c>
      <c r="BU29" s="251">
        <f t="shared" si="23"/>
        <v>40.000000000200004</v>
      </c>
      <c r="BV29" s="251">
        <f t="shared" si="24"/>
        <v>40.000000000299998</v>
      </c>
      <c r="BW29" s="251">
        <f t="shared" si="25"/>
        <v>21.00000000028</v>
      </c>
      <c r="BX29" s="251">
        <f t="shared" si="26"/>
        <v>2.5000000000000002E-10</v>
      </c>
      <c r="BY29" s="251">
        <f t="shared" si="27"/>
        <v>15.0000000003</v>
      </c>
      <c r="BZ29" s="251">
        <f t="shared" si="28"/>
        <v>15.000000000349999</v>
      </c>
      <c r="CA29" s="251">
        <f t="shared" si="29"/>
        <v>3.9999999999999996E-10</v>
      </c>
      <c r="CB29" s="344" t="b">
        <f t="shared" si="30"/>
        <v>1</v>
      </c>
      <c r="CC29" s="344" t="b">
        <f t="shared" si="31"/>
        <v>1</v>
      </c>
      <c r="CD29" s="344" t="b">
        <f t="shared" si="32"/>
        <v>1</v>
      </c>
      <c r="CE29" s="344" t="b">
        <f t="shared" si="33"/>
        <v>1</v>
      </c>
      <c r="CF29" s="344" t="b">
        <f t="shared" si="34"/>
        <v>0</v>
      </c>
      <c r="CG29" s="344" t="b">
        <f t="shared" si="35"/>
        <v>0</v>
      </c>
      <c r="CH29" s="344" t="b">
        <f t="shared" si="36"/>
        <v>1</v>
      </c>
      <c r="CI29" s="344" t="b">
        <f t="shared" si="37"/>
        <v>0</v>
      </c>
    </row>
    <row r="30" spans="1:87" x14ac:dyDescent="0.3">
      <c r="A30" s="251" t="s">
        <v>603</v>
      </c>
      <c r="B30" s="251" t="s">
        <v>2201</v>
      </c>
      <c r="C30" s="251" t="s">
        <v>607</v>
      </c>
      <c r="D30" s="282" t="s">
        <v>604</v>
      </c>
      <c r="E30" s="254" t="s">
        <v>2171</v>
      </c>
      <c r="F30" s="251">
        <v>53</v>
      </c>
      <c r="G30" s="282"/>
      <c r="H30" s="282"/>
      <c r="I30" s="251" t="s">
        <v>3000</v>
      </c>
      <c r="J30" s="251" t="s">
        <v>2998</v>
      </c>
      <c r="K30" s="251" t="s">
        <v>2999</v>
      </c>
      <c r="L30" s="282"/>
      <c r="M30" s="251" t="s">
        <v>603</v>
      </c>
      <c r="N30" s="251" t="s">
        <v>606</v>
      </c>
      <c r="O30" s="254" t="s">
        <v>1977</v>
      </c>
      <c r="P30" s="251" t="s">
        <v>3000</v>
      </c>
      <c r="Q30" s="251" t="s">
        <v>2998</v>
      </c>
      <c r="R30" s="251" t="s">
        <v>2999</v>
      </c>
      <c r="S30" s="282"/>
      <c r="T30" s="251">
        <v>18.7</v>
      </c>
      <c r="U30" s="251">
        <v>18.7</v>
      </c>
      <c r="V30" s="251">
        <f t="shared" si="4"/>
        <v>134.00000000119999</v>
      </c>
      <c r="W30" s="251">
        <f t="shared" si="5"/>
        <v>144.00000000120002</v>
      </c>
      <c r="X30" s="251">
        <v>7</v>
      </c>
      <c r="Y30" s="251">
        <v>10</v>
      </c>
      <c r="Z30" s="251">
        <v>10</v>
      </c>
      <c r="AA30" s="251">
        <v>7</v>
      </c>
      <c r="AB30" s="251">
        <v>5</v>
      </c>
      <c r="AC30" s="251">
        <v>5</v>
      </c>
      <c r="AD30" s="251">
        <v>5</v>
      </c>
      <c r="AE30" s="251">
        <v>5</v>
      </c>
      <c r="AF30" s="251">
        <v>4.00000000001</v>
      </c>
      <c r="AG30" s="251">
        <v>3.00000000002</v>
      </c>
      <c r="AH30" s="251">
        <v>4.00000000003</v>
      </c>
      <c r="AI30" s="251">
        <v>3.00000000004</v>
      </c>
      <c r="AJ30" s="251">
        <v>3.00000000005</v>
      </c>
      <c r="AK30" s="251">
        <v>3.00000000006</v>
      </c>
      <c r="AL30" s="251">
        <v>3.00000000007</v>
      </c>
      <c r="AM30" s="251">
        <v>7.9999999999999995E-11</v>
      </c>
      <c r="AN30" s="251">
        <f t="shared" si="6"/>
        <v>28.000000000069999</v>
      </c>
      <c r="AO30" s="251">
        <f t="shared" si="7"/>
        <v>30.0000000002</v>
      </c>
      <c r="AP30" s="251">
        <f t="shared" si="8"/>
        <v>40.000000000299998</v>
      </c>
      <c r="AQ30" s="251">
        <f t="shared" si="9"/>
        <v>21.00000000028</v>
      </c>
      <c r="AR30" s="251">
        <f t="shared" si="10"/>
        <v>15.000000000250001</v>
      </c>
      <c r="AS30" s="251">
        <f t="shared" si="11"/>
        <v>15.0000000003</v>
      </c>
      <c r="AT30" s="251">
        <f t="shared" si="12"/>
        <v>15.000000000349999</v>
      </c>
      <c r="AU30" s="251">
        <f t="shared" si="13"/>
        <v>3.9999999999999996E-10</v>
      </c>
      <c r="AV30" s="344" t="b">
        <f t="shared" si="14"/>
        <v>1</v>
      </c>
      <c r="AW30" s="344" t="b">
        <f t="shared" si="15"/>
        <v>1</v>
      </c>
      <c r="AX30" s="344" t="b">
        <f t="shared" si="16"/>
        <v>1</v>
      </c>
      <c r="AY30" s="344" t="b">
        <f t="shared" si="17"/>
        <v>1</v>
      </c>
      <c r="AZ30" s="344" t="b">
        <f t="shared" si="18"/>
        <v>0</v>
      </c>
      <c r="BA30" s="344" t="b">
        <f t="shared" si="19"/>
        <v>0</v>
      </c>
      <c r="BB30" s="344" t="b">
        <f t="shared" si="20"/>
        <v>1</v>
      </c>
      <c r="BC30" s="344" t="b">
        <f t="shared" si="21"/>
        <v>0</v>
      </c>
      <c r="BD30" s="251">
        <v>7</v>
      </c>
      <c r="BE30" s="251">
        <v>10</v>
      </c>
      <c r="BF30" s="251">
        <v>10</v>
      </c>
      <c r="BG30" s="251">
        <v>7</v>
      </c>
      <c r="BH30" s="251">
        <v>5</v>
      </c>
      <c r="BI30" s="251">
        <v>5</v>
      </c>
      <c r="BJ30" s="251">
        <v>5</v>
      </c>
      <c r="BK30" s="251">
        <v>5</v>
      </c>
      <c r="BL30" s="251">
        <v>3.00000000001</v>
      </c>
      <c r="BM30" s="251">
        <v>4.00000000002</v>
      </c>
      <c r="BN30" s="251">
        <v>4.00000000003</v>
      </c>
      <c r="BO30" s="251">
        <v>4.00000000004</v>
      </c>
      <c r="BP30" s="251">
        <v>5.0000000000000002E-11</v>
      </c>
      <c r="BQ30" s="251">
        <v>3.00000000006</v>
      </c>
      <c r="BR30" s="251">
        <v>3.00000000007</v>
      </c>
      <c r="BS30" s="251">
        <v>7.9999999999999995E-11</v>
      </c>
      <c r="BT30" s="251">
        <f t="shared" si="22"/>
        <v>21.000000000069999</v>
      </c>
      <c r="BU30" s="251">
        <f t="shared" si="23"/>
        <v>40.000000000200004</v>
      </c>
      <c r="BV30" s="251">
        <f t="shared" si="24"/>
        <v>40.000000000299998</v>
      </c>
      <c r="BW30" s="251">
        <f t="shared" si="25"/>
        <v>28.00000000028</v>
      </c>
      <c r="BX30" s="251">
        <f t="shared" si="26"/>
        <v>2.5000000000000002E-10</v>
      </c>
      <c r="BY30" s="251">
        <f t="shared" si="27"/>
        <v>15.0000000003</v>
      </c>
      <c r="BZ30" s="251">
        <f t="shared" si="28"/>
        <v>15.000000000349999</v>
      </c>
      <c r="CA30" s="251">
        <f t="shared" si="29"/>
        <v>3.9999999999999996E-10</v>
      </c>
      <c r="CB30" s="344" t="b">
        <f>IF(BT30&gt;LARGE($BT30:$CA30,6),TRUE)</f>
        <v>1</v>
      </c>
      <c r="CC30" s="344" t="b">
        <f t="shared" si="31"/>
        <v>1</v>
      </c>
      <c r="CD30" s="344" t="b">
        <f t="shared" si="32"/>
        <v>1</v>
      </c>
      <c r="CE30" s="344" t="b">
        <f t="shared" si="33"/>
        <v>1</v>
      </c>
      <c r="CF30" s="344" t="b">
        <f t="shared" si="34"/>
        <v>0</v>
      </c>
      <c r="CG30" s="344" t="b">
        <f t="shared" si="35"/>
        <v>0</v>
      </c>
      <c r="CH30" s="344" t="b">
        <f t="shared" si="36"/>
        <v>1</v>
      </c>
      <c r="CI30" s="344" t="b">
        <f t="shared" si="37"/>
        <v>0</v>
      </c>
    </row>
    <row r="31" spans="1:87" x14ac:dyDescent="0.3">
      <c r="A31" s="251" t="s">
        <v>676</v>
      </c>
      <c r="B31" s="251" t="s">
        <v>2201</v>
      </c>
      <c r="C31" s="251" t="s">
        <v>680</v>
      </c>
      <c r="D31" s="282" t="s">
        <v>677</v>
      </c>
      <c r="E31" s="254" t="s">
        <v>2171</v>
      </c>
      <c r="F31" s="251">
        <v>60</v>
      </c>
      <c r="G31" s="282"/>
      <c r="H31" s="282"/>
      <c r="I31" s="251" t="s">
        <v>3011</v>
      </c>
      <c r="J31" s="251" t="s">
        <v>2998</v>
      </c>
      <c r="K31" s="251" t="s">
        <v>2999</v>
      </c>
      <c r="L31" s="282"/>
      <c r="M31" s="251" t="s">
        <v>676</v>
      </c>
      <c r="N31" s="251" t="s">
        <v>679</v>
      </c>
      <c r="O31" s="254" t="s">
        <v>1977</v>
      </c>
      <c r="P31" s="251" t="s">
        <v>3011</v>
      </c>
      <c r="Q31" s="251" t="s">
        <v>2998</v>
      </c>
      <c r="R31" s="251" t="s">
        <v>2999</v>
      </c>
      <c r="S31" s="282"/>
      <c r="T31" s="251">
        <v>19.7</v>
      </c>
      <c r="U31" s="251">
        <v>19.7</v>
      </c>
      <c r="V31" s="251">
        <f t="shared" si="4"/>
        <v>170.00000000260002</v>
      </c>
      <c r="W31" s="251">
        <f t="shared" si="5"/>
        <v>178.00000000207999</v>
      </c>
      <c r="X31" s="251">
        <v>7</v>
      </c>
      <c r="Y31" s="251">
        <v>10</v>
      </c>
      <c r="Z31" s="251">
        <v>10</v>
      </c>
      <c r="AA31" s="251">
        <v>7</v>
      </c>
      <c r="AB31" s="251">
        <v>10</v>
      </c>
      <c r="AC31" s="251">
        <v>10</v>
      </c>
      <c r="AD31" s="251">
        <v>10</v>
      </c>
      <c r="AE31" s="251">
        <v>10</v>
      </c>
      <c r="AF31" s="251">
        <v>3.00000000001</v>
      </c>
      <c r="AG31" s="251">
        <v>3.00000000002</v>
      </c>
      <c r="AH31" s="251">
        <v>4.00000000003</v>
      </c>
      <c r="AI31" s="251">
        <v>4.00000000004</v>
      </c>
      <c r="AJ31" s="251">
        <v>5.0000000000000002E-11</v>
      </c>
      <c r="AK31" s="251">
        <v>4.00000000006</v>
      </c>
      <c r="AL31" s="251">
        <v>3.00000000007</v>
      </c>
      <c r="AM31" s="251">
        <v>3.00000000008</v>
      </c>
      <c r="AN31" s="251">
        <f t="shared" si="6"/>
        <v>21.000000000069999</v>
      </c>
      <c r="AO31" s="251">
        <f t="shared" si="7"/>
        <v>30.0000000002</v>
      </c>
      <c r="AP31" s="251">
        <f t="shared" si="8"/>
        <v>40.000000000299998</v>
      </c>
      <c r="AQ31" s="251">
        <f t="shared" si="9"/>
        <v>28.00000000028</v>
      </c>
      <c r="AR31" s="251">
        <f t="shared" si="10"/>
        <v>5.0000000000000003E-10</v>
      </c>
      <c r="AS31" s="251">
        <f t="shared" si="11"/>
        <v>40.000000000599996</v>
      </c>
      <c r="AT31" s="251">
        <f t="shared" si="12"/>
        <v>30.000000000699998</v>
      </c>
      <c r="AU31" s="251">
        <f t="shared" si="13"/>
        <v>30.0000000008</v>
      </c>
      <c r="AV31" s="344" t="b">
        <f>IF(AN31&gt;LARGE($AN31:$AU31,6),TRUE)</f>
        <v>0</v>
      </c>
      <c r="AW31" s="344" t="b">
        <f t="shared" si="15"/>
        <v>1</v>
      </c>
      <c r="AX31" s="344" t="b">
        <f t="shared" si="16"/>
        <v>1</v>
      </c>
      <c r="AY31" s="344" t="b">
        <f t="shared" si="17"/>
        <v>0</v>
      </c>
      <c r="AZ31" s="344" t="b">
        <f t="shared" si="18"/>
        <v>0</v>
      </c>
      <c r="BA31" s="344" t="b">
        <f t="shared" si="19"/>
        <v>1</v>
      </c>
      <c r="BB31" s="344" t="b">
        <f t="shared" si="20"/>
        <v>1</v>
      </c>
      <c r="BC31" s="344" t="b">
        <f t="shared" si="21"/>
        <v>1</v>
      </c>
      <c r="BD31" s="251">
        <v>7</v>
      </c>
      <c r="BE31" s="251">
        <v>10</v>
      </c>
      <c r="BF31" s="251">
        <v>10</v>
      </c>
      <c r="BG31" s="251">
        <v>7</v>
      </c>
      <c r="BH31" s="251">
        <v>10</v>
      </c>
      <c r="BI31" s="251">
        <v>10</v>
      </c>
      <c r="BJ31" s="251">
        <v>10</v>
      </c>
      <c r="BK31" s="251">
        <v>10</v>
      </c>
      <c r="BL31" s="251">
        <v>3.00000000001</v>
      </c>
      <c r="BM31" s="251">
        <v>3.00000000002</v>
      </c>
      <c r="BN31" s="251">
        <v>4.00000000003</v>
      </c>
      <c r="BO31" s="251">
        <v>4.00000000004</v>
      </c>
      <c r="BP31" s="251">
        <v>2.00000000005</v>
      </c>
      <c r="BQ31" s="251">
        <v>4.00000000006</v>
      </c>
      <c r="BR31" s="251">
        <v>4.00000000007</v>
      </c>
      <c r="BS31" s="251">
        <v>7.9999999999999995E-11</v>
      </c>
      <c r="BT31" s="251">
        <f t="shared" si="22"/>
        <v>21.000000000069999</v>
      </c>
      <c r="BU31" s="251">
        <f t="shared" si="23"/>
        <v>30.0000000002</v>
      </c>
      <c r="BV31" s="251">
        <f t="shared" si="24"/>
        <v>40.000000000299998</v>
      </c>
      <c r="BW31" s="251">
        <f t="shared" si="25"/>
        <v>28.00000000028</v>
      </c>
      <c r="BX31" s="251">
        <f t="shared" si="26"/>
        <v>20.000000000500002</v>
      </c>
      <c r="BY31" s="251">
        <f t="shared" si="27"/>
        <v>40.000000000599996</v>
      </c>
      <c r="BZ31" s="251">
        <f t="shared" si="28"/>
        <v>40.000000000699998</v>
      </c>
      <c r="CA31" s="251">
        <f t="shared" si="29"/>
        <v>7.9999999999999993E-10</v>
      </c>
      <c r="CB31" s="344" t="b">
        <f t="shared" ref="CB31" si="38">IF(BT31&gt;LARGE($BT31:$CA31,6),TRUE)</f>
        <v>0</v>
      </c>
      <c r="CC31" s="344" t="b">
        <f t="shared" ref="CC31" si="39">IF(BU31&gt;LARGE($BT31:$CA31,6),TRUE)</f>
        <v>1</v>
      </c>
      <c r="CD31" s="344" t="b">
        <f t="shared" ref="CD31" si="40">IF(BV31&gt;LARGE($BT31:$CA31,6),TRUE)</f>
        <v>1</v>
      </c>
      <c r="CE31" s="344" t="b">
        <f t="shared" ref="CE31" si="41">IF(BW31&gt;LARGE($BT31:$CA31,6),TRUE)</f>
        <v>1</v>
      </c>
      <c r="CF31" s="344" t="b">
        <f t="shared" ref="CF31" si="42">IF(BX31&gt;LARGE($BT31:$CA31,6),TRUE)</f>
        <v>0</v>
      </c>
      <c r="CG31" s="344" t="b">
        <f t="shared" ref="CG31" si="43">IF(BY31&gt;LARGE($BT31:$CA31,6),TRUE)</f>
        <v>1</v>
      </c>
      <c r="CH31" s="344" t="b">
        <f t="shared" ref="CH31" si="44">IF(BZ31&gt;LARGE($BT31:$CA31,6),TRUE)</f>
        <v>1</v>
      </c>
      <c r="CI31" s="344" t="b">
        <f t="shared" ref="CI31" si="45">IF(CA31&gt;LARGE($BT31:$CA31,6),TRUE)</f>
        <v>0</v>
      </c>
    </row>
    <row r="32" spans="1:87" x14ac:dyDescent="0.3">
      <c r="A32" s="251" t="s">
        <v>536</v>
      </c>
      <c r="B32" s="251" t="s">
        <v>2374</v>
      </c>
      <c r="C32" s="251" t="s">
        <v>539</v>
      </c>
      <c r="D32" s="282" t="s">
        <v>537</v>
      </c>
      <c r="E32" s="254" t="s">
        <v>3013</v>
      </c>
      <c r="F32" s="251">
        <v>41</v>
      </c>
      <c r="G32" s="282"/>
      <c r="H32" s="282"/>
      <c r="I32" s="251" t="s">
        <v>3014</v>
      </c>
      <c r="J32" s="251" t="s">
        <v>3015</v>
      </c>
      <c r="K32" s="251" t="s">
        <v>2999</v>
      </c>
      <c r="L32" s="282"/>
      <c r="M32" s="251" t="s">
        <v>705</v>
      </c>
      <c r="N32" s="251" t="s">
        <v>707</v>
      </c>
      <c r="O32" s="254" t="s">
        <v>3013</v>
      </c>
      <c r="P32" s="251" t="s">
        <v>3014</v>
      </c>
      <c r="Q32" s="251" t="s">
        <v>3015</v>
      </c>
      <c r="R32" s="251" t="s">
        <v>2999</v>
      </c>
      <c r="S32" s="282"/>
      <c r="T32" s="251">
        <v>21.2</v>
      </c>
      <c r="U32" s="251">
        <v>21.2</v>
      </c>
      <c r="V32" s="251">
        <f t="shared" si="4"/>
        <v>149.00000000109</v>
      </c>
      <c r="W32" s="251">
        <f t="shared" si="5"/>
        <v>166.50000000109</v>
      </c>
      <c r="X32" s="251">
        <v>10</v>
      </c>
      <c r="Y32" s="251">
        <v>10</v>
      </c>
      <c r="Z32" s="251">
        <v>7</v>
      </c>
      <c r="AA32" s="251">
        <v>7</v>
      </c>
      <c r="AB32" s="251">
        <v>5</v>
      </c>
      <c r="AC32" s="251">
        <v>5</v>
      </c>
      <c r="AD32" s="251">
        <v>5</v>
      </c>
      <c r="AE32" s="251">
        <v>5</v>
      </c>
      <c r="AF32" s="251">
        <v>4.00000000001</v>
      </c>
      <c r="AG32" s="251">
        <v>4.00000000002</v>
      </c>
      <c r="AH32" s="251">
        <v>4.00000000003</v>
      </c>
      <c r="AI32" s="251">
        <v>3.00000000004</v>
      </c>
      <c r="AJ32" s="251">
        <v>4.00000000005</v>
      </c>
      <c r="AK32" s="251">
        <v>4.00000000006</v>
      </c>
      <c r="AL32" s="251">
        <v>3.00000000007</v>
      </c>
      <c r="AM32" s="251">
        <v>7.9999999999999995E-11</v>
      </c>
      <c r="AN32" s="251">
        <f t="shared" si="6"/>
        <v>40.000000000100002</v>
      </c>
      <c r="AO32" s="251">
        <f t="shared" si="7"/>
        <v>40.000000000200004</v>
      </c>
      <c r="AP32" s="251">
        <f t="shared" si="8"/>
        <v>28.000000000210001</v>
      </c>
      <c r="AQ32" s="251">
        <f t="shared" si="9"/>
        <v>21.00000000028</v>
      </c>
      <c r="AR32" s="251">
        <f t="shared" si="10"/>
        <v>20.000000000250001</v>
      </c>
      <c r="AS32" s="251">
        <f t="shared" si="11"/>
        <v>20.000000000299998</v>
      </c>
      <c r="AT32" s="251">
        <f t="shared" si="12"/>
        <v>15.000000000349999</v>
      </c>
      <c r="AU32" s="251">
        <f t="shared" si="13"/>
        <v>3.9999999999999996E-10</v>
      </c>
      <c r="AV32" s="251" t="b">
        <f>TRUE</f>
        <v>1</v>
      </c>
      <c r="AW32" s="251" t="b">
        <f>TRUE</f>
        <v>1</v>
      </c>
      <c r="AX32" s="251" t="b">
        <f>IF(AP32&gt;LARGE($AP32:$AU32,4),TRUE)</f>
        <v>1</v>
      </c>
      <c r="AY32" s="344" t="b">
        <f t="shared" ref="AY32:BC32" si="46">IF(AQ32&gt;LARGE($AP32:$AU32,4),TRUE)</f>
        <v>1</v>
      </c>
      <c r="AZ32" s="344" t="b">
        <f t="shared" si="46"/>
        <v>0</v>
      </c>
      <c r="BA32" s="344" t="b">
        <f t="shared" si="46"/>
        <v>1</v>
      </c>
      <c r="BB32" s="344" t="b">
        <f t="shared" si="46"/>
        <v>0</v>
      </c>
      <c r="BC32" s="344" t="b">
        <f t="shared" si="46"/>
        <v>0</v>
      </c>
      <c r="BD32" s="251">
        <v>10</v>
      </c>
      <c r="BE32" s="251">
        <v>10</v>
      </c>
      <c r="BF32" s="251">
        <v>7</v>
      </c>
      <c r="BG32" s="251">
        <v>7</v>
      </c>
      <c r="BH32" s="251">
        <v>5</v>
      </c>
      <c r="BI32" s="251">
        <v>5</v>
      </c>
      <c r="BJ32" s="251">
        <v>5</v>
      </c>
      <c r="BK32" s="251">
        <v>5</v>
      </c>
      <c r="BL32" s="251">
        <v>4.00000000001</v>
      </c>
      <c r="BM32" s="251">
        <v>4.00000000002</v>
      </c>
      <c r="BN32" s="251">
        <v>4.00000000003</v>
      </c>
      <c r="BO32" s="251">
        <v>5.50000000004</v>
      </c>
      <c r="BP32" s="251">
        <v>5.0000000000000002E-11</v>
      </c>
      <c r="BQ32" s="251">
        <v>4.00000000006</v>
      </c>
      <c r="BR32" s="251">
        <v>3.00000000007</v>
      </c>
      <c r="BS32" s="251">
        <v>7.9999999999999995E-11</v>
      </c>
      <c r="BT32" s="251">
        <f t="shared" si="22"/>
        <v>40.000000000100002</v>
      </c>
      <c r="BU32" s="251">
        <f t="shared" si="23"/>
        <v>40.000000000200004</v>
      </c>
      <c r="BV32" s="251">
        <f t="shared" si="24"/>
        <v>28.000000000210001</v>
      </c>
      <c r="BW32" s="251">
        <f t="shared" si="25"/>
        <v>38.500000000279996</v>
      </c>
      <c r="BX32" s="251">
        <f t="shared" si="26"/>
        <v>2.5000000000000002E-10</v>
      </c>
      <c r="BY32" s="251">
        <f t="shared" si="27"/>
        <v>20.000000000299998</v>
      </c>
      <c r="BZ32" s="251">
        <f t="shared" si="28"/>
        <v>15.000000000349999</v>
      </c>
      <c r="CA32" s="251">
        <f t="shared" si="29"/>
        <v>3.9999999999999996E-10</v>
      </c>
      <c r="CB32" s="344" t="b">
        <f>TRUE</f>
        <v>1</v>
      </c>
      <c r="CC32" s="344" t="b">
        <f>TRUE</f>
        <v>1</v>
      </c>
      <c r="CD32" s="344" t="b">
        <f t="shared" ref="CD32" si="47">IF(BV32&gt;LARGE($BV32:$CA32,4),TRUE)</f>
        <v>1</v>
      </c>
      <c r="CE32" s="344" t="b">
        <f t="shared" ref="CE32" si="48">IF(BW32&gt;LARGE($BV32:$CA32,4),TRUE)</f>
        <v>1</v>
      </c>
      <c r="CF32" s="344" t="b">
        <f>IF(BX32&gt;LARGE($BV32:$CA32,4),TRUE)</f>
        <v>0</v>
      </c>
      <c r="CG32" s="344" t="b">
        <f t="shared" ref="CG32:CI32" si="49">IF(BY32&gt;LARGE($BV32:$CA32,4),TRUE)</f>
        <v>1</v>
      </c>
      <c r="CH32" s="344" t="b">
        <f t="shared" si="49"/>
        <v>0</v>
      </c>
      <c r="CI32" s="344" t="b">
        <f t="shared" si="49"/>
        <v>0</v>
      </c>
    </row>
    <row r="33" spans="1:87" s="266" customFormat="1" x14ac:dyDescent="0.3">
      <c r="A33" s="266" t="s">
        <v>540</v>
      </c>
      <c r="B33" s="266" t="s">
        <v>2374</v>
      </c>
      <c r="C33" s="266" t="s">
        <v>543</v>
      </c>
      <c r="D33" s="307" t="s">
        <v>541</v>
      </c>
      <c r="E33" s="234" t="s">
        <v>3013</v>
      </c>
      <c r="F33" s="266">
        <v>37</v>
      </c>
      <c r="G33" s="307"/>
      <c r="H33" s="307"/>
      <c r="I33" s="266" t="s">
        <v>3014</v>
      </c>
      <c r="J33" s="266" t="s">
        <v>3015</v>
      </c>
      <c r="K33" s="266" t="s">
        <v>2999</v>
      </c>
      <c r="L33" s="307"/>
      <c r="M33" s="266" t="s">
        <v>712</v>
      </c>
      <c r="N33" s="266" t="s">
        <v>714</v>
      </c>
      <c r="O33" s="234" t="s">
        <v>3013</v>
      </c>
      <c r="P33" s="266" t="s">
        <v>3014</v>
      </c>
      <c r="Q33" s="266" t="s">
        <v>3015</v>
      </c>
      <c r="R33" s="266" t="s">
        <v>2999</v>
      </c>
      <c r="S33" s="307"/>
      <c r="T33" s="266">
        <v>20.100000000000001</v>
      </c>
      <c r="U33" s="266">
        <v>20.100000000000001</v>
      </c>
      <c r="V33" s="266">
        <f>SUMIF(AV33:BC33,TRUE,AN33:AU33)</f>
        <v>149.00000000109</v>
      </c>
      <c r="W33" s="266">
        <f t="shared" si="5"/>
        <v>139.50000000109</v>
      </c>
      <c r="X33" s="266">
        <v>10</v>
      </c>
      <c r="Y33" s="266">
        <v>10</v>
      </c>
      <c r="Z33" s="266">
        <v>7</v>
      </c>
      <c r="AA33" s="266">
        <v>7</v>
      </c>
      <c r="AB33" s="266">
        <v>5</v>
      </c>
      <c r="AC33" s="266">
        <v>5</v>
      </c>
      <c r="AD33" s="266">
        <v>5</v>
      </c>
      <c r="AE33" s="266">
        <v>5</v>
      </c>
      <c r="AF33" s="266">
        <v>4.00000000001</v>
      </c>
      <c r="AG33" s="266">
        <v>4.00000000002</v>
      </c>
      <c r="AH33" s="266">
        <v>4.00000000003</v>
      </c>
      <c r="AI33" s="266">
        <v>3.00000000004</v>
      </c>
      <c r="AJ33" s="266">
        <v>5.0000000000000002E-11</v>
      </c>
      <c r="AK33" s="266">
        <v>4.00000000006</v>
      </c>
      <c r="AL33" s="266">
        <v>3.00000000007</v>
      </c>
      <c r="AM33" s="266">
        <v>7.9999999999999995E-11</v>
      </c>
      <c r="AN33" s="266">
        <f t="shared" si="6"/>
        <v>40.000000000100002</v>
      </c>
      <c r="AO33" s="266">
        <f t="shared" si="7"/>
        <v>40.000000000200004</v>
      </c>
      <c r="AP33" s="266">
        <f t="shared" si="8"/>
        <v>28.000000000210001</v>
      </c>
      <c r="AQ33" s="266">
        <f t="shared" si="9"/>
        <v>21.00000000028</v>
      </c>
      <c r="AR33" s="266">
        <f t="shared" si="10"/>
        <v>2.5000000000000002E-10</v>
      </c>
      <c r="AS33" s="266">
        <f t="shared" si="11"/>
        <v>20.000000000299998</v>
      </c>
      <c r="AT33" s="266">
        <f t="shared" si="12"/>
        <v>15.000000000349999</v>
      </c>
      <c r="AU33" s="266">
        <f t="shared" si="13"/>
        <v>3.9999999999999996E-10</v>
      </c>
      <c r="AV33" s="266" t="b">
        <f>TRUE</f>
        <v>1</v>
      </c>
      <c r="AW33" s="266" t="b">
        <f>TRUE</f>
        <v>1</v>
      </c>
      <c r="AX33" s="344" t="b">
        <f>IF(AP33&gt;LARGE($AP33:$AU33,4),TRUE)</f>
        <v>1</v>
      </c>
      <c r="AY33" s="344" t="b">
        <f t="shared" ref="AY33" si="50">IF(AQ33&gt;LARGE($AP33:$AU33,4),TRUE)</f>
        <v>1</v>
      </c>
      <c r="AZ33" s="344" t="b">
        <f t="shared" ref="AZ33" si="51">IF(AR33&gt;LARGE($AP33:$AU33,4),TRUE)</f>
        <v>0</v>
      </c>
      <c r="BA33" s="344" t="b">
        <f t="shared" ref="BA33" si="52">IF(AS33&gt;LARGE($AP33:$AU33,4),TRUE)</f>
        <v>1</v>
      </c>
      <c r="BB33" s="344" t="b">
        <f t="shared" ref="BB33" si="53">IF(AT33&gt;LARGE($AP33:$AU33,4),TRUE)</f>
        <v>0</v>
      </c>
      <c r="BC33" s="344" t="b">
        <f t="shared" ref="BC33" si="54">IF(AU33&gt;LARGE($AP33:$AU33,4),TRUE)</f>
        <v>0</v>
      </c>
      <c r="BD33" s="266">
        <v>10</v>
      </c>
      <c r="BE33" s="266">
        <v>10</v>
      </c>
      <c r="BF33" s="266">
        <v>7</v>
      </c>
      <c r="BG33" s="266">
        <v>7</v>
      </c>
      <c r="BH33" s="266">
        <v>5</v>
      </c>
      <c r="BI33" s="266">
        <v>5</v>
      </c>
      <c r="BJ33" s="266">
        <v>5</v>
      </c>
      <c r="BK33" s="266">
        <v>5</v>
      </c>
      <c r="BL33" s="266">
        <v>3.00000000001</v>
      </c>
      <c r="BM33" s="266">
        <v>4.00000000002</v>
      </c>
      <c r="BN33" s="266">
        <v>3.00000000003</v>
      </c>
      <c r="BO33" s="266">
        <v>3.00000000004</v>
      </c>
      <c r="BP33" s="266">
        <v>5.0000000000000002E-11</v>
      </c>
      <c r="BQ33" s="266">
        <v>5.50000000006</v>
      </c>
      <c r="BR33" s="266">
        <v>4.00000000007</v>
      </c>
      <c r="BS33" s="266">
        <v>7.9999999999999995E-11</v>
      </c>
      <c r="BT33" s="266">
        <f t="shared" si="22"/>
        <v>30.000000000100002</v>
      </c>
      <c r="BU33" s="266">
        <f t="shared" si="23"/>
        <v>40.000000000200004</v>
      </c>
      <c r="BV33" s="266">
        <f t="shared" si="24"/>
        <v>21.000000000210001</v>
      </c>
      <c r="BW33" s="266">
        <f t="shared" si="25"/>
        <v>21.00000000028</v>
      </c>
      <c r="BX33" s="266">
        <f t="shared" si="26"/>
        <v>2.5000000000000002E-10</v>
      </c>
      <c r="BY33" s="266">
        <f t="shared" si="27"/>
        <v>27.500000000299998</v>
      </c>
      <c r="BZ33" s="266">
        <f t="shared" si="28"/>
        <v>20.000000000349999</v>
      </c>
      <c r="CA33" s="266">
        <f t="shared" si="29"/>
        <v>3.9999999999999996E-10</v>
      </c>
      <c r="CB33" s="371" t="b">
        <f>TRUE</f>
        <v>1</v>
      </c>
      <c r="CC33" s="371" t="b">
        <f>TRUE</f>
        <v>1</v>
      </c>
      <c r="CD33" s="344" t="b">
        <f t="shared" ref="CD33" si="55">IF(BV33&gt;LARGE($BV33:$CA33,4),TRUE)</f>
        <v>1</v>
      </c>
      <c r="CE33" s="344" t="b">
        <f t="shared" ref="CE33" si="56">IF(BW33&gt;LARGE($BV33:$CA33,4),TRUE)</f>
        <v>1</v>
      </c>
      <c r="CF33" s="344" t="b">
        <f>IF(BX33&gt;LARGE($BV33:$CA33,4),TRUE)</f>
        <v>0</v>
      </c>
      <c r="CG33" s="344" t="b">
        <f t="shared" ref="CG33" si="57">IF(BY33&gt;LARGE($BV33:$CA33,4),TRUE)</f>
        <v>1</v>
      </c>
      <c r="CH33" s="344" t="b">
        <f t="shared" ref="CH33" si="58">IF(BZ33&gt;LARGE($BV33:$CA33,4),TRUE)</f>
        <v>0</v>
      </c>
      <c r="CI33" s="344" t="b">
        <f t="shared" ref="CI33" si="59">IF(CA33&gt;LARGE($BV33:$CA33,4),TRUE)</f>
        <v>0</v>
      </c>
    </row>
    <row r="34" spans="1:87" x14ac:dyDescent="0.3">
      <c r="A34" s="251" t="s">
        <v>552</v>
      </c>
      <c r="B34" s="251" t="s">
        <v>2375</v>
      </c>
      <c r="C34" s="251" t="s">
        <v>555</v>
      </c>
      <c r="D34" s="282" t="s">
        <v>553</v>
      </c>
      <c r="E34" s="254" t="s">
        <v>2171</v>
      </c>
      <c r="F34" s="251">
        <v>84</v>
      </c>
      <c r="G34" s="282"/>
      <c r="H34" s="282"/>
      <c r="I34" s="251" t="s">
        <v>3002</v>
      </c>
      <c r="J34" s="251" t="s">
        <v>3003</v>
      </c>
      <c r="K34" s="251" t="s">
        <v>2999</v>
      </c>
      <c r="L34" s="282"/>
      <c r="M34" s="251" t="s">
        <v>708</v>
      </c>
      <c r="N34" s="251" t="s">
        <v>711</v>
      </c>
      <c r="O34" s="254" t="s">
        <v>1977</v>
      </c>
      <c r="P34" s="251" t="s">
        <v>3002</v>
      </c>
      <c r="Q34" s="251" t="s">
        <v>3003</v>
      </c>
      <c r="R34" s="251" t="s">
        <v>2999</v>
      </c>
      <c r="S34" s="282"/>
      <c r="T34" s="251">
        <v>21.5</v>
      </c>
      <c r="U34" s="251">
        <v>21.1</v>
      </c>
      <c r="V34" s="251">
        <f t="shared" si="4"/>
        <v>140.50000000106002</v>
      </c>
      <c r="W34" s="251">
        <f t="shared" si="5"/>
        <v>147.50000000106002</v>
      </c>
      <c r="X34" s="251">
        <v>7</v>
      </c>
      <c r="Y34" s="251">
        <v>10</v>
      </c>
      <c r="Z34" s="251">
        <v>7</v>
      </c>
      <c r="AA34" s="251">
        <v>7</v>
      </c>
      <c r="AB34" s="251">
        <v>5</v>
      </c>
      <c r="AC34" s="251">
        <v>5</v>
      </c>
      <c r="AD34" s="251">
        <v>5</v>
      </c>
      <c r="AE34" s="251">
        <v>5</v>
      </c>
      <c r="AF34" s="251">
        <v>5.50000000001</v>
      </c>
      <c r="AG34" s="251">
        <v>4.00000000002</v>
      </c>
      <c r="AH34" s="251">
        <v>3.00000000003</v>
      </c>
      <c r="AI34" s="251">
        <v>3.00000000004</v>
      </c>
      <c r="AJ34" s="251">
        <v>5.0000000000000002E-11</v>
      </c>
      <c r="AK34" s="251">
        <v>4.00000000006</v>
      </c>
      <c r="AL34" s="251">
        <v>3.00000000007</v>
      </c>
      <c r="AM34" s="251">
        <v>7.9999999999999995E-11</v>
      </c>
      <c r="AN34" s="251">
        <f t="shared" si="6"/>
        <v>38.500000000070003</v>
      </c>
      <c r="AO34" s="251">
        <f t="shared" si="7"/>
        <v>40.000000000200004</v>
      </c>
      <c r="AP34" s="251">
        <f t="shared" si="8"/>
        <v>21.000000000210001</v>
      </c>
      <c r="AQ34" s="251">
        <f t="shared" si="9"/>
        <v>21.00000000028</v>
      </c>
      <c r="AR34" s="251">
        <f t="shared" si="10"/>
        <v>2.5000000000000002E-10</v>
      </c>
      <c r="AS34" s="251">
        <f t="shared" si="11"/>
        <v>20.000000000299998</v>
      </c>
      <c r="AT34" s="251">
        <f t="shared" si="12"/>
        <v>15.000000000349999</v>
      </c>
      <c r="AU34" s="251">
        <f t="shared" si="13"/>
        <v>3.9999999999999996E-10</v>
      </c>
      <c r="AV34" s="251" t="b">
        <f>IF(AN34&gt;LARGE($AN34:$AU34,6),TRUE)</f>
        <v>1</v>
      </c>
      <c r="AW34" s="344" t="b">
        <f t="shared" ref="AW34:BC34" si="60">IF(AO34&gt;LARGE($AN34:$AU34,6),TRUE)</f>
        <v>1</v>
      </c>
      <c r="AX34" s="344" t="b">
        <f t="shared" si="60"/>
        <v>1</v>
      </c>
      <c r="AY34" s="344" t="b">
        <f t="shared" si="60"/>
        <v>1</v>
      </c>
      <c r="AZ34" s="344" t="b">
        <f t="shared" si="60"/>
        <v>0</v>
      </c>
      <c r="BA34" s="344" t="b">
        <f t="shared" si="60"/>
        <v>1</v>
      </c>
      <c r="BB34" s="344" t="b">
        <f t="shared" si="60"/>
        <v>0</v>
      </c>
      <c r="BC34" s="344" t="b">
        <f t="shared" si="60"/>
        <v>0</v>
      </c>
      <c r="BD34" s="251">
        <v>7</v>
      </c>
      <c r="BE34" s="251">
        <v>10</v>
      </c>
      <c r="BF34" s="251">
        <v>7</v>
      </c>
      <c r="BG34" s="251">
        <v>7</v>
      </c>
      <c r="BH34" s="251">
        <v>5</v>
      </c>
      <c r="BI34" s="251">
        <v>5</v>
      </c>
      <c r="BJ34" s="251">
        <v>5</v>
      </c>
      <c r="BK34" s="251">
        <v>5</v>
      </c>
      <c r="BL34" s="251">
        <v>5.50000000001</v>
      </c>
      <c r="BM34" s="251">
        <v>4.00000000002</v>
      </c>
      <c r="BN34" s="251">
        <v>4.00000000003</v>
      </c>
      <c r="BO34" s="251">
        <v>3.00000000004</v>
      </c>
      <c r="BP34" s="251">
        <v>5.0000000000000002E-11</v>
      </c>
      <c r="BQ34" s="251">
        <v>4.00000000006</v>
      </c>
      <c r="BR34" s="251">
        <v>3.00000000007</v>
      </c>
      <c r="BS34" s="251">
        <v>7.9999999999999995E-11</v>
      </c>
      <c r="BT34" s="251">
        <f t="shared" si="22"/>
        <v>38.500000000070003</v>
      </c>
      <c r="BU34" s="251">
        <f t="shared" si="23"/>
        <v>40.000000000200004</v>
      </c>
      <c r="BV34" s="251">
        <f t="shared" si="24"/>
        <v>28.000000000210001</v>
      </c>
      <c r="BW34" s="251">
        <f t="shared" si="25"/>
        <v>21.00000000028</v>
      </c>
      <c r="BX34" s="251">
        <f t="shared" si="26"/>
        <v>2.5000000000000002E-10</v>
      </c>
      <c r="BY34" s="251">
        <f t="shared" si="27"/>
        <v>20.000000000299998</v>
      </c>
      <c r="BZ34" s="251">
        <f t="shared" si="28"/>
        <v>15.000000000349999</v>
      </c>
      <c r="CA34" s="251">
        <f t="shared" si="29"/>
        <v>3.9999999999999996E-10</v>
      </c>
      <c r="CB34" s="344" t="b">
        <f t="shared" ref="CB34:CB37" si="61">IF(BT34&gt;LARGE($BT34:$CA34,6),TRUE)</f>
        <v>1</v>
      </c>
      <c r="CC34" s="344" t="b">
        <f t="shared" ref="CC34:CC37" si="62">IF(BU34&gt;LARGE($BT34:$CA34,6),TRUE)</f>
        <v>1</v>
      </c>
      <c r="CD34" s="344" t="b">
        <f t="shared" ref="CD34:CD37" si="63">IF(BV34&gt;LARGE($BT34:$CA34,6),TRUE)</f>
        <v>1</v>
      </c>
      <c r="CE34" s="344" t="b">
        <f t="shared" ref="CE34:CE37" si="64">IF(BW34&gt;LARGE($BT34:$CA34,6),TRUE)</f>
        <v>1</v>
      </c>
      <c r="CF34" s="344" t="b">
        <f t="shared" ref="CF34:CF37" si="65">IF(BX34&gt;LARGE($BT34:$CA34,6),TRUE)</f>
        <v>0</v>
      </c>
      <c r="CG34" s="344" t="b">
        <f t="shared" ref="CG34:CG37" si="66">IF(BY34&gt;LARGE($BT34:$CA34,6),TRUE)</f>
        <v>1</v>
      </c>
      <c r="CH34" s="344" t="b">
        <f t="shared" ref="CH34:CH37" si="67">IF(BZ34&gt;LARGE($BT34:$CA34,6),TRUE)</f>
        <v>0</v>
      </c>
      <c r="CI34" s="344" t="b">
        <f t="shared" ref="CI34:CI37" si="68">IF(CA34&gt;LARGE($BT34:$CA34,6),TRUE)</f>
        <v>0</v>
      </c>
    </row>
    <row r="35" spans="1:87" x14ac:dyDescent="0.3">
      <c r="A35" s="251" t="str">
        <f>_xlfn.CONCAT(A34,"-2")</f>
        <v>JS3310-2</v>
      </c>
      <c r="D35" s="282"/>
      <c r="G35" s="282"/>
      <c r="H35" s="282"/>
      <c r="I35" s="282"/>
      <c r="J35" s="282"/>
      <c r="K35" s="282"/>
      <c r="L35" s="282"/>
      <c r="M35" s="251" t="s">
        <v>726</v>
      </c>
      <c r="N35" s="251" t="s">
        <v>729</v>
      </c>
      <c r="O35" s="254" t="s">
        <v>1977</v>
      </c>
      <c r="P35" s="251" t="s">
        <v>3002</v>
      </c>
      <c r="Q35" s="251" t="s">
        <v>3003</v>
      </c>
      <c r="R35" s="251" t="s">
        <v>2999</v>
      </c>
      <c r="S35" s="282"/>
      <c r="U35" s="251">
        <v>21.8</v>
      </c>
      <c r="V35" s="251">
        <f t="shared" si="4"/>
        <v>144.50000000106002</v>
      </c>
      <c r="W35" s="251">
        <f t="shared" si="5"/>
        <v>147.50000000111001</v>
      </c>
      <c r="X35" s="251">
        <v>7</v>
      </c>
      <c r="Y35" s="251">
        <v>10</v>
      </c>
      <c r="Z35" s="251">
        <v>7</v>
      </c>
      <c r="AA35" s="251">
        <v>7</v>
      </c>
      <c r="AB35" s="251">
        <v>5</v>
      </c>
      <c r="AC35" s="251">
        <v>5</v>
      </c>
      <c r="AD35" s="251">
        <v>5</v>
      </c>
      <c r="AE35" s="251">
        <v>5</v>
      </c>
      <c r="AF35" s="251">
        <v>4.00000000001</v>
      </c>
      <c r="AG35" s="251">
        <v>4.00000000002</v>
      </c>
      <c r="AH35" s="251">
        <v>4.00000000003</v>
      </c>
      <c r="AI35" s="251">
        <v>3.00000000004</v>
      </c>
      <c r="AJ35" s="251">
        <v>5.0000000000000002E-11</v>
      </c>
      <c r="AK35" s="251">
        <v>5.50000000006</v>
      </c>
      <c r="AL35" s="251">
        <v>3.00000000007</v>
      </c>
      <c r="AM35" s="251">
        <v>7.9999999999999995E-11</v>
      </c>
      <c r="AN35" s="251">
        <f t="shared" si="6"/>
        <v>28.000000000069999</v>
      </c>
      <c r="AO35" s="251">
        <f t="shared" si="7"/>
        <v>40.000000000200004</v>
      </c>
      <c r="AP35" s="251">
        <f t="shared" si="8"/>
        <v>28.000000000210001</v>
      </c>
      <c r="AQ35" s="251">
        <f t="shared" si="9"/>
        <v>21.00000000028</v>
      </c>
      <c r="AR35" s="251">
        <f t="shared" si="10"/>
        <v>2.5000000000000002E-10</v>
      </c>
      <c r="AS35" s="251">
        <f t="shared" si="11"/>
        <v>27.500000000299998</v>
      </c>
      <c r="AT35" s="251">
        <f t="shared" si="12"/>
        <v>15.000000000349999</v>
      </c>
      <c r="AU35" s="251">
        <f t="shared" si="13"/>
        <v>3.9999999999999996E-10</v>
      </c>
      <c r="AV35" s="344" t="b">
        <f t="shared" ref="AV35:AV37" si="69">IF(AN35&gt;LARGE($AN35:$AU35,6),TRUE)</f>
        <v>1</v>
      </c>
      <c r="AW35" s="344" t="b">
        <f t="shared" ref="AW35:AW37" si="70">IF(AO35&gt;LARGE($AN35:$AU35,6),TRUE)</f>
        <v>1</v>
      </c>
      <c r="AX35" s="344" t="b">
        <f t="shared" ref="AX35:AX37" si="71">IF(AP35&gt;LARGE($AN35:$AU35,6),TRUE)</f>
        <v>1</v>
      </c>
      <c r="AY35" s="344" t="b">
        <f t="shared" ref="AY35:AY37" si="72">IF(AQ35&gt;LARGE($AN35:$AU35,6),TRUE)</f>
        <v>1</v>
      </c>
      <c r="AZ35" s="344" t="b">
        <f t="shared" ref="AZ35:AZ37" si="73">IF(AR35&gt;LARGE($AN35:$AU35,6),TRUE)</f>
        <v>0</v>
      </c>
      <c r="BA35" s="344" t="b">
        <f t="shared" ref="BA35:BA37" si="74">IF(AS35&gt;LARGE($AN35:$AU35,6),TRUE)</f>
        <v>1</v>
      </c>
      <c r="BB35" s="344" t="b">
        <f t="shared" ref="BB35:BB37" si="75">IF(AT35&gt;LARGE($AN35:$AU35,6),TRUE)</f>
        <v>0</v>
      </c>
      <c r="BC35" s="344" t="b">
        <f t="shared" ref="BC35:BC37" si="76">IF(AU35&gt;LARGE($AN35:$AU35,6),TRUE)</f>
        <v>0</v>
      </c>
      <c r="BD35" s="251">
        <v>7</v>
      </c>
      <c r="BE35" s="251">
        <v>10</v>
      </c>
      <c r="BF35" s="251">
        <v>7</v>
      </c>
      <c r="BG35" s="251">
        <v>7</v>
      </c>
      <c r="BH35" s="251">
        <v>5</v>
      </c>
      <c r="BI35" s="251">
        <v>5</v>
      </c>
      <c r="BJ35" s="251">
        <v>5</v>
      </c>
      <c r="BK35" s="251">
        <v>5</v>
      </c>
      <c r="BL35" s="251">
        <v>4.00000000001</v>
      </c>
      <c r="BM35" s="251">
        <v>4.00000000002</v>
      </c>
      <c r="BN35" s="251">
        <v>3.00000000003</v>
      </c>
      <c r="BO35" s="251">
        <v>5.50000000004</v>
      </c>
      <c r="BP35" s="251">
        <v>5.0000000000000002E-11</v>
      </c>
      <c r="BQ35" s="251">
        <v>4.00000000006</v>
      </c>
      <c r="BR35" s="251">
        <v>4.00000000007</v>
      </c>
      <c r="BS35" s="251">
        <v>7.9999999999999995E-11</v>
      </c>
      <c r="BT35" s="251">
        <f t="shared" si="22"/>
        <v>28.000000000069999</v>
      </c>
      <c r="BU35" s="251">
        <f t="shared" si="23"/>
        <v>40.000000000200004</v>
      </c>
      <c r="BV35" s="251">
        <f t="shared" si="24"/>
        <v>21.000000000210001</v>
      </c>
      <c r="BW35" s="251">
        <f t="shared" si="25"/>
        <v>38.500000000279996</v>
      </c>
      <c r="BX35" s="251">
        <f t="shared" si="26"/>
        <v>2.5000000000000002E-10</v>
      </c>
      <c r="BY35" s="251">
        <f t="shared" si="27"/>
        <v>20.000000000299998</v>
      </c>
      <c r="BZ35" s="251">
        <f t="shared" si="28"/>
        <v>20.000000000349999</v>
      </c>
      <c r="CA35" s="251">
        <f t="shared" si="29"/>
        <v>3.9999999999999996E-10</v>
      </c>
      <c r="CB35" s="344" t="b">
        <f t="shared" si="61"/>
        <v>1</v>
      </c>
      <c r="CC35" s="344" t="b">
        <f t="shared" si="62"/>
        <v>1</v>
      </c>
      <c r="CD35" s="344" t="b">
        <f t="shared" si="63"/>
        <v>1</v>
      </c>
      <c r="CE35" s="344" t="b">
        <f t="shared" si="64"/>
        <v>1</v>
      </c>
      <c r="CF35" s="344" t="b">
        <f t="shared" si="65"/>
        <v>0</v>
      </c>
      <c r="CG35" s="344" t="b">
        <f t="shared" si="66"/>
        <v>0</v>
      </c>
      <c r="CH35" s="344" t="b">
        <f t="shared" si="67"/>
        <v>1</v>
      </c>
      <c r="CI35" s="344" t="b">
        <f t="shared" si="68"/>
        <v>0</v>
      </c>
    </row>
    <row r="36" spans="1:87" s="279" customFormat="1" x14ac:dyDescent="0.3">
      <c r="A36" s="279" t="s">
        <v>591</v>
      </c>
      <c r="B36" s="279" t="s">
        <v>2990</v>
      </c>
      <c r="C36" s="279" t="s">
        <v>595</v>
      </c>
      <c r="D36" s="308" t="s">
        <v>592</v>
      </c>
      <c r="E36" s="269" t="s">
        <v>2171</v>
      </c>
      <c r="F36" s="279">
        <v>93</v>
      </c>
      <c r="G36" s="308"/>
      <c r="H36" s="308"/>
      <c r="I36" s="279" t="s">
        <v>3016</v>
      </c>
      <c r="J36" s="279" t="s">
        <v>3003</v>
      </c>
      <c r="K36" s="279" t="s">
        <v>2999</v>
      </c>
      <c r="L36" s="308"/>
      <c r="M36" s="279" t="s">
        <v>591</v>
      </c>
      <c r="N36" s="279" t="s">
        <v>594</v>
      </c>
      <c r="O36" s="269" t="s">
        <v>1977</v>
      </c>
      <c r="P36" s="279" t="s">
        <v>3029</v>
      </c>
      <c r="Q36" s="279" t="s">
        <v>3003</v>
      </c>
      <c r="R36" s="279" t="s">
        <v>2999</v>
      </c>
      <c r="S36" s="308"/>
      <c r="T36" s="279">
        <v>20.399999999999999</v>
      </c>
      <c r="U36" s="279">
        <v>20.399999999999999</v>
      </c>
      <c r="V36" s="279">
        <f t="shared" si="4"/>
        <v>166.00000000178002</v>
      </c>
      <c r="W36" s="279">
        <f t="shared" si="5"/>
        <v>176.00000000199</v>
      </c>
      <c r="X36" s="279">
        <v>7</v>
      </c>
      <c r="Y36" s="279">
        <v>10</v>
      </c>
      <c r="Z36" s="279">
        <v>7</v>
      </c>
      <c r="AA36" s="279">
        <v>7</v>
      </c>
      <c r="AB36" s="279">
        <v>5</v>
      </c>
      <c r="AC36" s="279">
        <v>10</v>
      </c>
      <c r="AD36" s="279">
        <v>10</v>
      </c>
      <c r="AE36" s="279">
        <v>10</v>
      </c>
      <c r="AF36" s="279">
        <v>4.00000000001</v>
      </c>
      <c r="AG36" s="279">
        <v>4.00000000002</v>
      </c>
      <c r="AH36" s="279">
        <v>4.00000000003</v>
      </c>
      <c r="AI36" s="279">
        <v>3.00000000004</v>
      </c>
      <c r="AJ36" s="279">
        <v>2.00000000005</v>
      </c>
      <c r="AK36" s="279">
        <v>4.00000000006</v>
      </c>
      <c r="AL36" s="279">
        <v>3.00000000007</v>
      </c>
      <c r="AM36" s="279">
        <v>7.9999999999999995E-11</v>
      </c>
      <c r="AN36" s="279">
        <f t="shared" si="6"/>
        <v>28.000000000069999</v>
      </c>
      <c r="AO36" s="279">
        <f t="shared" si="7"/>
        <v>40.000000000200004</v>
      </c>
      <c r="AP36" s="279">
        <f t="shared" si="8"/>
        <v>28.000000000210001</v>
      </c>
      <c r="AQ36" s="279">
        <f t="shared" si="9"/>
        <v>21.00000000028</v>
      </c>
      <c r="AR36" s="279">
        <f t="shared" si="10"/>
        <v>10.000000000250001</v>
      </c>
      <c r="AS36" s="279">
        <f t="shared" si="11"/>
        <v>40.000000000599996</v>
      </c>
      <c r="AT36" s="279">
        <f t="shared" si="12"/>
        <v>30.000000000699998</v>
      </c>
      <c r="AU36" s="279">
        <f t="shared" si="13"/>
        <v>7.9999999999999993E-10</v>
      </c>
      <c r="AV36" s="344" t="b">
        <f t="shared" si="69"/>
        <v>1</v>
      </c>
      <c r="AW36" s="344" t="b">
        <f t="shared" si="70"/>
        <v>1</v>
      </c>
      <c r="AX36" s="344" t="b">
        <f t="shared" si="71"/>
        <v>1</v>
      </c>
      <c r="AY36" s="344" t="b">
        <f t="shared" si="72"/>
        <v>0</v>
      </c>
      <c r="AZ36" s="344" t="b">
        <f t="shared" si="73"/>
        <v>0</v>
      </c>
      <c r="BA36" s="344" t="b">
        <f t="shared" si="74"/>
        <v>1</v>
      </c>
      <c r="BB36" s="344" t="b">
        <f t="shared" si="75"/>
        <v>1</v>
      </c>
      <c r="BC36" s="344" t="b">
        <f t="shared" si="76"/>
        <v>0</v>
      </c>
      <c r="BD36" s="279">
        <v>7</v>
      </c>
      <c r="BE36" s="279">
        <v>10</v>
      </c>
      <c r="BF36" s="279">
        <v>7</v>
      </c>
      <c r="BG36" s="279">
        <v>7</v>
      </c>
      <c r="BH36" s="279">
        <v>5</v>
      </c>
      <c r="BI36" s="279">
        <v>10</v>
      </c>
      <c r="BJ36" s="279">
        <v>10</v>
      </c>
      <c r="BK36" s="279">
        <v>10</v>
      </c>
      <c r="BL36" s="279">
        <v>4.00000000001</v>
      </c>
      <c r="BM36" s="279">
        <v>4.00000000002</v>
      </c>
      <c r="BN36" s="279">
        <v>4.00000000003</v>
      </c>
      <c r="BO36" s="279">
        <v>4.00000000004</v>
      </c>
      <c r="BP36" s="279">
        <v>5.0000000000000002E-11</v>
      </c>
      <c r="BQ36" s="279">
        <v>4.00000000006</v>
      </c>
      <c r="BR36" s="279">
        <v>4.00000000007</v>
      </c>
      <c r="BS36" s="279">
        <v>7.9999999999999995E-11</v>
      </c>
      <c r="BT36" s="279">
        <f t="shared" si="22"/>
        <v>28.000000000069999</v>
      </c>
      <c r="BU36" s="279">
        <f t="shared" si="23"/>
        <v>40.000000000200004</v>
      </c>
      <c r="BV36" s="279">
        <f t="shared" si="24"/>
        <v>28.000000000210001</v>
      </c>
      <c r="BW36" s="279">
        <f t="shared" si="25"/>
        <v>28.00000000028</v>
      </c>
      <c r="BX36" s="279">
        <f t="shared" si="26"/>
        <v>2.5000000000000002E-10</v>
      </c>
      <c r="BY36" s="279">
        <f t="shared" si="27"/>
        <v>40.000000000599996</v>
      </c>
      <c r="BZ36" s="279">
        <f t="shared" si="28"/>
        <v>40.000000000699998</v>
      </c>
      <c r="CA36" s="279">
        <f t="shared" si="29"/>
        <v>7.9999999999999993E-10</v>
      </c>
      <c r="CB36" s="344" t="b">
        <f t="shared" si="61"/>
        <v>0</v>
      </c>
      <c r="CC36" s="344" t="b">
        <f t="shared" si="62"/>
        <v>1</v>
      </c>
      <c r="CD36" s="344" t="b">
        <f t="shared" si="63"/>
        <v>1</v>
      </c>
      <c r="CE36" s="344" t="b">
        <f t="shared" si="64"/>
        <v>1</v>
      </c>
      <c r="CF36" s="344" t="b">
        <f t="shared" si="65"/>
        <v>0</v>
      </c>
      <c r="CG36" s="344" t="b">
        <f t="shared" si="66"/>
        <v>1</v>
      </c>
      <c r="CH36" s="344" t="b">
        <f t="shared" si="67"/>
        <v>1</v>
      </c>
      <c r="CI36" s="344" t="b">
        <f t="shared" si="68"/>
        <v>0</v>
      </c>
    </row>
    <row r="37" spans="1:87" s="266" customFormat="1" x14ac:dyDescent="0.3">
      <c r="A37" s="266" t="s">
        <v>608</v>
      </c>
      <c r="B37" s="266" t="s">
        <v>2989</v>
      </c>
      <c r="C37" s="266" t="s">
        <v>613</v>
      </c>
      <c r="D37" s="307" t="s">
        <v>609</v>
      </c>
      <c r="E37" s="234" t="s">
        <v>2171</v>
      </c>
      <c r="F37" s="266">
        <v>81</v>
      </c>
      <c r="G37" s="307"/>
      <c r="H37" s="307"/>
      <c r="I37" s="266" t="s">
        <v>3017</v>
      </c>
      <c r="J37" s="266" t="s">
        <v>1978</v>
      </c>
      <c r="K37" s="266" t="s">
        <v>2999</v>
      </c>
      <c r="L37" s="307"/>
      <c r="M37" s="266" t="s">
        <v>608</v>
      </c>
      <c r="N37" s="266" t="s">
        <v>611</v>
      </c>
      <c r="O37" s="234" t="s">
        <v>1977</v>
      </c>
      <c r="P37" s="266" t="s">
        <v>3017</v>
      </c>
      <c r="Q37" s="266" t="s">
        <v>1978</v>
      </c>
      <c r="R37" s="266" t="s">
        <v>2999</v>
      </c>
      <c r="S37" s="307"/>
      <c r="T37" s="266">
        <v>22.2</v>
      </c>
      <c r="U37" s="266">
        <v>22.2</v>
      </c>
      <c r="V37" s="266">
        <f t="shared" si="4"/>
        <v>215.00000000160003</v>
      </c>
      <c r="W37" s="266">
        <f>SUMIF(CB37:CI37,TRUE,BT37:CA37)</f>
        <v>200.00000000219998</v>
      </c>
      <c r="X37" s="266">
        <v>10</v>
      </c>
      <c r="Y37" s="266">
        <v>10</v>
      </c>
      <c r="Z37" s="266">
        <v>10</v>
      </c>
      <c r="AA37" s="266">
        <v>10</v>
      </c>
      <c r="AB37" s="266">
        <v>5</v>
      </c>
      <c r="AC37" s="266">
        <v>10</v>
      </c>
      <c r="AD37" s="266">
        <v>10</v>
      </c>
      <c r="AE37" s="266">
        <v>5</v>
      </c>
      <c r="AF37" s="266">
        <v>5.50000000001</v>
      </c>
      <c r="AG37" s="266">
        <v>4.00000000002</v>
      </c>
      <c r="AH37" s="266">
        <v>4.00000000003</v>
      </c>
      <c r="AI37" s="266">
        <v>4.00000000004</v>
      </c>
      <c r="AJ37" s="266">
        <v>5.0000000000000002E-11</v>
      </c>
      <c r="AK37" s="266">
        <v>4.00000000006</v>
      </c>
      <c r="AL37" s="266">
        <v>3.00000000007</v>
      </c>
      <c r="AM37" s="266">
        <v>7.9999999999999995E-11</v>
      </c>
      <c r="AN37" s="266">
        <f t="shared" si="6"/>
        <v>55.000000000100002</v>
      </c>
      <c r="AO37" s="266">
        <f t="shared" si="7"/>
        <v>40.000000000200004</v>
      </c>
      <c r="AP37" s="266">
        <f t="shared" si="8"/>
        <v>40.000000000299998</v>
      </c>
      <c r="AQ37" s="266">
        <f t="shared" si="9"/>
        <v>40.0000000004</v>
      </c>
      <c r="AR37" s="266">
        <f t="shared" si="10"/>
        <v>2.5000000000000002E-10</v>
      </c>
      <c r="AS37" s="266">
        <f t="shared" si="11"/>
        <v>40.000000000599996</v>
      </c>
      <c r="AT37" s="266">
        <f t="shared" si="12"/>
        <v>30.000000000699998</v>
      </c>
      <c r="AU37" s="266">
        <f t="shared" si="13"/>
        <v>3.9999999999999996E-10</v>
      </c>
      <c r="AV37" s="344" t="b">
        <f t="shared" si="69"/>
        <v>1</v>
      </c>
      <c r="AW37" s="344" t="b">
        <f t="shared" si="70"/>
        <v>1</v>
      </c>
      <c r="AX37" s="344" t="b">
        <f t="shared" si="71"/>
        <v>1</v>
      </c>
      <c r="AY37" s="344" t="b">
        <f t="shared" si="72"/>
        <v>1</v>
      </c>
      <c r="AZ37" s="344" t="b">
        <f t="shared" si="73"/>
        <v>0</v>
      </c>
      <c r="BA37" s="344" t="b">
        <f t="shared" si="74"/>
        <v>1</v>
      </c>
      <c r="BB37" s="344" t="b">
        <f t="shared" si="75"/>
        <v>0</v>
      </c>
      <c r="BC37" s="344" t="b">
        <f t="shared" si="76"/>
        <v>0</v>
      </c>
      <c r="BD37" s="266">
        <v>10</v>
      </c>
      <c r="BE37" s="266">
        <v>10</v>
      </c>
      <c r="BF37" s="266">
        <v>10</v>
      </c>
      <c r="BG37" s="266">
        <v>10</v>
      </c>
      <c r="BH37" s="266">
        <v>5</v>
      </c>
      <c r="BI37" s="266">
        <v>10</v>
      </c>
      <c r="BJ37" s="266">
        <v>10</v>
      </c>
      <c r="BK37" s="266">
        <v>5</v>
      </c>
      <c r="BL37" s="266">
        <v>4.00000000001</v>
      </c>
      <c r="BM37" s="266">
        <v>4.00000000002</v>
      </c>
      <c r="BN37" s="266">
        <v>4.00000000003</v>
      </c>
      <c r="BO37" s="266">
        <v>4.00000000004</v>
      </c>
      <c r="BP37" s="266">
        <v>5.0000000000000002E-11</v>
      </c>
      <c r="BQ37" s="266">
        <v>4.00000000006</v>
      </c>
      <c r="BR37" s="266">
        <v>4.00000000007</v>
      </c>
      <c r="BS37" s="266">
        <v>3.00000000008</v>
      </c>
      <c r="BT37" s="266">
        <f t="shared" si="22"/>
        <v>40.000000000100002</v>
      </c>
      <c r="BU37" s="266">
        <f t="shared" si="23"/>
        <v>40.000000000200004</v>
      </c>
      <c r="BV37" s="266">
        <f t="shared" si="24"/>
        <v>40.000000000299998</v>
      </c>
      <c r="BW37" s="266">
        <f t="shared" si="25"/>
        <v>40.0000000004</v>
      </c>
      <c r="BX37" s="266">
        <f t="shared" si="26"/>
        <v>2.5000000000000002E-10</v>
      </c>
      <c r="BY37" s="266">
        <f t="shared" si="27"/>
        <v>40.000000000599996</v>
      </c>
      <c r="BZ37" s="266">
        <f t="shared" si="28"/>
        <v>40.000000000699998</v>
      </c>
      <c r="CA37" s="266">
        <f t="shared" si="29"/>
        <v>15.0000000004</v>
      </c>
      <c r="CB37" s="344" t="b">
        <f t="shared" si="61"/>
        <v>0</v>
      </c>
      <c r="CC37" s="344" t="b">
        <f t="shared" si="62"/>
        <v>1</v>
      </c>
      <c r="CD37" s="344" t="b">
        <f t="shared" si="63"/>
        <v>1</v>
      </c>
      <c r="CE37" s="344" t="b">
        <f t="shared" si="64"/>
        <v>1</v>
      </c>
      <c r="CF37" s="344" t="b">
        <f t="shared" si="65"/>
        <v>0</v>
      </c>
      <c r="CG37" s="344" t="b">
        <f t="shared" si="66"/>
        <v>1</v>
      </c>
      <c r="CH37" s="344" t="b">
        <f t="shared" si="67"/>
        <v>1</v>
      </c>
      <c r="CI37" s="344" t="b">
        <f t="shared" si="68"/>
        <v>0</v>
      </c>
    </row>
    <row r="38" spans="1:87" x14ac:dyDescent="0.3">
      <c r="A38" s="251" t="s">
        <v>544</v>
      </c>
      <c r="B38" s="251" t="s">
        <v>2365</v>
      </c>
      <c r="C38" s="251" t="s">
        <v>547</v>
      </c>
      <c r="D38" s="282" t="s">
        <v>545</v>
      </c>
      <c r="E38" s="254" t="s">
        <v>1967</v>
      </c>
      <c r="F38" s="251">
        <v>47</v>
      </c>
      <c r="G38" s="282"/>
      <c r="H38" s="282"/>
      <c r="J38" s="251" t="s">
        <v>3018</v>
      </c>
      <c r="K38" s="251" t="s">
        <v>2999</v>
      </c>
      <c r="M38" s="251" t="s">
        <v>657</v>
      </c>
      <c r="N38" s="251" t="s">
        <v>660</v>
      </c>
      <c r="O38" s="254" t="s">
        <v>1967</v>
      </c>
      <c r="Q38" s="251" t="s">
        <v>3018</v>
      </c>
      <c r="R38" s="251" t="s">
        <v>2999</v>
      </c>
      <c r="T38" s="251">
        <v>26.2</v>
      </c>
      <c r="U38" s="251">
        <v>28</v>
      </c>
      <c r="V38" s="251">
        <f t="shared" si="4"/>
        <v>166.50000000134997</v>
      </c>
      <c r="W38" s="251">
        <f t="shared" si="5"/>
        <v>176.50000000135003</v>
      </c>
      <c r="X38" s="251">
        <v>7</v>
      </c>
      <c r="Y38" s="251">
        <v>7</v>
      </c>
      <c r="Z38" s="251">
        <v>7</v>
      </c>
      <c r="AA38" s="251">
        <v>7</v>
      </c>
      <c r="AB38" s="251">
        <v>5</v>
      </c>
      <c r="AC38" s="251">
        <v>5</v>
      </c>
      <c r="AD38" s="251">
        <v>5</v>
      </c>
      <c r="AE38" s="251">
        <v>5</v>
      </c>
      <c r="AF38" s="251">
        <v>3.00000000001</v>
      </c>
      <c r="AG38" s="251">
        <v>4.00000000002</v>
      </c>
      <c r="AH38" s="251">
        <v>7.00000000003</v>
      </c>
      <c r="AI38" s="251">
        <v>3.00000000004</v>
      </c>
      <c r="AJ38" s="251">
        <v>5.0000000000000002E-11</v>
      </c>
      <c r="AK38" s="251">
        <v>5.50000000006</v>
      </c>
      <c r="AL38" s="251">
        <v>4.00000000007</v>
      </c>
      <c r="AM38" s="251">
        <v>7.9999999999999995E-11</v>
      </c>
      <c r="AN38" s="251">
        <f t="shared" si="6"/>
        <v>21.000000000069999</v>
      </c>
      <c r="AO38" s="251">
        <f t="shared" si="7"/>
        <v>28.000000000139998</v>
      </c>
      <c r="AP38" s="251">
        <f t="shared" si="8"/>
        <v>49.000000000210001</v>
      </c>
      <c r="AQ38" s="251">
        <f t="shared" si="9"/>
        <v>21.00000000028</v>
      </c>
      <c r="AR38" s="251">
        <f t="shared" si="10"/>
        <v>2.5000000000000002E-10</v>
      </c>
      <c r="AS38" s="251">
        <f t="shared" si="11"/>
        <v>27.500000000299998</v>
      </c>
      <c r="AT38" s="251">
        <f t="shared" si="12"/>
        <v>20.000000000349999</v>
      </c>
      <c r="AU38" s="251">
        <f t="shared" si="13"/>
        <v>3.9999999999999996E-10</v>
      </c>
      <c r="AV38" s="251" t="b">
        <v>1</v>
      </c>
      <c r="AW38" s="251" t="b">
        <v>1</v>
      </c>
      <c r="AX38" s="251" t="b">
        <v>1</v>
      </c>
      <c r="AY38" s="251" t="b">
        <v>1</v>
      </c>
      <c r="AZ38" s="251" t="b">
        <f>IF(AR38&gt;LARGE($AR38:$AU38,3),TRUE)</f>
        <v>0</v>
      </c>
      <c r="BA38" s="344" t="b">
        <f t="shared" ref="BA38:BC38" si="77">IF(AS38&gt;LARGE($AR38:$AU38,3),TRUE)</f>
        <v>1</v>
      </c>
      <c r="BB38" s="344" t="b">
        <f t="shared" si="77"/>
        <v>1</v>
      </c>
      <c r="BC38" s="344" t="b">
        <f t="shared" si="77"/>
        <v>0</v>
      </c>
      <c r="BD38" s="251">
        <v>7</v>
      </c>
      <c r="BE38" s="251">
        <v>7</v>
      </c>
      <c r="BF38" s="251">
        <v>7</v>
      </c>
      <c r="BG38" s="251">
        <v>7</v>
      </c>
      <c r="BH38" s="251">
        <v>5</v>
      </c>
      <c r="BI38" s="251">
        <v>5</v>
      </c>
      <c r="BJ38" s="251">
        <v>5</v>
      </c>
      <c r="BK38" s="251">
        <v>5</v>
      </c>
      <c r="BL38" s="251">
        <v>7.00000000001</v>
      </c>
      <c r="BM38" s="251">
        <v>3.00000000002</v>
      </c>
      <c r="BN38" s="251">
        <v>4.00000000003</v>
      </c>
      <c r="BO38" s="251">
        <v>5.50000000004</v>
      </c>
      <c r="BP38" s="251">
        <v>5.0000000000000002E-11</v>
      </c>
      <c r="BQ38" s="251">
        <v>4.00000000006</v>
      </c>
      <c r="BR38" s="251">
        <v>4.00000000007</v>
      </c>
      <c r="BS38" s="251">
        <v>7.9999999999999995E-11</v>
      </c>
      <c r="BT38" s="251">
        <f t="shared" si="22"/>
        <v>49.000000000070003</v>
      </c>
      <c r="BU38" s="251">
        <f t="shared" si="23"/>
        <v>21.000000000139998</v>
      </c>
      <c r="BV38" s="251">
        <f t="shared" si="24"/>
        <v>28.000000000210001</v>
      </c>
      <c r="BW38" s="251">
        <f t="shared" si="25"/>
        <v>38.500000000279996</v>
      </c>
      <c r="BX38" s="251">
        <f t="shared" si="26"/>
        <v>2.5000000000000002E-10</v>
      </c>
      <c r="BY38" s="251">
        <f t="shared" si="27"/>
        <v>20.000000000299998</v>
      </c>
      <c r="BZ38" s="251">
        <f t="shared" si="28"/>
        <v>20.000000000349999</v>
      </c>
      <c r="CA38" s="251">
        <f t="shared" si="29"/>
        <v>3.9999999999999996E-10</v>
      </c>
      <c r="CB38" s="344" t="b">
        <v>1</v>
      </c>
      <c r="CC38" s="344" t="b">
        <v>1</v>
      </c>
      <c r="CD38" s="344" t="b">
        <v>1</v>
      </c>
      <c r="CE38" s="344" t="b">
        <v>1</v>
      </c>
      <c r="CF38" s="344" t="b">
        <f>IF(BX38&gt;LARGE($BX38:$CA38,3),TRUE)</f>
        <v>0</v>
      </c>
      <c r="CG38" s="344" t="b">
        <f t="shared" ref="CG38:CG39" si="78">IF(BY38&gt;LARGE($BX38:$CA38,3),TRUE)</f>
        <v>1</v>
      </c>
      <c r="CH38" s="344" t="b">
        <f t="shared" ref="CH38:CH39" si="79">IF(BZ38&gt;LARGE($BX38:$CA38,3),TRUE)</f>
        <v>1</v>
      </c>
      <c r="CI38" s="344" t="b">
        <f t="shared" ref="CI38:CI39" si="80">IF(CA38&gt;LARGE($BX38:$CA38,3),TRUE)</f>
        <v>0</v>
      </c>
    </row>
    <row r="39" spans="1:87" x14ac:dyDescent="0.3">
      <c r="A39" s="251" t="str">
        <f>_xlfn.CONCAT(A38,"-2")</f>
        <v>JS3250-2</v>
      </c>
      <c r="D39" s="282"/>
      <c r="G39" s="282"/>
      <c r="H39" s="282"/>
      <c r="I39" s="282"/>
      <c r="J39" s="282"/>
      <c r="K39" s="282"/>
      <c r="L39" s="282"/>
      <c r="M39" s="251" t="s">
        <v>685</v>
      </c>
      <c r="N39" s="251" t="s">
        <v>688</v>
      </c>
      <c r="O39" s="254" t="s">
        <v>1967</v>
      </c>
      <c r="Q39" s="251" t="s">
        <v>3018</v>
      </c>
      <c r="R39" s="251" t="s">
        <v>2999</v>
      </c>
      <c r="U39" s="251">
        <v>22</v>
      </c>
      <c r="V39" s="251">
        <f t="shared" si="4"/>
        <v>131.00000000134997</v>
      </c>
      <c r="W39" s="251">
        <f t="shared" si="5"/>
        <v>133.00000000134997</v>
      </c>
      <c r="X39" s="251">
        <v>7</v>
      </c>
      <c r="Y39" s="251">
        <v>7</v>
      </c>
      <c r="Z39" s="251">
        <v>7</v>
      </c>
      <c r="AA39" s="251">
        <v>7</v>
      </c>
      <c r="AB39" s="251">
        <v>5</v>
      </c>
      <c r="AC39" s="251">
        <v>5</v>
      </c>
      <c r="AD39" s="251">
        <v>5</v>
      </c>
      <c r="AE39" s="251">
        <v>5</v>
      </c>
      <c r="AF39" s="251">
        <v>3.00000000001</v>
      </c>
      <c r="AG39" s="251">
        <v>3.00000000002</v>
      </c>
      <c r="AH39" s="251">
        <v>4.00000000003</v>
      </c>
      <c r="AI39" s="251">
        <v>3.00000000004</v>
      </c>
      <c r="AJ39" s="251">
        <v>5.0000000000000002E-11</v>
      </c>
      <c r="AK39" s="251">
        <v>4.00000000006</v>
      </c>
      <c r="AL39" s="251">
        <v>4.00000000007</v>
      </c>
      <c r="AM39" s="251">
        <v>7.9999999999999995E-11</v>
      </c>
      <c r="AN39" s="251">
        <f t="shared" si="6"/>
        <v>21.000000000069999</v>
      </c>
      <c r="AO39" s="251">
        <f t="shared" si="7"/>
        <v>21.000000000139998</v>
      </c>
      <c r="AP39" s="251">
        <f t="shared" si="8"/>
        <v>28.000000000210001</v>
      </c>
      <c r="AQ39" s="251">
        <f t="shared" si="9"/>
        <v>21.00000000028</v>
      </c>
      <c r="AR39" s="251">
        <f t="shared" si="10"/>
        <v>2.5000000000000002E-10</v>
      </c>
      <c r="AS39" s="251">
        <f t="shared" si="11"/>
        <v>20.000000000299998</v>
      </c>
      <c r="AT39" s="251">
        <f t="shared" si="12"/>
        <v>20.000000000349999</v>
      </c>
      <c r="AU39" s="251">
        <f t="shared" si="13"/>
        <v>3.9999999999999996E-10</v>
      </c>
      <c r="AV39" s="344" t="b">
        <v>1</v>
      </c>
      <c r="AW39" s="344" t="b">
        <v>1</v>
      </c>
      <c r="AX39" s="344" t="b">
        <v>1</v>
      </c>
      <c r="AY39" s="344" t="b">
        <v>1</v>
      </c>
      <c r="AZ39" s="344" t="b">
        <f>IF(AR39&gt;LARGE($AR39:$AU39,3),TRUE)</f>
        <v>0</v>
      </c>
      <c r="BA39" s="344" t="b">
        <f t="shared" ref="BA39" si="81">IF(AS39&gt;LARGE($AR39:$AU39,3),TRUE)</f>
        <v>1</v>
      </c>
      <c r="BB39" s="344" t="b">
        <f t="shared" ref="BB39" si="82">IF(AT39&gt;LARGE($AR39:$AU39,3),TRUE)</f>
        <v>1</v>
      </c>
      <c r="BC39" s="344" t="b">
        <f t="shared" ref="BC39" si="83">IF(AU39&gt;LARGE($AR39:$AU39,3),TRUE)</f>
        <v>0</v>
      </c>
      <c r="BD39" s="251">
        <v>7</v>
      </c>
      <c r="BE39" s="251">
        <v>7</v>
      </c>
      <c r="BF39" s="251">
        <v>7</v>
      </c>
      <c r="BG39" s="251">
        <v>7</v>
      </c>
      <c r="BH39" s="251">
        <v>5</v>
      </c>
      <c r="BI39" s="251">
        <v>5</v>
      </c>
      <c r="BJ39" s="251">
        <v>5</v>
      </c>
      <c r="BK39" s="251">
        <v>5</v>
      </c>
      <c r="BL39" s="251">
        <v>4.00000000001</v>
      </c>
      <c r="BM39" s="251">
        <v>3.00000000002</v>
      </c>
      <c r="BN39" s="251">
        <v>3.00000000003</v>
      </c>
      <c r="BO39" s="251">
        <v>4.00000000004</v>
      </c>
      <c r="BP39" s="251">
        <v>5.0000000000000002E-11</v>
      </c>
      <c r="BQ39" s="251">
        <v>4.00000000006</v>
      </c>
      <c r="BR39" s="251">
        <v>3.00000000007</v>
      </c>
      <c r="BS39" s="251">
        <v>7.9999999999999995E-11</v>
      </c>
      <c r="BT39" s="251">
        <f t="shared" si="22"/>
        <v>28.000000000069999</v>
      </c>
      <c r="BU39" s="251">
        <f t="shared" si="23"/>
        <v>21.000000000139998</v>
      </c>
      <c r="BV39" s="251">
        <f t="shared" si="24"/>
        <v>21.000000000210001</v>
      </c>
      <c r="BW39" s="251">
        <f t="shared" si="25"/>
        <v>28.00000000028</v>
      </c>
      <c r="BX39" s="251">
        <f t="shared" si="26"/>
        <v>2.5000000000000002E-10</v>
      </c>
      <c r="BY39" s="251">
        <f t="shared" si="27"/>
        <v>20.000000000299998</v>
      </c>
      <c r="BZ39" s="251">
        <f t="shared" si="28"/>
        <v>15.000000000349999</v>
      </c>
      <c r="CA39" s="251">
        <f t="shared" si="29"/>
        <v>3.9999999999999996E-10</v>
      </c>
      <c r="CB39" s="344" t="b">
        <v>1</v>
      </c>
      <c r="CC39" s="344" t="b">
        <v>1</v>
      </c>
      <c r="CD39" s="344" t="b">
        <v>1</v>
      </c>
      <c r="CE39" s="344" t="b">
        <v>1</v>
      </c>
      <c r="CF39" s="344" t="b">
        <f>IF(BX39&gt;LARGE($BX39:$CA39,3),TRUE)</f>
        <v>0</v>
      </c>
      <c r="CG39" s="344" t="b">
        <f t="shared" si="78"/>
        <v>1</v>
      </c>
      <c r="CH39" s="344" t="b">
        <f t="shared" si="79"/>
        <v>1</v>
      </c>
      <c r="CI39" s="344" t="b">
        <f t="shared" si="80"/>
        <v>0</v>
      </c>
    </row>
    <row r="40" spans="1:87" x14ac:dyDescent="0.3">
      <c r="A40" s="251" t="s">
        <v>548</v>
      </c>
      <c r="B40" s="251" t="s">
        <v>2365</v>
      </c>
      <c r="C40" s="251" t="s">
        <v>551</v>
      </c>
      <c r="D40" s="282" t="s">
        <v>549</v>
      </c>
      <c r="E40" s="254" t="s">
        <v>2153</v>
      </c>
      <c r="F40" s="251">
        <v>53</v>
      </c>
      <c r="G40" s="282"/>
      <c r="H40" s="282"/>
      <c r="I40" s="251" t="s">
        <v>3022</v>
      </c>
      <c r="J40" s="251" t="s">
        <v>2998</v>
      </c>
      <c r="K40" s="251" t="s">
        <v>2999</v>
      </c>
      <c r="L40" s="282"/>
      <c r="M40" s="251" t="s">
        <v>654</v>
      </c>
      <c r="N40" s="251" t="s">
        <v>656</v>
      </c>
      <c r="O40" s="254" t="s">
        <v>2153</v>
      </c>
      <c r="P40" s="251" t="s">
        <v>3022</v>
      </c>
      <c r="Q40" s="251" t="s">
        <v>2998</v>
      </c>
      <c r="R40" s="251" t="s">
        <v>2999</v>
      </c>
      <c r="T40" s="251">
        <v>35.299999999999997</v>
      </c>
      <c r="U40" s="251">
        <v>35.299999999999997</v>
      </c>
      <c r="V40" s="251">
        <f t="shared" si="4"/>
        <v>317.00000000214993</v>
      </c>
      <c r="W40" s="251">
        <f t="shared" si="5"/>
        <v>324.00000000297007</v>
      </c>
      <c r="X40" s="251">
        <v>7</v>
      </c>
      <c r="Y40" s="251">
        <v>10</v>
      </c>
      <c r="Z40" s="251">
        <v>10</v>
      </c>
      <c r="AA40" s="251">
        <v>7</v>
      </c>
      <c r="AB40" s="251">
        <v>10</v>
      </c>
      <c r="AC40" s="251">
        <v>10</v>
      </c>
      <c r="AD40" s="251">
        <v>10</v>
      </c>
      <c r="AE40" s="251">
        <v>10</v>
      </c>
      <c r="AF40" s="251">
        <v>5.50000000001</v>
      </c>
      <c r="AG40" s="251">
        <v>3.00000000002</v>
      </c>
      <c r="AH40" s="251">
        <v>8.5000000000299991</v>
      </c>
      <c r="AI40" s="251">
        <v>5.50000000004</v>
      </c>
      <c r="AJ40" s="251">
        <v>5.0000000000000002E-11</v>
      </c>
      <c r="AK40" s="251">
        <v>7.00000000006</v>
      </c>
      <c r="AL40" s="251">
        <v>5.50000000007</v>
      </c>
      <c r="AM40" s="251">
        <v>7.9999999999999995E-11</v>
      </c>
      <c r="AN40" s="251">
        <f t="shared" si="6"/>
        <v>38.500000000070003</v>
      </c>
      <c r="AO40" s="251">
        <f t="shared" si="7"/>
        <v>30.0000000002</v>
      </c>
      <c r="AP40" s="251">
        <f t="shared" si="8"/>
        <v>85.000000000299991</v>
      </c>
      <c r="AQ40" s="251">
        <f t="shared" si="9"/>
        <v>38.500000000279996</v>
      </c>
      <c r="AR40" s="251">
        <f t="shared" si="10"/>
        <v>5.0000000000000003E-10</v>
      </c>
      <c r="AS40" s="251">
        <f t="shared" si="11"/>
        <v>70.000000000599996</v>
      </c>
      <c r="AT40" s="251">
        <f t="shared" si="12"/>
        <v>55.000000000699998</v>
      </c>
      <c r="AU40" s="251">
        <f t="shared" si="13"/>
        <v>7.9999999999999993E-10</v>
      </c>
      <c r="AV40" s="344" t="b">
        <f>IF(AN40&gt;LARGE($AN40:$AU40,7),TRUE)</f>
        <v>1</v>
      </c>
      <c r="AW40" s="344" t="b">
        <f t="shared" ref="AW40:BC40" si="84">IF(AO40&gt;LARGE($AN40:$AU40,7),TRUE)</f>
        <v>1</v>
      </c>
      <c r="AX40" s="344" t="b">
        <f t="shared" si="84"/>
        <v>1</v>
      </c>
      <c r="AY40" s="344" t="b">
        <f t="shared" si="84"/>
        <v>1</v>
      </c>
      <c r="AZ40" s="344" t="b">
        <f t="shared" si="84"/>
        <v>0</v>
      </c>
      <c r="BA40" s="344" t="b">
        <f t="shared" si="84"/>
        <v>1</v>
      </c>
      <c r="BB40" s="344" t="b">
        <f t="shared" si="84"/>
        <v>1</v>
      </c>
      <c r="BC40" s="344" t="b">
        <f t="shared" si="84"/>
        <v>0</v>
      </c>
      <c r="BD40" s="251">
        <v>7</v>
      </c>
      <c r="BE40" s="251">
        <v>10</v>
      </c>
      <c r="BF40" s="251">
        <v>10</v>
      </c>
      <c r="BG40" s="251">
        <v>7</v>
      </c>
      <c r="BH40" s="251">
        <v>10</v>
      </c>
      <c r="BI40" s="251">
        <v>10</v>
      </c>
      <c r="BJ40" s="251">
        <v>10</v>
      </c>
      <c r="BK40" s="251">
        <v>10</v>
      </c>
      <c r="BL40" s="251">
        <v>7.00000000001</v>
      </c>
      <c r="BM40" s="251">
        <v>4.00000000002</v>
      </c>
      <c r="BN40" s="251">
        <v>7.00000000003</v>
      </c>
      <c r="BO40" s="251">
        <v>5.50000000004</v>
      </c>
      <c r="BP40" s="251">
        <v>5.50000000005</v>
      </c>
      <c r="BQ40" s="251">
        <v>5.50000000006</v>
      </c>
      <c r="BR40" s="251">
        <v>5.50000000007</v>
      </c>
      <c r="BS40" s="251">
        <v>4.00000000008</v>
      </c>
      <c r="BT40" s="251">
        <f t="shared" si="22"/>
        <v>49.000000000070003</v>
      </c>
      <c r="BU40" s="251">
        <f t="shared" si="23"/>
        <v>40.000000000200004</v>
      </c>
      <c r="BV40" s="251">
        <f t="shared" si="24"/>
        <v>70.000000000300005</v>
      </c>
      <c r="BW40" s="251">
        <f t="shared" si="25"/>
        <v>38.500000000279996</v>
      </c>
      <c r="BX40" s="251">
        <f t="shared" si="26"/>
        <v>55.000000000500002</v>
      </c>
      <c r="BY40" s="251">
        <f t="shared" si="27"/>
        <v>55.000000000599996</v>
      </c>
      <c r="BZ40" s="251">
        <f t="shared" si="28"/>
        <v>55.000000000699998</v>
      </c>
      <c r="CA40" s="251">
        <f t="shared" si="29"/>
        <v>40.0000000008</v>
      </c>
      <c r="CB40" s="344" t="b">
        <f>IF(BT40&gt;LARGE($BT40:$CA40,7),TRUE)</f>
        <v>1</v>
      </c>
      <c r="CC40" s="344" t="b">
        <f t="shared" ref="CC40:CI40" si="85">IF(BU40&gt;LARGE($BT40:$CA40,7),TRUE)</f>
        <v>0</v>
      </c>
      <c r="CD40" s="344" t="b">
        <f t="shared" si="85"/>
        <v>1</v>
      </c>
      <c r="CE40" s="344" t="b">
        <f t="shared" si="85"/>
        <v>0</v>
      </c>
      <c r="CF40" s="344" t="b">
        <f t="shared" si="85"/>
        <v>1</v>
      </c>
      <c r="CG40" s="344" t="b">
        <f t="shared" si="85"/>
        <v>1</v>
      </c>
      <c r="CH40" s="344" t="b">
        <f t="shared" si="85"/>
        <v>1</v>
      </c>
      <c r="CI40" s="344" t="b">
        <f t="shared" si="85"/>
        <v>1</v>
      </c>
    </row>
    <row r="41" spans="1:87" x14ac:dyDescent="0.3">
      <c r="A41" s="251" t="s">
        <v>556</v>
      </c>
      <c r="B41" s="251" t="s">
        <v>2365</v>
      </c>
      <c r="C41" s="251" t="s">
        <v>561</v>
      </c>
      <c r="D41" s="282" t="s">
        <v>557</v>
      </c>
      <c r="E41" s="254" t="s">
        <v>1967</v>
      </c>
      <c r="F41" s="251">
        <v>70</v>
      </c>
      <c r="G41" s="282"/>
      <c r="H41" s="282"/>
      <c r="I41" s="251" t="s">
        <v>3020</v>
      </c>
      <c r="J41" s="251" t="s">
        <v>1978</v>
      </c>
      <c r="K41" s="251" t="s">
        <v>2999</v>
      </c>
      <c r="L41" s="282"/>
      <c r="M41" s="251" t="s">
        <v>556</v>
      </c>
      <c r="N41" s="251" t="s">
        <v>559</v>
      </c>
      <c r="O41" s="254" t="s">
        <v>1967</v>
      </c>
      <c r="P41" s="251" t="s">
        <v>3020</v>
      </c>
      <c r="Q41" s="251" t="s">
        <v>1978</v>
      </c>
      <c r="R41" s="251" t="s">
        <v>2999</v>
      </c>
      <c r="T41" s="251">
        <v>27</v>
      </c>
      <c r="U41" s="251">
        <v>27</v>
      </c>
      <c r="V41" s="251">
        <f t="shared" si="4"/>
        <v>235.00000000200004</v>
      </c>
      <c r="W41" s="251">
        <f t="shared" si="5"/>
        <v>250.00000000195001</v>
      </c>
      <c r="X41" s="251">
        <v>10</v>
      </c>
      <c r="Y41" s="251">
        <v>10</v>
      </c>
      <c r="Z41" s="251">
        <v>10</v>
      </c>
      <c r="AA41" s="251">
        <v>10</v>
      </c>
      <c r="AB41" s="251">
        <v>5</v>
      </c>
      <c r="AC41" s="251">
        <v>10</v>
      </c>
      <c r="AD41" s="251">
        <v>5</v>
      </c>
      <c r="AE41" s="251">
        <v>5</v>
      </c>
      <c r="AF41" s="251">
        <v>5.50000000001</v>
      </c>
      <c r="AG41" s="251">
        <v>4.00000000002</v>
      </c>
      <c r="AH41" s="251">
        <v>4.00000000003</v>
      </c>
      <c r="AI41" s="251">
        <v>4.00000000004</v>
      </c>
      <c r="AJ41" s="251">
        <v>5.0000000000000002E-11</v>
      </c>
      <c r="AK41" s="251">
        <v>4.00000000006</v>
      </c>
      <c r="AL41" s="251">
        <v>4.00000000007</v>
      </c>
      <c r="AM41" s="251">
        <v>4.00000000008</v>
      </c>
      <c r="AN41" s="251">
        <f t="shared" si="6"/>
        <v>55.000000000100002</v>
      </c>
      <c r="AO41" s="251">
        <f t="shared" si="7"/>
        <v>40.000000000200004</v>
      </c>
      <c r="AP41" s="251">
        <f t="shared" si="8"/>
        <v>40.000000000299998</v>
      </c>
      <c r="AQ41" s="251">
        <f t="shared" si="9"/>
        <v>40.0000000004</v>
      </c>
      <c r="AR41" s="251">
        <f t="shared" si="10"/>
        <v>2.5000000000000002E-10</v>
      </c>
      <c r="AS41" s="251">
        <f t="shared" si="11"/>
        <v>40.000000000599996</v>
      </c>
      <c r="AT41" s="251">
        <f t="shared" si="12"/>
        <v>20.000000000349999</v>
      </c>
      <c r="AU41" s="251">
        <f t="shared" si="13"/>
        <v>20.0000000004</v>
      </c>
      <c r="AV41" s="344" t="b">
        <v>1</v>
      </c>
      <c r="AW41" s="344" t="b">
        <v>1</v>
      </c>
      <c r="AX41" s="344" t="b">
        <v>1</v>
      </c>
      <c r="AY41" s="344" t="b">
        <v>1</v>
      </c>
      <c r="AZ41" s="344" t="b">
        <f>IF(AR41&gt;LARGE($AR41:$AU41,3),TRUE)</f>
        <v>0</v>
      </c>
      <c r="BA41" s="344" t="b">
        <f t="shared" ref="BA41" si="86">IF(AS41&gt;LARGE($AR41:$AU41,3),TRUE)</f>
        <v>1</v>
      </c>
      <c r="BB41" s="344" t="b">
        <f t="shared" ref="BB41" si="87">IF(AT41&gt;LARGE($AR41:$AU41,3),TRUE)</f>
        <v>0</v>
      </c>
      <c r="BC41" s="344" t="b">
        <f>IF(AU41&gt;LARGE($AR41:$AU41,3),TRUE)</f>
        <v>1</v>
      </c>
      <c r="BD41" s="251">
        <v>10</v>
      </c>
      <c r="BE41" s="251">
        <v>10</v>
      </c>
      <c r="BF41" s="251">
        <v>10</v>
      </c>
      <c r="BG41" s="251">
        <v>10</v>
      </c>
      <c r="BH41" s="251">
        <v>5</v>
      </c>
      <c r="BI41" s="251">
        <v>10</v>
      </c>
      <c r="BJ41" s="251">
        <v>5</v>
      </c>
      <c r="BK41" s="251">
        <v>5</v>
      </c>
      <c r="BL41" s="251">
        <v>5.50000000001</v>
      </c>
      <c r="BM41" s="251">
        <v>4.00000000002</v>
      </c>
      <c r="BN41" s="251">
        <v>5.50000000003</v>
      </c>
      <c r="BO41" s="251">
        <v>4.00000000004</v>
      </c>
      <c r="BP41" s="251">
        <v>5.0000000000000002E-11</v>
      </c>
      <c r="BQ41" s="251">
        <v>4.00000000006</v>
      </c>
      <c r="BR41" s="251">
        <v>4.00000000007</v>
      </c>
      <c r="BS41" s="251">
        <v>3.00000000008</v>
      </c>
      <c r="BT41" s="251">
        <f t="shared" si="22"/>
        <v>55.000000000100002</v>
      </c>
      <c r="BU41" s="251">
        <f t="shared" si="23"/>
        <v>40.000000000200004</v>
      </c>
      <c r="BV41" s="251">
        <f t="shared" si="24"/>
        <v>55.000000000299998</v>
      </c>
      <c r="BW41" s="251">
        <f t="shared" si="25"/>
        <v>40.0000000004</v>
      </c>
      <c r="BX41" s="251">
        <f t="shared" si="26"/>
        <v>2.5000000000000002E-10</v>
      </c>
      <c r="BY41" s="251">
        <f t="shared" si="27"/>
        <v>40.000000000599996</v>
      </c>
      <c r="BZ41" s="251">
        <f t="shared" si="28"/>
        <v>20.000000000349999</v>
      </c>
      <c r="CA41" s="251">
        <f t="shared" si="29"/>
        <v>15.0000000004</v>
      </c>
      <c r="CB41" s="344" t="b">
        <v>1</v>
      </c>
      <c r="CC41" s="344" t="b">
        <v>1</v>
      </c>
      <c r="CD41" s="344" t="b">
        <v>1</v>
      </c>
      <c r="CE41" s="344" t="b">
        <v>1</v>
      </c>
      <c r="CF41" s="344" t="b">
        <f>IF(BX41&gt;LARGE($BX41:$CA41,3),TRUE)</f>
        <v>0</v>
      </c>
      <c r="CG41" s="344" t="b">
        <f t="shared" ref="CG41" si="88">IF(BY41&gt;LARGE($BX41:$CA41,3),TRUE)</f>
        <v>1</v>
      </c>
      <c r="CH41" s="344" t="b">
        <f t="shared" ref="CH41" si="89">IF(BZ41&gt;LARGE($BX41:$CA41,3),TRUE)</f>
        <v>1</v>
      </c>
      <c r="CI41" s="344" t="b">
        <f t="shared" ref="CI41" si="90">IF(CA41&gt;LARGE($BX41:$CA41,3),TRUE)</f>
        <v>0</v>
      </c>
    </row>
    <row r="42" spans="1:87" x14ac:dyDescent="0.3">
      <c r="A42" s="251" t="s">
        <v>585</v>
      </c>
      <c r="B42" s="251" t="s">
        <v>2365</v>
      </c>
      <c r="C42" s="251" t="s">
        <v>590</v>
      </c>
      <c r="D42" s="282" t="s">
        <v>586</v>
      </c>
      <c r="E42" s="254" t="s">
        <v>2153</v>
      </c>
      <c r="F42" s="251">
        <v>60</v>
      </c>
      <c r="G42" s="282"/>
      <c r="H42" s="282"/>
      <c r="I42" s="251" t="s">
        <v>3019</v>
      </c>
      <c r="J42" s="251" t="s">
        <v>2998</v>
      </c>
      <c r="K42" s="251" t="s">
        <v>2999</v>
      </c>
      <c r="L42" s="282"/>
      <c r="M42" s="251" t="s">
        <v>585</v>
      </c>
      <c r="N42" s="251" t="s">
        <v>588</v>
      </c>
      <c r="O42" s="254" t="s">
        <v>2153</v>
      </c>
      <c r="P42" s="251" t="s">
        <v>3019</v>
      </c>
      <c r="Q42" s="251" t="s">
        <v>2998</v>
      </c>
      <c r="R42" s="251" t="s">
        <v>2999</v>
      </c>
      <c r="T42" s="251">
        <v>36.299999999999997</v>
      </c>
      <c r="U42" s="251">
        <v>36.299999999999997</v>
      </c>
      <c r="V42" s="251">
        <f t="shared" si="4"/>
        <v>312.00000000215005</v>
      </c>
      <c r="W42" s="251">
        <f t="shared" si="5"/>
        <v>323.00000000258001</v>
      </c>
      <c r="X42" s="251">
        <v>7</v>
      </c>
      <c r="Y42" s="251">
        <v>10</v>
      </c>
      <c r="Z42" s="251">
        <v>10</v>
      </c>
      <c r="AA42" s="251">
        <v>7</v>
      </c>
      <c r="AB42" s="251">
        <v>10</v>
      </c>
      <c r="AC42" s="251">
        <v>10</v>
      </c>
      <c r="AD42" s="251">
        <v>10</v>
      </c>
      <c r="AE42" s="251">
        <v>5</v>
      </c>
      <c r="AF42" s="251">
        <v>7.00000000001</v>
      </c>
      <c r="AG42" s="251">
        <v>5.50000000002</v>
      </c>
      <c r="AH42" s="251">
        <v>7.00000000003</v>
      </c>
      <c r="AI42" s="251">
        <v>4.00000000004</v>
      </c>
      <c r="AJ42" s="251">
        <v>5.0000000000000002E-11</v>
      </c>
      <c r="AK42" s="251">
        <v>5.50000000006</v>
      </c>
      <c r="AL42" s="251">
        <v>5.50000000007</v>
      </c>
      <c r="AM42" s="251">
        <v>5.50000000008</v>
      </c>
      <c r="AN42" s="251">
        <f t="shared" si="6"/>
        <v>49.000000000070003</v>
      </c>
      <c r="AO42" s="251">
        <f t="shared" si="7"/>
        <v>55.000000000200004</v>
      </c>
      <c r="AP42" s="251">
        <f t="shared" si="8"/>
        <v>70.000000000300005</v>
      </c>
      <c r="AQ42" s="251">
        <f t="shared" si="9"/>
        <v>28.00000000028</v>
      </c>
      <c r="AR42" s="251">
        <f t="shared" si="10"/>
        <v>5.0000000000000003E-10</v>
      </c>
      <c r="AS42" s="251">
        <f t="shared" si="11"/>
        <v>55.000000000599996</v>
      </c>
      <c r="AT42" s="251">
        <f t="shared" si="12"/>
        <v>55.000000000699998</v>
      </c>
      <c r="AU42" s="251">
        <f t="shared" si="13"/>
        <v>27.5000000004</v>
      </c>
      <c r="AV42" s="344" t="b">
        <f>IF(AN42&gt;LARGE($AN42:$AU42,7),TRUE)</f>
        <v>1</v>
      </c>
      <c r="AW42" s="344" t="b">
        <f t="shared" ref="AW42:AW45" si="91">IF(AO42&gt;LARGE($AN42:$AU42,7),TRUE)</f>
        <v>1</v>
      </c>
      <c r="AX42" s="344" t="b">
        <f t="shared" ref="AX42:AX45" si="92">IF(AP42&gt;LARGE($AN42:$AU42,7),TRUE)</f>
        <v>1</v>
      </c>
      <c r="AY42" s="344" t="b">
        <f t="shared" ref="AY42:AY45" si="93">IF(AQ42&gt;LARGE($AN42:$AU42,7),TRUE)</f>
        <v>1</v>
      </c>
      <c r="AZ42" s="344" t="b">
        <f t="shared" ref="AZ42:AZ45" si="94">IF(AR42&gt;LARGE($AN42:$AU42,7),TRUE)</f>
        <v>0</v>
      </c>
      <c r="BA42" s="344" t="b">
        <f t="shared" ref="BA42:BA45" si="95">IF(AS42&gt;LARGE($AN42:$AU42,7),TRUE)</f>
        <v>1</v>
      </c>
      <c r="BB42" s="344" t="b">
        <f t="shared" ref="BB42:BB45" si="96">IF(AT42&gt;LARGE($AN42:$AU42,7),TRUE)</f>
        <v>1</v>
      </c>
      <c r="BC42" s="344" t="b">
        <f t="shared" ref="BC42:BC45" si="97">IF(AU42&gt;LARGE($AN42:$AU42,7),TRUE)</f>
        <v>0</v>
      </c>
      <c r="BD42" s="251">
        <v>7</v>
      </c>
      <c r="BE42" s="251">
        <v>10</v>
      </c>
      <c r="BF42" s="251">
        <v>10</v>
      </c>
      <c r="BG42" s="251">
        <v>7</v>
      </c>
      <c r="BH42" s="251">
        <v>10</v>
      </c>
      <c r="BI42" s="251">
        <v>10</v>
      </c>
      <c r="BJ42" s="251">
        <v>10</v>
      </c>
      <c r="BK42" s="251">
        <v>5</v>
      </c>
      <c r="BL42" s="251">
        <v>4.00000000001</v>
      </c>
      <c r="BM42" s="251">
        <v>7.00000000002</v>
      </c>
      <c r="BN42" s="251">
        <v>7.00000000003</v>
      </c>
      <c r="BO42" s="251">
        <v>4.00000000004</v>
      </c>
      <c r="BP42" s="251">
        <v>3.00000000005</v>
      </c>
      <c r="BQ42" s="251">
        <v>7.00000000006</v>
      </c>
      <c r="BR42" s="251">
        <v>5.50000000007</v>
      </c>
      <c r="BS42" s="251">
        <v>5.50000000008</v>
      </c>
      <c r="BT42" s="251">
        <f t="shared" si="22"/>
        <v>28.000000000069999</v>
      </c>
      <c r="BU42" s="251">
        <f t="shared" si="23"/>
        <v>70.000000000200004</v>
      </c>
      <c r="BV42" s="251">
        <f t="shared" si="24"/>
        <v>70.000000000300005</v>
      </c>
      <c r="BW42" s="251">
        <f t="shared" si="25"/>
        <v>28.00000000028</v>
      </c>
      <c r="BX42" s="251">
        <f t="shared" si="26"/>
        <v>30.000000000500002</v>
      </c>
      <c r="BY42" s="251">
        <f t="shared" si="27"/>
        <v>70.000000000599996</v>
      </c>
      <c r="BZ42" s="251">
        <f t="shared" si="28"/>
        <v>55.000000000699998</v>
      </c>
      <c r="CA42" s="251">
        <f t="shared" si="29"/>
        <v>27.5000000004</v>
      </c>
      <c r="CB42" s="344" t="b">
        <f>IF(BT42&gt;LARGE($BT42:$CA42,7),TRUE)</f>
        <v>0</v>
      </c>
      <c r="CC42" s="344" t="b">
        <f t="shared" ref="CC42:CC45" si="98">IF(BU42&gt;LARGE($BT42:$CA42,7),TRUE)</f>
        <v>1</v>
      </c>
      <c r="CD42" s="344" t="b">
        <f t="shared" ref="CD42:CD45" si="99">IF(BV42&gt;LARGE($BT42:$CA42,7),TRUE)</f>
        <v>1</v>
      </c>
      <c r="CE42" s="344" t="b">
        <f t="shared" ref="CE42:CE45" si="100">IF(BW42&gt;LARGE($BT42:$CA42,7),TRUE)</f>
        <v>1</v>
      </c>
      <c r="CF42" s="344" t="b">
        <f t="shared" ref="CF42:CF45" si="101">IF(BX42&gt;LARGE($BT42:$CA42,7),TRUE)</f>
        <v>1</v>
      </c>
      <c r="CG42" s="344" t="b">
        <f t="shared" ref="CG42:CG45" si="102">IF(BY42&gt;LARGE($BT42:$CA42,7),TRUE)</f>
        <v>1</v>
      </c>
      <c r="CH42" s="344" t="b">
        <f t="shared" ref="CH42:CH45" si="103">IF(BZ42&gt;LARGE($BT42:$CA42,7),TRUE)</f>
        <v>1</v>
      </c>
      <c r="CI42" s="344" t="b">
        <f t="shared" ref="CI42:CI45" si="104">IF(CA42&gt;LARGE($BT42:$CA42,7),TRUE)</f>
        <v>0</v>
      </c>
    </row>
    <row r="43" spans="1:87" x14ac:dyDescent="0.3">
      <c r="A43" s="251" t="s">
        <v>630</v>
      </c>
      <c r="B43" s="251" t="s">
        <v>2365</v>
      </c>
      <c r="C43" s="251" t="s">
        <v>635</v>
      </c>
      <c r="D43" s="282" t="s">
        <v>631</v>
      </c>
      <c r="E43" s="254" t="s">
        <v>2153</v>
      </c>
      <c r="F43" s="251">
        <v>115</v>
      </c>
      <c r="G43" s="282"/>
      <c r="H43" s="282"/>
      <c r="I43" s="251" t="s">
        <v>3024</v>
      </c>
      <c r="J43" s="251" t="s">
        <v>3007</v>
      </c>
      <c r="K43" s="251" t="s">
        <v>2999</v>
      </c>
      <c r="L43" s="282"/>
      <c r="M43" s="251" t="s">
        <v>630</v>
      </c>
      <c r="N43" s="251" t="s">
        <v>633</v>
      </c>
      <c r="O43" s="254" t="s">
        <v>2153</v>
      </c>
      <c r="P43" s="251" t="s">
        <v>3024</v>
      </c>
      <c r="Q43" s="251" t="s">
        <v>3007</v>
      </c>
      <c r="R43" s="251" t="s">
        <v>2999</v>
      </c>
      <c r="T43" s="251">
        <v>38.4</v>
      </c>
      <c r="U43" s="251">
        <v>38.4</v>
      </c>
      <c r="V43" s="251">
        <f t="shared" si="4"/>
        <v>345.00000000270006</v>
      </c>
      <c r="W43" s="251">
        <f t="shared" si="5"/>
        <v>360.00000000270006</v>
      </c>
      <c r="X43" s="251">
        <v>10</v>
      </c>
      <c r="Y43" s="251">
        <v>10</v>
      </c>
      <c r="Z43" s="251">
        <v>10</v>
      </c>
      <c r="AA43" s="251">
        <v>7</v>
      </c>
      <c r="AB43" s="251">
        <v>5</v>
      </c>
      <c r="AC43" s="251">
        <v>10</v>
      </c>
      <c r="AD43" s="251">
        <v>10</v>
      </c>
      <c r="AE43" s="251">
        <v>10</v>
      </c>
      <c r="AF43" s="251">
        <v>7.00000000001</v>
      </c>
      <c r="AG43" s="251">
        <v>5.50000000002</v>
      </c>
      <c r="AH43" s="251">
        <v>7.00000000003</v>
      </c>
      <c r="AI43" s="251">
        <v>4.00000000004</v>
      </c>
      <c r="AJ43" s="251">
        <v>5.0000000000000002E-11</v>
      </c>
      <c r="AK43" s="251">
        <v>7.00000000006</v>
      </c>
      <c r="AL43" s="251">
        <v>4.00000000007</v>
      </c>
      <c r="AM43" s="251">
        <v>4.00000000008</v>
      </c>
      <c r="AN43" s="251">
        <f t="shared" si="6"/>
        <v>70.000000000100002</v>
      </c>
      <c r="AO43" s="251">
        <f t="shared" si="7"/>
        <v>55.000000000200004</v>
      </c>
      <c r="AP43" s="251">
        <f t="shared" si="8"/>
        <v>70.000000000300005</v>
      </c>
      <c r="AQ43" s="251">
        <f t="shared" si="9"/>
        <v>28.00000000028</v>
      </c>
      <c r="AR43" s="251">
        <f t="shared" si="10"/>
        <v>2.5000000000000002E-10</v>
      </c>
      <c r="AS43" s="251">
        <f t="shared" si="11"/>
        <v>70.000000000599996</v>
      </c>
      <c r="AT43" s="251">
        <f t="shared" si="12"/>
        <v>40.000000000699998</v>
      </c>
      <c r="AU43" s="251">
        <f t="shared" si="13"/>
        <v>40.0000000008</v>
      </c>
      <c r="AV43" s="344" t="b">
        <f>IF(AN43&gt;LARGE($AN43:$AU43,7),TRUE)</f>
        <v>1</v>
      </c>
      <c r="AW43" s="344" t="b">
        <f t="shared" si="91"/>
        <v>1</v>
      </c>
      <c r="AX43" s="344" t="b">
        <f t="shared" si="92"/>
        <v>1</v>
      </c>
      <c r="AY43" s="344" t="b">
        <f t="shared" si="93"/>
        <v>0</v>
      </c>
      <c r="AZ43" s="344" t="b">
        <f t="shared" si="94"/>
        <v>0</v>
      </c>
      <c r="BA43" s="344" t="b">
        <f t="shared" si="95"/>
        <v>1</v>
      </c>
      <c r="BB43" s="344" t="b">
        <f t="shared" si="96"/>
        <v>1</v>
      </c>
      <c r="BC43" s="344" t="b">
        <f t="shared" si="97"/>
        <v>1</v>
      </c>
      <c r="BD43" s="251">
        <v>10</v>
      </c>
      <c r="BE43" s="251">
        <v>10</v>
      </c>
      <c r="BF43" s="251">
        <v>10</v>
      </c>
      <c r="BG43" s="251">
        <v>7</v>
      </c>
      <c r="BH43" s="251">
        <v>5</v>
      </c>
      <c r="BI43" s="251">
        <v>10</v>
      </c>
      <c r="BJ43" s="251">
        <v>10</v>
      </c>
      <c r="BK43" s="251">
        <v>10</v>
      </c>
      <c r="BL43" s="251">
        <v>5.50000000001</v>
      </c>
      <c r="BM43" s="251">
        <v>5.50000000002</v>
      </c>
      <c r="BN43" s="251">
        <v>7.00000000003</v>
      </c>
      <c r="BO43" s="251">
        <v>5.50000000004</v>
      </c>
      <c r="BP43" s="251">
        <v>5.0000000000000002E-11</v>
      </c>
      <c r="BQ43" s="251">
        <v>7.00000000006</v>
      </c>
      <c r="BR43" s="251">
        <v>7.00000000007</v>
      </c>
      <c r="BS43" s="251">
        <v>4.00000000008</v>
      </c>
      <c r="BT43" s="251">
        <f t="shared" si="22"/>
        <v>55.000000000100002</v>
      </c>
      <c r="BU43" s="251">
        <f t="shared" si="23"/>
        <v>55.000000000200004</v>
      </c>
      <c r="BV43" s="251">
        <f t="shared" si="24"/>
        <v>70.000000000300005</v>
      </c>
      <c r="BW43" s="251">
        <f t="shared" si="25"/>
        <v>38.500000000279996</v>
      </c>
      <c r="BX43" s="251">
        <f t="shared" si="26"/>
        <v>2.5000000000000002E-10</v>
      </c>
      <c r="BY43" s="251">
        <f t="shared" si="27"/>
        <v>70.000000000599996</v>
      </c>
      <c r="BZ43" s="251">
        <f t="shared" si="28"/>
        <v>70.000000000699998</v>
      </c>
      <c r="CA43" s="251">
        <f t="shared" si="29"/>
        <v>40.0000000008</v>
      </c>
      <c r="CB43" s="344" t="b">
        <f>IF(BT43&gt;LARGE($BT43:$CA43,7),TRUE)</f>
        <v>1</v>
      </c>
      <c r="CC43" s="344" t="b">
        <f t="shared" si="98"/>
        <v>1</v>
      </c>
      <c r="CD43" s="344" t="b">
        <f t="shared" si="99"/>
        <v>1</v>
      </c>
      <c r="CE43" s="344" t="b">
        <f t="shared" si="100"/>
        <v>0</v>
      </c>
      <c r="CF43" s="344" t="b">
        <f t="shared" si="101"/>
        <v>0</v>
      </c>
      <c r="CG43" s="344" t="b">
        <f t="shared" si="102"/>
        <v>1</v>
      </c>
      <c r="CH43" s="344" t="b">
        <f t="shared" si="103"/>
        <v>1</v>
      </c>
      <c r="CI43" s="344" t="b">
        <f t="shared" si="104"/>
        <v>1</v>
      </c>
    </row>
    <row r="44" spans="1:87" x14ac:dyDescent="0.3">
      <c r="A44" s="251" t="s">
        <v>636</v>
      </c>
      <c r="B44" s="251" t="s">
        <v>2365</v>
      </c>
      <c r="C44" s="251" t="s">
        <v>641</v>
      </c>
      <c r="D44" s="282" t="s">
        <v>637</v>
      </c>
      <c r="E44" s="254" t="s">
        <v>2153</v>
      </c>
      <c r="F44" s="251">
        <v>100</v>
      </c>
      <c r="G44" s="282"/>
      <c r="H44" s="282"/>
      <c r="I44" s="251" t="s">
        <v>3021</v>
      </c>
      <c r="J44" s="251" t="s">
        <v>3015</v>
      </c>
      <c r="K44" s="251" t="s">
        <v>2999</v>
      </c>
      <c r="L44" s="282"/>
      <c r="M44" s="251" t="s">
        <v>636</v>
      </c>
      <c r="N44" s="251" t="s">
        <v>639</v>
      </c>
      <c r="O44" s="254" t="s">
        <v>2153</v>
      </c>
      <c r="P44" s="251" t="s">
        <v>3021</v>
      </c>
      <c r="Q44" s="251" t="s">
        <v>3015</v>
      </c>
      <c r="R44" s="251" t="s">
        <v>2999</v>
      </c>
      <c r="T44" s="251">
        <v>37.799999999999997</v>
      </c>
      <c r="U44" s="251">
        <v>37.799999999999997</v>
      </c>
      <c r="V44" s="251">
        <f>SUMIF(AV44:BC44,TRUE,AN44:AU44)</f>
        <v>322.50000000209002</v>
      </c>
      <c r="W44" s="251">
        <f>SUMIF(CB44:CI44,TRUE,BT44:CA44)</f>
        <v>333.00000000209002</v>
      </c>
      <c r="X44" s="251">
        <v>10</v>
      </c>
      <c r="Y44" s="251">
        <v>10</v>
      </c>
      <c r="Z44" s="251">
        <v>7</v>
      </c>
      <c r="AA44" s="251">
        <v>7</v>
      </c>
      <c r="AB44" s="251">
        <v>5</v>
      </c>
      <c r="AC44" s="251">
        <v>10</v>
      </c>
      <c r="AD44" s="251">
        <v>10</v>
      </c>
      <c r="AE44" s="251">
        <v>5</v>
      </c>
      <c r="AF44" s="251">
        <v>7.00000000001</v>
      </c>
      <c r="AG44" s="251">
        <v>5.50000000002</v>
      </c>
      <c r="AH44" s="251">
        <v>5.50000000003</v>
      </c>
      <c r="AI44" s="251">
        <v>7.00000000004</v>
      </c>
      <c r="AJ44" s="251">
        <v>5.0000000000000002E-11</v>
      </c>
      <c r="AK44" s="251">
        <v>5.50000000006</v>
      </c>
      <c r="AL44" s="251">
        <v>5.50000000007</v>
      </c>
      <c r="AM44" s="251">
        <v>5.50000000008</v>
      </c>
      <c r="AN44" s="251">
        <f t="shared" si="6"/>
        <v>70.000000000100002</v>
      </c>
      <c r="AO44" s="251">
        <f t="shared" si="7"/>
        <v>55.000000000200004</v>
      </c>
      <c r="AP44" s="251">
        <f t="shared" si="8"/>
        <v>38.500000000210001</v>
      </c>
      <c r="AQ44" s="251">
        <f t="shared" si="9"/>
        <v>49.000000000279996</v>
      </c>
      <c r="AR44" s="251">
        <f t="shared" si="10"/>
        <v>2.5000000000000002E-10</v>
      </c>
      <c r="AS44" s="251">
        <f t="shared" si="11"/>
        <v>55.000000000599996</v>
      </c>
      <c r="AT44" s="251">
        <f t="shared" si="12"/>
        <v>55.000000000699998</v>
      </c>
      <c r="AU44" s="251">
        <f t="shared" si="13"/>
        <v>27.5000000004</v>
      </c>
      <c r="AV44" s="344" t="b">
        <f>IF(AN44&gt;LARGE($AN44:$AU44,7),TRUE)</f>
        <v>1</v>
      </c>
      <c r="AW44" s="344" t="b">
        <f t="shared" si="91"/>
        <v>1</v>
      </c>
      <c r="AX44" s="344" t="b">
        <f t="shared" si="92"/>
        <v>1</v>
      </c>
      <c r="AY44" s="344" t="b">
        <f t="shared" si="93"/>
        <v>1</v>
      </c>
      <c r="AZ44" s="344" t="b">
        <f t="shared" si="94"/>
        <v>0</v>
      </c>
      <c r="BA44" s="344" t="b">
        <f t="shared" si="95"/>
        <v>1</v>
      </c>
      <c r="BB44" s="344" t="b">
        <f t="shared" si="96"/>
        <v>1</v>
      </c>
      <c r="BC44" s="344" t="b">
        <f t="shared" si="97"/>
        <v>0</v>
      </c>
      <c r="BD44" s="251">
        <v>10</v>
      </c>
      <c r="BE44" s="251">
        <v>10</v>
      </c>
      <c r="BF44" s="251">
        <v>7</v>
      </c>
      <c r="BG44" s="251">
        <v>7</v>
      </c>
      <c r="BH44" s="251">
        <v>5</v>
      </c>
      <c r="BI44" s="251">
        <v>10</v>
      </c>
      <c r="BJ44" s="251">
        <v>10</v>
      </c>
      <c r="BK44" s="251">
        <v>5</v>
      </c>
      <c r="BL44" s="251">
        <v>5.50000000001</v>
      </c>
      <c r="BM44" s="251">
        <v>5.50000000002</v>
      </c>
      <c r="BN44" s="251">
        <v>7.00000000003</v>
      </c>
      <c r="BO44" s="251">
        <v>7.00000000004</v>
      </c>
      <c r="BP44" s="251">
        <v>5.0000000000000002E-11</v>
      </c>
      <c r="BQ44" s="251">
        <v>7.00000000006</v>
      </c>
      <c r="BR44" s="251">
        <v>5.50000000007</v>
      </c>
      <c r="BS44" s="251">
        <v>4.00000000008</v>
      </c>
      <c r="BT44" s="251">
        <f t="shared" si="22"/>
        <v>55.000000000100002</v>
      </c>
      <c r="BU44" s="251">
        <f t="shared" si="23"/>
        <v>55.000000000200004</v>
      </c>
      <c r="BV44" s="251">
        <f t="shared" si="24"/>
        <v>49.000000000210001</v>
      </c>
      <c r="BW44" s="251">
        <f t="shared" si="25"/>
        <v>49.000000000279996</v>
      </c>
      <c r="BX44" s="251">
        <f t="shared" si="26"/>
        <v>2.5000000000000002E-10</v>
      </c>
      <c r="BY44" s="251">
        <f t="shared" si="27"/>
        <v>70.000000000599996</v>
      </c>
      <c r="BZ44" s="251">
        <f t="shared" si="28"/>
        <v>55.000000000699998</v>
      </c>
      <c r="CA44" s="251">
        <f t="shared" si="29"/>
        <v>20.0000000004</v>
      </c>
      <c r="CB44" s="344" t="b">
        <f>IF(BT44&gt;LARGE($BT44:$CA44,7),TRUE)</f>
        <v>1</v>
      </c>
      <c r="CC44" s="344" t="b">
        <f t="shared" si="98"/>
        <v>1</v>
      </c>
      <c r="CD44" s="344" t="b">
        <f t="shared" si="99"/>
        <v>1</v>
      </c>
      <c r="CE44" s="344" t="b">
        <f t="shared" si="100"/>
        <v>1</v>
      </c>
      <c r="CF44" s="344" t="b">
        <f t="shared" si="101"/>
        <v>0</v>
      </c>
      <c r="CG44" s="344" t="b">
        <f t="shared" si="102"/>
        <v>1</v>
      </c>
      <c r="CH44" s="344" t="b">
        <f t="shared" si="103"/>
        <v>1</v>
      </c>
      <c r="CI44" s="344" t="b">
        <f t="shared" si="104"/>
        <v>0</v>
      </c>
    </row>
    <row r="45" spans="1:87" x14ac:dyDescent="0.3">
      <c r="A45" s="251" t="s">
        <v>642</v>
      </c>
      <c r="B45" s="251" t="s">
        <v>2365</v>
      </c>
      <c r="C45" s="251" t="s">
        <v>647</v>
      </c>
      <c r="D45" s="282" t="s">
        <v>643</v>
      </c>
      <c r="E45" s="254" t="s">
        <v>2153</v>
      </c>
      <c r="F45" s="251">
        <v>150</v>
      </c>
      <c r="G45" s="282"/>
      <c r="H45" s="282"/>
      <c r="I45" s="251" t="s">
        <v>3023</v>
      </c>
      <c r="J45" s="251" t="s">
        <v>3015</v>
      </c>
      <c r="K45" s="251" t="s">
        <v>2999</v>
      </c>
      <c r="L45" s="282"/>
      <c r="M45" s="251" t="s">
        <v>642</v>
      </c>
      <c r="N45" s="251" t="s">
        <v>645</v>
      </c>
      <c r="O45" s="254" t="s">
        <v>2153</v>
      </c>
      <c r="P45" s="251" t="s">
        <v>3023</v>
      </c>
      <c r="Q45" s="251" t="s">
        <v>3015</v>
      </c>
      <c r="R45" s="251" t="s">
        <v>2999</v>
      </c>
      <c r="T45" s="251">
        <v>39.9</v>
      </c>
      <c r="U45" s="251">
        <v>39.9</v>
      </c>
      <c r="V45" s="251">
        <f t="shared" si="4"/>
        <v>348.00000000209002</v>
      </c>
      <c r="W45" s="251">
        <f t="shared" si="5"/>
        <v>372.00000000209002</v>
      </c>
      <c r="X45" s="251">
        <v>10</v>
      </c>
      <c r="Y45" s="251">
        <v>10</v>
      </c>
      <c r="Z45" s="251">
        <v>7</v>
      </c>
      <c r="AA45" s="251">
        <v>7</v>
      </c>
      <c r="AB45" s="251">
        <v>5</v>
      </c>
      <c r="AC45" s="251">
        <v>10</v>
      </c>
      <c r="AD45" s="251">
        <v>10</v>
      </c>
      <c r="AE45" s="251">
        <v>5</v>
      </c>
      <c r="AF45" s="251">
        <v>5.50000000001</v>
      </c>
      <c r="AG45" s="251">
        <v>5.50000000002</v>
      </c>
      <c r="AH45" s="251">
        <v>5.50000000003</v>
      </c>
      <c r="AI45" s="251">
        <v>8.50000000004</v>
      </c>
      <c r="AJ45" s="251">
        <v>5.0000000000000002E-11</v>
      </c>
      <c r="AK45" s="251">
        <v>7.00000000006</v>
      </c>
      <c r="AL45" s="251">
        <v>7.00000000007</v>
      </c>
      <c r="AM45" s="251">
        <v>7.9999999999999995E-11</v>
      </c>
      <c r="AN45" s="251">
        <f t="shared" si="6"/>
        <v>55.000000000100002</v>
      </c>
      <c r="AO45" s="251">
        <f t="shared" si="7"/>
        <v>55.000000000200004</v>
      </c>
      <c r="AP45" s="251">
        <f t="shared" si="8"/>
        <v>38.500000000210001</v>
      </c>
      <c r="AQ45" s="251">
        <f t="shared" si="9"/>
        <v>59.500000000279996</v>
      </c>
      <c r="AR45" s="251">
        <f t="shared" si="10"/>
        <v>2.5000000000000002E-10</v>
      </c>
      <c r="AS45" s="251">
        <f t="shared" si="11"/>
        <v>70.000000000599996</v>
      </c>
      <c r="AT45" s="251">
        <f t="shared" si="12"/>
        <v>70.000000000699998</v>
      </c>
      <c r="AU45" s="251">
        <f t="shared" si="13"/>
        <v>3.9999999999999996E-10</v>
      </c>
      <c r="AV45" s="344" t="b">
        <f>IF(AN45&gt;LARGE($AN45:$AU45,7),TRUE)</f>
        <v>1</v>
      </c>
      <c r="AW45" s="344" t="b">
        <f t="shared" si="91"/>
        <v>1</v>
      </c>
      <c r="AX45" s="344" t="b">
        <f t="shared" si="92"/>
        <v>1</v>
      </c>
      <c r="AY45" s="344" t="b">
        <f t="shared" si="93"/>
        <v>1</v>
      </c>
      <c r="AZ45" s="344" t="b">
        <f t="shared" si="94"/>
        <v>0</v>
      </c>
      <c r="BA45" s="344" t="b">
        <f t="shared" si="95"/>
        <v>1</v>
      </c>
      <c r="BB45" s="344" t="b">
        <f t="shared" si="96"/>
        <v>1</v>
      </c>
      <c r="BC45" s="344" t="b">
        <f t="shared" si="97"/>
        <v>0</v>
      </c>
      <c r="BD45" s="251">
        <v>10</v>
      </c>
      <c r="BE45" s="251">
        <v>10</v>
      </c>
      <c r="BF45" s="251">
        <v>7</v>
      </c>
      <c r="BG45" s="251">
        <v>7</v>
      </c>
      <c r="BH45" s="251">
        <v>5</v>
      </c>
      <c r="BI45" s="251">
        <v>10</v>
      </c>
      <c r="BJ45" s="251">
        <v>10</v>
      </c>
      <c r="BK45" s="251">
        <v>5</v>
      </c>
      <c r="BL45" s="251">
        <v>8.5000000000099991</v>
      </c>
      <c r="BM45" s="251">
        <v>7.00000000002</v>
      </c>
      <c r="BN45" s="251">
        <v>5.50000000003</v>
      </c>
      <c r="BO45" s="251">
        <v>5.50000000004</v>
      </c>
      <c r="BP45" s="251">
        <v>5.50000000005</v>
      </c>
      <c r="BQ45" s="251">
        <v>7.00000000006</v>
      </c>
      <c r="BR45" s="251">
        <v>7.00000000007</v>
      </c>
      <c r="BS45" s="251">
        <v>5.50000000008</v>
      </c>
      <c r="BT45" s="251">
        <f t="shared" si="22"/>
        <v>85.000000000099988</v>
      </c>
      <c r="BU45" s="251">
        <f t="shared" si="23"/>
        <v>70.000000000200004</v>
      </c>
      <c r="BV45" s="251">
        <f t="shared" si="24"/>
        <v>38.500000000210001</v>
      </c>
      <c r="BW45" s="251">
        <f t="shared" si="25"/>
        <v>38.500000000279996</v>
      </c>
      <c r="BX45" s="251">
        <f t="shared" si="26"/>
        <v>27.500000000250001</v>
      </c>
      <c r="BY45" s="251">
        <f t="shared" si="27"/>
        <v>70.000000000599996</v>
      </c>
      <c r="BZ45" s="251">
        <f t="shared" si="28"/>
        <v>70.000000000699998</v>
      </c>
      <c r="CA45" s="251">
        <f t="shared" si="29"/>
        <v>27.5000000004</v>
      </c>
      <c r="CB45" s="344" t="b">
        <f>IF(BT45&gt;LARGE($BT45:$CA45,7),TRUE)</f>
        <v>1</v>
      </c>
      <c r="CC45" s="344" t="b">
        <f t="shared" si="98"/>
        <v>1</v>
      </c>
      <c r="CD45" s="344" t="b">
        <f t="shared" si="99"/>
        <v>1</v>
      </c>
      <c r="CE45" s="344" t="b">
        <f t="shared" si="100"/>
        <v>1</v>
      </c>
      <c r="CF45" s="344" t="b">
        <f t="shared" si="101"/>
        <v>0</v>
      </c>
      <c r="CG45" s="344" t="b">
        <f t="shared" si="102"/>
        <v>1</v>
      </c>
      <c r="CH45" s="344" t="b">
        <f t="shared" si="103"/>
        <v>1</v>
      </c>
      <c r="CI45" s="344" t="b">
        <f t="shared" si="104"/>
        <v>0</v>
      </c>
    </row>
    <row r="46" spans="1:87" x14ac:dyDescent="0.3">
      <c r="A46" s="251" t="s">
        <v>648</v>
      </c>
      <c r="B46" s="251" t="s">
        <v>2365</v>
      </c>
      <c r="C46" s="251" t="s">
        <v>653</v>
      </c>
      <c r="D46" s="282" t="s">
        <v>649</v>
      </c>
      <c r="E46" s="254" t="s">
        <v>1967</v>
      </c>
      <c r="F46" s="251">
        <v>193</v>
      </c>
      <c r="G46" s="282"/>
      <c r="H46" s="282"/>
      <c r="I46" s="251" t="s">
        <v>3020</v>
      </c>
      <c r="J46" s="251" t="s">
        <v>1978</v>
      </c>
      <c r="K46" s="251" t="s">
        <v>2999</v>
      </c>
      <c r="L46" s="282"/>
      <c r="M46" s="251" t="s">
        <v>648</v>
      </c>
      <c r="N46" s="251" t="s">
        <v>651</v>
      </c>
      <c r="O46" s="254" t="s">
        <v>1967</v>
      </c>
      <c r="P46" s="251" t="s">
        <v>3020</v>
      </c>
      <c r="Q46" s="251" t="s">
        <v>1978</v>
      </c>
      <c r="R46" s="251" t="s">
        <v>2999</v>
      </c>
      <c r="T46" s="251">
        <v>29.5</v>
      </c>
      <c r="U46" s="251">
        <v>29.5</v>
      </c>
      <c r="V46" s="251">
        <f t="shared" si="4"/>
        <v>265.00000000195001</v>
      </c>
      <c r="W46" s="251">
        <f t="shared" si="5"/>
        <v>265.00000000200004</v>
      </c>
      <c r="X46" s="251">
        <v>10</v>
      </c>
      <c r="Y46" s="251">
        <v>10</v>
      </c>
      <c r="Z46" s="251">
        <v>10</v>
      </c>
      <c r="AA46" s="251">
        <v>10</v>
      </c>
      <c r="AB46" s="251">
        <v>5</v>
      </c>
      <c r="AC46" s="251">
        <v>10</v>
      </c>
      <c r="AD46" s="251">
        <v>5</v>
      </c>
      <c r="AE46" s="251">
        <v>5</v>
      </c>
      <c r="AF46" s="251">
        <v>7.00000000001</v>
      </c>
      <c r="AG46" s="251">
        <v>3.00000000002</v>
      </c>
      <c r="AH46" s="251">
        <v>5.50000000003</v>
      </c>
      <c r="AI46" s="251">
        <v>5.50000000004</v>
      </c>
      <c r="AJ46" s="251">
        <v>3.00000000005</v>
      </c>
      <c r="AK46" s="251">
        <v>4.00000000006</v>
      </c>
      <c r="AL46" s="251">
        <v>3.00000000007</v>
      </c>
      <c r="AM46" s="251">
        <v>7.9999999999999995E-11</v>
      </c>
      <c r="AN46" s="251">
        <f t="shared" si="6"/>
        <v>70.000000000100002</v>
      </c>
      <c r="AO46" s="251">
        <f t="shared" si="7"/>
        <v>30.0000000002</v>
      </c>
      <c r="AP46" s="251">
        <f t="shared" si="8"/>
        <v>55.000000000299998</v>
      </c>
      <c r="AQ46" s="251">
        <f t="shared" si="9"/>
        <v>55.0000000004</v>
      </c>
      <c r="AR46" s="251">
        <f t="shared" si="10"/>
        <v>15.000000000250001</v>
      </c>
      <c r="AS46" s="251">
        <f t="shared" si="11"/>
        <v>40.000000000599996</v>
      </c>
      <c r="AT46" s="251">
        <f t="shared" si="12"/>
        <v>15.000000000349999</v>
      </c>
      <c r="AU46" s="251">
        <f t="shared" si="13"/>
        <v>3.9999999999999996E-10</v>
      </c>
      <c r="AV46" s="344" t="b">
        <v>1</v>
      </c>
      <c r="AW46" s="344" t="b">
        <v>1</v>
      </c>
      <c r="AX46" s="344" t="b">
        <v>1</v>
      </c>
      <c r="AY46" s="344" t="b">
        <v>1</v>
      </c>
      <c r="AZ46" s="344" t="b">
        <f>IF(AR46&gt;LARGE($AR46:$AU46,3),TRUE)</f>
        <v>0</v>
      </c>
      <c r="BA46" s="344" t="b">
        <f t="shared" ref="BA46" si="105">IF(AS46&gt;LARGE($AR46:$AU46,3),TRUE)</f>
        <v>1</v>
      </c>
      <c r="BB46" s="344" t="b">
        <f t="shared" ref="BB46" si="106">IF(AT46&gt;LARGE($AR46:$AU46,3),TRUE)</f>
        <v>1</v>
      </c>
      <c r="BC46" s="344" t="b">
        <f t="shared" ref="BC46" si="107">IF(AU46&gt;LARGE($AR46:$AU46,3),TRUE)</f>
        <v>0</v>
      </c>
      <c r="BD46" s="251">
        <v>10</v>
      </c>
      <c r="BE46" s="251">
        <v>10</v>
      </c>
      <c r="BF46" s="251">
        <v>10</v>
      </c>
      <c r="BG46" s="251">
        <v>10</v>
      </c>
      <c r="BH46" s="251">
        <v>5</v>
      </c>
      <c r="BI46" s="251">
        <v>10</v>
      </c>
      <c r="BJ46" s="251">
        <v>5</v>
      </c>
      <c r="BK46" s="251">
        <v>5</v>
      </c>
      <c r="BL46" s="251">
        <v>4.00000000001</v>
      </c>
      <c r="BM46" s="251">
        <v>5.50000000002</v>
      </c>
      <c r="BN46" s="251">
        <v>5.50000000003</v>
      </c>
      <c r="BO46" s="251">
        <v>4.00000000004</v>
      </c>
      <c r="BP46" s="251">
        <v>5.0000000000000002E-11</v>
      </c>
      <c r="BQ46" s="251">
        <v>5.50000000006</v>
      </c>
      <c r="BR46" s="251">
        <v>4.00000000007</v>
      </c>
      <c r="BS46" s="251">
        <v>4.00000000008</v>
      </c>
      <c r="BT46" s="251">
        <f t="shared" si="22"/>
        <v>40.000000000100002</v>
      </c>
      <c r="BU46" s="251">
        <f t="shared" si="23"/>
        <v>55.000000000200004</v>
      </c>
      <c r="BV46" s="251">
        <f t="shared" si="24"/>
        <v>55.000000000299998</v>
      </c>
      <c r="BW46" s="251">
        <f t="shared" si="25"/>
        <v>40.0000000004</v>
      </c>
      <c r="BX46" s="251">
        <f t="shared" si="26"/>
        <v>2.5000000000000002E-10</v>
      </c>
      <c r="BY46" s="251">
        <f t="shared" si="27"/>
        <v>55.000000000599996</v>
      </c>
      <c r="BZ46" s="251">
        <f t="shared" si="28"/>
        <v>20.000000000349999</v>
      </c>
      <c r="CA46" s="251">
        <f t="shared" si="29"/>
        <v>20.0000000004</v>
      </c>
      <c r="CB46" s="344" t="b">
        <v>1</v>
      </c>
      <c r="CC46" s="344" t="b">
        <v>1</v>
      </c>
      <c r="CD46" s="344" t="b">
        <v>1</v>
      </c>
      <c r="CE46" s="344" t="b">
        <v>1</v>
      </c>
      <c r="CF46" s="344" t="b">
        <f>IF(BX46&gt;LARGE($BX46:$CA46,3),TRUE)</f>
        <v>0</v>
      </c>
      <c r="CG46" s="344" t="b">
        <f t="shared" ref="CG46:CI46" si="108">IF(BY46&gt;LARGE($BX46:$CA46,3),TRUE)</f>
        <v>1</v>
      </c>
      <c r="CH46" s="344" t="b">
        <f t="shared" si="108"/>
        <v>0</v>
      </c>
      <c r="CI46" s="344" t="b">
        <f t="shared" si="108"/>
        <v>1</v>
      </c>
    </row>
    <row r="48" spans="1:87" x14ac:dyDescent="0.3">
      <c r="C48" s="282"/>
    </row>
    <row r="49" spans="3:79" x14ac:dyDescent="0.3">
      <c r="C49" s="282"/>
    </row>
    <row r="50" spans="3:79" x14ac:dyDescent="0.3">
      <c r="C50" s="282"/>
    </row>
    <row r="51" spans="3:79" x14ac:dyDescent="0.3">
      <c r="C51" s="282"/>
    </row>
    <row r="52" spans="3:79" x14ac:dyDescent="0.3">
      <c r="C52" s="282"/>
    </row>
    <row r="53" spans="3:79" x14ac:dyDescent="0.3">
      <c r="C53" s="282"/>
      <c r="AF53" s="344">
        <v>4</v>
      </c>
      <c r="AG53" s="344">
        <v>4</v>
      </c>
      <c r="AH53" s="344">
        <v>4</v>
      </c>
      <c r="AI53" s="344">
        <v>4</v>
      </c>
      <c r="AJ53" s="344"/>
      <c r="AK53" s="344">
        <v>4</v>
      </c>
      <c r="AL53" s="344">
        <v>4</v>
      </c>
      <c r="AM53" s="344">
        <v>3</v>
      </c>
      <c r="AN53" s="251">
        <f>AF53+0.00000000001</f>
        <v>4.00000000001</v>
      </c>
      <c r="AO53" s="344">
        <f>AG53+0.00000000002</f>
        <v>4.00000000002</v>
      </c>
      <c r="AP53" s="344">
        <f>AH53+0.00000000003</f>
        <v>4.00000000003</v>
      </c>
      <c r="AQ53" s="344">
        <f>AI53+0.00000000004</f>
        <v>4.00000000004</v>
      </c>
      <c r="AR53" s="344">
        <f>AJ53+0.00000000005</f>
        <v>5.0000000000000002E-11</v>
      </c>
      <c r="AS53" s="344">
        <f>AK53+0.00000000006</f>
        <v>4.00000000006</v>
      </c>
      <c r="AT53" s="344">
        <f>AL53+0.00000000007</f>
        <v>4.00000000007</v>
      </c>
      <c r="AU53" s="344">
        <f>AM53+0.00000000008</f>
        <v>3.00000000008</v>
      </c>
      <c r="BL53" s="344">
        <v>4</v>
      </c>
      <c r="BM53" s="344">
        <v>4</v>
      </c>
      <c r="BN53" s="344">
        <v>3</v>
      </c>
      <c r="BO53" s="344">
        <v>4</v>
      </c>
      <c r="BP53" s="344"/>
      <c r="BQ53" s="344">
        <v>5.5</v>
      </c>
      <c r="BR53" s="344">
        <v>4</v>
      </c>
      <c r="BS53" s="344"/>
      <c r="BT53" s="344">
        <f>BL53+0.00000000001</f>
        <v>4.00000000001</v>
      </c>
      <c r="BU53" s="344">
        <f>BM53+0.00000000002</f>
        <v>4.00000000002</v>
      </c>
      <c r="BV53" s="344">
        <f>BN53+0.00000000003</f>
        <v>3.00000000003</v>
      </c>
      <c r="BW53" s="344">
        <f>BO53+0.00000000004</f>
        <v>4.00000000004</v>
      </c>
      <c r="BX53" s="344">
        <f>BP53+0.00000000005</f>
        <v>5.0000000000000002E-11</v>
      </c>
      <c r="BY53" s="344">
        <f>BQ53+0.00000000006</f>
        <v>5.50000000006</v>
      </c>
      <c r="BZ53" s="344">
        <f>BR53+0.00000000007</f>
        <v>4.00000000007</v>
      </c>
      <c r="CA53" s="344">
        <f>BS53+0.00000000008</f>
        <v>7.9999999999999995E-11</v>
      </c>
    </row>
    <row r="54" spans="3:79" x14ac:dyDescent="0.3">
      <c r="C54" s="282"/>
      <c r="AF54" s="344">
        <v>7</v>
      </c>
      <c r="AG54" s="344">
        <v>3</v>
      </c>
      <c r="AH54" s="344">
        <v>4</v>
      </c>
      <c r="AI54" s="344">
        <v>4</v>
      </c>
      <c r="AJ54" s="344"/>
      <c r="AK54" s="344">
        <v>3</v>
      </c>
      <c r="AL54" s="344">
        <v>3</v>
      </c>
      <c r="AM54" s="344">
        <v>2</v>
      </c>
      <c r="AN54" s="344">
        <f t="shared" ref="AN54:AN97" si="109">AF54+0.00000000001</f>
        <v>7.00000000001</v>
      </c>
      <c r="AO54" s="344">
        <f t="shared" ref="AO54:AO97" si="110">AG54+0.00000000002</f>
        <v>3.00000000002</v>
      </c>
      <c r="AP54" s="344">
        <f t="shared" ref="AP54:AP97" si="111">AH54+0.00000000003</f>
        <v>4.00000000003</v>
      </c>
      <c r="AQ54" s="344">
        <f t="shared" ref="AQ54:AQ97" si="112">AI54+0.00000000004</f>
        <v>4.00000000004</v>
      </c>
      <c r="AR54" s="344">
        <f t="shared" ref="AR54:AR97" si="113">AJ54+0.00000000005</f>
        <v>5.0000000000000002E-11</v>
      </c>
      <c r="AS54" s="344">
        <f t="shared" ref="AS54:AS97" si="114">AK54+0.00000000006</f>
        <v>3.00000000006</v>
      </c>
      <c r="AT54" s="344">
        <f t="shared" ref="AT54:AT97" si="115">AL54+0.00000000007</f>
        <v>3.00000000007</v>
      </c>
      <c r="AU54" s="344">
        <f t="shared" ref="AU54:AU97" si="116">AM54+0.00000000008</f>
        <v>2.00000000008</v>
      </c>
      <c r="BL54" s="344">
        <v>3</v>
      </c>
      <c r="BM54" s="344">
        <v>3</v>
      </c>
      <c r="BN54" s="344">
        <v>4</v>
      </c>
      <c r="BO54" s="344">
        <v>4</v>
      </c>
      <c r="BP54" s="344"/>
      <c r="BQ54" s="344">
        <v>5.5</v>
      </c>
      <c r="BR54" s="344">
        <v>5.5</v>
      </c>
      <c r="BS54" s="344">
        <v>4</v>
      </c>
      <c r="BT54" s="344">
        <f t="shared" ref="BT54:BT74" si="117">BL54+0.00000000001</f>
        <v>3.00000000001</v>
      </c>
      <c r="BU54" s="344">
        <f t="shared" ref="BU54:BU74" si="118">BM54+0.00000000002</f>
        <v>3.00000000002</v>
      </c>
      <c r="BV54" s="344">
        <f t="shared" ref="BV54:BV74" si="119">BN54+0.00000000003</f>
        <v>4.00000000003</v>
      </c>
      <c r="BW54" s="344">
        <f t="shared" ref="BW54:BW74" si="120">BO54+0.00000000004</f>
        <v>4.00000000004</v>
      </c>
      <c r="BX54" s="344">
        <f t="shared" ref="BX54:BX74" si="121">BP54+0.00000000005</f>
        <v>5.0000000000000002E-11</v>
      </c>
      <c r="BY54" s="344">
        <f t="shared" ref="BY54:BY74" si="122">BQ54+0.00000000006</f>
        <v>5.50000000006</v>
      </c>
      <c r="BZ54" s="344">
        <f t="shared" ref="BZ54:BZ74" si="123">BR54+0.00000000007</f>
        <v>5.50000000007</v>
      </c>
      <c r="CA54" s="344">
        <f t="shared" ref="CA54:CA74" si="124">BS54+0.00000000008</f>
        <v>4.00000000008</v>
      </c>
    </row>
    <row r="55" spans="3:79" x14ac:dyDescent="0.3">
      <c r="C55" s="282"/>
      <c r="AF55" s="344">
        <v>3</v>
      </c>
      <c r="AG55" s="344">
        <v>4</v>
      </c>
      <c r="AH55" s="344">
        <v>4</v>
      </c>
      <c r="AI55" s="344">
        <v>2</v>
      </c>
      <c r="AJ55" s="344"/>
      <c r="AK55" s="344">
        <v>4</v>
      </c>
      <c r="AL55" s="344">
        <v>4</v>
      </c>
      <c r="AM55" s="344"/>
      <c r="AN55" s="344">
        <f t="shared" si="109"/>
        <v>3.00000000001</v>
      </c>
      <c r="AO55" s="344">
        <f t="shared" si="110"/>
        <v>4.00000000002</v>
      </c>
      <c r="AP55" s="344">
        <f t="shared" si="111"/>
        <v>4.00000000003</v>
      </c>
      <c r="AQ55" s="344">
        <f t="shared" si="112"/>
        <v>2.00000000004</v>
      </c>
      <c r="AR55" s="344">
        <f t="shared" si="113"/>
        <v>5.0000000000000002E-11</v>
      </c>
      <c r="AS55" s="344">
        <f t="shared" si="114"/>
        <v>4.00000000006</v>
      </c>
      <c r="AT55" s="344">
        <f t="shared" si="115"/>
        <v>4.00000000007</v>
      </c>
      <c r="AU55" s="344">
        <f t="shared" si="116"/>
        <v>7.9999999999999995E-11</v>
      </c>
      <c r="BL55" s="344">
        <v>4</v>
      </c>
      <c r="BM55" s="344">
        <v>4</v>
      </c>
      <c r="BN55" s="344">
        <v>4</v>
      </c>
      <c r="BO55" s="344">
        <v>4</v>
      </c>
      <c r="BP55" s="344"/>
      <c r="BQ55" s="344">
        <v>4</v>
      </c>
      <c r="BR55" s="344">
        <v>4</v>
      </c>
      <c r="BS55" s="344"/>
      <c r="BT55" s="344">
        <f t="shared" si="117"/>
        <v>4.00000000001</v>
      </c>
      <c r="BU55" s="344">
        <f t="shared" si="118"/>
        <v>4.00000000002</v>
      </c>
      <c r="BV55" s="344">
        <f t="shared" si="119"/>
        <v>4.00000000003</v>
      </c>
      <c r="BW55" s="344">
        <f t="shared" si="120"/>
        <v>4.00000000004</v>
      </c>
      <c r="BX55" s="344">
        <f t="shared" si="121"/>
        <v>5.0000000000000002E-11</v>
      </c>
      <c r="BY55" s="344">
        <f t="shared" si="122"/>
        <v>4.00000000006</v>
      </c>
      <c r="BZ55" s="344">
        <f t="shared" si="123"/>
        <v>4.00000000007</v>
      </c>
      <c r="CA55" s="344">
        <f t="shared" si="124"/>
        <v>7.9999999999999995E-11</v>
      </c>
    </row>
    <row r="56" spans="3:79" x14ac:dyDescent="0.3">
      <c r="C56" s="282"/>
      <c r="AF56" s="344">
        <v>3</v>
      </c>
      <c r="AG56" s="344">
        <v>3</v>
      </c>
      <c r="AH56" s="344">
        <v>4</v>
      </c>
      <c r="AI56" s="344">
        <v>4</v>
      </c>
      <c r="AJ56" s="344"/>
      <c r="AK56" s="344">
        <v>5.5</v>
      </c>
      <c r="AL56" s="344">
        <v>4</v>
      </c>
      <c r="AM56" s="344"/>
      <c r="AN56" s="344">
        <f t="shared" si="109"/>
        <v>3.00000000001</v>
      </c>
      <c r="AO56" s="344">
        <f t="shared" si="110"/>
        <v>3.00000000002</v>
      </c>
      <c r="AP56" s="344">
        <f t="shared" si="111"/>
        <v>4.00000000003</v>
      </c>
      <c r="AQ56" s="344">
        <f t="shared" si="112"/>
        <v>4.00000000004</v>
      </c>
      <c r="AR56" s="344">
        <f t="shared" si="113"/>
        <v>5.0000000000000002E-11</v>
      </c>
      <c r="AS56" s="344">
        <f t="shared" si="114"/>
        <v>5.50000000006</v>
      </c>
      <c r="AT56" s="344">
        <f t="shared" si="115"/>
        <v>4.00000000007</v>
      </c>
      <c r="AU56" s="344">
        <f t="shared" si="116"/>
        <v>7.9999999999999995E-11</v>
      </c>
      <c r="BL56" s="344">
        <v>4</v>
      </c>
      <c r="BM56" s="344">
        <v>4</v>
      </c>
      <c r="BN56" s="344">
        <v>5.5</v>
      </c>
      <c r="BO56" s="344">
        <v>3</v>
      </c>
      <c r="BP56" s="344">
        <v>2</v>
      </c>
      <c r="BQ56" s="344">
        <v>4</v>
      </c>
      <c r="BR56" s="344">
        <v>3</v>
      </c>
      <c r="BS56" s="344"/>
      <c r="BT56" s="344">
        <f t="shared" si="117"/>
        <v>4.00000000001</v>
      </c>
      <c r="BU56" s="344">
        <f t="shared" si="118"/>
        <v>4.00000000002</v>
      </c>
      <c r="BV56" s="344">
        <f t="shared" si="119"/>
        <v>5.50000000003</v>
      </c>
      <c r="BW56" s="344">
        <f t="shared" si="120"/>
        <v>3.00000000004</v>
      </c>
      <c r="BX56" s="344">
        <f t="shared" si="121"/>
        <v>2.00000000005</v>
      </c>
      <c r="BY56" s="344">
        <f t="shared" si="122"/>
        <v>4.00000000006</v>
      </c>
      <c r="BZ56" s="344">
        <f t="shared" si="123"/>
        <v>3.00000000007</v>
      </c>
      <c r="CA56" s="344">
        <f t="shared" si="124"/>
        <v>7.9999999999999995E-11</v>
      </c>
    </row>
    <row r="57" spans="3:79" x14ac:dyDescent="0.3">
      <c r="C57" s="282"/>
      <c r="AF57" s="344"/>
      <c r="AG57" s="344"/>
      <c r="AH57" s="344"/>
      <c r="AI57" s="344"/>
      <c r="AJ57" s="344"/>
      <c r="AK57" s="344"/>
      <c r="AL57" s="344"/>
      <c r="AM57" s="344"/>
      <c r="AN57" s="344">
        <f t="shared" si="109"/>
        <v>9.9999999999999994E-12</v>
      </c>
      <c r="AO57" s="344">
        <f t="shared" si="110"/>
        <v>1.9999999999999999E-11</v>
      </c>
      <c r="AP57" s="344">
        <f t="shared" si="111"/>
        <v>3E-11</v>
      </c>
      <c r="AQ57" s="344">
        <f t="shared" si="112"/>
        <v>3.9999999999999998E-11</v>
      </c>
      <c r="AR57" s="344">
        <f t="shared" si="113"/>
        <v>5.0000000000000002E-11</v>
      </c>
      <c r="AS57" s="344">
        <f t="shared" si="114"/>
        <v>6E-11</v>
      </c>
      <c r="AT57" s="344">
        <f t="shared" si="115"/>
        <v>7.0000000000000004E-11</v>
      </c>
      <c r="AU57" s="344">
        <f t="shared" si="116"/>
        <v>7.9999999999999995E-11</v>
      </c>
      <c r="BL57" s="344"/>
      <c r="BM57" s="344"/>
      <c r="BN57" s="344"/>
      <c r="BO57" s="344"/>
      <c r="BP57" s="344"/>
      <c r="BQ57" s="344"/>
      <c r="BR57" s="344"/>
      <c r="BS57" s="344"/>
      <c r="BT57" s="344">
        <f t="shared" si="117"/>
        <v>9.9999999999999994E-12</v>
      </c>
      <c r="BU57" s="344">
        <f t="shared" si="118"/>
        <v>1.9999999999999999E-11</v>
      </c>
      <c r="BV57" s="344">
        <f t="shared" si="119"/>
        <v>3E-11</v>
      </c>
      <c r="BW57" s="344">
        <f t="shared" si="120"/>
        <v>3.9999999999999998E-11</v>
      </c>
      <c r="BX57" s="344">
        <f t="shared" si="121"/>
        <v>5.0000000000000002E-11</v>
      </c>
      <c r="BY57" s="344">
        <f t="shared" si="122"/>
        <v>6E-11</v>
      </c>
      <c r="BZ57" s="344">
        <f t="shared" si="123"/>
        <v>7.0000000000000004E-11</v>
      </c>
      <c r="CA57" s="344">
        <f t="shared" si="124"/>
        <v>7.9999999999999995E-11</v>
      </c>
    </row>
    <row r="58" spans="3:79" x14ac:dyDescent="0.3">
      <c r="C58" s="282"/>
      <c r="AF58" s="371">
        <v>4</v>
      </c>
      <c r="AG58" s="371">
        <v>4</v>
      </c>
      <c r="AH58" s="371">
        <v>4</v>
      </c>
      <c r="AI58" s="371">
        <v>4</v>
      </c>
      <c r="AJ58" s="371"/>
      <c r="AK58" s="371">
        <v>5.5</v>
      </c>
      <c r="AL58" s="371">
        <v>4</v>
      </c>
      <c r="AM58" s="371"/>
      <c r="AN58" s="344">
        <f t="shared" si="109"/>
        <v>4.00000000001</v>
      </c>
      <c r="AO58" s="344">
        <f t="shared" si="110"/>
        <v>4.00000000002</v>
      </c>
      <c r="AP58" s="344">
        <f t="shared" si="111"/>
        <v>4.00000000003</v>
      </c>
      <c r="AQ58" s="344">
        <f t="shared" si="112"/>
        <v>4.00000000004</v>
      </c>
      <c r="AR58" s="344">
        <f t="shared" si="113"/>
        <v>5.0000000000000002E-11</v>
      </c>
      <c r="AS58" s="344">
        <f t="shared" si="114"/>
        <v>5.50000000006</v>
      </c>
      <c r="AT58" s="344">
        <f t="shared" si="115"/>
        <v>4.00000000007</v>
      </c>
      <c r="AU58" s="344">
        <f t="shared" si="116"/>
        <v>7.9999999999999995E-11</v>
      </c>
      <c r="BL58" s="371">
        <v>4</v>
      </c>
      <c r="BM58" s="371">
        <v>3</v>
      </c>
      <c r="BN58" s="371">
        <v>5.5</v>
      </c>
      <c r="BO58" s="371">
        <v>3</v>
      </c>
      <c r="BP58" s="371">
        <v>4</v>
      </c>
      <c r="BQ58" s="371">
        <v>5.5</v>
      </c>
      <c r="BR58" s="371">
        <v>4</v>
      </c>
      <c r="BS58" s="371"/>
      <c r="BT58" s="344">
        <f t="shared" si="117"/>
        <v>4.00000000001</v>
      </c>
      <c r="BU58" s="344">
        <f t="shared" si="118"/>
        <v>3.00000000002</v>
      </c>
      <c r="BV58" s="344">
        <f t="shared" si="119"/>
        <v>5.50000000003</v>
      </c>
      <c r="BW58" s="344">
        <f t="shared" si="120"/>
        <v>3.00000000004</v>
      </c>
      <c r="BX58" s="344">
        <f t="shared" si="121"/>
        <v>4.00000000005</v>
      </c>
      <c r="BY58" s="344">
        <f t="shared" si="122"/>
        <v>5.50000000006</v>
      </c>
      <c r="BZ58" s="344">
        <f t="shared" si="123"/>
        <v>4.00000000007</v>
      </c>
      <c r="CA58" s="344">
        <f t="shared" si="124"/>
        <v>7.9999999999999995E-11</v>
      </c>
    </row>
    <row r="59" spans="3:79" x14ac:dyDescent="0.3">
      <c r="C59" s="282"/>
      <c r="AF59" s="344">
        <v>3</v>
      </c>
      <c r="AG59" s="344">
        <v>4</v>
      </c>
      <c r="AH59" s="344">
        <v>4</v>
      </c>
      <c r="AI59" s="344">
        <v>3</v>
      </c>
      <c r="AJ59" s="344"/>
      <c r="AK59" s="344">
        <v>5.5</v>
      </c>
      <c r="AL59" s="344">
        <v>3</v>
      </c>
      <c r="AM59" s="344"/>
      <c r="AN59" s="344">
        <f t="shared" si="109"/>
        <v>3.00000000001</v>
      </c>
      <c r="AO59" s="344">
        <f t="shared" si="110"/>
        <v>4.00000000002</v>
      </c>
      <c r="AP59" s="344">
        <f t="shared" si="111"/>
        <v>4.00000000003</v>
      </c>
      <c r="AQ59" s="344">
        <f t="shared" si="112"/>
        <v>3.00000000004</v>
      </c>
      <c r="AR59" s="344">
        <f t="shared" si="113"/>
        <v>5.0000000000000002E-11</v>
      </c>
      <c r="AS59" s="344">
        <f t="shared" si="114"/>
        <v>5.50000000006</v>
      </c>
      <c r="AT59" s="344">
        <f t="shared" si="115"/>
        <v>3.00000000007</v>
      </c>
      <c r="AU59" s="344">
        <f t="shared" si="116"/>
        <v>7.9999999999999995E-11</v>
      </c>
      <c r="BL59" s="344">
        <v>4</v>
      </c>
      <c r="BM59" s="344">
        <v>4</v>
      </c>
      <c r="BN59" s="344">
        <v>4</v>
      </c>
      <c r="BO59" s="344">
        <v>4</v>
      </c>
      <c r="BP59" s="344"/>
      <c r="BQ59" s="344">
        <v>4</v>
      </c>
      <c r="BR59" s="344">
        <v>4</v>
      </c>
      <c r="BS59" s="344"/>
      <c r="BT59" s="344">
        <f t="shared" si="117"/>
        <v>4.00000000001</v>
      </c>
      <c r="BU59" s="344">
        <f t="shared" si="118"/>
        <v>4.00000000002</v>
      </c>
      <c r="BV59" s="344">
        <f t="shared" si="119"/>
        <v>4.00000000003</v>
      </c>
      <c r="BW59" s="344">
        <f t="shared" si="120"/>
        <v>4.00000000004</v>
      </c>
      <c r="BX59" s="344">
        <f t="shared" si="121"/>
        <v>5.0000000000000002E-11</v>
      </c>
      <c r="BY59" s="344">
        <f t="shared" si="122"/>
        <v>4.00000000006</v>
      </c>
      <c r="BZ59" s="344">
        <f t="shared" si="123"/>
        <v>4.00000000007</v>
      </c>
      <c r="CA59" s="344">
        <f t="shared" si="124"/>
        <v>7.9999999999999995E-11</v>
      </c>
    </row>
    <row r="60" spans="3:79" x14ac:dyDescent="0.3">
      <c r="C60" s="282"/>
      <c r="AF60" s="371">
        <v>4</v>
      </c>
      <c r="AG60" s="371">
        <v>4</v>
      </c>
      <c r="AH60" s="371">
        <v>4</v>
      </c>
      <c r="AI60" s="371">
        <v>5.5</v>
      </c>
      <c r="AJ60" s="371"/>
      <c r="AK60" s="371">
        <v>4</v>
      </c>
      <c r="AL60" s="371">
        <v>3</v>
      </c>
      <c r="AM60" s="371"/>
      <c r="AN60" s="344">
        <f t="shared" si="109"/>
        <v>4.00000000001</v>
      </c>
      <c r="AO60" s="344">
        <f t="shared" si="110"/>
        <v>4.00000000002</v>
      </c>
      <c r="AP60" s="344">
        <f t="shared" si="111"/>
        <v>4.00000000003</v>
      </c>
      <c r="AQ60" s="344">
        <f t="shared" si="112"/>
        <v>5.50000000004</v>
      </c>
      <c r="AR60" s="344">
        <f t="shared" si="113"/>
        <v>5.0000000000000002E-11</v>
      </c>
      <c r="AS60" s="344">
        <f t="shared" si="114"/>
        <v>4.00000000006</v>
      </c>
      <c r="AT60" s="344">
        <f t="shared" si="115"/>
        <v>3.00000000007</v>
      </c>
      <c r="AU60" s="344">
        <f t="shared" si="116"/>
        <v>7.9999999999999995E-11</v>
      </c>
      <c r="BL60" s="371">
        <v>4</v>
      </c>
      <c r="BM60" s="371">
        <v>3</v>
      </c>
      <c r="BN60" s="371">
        <v>4</v>
      </c>
      <c r="BO60" s="371">
        <v>4</v>
      </c>
      <c r="BP60" s="371">
        <v>4</v>
      </c>
      <c r="BQ60" s="371">
        <v>7</v>
      </c>
      <c r="BR60" s="371">
        <v>4</v>
      </c>
      <c r="BS60" s="371"/>
      <c r="BT60" s="344">
        <f t="shared" si="117"/>
        <v>4.00000000001</v>
      </c>
      <c r="BU60" s="344">
        <f t="shared" si="118"/>
        <v>3.00000000002</v>
      </c>
      <c r="BV60" s="344">
        <f t="shared" si="119"/>
        <v>4.00000000003</v>
      </c>
      <c r="BW60" s="344">
        <f t="shared" si="120"/>
        <v>4.00000000004</v>
      </c>
      <c r="BX60" s="344">
        <f t="shared" si="121"/>
        <v>4.00000000005</v>
      </c>
      <c r="BY60" s="344">
        <f t="shared" si="122"/>
        <v>7.00000000006</v>
      </c>
      <c r="BZ60" s="344">
        <f t="shared" si="123"/>
        <v>4.00000000007</v>
      </c>
      <c r="CA60" s="344">
        <f t="shared" si="124"/>
        <v>7.9999999999999995E-11</v>
      </c>
    </row>
    <row r="61" spans="3:79" x14ac:dyDescent="0.3">
      <c r="C61" s="282"/>
      <c r="AF61" s="371">
        <v>4</v>
      </c>
      <c r="AG61" s="371">
        <v>4</v>
      </c>
      <c r="AH61" s="371">
        <v>4</v>
      </c>
      <c r="AI61" s="371">
        <v>3</v>
      </c>
      <c r="AJ61" s="371"/>
      <c r="AK61" s="371">
        <v>4</v>
      </c>
      <c r="AL61" s="371">
        <v>3</v>
      </c>
      <c r="AM61" s="371"/>
      <c r="AN61" s="344">
        <f t="shared" si="109"/>
        <v>4.00000000001</v>
      </c>
      <c r="AO61" s="344">
        <f t="shared" si="110"/>
        <v>4.00000000002</v>
      </c>
      <c r="AP61" s="344">
        <f t="shared" si="111"/>
        <v>4.00000000003</v>
      </c>
      <c r="AQ61" s="344">
        <f t="shared" si="112"/>
        <v>3.00000000004</v>
      </c>
      <c r="AR61" s="344">
        <f t="shared" si="113"/>
        <v>5.0000000000000002E-11</v>
      </c>
      <c r="AS61" s="344">
        <f t="shared" si="114"/>
        <v>4.00000000006</v>
      </c>
      <c r="AT61" s="344">
        <f t="shared" si="115"/>
        <v>3.00000000007</v>
      </c>
      <c r="AU61" s="344">
        <f t="shared" si="116"/>
        <v>7.9999999999999995E-11</v>
      </c>
      <c r="BL61" s="371">
        <v>3</v>
      </c>
      <c r="BM61" s="371">
        <v>3</v>
      </c>
      <c r="BN61" s="371">
        <v>4</v>
      </c>
      <c r="BO61" s="371">
        <v>4</v>
      </c>
      <c r="BP61" s="371"/>
      <c r="BQ61" s="371">
        <v>5.5</v>
      </c>
      <c r="BR61" s="371">
        <v>4</v>
      </c>
      <c r="BS61" s="371"/>
      <c r="BT61" s="344">
        <f t="shared" si="117"/>
        <v>3.00000000001</v>
      </c>
      <c r="BU61" s="344">
        <f t="shared" si="118"/>
        <v>3.00000000002</v>
      </c>
      <c r="BV61" s="344">
        <f t="shared" si="119"/>
        <v>4.00000000003</v>
      </c>
      <c r="BW61" s="344">
        <f t="shared" si="120"/>
        <v>4.00000000004</v>
      </c>
      <c r="BX61" s="344">
        <f t="shared" si="121"/>
        <v>5.0000000000000002E-11</v>
      </c>
      <c r="BY61" s="344">
        <f t="shared" si="122"/>
        <v>5.50000000006</v>
      </c>
      <c r="BZ61" s="344">
        <f t="shared" si="123"/>
        <v>4.00000000007</v>
      </c>
      <c r="CA61" s="344">
        <f t="shared" si="124"/>
        <v>7.9999999999999995E-11</v>
      </c>
    </row>
    <row r="62" spans="3:79" x14ac:dyDescent="0.3">
      <c r="C62" s="282"/>
      <c r="AF62" s="344">
        <v>4</v>
      </c>
      <c r="AG62" s="344">
        <v>4</v>
      </c>
      <c r="AH62" s="344">
        <v>4</v>
      </c>
      <c r="AI62" s="344">
        <v>2</v>
      </c>
      <c r="AJ62" s="344"/>
      <c r="AK62" s="344">
        <v>4</v>
      </c>
      <c r="AL62" s="344">
        <v>3</v>
      </c>
      <c r="AM62" s="344"/>
      <c r="AN62" s="344">
        <f t="shared" si="109"/>
        <v>4.00000000001</v>
      </c>
      <c r="AO62" s="344">
        <f t="shared" si="110"/>
        <v>4.00000000002</v>
      </c>
      <c r="AP62" s="344">
        <f t="shared" si="111"/>
        <v>4.00000000003</v>
      </c>
      <c r="AQ62" s="344">
        <f t="shared" si="112"/>
        <v>2.00000000004</v>
      </c>
      <c r="AR62" s="344">
        <f t="shared" si="113"/>
        <v>5.0000000000000002E-11</v>
      </c>
      <c r="AS62" s="344">
        <f t="shared" si="114"/>
        <v>4.00000000006</v>
      </c>
      <c r="AT62" s="344">
        <f t="shared" si="115"/>
        <v>3.00000000007</v>
      </c>
      <c r="AU62" s="344">
        <f t="shared" si="116"/>
        <v>7.9999999999999995E-11</v>
      </c>
      <c r="BL62" s="344">
        <v>4</v>
      </c>
      <c r="BM62" s="344">
        <v>4</v>
      </c>
      <c r="BN62" s="344">
        <v>4</v>
      </c>
      <c r="BO62" s="344">
        <v>4</v>
      </c>
      <c r="BP62" s="344"/>
      <c r="BQ62" s="344">
        <v>3</v>
      </c>
      <c r="BR62" s="344">
        <v>3</v>
      </c>
      <c r="BS62" s="344"/>
      <c r="BT62" s="344">
        <f t="shared" si="117"/>
        <v>4.00000000001</v>
      </c>
      <c r="BU62" s="344">
        <f t="shared" si="118"/>
        <v>4.00000000002</v>
      </c>
      <c r="BV62" s="344">
        <f t="shared" si="119"/>
        <v>4.00000000003</v>
      </c>
      <c r="BW62" s="344">
        <f t="shared" si="120"/>
        <v>4.00000000004</v>
      </c>
      <c r="BX62" s="344">
        <f t="shared" si="121"/>
        <v>5.0000000000000002E-11</v>
      </c>
      <c r="BY62" s="344">
        <f t="shared" si="122"/>
        <v>3.00000000006</v>
      </c>
      <c r="BZ62" s="344">
        <f t="shared" si="123"/>
        <v>3.00000000007</v>
      </c>
      <c r="CA62" s="344">
        <f t="shared" si="124"/>
        <v>7.9999999999999995E-11</v>
      </c>
    </row>
    <row r="63" spans="3:79" x14ac:dyDescent="0.3">
      <c r="C63" s="282"/>
      <c r="AF63" s="344">
        <v>4</v>
      </c>
      <c r="AG63" s="344">
        <v>3</v>
      </c>
      <c r="AH63" s="344">
        <v>4</v>
      </c>
      <c r="AI63" s="344">
        <v>3</v>
      </c>
      <c r="AJ63" s="344"/>
      <c r="AK63" s="344">
        <v>5.5</v>
      </c>
      <c r="AL63" s="344">
        <v>4</v>
      </c>
      <c r="AM63" s="344"/>
      <c r="AN63" s="344">
        <f t="shared" si="109"/>
        <v>4.00000000001</v>
      </c>
      <c r="AO63" s="344">
        <f t="shared" si="110"/>
        <v>3.00000000002</v>
      </c>
      <c r="AP63" s="344">
        <f t="shared" si="111"/>
        <v>4.00000000003</v>
      </c>
      <c r="AQ63" s="344">
        <f t="shared" si="112"/>
        <v>3.00000000004</v>
      </c>
      <c r="AR63" s="344">
        <f t="shared" si="113"/>
        <v>5.0000000000000002E-11</v>
      </c>
      <c r="AS63" s="344">
        <f t="shared" si="114"/>
        <v>5.50000000006</v>
      </c>
      <c r="AT63" s="344">
        <f t="shared" si="115"/>
        <v>4.00000000007</v>
      </c>
      <c r="AU63" s="344">
        <f t="shared" si="116"/>
        <v>7.9999999999999995E-11</v>
      </c>
      <c r="BL63" s="344">
        <v>4</v>
      </c>
      <c r="BM63" s="344">
        <v>3</v>
      </c>
      <c r="BN63" s="344">
        <v>5.5</v>
      </c>
      <c r="BO63" s="344">
        <v>3</v>
      </c>
      <c r="BP63" s="344"/>
      <c r="BQ63" s="344">
        <v>4</v>
      </c>
      <c r="BR63" s="344">
        <v>4</v>
      </c>
      <c r="BS63" s="344">
        <v>4</v>
      </c>
      <c r="BT63" s="344">
        <f t="shared" si="117"/>
        <v>4.00000000001</v>
      </c>
      <c r="BU63" s="344">
        <f t="shared" si="118"/>
        <v>3.00000000002</v>
      </c>
      <c r="BV63" s="344">
        <f t="shared" si="119"/>
        <v>5.50000000003</v>
      </c>
      <c r="BW63" s="344">
        <f t="shared" si="120"/>
        <v>3.00000000004</v>
      </c>
      <c r="BX63" s="344">
        <f t="shared" si="121"/>
        <v>5.0000000000000002E-11</v>
      </c>
      <c r="BY63" s="344">
        <f t="shared" si="122"/>
        <v>4.00000000006</v>
      </c>
      <c r="BZ63" s="344">
        <f t="shared" si="123"/>
        <v>4.00000000007</v>
      </c>
      <c r="CA63" s="344">
        <f t="shared" si="124"/>
        <v>4.00000000008</v>
      </c>
    </row>
    <row r="64" spans="3:79" x14ac:dyDescent="0.3">
      <c r="C64" s="282"/>
      <c r="AF64" s="344">
        <v>3</v>
      </c>
      <c r="AG64" s="344">
        <v>4</v>
      </c>
      <c r="AH64" s="344">
        <v>4</v>
      </c>
      <c r="AI64" s="344">
        <v>4</v>
      </c>
      <c r="AJ64" s="344"/>
      <c r="AK64" s="344">
        <v>4</v>
      </c>
      <c r="AL64" s="344">
        <v>4</v>
      </c>
      <c r="AM64" s="344">
        <v>3</v>
      </c>
      <c r="AN64" s="344">
        <f t="shared" si="109"/>
        <v>3.00000000001</v>
      </c>
      <c r="AO64" s="344">
        <f t="shared" si="110"/>
        <v>4.00000000002</v>
      </c>
      <c r="AP64" s="344">
        <f t="shared" si="111"/>
        <v>4.00000000003</v>
      </c>
      <c r="AQ64" s="344">
        <f t="shared" si="112"/>
        <v>4.00000000004</v>
      </c>
      <c r="AR64" s="344">
        <f t="shared" si="113"/>
        <v>5.0000000000000002E-11</v>
      </c>
      <c r="AS64" s="344">
        <f t="shared" si="114"/>
        <v>4.00000000006</v>
      </c>
      <c r="AT64" s="344">
        <f t="shared" si="115"/>
        <v>4.00000000007</v>
      </c>
      <c r="AU64" s="344">
        <f t="shared" si="116"/>
        <v>3.00000000008</v>
      </c>
      <c r="BL64" s="344">
        <v>5.5</v>
      </c>
      <c r="BM64" s="344">
        <v>3</v>
      </c>
      <c r="BN64" s="344">
        <v>4</v>
      </c>
      <c r="BO64" s="344">
        <v>3</v>
      </c>
      <c r="BP64" s="344"/>
      <c r="BQ64" s="344">
        <v>4</v>
      </c>
      <c r="BR64" s="344">
        <v>4</v>
      </c>
      <c r="BS64" s="344">
        <v>4</v>
      </c>
      <c r="BT64" s="344">
        <f t="shared" si="117"/>
        <v>5.50000000001</v>
      </c>
      <c r="BU64" s="344">
        <f t="shared" si="118"/>
        <v>3.00000000002</v>
      </c>
      <c r="BV64" s="344">
        <f t="shared" si="119"/>
        <v>4.00000000003</v>
      </c>
      <c r="BW64" s="344">
        <f t="shared" si="120"/>
        <v>3.00000000004</v>
      </c>
      <c r="BX64" s="344">
        <f t="shared" si="121"/>
        <v>5.0000000000000002E-11</v>
      </c>
      <c r="BY64" s="344">
        <f t="shared" si="122"/>
        <v>4.00000000006</v>
      </c>
      <c r="BZ64" s="344">
        <f t="shared" si="123"/>
        <v>4.00000000007</v>
      </c>
      <c r="CA64" s="344">
        <f t="shared" si="124"/>
        <v>4.00000000008</v>
      </c>
    </row>
    <row r="65" spans="3:79" x14ac:dyDescent="0.3">
      <c r="C65" s="282"/>
      <c r="AF65" s="371">
        <v>3</v>
      </c>
      <c r="AG65" s="371">
        <v>4</v>
      </c>
      <c r="AH65" s="371">
        <v>4</v>
      </c>
      <c r="AI65" s="371">
        <v>4</v>
      </c>
      <c r="AJ65" s="371"/>
      <c r="AK65" s="371">
        <v>4</v>
      </c>
      <c r="AL65" s="371">
        <v>3</v>
      </c>
      <c r="AM65" s="371"/>
      <c r="AN65" s="344">
        <f t="shared" si="109"/>
        <v>3.00000000001</v>
      </c>
      <c r="AO65" s="344">
        <f t="shared" si="110"/>
        <v>4.00000000002</v>
      </c>
      <c r="AP65" s="344">
        <f t="shared" si="111"/>
        <v>4.00000000003</v>
      </c>
      <c r="AQ65" s="344">
        <f t="shared" si="112"/>
        <v>4.00000000004</v>
      </c>
      <c r="AR65" s="344">
        <f t="shared" si="113"/>
        <v>5.0000000000000002E-11</v>
      </c>
      <c r="AS65" s="344">
        <f t="shared" si="114"/>
        <v>4.00000000006</v>
      </c>
      <c r="AT65" s="344">
        <f t="shared" si="115"/>
        <v>3.00000000007</v>
      </c>
      <c r="AU65" s="344">
        <f t="shared" si="116"/>
        <v>7.9999999999999995E-11</v>
      </c>
      <c r="BL65" s="371">
        <v>4</v>
      </c>
      <c r="BM65" s="371">
        <v>3</v>
      </c>
      <c r="BN65" s="371">
        <v>3</v>
      </c>
      <c r="BO65" s="371">
        <v>4</v>
      </c>
      <c r="BP65" s="371"/>
      <c r="BQ65" s="371">
        <v>4</v>
      </c>
      <c r="BR65" s="371">
        <v>4</v>
      </c>
      <c r="BS65" s="371">
        <v>3</v>
      </c>
      <c r="BT65" s="344">
        <f t="shared" si="117"/>
        <v>4.00000000001</v>
      </c>
      <c r="BU65" s="344">
        <f t="shared" si="118"/>
        <v>3.00000000002</v>
      </c>
      <c r="BV65" s="344">
        <f t="shared" si="119"/>
        <v>3.00000000003</v>
      </c>
      <c r="BW65" s="344">
        <f t="shared" si="120"/>
        <v>4.00000000004</v>
      </c>
      <c r="BX65" s="344">
        <f t="shared" si="121"/>
        <v>5.0000000000000002E-11</v>
      </c>
      <c r="BY65" s="344">
        <f t="shared" si="122"/>
        <v>4.00000000006</v>
      </c>
      <c r="BZ65" s="344">
        <f t="shared" si="123"/>
        <v>4.00000000007</v>
      </c>
      <c r="CA65" s="344">
        <f t="shared" si="124"/>
        <v>3.00000000008</v>
      </c>
    </row>
    <row r="66" spans="3:79" x14ac:dyDescent="0.3">
      <c r="C66" s="282"/>
      <c r="AF66" s="344">
        <v>4</v>
      </c>
      <c r="AG66" s="344">
        <v>5.5</v>
      </c>
      <c r="AH66" s="344">
        <v>4</v>
      </c>
      <c r="AI66" s="344">
        <v>7</v>
      </c>
      <c r="AJ66" s="344"/>
      <c r="AK66" s="344">
        <v>3</v>
      </c>
      <c r="AL66" s="344">
        <v>3</v>
      </c>
      <c r="AM66" s="344">
        <v>2</v>
      </c>
      <c r="AN66" s="344">
        <f t="shared" si="109"/>
        <v>4.00000000001</v>
      </c>
      <c r="AO66" s="344">
        <f t="shared" si="110"/>
        <v>5.50000000002</v>
      </c>
      <c r="AP66" s="344">
        <f t="shared" si="111"/>
        <v>4.00000000003</v>
      </c>
      <c r="AQ66" s="344">
        <f t="shared" si="112"/>
        <v>7.00000000004</v>
      </c>
      <c r="AR66" s="344">
        <f t="shared" si="113"/>
        <v>5.0000000000000002E-11</v>
      </c>
      <c r="AS66" s="344">
        <f t="shared" si="114"/>
        <v>3.00000000006</v>
      </c>
      <c r="AT66" s="344">
        <f t="shared" si="115"/>
        <v>3.00000000007</v>
      </c>
      <c r="AU66" s="344">
        <f t="shared" si="116"/>
        <v>2.00000000008</v>
      </c>
      <c r="BL66" s="344">
        <v>3</v>
      </c>
      <c r="BM66" s="344">
        <v>5.5</v>
      </c>
      <c r="BN66" s="344">
        <v>5.5</v>
      </c>
      <c r="BO66" s="344">
        <v>5.5</v>
      </c>
      <c r="BP66" s="344"/>
      <c r="BQ66" s="344">
        <v>5.5</v>
      </c>
      <c r="BR66" s="344">
        <v>4</v>
      </c>
      <c r="BS66" s="344">
        <v>4</v>
      </c>
      <c r="BT66" s="344">
        <f t="shared" si="117"/>
        <v>3.00000000001</v>
      </c>
      <c r="BU66" s="344">
        <f t="shared" si="118"/>
        <v>5.50000000002</v>
      </c>
      <c r="BV66" s="344">
        <f t="shared" si="119"/>
        <v>5.50000000003</v>
      </c>
      <c r="BW66" s="344">
        <f t="shared" si="120"/>
        <v>5.50000000004</v>
      </c>
      <c r="BX66" s="344">
        <f t="shared" si="121"/>
        <v>5.0000000000000002E-11</v>
      </c>
      <c r="BY66" s="344">
        <f t="shared" si="122"/>
        <v>5.50000000006</v>
      </c>
      <c r="BZ66" s="344">
        <f t="shared" si="123"/>
        <v>4.00000000007</v>
      </c>
      <c r="CA66" s="344">
        <f t="shared" si="124"/>
        <v>4.00000000008</v>
      </c>
    </row>
    <row r="67" spans="3:79" x14ac:dyDescent="0.3">
      <c r="C67" s="282"/>
      <c r="AF67" s="371">
        <v>3</v>
      </c>
      <c r="AG67" s="371">
        <v>3</v>
      </c>
      <c r="AH67" s="371">
        <v>4</v>
      </c>
      <c r="AI67" s="371">
        <v>3</v>
      </c>
      <c r="AJ67" s="371">
        <v>4</v>
      </c>
      <c r="AK67" s="371">
        <v>4</v>
      </c>
      <c r="AL67" s="371">
        <v>3</v>
      </c>
      <c r="AM67" s="371"/>
      <c r="AN67" s="344">
        <f t="shared" si="109"/>
        <v>3.00000000001</v>
      </c>
      <c r="AO67" s="344">
        <f t="shared" si="110"/>
        <v>3.00000000002</v>
      </c>
      <c r="AP67" s="344">
        <f t="shared" si="111"/>
        <v>4.00000000003</v>
      </c>
      <c r="AQ67" s="344">
        <f t="shared" si="112"/>
        <v>3.00000000004</v>
      </c>
      <c r="AR67" s="344">
        <f t="shared" si="113"/>
        <v>4.00000000005</v>
      </c>
      <c r="AS67" s="344">
        <f t="shared" si="114"/>
        <v>4.00000000006</v>
      </c>
      <c r="AT67" s="344">
        <f t="shared" si="115"/>
        <v>3.00000000007</v>
      </c>
      <c r="AU67" s="344">
        <f t="shared" si="116"/>
        <v>7.9999999999999995E-11</v>
      </c>
      <c r="BL67" s="371">
        <v>3</v>
      </c>
      <c r="BM67" s="371">
        <v>3</v>
      </c>
      <c r="BN67" s="371">
        <v>4</v>
      </c>
      <c r="BO67" s="371">
        <v>4</v>
      </c>
      <c r="BP67" s="371"/>
      <c r="BQ67" s="371">
        <v>4</v>
      </c>
      <c r="BR67" s="371">
        <v>4</v>
      </c>
      <c r="BS67" s="371">
        <v>3</v>
      </c>
      <c r="BT67" s="344">
        <f t="shared" si="117"/>
        <v>3.00000000001</v>
      </c>
      <c r="BU67" s="344">
        <f t="shared" si="118"/>
        <v>3.00000000002</v>
      </c>
      <c r="BV67" s="344">
        <f t="shared" si="119"/>
        <v>4.00000000003</v>
      </c>
      <c r="BW67" s="344">
        <f t="shared" si="120"/>
        <v>4.00000000004</v>
      </c>
      <c r="BX67" s="344">
        <f t="shared" si="121"/>
        <v>5.0000000000000002E-11</v>
      </c>
      <c r="BY67" s="344">
        <f t="shared" si="122"/>
        <v>4.00000000006</v>
      </c>
      <c r="BZ67" s="344">
        <f t="shared" si="123"/>
        <v>4.00000000007</v>
      </c>
      <c r="CA67" s="344">
        <f t="shared" si="124"/>
        <v>3.00000000008</v>
      </c>
    </row>
    <row r="68" spans="3:79" x14ac:dyDescent="0.3">
      <c r="C68" s="282"/>
      <c r="AF68" s="344">
        <v>5.5</v>
      </c>
      <c r="AG68" s="344">
        <v>3</v>
      </c>
      <c r="AH68" s="344">
        <v>4</v>
      </c>
      <c r="AI68" s="344">
        <v>3</v>
      </c>
      <c r="AJ68" s="344"/>
      <c r="AK68" s="344">
        <v>3</v>
      </c>
      <c r="AL68" s="344">
        <v>3</v>
      </c>
      <c r="AM68" s="344"/>
      <c r="AN68" s="344">
        <f t="shared" si="109"/>
        <v>5.50000000001</v>
      </c>
      <c r="AO68" s="344">
        <f t="shared" si="110"/>
        <v>3.00000000002</v>
      </c>
      <c r="AP68" s="344">
        <f t="shared" si="111"/>
        <v>4.00000000003</v>
      </c>
      <c r="AQ68" s="344">
        <f t="shared" si="112"/>
        <v>3.00000000004</v>
      </c>
      <c r="AR68" s="344">
        <f t="shared" si="113"/>
        <v>5.0000000000000002E-11</v>
      </c>
      <c r="AS68" s="344">
        <f t="shared" si="114"/>
        <v>3.00000000006</v>
      </c>
      <c r="AT68" s="344">
        <f t="shared" si="115"/>
        <v>3.00000000007</v>
      </c>
      <c r="AU68" s="344">
        <f t="shared" si="116"/>
        <v>7.9999999999999995E-11</v>
      </c>
      <c r="BL68" s="344">
        <v>4</v>
      </c>
      <c r="BM68" s="344">
        <v>4</v>
      </c>
      <c r="BN68" s="344">
        <v>4</v>
      </c>
      <c r="BO68" s="344">
        <v>4</v>
      </c>
      <c r="BP68" s="344">
        <v>4</v>
      </c>
      <c r="BQ68" s="344">
        <v>3</v>
      </c>
      <c r="BR68" s="344"/>
      <c r="BS68" s="344"/>
      <c r="BT68" s="344">
        <f t="shared" si="117"/>
        <v>4.00000000001</v>
      </c>
      <c r="BU68" s="344">
        <f t="shared" si="118"/>
        <v>4.00000000002</v>
      </c>
      <c r="BV68" s="344">
        <f t="shared" si="119"/>
        <v>4.00000000003</v>
      </c>
      <c r="BW68" s="344">
        <f t="shared" si="120"/>
        <v>4.00000000004</v>
      </c>
      <c r="BX68" s="344">
        <f t="shared" si="121"/>
        <v>4.00000000005</v>
      </c>
      <c r="BY68" s="344">
        <f t="shared" si="122"/>
        <v>3.00000000006</v>
      </c>
      <c r="BZ68" s="344">
        <f t="shared" si="123"/>
        <v>7.0000000000000004E-11</v>
      </c>
      <c r="CA68" s="344">
        <f t="shared" si="124"/>
        <v>7.9999999999999995E-11</v>
      </c>
    </row>
    <row r="69" spans="3:79" x14ac:dyDescent="0.3">
      <c r="C69" s="282"/>
      <c r="AF69" s="381">
        <v>3</v>
      </c>
      <c r="AG69" s="381">
        <v>5.5</v>
      </c>
      <c r="AH69" s="381">
        <v>4</v>
      </c>
      <c r="AI69" s="381">
        <v>3</v>
      </c>
      <c r="AJ69" s="381"/>
      <c r="AK69" s="381">
        <v>4</v>
      </c>
      <c r="AL69" s="381">
        <v>3</v>
      </c>
      <c r="AM69" s="381"/>
      <c r="AN69" s="344">
        <f t="shared" si="109"/>
        <v>3.00000000001</v>
      </c>
      <c r="AO69" s="344">
        <f t="shared" si="110"/>
        <v>5.50000000002</v>
      </c>
      <c r="AP69" s="344">
        <f t="shared" si="111"/>
        <v>4.00000000003</v>
      </c>
      <c r="AQ69" s="344">
        <f t="shared" si="112"/>
        <v>3.00000000004</v>
      </c>
      <c r="AR69" s="344">
        <f t="shared" si="113"/>
        <v>5.0000000000000002E-11</v>
      </c>
      <c r="AS69" s="344">
        <f t="shared" si="114"/>
        <v>4.00000000006</v>
      </c>
      <c r="AT69" s="344">
        <f t="shared" si="115"/>
        <v>3.00000000007</v>
      </c>
      <c r="AU69" s="344">
        <f t="shared" si="116"/>
        <v>7.9999999999999995E-11</v>
      </c>
      <c r="BL69" s="381">
        <v>3</v>
      </c>
      <c r="BM69" s="381">
        <v>3</v>
      </c>
      <c r="BN69" s="381">
        <v>3</v>
      </c>
      <c r="BO69" s="381">
        <v>5.5</v>
      </c>
      <c r="BP69" s="381"/>
      <c r="BQ69" s="381">
        <v>4</v>
      </c>
      <c r="BR69" s="381">
        <v>4</v>
      </c>
      <c r="BS69" s="381">
        <v>3</v>
      </c>
      <c r="BT69" s="344">
        <f t="shared" si="117"/>
        <v>3.00000000001</v>
      </c>
      <c r="BU69" s="344">
        <f t="shared" si="118"/>
        <v>3.00000000002</v>
      </c>
      <c r="BV69" s="344">
        <f t="shared" si="119"/>
        <v>3.00000000003</v>
      </c>
      <c r="BW69" s="344">
        <f t="shared" si="120"/>
        <v>5.50000000004</v>
      </c>
      <c r="BX69" s="344">
        <f t="shared" si="121"/>
        <v>5.0000000000000002E-11</v>
      </c>
      <c r="BY69" s="344">
        <f t="shared" si="122"/>
        <v>4.00000000006</v>
      </c>
      <c r="BZ69" s="344">
        <f t="shared" si="123"/>
        <v>4.00000000007</v>
      </c>
      <c r="CA69" s="344">
        <f t="shared" si="124"/>
        <v>3.00000000008</v>
      </c>
    </row>
    <row r="70" spans="3:79" x14ac:dyDescent="0.3">
      <c r="C70" s="282"/>
      <c r="AF70" s="344">
        <v>3</v>
      </c>
      <c r="AG70" s="344">
        <v>4</v>
      </c>
      <c r="AH70" s="344">
        <v>4</v>
      </c>
      <c r="AI70" s="344">
        <v>4</v>
      </c>
      <c r="AJ70" s="344">
        <v>3</v>
      </c>
      <c r="AK70" s="344">
        <v>4</v>
      </c>
      <c r="AL70" s="344">
        <v>4</v>
      </c>
      <c r="AM70" s="344"/>
      <c r="AN70" s="344">
        <f t="shared" si="109"/>
        <v>3.00000000001</v>
      </c>
      <c r="AO70" s="344">
        <f t="shared" si="110"/>
        <v>4.00000000002</v>
      </c>
      <c r="AP70" s="344">
        <f t="shared" si="111"/>
        <v>4.00000000003</v>
      </c>
      <c r="AQ70" s="344">
        <f t="shared" si="112"/>
        <v>4.00000000004</v>
      </c>
      <c r="AR70" s="344">
        <f t="shared" si="113"/>
        <v>3.00000000005</v>
      </c>
      <c r="AS70" s="344">
        <f t="shared" si="114"/>
        <v>4.00000000006</v>
      </c>
      <c r="AT70" s="344">
        <f t="shared" si="115"/>
        <v>4.00000000007</v>
      </c>
      <c r="AU70" s="344">
        <f t="shared" si="116"/>
        <v>7.9999999999999995E-11</v>
      </c>
      <c r="BL70" s="344">
        <v>4</v>
      </c>
      <c r="BM70" s="344">
        <v>4</v>
      </c>
      <c r="BN70" s="344">
        <v>4</v>
      </c>
      <c r="BO70" s="344">
        <v>5.5</v>
      </c>
      <c r="BP70" s="344"/>
      <c r="BQ70" s="344">
        <v>4</v>
      </c>
      <c r="BR70" s="344">
        <v>4</v>
      </c>
      <c r="BS70" s="344"/>
      <c r="BT70" s="344">
        <f t="shared" si="117"/>
        <v>4.00000000001</v>
      </c>
      <c r="BU70" s="344">
        <f t="shared" si="118"/>
        <v>4.00000000002</v>
      </c>
      <c r="BV70" s="344">
        <f t="shared" si="119"/>
        <v>4.00000000003</v>
      </c>
      <c r="BW70" s="344">
        <f t="shared" si="120"/>
        <v>5.50000000004</v>
      </c>
      <c r="BX70" s="344">
        <f t="shared" si="121"/>
        <v>5.0000000000000002E-11</v>
      </c>
      <c r="BY70" s="344">
        <f t="shared" si="122"/>
        <v>4.00000000006</v>
      </c>
      <c r="BZ70" s="344">
        <f t="shared" si="123"/>
        <v>4.00000000007</v>
      </c>
      <c r="CA70" s="344">
        <f t="shared" si="124"/>
        <v>7.9999999999999995E-11</v>
      </c>
    </row>
    <row r="71" spans="3:79" x14ac:dyDescent="0.3">
      <c r="C71" s="282"/>
      <c r="AF71" s="344">
        <v>3</v>
      </c>
      <c r="AG71" s="344">
        <v>3</v>
      </c>
      <c r="AH71" s="344">
        <v>4</v>
      </c>
      <c r="AI71" s="344">
        <v>3</v>
      </c>
      <c r="AJ71" s="344">
        <v>3</v>
      </c>
      <c r="AK71" s="344">
        <v>3</v>
      </c>
      <c r="AL71" s="344">
        <v>3</v>
      </c>
      <c r="AM71" s="344"/>
      <c r="AN71" s="344">
        <f t="shared" si="109"/>
        <v>3.00000000001</v>
      </c>
      <c r="AO71" s="344">
        <f t="shared" si="110"/>
        <v>3.00000000002</v>
      </c>
      <c r="AP71" s="344">
        <f t="shared" si="111"/>
        <v>4.00000000003</v>
      </c>
      <c r="AQ71" s="344">
        <f t="shared" si="112"/>
        <v>3.00000000004</v>
      </c>
      <c r="AR71" s="344">
        <f t="shared" si="113"/>
        <v>3.00000000005</v>
      </c>
      <c r="AS71" s="344">
        <f t="shared" si="114"/>
        <v>3.00000000006</v>
      </c>
      <c r="AT71" s="344">
        <f t="shared" si="115"/>
        <v>3.00000000007</v>
      </c>
      <c r="AU71" s="344">
        <f t="shared" si="116"/>
        <v>7.9999999999999995E-11</v>
      </c>
      <c r="BL71" s="344">
        <v>3</v>
      </c>
      <c r="BM71" s="344">
        <v>3</v>
      </c>
      <c r="BN71" s="344">
        <v>5.5</v>
      </c>
      <c r="BO71" s="344">
        <v>3</v>
      </c>
      <c r="BP71" s="344">
        <v>2</v>
      </c>
      <c r="BQ71" s="344">
        <v>3</v>
      </c>
      <c r="BR71" s="344">
        <v>3</v>
      </c>
      <c r="BS71" s="344"/>
      <c r="BT71" s="344">
        <f t="shared" si="117"/>
        <v>3.00000000001</v>
      </c>
      <c r="BU71" s="344">
        <f t="shared" si="118"/>
        <v>3.00000000002</v>
      </c>
      <c r="BV71" s="344">
        <f t="shared" si="119"/>
        <v>5.50000000003</v>
      </c>
      <c r="BW71" s="344">
        <f t="shared" si="120"/>
        <v>3.00000000004</v>
      </c>
      <c r="BX71" s="344">
        <f t="shared" si="121"/>
        <v>2.00000000005</v>
      </c>
      <c r="BY71" s="344">
        <f t="shared" si="122"/>
        <v>3.00000000006</v>
      </c>
      <c r="BZ71" s="344">
        <f t="shared" si="123"/>
        <v>3.00000000007</v>
      </c>
      <c r="CA71" s="344">
        <f t="shared" si="124"/>
        <v>7.9999999999999995E-11</v>
      </c>
    </row>
    <row r="72" spans="3:79" x14ac:dyDescent="0.3">
      <c r="C72" s="282"/>
      <c r="AF72" s="344">
        <v>4</v>
      </c>
      <c r="AG72" s="344">
        <v>3</v>
      </c>
      <c r="AH72" s="344">
        <v>4</v>
      </c>
      <c r="AI72" s="344">
        <v>4</v>
      </c>
      <c r="AJ72" s="344"/>
      <c r="AK72" s="344">
        <v>5.5</v>
      </c>
      <c r="AL72" s="344">
        <v>3</v>
      </c>
      <c r="AM72" s="344"/>
      <c r="AN72" s="344">
        <f t="shared" si="109"/>
        <v>4.00000000001</v>
      </c>
      <c r="AO72" s="344">
        <f t="shared" si="110"/>
        <v>3.00000000002</v>
      </c>
      <c r="AP72" s="344">
        <f t="shared" si="111"/>
        <v>4.00000000003</v>
      </c>
      <c r="AQ72" s="344">
        <f t="shared" si="112"/>
        <v>4.00000000004</v>
      </c>
      <c r="AR72" s="344">
        <f t="shared" si="113"/>
        <v>5.0000000000000002E-11</v>
      </c>
      <c r="AS72" s="344">
        <f t="shared" si="114"/>
        <v>5.50000000006</v>
      </c>
      <c r="AT72" s="344">
        <f t="shared" si="115"/>
        <v>3.00000000007</v>
      </c>
      <c r="AU72" s="344">
        <f t="shared" si="116"/>
        <v>7.9999999999999995E-11</v>
      </c>
      <c r="BL72" s="344">
        <v>3</v>
      </c>
      <c r="BM72" s="344">
        <v>5.5</v>
      </c>
      <c r="BN72" s="344">
        <v>4</v>
      </c>
      <c r="BO72" s="344">
        <v>4</v>
      </c>
      <c r="BP72" s="344"/>
      <c r="BQ72" s="344">
        <v>4</v>
      </c>
      <c r="BR72" s="344">
        <v>4</v>
      </c>
      <c r="BS72" s="344">
        <v>3</v>
      </c>
      <c r="BT72" s="344">
        <f t="shared" si="117"/>
        <v>3.00000000001</v>
      </c>
      <c r="BU72" s="344">
        <f t="shared" si="118"/>
        <v>5.50000000002</v>
      </c>
      <c r="BV72" s="344">
        <f t="shared" si="119"/>
        <v>4.00000000003</v>
      </c>
      <c r="BW72" s="344">
        <f t="shared" si="120"/>
        <v>4.00000000004</v>
      </c>
      <c r="BX72" s="344">
        <f t="shared" si="121"/>
        <v>5.0000000000000002E-11</v>
      </c>
      <c r="BY72" s="344">
        <f t="shared" si="122"/>
        <v>4.00000000006</v>
      </c>
      <c r="BZ72" s="344">
        <f t="shared" si="123"/>
        <v>4.00000000007</v>
      </c>
      <c r="CA72" s="344">
        <f t="shared" si="124"/>
        <v>3.00000000008</v>
      </c>
    </row>
    <row r="73" spans="3:79" x14ac:dyDescent="0.3">
      <c r="C73" s="282"/>
      <c r="AF73" s="371">
        <v>3</v>
      </c>
      <c r="AG73" s="371">
        <v>4</v>
      </c>
      <c r="AH73" s="371">
        <v>4</v>
      </c>
      <c r="AI73" s="371">
        <v>3</v>
      </c>
      <c r="AJ73" s="371"/>
      <c r="AK73" s="371">
        <v>4</v>
      </c>
      <c r="AL73" s="371">
        <v>4</v>
      </c>
      <c r="AM73" s="371"/>
      <c r="AN73" s="344">
        <f t="shared" si="109"/>
        <v>3.00000000001</v>
      </c>
      <c r="AO73" s="344">
        <f t="shared" si="110"/>
        <v>4.00000000002</v>
      </c>
      <c r="AP73" s="344">
        <f t="shared" si="111"/>
        <v>4.00000000003</v>
      </c>
      <c r="AQ73" s="344">
        <f t="shared" si="112"/>
        <v>3.00000000004</v>
      </c>
      <c r="AR73" s="344">
        <f t="shared" si="113"/>
        <v>5.0000000000000002E-11</v>
      </c>
      <c r="AS73" s="344">
        <f t="shared" si="114"/>
        <v>4.00000000006</v>
      </c>
      <c r="AT73" s="344">
        <f t="shared" si="115"/>
        <v>4.00000000007</v>
      </c>
      <c r="AU73" s="344">
        <f t="shared" si="116"/>
        <v>7.9999999999999995E-11</v>
      </c>
      <c r="BL73" s="371">
        <v>5.5</v>
      </c>
      <c r="BM73" s="371">
        <v>3</v>
      </c>
      <c r="BN73" s="371">
        <v>4</v>
      </c>
      <c r="BO73" s="371">
        <v>4</v>
      </c>
      <c r="BP73" s="371"/>
      <c r="BQ73" s="371">
        <v>4</v>
      </c>
      <c r="BR73" s="371">
        <v>3</v>
      </c>
      <c r="BS73" s="371"/>
      <c r="BT73" s="344">
        <f t="shared" si="117"/>
        <v>5.50000000001</v>
      </c>
      <c r="BU73" s="344">
        <f t="shared" si="118"/>
        <v>3.00000000002</v>
      </c>
      <c r="BV73" s="344">
        <f t="shared" si="119"/>
        <v>4.00000000003</v>
      </c>
      <c r="BW73" s="344">
        <f t="shared" si="120"/>
        <v>4.00000000004</v>
      </c>
      <c r="BX73" s="344">
        <f t="shared" si="121"/>
        <v>5.0000000000000002E-11</v>
      </c>
      <c r="BY73" s="344">
        <f t="shared" si="122"/>
        <v>4.00000000006</v>
      </c>
      <c r="BZ73" s="344">
        <f t="shared" si="123"/>
        <v>3.00000000007</v>
      </c>
      <c r="CA73" s="344">
        <f t="shared" si="124"/>
        <v>7.9999999999999995E-11</v>
      </c>
    </row>
    <row r="74" spans="3:79" x14ac:dyDescent="0.3">
      <c r="C74" s="282"/>
      <c r="AF74" s="344">
        <v>4</v>
      </c>
      <c r="AG74" s="344">
        <v>4</v>
      </c>
      <c r="AH74" s="344">
        <v>4</v>
      </c>
      <c r="AI74" s="344">
        <v>5.5</v>
      </c>
      <c r="AJ74" s="344">
        <v>4</v>
      </c>
      <c r="AK74" s="344">
        <v>4</v>
      </c>
      <c r="AL74" s="344">
        <v>4</v>
      </c>
      <c r="AM74" s="344">
        <v>4</v>
      </c>
      <c r="AN74" s="344">
        <f t="shared" si="109"/>
        <v>4.00000000001</v>
      </c>
      <c r="AO74" s="344">
        <f t="shared" si="110"/>
        <v>4.00000000002</v>
      </c>
      <c r="AP74" s="344">
        <f t="shared" si="111"/>
        <v>4.00000000003</v>
      </c>
      <c r="AQ74" s="344">
        <f t="shared" si="112"/>
        <v>5.50000000004</v>
      </c>
      <c r="AR74" s="344">
        <f t="shared" si="113"/>
        <v>4.00000000005</v>
      </c>
      <c r="AS74" s="344">
        <f t="shared" si="114"/>
        <v>4.00000000006</v>
      </c>
      <c r="AT74" s="344">
        <f t="shared" si="115"/>
        <v>4.00000000007</v>
      </c>
      <c r="AU74" s="344">
        <f t="shared" si="116"/>
        <v>4.00000000008</v>
      </c>
      <c r="BL74" s="344">
        <v>5.5</v>
      </c>
      <c r="BM74" s="344">
        <v>5.5</v>
      </c>
      <c r="BN74" s="344">
        <v>5.5</v>
      </c>
      <c r="BO74" s="344">
        <v>4</v>
      </c>
      <c r="BP74" s="344"/>
      <c r="BQ74" s="344">
        <v>5.5</v>
      </c>
      <c r="BR74" s="344">
        <v>5.5</v>
      </c>
      <c r="BS74" s="344">
        <v>4</v>
      </c>
      <c r="BT74" s="344">
        <f t="shared" si="117"/>
        <v>5.50000000001</v>
      </c>
      <c r="BU74" s="344">
        <f t="shared" si="118"/>
        <v>5.50000000002</v>
      </c>
      <c r="BV74" s="344">
        <f t="shared" si="119"/>
        <v>5.50000000003</v>
      </c>
      <c r="BW74" s="344">
        <f t="shared" si="120"/>
        <v>4.00000000004</v>
      </c>
      <c r="BX74" s="344">
        <f t="shared" si="121"/>
        <v>5.0000000000000002E-11</v>
      </c>
      <c r="BY74" s="344">
        <f t="shared" si="122"/>
        <v>5.50000000006</v>
      </c>
      <c r="BZ74" s="344">
        <f t="shared" si="123"/>
        <v>5.50000000007</v>
      </c>
      <c r="CA74" s="344">
        <f t="shared" si="124"/>
        <v>4.00000000008</v>
      </c>
    </row>
    <row r="75" spans="3:79" x14ac:dyDescent="0.3">
      <c r="C75" s="282"/>
      <c r="AF75" s="344">
        <v>3</v>
      </c>
      <c r="AG75" s="344">
        <v>3</v>
      </c>
      <c r="AH75" s="344">
        <v>4</v>
      </c>
      <c r="AI75" s="344">
        <v>3</v>
      </c>
      <c r="AJ75" s="344"/>
      <c r="AK75" s="344">
        <v>4</v>
      </c>
      <c r="AL75" s="344">
        <v>3</v>
      </c>
      <c r="AM75" s="344"/>
      <c r="AN75" s="344">
        <f t="shared" si="109"/>
        <v>3.00000000001</v>
      </c>
      <c r="AO75" s="344">
        <f t="shared" si="110"/>
        <v>3.00000000002</v>
      </c>
      <c r="AP75" s="344">
        <f t="shared" si="111"/>
        <v>4.00000000003</v>
      </c>
      <c r="AQ75" s="344">
        <f t="shared" si="112"/>
        <v>3.00000000004</v>
      </c>
      <c r="AR75" s="344">
        <f t="shared" si="113"/>
        <v>5.0000000000000002E-11</v>
      </c>
      <c r="AS75" s="344">
        <f t="shared" si="114"/>
        <v>4.00000000006</v>
      </c>
      <c r="AT75" s="344">
        <f t="shared" si="115"/>
        <v>3.00000000007</v>
      </c>
      <c r="AU75" s="344">
        <f t="shared" si="116"/>
        <v>7.9999999999999995E-11</v>
      </c>
      <c r="BL75" s="344">
        <v>3</v>
      </c>
      <c r="BM75" s="344">
        <v>4</v>
      </c>
      <c r="BN75" s="344">
        <v>3</v>
      </c>
      <c r="BO75" s="344">
        <v>4</v>
      </c>
      <c r="BP75" s="344"/>
      <c r="BQ75" s="344">
        <v>4</v>
      </c>
      <c r="BR75" s="344">
        <v>3</v>
      </c>
      <c r="BS75" s="344"/>
      <c r="BT75" s="344">
        <f>BL75+0.00000000001</f>
        <v>3.00000000001</v>
      </c>
      <c r="BU75" s="344">
        <f>BM75+0.00000000002</f>
        <v>4.00000000002</v>
      </c>
      <c r="BV75" s="344">
        <f>BN75+0.00000000003</f>
        <v>3.00000000003</v>
      </c>
      <c r="BW75" s="344">
        <f>BO75+0.00000000004</f>
        <v>4.00000000004</v>
      </c>
      <c r="BX75" s="344">
        <f>BP75+0.00000000005</f>
        <v>5.0000000000000002E-11</v>
      </c>
      <c r="BY75" s="344">
        <f>BQ75+0.00000000006</f>
        <v>4.00000000006</v>
      </c>
      <c r="BZ75" s="344">
        <f>BR75+0.00000000007</f>
        <v>3.00000000007</v>
      </c>
      <c r="CA75" s="344">
        <f>BS75+0.00000000008</f>
        <v>7.9999999999999995E-11</v>
      </c>
    </row>
    <row r="76" spans="3:79" x14ac:dyDescent="0.3">
      <c r="C76" s="282"/>
      <c r="AF76" s="344">
        <v>5.5</v>
      </c>
      <c r="AG76" s="344">
        <v>3</v>
      </c>
      <c r="AH76" s="344">
        <v>4</v>
      </c>
      <c r="AI76" s="344">
        <v>4</v>
      </c>
      <c r="AJ76" s="344">
        <v>2</v>
      </c>
      <c r="AK76" s="344">
        <v>3</v>
      </c>
      <c r="AL76" s="344">
        <v>3</v>
      </c>
      <c r="AM76" s="344"/>
      <c r="AN76" s="344">
        <f t="shared" si="109"/>
        <v>5.50000000001</v>
      </c>
      <c r="AO76" s="344">
        <f t="shared" si="110"/>
        <v>3.00000000002</v>
      </c>
      <c r="AP76" s="344">
        <f t="shared" si="111"/>
        <v>4.00000000003</v>
      </c>
      <c r="AQ76" s="344">
        <f t="shared" si="112"/>
        <v>4.00000000004</v>
      </c>
      <c r="AR76" s="344">
        <f t="shared" si="113"/>
        <v>2.00000000005</v>
      </c>
      <c r="AS76" s="344">
        <f t="shared" si="114"/>
        <v>3.00000000006</v>
      </c>
      <c r="AT76" s="344">
        <f t="shared" si="115"/>
        <v>3.00000000007</v>
      </c>
      <c r="AU76" s="344">
        <f t="shared" si="116"/>
        <v>7.9999999999999995E-11</v>
      </c>
      <c r="BL76" s="344">
        <v>4</v>
      </c>
      <c r="BM76" s="344">
        <v>3</v>
      </c>
      <c r="BN76" s="344">
        <v>4</v>
      </c>
      <c r="BO76" s="344">
        <v>3</v>
      </c>
      <c r="BP76" s="344"/>
      <c r="BQ76" s="344">
        <v>5.5</v>
      </c>
      <c r="BR76" s="344">
        <v>3</v>
      </c>
      <c r="BS76" s="344"/>
      <c r="BT76" s="344">
        <f t="shared" ref="BT76:BT93" si="125">BL76+0.00000000001</f>
        <v>4.00000000001</v>
      </c>
      <c r="BU76" s="344">
        <f t="shared" ref="BU76:BU93" si="126">BM76+0.00000000002</f>
        <v>3.00000000002</v>
      </c>
      <c r="BV76" s="344">
        <f t="shared" ref="BV76:BV93" si="127">BN76+0.00000000003</f>
        <v>4.00000000003</v>
      </c>
      <c r="BW76" s="344">
        <f t="shared" ref="BW76:BW93" si="128">BO76+0.00000000004</f>
        <v>3.00000000004</v>
      </c>
      <c r="BX76" s="344">
        <f t="shared" ref="BX76:BX93" si="129">BP76+0.00000000005</f>
        <v>5.0000000000000002E-11</v>
      </c>
      <c r="BY76" s="344">
        <f t="shared" ref="BY76:BY93" si="130">BQ76+0.00000000006</f>
        <v>5.50000000006</v>
      </c>
      <c r="BZ76" s="344">
        <f t="shared" ref="BZ76:BZ93" si="131">BR76+0.00000000007</f>
        <v>3.00000000007</v>
      </c>
      <c r="CA76" s="344">
        <f t="shared" ref="CA76:CA93" si="132">BS76+0.00000000008</f>
        <v>7.9999999999999995E-11</v>
      </c>
    </row>
    <row r="77" spans="3:79" x14ac:dyDescent="0.3">
      <c r="C77" s="282"/>
      <c r="AF77" s="344">
        <v>3</v>
      </c>
      <c r="AG77" s="344">
        <v>4</v>
      </c>
      <c r="AH77" s="344">
        <v>4</v>
      </c>
      <c r="AI77" s="344">
        <v>3</v>
      </c>
      <c r="AJ77" s="344"/>
      <c r="AK77" s="344">
        <v>4</v>
      </c>
      <c r="AL77" s="344">
        <v>3</v>
      </c>
      <c r="AM77" s="344"/>
      <c r="AN77" s="344">
        <f t="shared" si="109"/>
        <v>3.00000000001</v>
      </c>
      <c r="AO77" s="344">
        <f t="shared" si="110"/>
        <v>4.00000000002</v>
      </c>
      <c r="AP77" s="344">
        <f t="shared" si="111"/>
        <v>4.00000000003</v>
      </c>
      <c r="AQ77" s="344">
        <f t="shared" si="112"/>
        <v>3.00000000004</v>
      </c>
      <c r="AR77" s="344">
        <f t="shared" si="113"/>
        <v>5.0000000000000002E-11</v>
      </c>
      <c r="AS77" s="344">
        <f t="shared" si="114"/>
        <v>4.00000000006</v>
      </c>
      <c r="AT77" s="344">
        <f t="shared" si="115"/>
        <v>3.00000000007</v>
      </c>
      <c r="AU77" s="344">
        <f t="shared" si="116"/>
        <v>7.9999999999999995E-11</v>
      </c>
      <c r="BL77" s="344">
        <v>3</v>
      </c>
      <c r="BM77" s="344">
        <v>3</v>
      </c>
      <c r="BN77" s="344">
        <v>4</v>
      </c>
      <c r="BO77" s="344">
        <v>4</v>
      </c>
      <c r="BP77" s="344">
        <v>3</v>
      </c>
      <c r="BQ77" s="344">
        <v>4</v>
      </c>
      <c r="BR77" s="344">
        <v>4</v>
      </c>
      <c r="BS77" s="344"/>
      <c r="BT77" s="344">
        <f t="shared" si="125"/>
        <v>3.00000000001</v>
      </c>
      <c r="BU77" s="344">
        <f t="shared" si="126"/>
        <v>3.00000000002</v>
      </c>
      <c r="BV77" s="344">
        <f t="shared" si="127"/>
        <v>4.00000000003</v>
      </c>
      <c r="BW77" s="344">
        <f t="shared" si="128"/>
        <v>4.00000000004</v>
      </c>
      <c r="BX77" s="344">
        <f t="shared" si="129"/>
        <v>3.00000000005</v>
      </c>
      <c r="BY77" s="344">
        <f t="shared" si="130"/>
        <v>4.00000000006</v>
      </c>
      <c r="BZ77" s="344">
        <f t="shared" si="131"/>
        <v>4.00000000007</v>
      </c>
      <c r="CA77" s="344">
        <f t="shared" si="132"/>
        <v>7.9999999999999995E-11</v>
      </c>
    </row>
    <row r="78" spans="3:79" x14ac:dyDescent="0.3">
      <c r="C78" s="282"/>
      <c r="AF78" s="344">
        <v>3</v>
      </c>
      <c r="AG78" s="344">
        <v>3</v>
      </c>
      <c r="AH78" s="344">
        <v>4</v>
      </c>
      <c r="AI78" s="344">
        <v>3</v>
      </c>
      <c r="AJ78" s="344"/>
      <c r="AK78" s="344">
        <v>4</v>
      </c>
      <c r="AL78" s="344">
        <v>4</v>
      </c>
      <c r="AM78" s="344">
        <v>4</v>
      </c>
      <c r="AN78" s="344">
        <f t="shared" si="109"/>
        <v>3.00000000001</v>
      </c>
      <c r="AO78" s="344">
        <f t="shared" si="110"/>
        <v>3.00000000002</v>
      </c>
      <c r="AP78" s="344">
        <f t="shared" si="111"/>
        <v>4.00000000003</v>
      </c>
      <c r="AQ78" s="344">
        <f t="shared" si="112"/>
        <v>3.00000000004</v>
      </c>
      <c r="AR78" s="344">
        <f t="shared" si="113"/>
        <v>5.0000000000000002E-11</v>
      </c>
      <c r="AS78" s="344">
        <f t="shared" si="114"/>
        <v>4.00000000006</v>
      </c>
      <c r="AT78" s="344">
        <f t="shared" si="115"/>
        <v>4.00000000007</v>
      </c>
      <c r="AU78" s="344">
        <f t="shared" si="116"/>
        <v>4.00000000008</v>
      </c>
      <c r="BL78" s="344">
        <v>4</v>
      </c>
      <c r="BM78" s="344">
        <v>3</v>
      </c>
      <c r="BN78" s="344">
        <v>4</v>
      </c>
      <c r="BO78" s="344">
        <v>3</v>
      </c>
      <c r="BP78" s="344"/>
      <c r="BQ78" s="344">
        <v>4</v>
      </c>
      <c r="BR78" s="344">
        <v>4</v>
      </c>
      <c r="BS78" s="344">
        <v>4</v>
      </c>
      <c r="BT78" s="344">
        <f t="shared" si="125"/>
        <v>4.00000000001</v>
      </c>
      <c r="BU78" s="344">
        <f t="shared" si="126"/>
        <v>3.00000000002</v>
      </c>
      <c r="BV78" s="344">
        <f t="shared" si="127"/>
        <v>4.00000000003</v>
      </c>
      <c r="BW78" s="344">
        <f t="shared" si="128"/>
        <v>3.00000000004</v>
      </c>
      <c r="BX78" s="344">
        <f t="shared" si="129"/>
        <v>5.0000000000000002E-11</v>
      </c>
      <c r="BY78" s="344">
        <f t="shared" si="130"/>
        <v>4.00000000006</v>
      </c>
      <c r="BZ78" s="344">
        <f t="shared" si="131"/>
        <v>4.00000000007</v>
      </c>
      <c r="CA78" s="344">
        <f t="shared" si="132"/>
        <v>4.00000000008</v>
      </c>
    </row>
    <row r="79" spans="3:79" x14ac:dyDescent="0.3">
      <c r="C79" s="282"/>
      <c r="AF79" s="344">
        <v>3</v>
      </c>
      <c r="AG79" s="344">
        <v>3</v>
      </c>
      <c r="AH79" s="344">
        <v>5.5</v>
      </c>
      <c r="AI79" s="344">
        <v>4</v>
      </c>
      <c r="AJ79" s="344"/>
      <c r="AK79" s="344">
        <v>3</v>
      </c>
      <c r="AL79" s="344">
        <v>3</v>
      </c>
      <c r="AM79" s="344"/>
      <c r="AN79" s="344">
        <f t="shared" si="109"/>
        <v>3.00000000001</v>
      </c>
      <c r="AO79" s="344">
        <f t="shared" si="110"/>
        <v>3.00000000002</v>
      </c>
      <c r="AP79" s="344">
        <f t="shared" si="111"/>
        <v>5.50000000003</v>
      </c>
      <c r="AQ79" s="344">
        <f t="shared" si="112"/>
        <v>4.00000000004</v>
      </c>
      <c r="AR79" s="344">
        <f t="shared" si="113"/>
        <v>5.0000000000000002E-11</v>
      </c>
      <c r="AS79" s="344">
        <f t="shared" si="114"/>
        <v>3.00000000006</v>
      </c>
      <c r="AT79" s="344">
        <f t="shared" si="115"/>
        <v>3.00000000007</v>
      </c>
      <c r="AU79" s="344">
        <f t="shared" si="116"/>
        <v>7.9999999999999995E-11</v>
      </c>
      <c r="BL79" s="344">
        <v>4</v>
      </c>
      <c r="BM79" s="344">
        <v>4</v>
      </c>
      <c r="BN79" s="344">
        <v>4</v>
      </c>
      <c r="BO79" s="344">
        <v>3</v>
      </c>
      <c r="BP79" s="344"/>
      <c r="BQ79" s="344">
        <v>4</v>
      </c>
      <c r="BR79" s="344">
        <v>3</v>
      </c>
      <c r="BS79" s="344">
        <v>3</v>
      </c>
      <c r="BT79" s="344">
        <f t="shared" si="125"/>
        <v>4.00000000001</v>
      </c>
      <c r="BU79" s="344">
        <f t="shared" si="126"/>
        <v>4.00000000002</v>
      </c>
      <c r="BV79" s="344">
        <f t="shared" si="127"/>
        <v>4.00000000003</v>
      </c>
      <c r="BW79" s="344">
        <f t="shared" si="128"/>
        <v>3.00000000004</v>
      </c>
      <c r="BX79" s="344">
        <f t="shared" si="129"/>
        <v>5.0000000000000002E-11</v>
      </c>
      <c r="BY79" s="344">
        <f t="shared" si="130"/>
        <v>4.00000000006</v>
      </c>
      <c r="BZ79" s="344">
        <f t="shared" si="131"/>
        <v>3.00000000007</v>
      </c>
      <c r="CA79" s="344">
        <f t="shared" si="132"/>
        <v>3.00000000008</v>
      </c>
    </row>
    <row r="80" spans="3:79" x14ac:dyDescent="0.3">
      <c r="C80" s="282"/>
      <c r="AF80" s="344">
        <v>3</v>
      </c>
      <c r="AG80" s="344">
        <v>3</v>
      </c>
      <c r="AH80" s="344">
        <v>4</v>
      </c>
      <c r="AI80" s="344">
        <v>3</v>
      </c>
      <c r="AJ80" s="344">
        <v>4</v>
      </c>
      <c r="AK80" s="344">
        <v>4</v>
      </c>
      <c r="AL80" s="344">
        <v>2</v>
      </c>
      <c r="AM80" s="344"/>
      <c r="AN80" s="344">
        <f t="shared" si="109"/>
        <v>3.00000000001</v>
      </c>
      <c r="AO80" s="344">
        <f t="shared" si="110"/>
        <v>3.00000000002</v>
      </c>
      <c r="AP80" s="344">
        <f t="shared" si="111"/>
        <v>4.00000000003</v>
      </c>
      <c r="AQ80" s="344">
        <f t="shared" si="112"/>
        <v>3.00000000004</v>
      </c>
      <c r="AR80" s="344">
        <f t="shared" si="113"/>
        <v>4.00000000005</v>
      </c>
      <c r="AS80" s="344">
        <f t="shared" si="114"/>
        <v>4.00000000006</v>
      </c>
      <c r="AT80" s="344">
        <f t="shared" si="115"/>
        <v>2.00000000007</v>
      </c>
      <c r="AU80" s="344">
        <f t="shared" si="116"/>
        <v>7.9999999999999995E-11</v>
      </c>
      <c r="BL80" s="344">
        <v>4</v>
      </c>
      <c r="BM80" s="344">
        <v>4</v>
      </c>
      <c r="BN80" s="344">
        <v>4</v>
      </c>
      <c r="BO80" s="344">
        <v>3</v>
      </c>
      <c r="BP80" s="344"/>
      <c r="BQ80" s="344">
        <v>3</v>
      </c>
      <c r="BR80" s="344">
        <v>3</v>
      </c>
      <c r="BS80" s="344"/>
      <c r="BT80" s="344">
        <f t="shared" si="125"/>
        <v>4.00000000001</v>
      </c>
      <c r="BU80" s="344">
        <f t="shared" si="126"/>
        <v>4.00000000002</v>
      </c>
      <c r="BV80" s="344">
        <f t="shared" si="127"/>
        <v>4.00000000003</v>
      </c>
      <c r="BW80" s="344">
        <f t="shared" si="128"/>
        <v>3.00000000004</v>
      </c>
      <c r="BX80" s="344">
        <f t="shared" si="129"/>
        <v>5.0000000000000002E-11</v>
      </c>
      <c r="BY80" s="344">
        <f t="shared" si="130"/>
        <v>3.00000000006</v>
      </c>
      <c r="BZ80" s="344">
        <f t="shared" si="131"/>
        <v>3.00000000007</v>
      </c>
      <c r="CA80" s="344">
        <f t="shared" si="132"/>
        <v>7.9999999999999995E-11</v>
      </c>
    </row>
    <row r="81" spans="3:79" x14ac:dyDescent="0.3">
      <c r="C81" s="282"/>
      <c r="AF81" s="344">
        <v>4</v>
      </c>
      <c r="AG81" s="344">
        <v>3</v>
      </c>
      <c r="AH81" s="344">
        <v>4</v>
      </c>
      <c r="AI81" s="344">
        <v>3</v>
      </c>
      <c r="AJ81" s="344">
        <v>3</v>
      </c>
      <c r="AK81" s="344">
        <v>3</v>
      </c>
      <c r="AL81" s="344">
        <v>3</v>
      </c>
      <c r="AM81" s="344"/>
      <c r="AN81" s="344">
        <f t="shared" si="109"/>
        <v>4.00000000001</v>
      </c>
      <c r="AO81" s="344">
        <f t="shared" si="110"/>
        <v>3.00000000002</v>
      </c>
      <c r="AP81" s="344">
        <f t="shared" si="111"/>
        <v>4.00000000003</v>
      </c>
      <c r="AQ81" s="344">
        <f t="shared" si="112"/>
        <v>3.00000000004</v>
      </c>
      <c r="AR81" s="344">
        <f t="shared" si="113"/>
        <v>3.00000000005</v>
      </c>
      <c r="AS81" s="344">
        <f t="shared" si="114"/>
        <v>3.00000000006</v>
      </c>
      <c r="AT81" s="344">
        <f t="shared" si="115"/>
        <v>3.00000000007</v>
      </c>
      <c r="AU81" s="344">
        <f t="shared" si="116"/>
        <v>7.9999999999999995E-11</v>
      </c>
      <c r="BL81" s="344">
        <v>3</v>
      </c>
      <c r="BM81" s="344">
        <v>4</v>
      </c>
      <c r="BN81" s="344">
        <v>4</v>
      </c>
      <c r="BO81" s="344">
        <v>4</v>
      </c>
      <c r="BP81" s="344"/>
      <c r="BQ81" s="344">
        <v>3</v>
      </c>
      <c r="BR81" s="344">
        <v>3</v>
      </c>
      <c r="BS81" s="344"/>
      <c r="BT81" s="344">
        <f t="shared" si="125"/>
        <v>3.00000000001</v>
      </c>
      <c r="BU81" s="344">
        <f t="shared" si="126"/>
        <v>4.00000000002</v>
      </c>
      <c r="BV81" s="344">
        <f t="shared" si="127"/>
        <v>4.00000000003</v>
      </c>
      <c r="BW81" s="344">
        <f t="shared" si="128"/>
        <v>4.00000000004</v>
      </c>
      <c r="BX81" s="344">
        <f t="shared" si="129"/>
        <v>5.0000000000000002E-11</v>
      </c>
      <c r="BY81" s="344">
        <f t="shared" si="130"/>
        <v>3.00000000006</v>
      </c>
      <c r="BZ81" s="344">
        <f t="shared" si="131"/>
        <v>3.00000000007</v>
      </c>
      <c r="CA81" s="344">
        <f t="shared" si="132"/>
        <v>7.9999999999999995E-11</v>
      </c>
    </row>
    <row r="82" spans="3:79" x14ac:dyDescent="0.3">
      <c r="C82" s="282"/>
      <c r="AF82" s="344">
        <v>3</v>
      </c>
      <c r="AG82" s="344">
        <v>3</v>
      </c>
      <c r="AH82" s="344">
        <v>4</v>
      </c>
      <c r="AI82" s="344">
        <v>4</v>
      </c>
      <c r="AJ82" s="344"/>
      <c r="AK82" s="344">
        <v>4</v>
      </c>
      <c r="AL82" s="344">
        <v>3</v>
      </c>
      <c r="AM82" s="344">
        <v>3</v>
      </c>
      <c r="AN82" s="344">
        <f t="shared" si="109"/>
        <v>3.00000000001</v>
      </c>
      <c r="AO82" s="344">
        <f t="shared" si="110"/>
        <v>3.00000000002</v>
      </c>
      <c r="AP82" s="344">
        <f t="shared" si="111"/>
        <v>4.00000000003</v>
      </c>
      <c r="AQ82" s="344">
        <f t="shared" si="112"/>
        <v>4.00000000004</v>
      </c>
      <c r="AR82" s="344">
        <f t="shared" si="113"/>
        <v>5.0000000000000002E-11</v>
      </c>
      <c r="AS82" s="344">
        <f t="shared" si="114"/>
        <v>4.00000000006</v>
      </c>
      <c r="AT82" s="344">
        <f t="shared" si="115"/>
        <v>3.00000000007</v>
      </c>
      <c r="AU82" s="344">
        <f t="shared" si="116"/>
        <v>3.00000000008</v>
      </c>
      <c r="BL82" s="344">
        <v>3</v>
      </c>
      <c r="BM82" s="344">
        <v>3</v>
      </c>
      <c r="BN82" s="344">
        <v>4</v>
      </c>
      <c r="BO82" s="344">
        <v>4</v>
      </c>
      <c r="BP82" s="344">
        <v>2</v>
      </c>
      <c r="BQ82" s="344">
        <v>4</v>
      </c>
      <c r="BR82" s="344">
        <v>4</v>
      </c>
      <c r="BS82" s="344"/>
      <c r="BT82" s="344">
        <f t="shared" si="125"/>
        <v>3.00000000001</v>
      </c>
      <c r="BU82" s="344">
        <f t="shared" si="126"/>
        <v>3.00000000002</v>
      </c>
      <c r="BV82" s="344">
        <f t="shared" si="127"/>
        <v>4.00000000003</v>
      </c>
      <c r="BW82" s="344">
        <f t="shared" si="128"/>
        <v>4.00000000004</v>
      </c>
      <c r="BX82" s="344">
        <f t="shared" si="129"/>
        <v>2.00000000005</v>
      </c>
      <c r="BY82" s="344">
        <f t="shared" si="130"/>
        <v>4.00000000006</v>
      </c>
      <c r="BZ82" s="344">
        <f t="shared" si="131"/>
        <v>4.00000000007</v>
      </c>
      <c r="CA82" s="344">
        <f t="shared" si="132"/>
        <v>7.9999999999999995E-11</v>
      </c>
    </row>
    <row r="83" spans="3:79" x14ac:dyDescent="0.3">
      <c r="C83" s="282"/>
      <c r="AF83" s="344">
        <v>4</v>
      </c>
      <c r="AG83" s="344">
        <v>4</v>
      </c>
      <c r="AH83" s="344">
        <v>4</v>
      </c>
      <c r="AI83" s="344">
        <v>3</v>
      </c>
      <c r="AJ83" s="344">
        <v>4</v>
      </c>
      <c r="AK83" s="344">
        <v>4</v>
      </c>
      <c r="AL83" s="344">
        <v>3</v>
      </c>
      <c r="AM83" s="344"/>
      <c r="AN83" s="344">
        <f t="shared" si="109"/>
        <v>4.00000000001</v>
      </c>
      <c r="AO83" s="344">
        <f t="shared" si="110"/>
        <v>4.00000000002</v>
      </c>
      <c r="AP83" s="344">
        <f t="shared" si="111"/>
        <v>4.00000000003</v>
      </c>
      <c r="AQ83" s="344">
        <f t="shared" si="112"/>
        <v>3.00000000004</v>
      </c>
      <c r="AR83" s="344">
        <f t="shared" si="113"/>
        <v>4.00000000005</v>
      </c>
      <c r="AS83" s="344">
        <f t="shared" si="114"/>
        <v>4.00000000006</v>
      </c>
      <c r="AT83" s="344">
        <f t="shared" si="115"/>
        <v>3.00000000007</v>
      </c>
      <c r="AU83" s="344">
        <f t="shared" si="116"/>
        <v>7.9999999999999995E-11</v>
      </c>
      <c r="BL83" s="344">
        <v>4</v>
      </c>
      <c r="BM83" s="344">
        <v>4</v>
      </c>
      <c r="BN83" s="344">
        <v>4</v>
      </c>
      <c r="BO83" s="344">
        <v>5.5</v>
      </c>
      <c r="BP83" s="344"/>
      <c r="BQ83" s="344">
        <v>4</v>
      </c>
      <c r="BR83" s="344">
        <v>3</v>
      </c>
      <c r="BS83" s="344"/>
      <c r="BT83" s="344">
        <f t="shared" si="125"/>
        <v>4.00000000001</v>
      </c>
      <c r="BU83" s="344">
        <f t="shared" si="126"/>
        <v>4.00000000002</v>
      </c>
      <c r="BV83" s="344">
        <f t="shared" si="127"/>
        <v>4.00000000003</v>
      </c>
      <c r="BW83" s="344">
        <f t="shared" si="128"/>
        <v>5.50000000004</v>
      </c>
      <c r="BX83" s="344">
        <f t="shared" si="129"/>
        <v>5.0000000000000002E-11</v>
      </c>
      <c r="BY83" s="344">
        <f t="shared" si="130"/>
        <v>4.00000000006</v>
      </c>
      <c r="BZ83" s="344">
        <f t="shared" si="131"/>
        <v>3.00000000007</v>
      </c>
      <c r="CA83" s="344">
        <f t="shared" si="132"/>
        <v>7.9999999999999995E-11</v>
      </c>
    </row>
    <row r="84" spans="3:79" x14ac:dyDescent="0.3">
      <c r="C84" s="282"/>
      <c r="AF84" s="371">
        <v>4</v>
      </c>
      <c r="AG84" s="371">
        <v>4</v>
      </c>
      <c r="AH84" s="371">
        <v>4</v>
      </c>
      <c r="AI84" s="371">
        <v>3</v>
      </c>
      <c r="AJ84" s="371"/>
      <c r="AK84" s="371">
        <v>4</v>
      </c>
      <c r="AL84" s="371">
        <v>3</v>
      </c>
      <c r="AM84" s="371"/>
      <c r="AN84" s="344">
        <f t="shared" si="109"/>
        <v>4.00000000001</v>
      </c>
      <c r="AO84" s="344">
        <f t="shared" si="110"/>
        <v>4.00000000002</v>
      </c>
      <c r="AP84" s="344">
        <f t="shared" si="111"/>
        <v>4.00000000003</v>
      </c>
      <c r="AQ84" s="344">
        <f t="shared" si="112"/>
        <v>3.00000000004</v>
      </c>
      <c r="AR84" s="344">
        <f t="shared" si="113"/>
        <v>5.0000000000000002E-11</v>
      </c>
      <c r="AS84" s="344">
        <f t="shared" si="114"/>
        <v>4.00000000006</v>
      </c>
      <c r="AT84" s="344">
        <f t="shared" si="115"/>
        <v>3.00000000007</v>
      </c>
      <c r="AU84" s="344">
        <f t="shared" si="116"/>
        <v>7.9999999999999995E-11</v>
      </c>
      <c r="BL84" s="371">
        <v>3</v>
      </c>
      <c r="BM84" s="371">
        <v>4</v>
      </c>
      <c r="BN84" s="371">
        <v>3</v>
      </c>
      <c r="BO84" s="371">
        <v>3</v>
      </c>
      <c r="BP84" s="371"/>
      <c r="BQ84" s="371">
        <v>5.5</v>
      </c>
      <c r="BR84" s="371">
        <v>4</v>
      </c>
      <c r="BS84" s="371"/>
      <c r="BT84" s="344">
        <f t="shared" si="125"/>
        <v>3.00000000001</v>
      </c>
      <c r="BU84" s="344">
        <f t="shared" si="126"/>
        <v>4.00000000002</v>
      </c>
      <c r="BV84" s="344">
        <f t="shared" si="127"/>
        <v>3.00000000003</v>
      </c>
      <c r="BW84" s="344">
        <f t="shared" si="128"/>
        <v>3.00000000004</v>
      </c>
      <c r="BX84" s="344">
        <f t="shared" si="129"/>
        <v>5.0000000000000002E-11</v>
      </c>
      <c r="BY84" s="344">
        <f t="shared" si="130"/>
        <v>5.50000000006</v>
      </c>
      <c r="BZ84" s="344">
        <f t="shared" si="131"/>
        <v>4.00000000007</v>
      </c>
      <c r="CA84" s="344">
        <f t="shared" si="132"/>
        <v>7.9999999999999995E-11</v>
      </c>
    </row>
    <row r="85" spans="3:79" x14ac:dyDescent="0.3">
      <c r="C85" s="282"/>
      <c r="AF85" s="344">
        <v>5.5</v>
      </c>
      <c r="AG85" s="344">
        <v>4</v>
      </c>
      <c r="AH85" s="344">
        <v>3</v>
      </c>
      <c r="AI85" s="344">
        <v>3</v>
      </c>
      <c r="AJ85" s="344"/>
      <c r="AK85" s="344">
        <v>4</v>
      </c>
      <c r="AL85" s="344">
        <v>3</v>
      </c>
      <c r="AM85" s="344"/>
      <c r="AN85" s="344">
        <f t="shared" si="109"/>
        <v>5.50000000001</v>
      </c>
      <c r="AO85" s="344">
        <f t="shared" si="110"/>
        <v>4.00000000002</v>
      </c>
      <c r="AP85" s="344">
        <f t="shared" si="111"/>
        <v>3.00000000003</v>
      </c>
      <c r="AQ85" s="344">
        <f t="shared" si="112"/>
        <v>3.00000000004</v>
      </c>
      <c r="AR85" s="344">
        <f t="shared" si="113"/>
        <v>5.0000000000000002E-11</v>
      </c>
      <c r="AS85" s="344">
        <f t="shared" si="114"/>
        <v>4.00000000006</v>
      </c>
      <c r="AT85" s="344">
        <f t="shared" si="115"/>
        <v>3.00000000007</v>
      </c>
      <c r="AU85" s="344">
        <f t="shared" si="116"/>
        <v>7.9999999999999995E-11</v>
      </c>
      <c r="BL85" s="344">
        <v>5.5</v>
      </c>
      <c r="BM85" s="344">
        <v>4</v>
      </c>
      <c r="BN85" s="344">
        <v>4</v>
      </c>
      <c r="BO85" s="344">
        <v>3</v>
      </c>
      <c r="BP85" s="344"/>
      <c r="BQ85" s="344">
        <v>4</v>
      </c>
      <c r="BR85" s="344">
        <v>3</v>
      </c>
      <c r="BS85" s="344"/>
      <c r="BT85" s="344">
        <f t="shared" si="125"/>
        <v>5.50000000001</v>
      </c>
      <c r="BU85" s="344">
        <f t="shared" si="126"/>
        <v>4.00000000002</v>
      </c>
      <c r="BV85" s="344">
        <f t="shared" si="127"/>
        <v>4.00000000003</v>
      </c>
      <c r="BW85" s="344">
        <f t="shared" si="128"/>
        <v>3.00000000004</v>
      </c>
      <c r="BX85" s="344">
        <f t="shared" si="129"/>
        <v>5.0000000000000002E-11</v>
      </c>
      <c r="BY85" s="344">
        <f t="shared" si="130"/>
        <v>4.00000000006</v>
      </c>
      <c r="BZ85" s="344">
        <f t="shared" si="131"/>
        <v>3.00000000007</v>
      </c>
      <c r="CA85" s="344">
        <f t="shared" si="132"/>
        <v>7.9999999999999995E-11</v>
      </c>
    </row>
    <row r="86" spans="3:79" x14ac:dyDescent="0.3">
      <c r="C86" s="282"/>
      <c r="AF86" s="344">
        <v>4</v>
      </c>
      <c r="AG86" s="344">
        <v>4</v>
      </c>
      <c r="AH86" s="344">
        <v>4</v>
      </c>
      <c r="AI86" s="344">
        <v>3</v>
      </c>
      <c r="AJ86" s="344"/>
      <c r="AK86" s="344">
        <v>5.5</v>
      </c>
      <c r="AL86" s="344">
        <v>3</v>
      </c>
      <c r="AM86" s="344"/>
      <c r="AN86" s="344">
        <f t="shared" si="109"/>
        <v>4.00000000001</v>
      </c>
      <c r="AO86" s="344">
        <f t="shared" si="110"/>
        <v>4.00000000002</v>
      </c>
      <c r="AP86" s="344">
        <f t="shared" si="111"/>
        <v>4.00000000003</v>
      </c>
      <c r="AQ86" s="344">
        <f t="shared" si="112"/>
        <v>3.00000000004</v>
      </c>
      <c r="AR86" s="344">
        <f t="shared" si="113"/>
        <v>5.0000000000000002E-11</v>
      </c>
      <c r="AS86" s="344">
        <f t="shared" si="114"/>
        <v>5.50000000006</v>
      </c>
      <c r="AT86" s="344">
        <f t="shared" si="115"/>
        <v>3.00000000007</v>
      </c>
      <c r="AU86" s="344">
        <f t="shared" si="116"/>
        <v>7.9999999999999995E-11</v>
      </c>
      <c r="BL86" s="344">
        <v>4</v>
      </c>
      <c r="BM86" s="344">
        <v>4</v>
      </c>
      <c r="BN86" s="344">
        <v>3</v>
      </c>
      <c r="BO86" s="344">
        <v>5.5</v>
      </c>
      <c r="BP86" s="344"/>
      <c r="BQ86" s="344">
        <v>4</v>
      </c>
      <c r="BR86" s="344">
        <v>4</v>
      </c>
      <c r="BS86" s="344"/>
      <c r="BT86" s="344">
        <f t="shared" si="125"/>
        <v>4.00000000001</v>
      </c>
      <c r="BU86" s="344">
        <f t="shared" si="126"/>
        <v>4.00000000002</v>
      </c>
      <c r="BV86" s="344">
        <f t="shared" si="127"/>
        <v>3.00000000003</v>
      </c>
      <c r="BW86" s="344">
        <f t="shared" si="128"/>
        <v>5.50000000004</v>
      </c>
      <c r="BX86" s="344">
        <f t="shared" si="129"/>
        <v>5.0000000000000002E-11</v>
      </c>
      <c r="BY86" s="344">
        <f t="shared" si="130"/>
        <v>4.00000000006</v>
      </c>
      <c r="BZ86" s="344">
        <f t="shared" si="131"/>
        <v>4.00000000007</v>
      </c>
      <c r="CA86" s="344">
        <f t="shared" si="132"/>
        <v>7.9999999999999995E-11</v>
      </c>
    </row>
    <row r="87" spans="3:79" x14ac:dyDescent="0.3">
      <c r="C87" s="282"/>
      <c r="AF87" s="381">
        <v>4</v>
      </c>
      <c r="AG87" s="381">
        <v>4</v>
      </c>
      <c r="AH87" s="381">
        <v>4</v>
      </c>
      <c r="AI87" s="381">
        <v>3</v>
      </c>
      <c r="AJ87" s="381">
        <v>2</v>
      </c>
      <c r="AK87" s="381">
        <v>4</v>
      </c>
      <c r="AL87" s="381">
        <v>3</v>
      </c>
      <c r="AM87" s="381"/>
      <c r="AN87" s="344">
        <f t="shared" si="109"/>
        <v>4.00000000001</v>
      </c>
      <c r="AO87" s="344">
        <f t="shared" si="110"/>
        <v>4.00000000002</v>
      </c>
      <c r="AP87" s="344">
        <f t="shared" si="111"/>
        <v>4.00000000003</v>
      </c>
      <c r="AQ87" s="344">
        <f t="shared" si="112"/>
        <v>3.00000000004</v>
      </c>
      <c r="AR87" s="344">
        <f t="shared" si="113"/>
        <v>2.00000000005</v>
      </c>
      <c r="AS87" s="344">
        <f t="shared" si="114"/>
        <v>4.00000000006</v>
      </c>
      <c r="AT87" s="344">
        <f t="shared" si="115"/>
        <v>3.00000000007</v>
      </c>
      <c r="AU87" s="344">
        <f t="shared" si="116"/>
        <v>7.9999999999999995E-11</v>
      </c>
      <c r="BL87" s="381">
        <v>4</v>
      </c>
      <c r="BM87" s="381">
        <v>4</v>
      </c>
      <c r="BN87" s="381">
        <v>4</v>
      </c>
      <c r="BO87" s="381">
        <v>4</v>
      </c>
      <c r="BP87" s="381"/>
      <c r="BQ87" s="381">
        <v>4</v>
      </c>
      <c r="BR87" s="381">
        <v>4</v>
      </c>
      <c r="BS87" s="381"/>
      <c r="BT87" s="344">
        <f t="shared" si="125"/>
        <v>4.00000000001</v>
      </c>
      <c r="BU87" s="344">
        <f t="shared" si="126"/>
        <v>4.00000000002</v>
      </c>
      <c r="BV87" s="344">
        <f t="shared" si="127"/>
        <v>4.00000000003</v>
      </c>
      <c r="BW87" s="344">
        <f t="shared" si="128"/>
        <v>4.00000000004</v>
      </c>
      <c r="BX87" s="344">
        <f t="shared" si="129"/>
        <v>5.0000000000000002E-11</v>
      </c>
      <c r="BY87" s="344">
        <f t="shared" si="130"/>
        <v>4.00000000006</v>
      </c>
      <c r="BZ87" s="344">
        <f t="shared" si="131"/>
        <v>4.00000000007</v>
      </c>
      <c r="CA87" s="344">
        <f t="shared" si="132"/>
        <v>7.9999999999999995E-11</v>
      </c>
    </row>
    <row r="88" spans="3:79" x14ac:dyDescent="0.3">
      <c r="C88" s="282"/>
      <c r="AF88" s="371">
        <v>5.5</v>
      </c>
      <c r="AG88" s="371">
        <v>4</v>
      </c>
      <c r="AH88" s="371">
        <v>4</v>
      </c>
      <c r="AI88" s="371">
        <v>4</v>
      </c>
      <c r="AJ88" s="371"/>
      <c r="AK88" s="371">
        <v>4</v>
      </c>
      <c r="AL88" s="371">
        <v>3</v>
      </c>
      <c r="AM88" s="371"/>
      <c r="AN88" s="344">
        <f t="shared" si="109"/>
        <v>5.50000000001</v>
      </c>
      <c r="AO88" s="344">
        <f t="shared" si="110"/>
        <v>4.00000000002</v>
      </c>
      <c r="AP88" s="344">
        <f t="shared" si="111"/>
        <v>4.00000000003</v>
      </c>
      <c r="AQ88" s="344">
        <f t="shared" si="112"/>
        <v>4.00000000004</v>
      </c>
      <c r="AR88" s="344">
        <f t="shared" si="113"/>
        <v>5.0000000000000002E-11</v>
      </c>
      <c r="AS88" s="344">
        <f t="shared" si="114"/>
        <v>4.00000000006</v>
      </c>
      <c r="AT88" s="344">
        <f t="shared" si="115"/>
        <v>3.00000000007</v>
      </c>
      <c r="AU88" s="344">
        <f t="shared" si="116"/>
        <v>7.9999999999999995E-11</v>
      </c>
      <c r="BL88" s="371">
        <v>4</v>
      </c>
      <c r="BM88" s="371">
        <v>4</v>
      </c>
      <c r="BN88" s="371">
        <v>4</v>
      </c>
      <c r="BO88" s="371">
        <v>4</v>
      </c>
      <c r="BP88" s="371"/>
      <c r="BQ88" s="371">
        <v>4</v>
      </c>
      <c r="BR88" s="371">
        <v>4</v>
      </c>
      <c r="BS88" s="371">
        <v>3</v>
      </c>
      <c r="BT88" s="344">
        <f t="shared" si="125"/>
        <v>4.00000000001</v>
      </c>
      <c r="BU88" s="344">
        <f t="shared" si="126"/>
        <v>4.00000000002</v>
      </c>
      <c r="BV88" s="344">
        <f t="shared" si="127"/>
        <v>4.00000000003</v>
      </c>
      <c r="BW88" s="344">
        <f t="shared" si="128"/>
        <v>4.00000000004</v>
      </c>
      <c r="BX88" s="344">
        <f t="shared" si="129"/>
        <v>5.0000000000000002E-11</v>
      </c>
      <c r="BY88" s="344">
        <f t="shared" si="130"/>
        <v>4.00000000006</v>
      </c>
      <c r="BZ88" s="344">
        <f t="shared" si="131"/>
        <v>4.00000000007</v>
      </c>
      <c r="CA88" s="344">
        <f t="shared" si="132"/>
        <v>3.00000000008</v>
      </c>
    </row>
    <row r="89" spans="3:79" x14ac:dyDescent="0.3">
      <c r="C89" s="282"/>
      <c r="AF89" s="344">
        <v>3</v>
      </c>
      <c r="AG89" s="344">
        <v>4</v>
      </c>
      <c r="AH89" s="344">
        <v>7</v>
      </c>
      <c r="AI89" s="344">
        <v>3</v>
      </c>
      <c r="AJ89" s="344"/>
      <c r="AK89" s="344">
        <v>5.5</v>
      </c>
      <c r="AL89" s="344">
        <v>4</v>
      </c>
      <c r="AM89" s="344"/>
      <c r="AN89" s="344">
        <f t="shared" si="109"/>
        <v>3.00000000001</v>
      </c>
      <c r="AO89" s="344">
        <f t="shared" si="110"/>
        <v>4.00000000002</v>
      </c>
      <c r="AP89" s="344">
        <f t="shared" si="111"/>
        <v>7.00000000003</v>
      </c>
      <c r="AQ89" s="344">
        <f t="shared" si="112"/>
        <v>3.00000000004</v>
      </c>
      <c r="AR89" s="344">
        <f t="shared" si="113"/>
        <v>5.0000000000000002E-11</v>
      </c>
      <c r="AS89" s="344">
        <f t="shared" si="114"/>
        <v>5.50000000006</v>
      </c>
      <c r="AT89" s="344">
        <f t="shared" si="115"/>
        <v>4.00000000007</v>
      </c>
      <c r="AU89" s="344">
        <f t="shared" si="116"/>
        <v>7.9999999999999995E-11</v>
      </c>
      <c r="BL89" s="344">
        <v>7</v>
      </c>
      <c r="BM89" s="344">
        <v>3</v>
      </c>
      <c r="BN89" s="344">
        <v>4</v>
      </c>
      <c r="BO89" s="344">
        <v>5.5</v>
      </c>
      <c r="BP89" s="344"/>
      <c r="BQ89" s="344">
        <v>4</v>
      </c>
      <c r="BR89" s="344">
        <v>4</v>
      </c>
      <c r="BS89" s="344"/>
      <c r="BT89" s="344">
        <f t="shared" si="125"/>
        <v>7.00000000001</v>
      </c>
      <c r="BU89" s="344">
        <f t="shared" si="126"/>
        <v>3.00000000002</v>
      </c>
      <c r="BV89" s="344">
        <f t="shared" si="127"/>
        <v>4.00000000003</v>
      </c>
      <c r="BW89" s="344">
        <f t="shared" si="128"/>
        <v>5.50000000004</v>
      </c>
      <c r="BX89" s="344">
        <f t="shared" si="129"/>
        <v>5.0000000000000002E-11</v>
      </c>
      <c r="BY89" s="344">
        <f t="shared" si="130"/>
        <v>4.00000000006</v>
      </c>
      <c r="BZ89" s="344">
        <f t="shared" si="131"/>
        <v>4.00000000007</v>
      </c>
      <c r="CA89" s="344">
        <f t="shared" si="132"/>
        <v>7.9999999999999995E-11</v>
      </c>
    </row>
    <row r="90" spans="3:79" x14ac:dyDescent="0.3">
      <c r="C90" s="282"/>
      <c r="AF90" s="344">
        <v>3</v>
      </c>
      <c r="AG90" s="344">
        <v>3</v>
      </c>
      <c r="AH90" s="344">
        <v>4</v>
      </c>
      <c r="AI90" s="344">
        <v>3</v>
      </c>
      <c r="AJ90" s="344"/>
      <c r="AK90" s="344">
        <v>4</v>
      </c>
      <c r="AL90" s="344">
        <v>4</v>
      </c>
      <c r="AM90" s="344"/>
      <c r="AN90" s="344">
        <f t="shared" si="109"/>
        <v>3.00000000001</v>
      </c>
      <c r="AO90" s="344">
        <f t="shared" si="110"/>
        <v>3.00000000002</v>
      </c>
      <c r="AP90" s="344">
        <f t="shared" si="111"/>
        <v>4.00000000003</v>
      </c>
      <c r="AQ90" s="344">
        <f t="shared" si="112"/>
        <v>3.00000000004</v>
      </c>
      <c r="AR90" s="344">
        <f t="shared" si="113"/>
        <v>5.0000000000000002E-11</v>
      </c>
      <c r="AS90" s="344">
        <f t="shared" si="114"/>
        <v>4.00000000006</v>
      </c>
      <c r="AT90" s="344">
        <f t="shared" si="115"/>
        <v>4.00000000007</v>
      </c>
      <c r="AU90" s="344">
        <f t="shared" si="116"/>
        <v>7.9999999999999995E-11</v>
      </c>
      <c r="BL90" s="344">
        <v>4</v>
      </c>
      <c r="BM90" s="344">
        <v>3</v>
      </c>
      <c r="BN90" s="344">
        <v>3</v>
      </c>
      <c r="BO90" s="344">
        <v>4</v>
      </c>
      <c r="BP90" s="344"/>
      <c r="BQ90" s="344">
        <v>4</v>
      </c>
      <c r="BR90" s="344">
        <v>3</v>
      </c>
      <c r="BS90" s="344"/>
      <c r="BT90" s="344">
        <f t="shared" si="125"/>
        <v>4.00000000001</v>
      </c>
      <c r="BU90" s="344">
        <f t="shared" si="126"/>
        <v>3.00000000002</v>
      </c>
      <c r="BV90" s="344">
        <f t="shared" si="127"/>
        <v>3.00000000003</v>
      </c>
      <c r="BW90" s="344">
        <f t="shared" si="128"/>
        <v>4.00000000004</v>
      </c>
      <c r="BX90" s="344">
        <f t="shared" si="129"/>
        <v>5.0000000000000002E-11</v>
      </c>
      <c r="BY90" s="344">
        <f t="shared" si="130"/>
        <v>4.00000000006</v>
      </c>
      <c r="BZ90" s="344">
        <f t="shared" si="131"/>
        <v>3.00000000007</v>
      </c>
      <c r="CA90" s="344">
        <f t="shared" si="132"/>
        <v>7.9999999999999995E-11</v>
      </c>
    </row>
    <row r="91" spans="3:79" x14ac:dyDescent="0.3">
      <c r="C91" s="282"/>
      <c r="AF91" s="344">
        <v>5.5</v>
      </c>
      <c r="AG91" s="344">
        <v>3</v>
      </c>
      <c r="AH91" s="344">
        <v>8.5</v>
      </c>
      <c r="AI91" s="344">
        <v>5.5</v>
      </c>
      <c r="AJ91" s="344"/>
      <c r="AK91" s="344">
        <v>7</v>
      </c>
      <c r="AL91" s="344">
        <v>5.5</v>
      </c>
      <c r="AM91" s="344"/>
      <c r="AN91" s="344">
        <f t="shared" si="109"/>
        <v>5.50000000001</v>
      </c>
      <c r="AO91" s="344">
        <f t="shared" si="110"/>
        <v>3.00000000002</v>
      </c>
      <c r="AP91" s="344">
        <f t="shared" si="111"/>
        <v>8.5000000000299991</v>
      </c>
      <c r="AQ91" s="344">
        <f t="shared" si="112"/>
        <v>5.50000000004</v>
      </c>
      <c r="AR91" s="344">
        <f t="shared" si="113"/>
        <v>5.0000000000000002E-11</v>
      </c>
      <c r="AS91" s="344">
        <f t="shared" si="114"/>
        <v>7.00000000006</v>
      </c>
      <c r="AT91" s="344">
        <f t="shared" si="115"/>
        <v>5.50000000007</v>
      </c>
      <c r="AU91" s="344">
        <f t="shared" si="116"/>
        <v>7.9999999999999995E-11</v>
      </c>
      <c r="BL91" s="344">
        <v>7</v>
      </c>
      <c r="BM91" s="344">
        <v>4</v>
      </c>
      <c r="BN91" s="344">
        <v>7</v>
      </c>
      <c r="BO91" s="344">
        <v>5.5</v>
      </c>
      <c r="BP91" s="344">
        <v>5.5</v>
      </c>
      <c r="BQ91" s="344">
        <v>5.5</v>
      </c>
      <c r="BR91" s="344">
        <v>5.5</v>
      </c>
      <c r="BS91" s="344">
        <v>4</v>
      </c>
      <c r="BT91" s="344">
        <f t="shared" si="125"/>
        <v>7.00000000001</v>
      </c>
      <c r="BU91" s="344">
        <f t="shared" si="126"/>
        <v>4.00000000002</v>
      </c>
      <c r="BV91" s="344">
        <f t="shared" si="127"/>
        <v>7.00000000003</v>
      </c>
      <c r="BW91" s="344">
        <f t="shared" si="128"/>
        <v>5.50000000004</v>
      </c>
      <c r="BX91" s="344">
        <f t="shared" si="129"/>
        <v>5.50000000005</v>
      </c>
      <c r="BY91" s="344">
        <f t="shared" si="130"/>
        <v>5.50000000006</v>
      </c>
      <c r="BZ91" s="344">
        <f t="shared" si="131"/>
        <v>5.50000000007</v>
      </c>
      <c r="CA91" s="344">
        <f t="shared" si="132"/>
        <v>4.00000000008</v>
      </c>
    </row>
    <row r="92" spans="3:79" x14ac:dyDescent="0.3">
      <c r="C92" s="282"/>
      <c r="AF92" s="344">
        <v>5.5</v>
      </c>
      <c r="AG92" s="344">
        <v>4</v>
      </c>
      <c r="AH92" s="344">
        <v>4</v>
      </c>
      <c r="AI92" s="344">
        <v>4</v>
      </c>
      <c r="AJ92" s="344"/>
      <c r="AK92" s="344">
        <v>4</v>
      </c>
      <c r="AL92" s="344">
        <v>4</v>
      </c>
      <c r="AM92" s="344">
        <v>4</v>
      </c>
      <c r="AN92" s="344">
        <f t="shared" si="109"/>
        <v>5.50000000001</v>
      </c>
      <c r="AO92" s="344">
        <f t="shared" si="110"/>
        <v>4.00000000002</v>
      </c>
      <c r="AP92" s="344">
        <f t="shared" si="111"/>
        <v>4.00000000003</v>
      </c>
      <c r="AQ92" s="344">
        <f t="shared" si="112"/>
        <v>4.00000000004</v>
      </c>
      <c r="AR92" s="344">
        <f t="shared" si="113"/>
        <v>5.0000000000000002E-11</v>
      </c>
      <c r="AS92" s="344">
        <f t="shared" si="114"/>
        <v>4.00000000006</v>
      </c>
      <c r="AT92" s="344">
        <f t="shared" si="115"/>
        <v>4.00000000007</v>
      </c>
      <c r="AU92" s="344">
        <f t="shared" si="116"/>
        <v>4.00000000008</v>
      </c>
      <c r="BL92" s="344">
        <v>5.5</v>
      </c>
      <c r="BM92" s="344">
        <v>4</v>
      </c>
      <c r="BN92" s="344">
        <v>5.5</v>
      </c>
      <c r="BO92" s="344">
        <v>4</v>
      </c>
      <c r="BP92" s="344"/>
      <c r="BQ92" s="344">
        <v>4</v>
      </c>
      <c r="BR92" s="344">
        <v>4</v>
      </c>
      <c r="BS92" s="344">
        <v>3</v>
      </c>
      <c r="BT92" s="344">
        <f t="shared" si="125"/>
        <v>5.50000000001</v>
      </c>
      <c r="BU92" s="344">
        <f t="shared" si="126"/>
        <v>4.00000000002</v>
      </c>
      <c r="BV92" s="344">
        <f t="shared" si="127"/>
        <v>5.50000000003</v>
      </c>
      <c r="BW92" s="344">
        <f t="shared" si="128"/>
        <v>4.00000000004</v>
      </c>
      <c r="BX92" s="344">
        <f t="shared" si="129"/>
        <v>5.0000000000000002E-11</v>
      </c>
      <c r="BY92" s="344">
        <f t="shared" si="130"/>
        <v>4.00000000006</v>
      </c>
      <c r="BZ92" s="344">
        <f t="shared" si="131"/>
        <v>4.00000000007</v>
      </c>
      <c r="CA92" s="344">
        <f t="shared" si="132"/>
        <v>3.00000000008</v>
      </c>
    </row>
    <row r="93" spans="3:79" x14ac:dyDescent="0.3">
      <c r="C93" s="282"/>
      <c r="AF93" s="344">
        <v>7</v>
      </c>
      <c r="AG93" s="344">
        <v>5.5</v>
      </c>
      <c r="AH93" s="344">
        <v>7</v>
      </c>
      <c r="AI93" s="344">
        <v>4</v>
      </c>
      <c r="AJ93" s="344"/>
      <c r="AK93" s="344">
        <v>5.5</v>
      </c>
      <c r="AL93" s="344">
        <v>5.5</v>
      </c>
      <c r="AM93" s="344">
        <v>5.5</v>
      </c>
      <c r="AN93" s="344">
        <f t="shared" si="109"/>
        <v>7.00000000001</v>
      </c>
      <c r="AO93" s="344">
        <f t="shared" si="110"/>
        <v>5.50000000002</v>
      </c>
      <c r="AP93" s="344">
        <f t="shared" si="111"/>
        <v>7.00000000003</v>
      </c>
      <c r="AQ93" s="344">
        <f t="shared" si="112"/>
        <v>4.00000000004</v>
      </c>
      <c r="AR93" s="344">
        <f t="shared" si="113"/>
        <v>5.0000000000000002E-11</v>
      </c>
      <c r="AS93" s="344">
        <f t="shared" si="114"/>
        <v>5.50000000006</v>
      </c>
      <c r="AT93" s="344">
        <f t="shared" si="115"/>
        <v>5.50000000007</v>
      </c>
      <c r="AU93" s="344">
        <f t="shared" si="116"/>
        <v>5.50000000008</v>
      </c>
      <c r="BL93" s="344">
        <v>4</v>
      </c>
      <c r="BM93" s="344">
        <v>7</v>
      </c>
      <c r="BN93" s="344">
        <v>7</v>
      </c>
      <c r="BO93" s="344">
        <v>4</v>
      </c>
      <c r="BP93" s="344">
        <v>3</v>
      </c>
      <c r="BQ93" s="344">
        <v>7</v>
      </c>
      <c r="BR93" s="344">
        <v>5.5</v>
      </c>
      <c r="BS93" s="344">
        <v>5.5</v>
      </c>
      <c r="BT93" s="344">
        <f t="shared" si="125"/>
        <v>4.00000000001</v>
      </c>
      <c r="BU93" s="344">
        <f t="shared" si="126"/>
        <v>7.00000000002</v>
      </c>
      <c r="BV93" s="344">
        <f t="shared" si="127"/>
        <v>7.00000000003</v>
      </c>
      <c r="BW93" s="344">
        <f t="shared" si="128"/>
        <v>4.00000000004</v>
      </c>
      <c r="BX93" s="344">
        <f t="shared" si="129"/>
        <v>3.00000000005</v>
      </c>
      <c r="BY93" s="344">
        <f t="shared" si="130"/>
        <v>7.00000000006</v>
      </c>
      <c r="BZ93" s="344">
        <f t="shared" si="131"/>
        <v>5.50000000007</v>
      </c>
      <c r="CA93" s="344">
        <f t="shared" si="132"/>
        <v>5.50000000008</v>
      </c>
    </row>
    <row r="94" spans="3:79" x14ac:dyDescent="0.3">
      <c r="C94" s="282"/>
      <c r="AF94" s="344">
        <v>7</v>
      </c>
      <c r="AG94" s="344">
        <v>5.5</v>
      </c>
      <c r="AH94" s="344">
        <v>7</v>
      </c>
      <c r="AI94" s="344">
        <v>4</v>
      </c>
      <c r="AJ94" s="344"/>
      <c r="AK94" s="344">
        <v>7</v>
      </c>
      <c r="AL94" s="344">
        <v>4</v>
      </c>
      <c r="AM94" s="344">
        <v>4</v>
      </c>
      <c r="AN94" s="344">
        <f t="shared" si="109"/>
        <v>7.00000000001</v>
      </c>
      <c r="AO94" s="344">
        <f t="shared" si="110"/>
        <v>5.50000000002</v>
      </c>
      <c r="AP94" s="344">
        <f t="shared" si="111"/>
        <v>7.00000000003</v>
      </c>
      <c r="AQ94" s="344">
        <f t="shared" si="112"/>
        <v>4.00000000004</v>
      </c>
      <c r="AR94" s="344">
        <f t="shared" si="113"/>
        <v>5.0000000000000002E-11</v>
      </c>
      <c r="AS94" s="344">
        <f t="shared" si="114"/>
        <v>7.00000000006</v>
      </c>
      <c r="AT94" s="344">
        <f t="shared" si="115"/>
        <v>4.00000000007</v>
      </c>
      <c r="AU94" s="344">
        <f t="shared" si="116"/>
        <v>4.00000000008</v>
      </c>
      <c r="BL94" s="344">
        <v>5.5</v>
      </c>
      <c r="BM94" s="344">
        <v>5.5</v>
      </c>
      <c r="BN94" s="344">
        <v>7</v>
      </c>
      <c r="BO94" s="344">
        <v>5.5</v>
      </c>
      <c r="BP94" s="344"/>
      <c r="BQ94" s="344">
        <v>7</v>
      </c>
      <c r="BR94" s="344">
        <v>7</v>
      </c>
      <c r="BS94" s="344">
        <v>4</v>
      </c>
      <c r="BT94" s="344">
        <f>BL94+0.00000000001</f>
        <v>5.50000000001</v>
      </c>
      <c r="BU94" s="344">
        <f>BM94+0.00000000002</f>
        <v>5.50000000002</v>
      </c>
      <c r="BV94" s="344">
        <f>BN94+0.00000000003</f>
        <v>7.00000000003</v>
      </c>
      <c r="BW94" s="344">
        <f>BO94+0.00000000004</f>
        <v>5.50000000004</v>
      </c>
      <c r="BX94" s="344">
        <f>BP94+0.00000000005</f>
        <v>5.0000000000000002E-11</v>
      </c>
      <c r="BY94" s="344">
        <f>BQ94+0.00000000006</f>
        <v>7.00000000006</v>
      </c>
      <c r="BZ94" s="344">
        <f>BR94+0.00000000007</f>
        <v>7.00000000007</v>
      </c>
      <c r="CA94" s="344">
        <f>BS94+0.00000000008</f>
        <v>4.00000000008</v>
      </c>
    </row>
    <row r="95" spans="3:79" x14ac:dyDescent="0.3">
      <c r="C95" s="282"/>
      <c r="AF95" s="344">
        <v>7</v>
      </c>
      <c r="AG95" s="344">
        <v>5.5</v>
      </c>
      <c r="AH95" s="344">
        <v>5.5</v>
      </c>
      <c r="AI95" s="344">
        <v>7</v>
      </c>
      <c r="AJ95" s="344"/>
      <c r="AK95" s="344">
        <v>5.5</v>
      </c>
      <c r="AL95" s="344">
        <v>5.5</v>
      </c>
      <c r="AM95" s="344">
        <v>5.5</v>
      </c>
      <c r="AN95" s="344">
        <f t="shared" si="109"/>
        <v>7.00000000001</v>
      </c>
      <c r="AO95" s="344">
        <f t="shared" si="110"/>
        <v>5.50000000002</v>
      </c>
      <c r="AP95" s="344">
        <f t="shared" si="111"/>
        <v>5.50000000003</v>
      </c>
      <c r="AQ95" s="344">
        <f t="shared" si="112"/>
        <v>7.00000000004</v>
      </c>
      <c r="AR95" s="344">
        <f t="shared" si="113"/>
        <v>5.0000000000000002E-11</v>
      </c>
      <c r="AS95" s="344">
        <f t="shared" si="114"/>
        <v>5.50000000006</v>
      </c>
      <c r="AT95" s="344">
        <f t="shared" si="115"/>
        <v>5.50000000007</v>
      </c>
      <c r="AU95" s="344">
        <f t="shared" si="116"/>
        <v>5.50000000008</v>
      </c>
      <c r="BL95" s="344">
        <v>5.5</v>
      </c>
      <c r="BM95" s="344">
        <v>5.5</v>
      </c>
      <c r="BN95" s="344">
        <v>7</v>
      </c>
      <c r="BO95" s="344">
        <v>7</v>
      </c>
      <c r="BP95" s="344"/>
      <c r="BQ95" s="344">
        <v>7</v>
      </c>
      <c r="BR95" s="344">
        <v>5.5</v>
      </c>
      <c r="BS95" s="344">
        <v>4</v>
      </c>
      <c r="BT95" s="344">
        <f t="shared" ref="BT95:BT97" si="133">BL95+0.00000000001</f>
        <v>5.50000000001</v>
      </c>
      <c r="BU95" s="344">
        <f t="shared" ref="BU95:BU97" si="134">BM95+0.00000000002</f>
        <v>5.50000000002</v>
      </c>
      <c r="BV95" s="344">
        <f t="shared" ref="BV95:BV97" si="135">BN95+0.00000000003</f>
        <v>7.00000000003</v>
      </c>
      <c r="BW95" s="344">
        <f t="shared" ref="BW95:BW97" si="136">BO95+0.00000000004</f>
        <v>7.00000000004</v>
      </c>
      <c r="BX95" s="344">
        <f t="shared" ref="BX95:BX97" si="137">BP95+0.00000000005</f>
        <v>5.0000000000000002E-11</v>
      </c>
      <c r="BY95" s="344">
        <f t="shared" ref="BY95:BY97" si="138">BQ95+0.00000000006</f>
        <v>7.00000000006</v>
      </c>
      <c r="BZ95" s="344">
        <f t="shared" ref="BZ95:BZ97" si="139">BR95+0.00000000007</f>
        <v>5.50000000007</v>
      </c>
      <c r="CA95" s="344">
        <f t="shared" ref="CA95:CA97" si="140">BS95+0.00000000008</f>
        <v>4.00000000008</v>
      </c>
    </row>
    <row r="96" spans="3:79" x14ac:dyDescent="0.3">
      <c r="C96" s="282"/>
      <c r="AF96" s="344">
        <v>5.5</v>
      </c>
      <c r="AG96" s="344">
        <v>5.5</v>
      </c>
      <c r="AH96" s="344">
        <v>5.5</v>
      </c>
      <c r="AI96" s="344">
        <v>8.5</v>
      </c>
      <c r="AJ96" s="344"/>
      <c r="AK96" s="344">
        <v>7</v>
      </c>
      <c r="AL96" s="344">
        <v>7</v>
      </c>
      <c r="AM96" s="344"/>
      <c r="AN96" s="344">
        <f t="shared" si="109"/>
        <v>5.50000000001</v>
      </c>
      <c r="AO96" s="344">
        <f t="shared" si="110"/>
        <v>5.50000000002</v>
      </c>
      <c r="AP96" s="344">
        <f t="shared" si="111"/>
        <v>5.50000000003</v>
      </c>
      <c r="AQ96" s="344">
        <f t="shared" si="112"/>
        <v>8.50000000004</v>
      </c>
      <c r="AR96" s="344">
        <f t="shared" si="113"/>
        <v>5.0000000000000002E-11</v>
      </c>
      <c r="AS96" s="344">
        <f t="shared" si="114"/>
        <v>7.00000000006</v>
      </c>
      <c r="AT96" s="344">
        <f t="shared" si="115"/>
        <v>7.00000000007</v>
      </c>
      <c r="AU96" s="344">
        <f t="shared" si="116"/>
        <v>7.9999999999999995E-11</v>
      </c>
      <c r="BL96" s="344">
        <v>8.5</v>
      </c>
      <c r="BM96" s="344">
        <v>7</v>
      </c>
      <c r="BN96" s="344">
        <v>5.5</v>
      </c>
      <c r="BO96" s="344">
        <v>5.5</v>
      </c>
      <c r="BP96" s="344">
        <v>5.5</v>
      </c>
      <c r="BQ96" s="344">
        <v>7</v>
      </c>
      <c r="BR96" s="344">
        <v>7</v>
      </c>
      <c r="BS96" s="344">
        <v>5.5</v>
      </c>
      <c r="BT96" s="344">
        <f t="shared" si="133"/>
        <v>8.5000000000099991</v>
      </c>
      <c r="BU96" s="344">
        <f t="shared" si="134"/>
        <v>7.00000000002</v>
      </c>
      <c r="BV96" s="344">
        <f t="shared" si="135"/>
        <v>5.50000000003</v>
      </c>
      <c r="BW96" s="344">
        <f t="shared" si="136"/>
        <v>5.50000000004</v>
      </c>
      <c r="BX96" s="344">
        <f t="shared" si="137"/>
        <v>5.50000000005</v>
      </c>
      <c r="BY96" s="344">
        <f t="shared" si="138"/>
        <v>7.00000000006</v>
      </c>
      <c r="BZ96" s="344">
        <f t="shared" si="139"/>
        <v>7.00000000007</v>
      </c>
      <c r="CA96" s="344">
        <f t="shared" si="140"/>
        <v>5.50000000008</v>
      </c>
    </row>
    <row r="97" spans="3:79" x14ac:dyDescent="0.3">
      <c r="C97" s="282"/>
      <c r="AF97" s="344">
        <v>7</v>
      </c>
      <c r="AG97" s="344">
        <v>3</v>
      </c>
      <c r="AH97" s="344">
        <v>5.5</v>
      </c>
      <c r="AI97" s="344">
        <v>5.5</v>
      </c>
      <c r="AJ97" s="344">
        <v>3</v>
      </c>
      <c r="AK97" s="344">
        <v>4</v>
      </c>
      <c r="AL97" s="344">
        <v>3</v>
      </c>
      <c r="AM97" s="344"/>
      <c r="AN97" s="344">
        <f t="shared" si="109"/>
        <v>7.00000000001</v>
      </c>
      <c r="AO97" s="344">
        <f t="shared" si="110"/>
        <v>3.00000000002</v>
      </c>
      <c r="AP97" s="344">
        <f t="shared" si="111"/>
        <v>5.50000000003</v>
      </c>
      <c r="AQ97" s="344">
        <f t="shared" si="112"/>
        <v>5.50000000004</v>
      </c>
      <c r="AR97" s="344">
        <f t="shared" si="113"/>
        <v>3.00000000005</v>
      </c>
      <c r="AS97" s="344">
        <f t="shared" si="114"/>
        <v>4.00000000006</v>
      </c>
      <c r="AT97" s="344">
        <f t="shared" si="115"/>
        <v>3.00000000007</v>
      </c>
      <c r="AU97" s="344">
        <f t="shared" si="116"/>
        <v>7.9999999999999995E-11</v>
      </c>
      <c r="BL97" s="344">
        <v>4</v>
      </c>
      <c r="BM97" s="344">
        <v>5.5</v>
      </c>
      <c r="BN97" s="344">
        <v>5.5</v>
      </c>
      <c r="BO97" s="344">
        <v>4</v>
      </c>
      <c r="BP97" s="344"/>
      <c r="BQ97" s="344">
        <v>5.5</v>
      </c>
      <c r="BR97" s="344">
        <v>4</v>
      </c>
      <c r="BS97" s="344">
        <v>4</v>
      </c>
      <c r="BT97" s="344">
        <f t="shared" si="133"/>
        <v>4.00000000001</v>
      </c>
      <c r="BU97" s="344">
        <f t="shared" si="134"/>
        <v>5.50000000002</v>
      </c>
      <c r="BV97" s="344">
        <f t="shared" si="135"/>
        <v>5.50000000003</v>
      </c>
      <c r="BW97" s="344">
        <f t="shared" si="136"/>
        <v>4.00000000004</v>
      </c>
      <c r="BX97" s="344">
        <f t="shared" si="137"/>
        <v>5.0000000000000002E-11</v>
      </c>
      <c r="BY97" s="344">
        <f t="shared" si="138"/>
        <v>5.50000000006</v>
      </c>
      <c r="BZ97" s="344">
        <f t="shared" si="139"/>
        <v>4.00000000007</v>
      </c>
      <c r="CA97" s="344">
        <f t="shared" si="140"/>
        <v>4.00000000008</v>
      </c>
    </row>
    <row r="98" spans="3:79" x14ac:dyDescent="0.3">
      <c r="C98" s="282"/>
    </row>
    <row r="99" spans="3:79" x14ac:dyDescent="0.3">
      <c r="C99" s="282"/>
    </row>
    <row r="100" spans="3:79" x14ac:dyDescent="0.3">
      <c r="C100" s="282"/>
    </row>
    <row r="101" spans="3:79" x14ac:dyDescent="0.3">
      <c r="C101" s="282"/>
    </row>
    <row r="102" spans="3:79" x14ac:dyDescent="0.3">
      <c r="C102" s="282"/>
    </row>
    <row r="103" spans="3:79" x14ac:dyDescent="0.3">
      <c r="C103" s="282"/>
    </row>
    <row r="104" spans="3:79" x14ac:dyDescent="0.3">
      <c r="C104" s="282"/>
    </row>
    <row r="105" spans="3:79" x14ac:dyDescent="0.3">
      <c r="C105" s="282"/>
    </row>
    <row r="106" spans="3:79" x14ac:dyDescent="0.3">
      <c r="C106" s="282"/>
    </row>
    <row r="107" spans="3:79" x14ac:dyDescent="0.3">
      <c r="C107" s="282"/>
    </row>
  </sheetData>
  <phoneticPr fontId="2" type="noConversion"/>
  <conditionalFormatting sqref="BT2:CA46">
    <cfRule type="expression" dxfId="57" priority="10">
      <formula>CB2</formula>
    </cfRule>
  </conditionalFormatting>
  <conditionalFormatting sqref="AN2:AU46">
    <cfRule type="expression" dxfId="56" priority="7">
      <formula>AV2</formula>
    </cfRule>
  </conditionalFormatting>
  <conditionalFormatting sqref="X2:AE46">
    <cfRule type="cellIs" dxfId="55" priority="6" operator="greaterThan">
      <formula>7</formula>
    </cfRule>
  </conditionalFormatting>
  <conditionalFormatting sqref="BD2:BK46">
    <cfRule type="cellIs" dxfId="54" priority="5" operator="greaterThan">
      <formula>7</formula>
    </cfRule>
  </conditionalFormatting>
  <conditionalFormatting sqref="AV2:BC46">
    <cfRule type="expression" dxfId="53" priority="4">
      <formula>AV2</formula>
    </cfRule>
  </conditionalFormatting>
  <conditionalFormatting sqref="CB2:CI46">
    <cfRule type="expression" dxfId="52" priority="1">
      <formula>CB2</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工作表17"/>
  <dimension ref="A1:FW256"/>
  <sheetViews>
    <sheetView topLeftCell="S154" zoomScale="85" zoomScaleNormal="85" workbookViewId="0">
      <selection activeCell="V162" sqref="V162"/>
    </sheetView>
  </sheetViews>
  <sheetFormatPr defaultColWidth="6.6640625" defaultRowHeight="13.8" x14ac:dyDescent="0.3"/>
  <cols>
    <col min="1" max="1" width="6.6640625" style="187"/>
    <col min="2" max="9" width="6.6640625" style="71"/>
    <col min="10" max="10" width="6.6640625" style="272"/>
    <col min="11" max="17" width="6.6640625" style="71"/>
    <col min="18" max="18" width="6.6640625" style="186"/>
    <col min="19" max="19" width="7" style="15" bestFit="1" customWidth="1"/>
    <col min="20" max="87" width="6.6640625" style="16"/>
    <col min="88" max="89" width="6.6640625" style="257"/>
    <col min="90" max="106" width="6.6640625" style="16"/>
    <col min="107" max="107" width="7" style="355" bestFit="1" customWidth="1"/>
    <col min="108" max="123" width="6.6640625" style="16"/>
    <col min="124" max="124" width="8.109375" style="16" bestFit="1" customWidth="1"/>
    <col min="125" max="125" width="6.6640625" style="257"/>
    <col min="126" max="133" width="6.6640625" style="16"/>
    <col min="134" max="134" width="6.6640625" style="16" customWidth="1"/>
    <col min="135" max="142" width="6.6640625" style="16"/>
    <col min="143" max="143" width="6.6640625" style="257"/>
    <col min="144" max="160" width="6.6640625" style="16"/>
    <col min="161" max="161" width="6.6640625" style="257"/>
    <col min="162" max="178" width="6.6640625" style="16"/>
    <col min="179" max="179" width="6.6640625" style="259"/>
    <col min="180" max="16384" width="6.6640625" style="16"/>
  </cols>
  <sheetData>
    <row r="1" spans="2:177" x14ac:dyDescent="0.3">
      <c r="B1" s="204" t="s">
        <v>2148</v>
      </c>
      <c r="C1" s="204" t="s">
        <v>2842</v>
      </c>
      <c r="D1" s="204" t="s">
        <v>2843</v>
      </c>
      <c r="E1" s="204" t="s">
        <v>2844</v>
      </c>
      <c r="F1" s="204" t="s">
        <v>2845</v>
      </c>
      <c r="G1" s="204" t="s">
        <v>2846</v>
      </c>
      <c r="H1" s="204" t="s">
        <v>2847</v>
      </c>
      <c r="I1" s="204" t="s">
        <v>2848</v>
      </c>
      <c r="J1" s="281"/>
      <c r="K1" s="204" t="s">
        <v>2841</v>
      </c>
      <c r="L1" s="204" t="s">
        <v>2849</v>
      </c>
      <c r="M1" s="204" t="s">
        <v>2850</v>
      </c>
      <c r="N1" s="204" t="s">
        <v>2851</v>
      </c>
      <c r="O1" s="204" t="s">
        <v>2852</v>
      </c>
      <c r="P1" s="204" t="s">
        <v>2853</v>
      </c>
      <c r="Q1" s="204" t="s">
        <v>2854</v>
      </c>
      <c r="R1" s="99"/>
      <c r="S1" s="37"/>
      <c r="T1" s="70" t="s">
        <v>2330</v>
      </c>
      <c r="U1" s="70" t="s">
        <v>2459</v>
      </c>
      <c r="V1" s="70" t="s">
        <v>1961</v>
      </c>
      <c r="W1" s="70" t="s">
        <v>1962</v>
      </c>
      <c r="X1" s="70" t="s">
        <v>1963</v>
      </c>
      <c r="Y1" s="70" t="s">
        <v>1964</v>
      </c>
      <c r="Z1" s="70" t="s">
        <v>1965</v>
      </c>
      <c r="AA1" s="70" t="s">
        <v>2363</v>
      </c>
      <c r="AB1" s="70"/>
      <c r="AC1" s="70" t="s">
        <v>2459</v>
      </c>
      <c r="AD1" s="70" t="s">
        <v>1961</v>
      </c>
      <c r="AE1" s="70" t="s">
        <v>1962</v>
      </c>
      <c r="AF1" s="70" t="s">
        <v>1963</v>
      </c>
      <c r="AG1" s="70" t="s">
        <v>1964</v>
      </c>
      <c r="AH1" s="70" t="s">
        <v>1965</v>
      </c>
      <c r="AI1" s="70" t="s">
        <v>2363</v>
      </c>
      <c r="AK1" s="73" t="s">
        <v>2246</v>
      </c>
      <c r="AL1" s="74" t="s">
        <v>2459</v>
      </c>
      <c r="AM1" s="74" t="s">
        <v>1961</v>
      </c>
      <c r="AN1" s="74" t="s">
        <v>1962</v>
      </c>
      <c r="AO1" s="74" t="s">
        <v>1963</v>
      </c>
      <c r="AP1" s="74" t="s">
        <v>1964</v>
      </c>
      <c r="AQ1" s="74" t="s">
        <v>1965</v>
      </c>
      <c r="AR1" s="74" t="s">
        <v>2363</v>
      </c>
      <c r="AS1" s="74"/>
      <c r="AT1" s="74" t="s">
        <v>2459</v>
      </c>
      <c r="AU1" s="74" t="s">
        <v>1961</v>
      </c>
      <c r="AV1" s="74" t="s">
        <v>1962</v>
      </c>
      <c r="AW1" s="74" t="s">
        <v>1963</v>
      </c>
      <c r="AX1" s="74" t="s">
        <v>1964</v>
      </c>
      <c r="AY1" s="74" t="s">
        <v>1965</v>
      </c>
      <c r="AZ1" s="74" t="s">
        <v>2363</v>
      </c>
      <c r="BB1" s="77" t="s">
        <v>2247</v>
      </c>
      <c r="BC1" s="77" t="s">
        <v>2459</v>
      </c>
      <c r="BD1" s="77" t="s">
        <v>1961</v>
      </c>
      <c r="BE1" s="77" t="s">
        <v>1962</v>
      </c>
      <c r="BF1" s="77" t="s">
        <v>1963</v>
      </c>
      <c r="BG1" s="77" t="s">
        <v>1964</v>
      </c>
      <c r="BH1" s="77" t="s">
        <v>1965</v>
      </c>
      <c r="BI1" s="77" t="s">
        <v>2363</v>
      </c>
      <c r="BJ1" s="77"/>
      <c r="BK1" s="77" t="s">
        <v>2459</v>
      </c>
      <c r="BL1" s="77" t="s">
        <v>1961</v>
      </c>
      <c r="BM1" s="77" t="s">
        <v>1962</v>
      </c>
      <c r="BN1" s="77" t="s">
        <v>1963</v>
      </c>
      <c r="BO1" s="77" t="s">
        <v>1964</v>
      </c>
      <c r="BP1" s="77" t="s">
        <v>1965</v>
      </c>
      <c r="BQ1" s="77" t="s">
        <v>2363</v>
      </c>
      <c r="BS1" s="79" t="s">
        <v>2309</v>
      </c>
      <c r="BT1" s="79" t="s">
        <v>2459</v>
      </c>
      <c r="BU1" s="79" t="s">
        <v>1961</v>
      </c>
      <c r="BV1" s="79" t="s">
        <v>1962</v>
      </c>
      <c r="BW1" s="79" t="s">
        <v>1963</v>
      </c>
      <c r="BX1" s="79" t="s">
        <v>1964</v>
      </c>
      <c r="BY1" s="79" t="s">
        <v>1965</v>
      </c>
      <c r="BZ1" s="79" t="s">
        <v>2363</v>
      </c>
      <c r="CA1" s="79"/>
      <c r="CB1" s="79" t="s">
        <v>2459</v>
      </c>
      <c r="CC1" s="79" t="s">
        <v>1961</v>
      </c>
      <c r="CD1" s="79" t="s">
        <v>1962</v>
      </c>
      <c r="CE1" s="79" t="s">
        <v>1963</v>
      </c>
      <c r="CF1" s="79" t="s">
        <v>1964</v>
      </c>
      <c r="CG1" s="79" t="s">
        <v>1965</v>
      </c>
      <c r="CH1" s="79" t="s">
        <v>2363</v>
      </c>
      <c r="CL1" s="89" t="s">
        <v>2163</v>
      </c>
      <c r="CM1" s="89" t="s">
        <v>2459</v>
      </c>
      <c r="CN1" s="89" t="s">
        <v>1961</v>
      </c>
      <c r="CO1" s="89" t="s">
        <v>1962</v>
      </c>
      <c r="CP1" s="89" t="s">
        <v>1963</v>
      </c>
      <c r="CQ1" s="89" t="s">
        <v>1964</v>
      </c>
      <c r="CR1" s="89" t="s">
        <v>1965</v>
      </c>
      <c r="CS1" s="89" t="s">
        <v>2363</v>
      </c>
      <c r="CT1" s="89"/>
      <c r="CU1" s="89" t="s">
        <v>2459</v>
      </c>
      <c r="CV1" s="89" t="s">
        <v>1961</v>
      </c>
      <c r="CW1" s="89" t="s">
        <v>1962</v>
      </c>
      <c r="CX1" s="89" t="s">
        <v>1963</v>
      </c>
      <c r="CY1" s="89" t="s">
        <v>1964</v>
      </c>
      <c r="CZ1" s="89" t="s">
        <v>1965</v>
      </c>
      <c r="DA1" s="89" t="s">
        <v>2363</v>
      </c>
      <c r="DD1" s="90" t="s">
        <v>2346</v>
      </c>
      <c r="DE1" s="90" t="s">
        <v>2459</v>
      </c>
      <c r="DF1" s="90" t="s">
        <v>1961</v>
      </c>
      <c r="DG1" s="90" t="s">
        <v>1962</v>
      </c>
      <c r="DH1" s="90" t="s">
        <v>1963</v>
      </c>
      <c r="DI1" s="90" t="s">
        <v>1964</v>
      </c>
      <c r="DJ1" s="90" t="s">
        <v>1965</v>
      </c>
      <c r="DK1" s="90" t="s">
        <v>2363</v>
      </c>
      <c r="DL1" s="90"/>
      <c r="DM1" s="90" t="s">
        <v>2459</v>
      </c>
      <c r="DN1" s="90" t="s">
        <v>1961</v>
      </c>
      <c r="DO1" s="90" t="s">
        <v>1962</v>
      </c>
      <c r="DP1" s="90" t="s">
        <v>1963</v>
      </c>
      <c r="DQ1" s="90" t="s">
        <v>1964</v>
      </c>
      <c r="DR1" s="90" t="s">
        <v>1965</v>
      </c>
      <c r="DS1" s="90" t="s">
        <v>2363</v>
      </c>
      <c r="DV1" s="93" t="s">
        <v>2460</v>
      </c>
      <c r="DW1" s="93" t="s">
        <v>2459</v>
      </c>
      <c r="DX1" s="93" t="s">
        <v>1961</v>
      </c>
      <c r="DY1" s="93" t="s">
        <v>1962</v>
      </c>
      <c r="DZ1" s="93" t="s">
        <v>1963</v>
      </c>
      <c r="EA1" s="93" t="s">
        <v>1964</v>
      </c>
      <c r="EB1" s="93" t="s">
        <v>1965</v>
      </c>
      <c r="EC1" s="93" t="s">
        <v>2363</v>
      </c>
      <c r="ED1" s="93"/>
      <c r="EE1" s="93" t="s">
        <v>2459</v>
      </c>
      <c r="EF1" s="93" t="s">
        <v>1961</v>
      </c>
      <c r="EG1" s="93" t="s">
        <v>1962</v>
      </c>
      <c r="EH1" s="93" t="s">
        <v>1963</v>
      </c>
      <c r="EI1" s="93" t="s">
        <v>1964</v>
      </c>
      <c r="EJ1" s="93" t="s">
        <v>1965</v>
      </c>
      <c r="EK1" s="93" t="s">
        <v>2363</v>
      </c>
      <c r="EN1" s="89" t="s">
        <v>1566</v>
      </c>
      <c r="EO1" s="89" t="s">
        <v>2459</v>
      </c>
      <c r="EP1" s="89" t="s">
        <v>1961</v>
      </c>
      <c r="EQ1" s="89" t="s">
        <v>1962</v>
      </c>
      <c r="ER1" s="89" t="s">
        <v>1963</v>
      </c>
      <c r="ES1" s="89" t="s">
        <v>1964</v>
      </c>
      <c r="ET1" s="89" t="s">
        <v>1965</v>
      </c>
      <c r="EU1" s="89" t="s">
        <v>2363</v>
      </c>
      <c r="EV1" s="89"/>
      <c r="EW1" s="89" t="s">
        <v>2459</v>
      </c>
      <c r="EX1" s="89" t="s">
        <v>1961</v>
      </c>
      <c r="EY1" s="89" t="s">
        <v>1962</v>
      </c>
      <c r="EZ1" s="89" t="s">
        <v>1963</v>
      </c>
      <c r="FA1" s="89" t="s">
        <v>1964</v>
      </c>
      <c r="FB1" s="89" t="s">
        <v>1965</v>
      </c>
      <c r="FC1" s="89" t="s">
        <v>2363</v>
      </c>
      <c r="FF1" s="79" t="s">
        <v>1713</v>
      </c>
      <c r="FG1" s="79" t="s">
        <v>2459</v>
      </c>
      <c r="FH1" s="79" t="s">
        <v>1961</v>
      </c>
      <c r="FI1" s="79" t="s">
        <v>1962</v>
      </c>
      <c r="FJ1" s="79" t="s">
        <v>1963</v>
      </c>
      <c r="FK1" s="79" t="s">
        <v>1964</v>
      </c>
      <c r="FL1" s="79" t="s">
        <v>1965</v>
      </c>
      <c r="FM1" s="79" t="s">
        <v>2363</v>
      </c>
      <c r="FN1" s="79"/>
      <c r="FO1" s="79" t="s">
        <v>2459</v>
      </c>
      <c r="FP1" s="79" t="s">
        <v>1961</v>
      </c>
      <c r="FQ1" s="79" t="s">
        <v>1962</v>
      </c>
      <c r="FR1" s="79" t="s">
        <v>1963</v>
      </c>
      <c r="FS1" s="79" t="s">
        <v>1964</v>
      </c>
      <c r="FT1" s="79" t="s">
        <v>1965</v>
      </c>
      <c r="FU1" s="79" t="s">
        <v>2363</v>
      </c>
    </row>
    <row r="2" spans="2:177" x14ac:dyDescent="0.3">
      <c r="B2" s="71" t="s">
        <v>1</v>
      </c>
      <c r="C2" s="71" t="s">
        <v>2433</v>
      </c>
      <c r="D2" s="71">
        <v>6</v>
      </c>
      <c r="E2" s="71">
        <v>1</v>
      </c>
      <c r="F2" s="71">
        <v>0</v>
      </c>
      <c r="G2" s="71">
        <v>0</v>
      </c>
      <c r="H2" s="71">
        <v>0</v>
      </c>
      <c r="I2" s="71">
        <v>7</v>
      </c>
      <c r="K2" s="71" t="s">
        <v>2433</v>
      </c>
      <c r="L2" s="71">
        <v>85</v>
      </c>
      <c r="M2" s="71">
        <v>175</v>
      </c>
      <c r="N2" s="71">
        <v>260</v>
      </c>
      <c r="O2" s="71">
        <v>319</v>
      </c>
      <c r="P2" s="71">
        <v>301</v>
      </c>
      <c r="Q2" s="71">
        <v>1140</v>
      </c>
      <c r="R2" s="186" cm="1">
        <f t="array" ref="R2">IFERROR(INDEX('Offer Statistics'!L$2:L$206,MATCH(1,(CityU!$A2='Offer Statistics'!$B$2:$B$206)*(CityU!$T$2='Offer Statistics'!$K$2:$K$206),0)),"/")</f>
        <v>115</v>
      </c>
      <c r="T2" s="72" t="s">
        <v>266</v>
      </c>
      <c r="U2" s="72" t="s">
        <v>2855</v>
      </c>
      <c r="V2" s="72">
        <v>1399</v>
      </c>
      <c r="W2" s="72">
        <v>1211</v>
      </c>
      <c r="X2" s="72">
        <v>1429</v>
      </c>
      <c r="Y2" s="72">
        <v>1570</v>
      </c>
      <c r="Z2" s="72">
        <v>945</v>
      </c>
      <c r="AA2" s="72">
        <v>6554</v>
      </c>
      <c r="AB2" s="72"/>
      <c r="AC2" s="72" t="s">
        <v>2855</v>
      </c>
      <c r="AD2" s="72">
        <v>146</v>
      </c>
      <c r="AE2" s="72">
        <v>13</v>
      </c>
      <c r="AF2" s="72">
        <v>1</v>
      </c>
      <c r="AG2" s="72">
        <v>0</v>
      </c>
      <c r="AH2" s="72">
        <v>0</v>
      </c>
      <c r="AI2" s="72">
        <v>160</v>
      </c>
      <c r="AK2" s="73" t="s">
        <v>556</v>
      </c>
      <c r="AL2" s="73" t="s">
        <v>2855</v>
      </c>
      <c r="AM2" s="73">
        <v>395</v>
      </c>
      <c r="AN2" s="73">
        <v>642</v>
      </c>
      <c r="AO2" s="73">
        <v>945</v>
      </c>
      <c r="AP2" s="73">
        <v>993</v>
      </c>
      <c r="AQ2" s="73">
        <v>740</v>
      </c>
      <c r="AR2" s="73">
        <v>3715</v>
      </c>
      <c r="AS2" s="73"/>
      <c r="AT2" s="73" t="s">
        <v>2855</v>
      </c>
      <c r="AU2" s="73">
        <v>62</v>
      </c>
      <c r="AV2" s="73">
        <v>1</v>
      </c>
      <c r="AW2" s="73">
        <v>0</v>
      </c>
      <c r="AX2" s="73">
        <v>0</v>
      </c>
      <c r="AY2" s="73">
        <v>0</v>
      </c>
      <c r="AZ2" s="73">
        <v>63</v>
      </c>
      <c r="BB2" s="78" t="s">
        <v>748</v>
      </c>
      <c r="BC2" s="78" t="s">
        <v>2855</v>
      </c>
      <c r="BD2" s="78">
        <v>279</v>
      </c>
      <c r="BE2" s="78">
        <v>280</v>
      </c>
      <c r="BF2" s="78">
        <v>453</v>
      </c>
      <c r="BG2" s="78">
        <v>655</v>
      </c>
      <c r="BH2" s="78">
        <v>626</v>
      </c>
      <c r="BI2" s="78">
        <v>2293</v>
      </c>
      <c r="BJ2" s="78"/>
      <c r="BK2" s="78" t="s">
        <v>2855</v>
      </c>
      <c r="BL2" s="78">
        <v>20</v>
      </c>
      <c r="BM2" s="78">
        <v>0</v>
      </c>
      <c r="BN2" s="78">
        <v>0</v>
      </c>
      <c r="BO2" s="78">
        <v>0</v>
      </c>
      <c r="BP2" s="78">
        <v>0</v>
      </c>
      <c r="BQ2" s="78">
        <v>20</v>
      </c>
      <c r="BS2" s="80" t="s">
        <v>1065</v>
      </c>
      <c r="BT2" s="80" t="s">
        <v>2855</v>
      </c>
      <c r="BU2" s="80">
        <v>74</v>
      </c>
      <c r="BV2" s="80">
        <v>52</v>
      </c>
      <c r="BW2" s="80">
        <v>78</v>
      </c>
      <c r="BX2" s="80">
        <v>97</v>
      </c>
      <c r="BY2" s="80">
        <v>114</v>
      </c>
      <c r="BZ2" s="80">
        <v>415</v>
      </c>
      <c r="CA2" s="80"/>
      <c r="CB2" s="80" t="s">
        <v>2855</v>
      </c>
      <c r="CC2" s="80">
        <v>20</v>
      </c>
      <c r="CD2" s="80">
        <v>0</v>
      </c>
      <c r="CE2" s="80">
        <v>0</v>
      </c>
      <c r="CF2" s="80">
        <v>0</v>
      </c>
      <c r="CG2" s="80">
        <v>0</v>
      </c>
      <c r="CH2" s="80">
        <v>20</v>
      </c>
      <c r="CL2" s="61" t="s">
        <v>1173</v>
      </c>
      <c r="CM2" s="61" t="s">
        <v>2855</v>
      </c>
      <c r="CN2" s="61">
        <v>166</v>
      </c>
      <c r="CO2" s="61">
        <v>84</v>
      </c>
      <c r="CP2" s="61">
        <v>162</v>
      </c>
      <c r="CQ2" s="61">
        <v>261</v>
      </c>
      <c r="CR2" s="61">
        <v>247</v>
      </c>
      <c r="CS2" s="61">
        <v>920</v>
      </c>
      <c r="CT2" s="61"/>
      <c r="CU2" s="61" t="s">
        <v>2855</v>
      </c>
      <c r="CV2" s="61">
        <v>34</v>
      </c>
      <c r="CW2" s="61">
        <v>0</v>
      </c>
      <c r="CX2" s="61">
        <v>0</v>
      </c>
      <c r="CY2" s="61">
        <v>0</v>
      </c>
      <c r="CZ2" s="61">
        <v>0</v>
      </c>
      <c r="DA2" s="61">
        <v>34</v>
      </c>
      <c r="DD2" s="91" t="s">
        <v>1372</v>
      </c>
      <c r="DE2" s="91" t="s">
        <v>2855</v>
      </c>
      <c r="DF2" s="91">
        <v>660</v>
      </c>
      <c r="DG2" s="91">
        <v>738</v>
      </c>
      <c r="DH2" s="91">
        <v>836</v>
      </c>
      <c r="DI2" s="91">
        <v>770</v>
      </c>
      <c r="DJ2" s="91">
        <v>589</v>
      </c>
      <c r="DK2" s="91">
        <v>3593</v>
      </c>
      <c r="DL2" s="91"/>
      <c r="DM2" s="91" t="s">
        <v>2855</v>
      </c>
      <c r="DN2" s="91">
        <v>38</v>
      </c>
      <c r="DO2" s="91">
        <v>8</v>
      </c>
      <c r="DP2" s="91">
        <v>0</v>
      </c>
      <c r="DQ2" s="91">
        <v>0</v>
      </c>
      <c r="DR2" s="91">
        <v>0</v>
      </c>
      <c r="DS2" s="91">
        <v>46</v>
      </c>
      <c r="DV2" s="94" t="s">
        <v>1458</v>
      </c>
      <c r="DW2" s="94" t="s">
        <v>2855</v>
      </c>
      <c r="DX2" s="94">
        <v>581</v>
      </c>
      <c r="DY2" s="94">
        <v>542</v>
      </c>
      <c r="DZ2" s="94">
        <v>610</v>
      </c>
      <c r="EA2" s="94">
        <v>709</v>
      </c>
      <c r="EB2" s="94">
        <v>595</v>
      </c>
      <c r="EC2" s="94">
        <v>3037</v>
      </c>
      <c r="ED2" s="94"/>
      <c r="EE2" s="94" t="s">
        <v>2855</v>
      </c>
      <c r="EF2" s="94">
        <v>42</v>
      </c>
      <c r="EG2" s="94">
        <v>5</v>
      </c>
      <c r="EH2" s="94">
        <v>0</v>
      </c>
      <c r="EI2" s="94">
        <v>0</v>
      </c>
      <c r="EJ2" s="94">
        <v>0</v>
      </c>
      <c r="EK2" s="94">
        <v>47</v>
      </c>
      <c r="EN2" s="61" t="s">
        <v>1567</v>
      </c>
      <c r="EO2" s="61" t="s">
        <v>2855</v>
      </c>
      <c r="EP2" s="61">
        <v>780</v>
      </c>
      <c r="EQ2" s="61">
        <v>1016</v>
      </c>
      <c r="ER2" s="61">
        <v>1333</v>
      </c>
      <c r="ES2" s="61">
        <v>1541</v>
      </c>
      <c r="ET2" s="61">
        <v>1697</v>
      </c>
      <c r="EU2" s="61">
        <v>6367</v>
      </c>
      <c r="EV2" s="61"/>
      <c r="EW2" s="61" t="s">
        <v>2855</v>
      </c>
      <c r="EX2" s="61">
        <v>217</v>
      </c>
      <c r="EY2" s="61">
        <v>108</v>
      </c>
      <c r="EZ2" s="61">
        <v>0</v>
      </c>
      <c r="FA2" s="61">
        <v>0</v>
      </c>
      <c r="FB2" s="61">
        <v>0</v>
      </c>
      <c r="FC2" s="61">
        <v>325</v>
      </c>
      <c r="FF2" s="80" t="s">
        <v>1714</v>
      </c>
      <c r="FG2" s="80" t="s">
        <v>2855</v>
      </c>
      <c r="FH2" s="80">
        <v>1829</v>
      </c>
      <c r="FI2" s="80">
        <v>1294</v>
      </c>
      <c r="FJ2" s="80">
        <v>958</v>
      </c>
      <c r="FK2" s="80">
        <v>894</v>
      </c>
      <c r="FL2" s="80">
        <v>964</v>
      </c>
      <c r="FM2" s="80">
        <v>5939</v>
      </c>
      <c r="FN2" s="80"/>
      <c r="FO2" s="80" t="s">
        <v>2855</v>
      </c>
      <c r="FP2" s="80">
        <v>225</v>
      </c>
      <c r="FQ2" s="80">
        <v>0</v>
      </c>
      <c r="FR2" s="80">
        <v>0</v>
      </c>
      <c r="FS2" s="80">
        <v>0</v>
      </c>
      <c r="FT2" s="80">
        <v>0</v>
      </c>
      <c r="FU2" s="80">
        <v>225</v>
      </c>
    </row>
    <row r="3" spans="2:177" x14ac:dyDescent="0.3">
      <c r="B3" s="71" t="s">
        <v>7</v>
      </c>
      <c r="C3" s="71" t="s">
        <v>2433</v>
      </c>
      <c r="D3" s="71">
        <v>12</v>
      </c>
      <c r="E3" s="71">
        <v>0</v>
      </c>
      <c r="F3" s="71">
        <v>0</v>
      </c>
      <c r="G3" s="71">
        <v>1</v>
      </c>
      <c r="H3" s="71">
        <v>0</v>
      </c>
      <c r="I3" s="71">
        <v>13</v>
      </c>
      <c r="K3" s="71" t="s">
        <v>2433</v>
      </c>
      <c r="L3" s="71">
        <v>177</v>
      </c>
      <c r="M3" s="71">
        <v>377</v>
      </c>
      <c r="N3" s="71">
        <v>531</v>
      </c>
      <c r="O3" s="71">
        <v>727</v>
      </c>
      <c r="P3" s="71">
        <v>589</v>
      </c>
      <c r="Q3" s="71">
        <v>2401</v>
      </c>
      <c r="T3" s="72" t="s">
        <v>272</v>
      </c>
      <c r="U3" s="72" t="s">
        <v>2855</v>
      </c>
      <c r="V3" s="72" t="s">
        <v>1970</v>
      </c>
      <c r="W3" s="72" t="s">
        <v>1970</v>
      </c>
      <c r="X3" s="72" t="s">
        <v>1970</v>
      </c>
      <c r="Y3" s="72" t="s">
        <v>1970</v>
      </c>
      <c r="Z3" s="72" t="s">
        <v>1970</v>
      </c>
      <c r="AA3" s="72" t="s">
        <v>1970</v>
      </c>
      <c r="AB3" s="72"/>
      <c r="AC3" s="72" t="s">
        <v>2855</v>
      </c>
      <c r="AD3" s="72" t="s">
        <v>1970</v>
      </c>
      <c r="AE3" s="72" t="s">
        <v>1970</v>
      </c>
      <c r="AF3" s="72" t="s">
        <v>1970</v>
      </c>
      <c r="AG3" s="72" t="s">
        <v>1970</v>
      </c>
      <c r="AH3" s="72" t="s">
        <v>1970</v>
      </c>
      <c r="AI3" s="72" t="s">
        <v>1970</v>
      </c>
      <c r="AK3" s="73" t="s">
        <v>562</v>
      </c>
      <c r="AL3" s="73" t="s">
        <v>2855</v>
      </c>
      <c r="AM3" s="73">
        <v>293</v>
      </c>
      <c r="AN3" s="73">
        <v>466</v>
      </c>
      <c r="AO3" s="73">
        <v>896</v>
      </c>
      <c r="AP3" s="73">
        <v>1261</v>
      </c>
      <c r="AQ3" s="73">
        <v>965</v>
      </c>
      <c r="AR3" s="73">
        <v>3881</v>
      </c>
      <c r="AS3" s="73"/>
      <c r="AT3" s="73" t="s">
        <v>2855</v>
      </c>
      <c r="AU3" s="73">
        <v>21</v>
      </c>
      <c r="AV3" s="73">
        <v>1</v>
      </c>
      <c r="AW3" s="73">
        <v>0</v>
      </c>
      <c r="AX3" s="73">
        <v>1</v>
      </c>
      <c r="AY3" s="73">
        <v>0</v>
      </c>
      <c r="AZ3" s="73">
        <v>23</v>
      </c>
      <c r="BB3" s="78" t="s">
        <v>753</v>
      </c>
      <c r="BC3" s="78" t="s">
        <v>2855</v>
      </c>
      <c r="BD3" s="78">
        <v>403</v>
      </c>
      <c r="BE3" s="78">
        <v>301</v>
      </c>
      <c r="BF3" s="78">
        <v>458</v>
      </c>
      <c r="BG3" s="78">
        <v>605</v>
      </c>
      <c r="BH3" s="78">
        <v>564</v>
      </c>
      <c r="BI3" s="78">
        <v>2331</v>
      </c>
      <c r="BJ3" s="78"/>
      <c r="BK3" s="78" t="s">
        <v>2855</v>
      </c>
      <c r="BL3" s="78">
        <v>93</v>
      </c>
      <c r="BM3" s="78">
        <v>0</v>
      </c>
      <c r="BN3" s="78">
        <v>0</v>
      </c>
      <c r="BO3" s="78">
        <v>0</v>
      </c>
      <c r="BP3" s="78">
        <v>0</v>
      </c>
      <c r="BQ3" s="78">
        <v>93</v>
      </c>
      <c r="BS3" s="80" t="s">
        <v>1069</v>
      </c>
      <c r="BT3" s="80" t="s">
        <v>2855</v>
      </c>
      <c r="BU3" s="80" t="s">
        <v>1970</v>
      </c>
      <c r="BV3" s="80" t="s">
        <v>1970</v>
      </c>
      <c r="BW3" s="80" t="s">
        <v>1970</v>
      </c>
      <c r="BX3" s="80" t="s">
        <v>1970</v>
      </c>
      <c r="BY3" s="80" t="s">
        <v>1970</v>
      </c>
      <c r="BZ3" s="80" t="s">
        <v>1970</v>
      </c>
      <c r="CA3" s="80"/>
      <c r="CB3" s="80" t="s">
        <v>2855</v>
      </c>
      <c r="CC3" s="80" t="s">
        <v>1970</v>
      </c>
      <c r="CD3" s="80" t="s">
        <v>1970</v>
      </c>
      <c r="CE3" s="80" t="s">
        <v>1970</v>
      </c>
      <c r="CF3" s="80" t="s">
        <v>1970</v>
      </c>
      <c r="CG3" s="80" t="s">
        <v>1970</v>
      </c>
      <c r="CH3" s="80" t="s">
        <v>1970</v>
      </c>
      <c r="CL3" s="61" t="s">
        <v>1177</v>
      </c>
      <c r="CM3" s="61" t="s">
        <v>2855</v>
      </c>
      <c r="CN3" s="61">
        <v>134</v>
      </c>
      <c r="CO3" s="61">
        <v>89</v>
      </c>
      <c r="CP3" s="61">
        <v>192</v>
      </c>
      <c r="CQ3" s="61">
        <v>315</v>
      </c>
      <c r="CR3" s="61">
        <v>300</v>
      </c>
      <c r="CS3" s="61">
        <v>1030</v>
      </c>
      <c r="CT3" s="61"/>
      <c r="CU3" s="61" t="s">
        <v>2855</v>
      </c>
      <c r="CV3" s="61">
        <v>53</v>
      </c>
      <c r="CW3" s="61">
        <v>0</v>
      </c>
      <c r="CX3" s="61">
        <v>0</v>
      </c>
      <c r="CY3" s="61">
        <v>0</v>
      </c>
      <c r="CZ3" s="61">
        <v>0</v>
      </c>
      <c r="DA3" s="61">
        <v>53</v>
      </c>
      <c r="DD3" s="91" t="s">
        <v>1376</v>
      </c>
      <c r="DE3" s="91" t="s">
        <v>2855</v>
      </c>
      <c r="DF3" s="91" t="s">
        <v>1970</v>
      </c>
      <c r="DG3" s="91" t="s">
        <v>1970</v>
      </c>
      <c r="DH3" s="91" t="s">
        <v>1970</v>
      </c>
      <c r="DI3" s="91" t="s">
        <v>1970</v>
      </c>
      <c r="DJ3" s="91" t="s">
        <v>1970</v>
      </c>
      <c r="DK3" s="91" t="s">
        <v>1970</v>
      </c>
      <c r="DL3" s="91"/>
      <c r="DM3" s="91" t="s">
        <v>2855</v>
      </c>
      <c r="DN3" s="91" t="s">
        <v>1970</v>
      </c>
      <c r="DO3" s="91" t="s">
        <v>1970</v>
      </c>
      <c r="DP3" s="91" t="s">
        <v>1970</v>
      </c>
      <c r="DQ3" s="91" t="s">
        <v>1970</v>
      </c>
      <c r="DR3" s="91" t="s">
        <v>1970</v>
      </c>
      <c r="DS3" s="91" t="s">
        <v>1970</v>
      </c>
      <c r="DV3" s="94" t="s">
        <v>1462</v>
      </c>
      <c r="DW3" s="94" t="s">
        <v>2855</v>
      </c>
      <c r="DX3" s="94" t="s">
        <v>1970</v>
      </c>
      <c r="DY3" s="94" t="s">
        <v>1970</v>
      </c>
      <c r="DZ3" s="94" t="s">
        <v>1970</v>
      </c>
      <c r="EA3" s="94" t="s">
        <v>1970</v>
      </c>
      <c r="EB3" s="94" t="s">
        <v>1970</v>
      </c>
      <c r="EC3" s="94" t="s">
        <v>1970</v>
      </c>
      <c r="ED3" s="94"/>
      <c r="EE3" s="94" t="s">
        <v>2855</v>
      </c>
      <c r="EF3" s="94" t="s">
        <v>1970</v>
      </c>
      <c r="EG3" s="94" t="s">
        <v>1970</v>
      </c>
      <c r="EH3" s="94" t="s">
        <v>1970</v>
      </c>
      <c r="EI3" s="94" t="s">
        <v>1970</v>
      </c>
      <c r="EJ3" s="94" t="s">
        <v>1970</v>
      </c>
      <c r="EK3" s="94" t="s">
        <v>1970</v>
      </c>
      <c r="EN3" s="61" t="s">
        <v>1572</v>
      </c>
      <c r="EO3" s="61" t="s">
        <v>2855</v>
      </c>
      <c r="EP3" s="61">
        <v>240</v>
      </c>
      <c r="EQ3" s="61">
        <v>367</v>
      </c>
      <c r="ER3" s="61">
        <v>366</v>
      </c>
      <c r="ES3" s="61">
        <v>510</v>
      </c>
      <c r="ET3" s="61">
        <v>603</v>
      </c>
      <c r="EU3" s="61">
        <v>2086</v>
      </c>
      <c r="EV3" s="61"/>
      <c r="EW3" s="61" t="s">
        <v>2855</v>
      </c>
      <c r="EX3" s="61">
        <v>63</v>
      </c>
      <c r="EY3" s="61">
        <v>39</v>
      </c>
      <c r="EZ3" s="61">
        <v>28</v>
      </c>
      <c r="FA3" s="61">
        <v>26</v>
      </c>
      <c r="FB3" s="61">
        <v>24</v>
      </c>
      <c r="FC3" s="61">
        <v>180</v>
      </c>
      <c r="FF3" s="80" t="s">
        <v>1718</v>
      </c>
      <c r="FG3" s="80" t="s">
        <v>2855</v>
      </c>
      <c r="FH3" s="80">
        <v>159</v>
      </c>
      <c r="FI3" s="80">
        <v>225</v>
      </c>
      <c r="FJ3" s="80">
        <v>338</v>
      </c>
      <c r="FK3" s="80">
        <v>442</v>
      </c>
      <c r="FL3" s="80">
        <v>458</v>
      </c>
      <c r="FM3" s="80">
        <v>1622</v>
      </c>
      <c r="FN3" s="80"/>
      <c r="FO3" s="80" t="s">
        <v>2855</v>
      </c>
      <c r="FP3" s="80">
        <v>19</v>
      </c>
      <c r="FQ3" s="80">
        <v>10</v>
      </c>
      <c r="FR3" s="80">
        <v>2</v>
      </c>
      <c r="FS3" s="80">
        <v>0</v>
      </c>
      <c r="FT3" s="80">
        <v>0</v>
      </c>
      <c r="FU3" s="80">
        <v>31</v>
      </c>
    </row>
    <row r="4" spans="2:177" x14ac:dyDescent="0.3">
      <c r="B4" s="71" t="s">
        <v>12</v>
      </c>
      <c r="C4" s="71" t="s">
        <v>2855</v>
      </c>
      <c r="D4" s="71">
        <v>104</v>
      </c>
      <c r="E4" s="71">
        <v>8</v>
      </c>
      <c r="F4" s="71">
        <v>2</v>
      </c>
      <c r="G4" s="71">
        <v>1</v>
      </c>
      <c r="H4" s="71">
        <v>2</v>
      </c>
      <c r="I4" s="71">
        <v>117</v>
      </c>
      <c r="K4" s="71" t="s">
        <v>2855</v>
      </c>
      <c r="L4" s="71">
        <v>773</v>
      </c>
      <c r="M4" s="71">
        <v>697</v>
      </c>
      <c r="N4" s="71">
        <v>819</v>
      </c>
      <c r="O4" s="71">
        <v>862</v>
      </c>
      <c r="P4" s="71">
        <v>659</v>
      </c>
      <c r="Q4" s="71">
        <v>3810</v>
      </c>
      <c r="T4" s="72" t="s">
        <v>276</v>
      </c>
      <c r="U4" s="72" t="s">
        <v>2855</v>
      </c>
      <c r="V4" s="72" t="s">
        <v>1970</v>
      </c>
      <c r="W4" s="72" t="s">
        <v>1970</v>
      </c>
      <c r="X4" s="72" t="s">
        <v>1970</v>
      </c>
      <c r="Y4" s="72" t="s">
        <v>1970</v>
      </c>
      <c r="Z4" s="72" t="s">
        <v>1970</v>
      </c>
      <c r="AA4" s="72" t="s">
        <v>1970</v>
      </c>
      <c r="AB4" s="72"/>
      <c r="AC4" s="72" t="s">
        <v>2855</v>
      </c>
      <c r="AD4" s="72" t="s">
        <v>1970</v>
      </c>
      <c r="AE4" s="72" t="s">
        <v>1970</v>
      </c>
      <c r="AF4" s="72" t="s">
        <v>1970</v>
      </c>
      <c r="AG4" s="72" t="s">
        <v>1970</v>
      </c>
      <c r="AH4" s="72" t="s">
        <v>1970</v>
      </c>
      <c r="AI4" s="72" t="s">
        <v>1970</v>
      </c>
      <c r="AK4" s="73" t="s">
        <v>566</v>
      </c>
      <c r="AL4" s="73" t="s">
        <v>2855</v>
      </c>
      <c r="AM4" s="73">
        <v>117</v>
      </c>
      <c r="AN4" s="73">
        <v>206</v>
      </c>
      <c r="AO4" s="73">
        <v>337</v>
      </c>
      <c r="AP4" s="73">
        <v>539</v>
      </c>
      <c r="AQ4" s="73">
        <v>410</v>
      </c>
      <c r="AR4" s="73">
        <v>1609</v>
      </c>
      <c r="AS4" s="73"/>
      <c r="AT4" s="73" t="s">
        <v>2855</v>
      </c>
      <c r="AU4" s="73">
        <v>15</v>
      </c>
      <c r="AV4" s="73">
        <v>1</v>
      </c>
      <c r="AW4" s="73">
        <v>4</v>
      </c>
      <c r="AX4" s="73">
        <v>1</v>
      </c>
      <c r="AY4" s="73">
        <v>0</v>
      </c>
      <c r="AZ4" s="73">
        <v>21</v>
      </c>
      <c r="BB4" s="78" t="s">
        <v>758</v>
      </c>
      <c r="BC4" s="78" t="s">
        <v>2855</v>
      </c>
      <c r="BD4" s="78">
        <v>119</v>
      </c>
      <c r="BE4" s="78">
        <v>209</v>
      </c>
      <c r="BF4" s="78">
        <v>441</v>
      </c>
      <c r="BG4" s="78">
        <v>689</v>
      </c>
      <c r="BH4" s="78">
        <v>652</v>
      </c>
      <c r="BI4" s="78">
        <v>2110</v>
      </c>
      <c r="BJ4" s="78"/>
      <c r="BK4" s="78" t="s">
        <v>2855</v>
      </c>
      <c r="BL4" s="78">
        <v>17</v>
      </c>
      <c r="BM4" s="78">
        <v>0</v>
      </c>
      <c r="BN4" s="78">
        <v>0</v>
      </c>
      <c r="BO4" s="78">
        <v>0</v>
      </c>
      <c r="BP4" s="78">
        <v>0</v>
      </c>
      <c r="BQ4" s="78">
        <v>17</v>
      </c>
      <c r="BS4" s="80" t="s">
        <v>1073</v>
      </c>
      <c r="BT4" s="80" t="s">
        <v>2855</v>
      </c>
      <c r="BU4" s="80" t="s">
        <v>1970</v>
      </c>
      <c r="BV4" s="80" t="s">
        <v>1970</v>
      </c>
      <c r="BW4" s="80" t="s">
        <v>1970</v>
      </c>
      <c r="BX4" s="80" t="s">
        <v>1970</v>
      </c>
      <c r="BY4" s="80" t="s">
        <v>1970</v>
      </c>
      <c r="BZ4" s="80" t="s">
        <v>1970</v>
      </c>
      <c r="CA4" s="80"/>
      <c r="CB4" s="80" t="s">
        <v>2855</v>
      </c>
      <c r="CC4" s="80" t="s">
        <v>1970</v>
      </c>
      <c r="CD4" s="80" t="s">
        <v>1970</v>
      </c>
      <c r="CE4" s="80" t="s">
        <v>1970</v>
      </c>
      <c r="CF4" s="80" t="s">
        <v>1970</v>
      </c>
      <c r="CG4" s="80" t="s">
        <v>1970</v>
      </c>
      <c r="CH4" s="80" t="s">
        <v>1970</v>
      </c>
      <c r="CL4" s="61" t="s">
        <v>1181</v>
      </c>
      <c r="CM4" s="61" t="s">
        <v>2855</v>
      </c>
      <c r="CN4" s="61">
        <v>53</v>
      </c>
      <c r="CO4" s="61">
        <v>61</v>
      </c>
      <c r="CP4" s="61">
        <v>117</v>
      </c>
      <c r="CQ4" s="61">
        <v>198</v>
      </c>
      <c r="CR4" s="61">
        <v>209</v>
      </c>
      <c r="CS4" s="61">
        <v>638</v>
      </c>
      <c r="CT4" s="61"/>
      <c r="CU4" s="61" t="s">
        <v>2855</v>
      </c>
      <c r="CV4" s="61">
        <v>8</v>
      </c>
      <c r="CW4" s="61">
        <v>0</v>
      </c>
      <c r="CX4" s="61">
        <v>0</v>
      </c>
      <c r="CY4" s="61">
        <v>0</v>
      </c>
      <c r="CZ4" s="61">
        <v>0</v>
      </c>
      <c r="DA4" s="61">
        <v>8</v>
      </c>
      <c r="DD4" s="91" t="s">
        <v>1387</v>
      </c>
      <c r="DE4" s="91" t="s">
        <v>2855</v>
      </c>
      <c r="DF4" s="91">
        <v>1930</v>
      </c>
      <c r="DG4" s="91">
        <v>1734</v>
      </c>
      <c r="DH4" s="91">
        <v>1540</v>
      </c>
      <c r="DI4" s="91">
        <v>1716</v>
      </c>
      <c r="DJ4" s="91">
        <v>1491</v>
      </c>
      <c r="DK4" s="91">
        <v>8411</v>
      </c>
      <c r="DL4" s="91"/>
      <c r="DM4" s="91" t="s">
        <v>2855</v>
      </c>
      <c r="DN4" s="91">
        <v>92</v>
      </c>
      <c r="DO4" s="91">
        <v>44</v>
      </c>
      <c r="DP4" s="91">
        <v>19</v>
      </c>
      <c r="DQ4" s="91">
        <v>8</v>
      </c>
      <c r="DR4" s="91">
        <v>6</v>
      </c>
      <c r="DS4" s="91">
        <v>169</v>
      </c>
      <c r="DV4" s="94" t="s">
        <v>1466</v>
      </c>
      <c r="DW4" s="94" t="s">
        <v>2855</v>
      </c>
      <c r="DX4" s="94">
        <v>572</v>
      </c>
      <c r="DY4" s="94">
        <v>799</v>
      </c>
      <c r="DZ4" s="94">
        <v>1052</v>
      </c>
      <c r="EA4" s="94">
        <v>1108</v>
      </c>
      <c r="EB4" s="94">
        <v>855</v>
      </c>
      <c r="EC4" s="94">
        <v>4386</v>
      </c>
      <c r="ED4" s="94"/>
      <c r="EE4" s="94" t="s">
        <v>2855</v>
      </c>
      <c r="EF4" s="94">
        <v>14</v>
      </c>
      <c r="EG4" s="94">
        <v>4</v>
      </c>
      <c r="EH4" s="94">
        <v>0</v>
      </c>
      <c r="EI4" s="94">
        <v>0</v>
      </c>
      <c r="EJ4" s="94">
        <v>0</v>
      </c>
      <c r="EK4" s="94">
        <v>18</v>
      </c>
      <c r="EN4" s="61" t="s">
        <v>1576</v>
      </c>
      <c r="EO4" s="61" t="s">
        <v>2855</v>
      </c>
      <c r="EP4" s="61">
        <v>310</v>
      </c>
      <c r="EQ4" s="61">
        <v>565</v>
      </c>
      <c r="ER4" s="61">
        <v>650</v>
      </c>
      <c r="ES4" s="61">
        <v>857</v>
      </c>
      <c r="ET4" s="61">
        <v>989</v>
      </c>
      <c r="EU4" s="61">
        <v>3371</v>
      </c>
      <c r="EV4" s="61"/>
      <c r="EW4" s="61" t="s">
        <v>2855</v>
      </c>
      <c r="EX4" s="61">
        <v>82</v>
      </c>
      <c r="EY4" s="61">
        <v>61</v>
      </c>
      <c r="EZ4" s="61">
        <v>39</v>
      </c>
      <c r="FA4" s="61">
        <v>44</v>
      </c>
      <c r="FB4" s="61">
        <v>49</v>
      </c>
      <c r="FC4" s="61">
        <v>275</v>
      </c>
      <c r="FF4" s="80" t="s">
        <v>1722</v>
      </c>
      <c r="FG4" s="80" t="s">
        <v>2855</v>
      </c>
      <c r="FH4" s="80" t="s">
        <v>1970</v>
      </c>
      <c r="FI4" s="80" t="s">
        <v>1970</v>
      </c>
      <c r="FJ4" s="80" t="s">
        <v>1970</v>
      </c>
      <c r="FK4" s="80" t="s">
        <v>1970</v>
      </c>
      <c r="FL4" s="80" t="s">
        <v>1970</v>
      </c>
      <c r="FM4" s="80" t="s">
        <v>1970</v>
      </c>
      <c r="FN4" s="80"/>
      <c r="FO4" s="80" t="s">
        <v>2855</v>
      </c>
      <c r="FP4" s="80" t="s">
        <v>1970</v>
      </c>
      <c r="FQ4" s="80" t="s">
        <v>1970</v>
      </c>
      <c r="FR4" s="80" t="s">
        <v>1970</v>
      </c>
      <c r="FS4" s="80" t="s">
        <v>1970</v>
      </c>
      <c r="FT4" s="80" t="s">
        <v>1970</v>
      </c>
      <c r="FU4" s="80" t="s">
        <v>1970</v>
      </c>
    </row>
    <row r="5" spans="2:177" x14ac:dyDescent="0.3">
      <c r="B5" s="71" t="s">
        <v>17</v>
      </c>
      <c r="C5" s="71" t="s">
        <v>2855</v>
      </c>
      <c r="D5" s="71">
        <v>55</v>
      </c>
      <c r="E5" s="71">
        <v>2</v>
      </c>
      <c r="F5" s="71">
        <v>1</v>
      </c>
      <c r="G5" s="71">
        <v>0</v>
      </c>
      <c r="H5" s="71">
        <v>1</v>
      </c>
      <c r="I5" s="71">
        <v>59</v>
      </c>
      <c r="K5" s="71" t="s">
        <v>2855</v>
      </c>
      <c r="L5" s="71">
        <v>587</v>
      </c>
      <c r="M5" s="71">
        <v>957</v>
      </c>
      <c r="N5" s="71">
        <v>1375</v>
      </c>
      <c r="O5" s="71">
        <v>1648</v>
      </c>
      <c r="P5" s="71">
        <v>1100</v>
      </c>
      <c r="Q5" s="71">
        <v>5667</v>
      </c>
      <c r="T5" s="72" t="s">
        <v>280</v>
      </c>
      <c r="U5" s="72" t="s">
        <v>2855</v>
      </c>
      <c r="V5" s="72" t="s">
        <v>1970</v>
      </c>
      <c r="W5" s="72" t="s">
        <v>1970</v>
      </c>
      <c r="X5" s="72" t="s">
        <v>1970</v>
      </c>
      <c r="Y5" s="72" t="s">
        <v>1970</v>
      </c>
      <c r="Z5" s="72" t="s">
        <v>1970</v>
      </c>
      <c r="AA5" s="72" t="s">
        <v>1970</v>
      </c>
      <c r="AB5" s="72"/>
      <c r="AC5" s="72" t="s">
        <v>2855</v>
      </c>
      <c r="AD5" s="72" t="s">
        <v>1970</v>
      </c>
      <c r="AE5" s="72" t="s">
        <v>1970</v>
      </c>
      <c r="AF5" s="72" t="s">
        <v>1970</v>
      </c>
      <c r="AG5" s="72" t="s">
        <v>1970</v>
      </c>
      <c r="AH5" s="72" t="s">
        <v>1970</v>
      </c>
      <c r="AI5" s="72" t="s">
        <v>1970</v>
      </c>
      <c r="AK5" s="73" t="s">
        <v>570</v>
      </c>
      <c r="AL5" s="73" t="s">
        <v>2855</v>
      </c>
      <c r="AM5" s="73">
        <v>366</v>
      </c>
      <c r="AN5" s="73">
        <v>523</v>
      </c>
      <c r="AO5" s="73">
        <v>751</v>
      </c>
      <c r="AP5" s="73">
        <v>921</v>
      </c>
      <c r="AQ5" s="73">
        <v>706</v>
      </c>
      <c r="AR5" s="73">
        <v>3267</v>
      </c>
      <c r="AS5" s="73"/>
      <c r="AT5" s="73" t="s">
        <v>2855</v>
      </c>
      <c r="AU5" s="73">
        <v>19</v>
      </c>
      <c r="AV5" s="73">
        <v>3</v>
      </c>
      <c r="AW5" s="73">
        <v>0</v>
      </c>
      <c r="AX5" s="73">
        <v>0</v>
      </c>
      <c r="AY5" s="73">
        <v>1</v>
      </c>
      <c r="AZ5" s="73">
        <v>23</v>
      </c>
      <c r="BB5" s="78" t="s">
        <v>762</v>
      </c>
      <c r="BC5" s="78" t="s">
        <v>2855</v>
      </c>
      <c r="BD5" s="78">
        <v>546</v>
      </c>
      <c r="BE5" s="78">
        <v>364</v>
      </c>
      <c r="BF5" s="78">
        <v>578</v>
      </c>
      <c r="BG5" s="78">
        <v>610</v>
      </c>
      <c r="BH5" s="78">
        <v>571</v>
      </c>
      <c r="BI5" s="78">
        <v>2669</v>
      </c>
      <c r="BJ5" s="78"/>
      <c r="BK5" s="78" t="s">
        <v>2855</v>
      </c>
      <c r="BL5" s="78">
        <v>23</v>
      </c>
      <c r="BM5" s="78">
        <v>0</v>
      </c>
      <c r="BN5" s="78">
        <v>0</v>
      </c>
      <c r="BO5" s="78">
        <v>0</v>
      </c>
      <c r="BP5" s="78">
        <v>0</v>
      </c>
      <c r="BQ5" s="78">
        <v>23</v>
      </c>
      <c r="BS5" s="80" t="s">
        <v>1077</v>
      </c>
      <c r="BT5" s="80" t="s">
        <v>2855</v>
      </c>
      <c r="BU5" s="80" t="s">
        <v>1970</v>
      </c>
      <c r="BV5" s="80" t="s">
        <v>1970</v>
      </c>
      <c r="BW5" s="80" t="s">
        <v>1970</v>
      </c>
      <c r="BX5" s="80" t="s">
        <v>1970</v>
      </c>
      <c r="BY5" s="80" t="s">
        <v>1970</v>
      </c>
      <c r="BZ5" s="80" t="s">
        <v>1970</v>
      </c>
      <c r="CA5" s="80"/>
      <c r="CB5" s="80" t="s">
        <v>2855</v>
      </c>
      <c r="CC5" s="80" t="s">
        <v>1970</v>
      </c>
      <c r="CD5" s="80" t="s">
        <v>1970</v>
      </c>
      <c r="CE5" s="80" t="s">
        <v>1970</v>
      </c>
      <c r="CF5" s="80" t="s">
        <v>1970</v>
      </c>
      <c r="CG5" s="80" t="s">
        <v>1970</v>
      </c>
      <c r="CH5" s="80" t="s">
        <v>1970</v>
      </c>
      <c r="CL5" s="61" t="s">
        <v>1186</v>
      </c>
      <c r="CM5" s="61" t="s">
        <v>2855</v>
      </c>
      <c r="CN5" s="61">
        <v>73</v>
      </c>
      <c r="CO5" s="61">
        <v>75</v>
      </c>
      <c r="CP5" s="61">
        <v>162</v>
      </c>
      <c r="CQ5" s="61">
        <v>278</v>
      </c>
      <c r="CR5" s="61">
        <v>263</v>
      </c>
      <c r="CS5" s="61">
        <v>851</v>
      </c>
      <c r="CT5" s="61"/>
      <c r="CU5" s="61" t="s">
        <v>2855</v>
      </c>
      <c r="CV5" s="61">
        <v>19</v>
      </c>
      <c r="CW5" s="61">
        <v>0</v>
      </c>
      <c r="CX5" s="61">
        <v>0</v>
      </c>
      <c r="CY5" s="61">
        <v>0</v>
      </c>
      <c r="CZ5" s="61">
        <v>0</v>
      </c>
      <c r="DA5" s="61">
        <v>19</v>
      </c>
      <c r="DD5" s="91" t="s">
        <v>1391</v>
      </c>
      <c r="DE5" s="91" t="s">
        <v>2855</v>
      </c>
      <c r="DF5" s="91">
        <v>603</v>
      </c>
      <c r="DG5" s="91">
        <v>839</v>
      </c>
      <c r="DH5" s="91">
        <v>1037</v>
      </c>
      <c r="DI5" s="91">
        <v>1150</v>
      </c>
      <c r="DJ5" s="91">
        <v>994</v>
      </c>
      <c r="DK5" s="91">
        <v>4623</v>
      </c>
      <c r="DL5" s="91"/>
      <c r="DM5" s="91" t="s">
        <v>2855</v>
      </c>
      <c r="DN5" s="91">
        <v>29</v>
      </c>
      <c r="DO5" s="91">
        <v>14</v>
      </c>
      <c r="DP5" s="91">
        <v>2</v>
      </c>
      <c r="DQ5" s="91">
        <v>1</v>
      </c>
      <c r="DR5" s="91">
        <v>0</v>
      </c>
      <c r="DS5" s="91">
        <v>46</v>
      </c>
      <c r="DV5" s="94" t="s">
        <v>1470</v>
      </c>
      <c r="DW5" s="94" t="s">
        <v>2855</v>
      </c>
      <c r="DX5" s="94">
        <v>241</v>
      </c>
      <c r="DY5" s="94">
        <v>334</v>
      </c>
      <c r="DZ5" s="94">
        <v>459</v>
      </c>
      <c r="EA5" s="94">
        <v>620</v>
      </c>
      <c r="EB5" s="94">
        <v>538</v>
      </c>
      <c r="EC5" s="94">
        <v>2192</v>
      </c>
      <c r="ED5" s="94"/>
      <c r="EE5" s="94" t="s">
        <v>2855</v>
      </c>
      <c r="EF5" s="94">
        <v>8</v>
      </c>
      <c r="EG5" s="94">
        <v>0</v>
      </c>
      <c r="EH5" s="94">
        <v>0</v>
      </c>
      <c r="EI5" s="94">
        <v>0</v>
      </c>
      <c r="EJ5" s="94">
        <v>0</v>
      </c>
      <c r="EK5" s="94">
        <v>8</v>
      </c>
      <c r="EN5" s="61" t="s">
        <v>1580</v>
      </c>
      <c r="EO5" s="61" t="s">
        <v>2855</v>
      </c>
      <c r="EP5" s="61" t="s">
        <v>1970</v>
      </c>
      <c r="EQ5" s="61" t="s">
        <v>1970</v>
      </c>
      <c r="ER5" s="61" t="s">
        <v>1970</v>
      </c>
      <c r="ES5" s="61" t="s">
        <v>1970</v>
      </c>
      <c r="ET5" s="61" t="s">
        <v>1970</v>
      </c>
      <c r="EU5" s="61" t="s">
        <v>1970</v>
      </c>
      <c r="EV5" s="61"/>
      <c r="EW5" s="61" t="s">
        <v>2855</v>
      </c>
      <c r="EX5" s="61" t="s">
        <v>1970</v>
      </c>
      <c r="EY5" s="61" t="s">
        <v>1970</v>
      </c>
      <c r="EZ5" s="61" t="s">
        <v>1970</v>
      </c>
      <c r="FA5" s="61" t="s">
        <v>1970</v>
      </c>
      <c r="FB5" s="61" t="s">
        <v>1970</v>
      </c>
      <c r="FC5" s="61" t="s">
        <v>1970</v>
      </c>
      <c r="FF5" s="80" t="s">
        <v>1726</v>
      </c>
      <c r="FG5" s="80" t="s">
        <v>2855</v>
      </c>
      <c r="FH5" s="80" t="s">
        <v>1970</v>
      </c>
      <c r="FI5" s="80" t="s">
        <v>1970</v>
      </c>
      <c r="FJ5" s="80" t="s">
        <v>1970</v>
      </c>
      <c r="FK5" s="80" t="s">
        <v>1970</v>
      </c>
      <c r="FL5" s="80" t="s">
        <v>1970</v>
      </c>
      <c r="FM5" s="80" t="s">
        <v>1970</v>
      </c>
      <c r="FN5" s="80"/>
      <c r="FO5" s="80" t="s">
        <v>2855</v>
      </c>
      <c r="FP5" s="80" t="s">
        <v>1970</v>
      </c>
      <c r="FQ5" s="80" t="s">
        <v>1970</v>
      </c>
      <c r="FR5" s="80" t="s">
        <v>1970</v>
      </c>
      <c r="FS5" s="80" t="s">
        <v>1970</v>
      </c>
      <c r="FT5" s="80" t="s">
        <v>1970</v>
      </c>
      <c r="FU5" s="80" t="s">
        <v>1970</v>
      </c>
    </row>
    <row r="6" spans="2:177" x14ac:dyDescent="0.3">
      <c r="B6" s="71" t="s">
        <v>22</v>
      </c>
      <c r="C6" s="71" t="s">
        <v>2855</v>
      </c>
      <c r="D6" s="71">
        <v>63</v>
      </c>
      <c r="E6" s="71">
        <v>4</v>
      </c>
      <c r="F6" s="71">
        <v>0</v>
      </c>
      <c r="G6" s="71">
        <v>0</v>
      </c>
      <c r="H6" s="71">
        <v>0</v>
      </c>
      <c r="I6" s="71">
        <v>67</v>
      </c>
      <c r="K6" s="71" t="s">
        <v>2855</v>
      </c>
      <c r="L6" s="71">
        <v>1403</v>
      </c>
      <c r="M6" s="71">
        <v>1352</v>
      </c>
      <c r="N6" s="71">
        <v>1696</v>
      </c>
      <c r="O6" s="71">
        <v>1749</v>
      </c>
      <c r="P6" s="71">
        <v>1106</v>
      </c>
      <c r="Q6" s="71">
        <v>7306</v>
      </c>
      <c r="T6" s="72" t="s">
        <v>284</v>
      </c>
      <c r="U6" s="72" t="s">
        <v>2855</v>
      </c>
      <c r="V6" s="72" t="s">
        <v>1970</v>
      </c>
      <c r="W6" s="72" t="s">
        <v>1970</v>
      </c>
      <c r="X6" s="72" t="s">
        <v>1970</v>
      </c>
      <c r="Y6" s="72" t="s">
        <v>1970</v>
      </c>
      <c r="Z6" s="72" t="s">
        <v>1970</v>
      </c>
      <c r="AA6" s="72" t="s">
        <v>1970</v>
      </c>
      <c r="AB6" s="72"/>
      <c r="AC6" s="72" t="s">
        <v>2855</v>
      </c>
      <c r="AD6" s="72" t="s">
        <v>1970</v>
      </c>
      <c r="AE6" s="72" t="s">
        <v>1970</v>
      </c>
      <c r="AF6" s="72" t="s">
        <v>1970</v>
      </c>
      <c r="AG6" s="72" t="s">
        <v>1970</v>
      </c>
      <c r="AH6" s="72" t="s">
        <v>1970</v>
      </c>
      <c r="AI6" s="72" t="s">
        <v>1970</v>
      </c>
      <c r="AK6" s="73" t="s">
        <v>574</v>
      </c>
      <c r="AL6" s="73" t="s">
        <v>2855</v>
      </c>
      <c r="AM6" s="73">
        <v>236</v>
      </c>
      <c r="AN6" s="73">
        <v>260</v>
      </c>
      <c r="AO6" s="73">
        <v>426</v>
      </c>
      <c r="AP6" s="73">
        <v>556</v>
      </c>
      <c r="AQ6" s="73">
        <v>432</v>
      </c>
      <c r="AR6" s="73">
        <v>1910</v>
      </c>
      <c r="AS6" s="73"/>
      <c r="AT6" s="73" t="s">
        <v>2855</v>
      </c>
      <c r="AU6" s="73">
        <v>30</v>
      </c>
      <c r="AV6" s="73">
        <v>1</v>
      </c>
      <c r="AW6" s="73">
        <v>0</v>
      </c>
      <c r="AX6" s="73">
        <v>1</v>
      </c>
      <c r="AY6" s="73">
        <v>0</v>
      </c>
      <c r="AZ6" s="73">
        <v>32</v>
      </c>
      <c r="BB6" s="78" t="s">
        <v>767</v>
      </c>
      <c r="BC6" s="78" t="s">
        <v>2855</v>
      </c>
      <c r="BD6" s="78">
        <v>335</v>
      </c>
      <c r="BE6" s="78">
        <v>296</v>
      </c>
      <c r="BF6" s="78">
        <v>423</v>
      </c>
      <c r="BG6" s="78">
        <v>474</v>
      </c>
      <c r="BH6" s="78">
        <v>372</v>
      </c>
      <c r="BI6" s="78">
        <v>1900</v>
      </c>
      <c r="BJ6" s="78"/>
      <c r="BK6" s="78" t="s">
        <v>2855</v>
      </c>
      <c r="BL6" s="78">
        <v>50</v>
      </c>
      <c r="BM6" s="78">
        <v>2</v>
      </c>
      <c r="BN6" s="78">
        <v>0</v>
      </c>
      <c r="BO6" s="78">
        <v>0</v>
      </c>
      <c r="BP6" s="78">
        <v>0</v>
      </c>
      <c r="BQ6" s="78">
        <v>52</v>
      </c>
      <c r="BS6" s="80" t="s">
        <v>1082</v>
      </c>
      <c r="BT6" s="80" t="s">
        <v>2855</v>
      </c>
      <c r="BU6" s="80">
        <v>1967</v>
      </c>
      <c r="BV6" s="80">
        <v>1164</v>
      </c>
      <c r="BW6" s="80">
        <v>1129</v>
      </c>
      <c r="BX6" s="80">
        <v>1146</v>
      </c>
      <c r="BY6" s="80">
        <v>792</v>
      </c>
      <c r="BZ6" s="80">
        <v>6198</v>
      </c>
      <c r="CA6" s="80"/>
      <c r="CB6" s="80" t="s">
        <v>2855</v>
      </c>
      <c r="CC6" s="80">
        <v>524</v>
      </c>
      <c r="CD6" s="80">
        <v>4</v>
      </c>
      <c r="CE6" s="80">
        <v>0</v>
      </c>
      <c r="CF6" s="80">
        <v>0</v>
      </c>
      <c r="CG6" s="80">
        <v>0</v>
      </c>
      <c r="CH6" s="80">
        <v>528</v>
      </c>
      <c r="CL6" s="61" t="s">
        <v>1190</v>
      </c>
      <c r="CM6" s="61" t="s">
        <v>2855</v>
      </c>
      <c r="CN6" s="61">
        <v>1595</v>
      </c>
      <c r="CO6" s="61">
        <v>656</v>
      </c>
      <c r="CP6" s="61">
        <v>851</v>
      </c>
      <c r="CQ6" s="61">
        <v>1022</v>
      </c>
      <c r="CR6" s="61">
        <v>879</v>
      </c>
      <c r="CS6" s="61">
        <v>5003</v>
      </c>
      <c r="CT6" s="61"/>
      <c r="CU6" s="61" t="s">
        <v>2855</v>
      </c>
      <c r="CV6" s="61">
        <v>338</v>
      </c>
      <c r="CW6" s="61">
        <v>0</v>
      </c>
      <c r="CX6" s="61">
        <v>0</v>
      </c>
      <c r="CY6" s="61">
        <v>0</v>
      </c>
      <c r="CZ6" s="61">
        <v>0</v>
      </c>
      <c r="DA6" s="61">
        <v>338</v>
      </c>
      <c r="DD6" s="91" t="s">
        <v>1398</v>
      </c>
      <c r="DE6" s="91" t="s">
        <v>2855</v>
      </c>
      <c r="DF6" s="91">
        <v>592</v>
      </c>
      <c r="DG6" s="91">
        <v>868</v>
      </c>
      <c r="DH6" s="91">
        <v>913</v>
      </c>
      <c r="DI6" s="91">
        <v>1047</v>
      </c>
      <c r="DJ6" s="91">
        <v>976</v>
      </c>
      <c r="DK6" s="91">
        <v>4396</v>
      </c>
      <c r="DL6" s="91"/>
      <c r="DM6" s="91" t="s">
        <v>2855</v>
      </c>
      <c r="DN6" s="91">
        <v>12</v>
      </c>
      <c r="DO6" s="91">
        <v>12</v>
      </c>
      <c r="DP6" s="91">
        <v>6</v>
      </c>
      <c r="DQ6" s="91">
        <v>2</v>
      </c>
      <c r="DR6" s="91">
        <v>4</v>
      </c>
      <c r="DS6" s="91">
        <v>36</v>
      </c>
      <c r="DV6" s="94" t="s">
        <v>1474</v>
      </c>
      <c r="DW6" s="94" t="s">
        <v>2855</v>
      </c>
      <c r="DX6" s="94">
        <v>1078</v>
      </c>
      <c r="DY6" s="94">
        <v>550</v>
      </c>
      <c r="DZ6" s="94">
        <v>540</v>
      </c>
      <c r="EA6" s="94">
        <v>540</v>
      </c>
      <c r="EB6" s="94">
        <v>399</v>
      </c>
      <c r="EC6" s="94">
        <v>3107</v>
      </c>
      <c r="ED6" s="94"/>
      <c r="EE6" s="94" t="s">
        <v>2855</v>
      </c>
      <c r="EF6" s="94">
        <v>18</v>
      </c>
      <c r="EG6" s="94">
        <v>0</v>
      </c>
      <c r="EH6" s="94">
        <v>0</v>
      </c>
      <c r="EI6" s="94">
        <v>0</v>
      </c>
      <c r="EJ6" s="94">
        <v>0</v>
      </c>
      <c r="EK6" s="94">
        <v>18</v>
      </c>
      <c r="EN6" s="61" t="s">
        <v>1584</v>
      </c>
      <c r="EO6" s="61" t="s">
        <v>2855</v>
      </c>
      <c r="EP6" s="61" t="s">
        <v>1970</v>
      </c>
      <c r="EQ6" s="61" t="s">
        <v>1970</v>
      </c>
      <c r="ER6" s="61" t="s">
        <v>1970</v>
      </c>
      <c r="ES6" s="61" t="s">
        <v>1970</v>
      </c>
      <c r="ET6" s="61" t="s">
        <v>1970</v>
      </c>
      <c r="EU6" s="61" t="s">
        <v>1970</v>
      </c>
      <c r="EV6" s="61"/>
      <c r="EW6" s="61" t="s">
        <v>2855</v>
      </c>
      <c r="EX6" s="61" t="s">
        <v>1970</v>
      </c>
      <c r="EY6" s="61" t="s">
        <v>1970</v>
      </c>
      <c r="EZ6" s="61" t="s">
        <v>1970</v>
      </c>
      <c r="FA6" s="61" t="s">
        <v>1970</v>
      </c>
      <c r="FB6" s="61" t="s">
        <v>1970</v>
      </c>
      <c r="FC6" s="61" t="s">
        <v>1970</v>
      </c>
      <c r="FF6" s="80" t="s">
        <v>1730</v>
      </c>
      <c r="FG6" s="80" t="s">
        <v>2855</v>
      </c>
      <c r="FH6" s="80">
        <v>148</v>
      </c>
      <c r="FI6" s="80">
        <v>211</v>
      </c>
      <c r="FJ6" s="80">
        <v>325</v>
      </c>
      <c r="FK6" s="80">
        <v>434</v>
      </c>
      <c r="FL6" s="80">
        <v>531</v>
      </c>
      <c r="FM6" s="80">
        <v>1649</v>
      </c>
      <c r="FN6" s="80"/>
      <c r="FO6" s="80" t="s">
        <v>2855</v>
      </c>
      <c r="FP6" s="80">
        <v>27</v>
      </c>
      <c r="FQ6" s="80">
        <v>8</v>
      </c>
      <c r="FR6" s="80">
        <v>9</v>
      </c>
      <c r="FS6" s="80">
        <v>13</v>
      </c>
      <c r="FT6" s="80">
        <v>10</v>
      </c>
      <c r="FU6" s="80">
        <v>67</v>
      </c>
    </row>
    <row r="7" spans="2:177" x14ac:dyDescent="0.3">
      <c r="B7" s="71" t="s">
        <v>27</v>
      </c>
      <c r="C7" s="71" t="s">
        <v>2855</v>
      </c>
      <c r="D7" s="71" t="s">
        <v>1970</v>
      </c>
      <c r="E7" s="71" t="s">
        <v>1970</v>
      </c>
      <c r="F7" s="71" t="s">
        <v>1970</v>
      </c>
      <c r="G7" s="71" t="s">
        <v>1970</v>
      </c>
      <c r="H7" s="71" t="s">
        <v>1970</v>
      </c>
      <c r="I7" s="71" t="s">
        <v>1970</v>
      </c>
      <c r="K7" s="71" t="s">
        <v>2855</v>
      </c>
      <c r="L7" s="71" t="s">
        <v>1970</v>
      </c>
      <c r="M7" s="71" t="s">
        <v>1970</v>
      </c>
      <c r="N7" s="71" t="s">
        <v>1970</v>
      </c>
      <c r="O7" s="71" t="s">
        <v>1970</v>
      </c>
      <c r="P7" s="71" t="s">
        <v>1970</v>
      </c>
      <c r="Q7" s="71" t="s">
        <v>1970</v>
      </c>
      <c r="T7" s="72" t="s">
        <v>288</v>
      </c>
      <c r="U7" s="72" t="s">
        <v>2855</v>
      </c>
      <c r="V7" s="72" t="s">
        <v>1970</v>
      </c>
      <c r="W7" s="72" t="s">
        <v>1970</v>
      </c>
      <c r="X7" s="72" t="s">
        <v>1970</v>
      </c>
      <c r="Y7" s="72" t="s">
        <v>1970</v>
      </c>
      <c r="Z7" s="72" t="s">
        <v>1970</v>
      </c>
      <c r="AA7" s="72" t="s">
        <v>1970</v>
      </c>
      <c r="AB7" s="72"/>
      <c r="AC7" s="72" t="s">
        <v>2855</v>
      </c>
      <c r="AD7" s="72" t="s">
        <v>1970</v>
      </c>
      <c r="AE7" s="72" t="s">
        <v>1970</v>
      </c>
      <c r="AF7" s="72" t="s">
        <v>1970</v>
      </c>
      <c r="AG7" s="72" t="s">
        <v>1970</v>
      </c>
      <c r="AH7" s="72" t="s">
        <v>1970</v>
      </c>
      <c r="AI7" s="72" t="s">
        <v>1970</v>
      </c>
      <c r="AK7" s="73" t="s">
        <v>578</v>
      </c>
      <c r="AL7" s="73" t="s">
        <v>2855</v>
      </c>
      <c r="AM7" s="73">
        <v>137</v>
      </c>
      <c r="AN7" s="73">
        <v>197</v>
      </c>
      <c r="AO7" s="73">
        <v>456</v>
      </c>
      <c r="AP7" s="73">
        <v>720</v>
      </c>
      <c r="AQ7" s="73">
        <v>603</v>
      </c>
      <c r="AR7" s="73">
        <v>2113</v>
      </c>
      <c r="AS7" s="73"/>
      <c r="AT7" s="73" t="s">
        <v>2855</v>
      </c>
      <c r="AU7" s="73">
        <v>19</v>
      </c>
      <c r="AV7" s="73">
        <v>0</v>
      </c>
      <c r="AW7" s="73">
        <v>1</v>
      </c>
      <c r="AX7" s="73">
        <v>0</v>
      </c>
      <c r="AY7" s="73">
        <v>0</v>
      </c>
      <c r="AZ7" s="73">
        <v>20</v>
      </c>
      <c r="BB7" s="78" t="s">
        <v>771</v>
      </c>
      <c r="BC7" s="78" t="s">
        <v>2855</v>
      </c>
      <c r="BD7" s="78">
        <v>325</v>
      </c>
      <c r="BE7" s="78">
        <v>293</v>
      </c>
      <c r="BF7" s="78">
        <v>376</v>
      </c>
      <c r="BG7" s="78">
        <v>360</v>
      </c>
      <c r="BH7" s="78">
        <v>321</v>
      </c>
      <c r="BI7" s="78">
        <v>1675</v>
      </c>
      <c r="BJ7" s="78"/>
      <c r="BK7" s="78" t="s">
        <v>2855</v>
      </c>
      <c r="BL7" s="78">
        <v>19</v>
      </c>
      <c r="BM7" s="78">
        <v>0</v>
      </c>
      <c r="BN7" s="78">
        <v>0</v>
      </c>
      <c r="BO7" s="78">
        <v>0</v>
      </c>
      <c r="BP7" s="78">
        <v>0</v>
      </c>
      <c r="BQ7" s="78">
        <v>19</v>
      </c>
      <c r="BS7" s="80" t="s">
        <v>1085</v>
      </c>
      <c r="BT7" s="80" t="s">
        <v>2855</v>
      </c>
      <c r="BU7" s="80" t="s">
        <v>1970</v>
      </c>
      <c r="BV7" s="80" t="s">
        <v>1970</v>
      </c>
      <c r="BW7" s="80" t="s">
        <v>1970</v>
      </c>
      <c r="BX7" s="80" t="s">
        <v>1970</v>
      </c>
      <c r="BY7" s="80" t="s">
        <v>1970</v>
      </c>
      <c r="BZ7" s="80" t="s">
        <v>1970</v>
      </c>
      <c r="CA7" s="80"/>
      <c r="CB7" s="80" t="s">
        <v>2855</v>
      </c>
      <c r="CC7" s="80" t="s">
        <v>1970</v>
      </c>
      <c r="CD7" s="80" t="s">
        <v>1970</v>
      </c>
      <c r="CE7" s="80" t="s">
        <v>1970</v>
      </c>
      <c r="CF7" s="80" t="s">
        <v>1970</v>
      </c>
      <c r="CG7" s="80" t="s">
        <v>1970</v>
      </c>
      <c r="CH7" s="80" t="s">
        <v>1970</v>
      </c>
      <c r="CL7" s="61" t="s">
        <v>1298</v>
      </c>
      <c r="CM7" s="61" t="s">
        <v>2855</v>
      </c>
      <c r="CN7" s="61">
        <v>378</v>
      </c>
      <c r="CO7" s="61">
        <v>330</v>
      </c>
      <c r="CP7" s="61">
        <v>387</v>
      </c>
      <c r="CQ7" s="61">
        <v>498</v>
      </c>
      <c r="CR7" s="61">
        <v>517</v>
      </c>
      <c r="CS7" s="61">
        <v>2110</v>
      </c>
      <c r="CT7" s="61"/>
      <c r="CU7" s="61" t="s">
        <v>2855</v>
      </c>
      <c r="CV7" s="61">
        <v>103</v>
      </c>
      <c r="CW7" s="61">
        <v>2</v>
      </c>
      <c r="CX7" s="61">
        <v>0</v>
      </c>
      <c r="CY7" s="61">
        <v>0</v>
      </c>
      <c r="CZ7" s="61">
        <v>0</v>
      </c>
      <c r="DA7" s="61">
        <v>105</v>
      </c>
      <c r="DD7" s="91" t="s">
        <v>1402</v>
      </c>
      <c r="DE7" s="91" t="s">
        <v>2855</v>
      </c>
      <c r="DF7" s="91" t="s">
        <v>1970</v>
      </c>
      <c r="DG7" s="91" t="s">
        <v>1970</v>
      </c>
      <c r="DH7" s="91" t="s">
        <v>1970</v>
      </c>
      <c r="DI7" s="91" t="s">
        <v>1970</v>
      </c>
      <c r="DJ7" s="91" t="s">
        <v>1970</v>
      </c>
      <c r="DK7" s="91" t="s">
        <v>1970</v>
      </c>
      <c r="DL7" s="91"/>
      <c r="DM7" s="91" t="s">
        <v>2855</v>
      </c>
      <c r="DN7" s="91" t="s">
        <v>1970</v>
      </c>
      <c r="DO7" s="91" t="s">
        <v>1970</v>
      </c>
      <c r="DP7" s="91" t="s">
        <v>1970</v>
      </c>
      <c r="DQ7" s="91" t="s">
        <v>1970</v>
      </c>
      <c r="DR7" s="91" t="s">
        <v>1970</v>
      </c>
      <c r="DS7" s="91" t="s">
        <v>1970</v>
      </c>
      <c r="DV7" s="94" t="s">
        <v>1478</v>
      </c>
      <c r="DW7" s="94" t="s">
        <v>2855</v>
      </c>
      <c r="DX7" s="94">
        <v>142</v>
      </c>
      <c r="DY7" s="94">
        <v>177</v>
      </c>
      <c r="DZ7" s="94">
        <v>241</v>
      </c>
      <c r="EA7" s="94">
        <v>273</v>
      </c>
      <c r="EB7" s="94">
        <v>249</v>
      </c>
      <c r="EC7" s="94">
        <v>1082</v>
      </c>
      <c r="ED7" s="94"/>
      <c r="EE7" s="94" t="s">
        <v>2855</v>
      </c>
      <c r="EF7" s="94">
        <v>15</v>
      </c>
      <c r="EG7" s="94">
        <v>3</v>
      </c>
      <c r="EH7" s="94">
        <v>0</v>
      </c>
      <c r="EI7" s="94">
        <v>0</v>
      </c>
      <c r="EJ7" s="94">
        <v>0</v>
      </c>
      <c r="EK7" s="94">
        <v>18</v>
      </c>
      <c r="EN7" s="61" t="s">
        <v>1588</v>
      </c>
      <c r="EO7" s="61" t="s">
        <v>2855</v>
      </c>
      <c r="EP7" s="61" t="s">
        <v>1970</v>
      </c>
      <c r="EQ7" s="61" t="s">
        <v>1970</v>
      </c>
      <c r="ER7" s="61" t="s">
        <v>1970</v>
      </c>
      <c r="ES7" s="61" t="s">
        <v>1970</v>
      </c>
      <c r="ET7" s="61" t="s">
        <v>1970</v>
      </c>
      <c r="EU7" s="61" t="s">
        <v>1970</v>
      </c>
      <c r="EV7" s="61"/>
      <c r="EW7" s="61" t="s">
        <v>2855</v>
      </c>
      <c r="EX7" s="61" t="s">
        <v>1970</v>
      </c>
      <c r="EY7" s="61" t="s">
        <v>1970</v>
      </c>
      <c r="EZ7" s="61" t="s">
        <v>1970</v>
      </c>
      <c r="FA7" s="61" t="s">
        <v>1970</v>
      </c>
      <c r="FB7" s="61" t="s">
        <v>1970</v>
      </c>
      <c r="FC7" s="61" t="s">
        <v>1970</v>
      </c>
      <c r="FF7" s="80" t="s">
        <v>1734</v>
      </c>
      <c r="FG7" s="80" t="s">
        <v>2855</v>
      </c>
      <c r="FH7" s="80">
        <v>125</v>
      </c>
      <c r="FI7" s="80">
        <v>240</v>
      </c>
      <c r="FJ7" s="80">
        <v>308</v>
      </c>
      <c r="FK7" s="80">
        <v>385</v>
      </c>
      <c r="FL7" s="80">
        <v>478</v>
      </c>
      <c r="FM7" s="80">
        <v>1536</v>
      </c>
      <c r="FN7" s="80"/>
      <c r="FO7" s="80" t="s">
        <v>2855</v>
      </c>
      <c r="FP7" s="80">
        <v>15</v>
      </c>
      <c r="FQ7" s="80">
        <v>8</v>
      </c>
      <c r="FR7" s="80">
        <v>8</v>
      </c>
      <c r="FS7" s="80">
        <v>7</v>
      </c>
      <c r="FT7" s="80">
        <v>8</v>
      </c>
      <c r="FU7" s="80">
        <v>46</v>
      </c>
    </row>
    <row r="8" spans="2:177" x14ac:dyDescent="0.3">
      <c r="B8" s="71" t="s">
        <v>31</v>
      </c>
      <c r="C8" s="71" t="s">
        <v>2855</v>
      </c>
      <c r="D8" s="71" t="s">
        <v>1970</v>
      </c>
      <c r="E8" s="71" t="s">
        <v>1970</v>
      </c>
      <c r="F8" s="71" t="s">
        <v>1970</v>
      </c>
      <c r="G8" s="71" t="s">
        <v>1970</v>
      </c>
      <c r="H8" s="71" t="s">
        <v>1970</v>
      </c>
      <c r="I8" s="71" t="s">
        <v>1970</v>
      </c>
      <c r="K8" s="71" t="s">
        <v>2855</v>
      </c>
      <c r="L8" s="71" t="s">
        <v>1970</v>
      </c>
      <c r="M8" s="71" t="s">
        <v>1970</v>
      </c>
      <c r="N8" s="71" t="s">
        <v>1970</v>
      </c>
      <c r="O8" s="71" t="s">
        <v>1970</v>
      </c>
      <c r="P8" s="71" t="s">
        <v>1970</v>
      </c>
      <c r="Q8" s="71" t="s">
        <v>1970</v>
      </c>
      <c r="T8" s="72" t="s">
        <v>294</v>
      </c>
      <c r="U8" s="72" t="s">
        <v>2855</v>
      </c>
      <c r="V8" s="72" t="s">
        <v>1970</v>
      </c>
      <c r="W8" s="72" t="s">
        <v>1970</v>
      </c>
      <c r="X8" s="72" t="s">
        <v>1970</v>
      </c>
      <c r="Y8" s="72" t="s">
        <v>1970</v>
      </c>
      <c r="Z8" s="72" t="s">
        <v>1970</v>
      </c>
      <c r="AA8" s="72" t="s">
        <v>1970</v>
      </c>
      <c r="AB8" s="72"/>
      <c r="AC8" s="72" t="s">
        <v>2855</v>
      </c>
      <c r="AD8" s="72" t="s">
        <v>1970</v>
      </c>
      <c r="AE8" s="72" t="s">
        <v>1970</v>
      </c>
      <c r="AF8" s="72" t="s">
        <v>1970</v>
      </c>
      <c r="AG8" s="72" t="s">
        <v>1970</v>
      </c>
      <c r="AH8" s="72" t="s">
        <v>1970</v>
      </c>
      <c r="AI8" s="72" t="s">
        <v>1970</v>
      </c>
      <c r="AK8" s="73" t="s">
        <v>582</v>
      </c>
      <c r="AL8" s="73" t="s">
        <v>2855</v>
      </c>
      <c r="AM8" s="73">
        <v>368</v>
      </c>
      <c r="AN8" s="73">
        <v>633</v>
      </c>
      <c r="AO8" s="73">
        <v>995</v>
      </c>
      <c r="AP8" s="73">
        <v>1079</v>
      </c>
      <c r="AQ8" s="73">
        <v>739</v>
      </c>
      <c r="AR8" s="73">
        <v>3814</v>
      </c>
      <c r="AS8" s="73"/>
      <c r="AT8" s="73" t="s">
        <v>2855</v>
      </c>
      <c r="AU8" s="73">
        <v>31</v>
      </c>
      <c r="AV8" s="73">
        <v>0</v>
      </c>
      <c r="AW8" s="73">
        <v>0</v>
      </c>
      <c r="AX8" s="73">
        <v>0</v>
      </c>
      <c r="AY8" s="73">
        <v>0</v>
      </c>
      <c r="AZ8" s="73">
        <v>31</v>
      </c>
      <c r="BB8" s="78" t="s">
        <v>776</v>
      </c>
      <c r="BC8" s="78" t="s">
        <v>2855</v>
      </c>
      <c r="BD8" s="78">
        <v>369</v>
      </c>
      <c r="BE8" s="78">
        <v>293</v>
      </c>
      <c r="BF8" s="78">
        <v>437</v>
      </c>
      <c r="BG8" s="78">
        <v>550</v>
      </c>
      <c r="BH8" s="78">
        <v>498</v>
      </c>
      <c r="BI8" s="78">
        <v>2147</v>
      </c>
      <c r="BJ8" s="78"/>
      <c r="BK8" s="78" t="s">
        <v>2855</v>
      </c>
      <c r="BL8" s="78">
        <v>52</v>
      </c>
      <c r="BM8" s="78">
        <v>0</v>
      </c>
      <c r="BN8" s="78">
        <v>0</v>
      </c>
      <c r="BO8" s="78">
        <v>0</v>
      </c>
      <c r="BP8" s="78">
        <v>0</v>
      </c>
      <c r="BQ8" s="78">
        <v>52</v>
      </c>
      <c r="BS8" s="80" t="s">
        <v>1090</v>
      </c>
      <c r="BT8" s="80" t="s">
        <v>2855</v>
      </c>
      <c r="BU8" s="80" t="s">
        <v>1970</v>
      </c>
      <c r="BV8" s="80" t="s">
        <v>1970</v>
      </c>
      <c r="BW8" s="80" t="s">
        <v>1970</v>
      </c>
      <c r="BX8" s="80" t="s">
        <v>1970</v>
      </c>
      <c r="BY8" s="80" t="s">
        <v>1970</v>
      </c>
      <c r="BZ8" s="80" t="s">
        <v>1970</v>
      </c>
      <c r="CA8" s="80"/>
      <c r="CB8" s="80" t="s">
        <v>2855</v>
      </c>
      <c r="CC8" s="80" t="s">
        <v>1970</v>
      </c>
      <c r="CD8" s="80" t="s">
        <v>1970</v>
      </c>
      <c r="CE8" s="80" t="s">
        <v>1970</v>
      </c>
      <c r="CF8" s="80" t="s">
        <v>1970</v>
      </c>
      <c r="CG8" s="80" t="s">
        <v>1970</v>
      </c>
      <c r="CH8" s="80" t="s">
        <v>1970</v>
      </c>
      <c r="CL8" s="61" t="s">
        <v>1302</v>
      </c>
      <c r="CM8" s="61" t="s">
        <v>2855</v>
      </c>
      <c r="CN8" s="61">
        <v>437</v>
      </c>
      <c r="CO8" s="61">
        <v>236</v>
      </c>
      <c r="CP8" s="61">
        <v>396</v>
      </c>
      <c r="CQ8" s="61">
        <v>621</v>
      </c>
      <c r="CR8" s="61">
        <v>548</v>
      </c>
      <c r="CS8" s="61">
        <v>2238</v>
      </c>
      <c r="CT8" s="61"/>
      <c r="CU8" s="61" t="s">
        <v>2855</v>
      </c>
      <c r="CV8" s="61">
        <v>160</v>
      </c>
      <c r="CW8" s="61">
        <v>0</v>
      </c>
      <c r="CX8" s="61">
        <v>0</v>
      </c>
      <c r="CY8" s="61">
        <v>0</v>
      </c>
      <c r="CZ8" s="61">
        <v>0</v>
      </c>
      <c r="DA8" s="61">
        <v>160</v>
      </c>
      <c r="DD8" s="91" t="s">
        <v>1406</v>
      </c>
      <c r="DE8" s="91" t="s">
        <v>2855</v>
      </c>
      <c r="DF8" s="91">
        <v>1418</v>
      </c>
      <c r="DG8" s="91">
        <v>1677</v>
      </c>
      <c r="DH8" s="91">
        <v>2014</v>
      </c>
      <c r="DI8" s="91">
        <v>2106</v>
      </c>
      <c r="DJ8" s="91">
        <v>1696</v>
      </c>
      <c r="DK8" s="91">
        <v>8911</v>
      </c>
      <c r="DL8" s="91"/>
      <c r="DM8" s="91" t="s">
        <v>2855</v>
      </c>
      <c r="DN8" s="91">
        <v>84</v>
      </c>
      <c r="DO8" s="91">
        <v>40</v>
      </c>
      <c r="DP8" s="91">
        <v>12</v>
      </c>
      <c r="DQ8" s="91">
        <v>5</v>
      </c>
      <c r="DR8" s="91">
        <v>3</v>
      </c>
      <c r="DS8" s="91">
        <v>144</v>
      </c>
      <c r="DV8" s="94" t="s">
        <v>1482</v>
      </c>
      <c r="DW8" s="94" t="s">
        <v>2855</v>
      </c>
      <c r="DX8" s="94">
        <v>277</v>
      </c>
      <c r="DY8" s="94">
        <v>403</v>
      </c>
      <c r="DZ8" s="94">
        <v>407</v>
      </c>
      <c r="EA8" s="94">
        <v>503</v>
      </c>
      <c r="EB8" s="94">
        <v>496</v>
      </c>
      <c r="EC8" s="94">
        <v>2086</v>
      </c>
      <c r="ED8" s="94"/>
      <c r="EE8" s="94" t="s">
        <v>2855</v>
      </c>
      <c r="EF8" s="94">
        <v>25</v>
      </c>
      <c r="EG8" s="94">
        <v>0</v>
      </c>
      <c r="EH8" s="94">
        <v>0</v>
      </c>
      <c r="EI8" s="94">
        <v>0</v>
      </c>
      <c r="EJ8" s="94">
        <v>0</v>
      </c>
      <c r="EK8" s="94">
        <v>25</v>
      </c>
      <c r="EN8" s="61" t="s">
        <v>1592</v>
      </c>
      <c r="EO8" s="61" t="s">
        <v>2855</v>
      </c>
      <c r="EP8" s="61" t="s">
        <v>1970</v>
      </c>
      <c r="EQ8" s="61" t="s">
        <v>1970</v>
      </c>
      <c r="ER8" s="61" t="s">
        <v>1970</v>
      </c>
      <c r="ES8" s="61" t="s">
        <v>1970</v>
      </c>
      <c r="ET8" s="61" t="s">
        <v>1970</v>
      </c>
      <c r="EU8" s="61" t="s">
        <v>1970</v>
      </c>
      <c r="EV8" s="61"/>
      <c r="EW8" s="61" t="s">
        <v>2855</v>
      </c>
      <c r="EX8" s="61" t="s">
        <v>1970</v>
      </c>
      <c r="EY8" s="61" t="s">
        <v>1970</v>
      </c>
      <c r="EZ8" s="61" t="s">
        <v>1970</v>
      </c>
      <c r="FA8" s="61" t="s">
        <v>1970</v>
      </c>
      <c r="FB8" s="61" t="s">
        <v>1970</v>
      </c>
      <c r="FC8" s="61" t="s">
        <v>1970</v>
      </c>
      <c r="FF8" s="80" t="s">
        <v>1738</v>
      </c>
      <c r="FG8" s="80" t="s">
        <v>2855</v>
      </c>
      <c r="FH8" s="80" t="s">
        <v>1970</v>
      </c>
      <c r="FI8" s="80" t="s">
        <v>1970</v>
      </c>
      <c r="FJ8" s="80" t="s">
        <v>1970</v>
      </c>
      <c r="FK8" s="80" t="s">
        <v>1970</v>
      </c>
      <c r="FL8" s="80" t="s">
        <v>1970</v>
      </c>
      <c r="FM8" s="80" t="s">
        <v>1970</v>
      </c>
      <c r="FN8" s="80"/>
      <c r="FO8" s="80" t="s">
        <v>2855</v>
      </c>
      <c r="FP8" s="80" t="s">
        <v>1970</v>
      </c>
      <c r="FQ8" s="80" t="s">
        <v>1970</v>
      </c>
      <c r="FR8" s="80" t="s">
        <v>1970</v>
      </c>
      <c r="FS8" s="80" t="s">
        <v>1970</v>
      </c>
      <c r="FT8" s="80" t="s">
        <v>1970</v>
      </c>
      <c r="FU8" s="80" t="s">
        <v>1970</v>
      </c>
    </row>
    <row r="9" spans="2:177" x14ac:dyDescent="0.3">
      <c r="B9" s="71" t="s">
        <v>35</v>
      </c>
      <c r="C9" s="71" t="s">
        <v>2855</v>
      </c>
      <c r="D9" s="71" t="s">
        <v>1970</v>
      </c>
      <c r="E9" s="71" t="s">
        <v>1970</v>
      </c>
      <c r="F9" s="71" t="s">
        <v>1970</v>
      </c>
      <c r="G9" s="71" t="s">
        <v>1970</v>
      </c>
      <c r="H9" s="71" t="s">
        <v>1970</v>
      </c>
      <c r="I9" s="71" t="s">
        <v>1970</v>
      </c>
      <c r="K9" s="71" t="s">
        <v>2855</v>
      </c>
      <c r="L9" s="71" t="s">
        <v>1970</v>
      </c>
      <c r="M9" s="71" t="s">
        <v>1970</v>
      </c>
      <c r="N9" s="71" t="s">
        <v>1970</v>
      </c>
      <c r="O9" s="71" t="s">
        <v>1970</v>
      </c>
      <c r="P9" s="71" t="s">
        <v>1970</v>
      </c>
      <c r="Q9" s="71" t="s">
        <v>1970</v>
      </c>
      <c r="T9" s="72" t="s">
        <v>298</v>
      </c>
      <c r="U9" s="72" t="s">
        <v>2855</v>
      </c>
      <c r="V9" s="72">
        <v>292</v>
      </c>
      <c r="W9" s="72">
        <v>147</v>
      </c>
      <c r="X9" s="72">
        <v>221</v>
      </c>
      <c r="Y9" s="72">
        <v>264</v>
      </c>
      <c r="Z9" s="72">
        <v>249</v>
      </c>
      <c r="AA9" s="72">
        <v>1173</v>
      </c>
      <c r="AB9" s="72"/>
      <c r="AC9" s="72" t="s">
        <v>2855</v>
      </c>
      <c r="AD9" s="72">
        <v>14</v>
      </c>
      <c r="AE9" s="72">
        <v>0</v>
      </c>
      <c r="AF9" s="72">
        <v>0</v>
      </c>
      <c r="AG9" s="72">
        <v>0</v>
      </c>
      <c r="AH9" s="72">
        <v>0</v>
      </c>
      <c r="AI9" s="72">
        <v>14</v>
      </c>
      <c r="AK9" s="73" t="s">
        <v>585</v>
      </c>
      <c r="AL9" s="73" t="s">
        <v>2855</v>
      </c>
      <c r="AM9" s="73">
        <v>203</v>
      </c>
      <c r="AN9" s="73">
        <v>223</v>
      </c>
      <c r="AO9" s="73">
        <v>422</v>
      </c>
      <c r="AP9" s="73">
        <v>599</v>
      </c>
      <c r="AQ9" s="73">
        <v>552</v>
      </c>
      <c r="AR9" s="73">
        <v>1999</v>
      </c>
      <c r="AS9" s="73"/>
      <c r="AT9" s="73" t="s">
        <v>2855</v>
      </c>
      <c r="AU9" s="73">
        <v>52</v>
      </c>
      <c r="AV9" s="73">
        <v>0</v>
      </c>
      <c r="AW9" s="73">
        <v>0</v>
      </c>
      <c r="AX9" s="73">
        <v>0</v>
      </c>
      <c r="AY9" s="73">
        <v>0</v>
      </c>
      <c r="AZ9" s="73">
        <v>52</v>
      </c>
      <c r="BB9" s="78" t="s">
        <v>781</v>
      </c>
      <c r="BC9" s="78" t="s">
        <v>2855</v>
      </c>
      <c r="BD9" s="78">
        <v>456</v>
      </c>
      <c r="BE9" s="78">
        <v>345</v>
      </c>
      <c r="BF9" s="78">
        <v>451</v>
      </c>
      <c r="BG9" s="78">
        <v>583</v>
      </c>
      <c r="BH9" s="78">
        <v>585</v>
      </c>
      <c r="BI9" s="78">
        <v>2420</v>
      </c>
      <c r="BJ9" s="78"/>
      <c r="BK9" s="78" t="s">
        <v>2855</v>
      </c>
      <c r="BL9" s="78">
        <v>25</v>
      </c>
      <c r="BM9" s="78">
        <v>0</v>
      </c>
      <c r="BN9" s="78">
        <v>0</v>
      </c>
      <c r="BO9" s="78">
        <v>0</v>
      </c>
      <c r="BP9" s="78">
        <v>0</v>
      </c>
      <c r="BQ9" s="78">
        <v>25</v>
      </c>
      <c r="BS9" s="80" t="s">
        <v>1095</v>
      </c>
      <c r="BT9" s="80" t="s">
        <v>2855</v>
      </c>
      <c r="BU9" s="80">
        <v>1492</v>
      </c>
      <c r="BV9" s="80">
        <v>552</v>
      </c>
      <c r="BW9" s="80">
        <v>695</v>
      </c>
      <c r="BX9" s="80">
        <v>951</v>
      </c>
      <c r="BY9" s="80">
        <v>841</v>
      </c>
      <c r="BZ9" s="80">
        <v>4531</v>
      </c>
      <c r="CA9" s="80"/>
      <c r="CB9" s="80" t="s">
        <v>2855</v>
      </c>
      <c r="CC9" s="80">
        <v>350</v>
      </c>
      <c r="CD9" s="80">
        <v>0</v>
      </c>
      <c r="CE9" s="80">
        <v>0</v>
      </c>
      <c r="CF9" s="80">
        <v>0</v>
      </c>
      <c r="CG9" s="80">
        <v>0</v>
      </c>
      <c r="CH9" s="80">
        <v>350</v>
      </c>
      <c r="CL9" s="61" t="s">
        <v>1333</v>
      </c>
      <c r="CM9" s="61" t="s">
        <v>2855</v>
      </c>
      <c r="CN9" s="61">
        <v>60</v>
      </c>
      <c r="CO9" s="61">
        <v>50</v>
      </c>
      <c r="CP9" s="61">
        <v>115</v>
      </c>
      <c r="CQ9" s="61">
        <v>171</v>
      </c>
      <c r="CR9" s="61">
        <v>188</v>
      </c>
      <c r="CS9" s="61">
        <v>584</v>
      </c>
      <c r="CT9" s="61"/>
      <c r="CU9" s="61" t="s">
        <v>2855</v>
      </c>
      <c r="CV9" s="61">
        <v>19</v>
      </c>
      <c r="CW9" s="61">
        <v>0</v>
      </c>
      <c r="CX9" s="61">
        <v>0</v>
      </c>
      <c r="CY9" s="61">
        <v>0</v>
      </c>
      <c r="CZ9" s="61">
        <v>0</v>
      </c>
      <c r="DA9" s="61">
        <v>19</v>
      </c>
      <c r="DD9" s="91" t="s">
        <v>1434</v>
      </c>
      <c r="DE9" s="91" t="s">
        <v>2855</v>
      </c>
      <c r="DF9" s="91">
        <v>342</v>
      </c>
      <c r="DG9" s="91">
        <v>361</v>
      </c>
      <c r="DH9" s="91">
        <v>435</v>
      </c>
      <c r="DI9" s="91">
        <v>434</v>
      </c>
      <c r="DJ9" s="91">
        <v>381</v>
      </c>
      <c r="DK9" s="91">
        <v>1953</v>
      </c>
      <c r="DL9" s="91"/>
      <c r="DM9" s="91" t="s">
        <v>2855</v>
      </c>
      <c r="DN9" s="91">
        <v>18</v>
      </c>
      <c r="DO9" s="91">
        <v>9</v>
      </c>
      <c r="DP9" s="91">
        <v>1</v>
      </c>
      <c r="DQ9" s="91">
        <v>0</v>
      </c>
      <c r="DR9" s="91">
        <v>0</v>
      </c>
      <c r="DS9" s="91">
        <v>28</v>
      </c>
      <c r="DV9" s="94" t="s">
        <v>1486</v>
      </c>
      <c r="DW9" s="94" t="s">
        <v>2855</v>
      </c>
      <c r="DX9" s="94">
        <v>256</v>
      </c>
      <c r="DY9" s="94">
        <v>303</v>
      </c>
      <c r="DZ9" s="94">
        <v>432</v>
      </c>
      <c r="EA9" s="94">
        <v>544</v>
      </c>
      <c r="EB9" s="94">
        <v>500</v>
      </c>
      <c r="EC9" s="94">
        <v>2035</v>
      </c>
      <c r="ED9" s="94"/>
      <c r="EE9" s="94" t="s">
        <v>2855</v>
      </c>
      <c r="EF9" s="94">
        <v>27</v>
      </c>
      <c r="EG9" s="94">
        <v>0</v>
      </c>
      <c r="EH9" s="94">
        <v>0</v>
      </c>
      <c r="EI9" s="94">
        <v>0</v>
      </c>
      <c r="EJ9" s="94">
        <v>0</v>
      </c>
      <c r="EK9" s="94">
        <v>27</v>
      </c>
      <c r="EN9" s="61" t="s">
        <v>1596</v>
      </c>
      <c r="EO9" s="61" t="s">
        <v>2855</v>
      </c>
      <c r="EP9" s="61">
        <v>275</v>
      </c>
      <c r="EQ9" s="61">
        <v>358</v>
      </c>
      <c r="ER9" s="61">
        <v>396</v>
      </c>
      <c r="ES9" s="61">
        <v>502</v>
      </c>
      <c r="ET9" s="61">
        <v>603</v>
      </c>
      <c r="EU9" s="61">
        <v>2134</v>
      </c>
      <c r="EV9" s="61"/>
      <c r="EW9" s="61" t="s">
        <v>2855</v>
      </c>
      <c r="EX9" s="61">
        <v>92</v>
      </c>
      <c r="EY9" s="61">
        <v>73</v>
      </c>
      <c r="EZ9" s="61">
        <v>35</v>
      </c>
      <c r="FA9" s="61">
        <v>25</v>
      </c>
      <c r="FB9" s="61">
        <v>0</v>
      </c>
      <c r="FC9" s="61">
        <v>225</v>
      </c>
      <c r="FF9" s="80" t="s">
        <v>1742</v>
      </c>
      <c r="FG9" s="80" t="s">
        <v>2855</v>
      </c>
      <c r="FH9" s="80">
        <v>757</v>
      </c>
      <c r="FI9" s="80">
        <v>804</v>
      </c>
      <c r="FJ9" s="80">
        <v>847</v>
      </c>
      <c r="FK9" s="80">
        <v>815</v>
      </c>
      <c r="FL9" s="80">
        <v>1091</v>
      </c>
      <c r="FM9" s="80">
        <v>4314</v>
      </c>
      <c r="FN9" s="80"/>
      <c r="FO9" s="80" t="s">
        <v>2855</v>
      </c>
      <c r="FP9" s="80">
        <v>147</v>
      </c>
      <c r="FQ9" s="80">
        <v>0</v>
      </c>
      <c r="FR9" s="80">
        <v>0</v>
      </c>
      <c r="FS9" s="80">
        <v>0</v>
      </c>
      <c r="FT9" s="80">
        <v>0</v>
      </c>
      <c r="FU9" s="80">
        <v>147</v>
      </c>
    </row>
    <row r="10" spans="2:177" x14ac:dyDescent="0.3">
      <c r="B10" s="71" t="s">
        <v>39</v>
      </c>
      <c r="C10" s="71" t="s">
        <v>2855</v>
      </c>
      <c r="D10" s="71" t="s">
        <v>1970</v>
      </c>
      <c r="E10" s="71" t="s">
        <v>1970</v>
      </c>
      <c r="F10" s="71" t="s">
        <v>1970</v>
      </c>
      <c r="G10" s="71" t="s">
        <v>1970</v>
      </c>
      <c r="H10" s="71" t="s">
        <v>1970</v>
      </c>
      <c r="I10" s="71" t="s">
        <v>1970</v>
      </c>
      <c r="K10" s="71" t="s">
        <v>2855</v>
      </c>
      <c r="L10" s="71" t="s">
        <v>1970</v>
      </c>
      <c r="M10" s="71" t="s">
        <v>1970</v>
      </c>
      <c r="N10" s="71" t="s">
        <v>1970</v>
      </c>
      <c r="O10" s="71" t="s">
        <v>1970</v>
      </c>
      <c r="P10" s="71" t="s">
        <v>1970</v>
      </c>
      <c r="Q10" s="71" t="s">
        <v>1970</v>
      </c>
      <c r="T10" s="72" t="s">
        <v>302</v>
      </c>
      <c r="U10" s="72" t="s">
        <v>2855</v>
      </c>
      <c r="V10" s="72">
        <v>314</v>
      </c>
      <c r="W10" s="72">
        <v>349</v>
      </c>
      <c r="X10" s="72">
        <v>493</v>
      </c>
      <c r="Y10" s="72">
        <v>504</v>
      </c>
      <c r="Z10" s="72">
        <v>347</v>
      </c>
      <c r="AA10" s="72">
        <v>2007</v>
      </c>
      <c r="AB10" s="72"/>
      <c r="AC10" s="72" t="s">
        <v>2855</v>
      </c>
      <c r="AD10" s="72">
        <v>33</v>
      </c>
      <c r="AE10" s="72">
        <v>4</v>
      </c>
      <c r="AF10" s="72">
        <v>0</v>
      </c>
      <c r="AG10" s="72">
        <v>0</v>
      </c>
      <c r="AH10" s="72">
        <v>0</v>
      </c>
      <c r="AI10" s="72">
        <v>37</v>
      </c>
      <c r="AK10" s="73" t="s">
        <v>591</v>
      </c>
      <c r="AL10" s="73" t="s">
        <v>2855</v>
      </c>
      <c r="AM10" s="73">
        <v>741</v>
      </c>
      <c r="AN10" s="73">
        <v>538</v>
      </c>
      <c r="AO10" s="73">
        <v>622</v>
      </c>
      <c r="AP10" s="73">
        <v>640</v>
      </c>
      <c r="AQ10" s="73">
        <v>502</v>
      </c>
      <c r="AR10" s="73">
        <v>3043</v>
      </c>
      <c r="AS10" s="73"/>
      <c r="AT10" s="73" t="s">
        <v>2855</v>
      </c>
      <c r="AU10" s="73">
        <v>81</v>
      </c>
      <c r="AV10" s="73">
        <v>9</v>
      </c>
      <c r="AW10" s="73">
        <v>2</v>
      </c>
      <c r="AX10" s="73">
        <v>0</v>
      </c>
      <c r="AY10" s="73">
        <v>1</v>
      </c>
      <c r="AZ10" s="73">
        <v>93</v>
      </c>
      <c r="BB10" s="78" t="s">
        <v>785</v>
      </c>
      <c r="BC10" s="78" t="s">
        <v>2855</v>
      </c>
      <c r="BD10" s="78">
        <v>199</v>
      </c>
      <c r="BE10" s="78">
        <v>226</v>
      </c>
      <c r="BF10" s="78">
        <v>416</v>
      </c>
      <c r="BG10" s="78">
        <v>567</v>
      </c>
      <c r="BH10" s="78">
        <v>512</v>
      </c>
      <c r="BI10" s="78">
        <v>1920</v>
      </c>
      <c r="BJ10" s="78"/>
      <c r="BK10" s="78" t="s">
        <v>2855</v>
      </c>
      <c r="BL10" s="78">
        <v>20</v>
      </c>
      <c r="BM10" s="78">
        <v>0</v>
      </c>
      <c r="BN10" s="78">
        <v>0</v>
      </c>
      <c r="BO10" s="78">
        <v>0</v>
      </c>
      <c r="BP10" s="78">
        <v>0</v>
      </c>
      <c r="BQ10" s="78">
        <v>20</v>
      </c>
      <c r="BS10" s="80" t="s">
        <v>1100</v>
      </c>
      <c r="BT10" s="80" t="s">
        <v>2855</v>
      </c>
      <c r="BU10" s="80">
        <v>51</v>
      </c>
      <c r="BV10" s="80">
        <v>128</v>
      </c>
      <c r="BW10" s="80">
        <v>231</v>
      </c>
      <c r="BX10" s="80">
        <v>352</v>
      </c>
      <c r="BY10" s="80">
        <v>324</v>
      </c>
      <c r="BZ10" s="80">
        <v>1086</v>
      </c>
      <c r="CA10" s="80"/>
      <c r="CB10" s="80" t="s">
        <v>2855</v>
      </c>
      <c r="CC10" s="80">
        <v>7</v>
      </c>
      <c r="CD10" s="80">
        <v>0</v>
      </c>
      <c r="CE10" s="80">
        <v>0</v>
      </c>
      <c r="CF10" s="80">
        <v>0</v>
      </c>
      <c r="CG10" s="80">
        <v>0</v>
      </c>
      <c r="CH10" s="80">
        <v>7</v>
      </c>
      <c r="CL10" s="61" t="s">
        <v>1306</v>
      </c>
      <c r="CM10" s="61" t="s">
        <v>2855</v>
      </c>
      <c r="CN10" s="61">
        <v>105</v>
      </c>
      <c r="CO10" s="61">
        <v>71</v>
      </c>
      <c r="CP10" s="61">
        <v>171</v>
      </c>
      <c r="CQ10" s="61">
        <v>246</v>
      </c>
      <c r="CR10" s="61">
        <v>283</v>
      </c>
      <c r="CS10" s="61">
        <v>876</v>
      </c>
      <c r="CT10" s="61"/>
      <c r="CU10" s="61" t="s">
        <v>2855</v>
      </c>
      <c r="CV10" s="61">
        <v>20</v>
      </c>
      <c r="CW10" s="61">
        <v>0</v>
      </c>
      <c r="CX10" s="61">
        <v>0</v>
      </c>
      <c r="CY10" s="61">
        <v>0</v>
      </c>
      <c r="CZ10" s="61">
        <v>0</v>
      </c>
      <c r="DA10" s="61">
        <v>20</v>
      </c>
      <c r="DD10" s="91" t="s">
        <v>1439</v>
      </c>
      <c r="DE10" s="91" t="s">
        <v>2855</v>
      </c>
      <c r="DF10" s="91">
        <v>373</v>
      </c>
      <c r="DG10" s="91">
        <v>680</v>
      </c>
      <c r="DH10" s="91">
        <v>1050</v>
      </c>
      <c r="DI10" s="91">
        <v>1158</v>
      </c>
      <c r="DJ10" s="91">
        <v>862</v>
      </c>
      <c r="DK10" s="91">
        <v>4123</v>
      </c>
      <c r="DL10" s="91"/>
      <c r="DM10" s="91" t="s">
        <v>2855</v>
      </c>
      <c r="DN10" s="91">
        <v>14</v>
      </c>
      <c r="DO10" s="91">
        <v>9</v>
      </c>
      <c r="DP10" s="91">
        <v>3</v>
      </c>
      <c r="DQ10" s="91">
        <v>0</v>
      </c>
      <c r="DR10" s="91">
        <v>0</v>
      </c>
      <c r="DS10" s="91">
        <v>26</v>
      </c>
      <c r="DV10" s="94" t="s">
        <v>1494</v>
      </c>
      <c r="DW10" s="94" t="s">
        <v>2855</v>
      </c>
      <c r="DX10" s="94">
        <v>1548</v>
      </c>
      <c r="DY10" s="94">
        <v>1033</v>
      </c>
      <c r="DZ10" s="94">
        <v>1349</v>
      </c>
      <c r="EA10" s="94">
        <v>1468</v>
      </c>
      <c r="EB10" s="94">
        <v>1140</v>
      </c>
      <c r="EC10" s="94">
        <v>6538</v>
      </c>
      <c r="ED10" s="94"/>
      <c r="EE10" s="94" t="s">
        <v>2855</v>
      </c>
      <c r="EF10" s="94">
        <v>20</v>
      </c>
      <c r="EG10" s="94">
        <v>0</v>
      </c>
      <c r="EH10" s="94">
        <v>0</v>
      </c>
      <c r="EI10" s="94">
        <v>0</v>
      </c>
      <c r="EJ10" s="94">
        <v>0</v>
      </c>
      <c r="EK10" s="94">
        <v>20</v>
      </c>
      <c r="EN10" s="61" t="s">
        <v>1601</v>
      </c>
      <c r="EO10" s="61" t="s">
        <v>2855</v>
      </c>
      <c r="EP10" s="61">
        <v>317</v>
      </c>
      <c r="EQ10" s="61">
        <v>522</v>
      </c>
      <c r="ER10" s="61">
        <v>583</v>
      </c>
      <c r="ES10" s="61">
        <v>687</v>
      </c>
      <c r="ET10" s="61">
        <v>801</v>
      </c>
      <c r="EU10" s="61">
        <v>2910</v>
      </c>
      <c r="EV10" s="61"/>
      <c r="EW10" s="61" t="s">
        <v>2855</v>
      </c>
      <c r="EX10" s="61">
        <v>127</v>
      </c>
      <c r="EY10" s="61">
        <v>73</v>
      </c>
      <c r="EZ10" s="61">
        <v>45</v>
      </c>
      <c r="FA10" s="61">
        <v>25</v>
      </c>
      <c r="FB10" s="61">
        <v>0</v>
      </c>
      <c r="FC10" s="61">
        <v>270</v>
      </c>
      <c r="FF10" s="80" t="s">
        <v>1746</v>
      </c>
      <c r="FG10" s="80" t="s">
        <v>2855</v>
      </c>
      <c r="FH10" s="80">
        <v>140</v>
      </c>
      <c r="FI10" s="80">
        <v>232</v>
      </c>
      <c r="FJ10" s="80">
        <v>246</v>
      </c>
      <c r="FK10" s="80">
        <v>316</v>
      </c>
      <c r="FL10" s="80">
        <v>437</v>
      </c>
      <c r="FM10" s="80">
        <v>1371</v>
      </c>
      <c r="FN10" s="80"/>
      <c r="FO10" s="80" t="s">
        <v>2855</v>
      </c>
      <c r="FP10" s="80">
        <v>36</v>
      </c>
      <c r="FQ10" s="80">
        <v>7</v>
      </c>
      <c r="FR10" s="80">
        <v>0</v>
      </c>
      <c r="FS10" s="80">
        <v>0</v>
      </c>
      <c r="FT10" s="80">
        <v>0</v>
      </c>
      <c r="FU10" s="80">
        <v>43</v>
      </c>
    </row>
    <row r="11" spans="2:177" x14ac:dyDescent="0.3">
      <c r="B11" s="71" t="s">
        <v>43</v>
      </c>
      <c r="C11" s="71" t="s">
        <v>2855</v>
      </c>
      <c r="D11" s="71" t="s">
        <v>1970</v>
      </c>
      <c r="E11" s="71" t="s">
        <v>1970</v>
      </c>
      <c r="F11" s="71" t="s">
        <v>1970</v>
      </c>
      <c r="G11" s="71" t="s">
        <v>1970</v>
      </c>
      <c r="H11" s="71" t="s">
        <v>1970</v>
      </c>
      <c r="I11" s="71" t="s">
        <v>1970</v>
      </c>
      <c r="K11" s="71" t="s">
        <v>2855</v>
      </c>
      <c r="L11" s="71" t="s">
        <v>1970</v>
      </c>
      <c r="M11" s="71" t="s">
        <v>1970</v>
      </c>
      <c r="N11" s="71" t="s">
        <v>1970</v>
      </c>
      <c r="O11" s="71" t="s">
        <v>1970</v>
      </c>
      <c r="P11" s="71" t="s">
        <v>1970</v>
      </c>
      <c r="Q11" s="71" t="s">
        <v>1970</v>
      </c>
      <c r="T11" s="72" t="s">
        <v>306</v>
      </c>
      <c r="U11" s="72" t="s">
        <v>2855</v>
      </c>
      <c r="V11" s="72" t="s">
        <v>1970</v>
      </c>
      <c r="W11" s="72" t="s">
        <v>1970</v>
      </c>
      <c r="X11" s="72" t="s">
        <v>1970</v>
      </c>
      <c r="Y11" s="72" t="s">
        <v>1970</v>
      </c>
      <c r="Z11" s="72" t="s">
        <v>1970</v>
      </c>
      <c r="AA11" s="72" t="s">
        <v>1970</v>
      </c>
      <c r="AB11" s="72"/>
      <c r="AC11" s="72" t="s">
        <v>2855</v>
      </c>
      <c r="AD11" s="72" t="s">
        <v>1970</v>
      </c>
      <c r="AE11" s="72" t="s">
        <v>1970</v>
      </c>
      <c r="AF11" s="72" t="s">
        <v>1970</v>
      </c>
      <c r="AG11" s="72" t="s">
        <v>1970</v>
      </c>
      <c r="AH11" s="72" t="s">
        <v>1970</v>
      </c>
      <c r="AI11" s="72" t="s">
        <v>1970</v>
      </c>
      <c r="AK11" s="73" t="s">
        <v>596</v>
      </c>
      <c r="AL11" s="73" t="s">
        <v>2855</v>
      </c>
      <c r="AM11" s="73">
        <v>422</v>
      </c>
      <c r="AN11" s="73">
        <v>468</v>
      </c>
      <c r="AO11" s="73">
        <v>723</v>
      </c>
      <c r="AP11" s="73">
        <v>954</v>
      </c>
      <c r="AQ11" s="73">
        <v>702</v>
      </c>
      <c r="AR11" s="73">
        <v>3269</v>
      </c>
      <c r="AS11" s="73"/>
      <c r="AT11" s="73" t="s">
        <v>2855</v>
      </c>
      <c r="AU11" s="73">
        <v>36</v>
      </c>
      <c r="AV11" s="73">
        <v>3</v>
      </c>
      <c r="AW11" s="73">
        <v>0</v>
      </c>
      <c r="AX11" s="73">
        <v>0</v>
      </c>
      <c r="AY11" s="73">
        <v>0</v>
      </c>
      <c r="AZ11" s="73">
        <v>39</v>
      </c>
      <c r="BB11" s="78" t="s">
        <v>790</v>
      </c>
      <c r="BC11" s="78" t="s">
        <v>2855</v>
      </c>
      <c r="BD11" s="78">
        <v>221</v>
      </c>
      <c r="BE11" s="78">
        <v>143</v>
      </c>
      <c r="BF11" s="78">
        <v>149</v>
      </c>
      <c r="BG11" s="78">
        <v>181</v>
      </c>
      <c r="BH11" s="78">
        <v>220</v>
      </c>
      <c r="BI11" s="78">
        <v>914</v>
      </c>
      <c r="BJ11" s="78"/>
      <c r="BK11" s="78" t="s">
        <v>2855</v>
      </c>
      <c r="BL11" s="78">
        <v>30</v>
      </c>
      <c r="BM11" s="78">
        <v>0</v>
      </c>
      <c r="BN11" s="78">
        <v>0</v>
      </c>
      <c r="BO11" s="78">
        <v>0</v>
      </c>
      <c r="BP11" s="78">
        <v>0</v>
      </c>
      <c r="BQ11" s="78">
        <v>30</v>
      </c>
      <c r="BS11" s="80" t="s">
        <v>1104</v>
      </c>
      <c r="BT11" s="80" t="s">
        <v>2855</v>
      </c>
      <c r="BU11" s="80">
        <v>120</v>
      </c>
      <c r="BV11" s="80">
        <v>109</v>
      </c>
      <c r="BW11" s="80">
        <v>212</v>
      </c>
      <c r="BX11" s="80">
        <v>331</v>
      </c>
      <c r="BY11" s="80">
        <v>305</v>
      </c>
      <c r="BZ11" s="80">
        <v>1077</v>
      </c>
      <c r="CA11" s="80"/>
      <c r="CB11" s="80" t="s">
        <v>2855</v>
      </c>
      <c r="CC11" s="80">
        <v>31</v>
      </c>
      <c r="CD11" s="80">
        <v>0</v>
      </c>
      <c r="CE11" s="80">
        <v>0</v>
      </c>
      <c r="CF11" s="80">
        <v>0</v>
      </c>
      <c r="CG11" s="80">
        <v>0</v>
      </c>
      <c r="CH11" s="80">
        <v>31</v>
      </c>
      <c r="CL11" s="61" t="s">
        <v>1313</v>
      </c>
      <c r="CM11" s="61" t="s">
        <v>2855</v>
      </c>
      <c r="CN11" s="61">
        <v>157</v>
      </c>
      <c r="CO11" s="61">
        <v>66</v>
      </c>
      <c r="CP11" s="61">
        <v>112</v>
      </c>
      <c r="CQ11" s="61">
        <v>129</v>
      </c>
      <c r="CR11" s="61">
        <v>170</v>
      </c>
      <c r="CS11" s="61">
        <v>634</v>
      </c>
      <c r="CT11" s="61"/>
      <c r="CU11" s="61" t="s">
        <v>2855</v>
      </c>
      <c r="CV11" s="61">
        <v>72</v>
      </c>
      <c r="CW11" s="61">
        <v>0</v>
      </c>
      <c r="CX11" s="61">
        <v>0</v>
      </c>
      <c r="CY11" s="61">
        <v>0</v>
      </c>
      <c r="CZ11" s="61">
        <v>0</v>
      </c>
      <c r="DA11" s="61">
        <v>72</v>
      </c>
      <c r="DD11" s="91" t="s">
        <v>1444</v>
      </c>
      <c r="DE11" s="91" t="s">
        <v>2855</v>
      </c>
      <c r="DF11" s="91">
        <v>490</v>
      </c>
      <c r="DG11" s="91">
        <v>665</v>
      </c>
      <c r="DH11" s="91">
        <v>754</v>
      </c>
      <c r="DI11" s="91">
        <v>711</v>
      </c>
      <c r="DJ11" s="91">
        <v>586</v>
      </c>
      <c r="DK11" s="91">
        <v>3206</v>
      </c>
      <c r="DL11" s="91"/>
      <c r="DM11" s="91" t="s">
        <v>2855</v>
      </c>
      <c r="DN11" s="91">
        <v>14</v>
      </c>
      <c r="DO11" s="91">
        <v>8</v>
      </c>
      <c r="DP11" s="91">
        <v>3</v>
      </c>
      <c r="DQ11" s="91">
        <v>0</v>
      </c>
      <c r="DR11" s="91">
        <v>0</v>
      </c>
      <c r="DS11" s="91">
        <v>25</v>
      </c>
      <c r="DV11" s="94" t="s">
        <v>1498</v>
      </c>
      <c r="DW11" s="94" t="s">
        <v>2855</v>
      </c>
      <c r="DX11" s="94">
        <v>391</v>
      </c>
      <c r="DY11" s="94">
        <v>388</v>
      </c>
      <c r="DZ11" s="94">
        <v>528</v>
      </c>
      <c r="EA11" s="94">
        <v>479</v>
      </c>
      <c r="EB11" s="94">
        <v>386</v>
      </c>
      <c r="EC11" s="94">
        <v>2172</v>
      </c>
      <c r="ED11" s="94"/>
      <c r="EE11" s="94" t="s">
        <v>2855</v>
      </c>
      <c r="EF11" s="94">
        <v>16</v>
      </c>
      <c r="EG11" s="94">
        <v>3</v>
      </c>
      <c r="EH11" s="94">
        <v>0</v>
      </c>
      <c r="EI11" s="94">
        <v>0</v>
      </c>
      <c r="EJ11" s="94">
        <v>0</v>
      </c>
      <c r="EK11" s="94">
        <v>19</v>
      </c>
      <c r="EN11" s="61" t="s">
        <v>1605</v>
      </c>
      <c r="EO11" s="61" t="s">
        <v>2855</v>
      </c>
      <c r="EP11" s="61">
        <v>653</v>
      </c>
      <c r="EQ11" s="61">
        <v>838</v>
      </c>
      <c r="ER11" s="61">
        <v>1071</v>
      </c>
      <c r="ES11" s="61">
        <v>1120</v>
      </c>
      <c r="ET11" s="61">
        <v>1131</v>
      </c>
      <c r="EU11" s="61">
        <v>4813</v>
      </c>
      <c r="EV11" s="61"/>
      <c r="EW11" s="61" t="s">
        <v>2855</v>
      </c>
      <c r="EX11" s="61">
        <v>125</v>
      </c>
      <c r="EY11" s="61">
        <v>70</v>
      </c>
      <c r="EZ11" s="61">
        <v>58</v>
      </c>
      <c r="FA11" s="61">
        <v>78</v>
      </c>
      <c r="FB11" s="61">
        <v>54</v>
      </c>
      <c r="FC11" s="61">
        <v>385</v>
      </c>
      <c r="FF11" s="80" t="s">
        <v>1750</v>
      </c>
      <c r="FG11" s="80" t="s">
        <v>2855</v>
      </c>
      <c r="FH11" s="80">
        <v>105</v>
      </c>
      <c r="FI11" s="80">
        <v>152</v>
      </c>
      <c r="FJ11" s="80">
        <v>170</v>
      </c>
      <c r="FK11" s="80">
        <v>215</v>
      </c>
      <c r="FL11" s="80">
        <v>259</v>
      </c>
      <c r="FM11" s="80">
        <v>901</v>
      </c>
      <c r="FN11" s="80"/>
      <c r="FO11" s="80" t="s">
        <v>2855</v>
      </c>
      <c r="FP11" s="80">
        <v>23</v>
      </c>
      <c r="FQ11" s="80">
        <v>12</v>
      </c>
      <c r="FR11" s="80">
        <v>14</v>
      </c>
      <c r="FS11" s="80">
        <v>9</v>
      </c>
      <c r="FT11" s="80">
        <v>14</v>
      </c>
      <c r="FU11" s="80">
        <v>72</v>
      </c>
    </row>
    <row r="12" spans="2:177" x14ac:dyDescent="0.3">
      <c r="B12" s="71" t="s">
        <v>47</v>
      </c>
      <c r="C12" s="71" t="s">
        <v>2855</v>
      </c>
      <c r="D12" s="71" t="s">
        <v>1970</v>
      </c>
      <c r="E12" s="71" t="s">
        <v>1970</v>
      </c>
      <c r="F12" s="71" t="s">
        <v>1970</v>
      </c>
      <c r="G12" s="71" t="s">
        <v>1970</v>
      </c>
      <c r="H12" s="71" t="s">
        <v>1970</v>
      </c>
      <c r="I12" s="71" t="s">
        <v>1970</v>
      </c>
      <c r="K12" s="71" t="s">
        <v>2855</v>
      </c>
      <c r="L12" s="71" t="s">
        <v>1970</v>
      </c>
      <c r="M12" s="71" t="s">
        <v>1970</v>
      </c>
      <c r="N12" s="71" t="s">
        <v>1970</v>
      </c>
      <c r="O12" s="71" t="s">
        <v>1970</v>
      </c>
      <c r="P12" s="71" t="s">
        <v>1970</v>
      </c>
      <c r="Q12" s="71" t="s">
        <v>1970</v>
      </c>
      <c r="T12" s="72" t="s">
        <v>314</v>
      </c>
      <c r="U12" s="72" t="s">
        <v>2855</v>
      </c>
      <c r="V12" s="72">
        <v>891</v>
      </c>
      <c r="W12" s="72">
        <v>701</v>
      </c>
      <c r="X12" s="72">
        <v>884</v>
      </c>
      <c r="Y12" s="72">
        <v>933</v>
      </c>
      <c r="Z12" s="72">
        <v>655</v>
      </c>
      <c r="AA12" s="72">
        <v>4064</v>
      </c>
      <c r="AB12" s="72"/>
      <c r="AC12" s="72" t="s">
        <v>2855</v>
      </c>
      <c r="AD12" s="72">
        <v>32</v>
      </c>
      <c r="AE12" s="72">
        <v>3</v>
      </c>
      <c r="AF12" s="72">
        <v>0</v>
      </c>
      <c r="AG12" s="72">
        <v>0</v>
      </c>
      <c r="AH12" s="72">
        <v>0</v>
      </c>
      <c r="AI12" s="72">
        <v>35</v>
      </c>
      <c r="AK12" s="73" t="s">
        <v>599</v>
      </c>
      <c r="AL12" s="73" t="s">
        <v>2855</v>
      </c>
      <c r="AM12" s="73">
        <v>606</v>
      </c>
      <c r="AN12" s="73">
        <v>682</v>
      </c>
      <c r="AO12" s="73">
        <v>865</v>
      </c>
      <c r="AP12" s="73">
        <v>989</v>
      </c>
      <c r="AQ12" s="73">
        <v>619</v>
      </c>
      <c r="AR12" s="73">
        <v>3761</v>
      </c>
      <c r="AS12" s="73"/>
      <c r="AT12" s="73" t="s">
        <v>2855</v>
      </c>
      <c r="AU12" s="73">
        <v>15</v>
      </c>
      <c r="AV12" s="73">
        <v>2</v>
      </c>
      <c r="AW12" s="73">
        <v>0</v>
      </c>
      <c r="AX12" s="73">
        <v>0</v>
      </c>
      <c r="AY12" s="73">
        <v>1</v>
      </c>
      <c r="AZ12" s="73">
        <v>18</v>
      </c>
      <c r="BB12" s="78" t="s">
        <v>795</v>
      </c>
      <c r="BC12" s="78" t="s">
        <v>2855</v>
      </c>
      <c r="BD12" s="78">
        <v>261</v>
      </c>
      <c r="BE12" s="78">
        <v>307</v>
      </c>
      <c r="BF12" s="78">
        <v>436</v>
      </c>
      <c r="BG12" s="78">
        <v>590</v>
      </c>
      <c r="BH12" s="78">
        <v>573</v>
      </c>
      <c r="BI12" s="78">
        <v>2167</v>
      </c>
      <c r="BJ12" s="78"/>
      <c r="BK12" s="78" t="s">
        <v>2855</v>
      </c>
      <c r="BL12" s="78">
        <v>23</v>
      </c>
      <c r="BM12" s="78">
        <v>0</v>
      </c>
      <c r="BN12" s="78">
        <v>0</v>
      </c>
      <c r="BO12" s="78">
        <v>0</v>
      </c>
      <c r="BP12" s="78">
        <v>0</v>
      </c>
      <c r="BQ12" s="78">
        <v>23</v>
      </c>
      <c r="BS12" s="80" t="s">
        <v>1108</v>
      </c>
      <c r="BT12" s="80" t="s">
        <v>2855</v>
      </c>
      <c r="BU12" s="80">
        <v>106</v>
      </c>
      <c r="BV12" s="80">
        <v>47</v>
      </c>
      <c r="BW12" s="80">
        <v>119</v>
      </c>
      <c r="BX12" s="80">
        <v>148</v>
      </c>
      <c r="BY12" s="80">
        <v>255</v>
      </c>
      <c r="BZ12" s="80">
        <v>675</v>
      </c>
      <c r="CA12" s="80"/>
      <c r="CB12" s="80" t="s">
        <v>2855</v>
      </c>
      <c r="CC12" s="80">
        <v>20</v>
      </c>
      <c r="CD12" s="80">
        <v>0</v>
      </c>
      <c r="CE12" s="80">
        <v>0</v>
      </c>
      <c r="CF12" s="80">
        <v>0</v>
      </c>
      <c r="CG12" s="80">
        <v>0</v>
      </c>
      <c r="CH12" s="80">
        <v>20</v>
      </c>
      <c r="CL12" s="61" t="s">
        <v>1337</v>
      </c>
      <c r="CM12" s="61" t="s">
        <v>2855</v>
      </c>
      <c r="CN12" s="61">
        <v>81</v>
      </c>
      <c r="CO12" s="61">
        <v>47</v>
      </c>
      <c r="CP12" s="61">
        <v>91</v>
      </c>
      <c r="CQ12" s="61">
        <v>140</v>
      </c>
      <c r="CR12" s="61">
        <v>120</v>
      </c>
      <c r="CS12" s="61">
        <v>479</v>
      </c>
      <c r="CT12" s="61"/>
      <c r="CU12" s="61" t="s">
        <v>2855</v>
      </c>
      <c r="CV12" s="61">
        <v>17</v>
      </c>
      <c r="CW12" s="61">
        <v>0</v>
      </c>
      <c r="CX12" s="61">
        <v>0</v>
      </c>
      <c r="CY12" s="61">
        <v>0</v>
      </c>
      <c r="CZ12" s="61">
        <v>0</v>
      </c>
      <c r="DA12" s="61">
        <v>17</v>
      </c>
      <c r="DD12" s="91" t="s">
        <v>1448</v>
      </c>
      <c r="DE12" s="91" t="s">
        <v>2855</v>
      </c>
      <c r="DF12" s="91">
        <v>505</v>
      </c>
      <c r="DG12" s="91">
        <v>679</v>
      </c>
      <c r="DH12" s="91">
        <v>763</v>
      </c>
      <c r="DI12" s="91">
        <v>868</v>
      </c>
      <c r="DJ12" s="91">
        <v>761</v>
      </c>
      <c r="DK12" s="91">
        <v>3576</v>
      </c>
      <c r="DL12" s="91"/>
      <c r="DM12" s="91" t="s">
        <v>2855</v>
      </c>
      <c r="DN12" s="91">
        <v>17</v>
      </c>
      <c r="DO12" s="91">
        <v>8</v>
      </c>
      <c r="DP12" s="91">
        <v>3</v>
      </c>
      <c r="DQ12" s="91">
        <v>2</v>
      </c>
      <c r="DR12" s="91">
        <v>1</v>
      </c>
      <c r="DS12" s="91">
        <v>31</v>
      </c>
      <c r="DV12" s="94" t="s">
        <v>1502</v>
      </c>
      <c r="DW12" s="94" t="s">
        <v>2855</v>
      </c>
      <c r="DX12" s="94">
        <v>242</v>
      </c>
      <c r="DY12" s="94">
        <v>323</v>
      </c>
      <c r="DZ12" s="94">
        <v>472</v>
      </c>
      <c r="EA12" s="94">
        <v>505</v>
      </c>
      <c r="EB12" s="94">
        <v>407</v>
      </c>
      <c r="EC12" s="94">
        <v>1949</v>
      </c>
      <c r="ED12" s="94"/>
      <c r="EE12" s="94" t="s">
        <v>2855</v>
      </c>
      <c r="EF12" s="94">
        <v>16</v>
      </c>
      <c r="EG12" s="94">
        <v>0</v>
      </c>
      <c r="EH12" s="94">
        <v>0</v>
      </c>
      <c r="EI12" s="94">
        <v>0</v>
      </c>
      <c r="EJ12" s="94">
        <v>0</v>
      </c>
      <c r="EK12" s="94">
        <v>16</v>
      </c>
      <c r="EN12" s="61" t="s">
        <v>1609</v>
      </c>
      <c r="EO12" s="61" t="s">
        <v>2855</v>
      </c>
      <c r="EP12" s="61" t="s">
        <v>1970</v>
      </c>
      <c r="EQ12" s="61" t="s">
        <v>1970</v>
      </c>
      <c r="ER12" s="61" t="s">
        <v>1970</v>
      </c>
      <c r="ES12" s="61" t="s">
        <v>1970</v>
      </c>
      <c r="ET12" s="61" t="s">
        <v>1970</v>
      </c>
      <c r="EU12" s="61" t="s">
        <v>1970</v>
      </c>
      <c r="EV12" s="61"/>
      <c r="EW12" s="61" t="s">
        <v>2855</v>
      </c>
      <c r="EX12" s="61" t="s">
        <v>1970</v>
      </c>
      <c r="EY12" s="61" t="s">
        <v>1970</v>
      </c>
      <c r="EZ12" s="61" t="s">
        <v>1970</v>
      </c>
      <c r="FA12" s="61" t="s">
        <v>1970</v>
      </c>
      <c r="FB12" s="61" t="s">
        <v>1970</v>
      </c>
      <c r="FC12" s="61" t="s">
        <v>1970</v>
      </c>
      <c r="FF12" s="80" t="s">
        <v>1757</v>
      </c>
      <c r="FG12" s="80" t="s">
        <v>2855</v>
      </c>
      <c r="FH12" s="80">
        <v>247</v>
      </c>
      <c r="FI12" s="80">
        <v>276</v>
      </c>
      <c r="FJ12" s="80">
        <v>285</v>
      </c>
      <c r="FK12" s="80">
        <v>355</v>
      </c>
      <c r="FL12" s="80">
        <v>429</v>
      </c>
      <c r="FM12" s="80">
        <v>1592</v>
      </c>
      <c r="FN12" s="80"/>
      <c r="FO12" s="80" t="s">
        <v>2855</v>
      </c>
      <c r="FP12" s="80">
        <v>83</v>
      </c>
      <c r="FQ12" s="80">
        <v>3</v>
      </c>
      <c r="FR12" s="80">
        <v>0</v>
      </c>
      <c r="FS12" s="80">
        <v>0</v>
      </c>
      <c r="FT12" s="80">
        <v>0</v>
      </c>
      <c r="FU12" s="80">
        <v>86</v>
      </c>
    </row>
    <row r="13" spans="2:177" x14ac:dyDescent="0.3">
      <c r="B13" s="71" t="s">
        <v>51</v>
      </c>
      <c r="C13" s="71" t="s">
        <v>2855</v>
      </c>
      <c r="D13" s="71" t="s">
        <v>1970</v>
      </c>
      <c r="E13" s="71" t="s">
        <v>1970</v>
      </c>
      <c r="F13" s="71" t="s">
        <v>1970</v>
      </c>
      <c r="G13" s="71" t="s">
        <v>1970</v>
      </c>
      <c r="H13" s="71" t="s">
        <v>1970</v>
      </c>
      <c r="I13" s="71" t="s">
        <v>1970</v>
      </c>
      <c r="K13" s="71" t="s">
        <v>2855</v>
      </c>
      <c r="L13" s="71" t="s">
        <v>1970</v>
      </c>
      <c r="M13" s="71" t="s">
        <v>1970</v>
      </c>
      <c r="N13" s="71" t="s">
        <v>1970</v>
      </c>
      <c r="O13" s="71" t="s">
        <v>1970</v>
      </c>
      <c r="P13" s="71" t="s">
        <v>1970</v>
      </c>
      <c r="Q13" s="71" t="s">
        <v>1970</v>
      </c>
      <c r="T13" s="72" t="s">
        <v>320</v>
      </c>
      <c r="U13" s="72" t="s">
        <v>2855</v>
      </c>
      <c r="V13" s="72">
        <v>668</v>
      </c>
      <c r="W13" s="72">
        <v>905</v>
      </c>
      <c r="X13" s="72">
        <v>1336</v>
      </c>
      <c r="Y13" s="72">
        <v>1545</v>
      </c>
      <c r="Z13" s="72">
        <v>927</v>
      </c>
      <c r="AA13" s="72">
        <v>5381</v>
      </c>
      <c r="AB13" s="72"/>
      <c r="AC13" s="72" t="s">
        <v>2855</v>
      </c>
      <c r="AD13" s="72">
        <v>25</v>
      </c>
      <c r="AE13" s="72">
        <v>6</v>
      </c>
      <c r="AF13" s="72">
        <v>3</v>
      </c>
      <c r="AG13" s="72">
        <v>1</v>
      </c>
      <c r="AH13" s="72">
        <v>0</v>
      </c>
      <c r="AI13" s="72">
        <v>35</v>
      </c>
      <c r="AK13" s="73" t="s">
        <v>603</v>
      </c>
      <c r="AL13" s="73" t="s">
        <v>2855</v>
      </c>
      <c r="AM13" s="73">
        <v>576</v>
      </c>
      <c r="AN13" s="73">
        <v>571</v>
      </c>
      <c r="AO13" s="73">
        <v>628</v>
      </c>
      <c r="AP13" s="73">
        <v>728</v>
      </c>
      <c r="AQ13" s="73">
        <v>552</v>
      </c>
      <c r="AR13" s="73">
        <v>3055</v>
      </c>
      <c r="AS13" s="73"/>
      <c r="AT13" s="73" t="s">
        <v>2855</v>
      </c>
      <c r="AU13" s="73">
        <v>28</v>
      </c>
      <c r="AV13" s="73">
        <v>4</v>
      </c>
      <c r="AW13" s="73">
        <v>2</v>
      </c>
      <c r="AX13" s="73">
        <v>2</v>
      </c>
      <c r="AY13" s="73">
        <v>1</v>
      </c>
      <c r="AZ13" s="73">
        <v>37</v>
      </c>
      <c r="BB13" s="78" t="s">
        <v>800</v>
      </c>
      <c r="BC13" s="78" t="s">
        <v>2855</v>
      </c>
      <c r="BD13" s="78">
        <v>130</v>
      </c>
      <c r="BE13" s="78">
        <v>111</v>
      </c>
      <c r="BF13" s="78">
        <v>171</v>
      </c>
      <c r="BG13" s="78">
        <v>241</v>
      </c>
      <c r="BH13" s="78">
        <v>261</v>
      </c>
      <c r="BI13" s="78">
        <v>914</v>
      </c>
      <c r="BJ13" s="78"/>
      <c r="BK13" s="78" t="s">
        <v>2855</v>
      </c>
      <c r="BL13" s="78">
        <v>18</v>
      </c>
      <c r="BM13" s="78">
        <v>0</v>
      </c>
      <c r="BN13" s="78">
        <v>0</v>
      </c>
      <c r="BO13" s="78">
        <v>0</v>
      </c>
      <c r="BP13" s="78">
        <v>0</v>
      </c>
      <c r="BQ13" s="78">
        <v>18</v>
      </c>
      <c r="BS13" s="80" t="s">
        <v>1112</v>
      </c>
      <c r="BT13" s="80" t="s">
        <v>2855</v>
      </c>
      <c r="BU13" s="80">
        <v>67</v>
      </c>
      <c r="BV13" s="80">
        <v>94</v>
      </c>
      <c r="BW13" s="80">
        <v>133</v>
      </c>
      <c r="BX13" s="80">
        <v>241</v>
      </c>
      <c r="BY13" s="80">
        <v>214</v>
      </c>
      <c r="BZ13" s="80">
        <v>749</v>
      </c>
      <c r="CA13" s="80"/>
      <c r="CB13" s="80" t="s">
        <v>2855</v>
      </c>
      <c r="CC13" s="80">
        <v>18</v>
      </c>
      <c r="CD13" s="80">
        <v>0</v>
      </c>
      <c r="CE13" s="80">
        <v>0</v>
      </c>
      <c r="CF13" s="80">
        <v>0</v>
      </c>
      <c r="CG13" s="80">
        <v>0</v>
      </c>
      <c r="CH13" s="80">
        <v>18</v>
      </c>
      <c r="CL13" s="61" t="s">
        <v>1341</v>
      </c>
      <c r="CM13" s="61" t="s">
        <v>2855</v>
      </c>
      <c r="CN13" s="61">
        <v>70</v>
      </c>
      <c r="CO13" s="61">
        <v>48</v>
      </c>
      <c r="CP13" s="61">
        <v>96</v>
      </c>
      <c r="CQ13" s="61">
        <v>152</v>
      </c>
      <c r="CR13" s="61">
        <v>217</v>
      </c>
      <c r="CS13" s="61">
        <v>583</v>
      </c>
      <c r="CT13" s="61"/>
      <c r="CU13" s="61" t="s">
        <v>2855</v>
      </c>
      <c r="CV13" s="61">
        <v>11</v>
      </c>
      <c r="CW13" s="61">
        <v>0</v>
      </c>
      <c r="CX13" s="61">
        <v>0</v>
      </c>
      <c r="CY13" s="61">
        <v>0</v>
      </c>
      <c r="CZ13" s="61">
        <v>0</v>
      </c>
      <c r="DA13" s="61">
        <v>11</v>
      </c>
      <c r="DD13" s="91" t="s">
        <v>1452</v>
      </c>
      <c r="DE13" s="91" t="s">
        <v>2855</v>
      </c>
      <c r="DF13" s="91">
        <v>370</v>
      </c>
      <c r="DG13" s="91">
        <v>481</v>
      </c>
      <c r="DH13" s="91">
        <v>612</v>
      </c>
      <c r="DI13" s="91">
        <v>631</v>
      </c>
      <c r="DJ13" s="91">
        <v>483</v>
      </c>
      <c r="DK13" s="91">
        <v>2577</v>
      </c>
      <c r="DL13" s="91"/>
      <c r="DM13" s="91" t="s">
        <v>2855</v>
      </c>
      <c r="DN13" s="91">
        <v>9</v>
      </c>
      <c r="DO13" s="91">
        <v>14</v>
      </c>
      <c r="DP13" s="91">
        <v>6</v>
      </c>
      <c r="DQ13" s="91">
        <v>2</v>
      </c>
      <c r="DR13" s="91">
        <v>2</v>
      </c>
      <c r="DS13" s="91">
        <v>33</v>
      </c>
      <c r="DV13" s="94" t="s">
        <v>1506</v>
      </c>
      <c r="DW13" s="94" t="s">
        <v>2855</v>
      </c>
      <c r="DX13" s="94">
        <v>155</v>
      </c>
      <c r="DY13" s="94">
        <v>251</v>
      </c>
      <c r="DZ13" s="94">
        <v>406</v>
      </c>
      <c r="EA13" s="94">
        <v>539</v>
      </c>
      <c r="EB13" s="94">
        <v>515</v>
      </c>
      <c r="EC13" s="94">
        <v>1866</v>
      </c>
      <c r="ED13" s="94"/>
      <c r="EE13" s="94" t="s">
        <v>2855</v>
      </c>
      <c r="EF13" s="94">
        <v>19</v>
      </c>
      <c r="EG13" s="94">
        <v>4</v>
      </c>
      <c r="EH13" s="94">
        <v>0</v>
      </c>
      <c r="EI13" s="94">
        <v>0</v>
      </c>
      <c r="EJ13" s="94">
        <v>0</v>
      </c>
      <c r="EK13" s="94">
        <v>23</v>
      </c>
      <c r="EN13" s="61" t="s">
        <v>1613</v>
      </c>
      <c r="EO13" s="61" t="s">
        <v>2855</v>
      </c>
      <c r="EP13" s="61">
        <v>280</v>
      </c>
      <c r="EQ13" s="61">
        <v>345</v>
      </c>
      <c r="ER13" s="61">
        <v>389</v>
      </c>
      <c r="ES13" s="61">
        <v>439</v>
      </c>
      <c r="ET13" s="61">
        <v>620</v>
      </c>
      <c r="EU13" s="61">
        <v>2073</v>
      </c>
      <c r="EV13" s="61"/>
      <c r="EW13" s="61" t="s">
        <v>2855</v>
      </c>
      <c r="EX13" s="61">
        <v>82</v>
      </c>
      <c r="EY13" s="61">
        <v>54</v>
      </c>
      <c r="EZ13" s="61">
        <v>17</v>
      </c>
      <c r="FA13" s="61">
        <v>12</v>
      </c>
      <c r="FB13" s="61">
        <v>10</v>
      </c>
      <c r="FC13" s="61">
        <v>175</v>
      </c>
      <c r="FF13" s="80" t="s">
        <v>1761</v>
      </c>
      <c r="FG13" s="80" t="s">
        <v>2855</v>
      </c>
      <c r="FH13" s="80">
        <v>327</v>
      </c>
      <c r="FI13" s="80">
        <v>380</v>
      </c>
      <c r="FJ13" s="80">
        <v>399</v>
      </c>
      <c r="FK13" s="80">
        <v>483</v>
      </c>
      <c r="FL13" s="80">
        <v>640</v>
      </c>
      <c r="FM13" s="80">
        <v>2229</v>
      </c>
      <c r="FN13" s="80"/>
      <c r="FO13" s="80" t="s">
        <v>2855</v>
      </c>
      <c r="FP13" s="80">
        <v>68</v>
      </c>
      <c r="FQ13" s="80">
        <v>12</v>
      </c>
      <c r="FR13" s="80">
        <v>0</v>
      </c>
      <c r="FS13" s="80">
        <v>0</v>
      </c>
      <c r="FT13" s="80">
        <v>0</v>
      </c>
      <c r="FU13" s="80">
        <v>80</v>
      </c>
    </row>
    <row r="14" spans="2:177" x14ac:dyDescent="0.3">
      <c r="B14" s="71" t="s">
        <v>55</v>
      </c>
      <c r="C14" s="71" t="s">
        <v>2855</v>
      </c>
      <c r="D14" s="71" t="s">
        <v>1970</v>
      </c>
      <c r="E14" s="71" t="s">
        <v>1970</v>
      </c>
      <c r="F14" s="71" t="s">
        <v>1970</v>
      </c>
      <c r="G14" s="71" t="s">
        <v>1970</v>
      </c>
      <c r="H14" s="71" t="s">
        <v>1970</v>
      </c>
      <c r="I14" s="71" t="s">
        <v>1970</v>
      </c>
      <c r="K14" s="71" t="s">
        <v>2855</v>
      </c>
      <c r="L14" s="71" t="s">
        <v>1970</v>
      </c>
      <c r="M14" s="71" t="s">
        <v>1970</v>
      </c>
      <c r="N14" s="71" t="s">
        <v>1970</v>
      </c>
      <c r="O14" s="71" t="s">
        <v>1970</v>
      </c>
      <c r="P14" s="71" t="s">
        <v>1970</v>
      </c>
      <c r="Q14" s="71" t="s">
        <v>1970</v>
      </c>
      <c r="T14" s="72" t="s">
        <v>330</v>
      </c>
      <c r="U14" s="72" t="s">
        <v>2855</v>
      </c>
      <c r="V14" s="72">
        <v>705</v>
      </c>
      <c r="W14" s="72">
        <v>691</v>
      </c>
      <c r="X14" s="72">
        <v>956</v>
      </c>
      <c r="Y14" s="72">
        <v>1073</v>
      </c>
      <c r="Z14" s="72">
        <v>746</v>
      </c>
      <c r="AA14" s="72">
        <v>4171</v>
      </c>
      <c r="AB14" s="72"/>
      <c r="AC14" s="72" t="s">
        <v>2855</v>
      </c>
      <c r="AD14" s="72">
        <v>22</v>
      </c>
      <c r="AE14" s="72">
        <v>0</v>
      </c>
      <c r="AF14" s="72">
        <v>0</v>
      </c>
      <c r="AG14" s="72">
        <v>0</v>
      </c>
      <c r="AH14" s="72">
        <v>0</v>
      </c>
      <c r="AI14" s="72">
        <v>22</v>
      </c>
      <c r="AK14" s="73" t="s">
        <v>608</v>
      </c>
      <c r="AL14" s="73" t="s">
        <v>2855</v>
      </c>
      <c r="AM14" s="73">
        <v>1170</v>
      </c>
      <c r="AN14" s="73">
        <v>469</v>
      </c>
      <c r="AO14" s="73">
        <v>594</v>
      </c>
      <c r="AP14" s="73">
        <v>609</v>
      </c>
      <c r="AQ14" s="73">
        <v>501</v>
      </c>
      <c r="AR14" s="73">
        <v>3343</v>
      </c>
      <c r="AS14" s="73"/>
      <c r="AT14" s="73" t="s">
        <v>2855</v>
      </c>
      <c r="AU14" s="73">
        <v>68</v>
      </c>
      <c r="AV14" s="73">
        <v>0</v>
      </c>
      <c r="AW14" s="73">
        <v>0</v>
      </c>
      <c r="AX14" s="73">
        <v>0</v>
      </c>
      <c r="AY14" s="73">
        <v>0</v>
      </c>
      <c r="AZ14" s="73">
        <v>68</v>
      </c>
      <c r="BB14" s="78" t="s">
        <v>805</v>
      </c>
      <c r="BC14" s="78" t="s">
        <v>2855</v>
      </c>
      <c r="BD14" s="78">
        <v>35</v>
      </c>
      <c r="BE14" s="78">
        <v>44</v>
      </c>
      <c r="BF14" s="78">
        <v>80</v>
      </c>
      <c r="BG14" s="78">
        <v>130</v>
      </c>
      <c r="BH14" s="78">
        <v>146</v>
      </c>
      <c r="BI14" s="78">
        <v>435</v>
      </c>
      <c r="BJ14" s="78"/>
      <c r="BK14" s="78" t="s">
        <v>2855</v>
      </c>
      <c r="BL14" s="78">
        <v>1</v>
      </c>
      <c r="BM14" s="78">
        <v>0</v>
      </c>
      <c r="BN14" s="78">
        <v>0</v>
      </c>
      <c r="BO14" s="78">
        <v>0</v>
      </c>
      <c r="BP14" s="78">
        <v>0</v>
      </c>
      <c r="BQ14" s="78">
        <v>1</v>
      </c>
      <c r="BS14" s="80" t="s">
        <v>1115</v>
      </c>
      <c r="BT14" s="80" t="s">
        <v>2855</v>
      </c>
      <c r="BU14" s="80">
        <v>61</v>
      </c>
      <c r="BV14" s="80">
        <v>141</v>
      </c>
      <c r="BW14" s="80">
        <v>313</v>
      </c>
      <c r="BX14" s="80">
        <v>523</v>
      </c>
      <c r="BY14" s="80">
        <v>481</v>
      </c>
      <c r="BZ14" s="80">
        <v>1519</v>
      </c>
      <c r="CA14" s="80"/>
      <c r="CB14" s="80" t="s">
        <v>2855</v>
      </c>
      <c r="CC14" s="80">
        <v>10</v>
      </c>
      <c r="CD14" s="80">
        <v>0</v>
      </c>
      <c r="CE14" s="80">
        <v>0</v>
      </c>
      <c r="CF14" s="80">
        <v>0</v>
      </c>
      <c r="CG14" s="80">
        <v>0</v>
      </c>
      <c r="CH14" s="80">
        <v>10</v>
      </c>
      <c r="CL14" s="61" t="s">
        <v>1207</v>
      </c>
      <c r="CM14" s="61" t="s">
        <v>2855</v>
      </c>
      <c r="CN14" s="61">
        <v>295</v>
      </c>
      <c r="CO14" s="61">
        <v>95</v>
      </c>
      <c r="CP14" s="61">
        <v>185</v>
      </c>
      <c r="CQ14" s="61">
        <v>226</v>
      </c>
      <c r="CR14" s="61">
        <v>332</v>
      </c>
      <c r="CS14" s="61">
        <v>1133</v>
      </c>
      <c r="CT14" s="61"/>
      <c r="CU14" s="61" t="s">
        <v>2855</v>
      </c>
      <c r="CV14" s="61">
        <v>53</v>
      </c>
      <c r="CW14" s="61">
        <v>0</v>
      </c>
      <c r="CX14" s="61">
        <v>0</v>
      </c>
      <c r="CY14" s="61">
        <v>0</v>
      </c>
      <c r="CZ14" s="61">
        <v>0</v>
      </c>
      <c r="DA14" s="61">
        <v>53</v>
      </c>
      <c r="DV14" s="94" t="s">
        <v>1514</v>
      </c>
      <c r="DW14" s="94" t="s">
        <v>2855</v>
      </c>
      <c r="DX14" s="94">
        <v>220</v>
      </c>
      <c r="DY14" s="94">
        <v>336</v>
      </c>
      <c r="DZ14" s="94">
        <v>348</v>
      </c>
      <c r="EA14" s="94">
        <v>471</v>
      </c>
      <c r="EB14" s="94">
        <v>390</v>
      </c>
      <c r="EC14" s="94">
        <v>1765</v>
      </c>
      <c r="ED14" s="94"/>
      <c r="EE14" s="94" t="s">
        <v>2855</v>
      </c>
      <c r="EF14" s="94">
        <v>13</v>
      </c>
      <c r="EG14" s="94">
        <v>3</v>
      </c>
      <c r="EH14" s="94">
        <v>0</v>
      </c>
      <c r="EI14" s="94">
        <v>0</v>
      </c>
      <c r="EJ14" s="94">
        <v>0</v>
      </c>
      <c r="EK14" s="94">
        <v>16</v>
      </c>
      <c r="EN14" s="61" t="s">
        <v>1617</v>
      </c>
      <c r="EO14" s="61" t="s">
        <v>2855</v>
      </c>
      <c r="EP14" s="61" t="s">
        <v>1970</v>
      </c>
      <c r="EQ14" s="61" t="s">
        <v>1970</v>
      </c>
      <c r="ER14" s="61" t="s">
        <v>1970</v>
      </c>
      <c r="ES14" s="61" t="s">
        <v>1970</v>
      </c>
      <c r="ET14" s="61" t="s">
        <v>1970</v>
      </c>
      <c r="EU14" s="61" t="s">
        <v>1970</v>
      </c>
      <c r="EV14" s="61"/>
      <c r="EW14" s="61" t="s">
        <v>2855</v>
      </c>
      <c r="EX14" s="61" t="s">
        <v>1970</v>
      </c>
      <c r="EY14" s="61" t="s">
        <v>1970</v>
      </c>
      <c r="EZ14" s="61" t="s">
        <v>1970</v>
      </c>
      <c r="FA14" s="61" t="s">
        <v>1970</v>
      </c>
      <c r="FB14" s="61" t="s">
        <v>1970</v>
      </c>
      <c r="FC14" s="61" t="s">
        <v>1970</v>
      </c>
      <c r="FF14" s="80" t="s">
        <v>1765</v>
      </c>
      <c r="FG14" s="80" t="s">
        <v>2855</v>
      </c>
      <c r="FH14" s="80" t="s">
        <v>1970</v>
      </c>
      <c r="FI14" s="80" t="s">
        <v>1970</v>
      </c>
      <c r="FJ14" s="80" t="s">
        <v>1970</v>
      </c>
      <c r="FK14" s="80" t="s">
        <v>1970</v>
      </c>
      <c r="FL14" s="80" t="s">
        <v>1970</v>
      </c>
      <c r="FM14" s="80" t="s">
        <v>1970</v>
      </c>
      <c r="FN14" s="80"/>
      <c r="FO14" s="80" t="s">
        <v>2855</v>
      </c>
      <c r="FP14" s="80" t="s">
        <v>1970</v>
      </c>
      <c r="FQ14" s="80" t="s">
        <v>1970</v>
      </c>
      <c r="FR14" s="80" t="s">
        <v>1970</v>
      </c>
      <c r="FS14" s="80" t="s">
        <v>1970</v>
      </c>
      <c r="FT14" s="80" t="s">
        <v>1970</v>
      </c>
      <c r="FU14" s="80" t="s">
        <v>1970</v>
      </c>
    </row>
    <row r="15" spans="2:177" x14ac:dyDescent="0.3">
      <c r="B15" s="71" t="s">
        <v>59</v>
      </c>
      <c r="C15" s="71" t="s">
        <v>2855</v>
      </c>
      <c r="D15" s="71" t="s">
        <v>1970</v>
      </c>
      <c r="E15" s="71" t="s">
        <v>1970</v>
      </c>
      <c r="F15" s="71" t="s">
        <v>1970</v>
      </c>
      <c r="G15" s="71" t="s">
        <v>1970</v>
      </c>
      <c r="H15" s="71" t="s">
        <v>1970</v>
      </c>
      <c r="I15" s="71" t="s">
        <v>1970</v>
      </c>
      <c r="K15" s="71" t="s">
        <v>2855</v>
      </c>
      <c r="L15" s="71" t="s">
        <v>1970</v>
      </c>
      <c r="M15" s="71" t="s">
        <v>1970</v>
      </c>
      <c r="N15" s="71" t="s">
        <v>1970</v>
      </c>
      <c r="O15" s="71" t="s">
        <v>1970</v>
      </c>
      <c r="P15" s="71" t="s">
        <v>1970</v>
      </c>
      <c r="Q15" s="71" t="s">
        <v>1970</v>
      </c>
      <c r="T15" s="72" t="s">
        <v>334</v>
      </c>
      <c r="U15" s="72" t="s">
        <v>2855</v>
      </c>
      <c r="V15" s="72" t="s">
        <v>1970</v>
      </c>
      <c r="W15" s="72" t="s">
        <v>1970</v>
      </c>
      <c r="X15" s="72" t="s">
        <v>1970</v>
      </c>
      <c r="Y15" s="72" t="s">
        <v>1970</v>
      </c>
      <c r="Z15" s="72" t="s">
        <v>1970</v>
      </c>
      <c r="AA15" s="72" t="s">
        <v>1970</v>
      </c>
      <c r="AB15" s="72"/>
      <c r="AC15" s="72" t="s">
        <v>2855</v>
      </c>
      <c r="AD15" s="72" t="s">
        <v>1970</v>
      </c>
      <c r="AE15" s="72" t="s">
        <v>1970</v>
      </c>
      <c r="AF15" s="72" t="s">
        <v>1970</v>
      </c>
      <c r="AG15" s="72" t="s">
        <v>1970</v>
      </c>
      <c r="AH15" s="72" t="s">
        <v>1970</v>
      </c>
      <c r="AI15" s="72" t="s">
        <v>1970</v>
      </c>
      <c r="AK15" s="73" t="s">
        <v>614</v>
      </c>
      <c r="AL15" s="73" t="s">
        <v>2855</v>
      </c>
      <c r="AM15" s="73">
        <v>360</v>
      </c>
      <c r="AN15" s="73">
        <v>400</v>
      </c>
      <c r="AO15" s="73">
        <v>578</v>
      </c>
      <c r="AP15" s="73">
        <v>791</v>
      </c>
      <c r="AQ15" s="73">
        <v>664</v>
      </c>
      <c r="AR15" s="73">
        <v>2793</v>
      </c>
      <c r="AS15" s="73"/>
      <c r="AT15" s="73" t="s">
        <v>2855</v>
      </c>
      <c r="AU15" s="73">
        <v>30</v>
      </c>
      <c r="AV15" s="73">
        <v>2</v>
      </c>
      <c r="AW15" s="73">
        <v>2</v>
      </c>
      <c r="AX15" s="73">
        <v>0</v>
      </c>
      <c r="AY15" s="73">
        <v>0</v>
      </c>
      <c r="AZ15" s="73">
        <v>34</v>
      </c>
      <c r="BB15" s="78" t="s">
        <v>810</v>
      </c>
      <c r="BC15" s="78" t="s">
        <v>2855</v>
      </c>
      <c r="BD15" s="78">
        <v>204</v>
      </c>
      <c r="BE15" s="78">
        <v>274</v>
      </c>
      <c r="BF15" s="78">
        <v>420</v>
      </c>
      <c r="BG15" s="78">
        <v>629</v>
      </c>
      <c r="BH15" s="78">
        <v>645</v>
      </c>
      <c r="BI15" s="78">
        <v>2172</v>
      </c>
      <c r="BJ15" s="78"/>
      <c r="BK15" s="78" t="s">
        <v>2855</v>
      </c>
      <c r="BL15" s="78">
        <v>36</v>
      </c>
      <c r="BM15" s="78">
        <v>0</v>
      </c>
      <c r="BN15" s="78">
        <v>0</v>
      </c>
      <c r="BO15" s="78">
        <v>0</v>
      </c>
      <c r="BP15" s="78">
        <v>0</v>
      </c>
      <c r="BQ15" s="78">
        <v>36</v>
      </c>
      <c r="BS15" s="80" t="s">
        <v>1119</v>
      </c>
      <c r="BT15" s="80" t="s">
        <v>2855</v>
      </c>
      <c r="BU15" s="80">
        <v>147</v>
      </c>
      <c r="BV15" s="80">
        <v>211</v>
      </c>
      <c r="BW15" s="80">
        <v>434</v>
      </c>
      <c r="BX15" s="80">
        <v>618</v>
      </c>
      <c r="BY15" s="80">
        <v>633</v>
      </c>
      <c r="BZ15" s="80">
        <v>2043</v>
      </c>
      <c r="CA15" s="80"/>
      <c r="CB15" s="80" t="s">
        <v>2855</v>
      </c>
      <c r="CC15" s="80">
        <v>17</v>
      </c>
      <c r="CD15" s="80">
        <v>0</v>
      </c>
      <c r="CE15" s="80">
        <v>0</v>
      </c>
      <c r="CF15" s="80">
        <v>0</v>
      </c>
      <c r="CG15" s="80">
        <v>0</v>
      </c>
      <c r="CH15" s="80">
        <v>17</v>
      </c>
      <c r="CL15" s="61" t="s">
        <v>1191</v>
      </c>
      <c r="CM15" s="61" t="s">
        <v>2855</v>
      </c>
      <c r="CN15" s="61">
        <v>219</v>
      </c>
      <c r="CO15" s="61">
        <v>211</v>
      </c>
      <c r="CP15" s="61">
        <v>315</v>
      </c>
      <c r="CQ15" s="61">
        <v>384</v>
      </c>
      <c r="CR15" s="61">
        <v>313</v>
      </c>
      <c r="CS15" s="61">
        <v>1442</v>
      </c>
      <c r="CT15" s="61"/>
      <c r="CU15" s="61" t="s">
        <v>2855</v>
      </c>
      <c r="CV15" s="61">
        <v>35</v>
      </c>
      <c r="CW15" s="61">
        <v>0</v>
      </c>
      <c r="CX15" s="61">
        <v>0</v>
      </c>
      <c r="CY15" s="61">
        <v>0</v>
      </c>
      <c r="CZ15" s="61">
        <v>0</v>
      </c>
      <c r="DA15" s="61">
        <v>35</v>
      </c>
      <c r="DD15" s="91" t="s">
        <v>1372</v>
      </c>
      <c r="DE15" s="91" t="s">
        <v>2856</v>
      </c>
      <c r="DF15" s="91">
        <v>414</v>
      </c>
      <c r="DG15" s="91">
        <v>552</v>
      </c>
      <c r="DH15" s="91">
        <v>670</v>
      </c>
      <c r="DI15" s="91">
        <v>651</v>
      </c>
      <c r="DJ15" s="91">
        <v>490</v>
      </c>
      <c r="DK15" s="91">
        <v>2777</v>
      </c>
      <c r="DL15" s="91"/>
      <c r="DM15" s="91" t="s">
        <v>2856</v>
      </c>
      <c r="DN15" s="91">
        <v>35</v>
      </c>
      <c r="DO15" s="91">
        <v>9</v>
      </c>
      <c r="DP15" s="91">
        <v>2</v>
      </c>
      <c r="DQ15" s="91">
        <v>0</v>
      </c>
      <c r="DR15" s="91">
        <v>0</v>
      </c>
      <c r="DS15" s="91">
        <v>46</v>
      </c>
      <c r="DV15" s="94" t="s">
        <v>1518</v>
      </c>
      <c r="DW15" s="94" t="s">
        <v>2855</v>
      </c>
      <c r="DX15" s="94">
        <v>123</v>
      </c>
      <c r="DY15" s="94">
        <v>197</v>
      </c>
      <c r="DZ15" s="94">
        <v>260</v>
      </c>
      <c r="EA15" s="94">
        <v>339</v>
      </c>
      <c r="EB15" s="94">
        <v>288</v>
      </c>
      <c r="EC15" s="94">
        <v>1207</v>
      </c>
      <c r="ED15" s="94"/>
      <c r="EE15" s="94" t="s">
        <v>2855</v>
      </c>
      <c r="EF15" s="94">
        <v>12</v>
      </c>
      <c r="EG15" s="94">
        <v>4</v>
      </c>
      <c r="EH15" s="94">
        <v>0</v>
      </c>
      <c r="EI15" s="94">
        <v>0</v>
      </c>
      <c r="EJ15" s="94">
        <v>0</v>
      </c>
      <c r="EK15" s="94">
        <v>16</v>
      </c>
      <c r="EN15" s="61" t="s">
        <v>1621</v>
      </c>
      <c r="EO15" s="61" t="s">
        <v>2855</v>
      </c>
      <c r="EP15" s="61">
        <v>473</v>
      </c>
      <c r="EQ15" s="61">
        <v>683</v>
      </c>
      <c r="ER15" s="61">
        <v>731</v>
      </c>
      <c r="ES15" s="61">
        <v>897</v>
      </c>
      <c r="ET15" s="61">
        <v>1108</v>
      </c>
      <c r="EU15" s="61">
        <v>3892</v>
      </c>
      <c r="EV15" s="61"/>
      <c r="EW15" s="61" t="s">
        <v>2855</v>
      </c>
      <c r="EX15" s="61">
        <v>102</v>
      </c>
      <c r="EY15" s="61">
        <v>59</v>
      </c>
      <c r="EZ15" s="61">
        <v>35</v>
      </c>
      <c r="FA15" s="61">
        <v>53</v>
      </c>
      <c r="FB15" s="61">
        <v>56</v>
      </c>
      <c r="FC15" s="61">
        <v>305</v>
      </c>
      <c r="FF15" s="80" t="s">
        <v>1769</v>
      </c>
      <c r="FG15" s="80" t="s">
        <v>2855</v>
      </c>
      <c r="FH15" s="80">
        <v>1842</v>
      </c>
      <c r="FI15" s="80">
        <v>1412</v>
      </c>
      <c r="FJ15" s="80">
        <v>1055</v>
      </c>
      <c r="FK15" s="80">
        <v>881</v>
      </c>
      <c r="FL15" s="80">
        <v>974</v>
      </c>
      <c r="FM15" s="80">
        <v>6164</v>
      </c>
      <c r="FN15" s="80"/>
      <c r="FO15" s="80" t="s">
        <v>2855</v>
      </c>
      <c r="FP15" s="80">
        <v>201</v>
      </c>
      <c r="FQ15" s="80">
        <v>80</v>
      </c>
      <c r="FR15" s="80">
        <v>0</v>
      </c>
      <c r="FS15" s="80">
        <v>0</v>
      </c>
      <c r="FT15" s="80">
        <v>0</v>
      </c>
      <c r="FU15" s="80">
        <v>281</v>
      </c>
    </row>
    <row r="16" spans="2:177" x14ac:dyDescent="0.3">
      <c r="B16" s="71" t="s">
        <v>63</v>
      </c>
      <c r="C16" s="71" t="s">
        <v>2855</v>
      </c>
      <c r="D16" s="71">
        <v>28</v>
      </c>
      <c r="E16" s="71">
        <v>0</v>
      </c>
      <c r="F16" s="71">
        <v>0</v>
      </c>
      <c r="G16" s="71">
        <v>0</v>
      </c>
      <c r="H16" s="71">
        <v>0</v>
      </c>
      <c r="I16" s="71">
        <v>28</v>
      </c>
      <c r="K16" s="71" t="s">
        <v>2855</v>
      </c>
      <c r="L16" s="71">
        <v>1064</v>
      </c>
      <c r="M16" s="71">
        <v>873</v>
      </c>
      <c r="N16" s="71">
        <v>1060</v>
      </c>
      <c r="O16" s="71">
        <v>1226</v>
      </c>
      <c r="P16" s="71">
        <v>960</v>
      </c>
      <c r="Q16" s="71">
        <v>5183</v>
      </c>
      <c r="T16" s="72" t="s">
        <v>340</v>
      </c>
      <c r="U16" s="72" t="s">
        <v>2855</v>
      </c>
      <c r="V16" s="72" t="s">
        <v>1970</v>
      </c>
      <c r="W16" s="72" t="s">
        <v>1970</v>
      </c>
      <c r="X16" s="72" t="s">
        <v>1970</v>
      </c>
      <c r="Y16" s="72" t="s">
        <v>1970</v>
      </c>
      <c r="Z16" s="72" t="s">
        <v>1970</v>
      </c>
      <c r="AA16" s="72" t="s">
        <v>1970</v>
      </c>
      <c r="AB16" s="72"/>
      <c r="AC16" s="72" t="s">
        <v>2855</v>
      </c>
      <c r="AD16" s="72" t="s">
        <v>1970</v>
      </c>
      <c r="AE16" s="72" t="s">
        <v>1970</v>
      </c>
      <c r="AF16" s="72" t="s">
        <v>1970</v>
      </c>
      <c r="AG16" s="72" t="s">
        <v>1970</v>
      </c>
      <c r="AH16" s="72" t="s">
        <v>1970</v>
      </c>
      <c r="AI16" s="72" t="s">
        <v>1970</v>
      </c>
      <c r="AK16" s="73" t="s">
        <v>619</v>
      </c>
      <c r="AL16" s="73" t="s">
        <v>2855</v>
      </c>
      <c r="AM16" s="73">
        <v>502</v>
      </c>
      <c r="AN16" s="73">
        <v>928</v>
      </c>
      <c r="AO16" s="73">
        <v>1521</v>
      </c>
      <c r="AP16" s="73">
        <v>1880</v>
      </c>
      <c r="AQ16" s="73">
        <v>1207</v>
      </c>
      <c r="AR16" s="73">
        <v>6038</v>
      </c>
      <c r="AS16" s="73"/>
      <c r="AT16" s="73" t="s">
        <v>2855</v>
      </c>
      <c r="AU16" s="73">
        <v>27</v>
      </c>
      <c r="AV16" s="73">
        <v>7</v>
      </c>
      <c r="AW16" s="73">
        <v>1</v>
      </c>
      <c r="AX16" s="73">
        <v>0</v>
      </c>
      <c r="AY16" s="73">
        <v>0</v>
      </c>
      <c r="AZ16" s="73">
        <v>35</v>
      </c>
      <c r="BB16" s="78" t="s">
        <v>814</v>
      </c>
      <c r="BC16" s="78" t="s">
        <v>2855</v>
      </c>
      <c r="BD16" s="78" t="s">
        <v>1970</v>
      </c>
      <c r="BE16" s="78" t="s">
        <v>1970</v>
      </c>
      <c r="BF16" s="78" t="s">
        <v>1970</v>
      </c>
      <c r="BG16" s="78" t="s">
        <v>1970</v>
      </c>
      <c r="BH16" s="78" t="s">
        <v>1970</v>
      </c>
      <c r="BI16" s="78" t="s">
        <v>1970</v>
      </c>
      <c r="BJ16" s="78"/>
      <c r="BK16" s="78" t="s">
        <v>2855</v>
      </c>
      <c r="BL16" s="78" t="s">
        <v>1970</v>
      </c>
      <c r="BM16" s="78" t="s">
        <v>1970</v>
      </c>
      <c r="BN16" s="78" t="s">
        <v>1970</v>
      </c>
      <c r="BO16" s="78" t="s">
        <v>1970</v>
      </c>
      <c r="BP16" s="78" t="s">
        <v>1970</v>
      </c>
      <c r="BQ16" s="78" t="s">
        <v>1970</v>
      </c>
      <c r="BS16" s="80" t="s">
        <v>1123</v>
      </c>
      <c r="BT16" s="80" t="s">
        <v>2855</v>
      </c>
      <c r="BU16" s="80">
        <v>31</v>
      </c>
      <c r="BV16" s="80">
        <v>66</v>
      </c>
      <c r="BW16" s="80">
        <v>161</v>
      </c>
      <c r="BX16" s="80">
        <v>242</v>
      </c>
      <c r="BY16" s="80">
        <v>312</v>
      </c>
      <c r="BZ16" s="80">
        <v>812</v>
      </c>
      <c r="CA16" s="80"/>
      <c r="CB16" s="80" t="s">
        <v>2855</v>
      </c>
      <c r="CC16" s="80">
        <v>3</v>
      </c>
      <c r="CD16" s="80">
        <v>0</v>
      </c>
      <c r="CE16" s="80">
        <v>0</v>
      </c>
      <c r="CF16" s="80">
        <v>0</v>
      </c>
      <c r="CG16" s="80">
        <v>0</v>
      </c>
      <c r="CH16" s="80">
        <v>3</v>
      </c>
      <c r="CL16" s="61" t="s">
        <v>1199</v>
      </c>
      <c r="CM16" s="61" t="s">
        <v>2855</v>
      </c>
      <c r="CN16" s="61">
        <v>205</v>
      </c>
      <c r="CO16" s="61">
        <v>164</v>
      </c>
      <c r="CP16" s="61">
        <v>314</v>
      </c>
      <c r="CQ16" s="61">
        <v>433</v>
      </c>
      <c r="CR16" s="61">
        <v>349</v>
      </c>
      <c r="CS16" s="61">
        <v>1465</v>
      </c>
      <c r="CT16" s="61"/>
      <c r="CU16" s="61" t="s">
        <v>2855</v>
      </c>
      <c r="CV16" s="61">
        <v>22</v>
      </c>
      <c r="CW16" s="61">
        <v>0</v>
      </c>
      <c r="CX16" s="61">
        <v>0</v>
      </c>
      <c r="CY16" s="61">
        <v>0</v>
      </c>
      <c r="CZ16" s="61">
        <v>0</v>
      </c>
      <c r="DA16" s="61">
        <v>22</v>
      </c>
      <c r="DD16" s="91" t="s">
        <v>1376</v>
      </c>
      <c r="DE16" s="91" t="s">
        <v>2856</v>
      </c>
      <c r="DF16" s="91">
        <v>105</v>
      </c>
      <c r="DG16" s="91">
        <v>168</v>
      </c>
      <c r="DH16" s="91">
        <v>177</v>
      </c>
      <c r="DI16" s="91">
        <v>253</v>
      </c>
      <c r="DJ16" s="91">
        <v>210</v>
      </c>
      <c r="DK16" s="91">
        <v>913</v>
      </c>
      <c r="DL16" s="91"/>
      <c r="DM16" s="91" t="s">
        <v>2856</v>
      </c>
      <c r="DN16" s="91">
        <v>15</v>
      </c>
      <c r="DO16" s="91">
        <v>4</v>
      </c>
      <c r="DP16" s="91">
        <v>0</v>
      </c>
      <c r="DQ16" s="91">
        <v>0</v>
      </c>
      <c r="DR16" s="91">
        <v>0</v>
      </c>
      <c r="DS16" s="91">
        <v>19</v>
      </c>
      <c r="DV16" s="94" t="s">
        <v>1522</v>
      </c>
      <c r="DW16" s="94" t="s">
        <v>2855</v>
      </c>
      <c r="DX16" s="94">
        <v>166</v>
      </c>
      <c r="DY16" s="94">
        <v>277</v>
      </c>
      <c r="DZ16" s="94">
        <v>430</v>
      </c>
      <c r="EA16" s="94">
        <v>605</v>
      </c>
      <c r="EB16" s="94">
        <v>517</v>
      </c>
      <c r="EC16" s="94">
        <v>1995</v>
      </c>
      <c r="ED16" s="94"/>
      <c r="EE16" s="94" t="s">
        <v>2855</v>
      </c>
      <c r="EF16" s="94">
        <v>17</v>
      </c>
      <c r="EG16" s="94">
        <v>0</v>
      </c>
      <c r="EH16" s="94">
        <v>0</v>
      </c>
      <c r="EI16" s="94">
        <v>0</v>
      </c>
      <c r="EJ16" s="94">
        <v>0</v>
      </c>
      <c r="EK16" s="94">
        <v>17</v>
      </c>
      <c r="EN16" s="61" t="s">
        <v>1625</v>
      </c>
      <c r="EO16" s="61" t="s">
        <v>2855</v>
      </c>
      <c r="EP16" s="61">
        <v>335</v>
      </c>
      <c r="EQ16" s="61">
        <v>548</v>
      </c>
      <c r="ER16" s="61">
        <v>603</v>
      </c>
      <c r="ES16" s="61">
        <v>697</v>
      </c>
      <c r="ET16" s="61">
        <v>934</v>
      </c>
      <c r="EU16" s="61">
        <v>3117</v>
      </c>
      <c r="EV16" s="61"/>
      <c r="EW16" s="61" t="s">
        <v>2855</v>
      </c>
      <c r="EX16" s="61">
        <v>90</v>
      </c>
      <c r="EY16" s="61">
        <v>71</v>
      </c>
      <c r="EZ16" s="61">
        <v>34</v>
      </c>
      <c r="FA16" s="61">
        <v>38</v>
      </c>
      <c r="FB16" s="61">
        <v>44</v>
      </c>
      <c r="FC16" s="61">
        <v>277</v>
      </c>
      <c r="FF16" s="80" t="s">
        <v>1773</v>
      </c>
      <c r="FG16" s="80" t="s">
        <v>2855</v>
      </c>
      <c r="FH16" s="80">
        <v>388</v>
      </c>
      <c r="FI16" s="80">
        <v>630</v>
      </c>
      <c r="FJ16" s="80">
        <v>738</v>
      </c>
      <c r="FK16" s="80">
        <v>726</v>
      </c>
      <c r="FL16" s="80">
        <v>813</v>
      </c>
      <c r="FM16" s="80">
        <v>3295</v>
      </c>
      <c r="FN16" s="80"/>
      <c r="FO16" s="80" t="s">
        <v>2855</v>
      </c>
      <c r="FP16" s="80">
        <v>29</v>
      </c>
      <c r="FQ16" s="80">
        <v>1</v>
      </c>
      <c r="FR16" s="80">
        <v>0</v>
      </c>
      <c r="FS16" s="80">
        <v>0</v>
      </c>
      <c r="FT16" s="80">
        <v>0</v>
      </c>
      <c r="FU16" s="80">
        <v>30</v>
      </c>
    </row>
    <row r="17" spans="1:177" x14ac:dyDescent="0.3">
      <c r="B17" s="71" t="s">
        <v>68</v>
      </c>
      <c r="C17" s="71" t="s">
        <v>2855</v>
      </c>
      <c r="D17" s="71">
        <v>22</v>
      </c>
      <c r="E17" s="71">
        <v>0</v>
      </c>
      <c r="F17" s="71">
        <v>0</v>
      </c>
      <c r="G17" s="71">
        <v>0</v>
      </c>
      <c r="H17" s="71">
        <v>0</v>
      </c>
      <c r="I17" s="71">
        <v>22</v>
      </c>
      <c r="K17" s="71" t="s">
        <v>2855</v>
      </c>
      <c r="L17" s="71">
        <v>592</v>
      </c>
      <c r="M17" s="71">
        <v>686</v>
      </c>
      <c r="N17" s="71">
        <v>837</v>
      </c>
      <c r="O17" s="71">
        <v>903</v>
      </c>
      <c r="P17" s="71">
        <v>660</v>
      </c>
      <c r="Q17" s="71">
        <v>3678</v>
      </c>
      <c r="T17" s="72" t="s">
        <v>346</v>
      </c>
      <c r="U17" s="72" t="s">
        <v>2855</v>
      </c>
      <c r="V17" s="72" t="s">
        <v>1970</v>
      </c>
      <c r="W17" s="72" t="s">
        <v>1970</v>
      </c>
      <c r="X17" s="72" t="s">
        <v>1970</v>
      </c>
      <c r="Y17" s="72" t="s">
        <v>1970</v>
      </c>
      <c r="Z17" s="72" t="s">
        <v>1970</v>
      </c>
      <c r="AA17" s="72" t="s">
        <v>1970</v>
      </c>
      <c r="AB17" s="72"/>
      <c r="AC17" s="72" t="s">
        <v>2855</v>
      </c>
      <c r="AD17" s="72" t="s">
        <v>1970</v>
      </c>
      <c r="AE17" s="72" t="s">
        <v>1970</v>
      </c>
      <c r="AF17" s="72" t="s">
        <v>1970</v>
      </c>
      <c r="AG17" s="72" t="s">
        <v>1970</v>
      </c>
      <c r="AH17" s="72" t="s">
        <v>1970</v>
      </c>
      <c r="AI17" s="72" t="s">
        <v>1970</v>
      </c>
      <c r="AK17" s="73" t="s">
        <v>623</v>
      </c>
      <c r="AL17" s="73" t="s">
        <v>2855</v>
      </c>
      <c r="AM17" s="73">
        <v>238</v>
      </c>
      <c r="AN17" s="73">
        <v>385</v>
      </c>
      <c r="AO17" s="73">
        <v>771</v>
      </c>
      <c r="AP17" s="73">
        <v>992</v>
      </c>
      <c r="AQ17" s="73">
        <v>743</v>
      </c>
      <c r="AR17" s="73">
        <v>3129</v>
      </c>
      <c r="AS17" s="73"/>
      <c r="AT17" s="73" t="s">
        <v>2855</v>
      </c>
      <c r="AU17" s="73">
        <v>18</v>
      </c>
      <c r="AV17" s="73">
        <v>3</v>
      </c>
      <c r="AW17" s="73">
        <v>1</v>
      </c>
      <c r="AX17" s="73">
        <v>1</v>
      </c>
      <c r="AY17" s="73">
        <v>0</v>
      </c>
      <c r="AZ17" s="73">
        <v>23</v>
      </c>
      <c r="BB17" s="78" t="s">
        <v>819</v>
      </c>
      <c r="BC17" s="78" t="s">
        <v>2855</v>
      </c>
      <c r="BD17" s="78">
        <v>933</v>
      </c>
      <c r="BE17" s="78">
        <v>476</v>
      </c>
      <c r="BF17" s="78">
        <v>721</v>
      </c>
      <c r="BG17" s="78">
        <v>971</v>
      </c>
      <c r="BH17" s="78">
        <v>925</v>
      </c>
      <c r="BI17" s="78">
        <v>4026</v>
      </c>
      <c r="BJ17" s="78"/>
      <c r="BK17" s="78" t="s">
        <v>2855</v>
      </c>
      <c r="BL17" s="78">
        <v>217</v>
      </c>
      <c r="BM17" s="78">
        <v>0</v>
      </c>
      <c r="BN17" s="78">
        <v>0</v>
      </c>
      <c r="BO17" s="78">
        <v>0</v>
      </c>
      <c r="BP17" s="78">
        <v>0</v>
      </c>
      <c r="BQ17" s="78">
        <v>217</v>
      </c>
      <c r="BS17" s="80" t="s">
        <v>1127</v>
      </c>
      <c r="BT17" s="80" t="s">
        <v>2855</v>
      </c>
      <c r="BU17" s="80">
        <v>259</v>
      </c>
      <c r="BV17" s="80">
        <v>216</v>
      </c>
      <c r="BW17" s="80">
        <v>322</v>
      </c>
      <c r="BX17" s="80">
        <v>403</v>
      </c>
      <c r="BY17" s="80">
        <v>395</v>
      </c>
      <c r="BZ17" s="80">
        <v>1595</v>
      </c>
      <c r="CA17" s="80"/>
      <c r="CB17" s="80" t="s">
        <v>2855</v>
      </c>
      <c r="CC17" s="80">
        <v>60</v>
      </c>
      <c r="CD17" s="80">
        <v>0</v>
      </c>
      <c r="CE17" s="80">
        <v>0</v>
      </c>
      <c r="CF17" s="80">
        <v>0</v>
      </c>
      <c r="CG17" s="80">
        <v>0</v>
      </c>
      <c r="CH17" s="80">
        <v>60</v>
      </c>
      <c r="CL17" s="61" t="s">
        <v>1203</v>
      </c>
      <c r="CM17" s="61" t="s">
        <v>2855</v>
      </c>
      <c r="CN17" s="61" t="s">
        <v>1970</v>
      </c>
      <c r="CO17" s="61" t="s">
        <v>1970</v>
      </c>
      <c r="CP17" s="61" t="s">
        <v>1970</v>
      </c>
      <c r="CQ17" s="61" t="s">
        <v>1970</v>
      </c>
      <c r="CR17" s="61" t="s">
        <v>1970</v>
      </c>
      <c r="CS17" s="61" t="s">
        <v>1970</v>
      </c>
      <c r="CT17" s="61"/>
      <c r="CU17" s="61" t="s">
        <v>2855</v>
      </c>
      <c r="CV17" s="61" t="s">
        <v>1970</v>
      </c>
      <c r="CW17" s="61" t="s">
        <v>1970</v>
      </c>
      <c r="CX17" s="61" t="s">
        <v>1970</v>
      </c>
      <c r="CY17" s="61" t="s">
        <v>1970</v>
      </c>
      <c r="CZ17" s="61" t="s">
        <v>1970</v>
      </c>
      <c r="DA17" s="61" t="s">
        <v>1970</v>
      </c>
      <c r="DD17" s="91" t="s">
        <v>1387</v>
      </c>
      <c r="DE17" s="91" t="s">
        <v>2856</v>
      </c>
      <c r="DF17" s="91">
        <v>1073</v>
      </c>
      <c r="DG17" s="91">
        <v>1141</v>
      </c>
      <c r="DH17" s="91">
        <v>1116</v>
      </c>
      <c r="DI17" s="91">
        <v>1361</v>
      </c>
      <c r="DJ17" s="91">
        <v>1176</v>
      </c>
      <c r="DK17" s="91">
        <v>5867</v>
      </c>
      <c r="DL17" s="91"/>
      <c r="DM17" s="91" t="s">
        <v>2856</v>
      </c>
      <c r="DN17" s="91">
        <v>95</v>
      </c>
      <c r="DO17" s="91">
        <v>59</v>
      </c>
      <c r="DP17" s="91">
        <v>13</v>
      </c>
      <c r="DQ17" s="91">
        <v>6</v>
      </c>
      <c r="DR17" s="91">
        <v>5</v>
      </c>
      <c r="DS17" s="91">
        <v>178</v>
      </c>
      <c r="DV17" s="94" t="s">
        <v>1526</v>
      </c>
      <c r="DW17" s="94" t="s">
        <v>2855</v>
      </c>
      <c r="DX17" s="94">
        <v>184</v>
      </c>
      <c r="DY17" s="94">
        <v>127</v>
      </c>
      <c r="DZ17" s="94">
        <v>152</v>
      </c>
      <c r="EA17" s="94">
        <v>191</v>
      </c>
      <c r="EB17" s="94">
        <v>197</v>
      </c>
      <c r="EC17" s="94">
        <v>85</v>
      </c>
      <c r="ED17" s="94"/>
      <c r="EE17" s="94" t="s">
        <v>2855</v>
      </c>
      <c r="EF17" s="94">
        <v>8</v>
      </c>
      <c r="EG17" s="94">
        <v>0</v>
      </c>
      <c r="EH17" s="94">
        <v>0</v>
      </c>
      <c r="EI17" s="94">
        <v>0</v>
      </c>
      <c r="EJ17" s="94">
        <v>0</v>
      </c>
      <c r="EK17" s="94">
        <v>8</v>
      </c>
      <c r="EN17" s="61" t="s">
        <v>1629</v>
      </c>
      <c r="EO17" s="61" t="s">
        <v>2855</v>
      </c>
      <c r="EP17" s="61">
        <v>339</v>
      </c>
      <c r="EQ17" s="61">
        <v>332</v>
      </c>
      <c r="ER17" s="61">
        <v>379</v>
      </c>
      <c r="ES17" s="61">
        <v>450</v>
      </c>
      <c r="ET17" s="61">
        <v>597</v>
      </c>
      <c r="EU17" s="61">
        <v>2097</v>
      </c>
      <c r="EV17" s="61"/>
      <c r="EW17" s="61" t="s">
        <v>2855</v>
      </c>
      <c r="EX17" s="61">
        <v>38</v>
      </c>
      <c r="EY17" s="61">
        <v>7</v>
      </c>
      <c r="EZ17" s="61">
        <v>5</v>
      </c>
      <c r="FA17" s="61">
        <v>7</v>
      </c>
      <c r="FB17" s="61">
        <v>4</v>
      </c>
      <c r="FC17" s="61">
        <v>61</v>
      </c>
      <c r="FF17" s="80" t="s">
        <v>1777</v>
      </c>
      <c r="FG17" s="80" t="s">
        <v>2855</v>
      </c>
      <c r="FH17" s="80">
        <v>263</v>
      </c>
      <c r="FI17" s="80">
        <v>534</v>
      </c>
      <c r="FJ17" s="80">
        <v>602</v>
      </c>
      <c r="FK17" s="80">
        <v>608</v>
      </c>
      <c r="FL17" s="80">
        <v>716</v>
      </c>
      <c r="FM17" s="80">
        <v>2723</v>
      </c>
      <c r="FN17" s="80"/>
      <c r="FO17" s="80" t="s">
        <v>2855</v>
      </c>
      <c r="FP17" s="80">
        <v>14</v>
      </c>
      <c r="FQ17" s="80">
        <v>1</v>
      </c>
      <c r="FR17" s="80">
        <v>0</v>
      </c>
      <c r="FS17" s="80">
        <v>0</v>
      </c>
      <c r="FT17" s="80">
        <v>0</v>
      </c>
      <c r="FU17" s="80">
        <v>15</v>
      </c>
    </row>
    <row r="18" spans="1:177" x14ac:dyDescent="0.3">
      <c r="B18" s="71" t="s">
        <v>73</v>
      </c>
      <c r="C18" s="71" t="s">
        <v>2855</v>
      </c>
      <c r="D18" s="71">
        <v>29</v>
      </c>
      <c r="E18" s="71">
        <v>0</v>
      </c>
      <c r="F18" s="71">
        <v>0</v>
      </c>
      <c r="G18" s="71">
        <v>0</v>
      </c>
      <c r="H18" s="71">
        <v>0</v>
      </c>
      <c r="I18" s="71">
        <v>29</v>
      </c>
      <c r="K18" s="71" t="s">
        <v>2855</v>
      </c>
      <c r="L18" s="71">
        <v>370</v>
      </c>
      <c r="M18" s="71">
        <v>488</v>
      </c>
      <c r="N18" s="71">
        <v>634</v>
      </c>
      <c r="O18" s="71">
        <v>682</v>
      </c>
      <c r="P18" s="71">
        <v>550</v>
      </c>
      <c r="Q18" s="71">
        <v>2724</v>
      </c>
      <c r="T18" s="72" t="s">
        <v>350</v>
      </c>
      <c r="U18" s="72" t="s">
        <v>2855</v>
      </c>
      <c r="V18" s="72" t="s">
        <v>1970</v>
      </c>
      <c r="W18" s="72" t="s">
        <v>1970</v>
      </c>
      <c r="X18" s="72" t="s">
        <v>1970</v>
      </c>
      <c r="Y18" s="72" t="s">
        <v>1970</v>
      </c>
      <c r="Z18" s="72" t="s">
        <v>1970</v>
      </c>
      <c r="AA18" s="72" t="s">
        <v>1970</v>
      </c>
      <c r="AB18" s="72"/>
      <c r="AC18" s="72" t="s">
        <v>2855</v>
      </c>
      <c r="AD18" s="72" t="s">
        <v>1970</v>
      </c>
      <c r="AE18" s="72" t="s">
        <v>1970</v>
      </c>
      <c r="AF18" s="72" t="s">
        <v>1970</v>
      </c>
      <c r="AG18" s="72" t="s">
        <v>1970</v>
      </c>
      <c r="AH18" s="72" t="s">
        <v>1970</v>
      </c>
      <c r="AI18" s="72" t="s">
        <v>1970</v>
      </c>
      <c r="AK18" s="73" t="s">
        <v>627</v>
      </c>
      <c r="AL18" s="73" t="s">
        <v>2855</v>
      </c>
      <c r="AM18" s="73">
        <v>155</v>
      </c>
      <c r="AN18" s="73">
        <v>257</v>
      </c>
      <c r="AO18" s="73">
        <v>534</v>
      </c>
      <c r="AP18" s="73">
        <v>923</v>
      </c>
      <c r="AQ18" s="73">
        <v>665</v>
      </c>
      <c r="AR18" s="73">
        <v>2534</v>
      </c>
      <c r="AS18" s="73"/>
      <c r="AT18" s="73" t="s">
        <v>2855</v>
      </c>
      <c r="AU18" s="73">
        <v>25</v>
      </c>
      <c r="AV18" s="73">
        <v>1</v>
      </c>
      <c r="AW18" s="73">
        <v>0</v>
      </c>
      <c r="AX18" s="73">
        <v>0</v>
      </c>
      <c r="AY18" s="73">
        <v>0</v>
      </c>
      <c r="AZ18" s="73">
        <v>26</v>
      </c>
      <c r="BB18" s="78" t="s">
        <v>824</v>
      </c>
      <c r="BC18" s="78" t="s">
        <v>2855</v>
      </c>
      <c r="BD18" s="78">
        <v>44</v>
      </c>
      <c r="BE18" s="78">
        <v>40</v>
      </c>
      <c r="BF18" s="78">
        <v>99</v>
      </c>
      <c r="BG18" s="78">
        <v>140</v>
      </c>
      <c r="BH18" s="78">
        <v>201</v>
      </c>
      <c r="BI18" s="78">
        <v>524</v>
      </c>
      <c r="BJ18" s="78"/>
      <c r="BK18" s="78" t="s">
        <v>2855</v>
      </c>
      <c r="BL18" s="78">
        <v>10</v>
      </c>
      <c r="BM18" s="78">
        <v>0</v>
      </c>
      <c r="BN18" s="78">
        <v>0</v>
      </c>
      <c r="BO18" s="78">
        <v>0</v>
      </c>
      <c r="BP18" s="78">
        <v>0</v>
      </c>
      <c r="BQ18" s="78">
        <v>10</v>
      </c>
      <c r="BS18" s="80" t="s">
        <v>1131</v>
      </c>
      <c r="BT18" s="80" t="s">
        <v>2855</v>
      </c>
      <c r="BU18" s="80">
        <v>143</v>
      </c>
      <c r="BV18" s="80">
        <v>102</v>
      </c>
      <c r="BW18" s="80">
        <v>188</v>
      </c>
      <c r="BX18" s="80">
        <v>289</v>
      </c>
      <c r="BY18" s="80">
        <v>279</v>
      </c>
      <c r="BZ18" s="80">
        <v>1001</v>
      </c>
      <c r="CA18" s="80"/>
      <c r="CB18" s="80" t="s">
        <v>2855</v>
      </c>
      <c r="CC18" s="80">
        <v>27</v>
      </c>
      <c r="CD18" s="80">
        <v>0</v>
      </c>
      <c r="CE18" s="80">
        <v>0</v>
      </c>
      <c r="CF18" s="80">
        <v>0</v>
      </c>
      <c r="CG18" s="80">
        <v>0</v>
      </c>
      <c r="CH18" s="80">
        <v>27</v>
      </c>
      <c r="CL18" s="61" t="s">
        <v>1211</v>
      </c>
      <c r="CM18" s="61" t="s">
        <v>2855</v>
      </c>
      <c r="CN18" s="61">
        <v>176</v>
      </c>
      <c r="CO18" s="61">
        <v>242</v>
      </c>
      <c r="CP18" s="61">
        <v>354</v>
      </c>
      <c r="CQ18" s="61">
        <v>407</v>
      </c>
      <c r="CR18" s="61">
        <v>408</v>
      </c>
      <c r="CS18" s="61">
        <v>1587</v>
      </c>
      <c r="CT18" s="61"/>
      <c r="CU18" s="61" t="s">
        <v>2855</v>
      </c>
      <c r="CV18" s="61">
        <v>45</v>
      </c>
      <c r="CW18" s="61">
        <v>0</v>
      </c>
      <c r="CX18" s="61">
        <v>0</v>
      </c>
      <c r="CY18" s="61">
        <v>0</v>
      </c>
      <c r="CZ18" s="61">
        <v>0</v>
      </c>
      <c r="DA18" s="61">
        <v>45</v>
      </c>
      <c r="DD18" s="91" t="s">
        <v>1391</v>
      </c>
      <c r="DE18" s="91" t="s">
        <v>2856</v>
      </c>
      <c r="DF18" s="91">
        <v>342</v>
      </c>
      <c r="DG18" s="91">
        <v>529</v>
      </c>
      <c r="DH18" s="91">
        <v>669</v>
      </c>
      <c r="DI18" s="91">
        <v>804</v>
      </c>
      <c r="DJ18" s="91">
        <v>656</v>
      </c>
      <c r="DK18" s="91">
        <v>3000</v>
      </c>
      <c r="DL18" s="91"/>
      <c r="DM18" s="91" t="s">
        <v>2856</v>
      </c>
      <c r="DN18" s="91">
        <v>20</v>
      </c>
      <c r="DO18" s="91">
        <v>12</v>
      </c>
      <c r="DP18" s="91">
        <v>3</v>
      </c>
      <c r="DQ18" s="91">
        <v>1</v>
      </c>
      <c r="DR18" s="91">
        <v>0</v>
      </c>
      <c r="DS18" s="91">
        <v>36</v>
      </c>
      <c r="DV18" s="94" t="s">
        <v>1530</v>
      </c>
      <c r="DW18" s="94" t="s">
        <v>2855</v>
      </c>
      <c r="DX18" s="94">
        <v>299</v>
      </c>
      <c r="DY18" s="94">
        <v>462</v>
      </c>
      <c r="DZ18" s="94">
        <v>523</v>
      </c>
      <c r="EA18" s="94">
        <v>488</v>
      </c>
      <c r="EB18" s="94">
        <v>362</v>
      </c>
      <c r="EC18" s="94">
        <v>2134</v>
      </c>
      <c r="ED18" s="94"/>
      <c r="EE18" s="94" t="s">
        <v>2855</v>
      </c>
      <c r="EF18" s="94">
        <v>7</v>
      </c>
      <c r="EG18" s="94">
        <v>3</v>
      </c>
      <c r="EH18" s="94">
        <v>0</v>
      </c>
      <c r="EI18" s="94">
        <v>0</v>
      </c>
      <c r="EJ18" s="94">
        <v>0</v>
      </c>
      <c r="EK18" s="94">
        <v>10</v>
      </c>
      <c r="EN18" s="61" t="s">
        <v>1633</v>
      </c>
      <c r="EO18" s="61" t="s">
        <v>2855</v>
      </c>
      <c r="EP18" s="61" t="s">
        <v>1970</v>
      </c>
      <c r="EQ18" s="61" t="s">
        <v>1970</v>
      </c>
      <c r="ER18" s="61" t="s">
        <v>1970</v>
      </c>
      <c r="ES18" s="61" t="s">
        <v>1970</v>
      </c>
      <c r="ET18" s="61" t="s">
        <v>1970</v>
      </c>
      <c r="EU18" s="61" t="s">
        <v>1970</v>
      </c>
      <c r="EV18" s="61"/>
      <c r="EW18" s="61" t="s">
        <v>2855</v>
      </c>
      <c r="EX18" s="61" t="s">
        <v>1970</v>
      </c>
      <c r="EY18" s="61" t="s">
        <v>1970</v>
      </c>
      <c r="EZ18" s="61" t="s">
        <v>1970</v>
      </c>
      <c r="FA18" s="61" t="s">
        <v>1970</v>
      </c>
      <c r="FB18" s="61" t="s">
        <v>1970</v>
      </c>
      <c r="FC18" s="61" t="s">
        <v>1970</v>
      </c>
      <c r="FF18" s="80" t="s">
        <v>1781</v>
      </c>
      <c r="FG18" s="80" t="s">
        <v>2855</v>
      </c>
      <c r="FH18" s="80">
        <v>651</v>
      </c>
      <c r="FI18" s="80">
        <v>860</v>
      </c>
      <c r="FJ18" s="80">
        <v>774</v>
      </c>
      <c r="FK18" s="80">
        <v>719</v>
      </c>
      <c r="FL18" s="80">
        <v>875</v>
      </c>
      <c r="FM18" s="80">
        <v>3879</v>
      </c>
      <c r="FN18" s="80"/>
      <c r="FO18" s="80" t="s">
        <v>2855</v>
      </c>
      <c r="FP18" s="80">
        <v>48</v>
      </c>
      <c r="FQ18" s="80">
        <v>3</v>
      </c>
      <c r="FR18" s="80">
        <v>0</v>
      </c>
      <c r="FS18" s="80">
        <v>0</v>
      </c>
      <c r="FT18" s="80">
        <v>0</v>
      </c>
      <c r="FU18" s="80">
        <v>51</v>
      </c>
    </row>
    <row r="19" spans="1:177" x14ac:dyDescent="0.3">
      <c r="B19" s="71" t="s">
        <v>78</v>
      </c>
      <c r="C19" s="71" t="s">
        <v>2855</v>
      </c>
      <c r="D19" s="71">
        <v>16</v>
      </c>
      <c r="E19" s="71">
        <v>0</v>
      </c>
      <c r="F19" s="71">
        <v>0</v>
      </c>
      <c r="G19" s="71">
        <v>0</v>
      </c>
      <c r="H19" s="71">
        <v>0</v>
      </c>
      <c r="I19" s="71">
        <v>16</v>
      </c>
      <c r="K19" s="71" t="s">
        <v>2855</v>
      </c>
      <c r="L19" s="71">
        <v>149</v>
      </c>
      <c r="M19" s="71">
        <v>226</v>
      </c>
      <c r="N19" s="71">
        <v>365</v>
      </c>
      <c r="O19" s="71">
        <v>431</v>
      </c>
      <c r="P19" s="71">
        <v>342</v>
      </c>
      <c r="Q19" s="71">
        <v>1513</v>
      </c>
      <c r="T19" s="72" t="s">
        <v>358</v>
      </c>
      <c r="U19" s="72" t="s">
        <v>2855</v>
      </c>
      <c r="V19" s="72">
        <v>309</v>
      </c>
      <c r="W19" s="72">
        <v>221</v>
      </c>
      <c r="X19" s="72">
        <v>385</v>
      </c>
      <c r="Y19" s="72">
        <v>565</v>
      </c>
      <c r="Z19" s="72">
        <v>488</v>
      </c>
      <c r="AA19" s="72">
        <v>1968</v>
      </c>
      <c r="AB19" s="72"/>
      <c r="AC19" s="72" t="s">
        <v>2855</v>
      </c>
      <c r="AD19" s="72">
        <v>23</v>
      </c>
      <c r="AE19" s="72">
        <v>0</v>
      </c>
      <c r="AF19" s="72">
        <v>0</v>
      </c>
      <c r="AG19" s="72">
        <v>0</v>
      </c>
      <c r="AH19" s="72">
        <v>0</v>
      </c>
      <c r="AI19" s="72">
        <v>23</v>
      </c>
      <c r="AK19" s="73" t="s">
        <v>630</v>
      </c>
      <c r="AL19" s="73" t="s">
        <v>2855</v>
      </c>
      <c r="AM19" s="73">
        <v>330</v>
      </c>
      <c r="AN19" s="73">
        <v>243</v>
      </c>
      <c r="AO19" s="73">
        <v>353</v>
      </c>
      <c r="AP19" s="73">
        <v>491</v>
      </c>
      <c r="AQ19" s="73">
        <v>529</v>
      </c>
      <c r="AR19" s="73">
        <v>1946</v>
      </c>
      <c r="AS19" s="73"/>
      <c r="AT19" s="73" t="s">
        <v>2855</v>
      </c>
      <c r="AU19" s="73">
        <v>115</v>
      </c>
      <c r="AV19" s="73">
        <v>0</v>
      </c>
      <c r="AW19" s="73">
        <v>0</v>
      </c>
      <c r="AX19" s="73">
        <v>0</v>
      </c>
      <c r="AY19" s="73">
        <v>0</v>
      </c>
      <c r="AZ19" s="73">
        <v>115</v>
      </c>
      <c r="BB19" s="78" t="s">
        <v>828</v>
      </c>
      <c r="BC19" s="78" t="s">
        <v>2855</v>
      </c>
      <c r="BD19" s="78">
        <v>496</v>
      </c>
      <c r="BE19" s="78">
        <v>413</v>
      </c>
      <c r="BF19" s="78">
        <v>734</v>
      </c>
      <c r="BG19" s="78">
        <v>975</v>
      </c>
      <c r="BH19" s="78">
        <v>950</v>
      </c>
      <c r="BI19" s="78">
        <v>3568</v>
      </c>
      <c r="BJ19" s="78"/>
      <c r="BK19" s="78" t="s">
        <v>2855</v>
      </c>
      <c r="BL19" s="78">
        <v>52</v>
      </c>
      <c r="BM19" s="78">
        <v>0</v>
      </c>
      <c r="BN19" s="78">
        <v>0</v>
      </c>
      <c r="BO19" s="78">
        <v>0</v>
      </c>
      <c r="BP19" s="78">
        <v>0</v>
      </c>
      <c r="BQ19" s="78">
        <v>52</v>
      </c>
      <c r="BS19" s="80" t="s">
        <v>1135</v>
      </c>
      <c r="BT19" s="80" t="s">
        <v>2855</v>
      </c>
      <c r="BU19" s="80">
        <v>73</v>
      </c>
      <c r="BV19" s="80">
        <v>41</v>
      </c>
      <c r="BW19" s="80">
        <v>69</v>
      </c>
      <c r="BX19" s="80">
        <v>119</v>
      </c>
      <c r="BY19" s="80">
        <v>104</v>
      </c>
      <c r="BZ19" s="80">
        <v>406</v>
      </c>
      <c r="CA19" s="80"/>
      <c r="CB19" s="80" t="s">
        <v>2855</v>
      </c>
      <c r="CC19" s="80">
        <v>16</v>
      </c>
      <c r="CD19" s="80">
        <v>0</v>
      </c>
      <c r="CE19" s="80">
        <v>0</v>
      </c>
      <c r="CF19" s="80">
        <v>0</v>
      </c>
      <c r="CG19" s="80">
        <v>0</v>
      </c>
      <c r="CH19" s="80">
        <v>16</v>
      </c>
      <c r="CL19" s="61" t="s">
        <v>1216</v>
      </c>
      <c r="CM19" s="61" t="s">
        <v>2855</v>
      </c>
      <c r="CN19" s="61">
        <v>90</v>
      </c>
      <c r="CO19" s="61">
        <v>58</v>
      </c>
      <c r="CP19" s="61">
        <v>130</v>
      </c>
      <c r="CQ19" s="61">
        <v>197</v>
      </c>
      <c r="CR19" s="61">
        <v>234</v>
      </c>
      <c r="CS19" s="61">
        <v>709</v>
      </c>
      <c r="CT19" s="61"/>
      <c r="CU19" s="61" t="s">
        <v>2855</v>
      </c>
      <c r="CV19" s="61">
        <v>36</v>
      </c>
      <c r="CW19" s="61">
        <v>0</v>
      </c>
      <c r="CX19" s="61">
        <v>0</v>
      </c>
      <c r="CY19" s="61">
        <v>0</v>
      </c>
      <c r="CZ19" s="61">
        <v>0</v>
      </c>
      <c r="DA19" s="61">
        <v>36</v>
      </c>
      <c r="DD19" s="91" t="s">
        <v>1398</v>
      </c>
      <c r="DE19" s="91" t="s">
        <v>2856</v>
      </c>
      <c r="DF19" s="91">
        <v>341</v>
      </c>
      <c r="DG19" s="91">
        <v>564</v>
      </c>
      <c r="DH19" s="91">
        <v>715</v>
      </c>
      <c r="DI19" s="91">
        <v>823</v>
      </c>
      <c r="DJ19" s="91">
        <v>795</v>
      </c>
      <c r="DK19" s="91">
        <v>3238</v>
      </c>
      <c r="DL19" s="91"/>
      <c r="DM19" s="91" t="s">
        <v>2856</v>
      </c>
      <c r="DN19" s="91">
        <v>16</v>
      </c>
      <c r="DO19" s="91">
        <v>9</v>
      </c>
      <c r="DP19" s="91">
        <v>3</v>
      </c>
      <c r="DQ19" s="91">
        <v>1</v>
      </c>
      <c r="DR19" s="91">
        <v>0</v>
      </c>
      <c r="DS19" s="91">
        <v>29</v>
      </c>
      <c r="DV19" s="94" t="s">
        <v>1534</v>
      </c>
      <c r="DW19" s="94" t="s">
        <v>2855</v>
      </c>
      <c r="DX19" s="94">
        <v>507</v>
      </c>
      <c r="DY19" s="94">
        <v>794</v>
      </c>
      <c r="DZ19" s="94">
        <v>1251</v>
      </c>
      <c r="EA19" s="94">
        <v>1701</v>
      </c>
      <c r="EB19" s="94">
        <v>1369</v>
      </c>
      <c r="EC19" s="94">
        <v>5622</v>
      </c>
      <c r="ED19" s="94"/>
      <c r="EE19" s="94" t="s">
        <v>2855</v>
      </c>
      <c r="EF19" s="94">
        <v>21</v>
      </c>
      <c r="EG19" s="94">
        <v>3</v>
      </c>
      <c r="EH19" s="94">
        <v>0</v>
      </c>
      <c r="EI19" s="94">
        <v>0</v>
      </c>
      <c r="EJ19" s="94">
        <v>0</v>
      </c>
      <c r="EK19" s="94">
        <v>24</v>
      </c>
      <c r="EN19" s="61" t="s">
        <v>1637</v>
      </c>
      <c r="EO19" s="61" t="s">
        <v>2855</v>
      </c>
      <c r="EP19" s="61" t="s">
        <v>1970</v>
      </c>
      <c r="EQ19" s="61" t="s">
        <v>1970</v>
      </c>
      <c r="ER19" s="61" t="s">
        <v>1970</v>
      </c>
      <c r="ES19" s="61" t="s">
        <v>1970</v>
      </c>
      <c r="ET19" s="61" t="s">
        <v>1970</v>
      </c>
      <c r="EU19" s="61" t="s">
        <v>1970</v>
      </c>
      <c r="EV19" s="61"/>
      <c r="EW19" s="61" t="s">
        <v>2855</v>
      </c>
      <c r="EX19" s="61" t="s">
        <v>1970</v>
      </c>
      <c r="EY19" s="61" t="s">
        <v>1970</v>
      </c>
      <c r="EZ19" s="61" t="s">
        <v>1970</v>
      </c>
      <c r="FA19" s="61" t="s">
        <v>1970</v>
      </c>
      <c r="FB19" s="61" t="s">
        <v>1970</v>
      </c>
      <c r="FC19" s="61" t="s">
        <v>1970</v>
      </c>
      <c r="FF19" s="80" t="s">
        <v>1785</v>
      </c>
      <c r="FG19" s="80" t="s">
        <v>2855</v>
      </c>
      <c r="FH19" s="80" t="s">
        <v>1970</v>
      </c>
      <c r="FI19" s="80" t="s">
        <v>1970</v>
      </c>
      <c r="FJ19" s="80" t="s">
        <v>1970</v>
      </c>
      <c r="FK19" s="80" t="s">
        <v>1970</v>
      </c>
      <c r="FL19" s="80" t="s">
        <v>1970</v>
      </c>
      <c r="FM19" s="80" t="s">
        <v>1970</v>
      </c>
      <c r="FN19" s="80"/>
      <c r="FO19" s="80" t="s">
        <v>2855</v>
      </c>
      <c r="FP19" s="80" t="s">
        <v>1970</v>
      </c>
      <c r="FQ19" s="80" t="s">
        <v>1970</v>
      </c>
      <c r="FR19" s="80" t="s">
        <v>1970</v>
      </c>
      <c r="FS19" s="80" t="s">
        <v>1970</v>
      </c>
      <c r="FT19" s="80" t="s">
        <v>1970</v>
      </c>
      <c r="FU19" s="80" t="s">
        <v>1970</v>
      </c>
    </row>
    <row r="20" spans="1:177" x14ac:dyDescent="0.3">
      <c r="B20" s="71" t="s">
        <v>83</v>
      </c>
      <c r="C20" s="71" t="s">
        <v>2855</v>
      </c>
      <c r="D20" s="71">
        <v>54</v>
      </c>
      <c r="E20" s="71">
        <v>6</v>
      </c>
      <c r="F20" s="71">
        <v>0</v>
      </c>
      <c r="G20" s="71">
        <v>1</v>
      </c>
      <c r="H20" s="71">
        <v>0</v>
      </c>
      <c r="I20" s="71">
        <v>61</v>
      </c>
      <c r="K20" s="71" t="s">
        <v>2855</v>
      </c>
      <c r="L20" s="71">
        <v>388</v>
      </c>
      <c r="M20" s="71">
        <v>468</v>
      </c>
      <c r="N20" s="71">
        <v>558</v>
      </c>
      <c r="O20" s="71">
        <v>693</v>
      </c>
      <c r="P20" s="71">
        <v>524</v>
      </c>
      <c r="Q20" s="71">
        <v>2631</v>
      </c>
      <c r="T20" s="72" t="s">
        <v>364</v>
      </c>
      <c r="U20" s="72" t="s">
        <v>2855</v>
      </c>
      <c r="V20" s="72">
        <v>241</v>
      </c>
      <c r="W20" s="72">
        <v>303</v>
      </c>
      <c r="X20" s="72">
        <v>500</v>
      </c>
      <c r="Y20" s="72">
        <v>679</v>
      </c>
      <c r="Z20" s="72">
        <v>551</v>
      </c>
      <c r="AA20" s="72">
        <v>2274</v>
      </c>
      <c r="AB20" s="72"/>
      <c r="AC20" s="72" t="s">
        <v>2855</v>
      </c>
      <c r="AD20" s="72">
        <v>22</v>
      </c>
      <c r="AE20" s="72">
        <v>2</v>
      </c>
      <c r="AF20" s="72">
        <v>0</v>
      </c>
      <c r="AG20" s="72">
        <v>0</v>
      </c>
      <c r="AH20" s="72">
        <v>0</v>
      </c>
      <c r="AI20" s="72">
        <v>24</v>
      </c>
      <c r="AK20" s="73" t="s">
        <v>636</v>
      </c>
      <c r="AL20" s="73" t="s">
        <v>2855</v>
      </c>
      <c r="AM20" s="73">
        <v>397</v>
      </c>
      <c r="AN20" s="73">
        <v>255</v>
      </c>
      <c r="AO20" s="73">
        <v>408</v>
      </c>
      <c r="AP20" s="73">
        <v>570</v>
      </c>
      <c r="AQ20" s="73">
        <v>583</v>
      </c>
      <c r="AR20" s="73">
        <v>2213</v>
      </c>
      <c r="AS20" s="73"/>
      <c r="AT20" s="73" t="s">
        <v>2855</v>
      </c>
      <c r="AU20" s="73">
        <v>92</v>
      </c>
      <c r="AV20" s="73">
        <v>1</v>
      </c>
      <c r="AW20" s="73">
        <v>0</v>
      </c>
      <c r="AX20" s="73">
        <v>0</v>
      </c>
      <c r="AY20" s="73">
        <v>0</v>
      </c>
      <c r="AZ20" s="73">
        <v>93</v>
      </c>
      <c r="BB20" s="78" t="s">
        <v>833</v>
      </c>
      <c r="BC20" s="78" t="s">
        <v>2855</v>
      </c>
      <c r="BD20" s="78">
        <v>118</v>
      </c>
      <c r="BE20" s="78">
        <v>79</v>
      </c>
      <c r="BF20" s="78">
        <v>129</v>
      </c>
      <c r="BG20" s="78">
        <v>182</v>
      </c>
      <c r="BH20" s="78">
        <v>192</v>
      </c>
      <c r="BI20" s="78">
        <v>700</v>
      </c>
      <c r="BJ20" s="78"/>
      <c r="BK20" s="78" t="s">
        <v>2855</v>
      </c>
      <c r="BL20" s="78">
        <v>33</v>
      </c>
      <c r="BM20" s="78">
        <v>0</v>
      </c>
      <c r="BN20" s="78">
        <v>0</v>
      </c>
      <c r="BO20" s="78">
        <v>0</v>
      </c>
      <c r="BP20" s="78">
        <v>0</v>
      </c>
      <c r="BQ20" s="78">
        <v>33</v>
      </c>
      <c r="BS20" s="80" t="s">
        <v>1138</v>
      </c>
      <c r="BT20" s="80" t="s">
        <v>2855</v>
      </c>
      <c r="BU20" s="80">
        <v>152</v>
      </c>
      <c r="BV20" s="80">
        <v>143</v>
      </c>
      <c r="BW20" s="80">
        <v>236</v>
      </c>
      <c r="BX20" s="80">
        <v>329</v>
      </c>
      <c r="BY20" s="80">
        <v>335</v>
      </c>
      <c r="BZ20" s="80">
        <v>1195</v>
      </c>
      <c r="CA20" s="80"/>
      <c r="CB20" s="80" t="s">
        <v>2855</v>
      </c>
      <c r="CC20" s="80">
        <v>45</v>
      </c>
      <c r="CD20" s="80">
        <v>1</v>
      </c>
      <c r="CE20" s="80">
        <v>0</v>
      </c>
      <c r="CF20" s="80">
        <v>0</v>
      </c>
      <c r="CG20" s="80">
        <v>0</v>
      </c>
      <c r="CH20" s="80">
        <v>46</v>
      </c>
      <c r="CL20" s="61" t="s">
        <v>1221</v>
      </c>
      <c r="CM20" s="61" t="s">
        <v>2855</v>
      </c>
      <c r="CN20" s="61">
        <v>37</v>
      </c>
      <c r="CO20" s="61">
        <v>102</v>
      </c>
      <c r="CP20" s="61">
        <v>219</v>
      </c>
      <c r="CQ20" s="61">
        <v>327</v>
      </c>
      <c r="CR20" s="61">
        <v>351</v>
      </c>
      <c r="CS20" s="61">
        <v>1036</v>
      </c>
      <c r="CT20" s="61"/>
      <c r="CU20" s="61" t="s">
        <v>2855</v>
      </c>
      <c r="CV20" s="61">
        <v>10</v>
      </c>
      <c r="CW20" s="61">
        <v>0</v>
      </c>
      <c r="CX20" s="61">
        <v>0</v>
      </c>
      <c r="CY20" s="61">
        <v>0</v>
      </c>
      <c r="CZ20" s="61">
        <v>0</v>
      </c>
      <c r="DA20" s="61">
        <v>10</v>
      </c>
      <c r="DD20" s="91" t="s">
        <v>1402</v>
      </c>
      <c r="DE20" s="91" t="s">
        <v>2856</v>
      </c>
      <c r="DF20" s="91">
        <v>133</v>
      </c>
      <c r="DG20" s="91">
        <v>211</v>
      </c>
      <c r="DH20" s="91">
        <v>271</v>
      </c>
      <c r="DI20" s="91">
        <v>353</v>
      </c>
      <c r="DJ20" s="91">
        <v>382</v>
      </c>
      <c r="DK20" s="91">
        <v>1350</v>
      </c>
      <c r="DL20" s="91"/>
      <c r="DM20" s="91" t="s">
        <v>2856</v>
      </c>
      <c r="DN20" s="91">
        <v>10</v>
      </c>
      <c r="DO20" s="91">
        <v>12</v>
      </c>
      <c r="DP20" s="91">
        <v>1</v>
      </c>
      <c r="DQ20" s="91">
        <v>2</v>
      </c>
      <c r="DR20" s="91">
        <v>3</v>
      </c>
      <c r="DS20" s="91">
        <v>28</v>
      </c>
      <c r="DV20" s="94" t="s">
        <v>1538</v>
      </c>
      <c r="DW20" s="94" t="s">
        <v>2855</v>
      </c>
      <c r="DX20" s="94">
        <v>269</v>
      </c>
      <c r="DY20" s="94">
        <v>369</v>
      </c>
      <c r="DZ20" s="94">
        <v>486</v>
      </c>
      <c r="EA20" s="94">
        <v>542</v>
      </c>
      <c r="EB20" s="94">
        <v>412</v>
      </c>
      <c r="EC20" s="94">
        <v>2078</v>
      </c>
      <c r="ED20" s="94"/>
      <c r="EE20" s="94" t="s">
        <v>2855</v>
      </c>
      <c r="EF20" s="94">
        <v>18</v>
      </c>
      <c r="EG20" s="94">
        <v>1</v>
      </c>
      <c r="EH20" s="94">
        <v>0</v>
      </c>
      <c r="EI20" s="94">
        <v>0</v>
      </c>
      <c r="EJ20" s="94">
        <v>0</v>
      </c>
      <c r="EK20" s="94">
        <v>19</v>
      </c>
      <c r="EN20" s="61" t="s">
        <v>1641</v>
      </c>
      <c r="EO20" s="61" t="s">
        <v>2855</v>
      </c>
      <c r="EP20" s="61" t="s">
        <v>1970</v>
      </c>
      <c r="EQ20" s="61" t="s">
        <v>1970</v>
      </c>
      <c r="ER20" s="61" t="s">
        <v>1970</v>
      </c>
      <c r="ES20" s="61" t="s">
        <v>1970</v>
      </c>
      <c r="ET20" s="61" t="s">
        <v>1970</v>
      </c>
      <c r="EU20" s="61" t="s">
        <v>1970</v>
      </c>
      <c r="EV20" s="61"/>
      <c r="EW20" s="61" t="s">
        <v>2855</v>
      </c>
      <c r="EX20" s="61" t="s">
        <v>1970</v>
      </c>
      <c r="EY20" s="61" t="s">
        <v>1970</v>
      </c>
      <c r="EZ20" s="61" t="s">
        <v>1970</v>
      </c>
      <c r="FA20" s="61" t="s">
        <v>1970</v>
      </c>
      <c r="FB20" s="61" t="s">
        <v>1970</v>
      </c>
      <c r="FC20" s="61" t="s">
        <v>1970</v>
      </c>
      <c r="FF20" s="80" t="s">
        <v>1793</v>
      </c>
      <c r="FG20" s="80" t="s">
        <v>2855</v>
      </c>
      <c r="FH20" s="80">
        <v>471</v>
      </c>
      <c r="FI20" s="80">
        <v>584</v>
      </c>
      <c r="FJ20" s="80">
        <v>709</v>
      </c>
      <c r="FK20" s="80">
        <v>837</v>
      </c>
      <c r="FL20" s="80">
        <v>926</v>
      </c>
      <c r="FM20" s="80">
        <v>3527</v>
      </c>
      <c r="FN20" s="80"/>
      <c r="FO20" s="80" t="s">
        <v>2855</v>
      </c>
      <c r="FP20" s="80">
        <v>89</v>
      </c>
      <c r="FQ20" s="80">
        <v>8</v>
      </c>
      <c r="FR20" s="80">
        <v>0</v>
      </c>
      <c r="FS20" s="80">
        <v>0</v>
      </c>
      <c r="FT20" s="80">
        <v>0</v>
      </c>
      <c r="FU20" s="80">
        <v>97</v>
      </c>
    </row>
    <row r="21" spans="1:177" x14ac:dyDescent="0.3">
      <c r="B21" s="71" t="s">
        <v>88</v>
      </c>
      <c r="C21" s="71" t="s">
        <v>2855</v>
      </c>
      <c r="D21" s="71">
        <v>51</v>
      </c>
      <c r="E21" s="71">
        <v>0</v>
      </c>
      <c r="F21" s="71">
        <v>0</v>
      </c>
      <c r="G21" s="71">
        <v>0</v>
      </c>
      <c r="H21" s="71">
        <v>0</v>
      </c>
      <c r="I21" s="71">
        <v>51</v>
      </c>
      <c r="K21" s="71" t="s">
        <v>2855</v>
      </c>
      <c r="L21" s="71">
        <v>149</v>
      </c>
      <c r="M21" s="71">
        <v>163</v>
      </c>
      <c r="N21" s="71">
        <v>169</v>
      </c>
      <c r="O21" s="71">
        <v>255</v>
      </c>
      <c r="P21" s="71">
        <v>284</v>
      </c>
      <c r="Q21" s="71">
        <v>1020</v>
      </c>
      <c r="T21" s="72" t="s">
        <v>370</v>
      </c>
      <c r="U21" s="72" t="s">
        <v>2855</v>
      </c>
      <c r="V21" s="72">
        <v>1181</v>
      </c>
      <c r="W21" s="72">
        <v>1277</v>
      </c>
      <c r="X21" s="72">
        <v>1379</v>
      </c>
      <c r="Y21" s="72">
        <v>1541</v>
      </c>
      <c r="Z21" s="72">
        <v>1074</v>
      </c>
      <c r="AA21" s="72">
        <v>6452</v>
      </c>
      <c r="AB21" s="72"/>
      <c r="AC21" s="72" t="s">
        <v>2855</v>
      </c>
      <c r="AD21" s="72">
        <v>138</v>
      </c>
      <c r="AE21" s="72">
        <v>25</v>
      </c>
      <c r="AF21" s="72">
        <v>5</v>
      </c>
      <c r="AG21" s="72">
        <v>6</v>
      </c>
      <c r="AH21" s="72">
        <v>4</v>
      </c>
      <c r="AI21" s="72">
        <v>178</v>
      </c>
      <c r="AK21" s="73" t="s">
        <v>642</v>
      </c>
      <c r="AL21" s="73" t="s">
        <v>2855</v>
      </c>
      <c r="AM21" s="73">
        <v>465</v>
      </c>
      <c r="AN21" s="73">
        <v>283</v>
      </c>
      <c r="AO21" s="73">
        <v>446</v>
      </c>
      <c r="AP21" s="73">
        <v>542</v>
      </c>
      <c r="AQ21" s="73">
        <v>582</v>
      </c>
      <c r="AR21" s="73">
        <v>2318</v>
      </c>
      <c r="AS21" s="73"/>
      <c r="AT21" s="73" t="s">
        <v>2855</v>
      </c>
      <c r="AU21" s="73">
        <v>126</v>
      </c>
      <c r="AV21" s="73">
        <v>0</v>
      </c>
      <c r="AW21" s="73">
        <v>0</v>
      </c>
      <c r="AX21" s="73">
        <v>0</v>
      </c>
      <c r="AY21" s="73">
        <v>0</v>
      </c>
      <c r="AZ21" s="73">
        <v>126</v>
      </c>
      <c r="BB21" s="78" t="s">
        <v>838</v>
      </c>
      <c r="BC21" s="78" t="s">
        <v>2855</v>
      </c>
      <c r="BD21" s="78">
        <v>228</v>
      </c>
      <c r="BE21" s="78">
        <v>193</v>
      </c>
      <c r="BF21" s="78">
        <v>316</v>
      </c>
      <c r="BG21" s="78">
        <v>449</v>
      </c>
      <c r="BH21" s="78">
        <v>389</v>
      </c>
      <c r="BI21" s="78">
        <v>1575</v>
      </c>
      <c r="BJ21" s="78"/>
      <c r="BK21" s="78" t="s">
        <v>2855</v>
      </c>
      <c r="BL21" s="78">
        <v>92</v>
      </c>
      <c r="BM21" s="78">
        <v>0</v>
      </c>
      <c r="BN21" s="78">
        <v>0</v>
      </c>
      <c r="BO21" s="78">
        <v>0</v>
      </c>
      <c r="BP21" s="78">
        <v>0</v>
      </c>
      <c r="BQ21" s="78">
        <v>92</v>
      </c>
      <c r="BS21" s="80" t="s">
        <v>1142</v>
      </c>
      <c r="BT21" s="80" t="s">
        <v>2855</v>
      </c>
      <c r="BU21" s="80">
        <v>736</v>
      </c>
      <c r="BV21" s="80">
        <v>424</v>
      </c>
      <c r="BW21" s="80">
        <v>297</v>
      </c>
      <c r="BX21" s="80">
        <v>243</v>
      </c>
      <c r="BY21" s="80">
        <v>233</v>
      </c>
      <c r="BZ21" s="80">
        <v>1933</v>
      </c>
      <c r="CA21" s="80"/>
      <c r="CB21" s="80" t="s">
        <v>2855</v>
      </c>
      <c r="CC21" s="80">
        <v>30</v>
      </c>
      <c r="CD21" s="80">
        <v>0</v>
      </c>
      <c r="CE21" s="80">
        <v>0</v>
      </c>
      <c r="CF21" s="80">
        <v>0</v>
      </c>
      <c r="CG21" s="80">
        <v>0</v>
      </c>
      <c r="CH21" s="80">
        <v>30</v>
      </c>
      <c r="CL21" s="61" t="s">
        <v>1348</v>
      </c>
      <c r="CM21" s="61" t="s">
        <v>2855</v>
      </c>
      <c r="CN21" s="61">
        <v>93</v>
      </c>
      <c r="CO21" s="61">
        <v>62</v>
      </c>
      <c r="CP21" s="61">
        <v>67</v>
      </c>
      <c r="CQ21" s="61">
        <v>53</v>
      </c>
      <c r="CR21" s="61">
        <v>44</v>
      </c>
      <c r="CS21" s="61">
        <v>319</v>
      </c>
      <c r="CT21" s="61"/>
      <c r="CU21" s="61" t="s">
        <v>2855</v>
      </c>
      <c r="CV21" s="61">
        <v>20</v>
      </c>
      <c r="CW21" s="61">
        <v>0</v>
      </c>
      <c r="CX21" s="61">
        <v>0</v>
      </c>
      <c r="CY21" s="61">
        <v>0</v>
      </c>
      <c r="CZ21" s="61">
        <v>0</v>
      </c>
      <c r="DA21" s="61">
        <v>20</v>
      </c>
      <c r="DD21" s="91" t="s">
        <v>1406</v>
      </c>
      <c r="DE21" s="91" t="s">
        <v>2856</v>
      </c>
      <c r="DF21" s="91">
        <v>847</v>
      </c>
      <c r="DG21" s="91">
        <v>1026</v>
      </c>
      <c r="DH21" s="91">
        <v>1375</v>
      </c>
      <c r="DI21" s="91">
        <v>1623</v>
      </c>
      <c r="DJ21" s="91">
        <v>1278</v>
      </c>
      <c r="DK21" s="91">
        <v>6149</v>
      </c>
      <c r="DL21" s="91"/>
      <c r="DM21" s="91" t="s">
        <v>2856</v>
      </c>
      <c r="DN21" s="91">
        <v>70</v>
      </c>
      <c r="DO21" s="91">
        <v>40</v>
      </c>
      <c r="DP21" s="91">
        <v>9</v>
      </c>
      <c r="DQ21" s="91">
        <v>6</v>
      </c>
      <c r="DR21" s="91">
        <v>2</v>
      </c>
      <c r="DS21" s="91">
        <v>127</v>
      </c>
      <c r="DV21" s="94" t="s">
        <v>1554</v>
      </c>
      <c r="DW21" s="94" t="s">
        <v>2855</v>
      </c>
      <c r="DX21" s="94">
        <v>168</v>
      </c>
      <c r="DY21" s="94">
        <v>132</v>
      </c>
      <c r="DZ21" s="94">
        <v>123</v>
      </c>
      <c r="EA21" s="94">
        <v>157</v>
      </c>
      <c r="EB21" s="94">
        <v>170</v>
      </c>
      <c r="EC21" s="94">
        <v>750</v>
      </c>
      <c r="ED21" s="94"/>
      <c r="EE21" s="94" t="s">
        <v>2855</v>
      </c>
      <c r="EF21" s="94">
        <v>16</v>
      </c>
      <c r="EG21" s="94">
        <v>1</v>
      </c>
      <c r="EH21" s="94">
        <v>0</v>
      </c>
      <c r="EI21" s="94">
        <v>0</v>
      </c>
      <c r="EJ21" s="94">
        <v>0</v>
      </c>
      <c r="EK21" s="94">
        <v>17</v>
      </c>
      <c r="EN21" s="61" t="s">
        <v>1645</v>
      </c>
      <c r="EO21" s="61" t="s">
        <v>2855</v>
      </c>
      <c r="EP21" s="61">
        <v>303</v>
      </c>
      <c r="EQ21" s="61">
        <v>493</v>
      </c>
      <c r="ER21" s="61">
        <v>579</v>
      </c>
      <c r="ES21" s="61">
        <v>755</v>
      </c>
      <c r="ET21" s="61">
        <v>878</v>
      </c>
      <c r="EU21" s="61">
        <v>3008</v>
      </c>
      <c r="EV21" s="61"/>
      <c r="EW21" s="61" t="s">
        <v>2855</v>
      </c>
      <c r="EX21" s="61">
        <v>54</v>
      </c>
      <c r="EY21" s="61">
        <v>31</v>
      </c>
      <c r="EZ21" s="61">
        <v>21</v>
      </c>
      <c r="FA21" s="61">
        <v>20</v>
      </c>
      <c r="FB21" s="61">
        <v>37</v>
      </c>
      <c r="FC21" s="61">
        <v>163</v>
      </c>
      <c r="FF21" s="80" t="s">
        <v>1799</v>
      </c>
      <c r="FG21" s="80" t="s">
        <v>2855</v>
      </c>
      <c r="FH21" s="80">
        <v>557</v>
      </c>
      <c r="FI21" s="80">
        <v>647</v>
      </c>
      <c r="FJ21" s="80">
        <v>786</v>
      </c>
      <c r="FK21" s="80">
        <v>842</v>
      </c>
      <c r="FL21" s="80">
        <v>886</v>
      </c>
      <c r="FM21" s="80">
        <v>3718</v>
      </c>
      <c r="FN21" s="80"/>
      <c r="FO21" s="80" t="s">
        <v>2855</v>
      </c>
      <c r="FP21" s="80">
        <v>67</v>
      </c>
      <c r="FQ21" s="80">
        <v>32</v>
      </c>
      <c r="FR21" s="80">
        <v>0</v>
      </c>
      <c r="FS21" s="80">
        <v>0</v>
      </c>
      <c r="FT21" s="80">
        <v>0</v>
      </c>
      <c r="FU21" s="80">
        <v>99</v>
      </c>
    </row>
    <row r="22" spans="1:177" x14ac:dyDescent="0.3">
      <c r="B22" s="71" t="s">
        <v>97</v>
      </c>
      <c r="C22" s="71" t="s">
        <v>2855</v>
      </c>
      <c r="D22" s="71" t="s">
        <v>1970</v>
      </c>
      <c r="E22" s="71" t="s">
        <v>1970</v>
      </c>
      <c r="F22" s="71" t="s">
        <v>1970</v>
      </c>
      <c r="G22" s="71" t="s">
        <v>1970</v>
      </c>
      <c r="H22" s="71" t="s">
        <v>1970</v>
      </c>
      <c r="I22" s="71" t="s">
        <v>1970</v>
      </c>
      <c r="K22" s="71" t="s">
        <v>2855</v>
      </c>
      <c r="L22" s="71" t="s">
        <v>1970</v>
      </c>
      <c r="M22" s="71" t="s">
        <v>1970</v>
      </c>
      <c r="N22" s="71" t="s">
        <v>1970</v>
      </c>
      <c r="O22" s="71" t="s">
        <v>1970</v>
      </c>
      <c r="P22" s="71" t="s">
        <v>1970</v>
      </c>
      <c r="Q22" s="71" t="s">
        <v>1970</v>
      </c>
      <c r="T22" s="72" t="s">
        <v>376</v>
      </c>
      <c r="U22" s="72" t="s">
        <v>2855</v>
      </c>
      <c r="V22" s="72">
        <v>1047</v>
      </c>
      <c r="W22" s="72">
        <v>1221</v>
      </c>
      <c r="X22" s="72">
        <v>1571</v>
      </c>
      <c r="Y22" s="72">
        <v>1755</v>
      </c>
      <c r="Z22" s="72">
        <v>1238</v>
      </c>
      <c r="AA22" s="72">
        <v>6832</v>
      </c>
      <c r="AB22" s="72"/>
      <c r="AC22" s="72" t="s">
        <v>2855</v>
      </c>
      <c r="AD22" s="72">
        <v>81</v>
      </c>
      <c r="AE22" s="72">
        <v>5</v>
      </c>
      <c r="AF22" s="72">
        <v>0</v>
      </c>
      <c r="AG22" s="72">
        <v>2</v>
      </c>
      <c r="AH22" s="72">
        <v>1</v>
      </c>
      <c r="AI22" s="72">
        <v>89</v>
      </c>
      <c r="AK22" s="73" t="s">
        <v>648</v>
      </c>
      <c r="AL22" s="73" t="s">
        <v>2855</v>
      </c>
      <c r="AM22" s="73">
        <v>1086</v>
      </c>
      <c r="AN22" s="73">
        <v>926</v>
      </c>
      <c r="AO22" s="73">
        <v>1079</v>
      </c>
      <c r="AP22" s="73">
        <v>1143</v>
      </c>
      <c r="AQ22" s="73">
        <v>843</v>
      </c>
      <c r="AR22" s="73">
        <v>5077</v>
      </c>
      <c r="AS22" s="73"/>
      <c r="AT22" s="73" t="s">
        <v>2855</v>
      </c>
      <c r="AU22" s="73">
        <v>155</v>
      </c>
      <c r="AV22" s="73">
        <v>1</v>
      </c>
      <c r="AW22" s="73">
        <v>0</v>
      </c>
      <c r="AX22" s="73">
        <v>0</v>
      </c>
      <c r="AY22" s="73">
        <v>0</v>
      </c>
      <c r="AZ22" s="73">
        <v>156</v>
      </c>
      <c r="BB22" s="78" t="s">
        <v>842</v>
      </c>
      <c r="BC22" s="78" t="s">
        <v>2855</v>
      </c>
      <c r="BD22" s="78">
        <v>146</v>
      </c>
      <c r="BE22" s="78">
        <v>53</v>
      </c>
      <c r="BF22" s="78">
        <v>122</v>
      </c>
      <c r="BG22" s="78">
        <v>172</v>
      </c>
      <c r="BH22" s="78">
        <v>166</v>
      </c>
      <c r="BI22" s="78">
        <v>659</v>
      </c>
      <c r="BJ22" s="78"/>
      <c r="BK22" s="78" t="s">
        <v>2855</v>
      </c>
      <c r="BL22" s="78">
        <v>32</v>
      </c>
      <c r="BM22" s="78">
        <v>0</v>
      </c>
      <c r="BN22" s="78">
        <v>0</v>
      </c>
      <c r="BO22" s="78">
        <v>0</v>
      </c>
      <c r="BP22" s="78">
        <v>0</v>
      </c>
      <c r="BQ22" s="78">
        <v>32</v>
      </c>
      <c r="BS22" s="80" t="s">
        <v>1146</v>
      </c>
      <c r="BT22" s="80" t="s">
        <v>2855</v>
      </c>
      <c r="BU22" s="80">
        <v>81</v>
      </c>
      <c r="BV22" s="80">
        <v>84</v>
      </c>
      <c r="BW22" s="80">
        <v>171</v>
      </c>
      <c r="BX22" s="80">
        <v>285</v>
      </c>
      <c r="BY22" s="80">
        <v>244</v>
      </c>
      <c r="BZ22" s="80">
        <v>865</v>
      </c>
      <c r="CA22" s="80"/>
      <c r="CB22" s="80" t="s">
        <v>2855</v>
      </c>
      <c r="CC22" s="80">
        <v>24</v>
      </c>
      <c r="CD22" s="80">
        <v>0</v>
      </c>
      <c r="CE22" s="80">
        <v>0</v>
      </c>
      <c r="CF22" s="80">
        <v>0</v>
      </c>
      <c r="CG22" s="80">
        <v>0</v>
      </c>
      <c r="CH22" s="80">
        <v>24</v>
      </c>
      <c r="CL22" s="61" t="s">
        <v>1352</v>
      </c>
      <c r="CM22" s="61" t="s">
        <v>2855</v>
      </c>
      <c r="CN22" s="61" t="s">
        <v>1970</v>
      </c>
      <c r="CO22" s="61" t="s">
        <v>1970</v>
      </c>
      <c r="CP22" s="61" t="s">
        <v>1970</v>
      </c>
      <c r="CQ22" s="61" t="s">
        <v>1970</v>
      </c>
      <c r="CR22" s="61" t="s">
        <v>1970</v>
      </c>
      <c r="CS22" s="61" t="s">
        <v>1970</v>
      </c>
      <c r="CT22" s="61"/>
      <c r="CU22" s="61" t="s">
        <v>2855</v>
      </c>
      <c r="CV22" s="61" t="s">
        <v>1970</v>
      </c>
      <c r="CW22" s="61" t="s">
        <v>1970</v>
      </c>
      <c r="CX22" s="61" t="s">
        <v>1970</v>
      </c>
      <c r="CY22" s="61" t="s">
        <v>1970</v>
      </c>
      <c r="CZ22" s="61" t="s">
        <v>1970</v>
      </c>
      <c r="DA22" s="61" t="s">
        <v>1970</v>
      </c>
      <c r="DD22" s="91" t="s">
        <v>1434</v>
      </c>
      <c r="DE22" s="91" t="s">
        <v>2856</v>
      </c>
      <c r="DF22" s="91">
        <v>144</v>
      </c>
      <c r="DG22" s="91">
        <v>219</v>
      </c>
      <c r="DH22" s="91">
        <v>260</v>
      </c>
      <c r="DI22" s="91">
        <v>325</v>
      </c>
      <c r="DJ22" s="91">
        <v>253</v>
      </c>
      <c r="DK22" s="91">
        <v>1201</v>
      </c>
      <c r="DL22" s="91"/>
      <c r="DM22" s="91" t="s">
        <v>2856</v>
      </c>
      <c r="DN22" s="91">
        <v>7</v>
      </c>
      <c r="DO22" s="91">
        <v>11</v>
      </c>
      <c r="DP22" s="91">
        <v>0</v>
      </c>
      <c r="DQ22" s="91">
        <v>2</v>
      </c>
      <c r="DR22" s="91">
        <v>2</v>
      </c>
      <c r="DS22" s="91">
        <v>22</v>
      </c>
      <c r="DV22" s="94" t="s">
        <v>1558</v>
      </c>
      <c r="DW22" s="94" t="s">
        <v>2855</v>
      </c>
      <c r="DX22" s="94">
        <v>247</v>
      </c>
      <c r="DY22" s="94">
        <v>283</v>
      </c>
      <c r="DZ22" s="94">
        <v>381</v>
      </c>
      <c r="EA22" s="94">
        <v>406</v>
      </c>
      <c r="EB22" s="94">
        <v>293</v>
      </c>
      <c r="EC22" s="94">
        <v>1610</v>
      </c>
      <c r="ED22" s="94"/>
      <c r="EE22" s="94" t="s">
        <v>2855</v>
      </c>
      <c r="EF22" s="94">
        <v>16</v>
      </c>
      <c r="EG22" s="94">
        <v>1</v>
      </c>
      <c r="EH22" s="94">
        <v>0</v>
      </c>
      <c r="EI22" s="94">
        <v>0</v>
      </c>
      <c r="EJ22" s="94">
        <v>0</v>
      </c>
      <c r="EK22" s="94">
        <v>17</v>
      </c>
      <c r="EN22" s="61" t="s">
        <v>1649</v>
      </c>
      <c r="EO22" s="61" t="s">
        <v>2855</v>
      </c>
      <c r="EP22" s="61" t="s">
        <v>1970</v>
      </c>
      <c r="EQ22" s="61" t="s">
        <v>1970</v>
      </c>
      <c r="ER22" s="61" t="s">
        <v>1970</v>
      </c>
      <c r="ES22" s="61" t="s">
        <v>1970</v>
      </c>
      <c r="ET22" s="61" t="s">
        <v>1970</v>
      </c>
      <c r="EU22" s="61" t="s">
        <v>1970</v>
      </c>
      <c r="EV22" s="61"/>
      <c r="EW22" s="61" t="s">
        <v>2855</v>
      </c>
      <c r="EX22" s="61" t="s">
        <v>1970</v>
      </c>
      <c r="EY22" s="61" t="s">
        <v>1970</v>
      </c>
      <c r="EZ22" s="61" t="s">
        <v>1970</v>
      </c>
      <c r="FA22" s="61" t="s">
        <v>1970</v>
      </c>
      <c r="FB22" s="61" t="s">
        <v>1970</v>
      </c>
      <c r="FC22" s="61" t="s">
        <v>1970</v>
      </c>
      <c r="FF22" s="80" t="s">
        <v>1805</v>
      </c>
      <c r="FG22" s="80" t="s">
        <v>2855</v>
      </c>
      <c r="FH22" s="80">
        <v>567</v>
      </c>
      <c r="FI22" s="80">
        <v>663</v>
      </c>
      <c r="FJ22" s="80">
        <v>780</v>
      </c>
      <c r="FK22" s="80">
        <v>800</v>
      </c>
      <c r="FL22" s="80">
        <v>927</v>
      </c>
      <c r="FM22" s="80">
        <v>3737</v>
      </c>
      <c r="FN22" s="80"/>
      <c r="FO22" s="80" t="s">
        <v>2855</v>
      </c>
      <c r="FP22" s="80">
        <v>85</v>
      </c>
      <c r="FQ22" s="80">
        <v>12</v>
      </c>
      <c r="FR22" s="80">
        <v>0</v>
      </c>
      <c r="FS22" s="80">
        <v>0</v>
      </c>
      <c r="FT22" s="80">
        <v>0</v>
      </c>
      <c r="FU22" s="80">
        <v>97</v>
      </c>
    </row>
    <row r="23" spans="1:177" x14ac:dyDescent="0.3">
      <c r="B23" s="71" t="s">
        <v>103</v>
      </c>
      <c r="C23" s="71" t="s">
        <v>2855</v>
      </c>
      <c r="D23" s="71" t="s">
        <v>1970</v>
      </c>
      <c r="E23" s="71" t="s">
        <v>1970</v>
      </c>
      <c r="F23" s="71" t="s">
        <v>1970</v>
      </c>
      <c r="G23" s="71" t="s">
        <v>1970</v>
      </c>
      <c r="H23" s="71" t="s">
        <v>1970</v>
      </c>
      <c r="I23" s="71" t="s">
        <v>1970</v>
      </c>
      <c r="K23" s="71" t="s">
        <v>2855</v>
      </c>
      <c r="L23" s="71" t="s">
        <v>1970</v>
      </c>
      <c r="M23" s="71" t="s">
        <v>1970</v>
      </c>
      <c r="N23" s="71" t="s">
        <v>1970</v>
      </c>
      <c r="O23" s="71" t="s">
        <v>1970</v>
      </c>
      <c r="P23" s="71" t="s">
        <v>1970</v>
      </c>
      <c r="Q23" s="71" t="s">
        <v>1970</v>
      </c>
      <c r="T23" s="72" t="s">
        <v>383</v>
      </c>
      <c r="U23" s="72" t="s">
        <v>2855</v>
      </c>
      <c r="V23" s="72">
        <v>1042</v>
      </c>
      <c r="W23" s="72">
        <v>585</v>
      </c>
      <c r="X23" s="72">
        <v>615</v>
      </c>
      <c r="Y23" s="72">
        <v>685</v>
      </c>
      <c r="Z23" s="72">
        <v>550</v>
      </c>
      <c r="AA23" s="72">
        <v>3477</v>
      </c>
      <c r="AB23" s="72"/>
      <c r="AC23" s="72" t="s">
        <v>2855</v>
      </c>
      <c r="AD23" s="72">
        <v>11</v>
      </c>
      <c r="AE23" s="72">
        <v>1</v>
      </c>
      <c r="AF23" s="72">
        <v>0</v>
      </c>
      <c r="AG23" s="72">
        <v>0</v>
      </c>
      <c r="AH23" s="72">
        <v>0</v>
      </c>
      <c r="AI23" s="72">
        <v>12</v>
      </c>
      <c r="AK23" s="73" t="s">
        <v>654</v>
      </c>
      <c r="AL23" s="73" t="s">
        <v>2855</v>
      </c>
      <c r="AM23" s="73">
        <v>343</v>
      </c>
      <c r="AN23" s="73">
        <v>289</v>
      </c>
      <c r="AO23" s="73">
        <v>407</v>
      </c>
      <c r="AP23" s="73">
        <v>633</v>
      </c>
      <c r="AQ23" s="73">
        <v>631</v>
      </c>
      <c r="AR23" s="73">
        <v>2303</v>
      </c>
      <c r="AS23" s="73"/>
      <c r="AT23" s="73" t="s">
        <v>2855</v>
      </c>
      <c r="AU23" s="73">
        <v>42</v>
      </c>
      <c r="AV23" s="73">
        <v>1</v>
      </c>
      <c r="AW23" s="73">
        <v>0</v>
      </c>
      <c r="AX23" s="73">
        <v>0</v>
      </c>
      <c r="AY23" s="73">
        <v>0</v>
      </c>
      <c r="AZ23" s="73">
        <v>43</v>
      </c>
      <c r="BB23" s="78" t="s">
        <v>848</v>
      </c>
      <c r="BC23" s="78" t="s">
        <v>2855</v>
      </c>
      <c r="BD23" s="78">
        <v>35</v>
      </c>
      <c r="BE23" s="78">
        <v>34</v>
      </c>
      <c r="BF23" s="78">
        <v>91</v>
      </c>
      <c r="BG23" s="78">
        <v>127</v>
      </c>
      <c r="BH23" s="78">
        <v>122</v>
      </c>
      <c r="BI23" s="78">
        <v>409</v>
      </c>
      <c r="BJ23" s="78"/>
      <c r="BK23" s="78" t="s">
        <v>2855</v>
      </c>
      <c r="BL23" s="78">
        <v>15</v>
      </c>
      <c r="BM23" s="78">
        <v>1</v>
      </c>
      <c r="BN23" s="78">
        <v>0</v>
      </c>
      <c r="BO23" s="78">
        <v>0</v>
      </c>
      <c r="BP23" s="78">
        <v>0</v>
      </c>
      <c r="BQ23" s="78">
        <v>16</v>
      </c>
      <c r="BS23" s="80" t="s">
        <v>1150</v>
      </c>
      <c r="BT23" s="80" t="s">
        <v>2855</v>
      </c>
      <c r="BU23" s="80">
        <v>50</v>
      </c>
      <c r="BV23" s="80">
        <v>79</v>
      </c>
      <c r="BW23" s="80">
        <v>163</v>
      </c>
      <c r="BX23" s="80">
        <v>280</v>
      </c>
      <c r="BY23" s="80">
        <v>290</v>
      </c>
      <c r="BZ23" s="80">
        <v>862</v>
      </c>
      <c r="CA23" s="80"/>
      <c r="CB23" s="80" t="s">
        <v>2855</v>
      </c>
      <c r="CC23" s="80">
        <v>14</v>
      </c>
      <c r="CD23" s="80">
        <v>0</v>
      </c>
      <c r="CE23" s="80">
        <v>0</v>
      </c>
      <c r="CF23" s="80">
        <v>0</v>
      </c>
      <c r="CG23" s="80">
        <v>0</v>
      </c>
      <c r="CH23" s="80">
        <v>14</v>
      </c>
      <c r="CL23" s="61" t="s">
        <v>1362</v>
      </c>
      <c r="CM23" s="61" t="s">
        <v>2855</v>
      </c>
      <c r="CN23" s="61">
        <v>72</v>
      </c>
      <c r="CO23" s="61">
        <v>132</v>
      </c>
      <c r="CP23" s="61">
        <v>298</v>
      </c>
      <c r="CQ23" s="61">
        <v>484</v>
      </c>
      <c r="CR23" s="61">
        <v>410</v>
      </c>
      <c r="CS23" s="61">
        <v>1396</v>
      </c>
      <c r="CT23" s="61"/>
      <c r="CU23" s="61" t="s">
        <v>2855</v>
      </c>
      <c r="CV23" s="61">
        <v>15</v>
      </c>
      <c r="CW23" s="61">
        <v>1</v>
      </c>
      <c r="CX23" s="61">
        <v>0</v>
      </c>
      <c r="CY23" s="61">
        <v>0</v>
      </c>
      <c r="CZ23" s="61">
        <v>0</v>
      </c>
      <c r="DA23" s="61">
        <v>16</v>
      </c>
      <c r="DD23" s="91" t="s">
        <v>1439</v>
      </c>
      <c r="DE23" s="91" t="s">
        <v>2856</v>
      </c>
      <c r="DF23" s="91">
        <v>341</v>
      </c>
      <c r="DG23" s="91">
        <v>556</v>
      </c>
      <c r="DH23" s="91">
        <v>721</v>
      </c>
      <c r="DI23" s="91">
        <v>941</v>
      </c>
      <c r="DJ23" s="91">
        <v>701</v>
      </c>
      <c r="DK23" s="91">
        <v>3260</v>
      </c>
      <c r="DL23" s="91"/>
      <c r="DM23" s="91" t="s">
        <v>2856</v>
      </c>
      <c r="DN23" s="91">
        <v>15</v>
      </c>
      <c r="DO23" s="91">
        <v>6</v>
      </c>
      <c r="DP23" s="91">
        <v>1</v>
      </c>
      <c r="DQ23" s="91">
        <v>3</v>
      </c>
      <c r="DR23" s="91">
        <v>0</v>
      </c>
      <c r="DS23" s="91">
        <v>25</v>
      </c>
      <c r="DV23" s="94" t="s">
        <v>1562</v>
      </c>
      <c r="DW23" s="94" t="s">
        <v>2855</v>
      </c>
      <c r="DX23" s="94">
        <v>130</v>
      </c>
      <c r="DY23" s="94">
        <v>132</v>
      </c>
      <c r="DZ23" s="94">
        <v>189</v>
      </c>
      <c r="EA23" s="94">
        <v>221</v>
      </c>
      <c r="EB23" s="94">
        <v>220</v>
      </c>
      <c r="EC23" s="94">
        <v>892</v>
      </c>
      <c r="ED23" s="94"/>
      <c r="EE23" s="94" t="s">
        <v>2855</v>
      </c>
      <c r="EF23" s="94">
        <v>13</v>
      </c>
      <c r="EG23" s="94">
        <v>0</v>
      </c>
      <c r="EH23" s="94">
        <v>0</v>
      </c>
      <c r="EI23" s="94">
        <v>0</v>
      </c>
      <c r="EJ23" s="94">
        <v>0</v>
      </c>
      <c r="EK23" s="94">
        <v>13</v>
      </c>
      <c r="EN23" s="61" t="s">
        <v>1653</v>
      </c>
      <c r="EO23" s="61" t="s">
        <v>2855</v>
      </c>
      <c r="EP23" s="61" t="s">
        <v>1970</v>
      </c>
      <c r="EQ23" s="61" t="s">
        <v>1970</v>
      </c>
      <c r="ER23" s="61" t="s">
        <v>1970</v>
      </c>
      <c r="ES23" s="61" t="s">
        <v>1970</v>
      </c>
      <c r="ET23" s="61" t="s">
        <v>1970</v>
      </c>
      <c r="EU23" s="61" t="s">
        <v>1970</v>
      </c>
      <c r="EV23" s="61"/>
      <c r="EW23" s="61" t="s">
        <v>2855</v>
      </c>
      <c r="EX23" s="61" t="s">
        <v>1970</v>
      </c>
      <c r="EY23" s="61" t="s">
        <v>1970</v>
      </c>
      <c r="EZ23" s="61" t="s">
        <v>1970</v>
      </c>
      <c r="FA23" s="61" t="s">
        <v>1970</v>
      </c>
      <c r="FB23" s="61" t="s">
        <v>1970</v>
      </c>
      <c r="FC23" s="61" t="s">
        <v>1970</v>
      </c>
      <c r="FF23" s="80" t="s">
        <v>1811</v>
      </c>
      <c r="FG23" s="80" t="s">
        <v>2855</v>
      </c>
      <c r="FH23" s="80">
        <v>2297</v>
      </c>
      <c r="FI23" s="80">
        <v>1249</v>
      </c>
      <c r="FJ23" s="80">
        <v>908</v>
      </c>
      <c r="FK23" s="80">
        <v>806</v>
      </c>
      <c r="FL23" s="80">
        <v>903</v>
      </c>
      <c r="FM23" s="80">
        <v>6163</v>
      </c>
      <c r="FN23" s="80"/>
      <c r="FO23" s="80" t="s">
        <v>2855</v>
      </c>
      <c r="FP23" s="80">
        <v>277</v>
      </c>
      <c r="FQ23" s="80">
        <v>0</v>
      </c>
      <c r="FR23" s="80">
        <v>0</v>
      </c>
      <c r="FS23" s="80">
        <v>0</v>
      </c>
      <c r="FT23" s="80">
        <v>0</v>
      </c>
      <c r="FU23" s="80">
        <v>277</v>
      </c>
    </row>
    <row r="24" spans="1:177" x14ac:dyDescent="0.3">
      <c r="A24" s="187" t="s">
        <v>3641</v>
      </c>
      <c r="B24" s="71" t="s">
        <v>3640</v>
      </c>
      <c r="C24" s="71" t="s">
        <v>2855</v>
      </c>
      <c r="D24" s="71" t="s">
        <v>1970</v>
      </c>
      <c r="E24" s="71" t="s">
        <v>1970</v>
      </c>
      <c r="F24" s="71" t="s">
        <v>1970</v>
      </c>
      <c r="G24" s="71" t="s">
        <v>1970</v>
      </c>
      <c r="H24" s="71" t="s">
        <v>1970</v>
      </c>
      <c r="I24" s="71" t="s">
        <v>1970</v>
      </c>
      <c r="K24" s="71" t="s">
        <v>2855</v>
      </c>
      <c r="L24" s="71" t="s">
        <v>1970</v>
      </c>
      <c r="M24" s="71" t="s">
        <v>1970</v>
      </c>
      <c r="N24" s="71" t="s">
        <v>1970</v>
      </c>
      <c r="O24" s="71" t="s">
        <v>1970</v>
      </c>
      <c r="P24" s="71" t="s">
        <v>1970</v>
      </c>
      <c r="Q24" s="71" t="s">
        <v>1970</v>
      </c>
      <c r="T24" s="72" t="s">
        <v>389</v>
      </c>
      <c r="U24" s="72" t="s">
        <v>2855</v>
      </c>
      <c r="V24" s="72">
        <v>154</v>
      </c>
      <c r="W24" s="72">
        <v>234</v>
      </c>
      <c r="X24" s="72">
        <v>425</v>
      </c>
      <c r="Y24" s="72">
        <v>502</v>
      </c>
      <c r="Z24" s="72">
        <v>396</v>
      </c>
      <c r="AA24" s="72">
        <v>1711</v>
      </c>
      <c r="AB24" s="72"/>
      <c r="AC24" s="72" t="s">
        <v>2855</v>
      </c>
      <c r="AD24" s="72">
        <v>10</v>
      </c>
      <c r="AE24" s="72">
        <v>2</v>
      </c>
      <c r="AF24" s="72">
        <v>3</v>
      </c>
      <c r="AG24" s="72">
        <v>1</v>
      </c>
      <c r="AH24" s="72">
        <v>1</v>
      </c>
      <c r="AI24" s="72">
        <v>17</v>
      </c>
      <c r="AK24" s="73" t="s">
        <v>657</v>
      </c>
      <c r="AL24" s="73" t="s">
        <v>2855</v>
      </c>
      <c r="AM24" s="73">
        <v>622</v>
      </c>
      <c r="AN24" s="73">
        <v>481</v>
      </c>
      <c r="AO24" s="73">
        <v>894</v>
      </c>
      <c r="AP24" s="73">
        <v>1279</v>
      </c>
      <c r="AQ24" s="73">
        <v>1122</v>
      </c>
      <c r="AR24" s="73">
        <v>4398</v>
      </c>
      <c r="AS24" s="73"/>
      <c r="AT24" s="73" t="s">
        <v>2855</v>
      </c>
      <c r="AU24" s="73">
        <v>38</v>
      </c>
      <c r="AV24" s="73">
        <v>0</v>
      </c>
      <c r="AW24" s="73">
        <v>0</v>
      </c>
      <c r="AX24" s="73">
        <v>0</v>
      </c>
      <c r="AY24" s="73">
        <v>0</v>
      </c>
      <c r="AZ24" s="73">
        <v>38</v>
      </c>
      <c r="BB24" s="78" t="s">
        <v>852</v>
      </c>
      <c r="BC24" s="78" t="s">
        <v>2855</v>
      </c>
      <c r="BD24" s="78">
        <v>106</v>
      </c>
      <c r="BE24" s="78">
        <v>69</v>
      </c>
      <c r="BF24" s="78">
        <v>118</v>
      </c>
      <c r="BG24" s="78">
        <v>135</v>
      </c>
      <c r="BH24" s="78">
        <v>174</v>
      </c>
      <c r="BI24" s="78">
        <v>602</v>
      </c>
      <c r="BJ24" s="78"/>
      <c r="BK24" s="78" t="s">
        <v>2855</v>
      </c>
      <c r="BL24" s="78">
        <v>15</v>
      </c>
      <c r="BM24" s="78">
        <v>0</v>
      </c>
      <c r="BN24" s="78">
        <v>0</v>
      </c>
      <c r="BO24" s="78">
        <v>0</v>
      </c>
      <c r="BP24" s="78">
        <v>0</v>
      </c>
      <c r="BQ24" s="78">
        <v>15</v>
      </c>
      <c r="BS24" s="80" t="s">
        <v>1155</v>
      </c>
      <c r="BT24" s="80" t="s">
        <v>2855</v>
      </c>
      <c r="BU24" s="80">
        <v>58</v>
      </c>
      <c r="BV24" s="80">
        <v>77</v>
      </c>
      <c r="BW24" s="80">
        <v>142</v>
      </c>
      <c r="BX24" s="80">
        <v>236</v>
      </c>
      <c r="BY24" s="80">
        <v>209</v>
      </c>
      <c r="BZ24" s="80">
        <v>722</v>
      </c>
      <c r="CA24" s="80"/>
      <c r="CB24" s="80" t="s">
        <v>2855</v>
      </c>
      <c r="CC24" s="80">
        <v>17</v>
      </c>
      <c r="CD24" s="80">
        <v>0</v>
      </c>
      <c r="CE24" s="80">
        <v>0</v>
      </c>
      <c r="CF24" s="80">
        <v>0</v>
      </c>
      <c r="CG24" s="80">
        <v>0</v>
      </c>
      <c r="CH24" s="80">
        <v>17</v>
      </c>
      <c r="CL24" s="61" t="s">
        <v>1367</v>
      </c>
      <c r="CM24" s="61" t="s">
        <v>2855</v>
      </c>
      <c r="CN24" s="61">
        <v>1143</v>
      </c>
      <c r="CO24" s="61">
        <v>628</v>
      </c>
      <c r="CP24" s="61">
        <v>835</v>
      </c>
      <c r="CQ24" s="61">
        <v>865</v>
      </c>
      <c r="CR24" s="61">
        <v>747</v>
      </c>
      <c r="CS24" s="61">
        <v>4218</v>
      </c>
      <c r="CT24" s="61"/>
      <c r="CU24" s="61" t="s">
        <v>2855</v>
      </c>
      <c r="CV24" s="61">
        <v>337</v>
      </c>
      <c r="CW24" s="61">
        <v>1</v>
      </c>
      <c r="CX24" s="61">
        <v>1</v>
      </c>
      <c r="CY24" s="61">
        <v>1</v>
      </c>
      <c r="CZ24" s="61">
        <v>0</v>
      </c>
      <c r="DA24" s="61">
        <v>340</v>
      </c>
      <c r="DD24" s="91" t="s">
        <v>1444</v>
      </c>
      <c r="DE24" s="91" t="s">
        <v>2856</v>
      </c>
      <c r="DF24" s="91">
        <v>353</v>
      </c>
      <c r="DG24" s="91">
        <v>442</v>
      </c>
      <c r="DH24" s="91">
        <v>589</v>
      </c>
      <c r="DI24" s="91">
        <v>644</v>
      </c>
      <c r="DJ24" s="91">
        <v>499</v>
      </c>
      <c r="DK24" s="91">
        <v>2527</v>
      </c>
      <c r="DL24" s="91"/>
      <c r="DM24" s="91" t="s">
        <v>2856</v>
      </c>
      <c r="DN24" s="91">
        <v>15</v>
      </c>
      <c r="DO24" s="91">
        <v>8</v>
      </c>
      <c r="DP24" s="91">
        <v>1</v>
      </c>
      <c r="DQ24" s="91">
        <v>0</v>
      </c>
      <c r="DR24" s="91">
        <v>0</v>
      </c>
      <c r="DS24" s="91">
        <v>24</v>
      </c>
      <c r="DV24" s="94" t="s">
        <v>1510</v>
      </c>
      <c r="DW24" s="94" t="s">
        <v>2855</v>
      </c>
      <c r="DX24" s="94">
        <v>3117</v>
      </c>
      <c r="DY24" s="94">
        <v>1364</v>
      </c>
      <c r="DZ24" s="94">
        <v>1252</v>
      </c>
      <c r="EA24" s="94">
        <v>1139</v>
      </c>
      <c r="EB24" s="94">
        <v>1413</v>
      </c>
      <c r="EC24" s="94">
        <v>8285</v>
      </c>
      <c r="ED24" s="94"/>
      <c r="EE24" s="94" t="s">
        <v>2855</v>
      </c>
      <c r="EF24" s="94">
        <v>313</v>
      </c>
      <c r="EG24" s="94">
        <v>0</v>
      </c>
      <c r="EH24" s="94">
        <v>0</v>
      </c>
      <c r="EI24" s="94">
        <v>0</v>
      </c>
      <c r="EJ24" s="94">
        <v>0</v>
      </c>
      <c r="EK24" s="94">
        <v>313</v>
      </c>
      <c r="EN24" s="61" t="s">
        <v>1657</v>
      </c>
      <c r="EO24" s="61" t="s">
        <v>2855</v>
      </c>
      <c r="EP24" s="61">
        <v>189</v>
      </c>
      <c r="EQ24" s="61">
        <v>188</v>
      </c>
      <c r="ER24" s="61">
        <v>207</v>
      </c>
      <c r="ES24" s="61">
        <v>240</v>
      </c>
      <c r="ET24" s="61">
        <v>269</v>
      </c>
      <c r="EU24" s="61">
        <v>1093</v>
      </c>
      <c r="EV24" s="61"/>
      <c r="EW24" s="61" t="s">
        <v>2855</v>
      </c>
      <c r="EX24" s="61">
        <v>36</v>
      </c>
      <c r="EY24" s="61">
        <v>5</v>
      </c>
      <c r="EZ24" s="61">
        <v>1</v>
      </c>
      <c r="FA24" s="61">
        <v>0</v>
      </c>
      <c r="FB24" s="61">
        <v>0</v>
      </c>
      <c r="FC24" s="61">
        <v>42</v>
      </c>
      <c r="FF24" s="80" t="s">
        <v>1817</v>
      </c>
      <c r="FG24" s="80" t="s">
        <v>2855</v>
      </c>
      <c r="FH24" s="80">
        <v>902</v>
      </c>
      <c r="FI24" s="80">
        <v>1079</v>
      </c>
      <c r="FJ24" s="80">
        <v>833</v>
      </c>
      <c r="FK24" s="80">
        <v>718</v>
      </c>
      <c r="FL24" s="80">
        <v>683</v>
      </c>
      <c r="FM24" s="80">
        <v>4215</v>
      </c>
      <c r="FN24" s="80"/>
      <c r="FO24" s="80" t="s">
        <v>2855</v>
      </c>
      <c r="FP24" s="80">
        <v>78</v>
      </c>
      <c r="FQ24" s="80">
        <v>0</v>
      </c>
      <c r="FR24" s="80">
        <v>0</v>
      </c>
      <c r="FS24" s="80">
        <v>0</v>
      </c>
      <c r="FT24" s="80">
        <v>0</v>
      </c>
      <c r="FU24" s="80">
        <v>78</v>
      </c>
    </row>
    <row r="25" spans="1:177" x14ac:dyDescent="0.3">
      <c r="B25" s="71" t="s">
        <v>2461</v>
      </c>
      <c r="C25" s="71" t="s">
        <v>2855</v>
      </c>
      <c r="D25" s="71">
        <v>688</v>
      </c>
      <c r="E25" s="71">
        <v>310</v>
      </c>
      <c r="F25" s="71">
        <v>248</v>
      </c>
      <c r="G25" s="71">
        <v>259</v>
      </c>
      <c r="H25" s="71">
        <v>295</v>
      </c>
      <c r="I25" s="71">
        <v>1800</v>
      </c>
      <c r="K25" s="71" t="s">
        <v>2855</v>
      </c>
      <c r="L25" s="71">
        <v>1120</v>
      </c>
      <c r="M25" s="71">
        <v>812</v>
      </c>
      <c r="N25" s="71">
        <v>761</v>
      </c>
      <c r="O25" s="71">
        <v>853</v>
      </c>
      <c r="P25" s="71">
        <v>1062</v>
      </c>
      <c r="Q25" s="71">
        <v>4608</v>
      </c>
      <c r="T25" s="72" t="s">
        <v>393</v>
      </c>
      <c r="U25" s="72" t="s">
        <v>2855</v>
      </c>
      <c r="V25" s="72">
        <v>160</v>
      </c>
      <c r="W25" s="72">
        <v>270</v>
      </c>
      <c r="X25" s="72">
        <v>429</v>
      </c>
      <c r="Y25" s="72">
        <v>467</v>
      </c>
      <c r="Z25" s="72">
        <v>407</v>
      </c>
      <c r="AA25" s="72">
        <v>1733</v>
      </c>
      <c r="AB25" s="72"/>
      <c r="AC25" s="72" t="s">
        <v>2855</v>
      </c>
      <c r="AD25" s="72">
        <v>11</v>
      </c>
      <c r="AE25" s="72">
        <v>1</v>
      </c>
      <c r="AF25" s="72">
        <v>0</v>
      </c>
      <c r="AG25" s="72">
        <v>0</v>
      </c>
      <c r="AH25" s="72">
        <v>0</v>
      </c>
      <c r="AI25" s="72">
        <v>12</v>
      </c>
      <c r="AK25" s="73" t="s">
        <v>661</v>
      </c>
      <c r="AL25" s="73" t="s">
        <v>2855</v>
      </c>
      <c r="AM25" s="73">
        <v>370</v>
      </c>
      <c r="AN25" s="73">
        <v>459</v>
      </c>
      <c r="AO25" s="73">
        <v>836</v>
      </c>
      <c r="AP25" s="73">
        <v>1083</v>
      </c>
      <c r="AQ25" s="73">
        <v>834</v>
      </c>
      <c r="AR25" s="73">
        <v>3582</v>
      </c>
      <c r="AS25" s="73"/>
      <c r="AT25" s="73" t="s">
        <v>2855</v>
      </c>
      <c r="AU25" s="73">
        <v>20</v>
      </c>
      <c r="AV25" s="73">
        <v>3</v>
      </c>
      <c r="AW25" s="73">
        <v>1</v>
      </c>
      <c r="AX25" s="73">
        <v>1</v>
      </c>
      <c r="AY25" s="73">
        <v>0</v>
      </c>
      <c r="AZ25" s="73">
        <v>25</v>
      </c>
      <c r="BB25" s="78" t="s">
        <v>856</v>
      </c>
      <c r="BC25" s="78" t="s">
        <v>2855</v>
      </c>
      <c r="BD25" s="78">
        <v>47</v>
      </c>
      <c r="BE25" s="78">
        <v>30</v>
      </c>
      <c r="BF25" s="78">
        <v>93</v>
      </c>
      <c r="BG25" s="78">
        <v>139</v>
      </c>
      <c r="BH25" s="78">
        <v>133</v>
      </c>
      <c r="BI25" s="78">
        <v>442</v>
      </c>
      <c r="BJ25" s="78"/>
      <c r="BK25" s="78" t="s">
        <v>2855</v>
      </c>
      <c r="BL25" s="78">
        <v>17</v>
      </c>
      <c r="BM25" s="78">
        <v>0</v>
      </c>
      <c r="BN25" s="78">
        <v>0</v>
      </c>
      <c r="BO25" s="78">
        <v>0</v>
      </c>
      <c r="BP25" s="78">
        <v>0</v>
      </c>
      <c r="BQ25" s="78">
        <v>17</v>
      </c>
      <c r="BS25" s="80" t="s">
        <v>1159</v>
      </c>
      <c r="BT25" s="80" t="s">
        <v>2855</v>
      </c>
      <c r="BU25" s="80">
        <v>67</v>
      </c>
      <c r="BV25" s="80">
        <v>54</v>
      </c>
      <c r="BW25" s="80">
        <v>132</v>
      </c>
      <c r="BX25" s="80">
        <v>191</v>
      </c>
      <c r="BY25" s="80">
        <v>225</v>
      </c>
      <c r="BZ25" s="80">
        <v>669</v>
      </c>
      <c r="CA25" s="80"/>
      <c r="CB25" s="80" t="s">
        <v>2855</v>
      </c>
      <c r="CC25" s="80">
        <v>22</v>
      </c>
      <c r="CD25" s="80">
        <v>0</v>
      </c>
      <c r="CE25" s="80">
        <v>0</v>
      </c>
      <c r="CF25" s="80">
        <v>0</v>
      </c>
      <c r="CG25" s="80">
        <v>0</v>
      </c>
      <c r="CH25" s="80">
        <v>22</v>
      </c>
      <c r="CL25" s="61" t="s">
        <v>1195</v>
      </c>
      <c r="CM25" s="61" t="s">
        <v>2855</v>
      </c>
      <c r="CN25" s="61">
        <v>51</v>
      </c>
      <c r="CO25" s="61">
        <v>43</v>
      </c>
      <c r="CP25" s="61">
        <v>69</v>
      </c>
      <c r="CQ25" s="61">
        <v>90</v>
      </c>
      <c r="CR25" s="61">
        <v>92</v>
      </c>
      <c r="CS25" s="61">
        <v>345</v>
      </c>
      <c r="CT25" s="61"/>
      <c r="CU25" s="61" t="s">
        <v>2855</v>
      </c>
      <c r="CV25" s="61">
        <v>18</v>
      </c>
      <c r="CW25" s="61">
        <v>0</v>
      </c>
      <c r="CX25" s="61">
        <v>0</v>
      </c>
      <c r="CY25" s="61">
        <v>0</v>
      </c>
      <c r="CZ25" s="61">
        <v>0</v>
      </c>
      <c r="DA25" s="61">
        <v>18</v>
      </c>
      <c r="DD25" s="91" t="s">
        <v>1448</v>
      </c>
      <c r="DE25" s="91" t="s">
        <v>2856</v>
      </c>
      <c r="DF25" s="91">
        <v>391</v>
      </c>
      <c r="DG25" s="91">
        <v>431</v>
      </c>
      <c r="DH25" s="91">
        <v>508</v>
      </c>
      <c r="DI25" s="91">
        <v>702</v>
      </c>
      <c r="DJ25" s="91">
        <v>660</v>
      </c>
      <c r="DK25" s="91">
        <v>2692</v>
      </c>
      <c r="DL25" s="91"/>
      <c r="DM25" s="91" t="s">
        <v>2856</v>
      </c>
      <c r="DN25" s="91">
        <v>13</v>
      </c>
      <c r="DO25" s="91">
        <v>9</v>
      </c>
      <c r="DP25" s="91">
        <v>1</v>
      </c>
      <c r="DQ25" s="91">
        <v>2</v>
      </c>
      <c r="DR25" s="91">
        <v>0</v>
      </c>
      <c r="DS25" s="91">
        <v>25</v>
      </c>
      <c r="EN25" s="61" t="s">
        <v>1661</v>
      </c>
      <c r="EO25" s="61" t="s">
        <v>2855</v>
      </c>
      <c r="EP25" s="61">
        <v>151</v>
      </c>
      <c r="EQ25" s="61">
        <v>245</v>
      </c>
      <c r="ER25" s="61">
        <v>255</v>
      </c>
      <c r="ES25" s="61">
        <v>292</v>
      </c>
      <c r="ET25" s="61">
        <v>325</v>
      </c>
      <c r="EU25" s="61">
        <v>1268</v>
      </c>
      <c r="EV25" s="61"/>
      <c r="EW25" s="61" t="s">
        <v>2855</v>
      </c>
      <c r="EX25" s="61">
        <v>43</v>
      </c>
      <c r="EY25" s="61">
        <v>21</v>
      </c>
      <c r="EZ25" s="61">
        <v>14</v>
      </c>
      <c r="FA25" s="61">
        <v>18</v>
      </c>
      <c r="FB25" s="61">
        <v>31</v>
      </c>
      <c r="FC25" s="61">
        <v>127</v>
      </c>
      <c r="FF25" s="80" t="s">
        <v>1823</v>
      </c>
      <c r="FG25" s="80" t="s">
        <v>2855</v>
      </c>
      <c r="FH25" s="80" t="s">
        <v>1970</v>
      </c>
      <c r="FI25" s="80" t="s">
        <v>1970</v>
      </c>
      <c r="FJ25" s="80" t="s">
        <v>1970</v>
      </c>
      <c r="FK25" s="80" t="s">
        <v>1970</v>
      </c>
      <c r="FL25" s="80" t="s">
        <v>1970</v>
      </c>
      <c r="FM25" s="80" t="s">
        <v>1970</v>
      </c>
      <c r="FN25" s="80"/>
      <c r="FO25" s="80" t="s">
        <v>2855</v>
      </c>
      <c r="FP25" s="80" t="s">
        <v>1970</v>
      </c>
      <c r="FQ25" s="80" t="s">
        <v>1970</v>
      </c>
      <c r="FR25" s="80" t="s">
        <v>1970</v>
      </c>
      <c r="FS25" s="80" t="s">
        <v>1970</v>
      </c>
      <c r="FT25" s="80" t="s">
        <v>1970</v>
      </c>
      <c r="FU25" s="80" t="s">
        <v>1970</v>
      </c>
    </row>
    <row r="26" spans="1:177" x14ac:dyDescent="0.3">
      <c r="B26" s="71" t="s">
        <v>2462</v>
      </c>
      <c r="C26" s="71" t="s">
        <v>2855</v>
      </c>
      <c r="D26" s="71">
        <v>282</v>
      </c>
      <c r="E26" s="71">
        <v>13</v>
      </c>
      <c r="F26" s="71">
        <v>0</v>
      </c>
      <c r="G26" s="71">
        <v>0</v>
      </c>
      <c r="H26" s="71">
        <v>0</v>
      </c>
      <c r="I26" s="71">
        <v>295</v>
      </c>
      <c r="K26" s="71" t="s">
        <v>2855</v>
      </c>
      <c r="L26" s="71">
        <v>820</v>
      </c>
      <c r="M26" s="71">
        <v>721</v>
      </c>
      <c r="N26" s="71">
        <v>632</v>
      </c>
      <c r="O26" s="71">
        <v>665</v>
      </c>
      <c r="P26" s="71">
        <v>890</v>
      </c>
      <c r="Q26" s="71">
        <v>3728</v>
      </c>
      <c r="T26" s="72" t="s">
        <v>397</v>
      </c>
      <c r="U26" s="72" t="s">
        <v>2855</v>
      </c>
      <c r="V26" s="72">
        <v>1195</v>
      </c>
      <c r="W26" s="72">
        <v>1004</v>
      </c>
      <c r="X26" s="72">
        <v>1428</v>
      </c>
      <c r="Y26" s="72">
        <v>1894</v>
      </c>
      <c r="Z26" s="72">
        <v>1490</v>
      </c>
      <c r="AA26" s="72">
        <v>7011</v>
      </c>
      <c r="AB26" s="72"/>
      <c r="AC26" s="72" t="s">
        <v>2855</v>
      </c>
      <c r="AD26" s="72">
        <v>34</v>
      </c>
      <c r="AE26" s="72">
        <v>0</v>
      </c>
      <c r="AF26" s="72">
        <v>1</v>
      </c>
      <c r="AG26" s="72">
        <v>0</v>
      </c>
      <c r="AH26" s="72">
        <v>0</v>
      </c>
      <c r="AI26" s="72">
        <v>35</v>
      </c>
      <c r="AK26" s="73" t="s">
        <v>665</v>
      </c>
      <c r="AL26" s="73" t="s">
        <v>2855</v>
      </c>
      <c r="AM26" s="73">
        <v>502</v>
      </c>
      <c r="AN26" s="73">
        <v>684</v>
      </c>
      <c r="AO26" s="73">
        <v>941</v>
      </c>
      <c r="AP26" s="73">
        <v>937</v>
      </c>
      <c r="AQ26" s="73">
        <v>560</v>
      </c>
      <c r="AR26" s="73">
        <v>3624</v>
      </c>
      <c r="AS26" s="73"/>
      <c r="AT26" s="73" t="s">
        <v>2855</v>
      </c>
      <c r="AU26" s="73">
        <v>24</v>
      </c>
      <c r="AV26" s="73">
        <v>2</v>
      </c>
      <c r="AW26" s="73">
        <v>1</v>
      </c>
      <c r="AX26" s="73">
        <v>1</v>
      </c>
      <c r="AY26" s="73">
        <v>0</v>
      </c>
      <c r="AZ26" s="73">
        <v>28</v>
      </c>
      <c r="BB26" s="78" t="s">
        <v>860</v>
      </c>
      <c r="BC26" s="78" t="s">
        <v>2855</v>
      </c>
      <c r="BD26" s="78">
        <v>559</v>
      </c>
      <c r="BE26" s="78">
        <v>379</v>
      </c>
      <c r="BF26" s="78">
        <v>419</v>
      </c>
      <c r="BG26" s="78">
        <v>550</v>
      </c>
      <c r="BH26" s="78">
        <v>416</v>
      </c>
      <c r="BI26" s="78">
        <v>2323</v>
      </c>
      <c r="BJ26" s="78"/>
      <c r="BK26" s="78" t="s">
        <v>2855</v>
      </c>
      <c r="BL26" s="78">
        <v>22</v>
      </c>
      <c r="BM26" s="78">
        <v>0</v>
      </c>
      <c r="BN26" s="78">
        <v>0</v>
      </c>
      <c r="BO26" s="78">
        <v>0</v>
      </c>
      <c r="BP26" s="78">
        <v>0</v>
      </c>
      <c r="BQ26" s="78">
        <v>22</v>
      </c>
      <c r="BS26" s="80" t="s">
        <v>1167</v>
      </c>
      <c r="BT26" s="80" t="s">
        <v>2855</v>
      </c>
      <c r="BU26" s="80">
        <v>84</v>
      </c>
      <c r="BV26" s="80">
        <v>55</v>
      </c>
      <c r="BW26" s="80">
        <v>102</v>
      </c>
      <c r="BX26" s="80">
        <v>149</v>
      </c>
      <c r="BY26" s="80">
        <v>155</v>
      </c>
      <c r="BZ26" s="80">
        <v>545</v>
      </c>
      <c r="CA26" s="80"/>
      <c r="CB26" s="80" t="s">
        <v>2855</v>
      </c>
      <c r="CC26" s="80">
        <v>18</v>
      </c>
      <c r="CD26" s="80">
        <v>0</v>
      </c>
      <c r="CE26" s="80">
        <v>0</v>
      </c>
      <c r="CF26" s="80">
        <v>0</v>
      </c>
      <c r="CG26" s="80">
        <v>0</v>
      </c>
      <c r="CH26" s="80">
        <v>18</v>
      </c>
      <c r="CL26" s="61" t="s">
        <v>1253</v>
      </c>
      <c r="CM26" s="61" t="s">
        <v>2855</v>
      </c>
      <c r="CN26" s="61">
        <v>266</v>
      </c>
      <c r="CO26" s="61">
        <v>101</v>
      </c>
      <c r="CP26" s="61">
        <v>142</v>
      </c>
      <c r="CQ26" s="61">
        <v>237</v>
      </c>
      <c r="CR26" s="61">
        <v>315</v>
      </c>
      <c r="CS26" s="61">
        <v>1061</v>
      </c>
      <c r="CT26" s="61"/>
      <c r="CU26" s="61" t="s">
        <v>2855</v>
      </c>
      <c r="CV26" s="61">
        <v>75</v>
      </c>
      <c r="CW26" s="61">
        <v>0</v>
      </c>
      <c r="CX26" s="61">
        <v>0</v>
      </c>
      <c r="CY26" s="61">
        <v>0</v>
      </c>
      <c r="CZ26" s="61">
        <v>0</v>
      </c>
      <c r="DA26" s="61">
        <v>75</v>
      </c>
      <c r="DD26" s="91" t="s">
        <v>1452</v>
      </c>
      <c r="DE26" s="91" t="s">
        <v>2856</v>
      </c>
      <c r="DF26" s="91">
        <v>250</v>
      </c>
      <c r="DG26" s="91">
        <v>398</v>
      </c>
      <c r="DH26" s="91">
        <v>513</v>
      </c>
      <c r="DI26" s="91">
        <v>545</v>
      </c>
      <c r="DJ26" s="91">
        <v>443</v>
      </c>
      <c r="DK26" s="91">
        <v>2149</v>
      </c>
      <c r="DL26" s="91"/>
      <c r="DM26" s="91" t="s">
        <v>2856</v>
      </c>
      <c r="DN26" s="91">
        <v>35</v>
      </c>
      <c r="DO26" s="91">
        <v>0</v>
      </c>
      <c r="DP26" s="91">
        <v>0</v>
      </c>
      <c r="DQ26" s="91">
        <v>0</v>
      </c>
      <c r="DR26" s="91">
        <v>0</v>
      </c>
      <c r="DS26" s="91">
        <v>35</v>
      </c>
      <c r="DV26" s="94" t="s">
        <v>1458</v>
      </c>
      <c r="DW26" s="94" t="s">
        <v>2856</v>
      </c>
      <c r="DX26" s="94">
        <v>554</v>
      </c>
      <c r="DY26" s="94">
        <v>511</v>
      </c>
      <c r="DZ26" s="94">
        <v>637</v>
      </c>
      <c r="EA26" s="94">
        <v>733</v>
      </c>
      <c r="EB26" s="94">
        <v>510</v>
      </c>
      <c r="EC26" s="94">
        <v>2945</v>
      </c>
      <c r="ED26" s="94"/>
      <c r="EE26" s="94" t="s">
        <v>2856</v>
      </c>
      <c r="EF26" s="94">
        <v>53</v>
      </c>
      <c r="EG26" s="94">
        <v>4</v>
      </c>
      <c r="EH26" s="94">
        <v>0</v>
      </c>
      <c r="EI26" s="94">
        <v>0</v>
      </c>
      <c r="EJ26" s="94">
        <v>0</v>
      </c>
      <c r="EK26" s="94">
        <v>57</v>
      </c>
      <c r="EN26" s="61" t="s">
        <v>1665</v>
      </c>
      <c r="EO26" s="61" t="s">
        <v>2855</v>
      </c>
      <c r="EP26" s="61">
        <v>104</v>
      </c>
      <c r="EQ26" s="61">
        <v>188</v>
      </c>
      <c r="ER26" s="61">
        <v>223</v>
      </c>
      <c r="ES26" s="61">
        <v>348</v>
      </c>
      <c r="ET26" s="61">
        <v>374</v>
      </c>
      <c r="EU26" s="61">
        <v>1237</v>
      </c>
      <c r="EV26" s="61"/>
      <c r="EW26" s="61" t="s">
        <v>2855</v>
      </c>
      <c r="EX26" s="61">
        <v>21</v>
      </c>
      <c r="EY26" s="61">
        <v>11</v>
      </c>
      <c r="EZ26" s="61">
        <v>3</v>
      </c>
      <c r="FA26" s="61">
        <v>14</v>
      </c>
      <c r="FB26" s="61">
        <v>15</v>
      </c>
      <c r="FC26" s="61">
        <v>64</v>
      </c>
      <c r="FF26" s="80" t="s">
        <v>1829</v>
      </c>
      <c r="FG26" s="80" t="s">
        <v>2855</v>
      </c>
      <c r="FH26" s="80">
        <v>197</v>
      </c>
      <c r="FI26" s="80">
        <v>282</v>
      </c>
      <c r="FJ26" s="80">
        <v>375</v>
      </c>
      <c r="FK26" s="80">
        <v>420</v>
      </c>
      <c r="FL26" s="80">
        <v>493</v>
      </c>
      <c r="FM26" s="80">
        <v>1767</v>
      </c>
      <c r="FN26" s="80"/>
      <c r="FO26" s="80" t="s">
        <v>2855</v>
      </c>
      <c r="FP26" s="80">
        <v>83</v>
      </c>
      <c r="FQ26" s="80">
        <v>43</v>
      </c>
      <c r="FR26" s="80">
        <v>8</v>
      </c>
      <c r="FS26" s="80">
        <v>0</v>
      </c>
      <c r="FT26" s="80">
        <v>0</v>
      </c>
      <c r="FU26" s="80">
        <v>134</v>
      </c>
    </row>
    <row r="27" spans="1:177" x14ac:dyDescent="0.3">
      <c r="B27" s="71" t="s">
        <v>116</v>
      </c>
      <c r="C27" s="71" t="s">
        <v>2855</v>
      </c>
      <c r="D27" s="71">
        <v>11</v>
      </c>
      <c r="E27" s="71">
        <v>3</v>
      </c>
      <c r="F27" s="71">
        <v>0</v>
      </c>
      <c r="G27" s="71">
        <v>1</v>
      </c>
      <c r="H27" s="71">
        <v>0</v>
      </c>
      <c r="I27" s="71">
        <v>15</v>
      </c>
      <c r="K27" s="71" t="s">
        <v>2855</v>
      </c>
      <c r="L27" s="71">
        <v>139</v>
      </c>
      <c r="M27" s="71">
        <v>220</v>
      </c>
      <c r="N27" s="71">
        <v>479</v>
      </c>
      <c r="O27" s="71">
        <v>691</v>
      </c>
      <c r="P27" s="71">
        <v>591</v>
      </c>
      <c r="Q27" s="71">
        <v>2120</v>
      </c>
      <c r="T27" s="72" t="s">
        <v>403</v>
      </c>
      <c r="U27" s="72" t="s">
        <v>2855</v>
      </c>
      <c r="V27" s="72" t="s">
        <v>1970</v>
      </c>
      <c r="W27" s="72" t="s">
        <v>1970</v>
      </c>
      <c r="X27" s="72" t="s">
        <v>1970</v>
      </c>
      <c r="Y27" s="72" t="s">
        <v>1970</v>
      </c>
      <c r="Z27" s="72" t="s">
        <v>1970</v>
      </c>
      <c r="AA27" s="72" t="s">
        <v>1970</v>
      </c>
      <c r="AB27" s="72"/>
      <c r="AC27" s="72" t="s">
        <v>2855</v>
      </c>
      <c r="AD27" s="72" t="s">
        <v>1970</v>
      </c>
      <c r="AE27" s="72" t="s">
        <v>1970</v>
      </c>
      <c r="AF27" s="72" t="s">
        <v>1970</v>
      </c>
      <c r="AG27" s="72" t="s">
        <v>1970</v>
      </c>
      <c r="AH27" s="72" t="s">
        <v>1970</v>
      </c>
      <c r="AI27" s="72" t="s">
        <v>1970</v>
      </c>
      <c r="AK27" s="73" t="s">
        <v>669</v>
      </c>
      <c r="AL27" s="73" t="s">
        <v>2855</v>
      </c>
      <c r="AM27" s="73">
        <v>223</v>
      </c>
      <c r="AN27" s="73">
        <v>383</v>
      </c>
      <c r="AO27" s="73">
        <v>696</v>
      </c>
      <c r="AP27" s="73">
        <v>907</v>
      </c>
      <c r="AQ27" s="73">
        <v>497</v>
      </c>
      <c r="AR27" s="73">
        <v>2706</v>
      </c>
      <c r="AS27" s="73"/>
      <c r="AT27" s="73" t="s">
        <v>2855</v>
      </c>
      <c r="AU27" s="73">
        <v>30</v>
      </c>
      <c r="AV27" s="73">
        <v>0</v>
      </c>
      <c r="AW27" s="73">
        <v>0</v>
      </c>
      <c r="AX27" s="73">
        <v>0</v>
      </c>
      <c r="AY27" s="73">
        <v>0</v>
      </c>
      <c r="AZ27" s="73">
        <v>30</v>
      </c>
      <c r="BB27" s="78" t="s">
        <v>865</v>
      </c>
      <c r="BC27" s="78" t="s">
        <v>2855</v>
      </c>
      <c r="BD27" s="78">
        <v>230</v>
      </c>
      <c r="BE27" s="78">
        <v>181</v>
      </c>
      <c r="BF27" s="78">
        <v>314</v>
      </c>
      <c r="BG27" s="78">
        <v>438</v>
      </c>
      <c r="BH27" s="78">
        <v>360</v>
      </c>
      <c r="BI27" s="78">
        <v>1523</v>
      </c>
      <c r="BJ27" s="78"/>
      <c r="BK27" s="78" t="s">
        <v>2855</v>
      </c>
      <c r="BL27" s="78">
        <v>20</v>
      </c>
      <c r="BM27" s="78">
        <v>0</v>
      </c>
      <c r="BN27" s="78">
        <v>0</v>
      </c>
      <c r="BO27" s="78">
        <v>0</v>
      </c>
      <c r="BP27" s="78">
        <v>0</v>
      </c>
      <c r="BQ27" s="78">
        <v>20</v>
      </c>
      <c r="CL27" s="61" t="s">
        <v>1254</v>
      </c>
      <c r="CM27" s="61" t="s">
        <v>2855</v>
      </c>
      <c r="CN27" s="61" t="s">
        <v>1970</v>
      </c>
      <c r="CO27" s="61" t="s">
        <v>1970</v>
      </c>
      <c r="CP27" s="61" t="s">
        <v>1970</v>
      </c>
      <c r="CQ27" s="61" t="s">
        <v>1970</v>
      </c>
      <c r="CR27" s="61" t="s">
        <v>1970</v>
      </c>
      <c r="CS27" s="61" t="s">
        <v>1970</v>
      </c>
      <c r="CT27" s="61"/>
      <c r="CU27" s="61" t="s">
        <v>2855</v>
      </c>
      <c r="CV27" s="61" t="s">
        <v>1970</v>
      </c>
      <c r="CW27" s="61" t="s">
        <v>1970</v>
      </c>
      <c r="CX27" s="61" t="s">
        <v>1970</v>
      </c>
      <c r="CY27" s="61" t="s">
        <v>1970</v>
      </c>
      <c r="CZ27" s="61" t="s">
        <v>1970</v>
      </c>
      <c r="DA27" s="61" t="s">
        <v>1970</v>
      </c>
      <c r="DV27" s="94" t="s">
        <v>1462</v>
      </c>
      <c r="DW27" s="94" t="s">
        <v>2856</v>
      </c>
      <c r="DX27" s="94">
        <v>243</v>
      </c>
      <c r="DY27" s="94">
        <v>317</v>
      </c>
      <c r="DZ27" s="94">
        <v>418</v>
      </c>
      <c r="EA27" s="94">
        <v>401</v>
      </c>
      <c r="EB27" s="94">
        <v>348</v>
      </c>
      <c r="EC27" s="94">
        <v>1727</v>
      </c>
      <c r="ED27" s="94"/>
      <c r="EE27" s="94" t="s">
        <v>2856</v>
      </c>
      <c r="EF27" s="94">
        <v>13</v>
      </c>
      <c r="EG27" s="94">
        <v>3</v>
      </c>
      <c r="EH27" s="94">
        <v>0</v>
      </c>
      <c r="EI27" s="94">
        <v>0</v>
      </c>
      <c r="EJ27" s="94">
        <v>0</v>
      </c>
      <c r="EK27" s="94">
        <v>16</v>
      </c>
      <c r="EN27" s="61" t="s">
        <v>1669</v>
      </c>
      <c r="EO27" s="61" t="s">
        <v>2855</v>
      </c>
      <c r="EP27" s="61">
        <v>133</v>
      </c>
      <c r="EQ27" s="61">
        <v>186</v>
      </c>
      <c r="ER27" s="61">
        <v>211</v>
      </c>
      <c r="ES27" s="61">
        <v>238</v>
      </c>
      <c r="ET27" s="61">
        <v>345</v>
      </c>
      <c r="EU27" s="61">
        <v>1113</v>
      </c>
      <c r="EV27" s="61"/>
      <c r="EW27" s="61" t="s">
        <v>2855</v>
      </c>
      <c r="EX27" s="61">
        <v>23</v>
      </c>
      <c r="EY27" s="61">
        <v>7</v>
      </c>
      <c r="EZ27" s="61">
        <v>0</v>
      </c>
      <c r="FA27" s="61">
        <v>1</v>
      </c>
      <c r="FB27" s="61">
        <v>0</v>
      </c>
      <c r="FC27" s="61">
        <v>31</v>
      </c>
      <c r="FF27" s="80" t="s">
        <v>1837</v>
      </c>
      <c r="FG27" s="80" t="s">
        <v>2855</v>
      </c>
      <c r="FH27" s="80" t="s">
        <v>1970</v>
      </c>
      <c r="FI27" s="80" t="s">
        <v>1970</v>
      </c>
      <c r="FJ27" s="80" t="s">
        <v>1970</v>
      </c>
      <c r="FK27" s="80" t="s">
        <v>1970</v>
      </c>
      <c r="FL27" s="80" t="s">
        <v>1970</v>
      </c>
      <c r="FM27" s="80" t="s">
        <v>1970</v>
      </c>
      <c r="FN27" s="80"/>
      <c r="FO27" s="80" t="s">
        <v>2855</v>
      </c>
      <c r="FP27" s="80" t="s">
        <v>1970</v>
      </c>
      <c r="FQ27" s="80" t="s">
        <v>1970</v>
      </c>
      <c r="FR27" s="80" t="s">
        <v>1970</v>
      </c>
      <c r="FS27" s="80" t="s">
        <v>1970</v>
      </c>
      <c r="FT27" s="80" t="s">
        <v>1970</v>
      </c>
      <c r="FU27" s="80" t="s">
        <v>1970</v>
      </c>
    </row>
    <row r="28" spans="1:177" x14ac:dyDescent="0.3">
      <c r="B28" s="71" t="s">
        <v>121</v>
      </c>
      <c r="C28" s="71" t="s">
        <v>2855</v>
      </c>
      <c r="D28" s="71">
        <v>34</v>
      </c>
      <c r="E28" s="71">
        <v>1</v>
      </c>
      <c r="F28" s="71">
        <v>4</v>
      </c>
      <c r="G28" s="71">
        <v>2</v>
      </c>
      <c r="H28" s="71">
        <v>2</v>
      </c>
      <c r="I28" s="71">
        <v>43</v>
      </c>
      <c r="K28" s="71" t="s">
        <v>2855</v>
      </c>
      <c r="L28" s="71">
        <v>454</v>
      </c>
      <c r="M28" s="71">
        <v>507</v>
      </c>
      <c r="N28" s="71">
        <v>674</v>
      </c>
      <c r="O28" s="71">
        <v>838</v>
      </c>
      <c r="P28" s="71">
        <v>572</v>
      </c>
      <c r="Q28" s="71">
        <v>3045</v>
      </c>
      <c r="T28" s="72" t="s">
        <v>2463</v>
      </c>
      <c r="U28" s="72" t="s">
        <v>2855</v>
      </c>
      <c r="V28" s="72">
        <v>308</v>
      </c>
      <c r="W28" s="72">
        <v>552</v>
      </c>
      <c r="X28" s="72">
        <v>863</v>
      </c>
      <c r="Y28" s="72">
        <v>1101</v>
      </c>
      <c r="Z28" s="72">
        <v>758</v>
      </c>
      <c r="AA28" s="72">
        <v>3582</v>
      </c>
      <c r="AB28" s="72"/>
      <c r="AC28" s="72" t="s">
        <v>2855</v>
      </c>
      <c r="AD28" s="72">
        <v>18</v>
      </c>
      <c r="AE28" s="72">
        <v>5</v>
      </c>
      <c r="AF28" s="72">
        <v>0</v>
      </c>
      <c r="AG28" s="72">
        <v>0</v>
      </c>
      <c r="AH28" s="72">
        <v>0</v>
      </c>
      <c r="AI28" s="72">
        <v>23</v>
      </c>
      <c r="AK28" s="73" t="s">
        <v>672</v>
      </c>
      <c r="AL28" s="73" t="s">
        <v>2855</v>
      </c>
      <c r="AM28" s="73">
        <v>379</v>
      </c>
      <c r="AN28" s="73">
        <v>503</v>
      </c>
      <c r="AO28" s="73">
        <v>679</v>
      </c>
      <c r="AP28" s="73">
        <v>859</v>
      </c>
      <c r="AQ28" s="73">
        <v>581</v>
      </c>
      <c r="AR28" s="73">
        <v>3001</v>
      </c>
      <c r="AS28" s="73"/>
      <c r="AT28" s="73" t="s">
        <v>2855</v>
      </c>
      <c r="AU28" s="73">
        <v>56</v>
      </c>
      <c r="AV28" s="73">
        <v>0</v>
      </c>
      <c r="AW28" s="73">
        <v>0</v>
      </c>
      <c r="AX28" s="73">
        <v>0</v>
      </c>
      <c r="AY28" s="73">
        <v>0</v>
      </c>
      <c r="AZ28" s="73">
        <v>56</v>
      </c>
      <c r="BB28" s="78" t="s">
        <v>870</v>
      </c>
      <c r="BC28" s="78" t="s">
        <v>2855</v>
      </c>
      <c r="BD28" s="78">
        <v>114</v>
      </c>
      <c r="BE28" s="78">
        <v>158</v>
      </c>
      <c r="BF28" s="78">
        <v>280</v>
      </c>
      <c r="BG28" s="78">
        <v>394</v>
      </c>
      <c r="BH28" s="78">
        <v>283</v>
      </c>
      <c r="BI28" s="78">
        <v>1229</v>
      </c>
      <c r="BJ28" s="78"/>
      <c r="BK28" s="78" t="s">
        <v>2855</v>
      </c>
      <c r="BL28" s="78">
        <v>19</v>
      </c>
      <c r="BM28" s="78">
        <v>0</v>
      </c>
      <c r="BN28" s="78">
        <v>0</v>
      </c>
      <c r="BO28" s="78">
        <v>0</v>
      </c>
      <c r="BP28" s="78">
        <v>0</v>
      </c>
      <c r="BQ28" s="78">
        <v>19</v>
      </c>
      <c r="BS28" s="80" t="s">
        <v>1065</v>
      </c>
      <c r="BT28" s="80" t="s">
        <v>2856</v>
      </c>
      <c r="BU28" s="80">
        <v>91</v>
      </c>
      <c r="BV28" s="80">
        <v>47</v>
      </c>
      <c r="BW28" s="80">
        <v>84</v>
      </c>
      <c r="BX28" s="80">
        <v>94</v>
      </c>
      <c r="BY28" s="80">
        <v>108</v>
      </c>
      <c r="BZ28" s="80">
        <v>424</v>
      </c>
      <c r="CA28" s="80"/>
      <c r="CB28" s="80" t="s">
        <v>2856</v>
      </c>
      <c r="CC28" s="80">
        <v>20</v>
      </c>
      <c r="CD28" s="80">
        <v>0</v>
      </c>
      <c r="CE28" s="80">
        <v>0</v>
      </c>
      <c r="CF28" s="80">
        <v>0</v>
      </c>
      <c r="CG28" s="80">
        <v>0</v>
      </c>
      <c r="CH28" s="80">
        <v>20</v>
      </c>
      <c r="CL28" s="61" t="s">
        <v>1258</v>
      </c>
      <c r="CM28" s="61" t="s">
        <v>2855</v>
      </c>
      <c r="CN28" s="61">
        <v>300</v>
      </c>
      <c r="CO28" s="61">
        <v>76</v>
      </c>
      <c r="CP28" s="61">
        <v>161</v>
      </c>
      <c r="CQ28" s="61">
        <v>184</v>
      </c>
      <c r="CR28" s="61">
        <v>390</v>
      </c>
      <c r="CS28" s="61">
        <v>1111</v>
      </c>
      <c r="CT28" s="61"/>
      <c r="CU28" s="61" t="s">
        <v>2855</v>
      </c>
      <c r="CV28" s="61">
        <v>114</v>
      </c>
      <c r="CW28" s="61">
        <v>0</v>
      </c>
      <c r="CX28" s="61">
        <v>0</v>
      </c>
      <c r="CY28" s="61">
        <v>0</v>
      </c>
      <c r="CZ28" s="61">
        <v>0</v>
      </c>
      <c r="DA28" s="61">
        <v>114</v>
      </c>
      <c r="DD28" s="91" t="s">
        <v>3426</v>
      </c>
      <c r="DE28" s="91" t="s">
        <v>2419</v>
      </c>
      <c r="DF28" s="91">
        <v>338</v>
      </c>
      <c r="DG28" s="91">
        <v>429</v>
      </c>
      <c r="DH28" s="91">
        <v>503</v>
      </c>
      <c r="DI28" s="91">
        <v>546</v>
      </c>
      <c r="DJ28" s="91">
        <v>417</v>
      </c>
      <c r="DK28" s="91">
        <v>2233</v>
      </c>
      <c r="DL28" s="91"/>
      <c r="DM28" s="91" t="s">
        <v>1968</v>
      </c>
      <c r="DN28" s="91">
        <v>39</v>
      </c>
      <c r="DO28" s="91">
        <v>11</v>
      </c>
      <c r="DP28" s="91">
        <v>0</v>
      </c>
      <c r="DQ28" s="91">
        <v>0</v>
      </c>
      <c r="DR28" s="91">
        <v>0</v>
      </c>
      <c r="DS28" s="91">
        <v>50</v>
      </c>
      <c r="DV28" s="94" t="s">
        <v>1466</v>
      </c>
      <c r="DW28" s="94" t="s">
        <v>2856</v>
      </c>
      <c r="DX28" s="94">
        <v>588</v>
      </c>
      <c r="DY28" s="94">
        <v>807</v>
      </c>
      <c r="DZ28" s="94">
        <v>1024</v>
      </c>
      <c r="EA28" s="94">
        <v>1066</v>
      </c>
      <c r="EB28" s="94">
        <v>750</v>
      </c>
      <c r="EC28" s="94">
        <v>4235</v>
      </c>
      <c r="ED28" s="94"/>
      <c r="EE28" s="94" t="s">
        <v>2856</v>
      </c>
      <c r="EF28" s="94">
        <v>24</v>
      </c>
      <c r="EG28" s="94">
        <v>8</v>
      </c>
      <c r="EH28" s="94">
        <v>0</v>
      </c>
      <c r="EI28" s="94">
        <v>0</v>
      </c>
      <c r="EJ28" s="94">
        <v>0</v>
      </c>
      <c r="EK28" s="94">
        <v>32</v>
      </c>
      <c r="EN28" s="61" t="s">
        <v>1673</v>
      </c>
      <c r="EO28" s="61" t="s">
        <v>2855</v>
      </c>
      <c r="EP28" s="61">
        <v>70</v>
      </c>
      <c r="EQ28" s="61">
        <v>125</v>
      </c>
      <c r="ER28" s="61">
        <v>150</v>
      </c>
      <c r="ES28" s="61">
        <v>213</v>
      </c>
      <c r="ET28" s="61">
        <v>249</v>
      </c>
      <c r="EU28" s="61">
        <v>807</v>
      </c>
      <c r="EV28" s="61"/>
      <c r="EW28" s="61" t="s">
        <v>2855</v>
      </c>
      <c r="EX28" s="61">
        <v>18</v>
      </c>
      <c r="EY28" s="61">
        <v>8</v>
      </c>
      <c r="EZ28" s="61">
        <v>8</v>
      </c>
      <c r="FA28" s="61">
        <v>8</v>
      </c>
      <c r="FB28" s="61">
        <v>14</v>
      </c>
      <c r="FC28" s="61">
        <v>56</v>
      </c>
      <c r="FF28" s="80" t="s">
        <v>1843</v>
      </c>
      <c r="FG28" s="80" t="s">
        <v>2855</v>
      </c>
      <c r="FH28" s="80" t="s">
        <v>1970</v>
      </c>
      <c r="FI28" s="80" t="s">
        <v>1970</v>
      </c>
      <c r="FJ28" s="80" t="s">
        <v>1970</v>
      </c>
      <c r="FK28" s="80" t="s">
        <v>1970</v>
      </c>
      <c r="FL28" s="80" t="s">
        <v>1970</v>
      </c>
      <c r="FM28" s="80" t="s">
        <v>1970</v>
      </c>
      <c r="FN28" s="80"/>
      <c r="FO28" s="80" t="s">
        <v>2855</v>
      </c>
      <c r="FP28" s="80" t="s">
        <v>1970</v>
      </c>
      <c r="FQ28" s="80" t="s">
        <v>1970</v>
      </c>
      <c r="FR28" s="80" t="s">
        <v>1970</v>
      </c>
      <c r="FS28" s="80" t="s">
        <v>1970</v>
      </c>
      <c r="FT28" s="80" t="s">
        <v>1970</v>
      </c>
      <c r="FU28" s="80" t="s">
        <v>1970</v>
      </c>
    </row>
    <row r="29" spans="1:177" x14ac:dyDescent="0.3">
      <c r="B29" s="71" t="s">
        <v>126</v>
      </c>
      <c r="C29" s="71" t="s">
        <v>2855</v>
      </c>
      <c r="D29" s="71">
        <v>21</v>
      </c>
      <c r="E29" s="71">
        <v>0</v>
      </c>
      <c r="F29" s="71">
        <v>0</v>
      </c>
      <c r="G29" s="71">
        <v>0</v>
      </c>
      <c r="H29" s="71">
        <v>0</v>
      </c>
      <c r="I29" s="71">
        <v>21</v>
      </c>
      <c r="K29" s="71" t="s">
        <v>2855</v>
      </c>
      <c r="L29" s="71">
        <v>277</v>
      </c>
      <c r="M29" s="71">
        <v>360</v>
      </c>
      <c r="N29" s="71">
        <v>472</v>
      </c>
      <c r="O29" s="71">
        <v>552</v>
      </c>
      <c r="P29" s="71">
        <v>421</v>
      </c>
      <c r="Q29" s="71">
        <v>2082</v>
      </c>
      <c r="T29" s="72" t="s">
        <v>407</v>
      </c>
      <c r="U29" s="72" t="s">
        <v>2855</v>
      </c>
      <c r="V29" s="72" t="s">
        <v>1970</v>
      </c>
      <c r="W29" s="72" t="s">
        <v>1970</v>
      </c>
      <c r="X29" s="72" t="s">
        <v>1970</v>
      </c>
      <c r="Y29" s="72" t="s">
        <v>1970</v>
      </c>
      <c r="Z29" s="72" t="s">
        <v>1970</v>
      </c>
      <c r="AA29" s="72" t="s">
        <v>1970</v>
      </c>
      <c r="AB29" s="72"/>
      <c r="AC29" s="72" t="s">
        <v>2855</v>
      </c>
      <c r="AD29" s="72" t="s">
        <v>1970</v>
      </c>
      <c r="AE29" s="72" t="s">
        <v>1970</v>
      </c>
      <c r="AF29" s="72" t="s">
        <v>1970</v>
      </c>
      <c r="AG29" s="72" t="s">
        <v>1970</v>
      </c>
      <c r="AH29" s="72" t="s">
        <v>1970</v>
      </c>
      <c r="AI29" s="72" t="s">
        <v>1970</v>
      </c>
      <c r="AK29" s="73" t="s">
        <v>676</v>
      </c>
      <c r="AL29" s="73" t="s">
        <v>2855</v>
      </c>
      <c r="AM29" s="73">
        <v>367</v>
      </c>
      <c r="AN29" s="73">
        <v>496</v>
      </c>
      <c r="AO29" s="73">
        <v>716</v>
      </c>
      <c r="AP29" s="73">
        <v>785</v>
      </c>
      <c r="AQ29" s="73">
        <v>559</v>
      </c>
      <c r="AR29" s="73">
        <v>2923</v>
      </c>
      <c r="AS29" s="73"/>
      <c r="AT29" s="73" t="s">
        <v>2855</v>
      </c>
      <c r="AU29" s="73">
        <v>42</v>
      </c>
      <c r="AV29" s="73">
        <v>3</v>
      </c>
      <c r="AW29" s="73">
        <v>0</v>
      </c>
      <c r="AX29" s="73">
        <v>0</v>
      </c>
      <c r="AY29" s="73">
        <v>0</v>
      </c>
      <c r="AZ29" s="73">
        <v>45</v>
      </c>
      <c r="BB29" s="78" t="s">
        <v>875</v>
      </c>
      <c r="BC29" s="78" t="s">
        <v>2855</v>
      </c>
      <c r="BD29" s="78">
        <v>128</v>
      </c>
      <c r="BE29" s="78">
        <v>176</v>
      </c>
      <c r="BF29" s="78">
        <v>240</v>
      </c>
      <c r="BG29" s="78">
        <v>319</v>
      </c>
      <c r="BH29" s="78">
        <v>255</v>
      </c>
      <c r="BI29" s="78">
        <v>1118</v>
      </c>
      <c r="BJ29" s="78"/>
      <c r="BK29" s="78" t="s">
        <v>2855</v>
      </c>
      <c r="BL29" s="78">
        <v>22</v>
      </c>
      <c r="BM29" s="78">
        <v>0</v>
      </c>
      <c r="BN29" s="78">
        <v>0</v>
      </c>
      <c r="BO29" s="78">
        <v>0</v>
      </c>
      <c r="BP29" s="78">
        <v>0</v>
      </c>
      <c r="BQ29" s="78">
        <v>22</v>
      </c>
      <c r="BS29" s="80" t="s">
        <v>1069</v>
      </c>
      <c r="BT29" s="80" t="s">
        <v>2856</v>
      </c>
      <c r="BU29" s="80" t="s">
        <v>1970</v>
      </c>
      <c r="BV29" s="80" t="s">
        <v>1970</v>
      </c>
      <c r="BW29" s="80" t="s">
        <v>1970</v>
      </c>
      <c r="BX29" s="80" t="s">
        <v>1970</v>
      </c>
      <c r="BY29" s="80" t="s">
        <v>1970</v>
      </c>
      <c r="BZ29" s="80" t="s">
        <v>1970</v>
      </c>
      <c r="CA29" s="80"/>
      <c r="CB29" s="80" t="s">
        <v>2856</v>
      </c>
      <c r="CC29" s="80" t="s">
        <v>1970</v>
      </c>
      <c r="CD29" s="80" t="s">
        <v>1970</v>
      </c>
      <c r="CE29" s="80" t="s">
        <v>1970</v>
      </c>
      <c r="CF29" s="80" t="s">
        <v>1970</v>
      </c>
      <c r="CG29" s="80" t="s">
        <v>1970</v>
      </c>
      <c r="CH29" s="80" t="s">
        <v>1970</v>
      </c>
      <c r="CL29" s="61" t="s">
        <v>1262</v>
      </c>
      <c r="CM29" s="61" t="s">
        <v>2855</v>
      </c>
      <c r="CN29" s="61">
        <v>1013</v>
      </c>
      <c r="CO29" s="61">
        <v>847</v>
      </c>
      <c r="CP29" s="61">
        <v>1073</v>
      </c>
      <c r="CQ29" s="61">
        <v>1060</v>
      </c>
      <c r="CR29" s="61">
        <v>901</v>
      </c>
      <c r="CS29" s="61">
        <v>4894</v>
      </c>
      <c r="CT29" s="61"/>
      <c r="CU29" s="61" t="s">
        <v>2855</v>
      </c>
      <c r="CV29" s="61">
        <v>120</v>
      </c>
      <c r="CW29" s="61">
        <v>0</v>
      </c>
      <c r="CX29" s="61">
        <v>0</v>
      </c>
      <c r="CY29" s="61">
        <v>0</v>
      </c>
      <c r="CZ29" s="61">
        <v>0</v>
      </c>
      <c r="DA29" s="61">
        <v>120</v>
      </c>
      <c r="DD29" s="91" t="s">
        <v>1376</v>
      </c>
      <c r="DE29" s="91" t="s">
        <v>1968</v>
      </c>
      <c r="DF29" s="91">
        <v>435</v>
      </c>
      <c r="DG29" s="91">
        <v>354</v>
      </c>
      <c r="DH29" s="91">
        <v>280</v>
      </c>
      <c r="DI29" s="91">
        <v>282</v>
      </c>
      <c r="DJ29" s="91">
        <v>209</v>
      </c>
      <c r="DK29" s="91">
        <v>1560</v>
      </c>
      <c r="DL29" s="91"/>
      <c r="DM29" s="91" t="s">
        <v>1968</v>
      </c>
      <c r="DN29" s="91">
        <v>18</v>
      </c>
      <c r="DO29" s="91">
        <v>0</v>
      </c>
      <c r="DP29" s="91">
        <v>0</v>
      </c>
      <c r="DQ29" s="91">
        <v>0</v>
      </c>
      <c r="DR29" s="91">
        <v>0</v>
      </c>
      <c r="DS29" s="91">
        <v>18</v>
      </c>
      <c r="DV29" s="94" t="s">
        <v>1470</v>
      </c>
      <c r="DW29" s="94" t="s">
        <v>2856</v>
      </c>
      <c r="DX29" s="94">
        <v>366</v>
      </c>
      <c r="DY29" s="94">
        <v>423</v>
      </c>
      <c r="DZ29" s="94">
        <v>594</v>
      </c>
      <c r="EA29" s="94">
        <v>695</v>
      </c>
      <c r="EB29" s="94">
        <v>551</v>
      </c>
      <c r="EC29" s="94">
        <v>2629</v>
      </c>
      <c r="ED29" s="94"/>
      <c r="EE29" s="94" t="s">
        <v>2856</v>
      </c>
      <c r="EF29" s="94">
        <v>38</v>
      </c>
      <c r="EG29" s="94">
        <v>0</v>
      </c>
      <c r="EH29" s="94">
        <v>0</v>
      </c>
      <c r="EI29" s="94">
        <v>0</v>
      </c>
      <c r="EJ29" s="94">
        <v>0</v>
      </c>
      <c r="EK29" s="94">
        <v>38</v>
      </c>
      <c r="EN29" s="61" t="s">
        <v>1677</v>
      </c>
      <c r="EO29" s="61" t="s">
        <v>2855</v>
      </c>
      <c r="EP29" s="61">
        <v>662</v>
      </c>
      <c r="EQ29" s="61">
        <v>648</v>
      </c>
      <c r="ER29" s="61">
        <v>685</v>
      </c>
      <c r="ES29" s="61">
        <v>689</v>
      </c>
      <c r="ET29" s="61">
        <v>758</v>
      </c>
      <c r="EU29" s="61">
        <v>3442</v>
      </c>
      <c r="EV29" s="61"/>
      <c r="EW29" s="61" t="s">
        <v>2855</v>
      </c>
      <c r="EX29" s="61">
        <v>25</v>
      </c>
      <c r="EY29" s="61">
        <v>7</v>
      </c>
      <c r="EZ29" s="61">
        <v>5</v>
      </c>
      <c r="FA29" s="61">
        <v>0</v>
      </c>
      <c r="FB29" s="61">
        <v>0</v>
      </c>
      <c r="FC29" s="61">
        <v>37</v>
      </c>
      <c r="FF29" s="80" t="s">
        <v>1849</v>
      </c>
      <c r="FG29" s="80" t="s">
        <v>2855</v>
      </c>
      <c r="FH29" s="80" t="s">
        <v>1970</v>
      </c>
      <c r="FI29" s="80" t="s">
        <v>1970</v>
      </c>
      <c r="FJ29" s="80" t="s">
        <v>1970</v>
      </c>
      <c r="FK29" s="80" t="s">
        <v>1970</v>
      </c>
      <c r="FL29" s="80" t="s">
        <v>1970</v>
      </c>
      <c r="FM29" s="80" t="s">
        <v>1970</v>
      </c>
      <c r="FN29" s="80"/>
      <c r="FO29" s="80" t="s">
        <v>2855</v>
      </c>
      <c r="FP29" s="80" t="s">
        <v>1970</v>
      </c>
      <c r="FQ29" s="80" t="s">
        <v>1970</v>
      </c>
      <c r="FR29" s="80" t="s">
        <v>1970</v>
      </c>
      <c r="FS29" s="80" t="s">
        <v>1970</v>
      </c>
      <c r="FT29" s="80" t="s">
        <v>1970</v>
      </c>
      <c r="FU29" s="80" t="s">
        <v>1970</v>
      </c>
    </row>
    <row r="30" spans="1:177" x14ac:dyDescent="0.3">
      <c r="A30" s="21" t="s">
        <v>2858</v>
      </c>
      <c r="B30" s="205" t="s">
        <v>145</v>
      </c>
      <c r="C30" s="71" t="s">
        <v>2855</v>
      </c>
      <c r="D30" s="71">
        <v>30</v>
      </c>
      <c r="E30" s="71">
        <v>4</v>
      </c>
      <c r="F30" s="71">
        <v>0</v>
      </c>
      <c r="G30" s="71">
        <v>2</v>
      </c>
      <c r="H30" s="71">
        <v>0</v>
      </c>
      <c r="I30" s="71">
        <v>36</v>
      </c>
      <c r="K30" s="71" t="s">
        <v>2855</v>
      </c>
      <c r="L30" s="71">
        <v>313</v>
      </c>
      <c r="M30" s="71">
        <v>442</v>
      </c>
      <c r="N30" s="71">
        <v>732</v>
      </c>
      <c r="O30" s="71">
        <v>953</v>
      </c>
      <c r="P30" s="71">
        <v>770</v>
      </c>
      <c r="Q30" s="71">
        <v>3210</v>
      </c>
      <c r="T30" s="72" t="s">
        <v>411</v>
      </c>
      <c r="U30" s="72" t="s">
        <v>2855</v>
      </c>
      <c r="V30" s="72">
        <v>966</v>
      </c>
      <c r="W30" s="72">
        <v>475</v>
      </c>
      <c r="X30" s="72">
        <v>512</v>
      </c>
      <c r="Y30" s="72">
        <v>504</v>
      </c>
      <c r="Z30" s="72">
        <v>370</v>
      </c>
      <c r="AA30" s="72">
        <v>2827</v>
      </c>
      <c r="AB30" s="72"/>
      <c r="AC30" s="72" t="s">
        <v>2855</v>
      </c>
      <c r="AD30" s="72">
        <v>51</v>
      </c>
      <c r="AE30" s="72">
        <v>0</v>
      </c>
      <c r="AF30" s="72">
        <v>0</v>
      </c>
      <c r="AG30" s="72">
        <v>0</v>
      </c>
      <c r="AH30" s="72">
        <v>0</v>
      </c>
      <c r="AI30" s="72">
        <v>51</v>
      </c>
      <c r="AK30" s="73" t="s">
        <v>681</v>
      </c>
      <c r="AL30" s="73" t="s">
        <v>2855</v>
      </c>
      <c r="AM30" s="73">
        <v>182</v>
      </c>
      <c r="AN30" s="73">
        <v>281</v>
      </c>
      <c r="AO30" s="73">
        <v>437</v>
      </c>
      <c r="AP30" s="73">
        <v>643</v>
      </c>
      <c r="AQ30" s="73">
        <v>434</v>
      </c>
      <c r="AR30" s="73">
        <v>1977</v>
      </c>
      <c r="AS30" s="73"/>
      <c r="AT30" s="73" t="s">
        <v>2855</v>
      </c>
      <c r="AU30" s="73">
        <v>28</v>
      </c>
      <c r="AV30" s="73">
        <v>1</v>
      </c>
      <c r="AW30" s="73">
        <v>0</v>
      </c>
      <c r="AX30" s="73">
        <v>2</v>
      </c>
      <c r="AY30" s="73">
        <v>0</v>
      </c>
      <c r="AZ30" s="73">
        <v>31</v>
      </c>
      <c r="BB30" s="78" t="s">
        <v>880</v>
      </c>
      <c r="BC30" s="78" t="s">
        <v>2855</v>
      </c>
      <c r="BD30" s="78" t="s">
        <v>1970</v>
      </c>
      <c r="BE30" s="78" t="s">
        <v>1970</v>
      </c>
      <c r="BF30" s="78" t="s">
        <v>1970</v>
      </c>
      <c r="BG30" s="78" t="s">
        <v>1970</v>
      </c>
      <c r="BH30" s="78" t="s">
        <v>1970</v>
      </c>
      <c r="BI30" s="78" t="s">
        <v>1970</v>
      </c>
      <c r="BJ30" s="78"/>
      <c r="BK30" s="78" t="s">
        <v>2855</v>
      </c>
      <c r="BL30" s="78" t="s">
        <v>1970</v>
      </c>
      <c r="BM30" s="78" t="s">
        <v>1970</v>
      </c>
      <c r="BN30" s="78" t="s">
        <v>1970</v>
      </c>
      <c r="BO30" s="78" t="s">
        <v>1970</v>
      </c>
      <c r="BP30" s="78" t="s">
        <v>1970</v>
      </c>
      <c r="BQ30" s="78" t="s">
        <v>1970</v>
      </c>
      <c r="BS30" s="80" t="s">
        <v>1073</v>
      </c>
      <c r="BT30" s="80" t="s">
        <v>2856</v>
      </c>
      <c r="BU30" s="80" t="s">
        <v>1970</v>
      </c>
      <c r="BV30" s="80" t="s">
        <v>1970</v>
      </c>
      <c r="BW30" s="80" t="s">
        <v>1970</v>
      </c>
      <c r="BX30" s="80" t="s">
        <v>1970</v>
      </c>
      <c r="BY30" s="80" t="s">
        <v>1970</v>
      </c>
      <c r="BZ30" s="80" t="s">
        <v>1970</v>
      </c>
      <c r="CA30" s="80"/>
      <c r="CB30" s="80" t="s">
        <v>2856</v>
      </c>
      <c r="CC30" s="80" t="s">
        <v>1970</v>
      </c>
      <c r="CD30" s="80" t="s">
        <v>1970</v>
      </c>
      <c r="CE30" s="80" t="s">
        <v>1970</v>
      </c>
      <c r="CF30" s="80" t="s">
        <v>1970</v>
      </c>
      <c r="CG30" s="80" t="s">
        <v>1970</v>
      </c>
      <c r="CH30" s="80" t="s">
        <v>1970</v>
      </c>
      <c r="CL30" s="61" t="s">
        <v>1270</v>
      </c>
      <c r="CM30" s="61" t="s">
        <v>2855</v>
      </c>
      <c r="CN30" s="61">
        <v>116</v>
      </c>
      <c r="CO30" s="61">
        <v>111</v>
      </c>
      <c r="CP30" s="61">
        <v>247</v>
      </c>
      <c r="CQ30" s="61">
        <v>347</v>
      </c>
      <c r="CR30" s="61">
        <v>373</v>
      </c>
      <c r="CS30" s="61">
        <v>1194</v>
      </c>
      <c r="CT30" s="61"/>
      <c r="CU30" s="61" t="s">
        <v>2855</v>
      </c>
      <c r="CV30" s="61">
        <v>21</v>
      </c>
      <c r="CW30" s="61">
        <v>1</v>
      </c>
      <c r="CX30" s="61">
        <v>0</v>
      </c>
      <c r="CY30" s="61">
        <v>0</v>
      </c>
      <c r="CZ30" s="61">
        <v>0</v>
      </c>
      <c r="DA30" s="61">
        <v>22</v>
      </c>
      <c r="DD30" s="91" t="s">
        <v>1387</v>
      </c>
      <c r="DE30" s="91" t="s">
        <v>1968</v>
      </c>
      <c r="DF30" s="91">
        <v>811</v>
      </c>
      <c r="DG30" s="91">
        <v>938</v>
      </c>
      <c r="DH30" s="91">
        <v>966</v>
      </c>
      <c r="DI30" s="91">
        <v>1013</v>
      </c>
      <c r="DJ30" s="91">
        <v>906</v>
      </c>
      <c r="DK30" s="91">
        <v>4634</v>
      </c>
      <c r="DL30" s="91"/>
      <c r="DM30" s="91" t="s">
        <v>1968</v>
      </c>
      <c r="DN30" s="91">
        <v>115</v>
      </c>
      <c r="DO30" s="91">
        <v>48</v>
      </c>
      <c r="DP30" s="91">
        <v>12</v>
      </c>
      <c r="DQ30" s="91">
        <v>5</v>
      </c>
      <c r="DR30" s="91">
        <v>9</v>
      </c>
      <c r="DS30" s="91">
        <v>189</v>
      </c>
      <c r="DV30" s="94" t="s">
        <v>1474</v>
      </c>
      <c r="DW30" s="94" t="s">
        <v>2856</v>
      </c>
      <c r="DX30" s="94">
        <v>992</v>
      </c>
      <c r="DY30" s="94">
        <v>453</v>
      </c>
      <c r="DZ30" s="94">
        <v>464</v>
      </c>
      <c r="EA30" s="94">
        <v>476</v>
      </c>
      <c r="EB30" s="94">
        <v>399</v>
      </c>
      <c r="EC30" s="94">
        <v>2784</v>
      </c>
      <c r="ED30" s="94"/>
      <c r="EE30" s="94" t="s">
        <v>2856</v>
      </c>
      <c r="EF30" s="94">
        <v>21</v>
      </c>
      <c r="EG30" s="94">
        <v>0</v>
      </c>
      <c r="EH30" s="94">
        <v>0</v>
      </c>
      <c r="EI30" s="94">
        <v>0</v>
      </c>
      <c r="EJ30" s="94">
        <v>0</v>
      </c>
      <c r="EK30" s="94">
        <v>21</v>
      </c>
      <c r="EN30" s="61" t="s">
        <v>1681</v>
      </c>
      <c r="EO30" s="61" t="s">
        <v>2855</v>
      </c>
      <c r="EP30" s="61" t="s">
        <v>1970</v>
      </c>
      <c r="EQ30" s="61" t="s">
        <v>1970</v>
      </c>
      <c r="ER30" s="61" t="s">
        <v>1970</v>
      </c>
      <c r="ES30" s="61" t="s">
        <v>1970</v>
      </c>
      <c r="ET30" s="61" t="s">
        <v>1970</v>
      </c>
      <c r="EU30" s="61" t="s">
        <v>1970</v>
      </c>
      <c r="EV30" s="61"/>
      <c r="EW30" s="61" t="s">
        <v>2855</v>
      </c>
      <c r="EX30" s="61" t="s">
        <v>1970</v>
      </c>
      <c r="EY30" s="61" t="s">
        <v>1970</v>
      </c>
      <c r="EZ30" s="61" t="s">
        <v>1970</v>
      </c>
      <c r="FA30" s="61" t="s">
        <v>1970</v>
      </c>
      <c r="FB30" s="61" t="s">
        <v>1970</v>
      </c>
      <c r="FC30" s="61" t="s">
        <v>1970</v>
      </c>
      <c r="FF30" s="80" t="s">
        <v>1855</v>
      </c>
      <c r="FG30" s="80" t="s">
        <v>2855</v>
      </c>
      <c r="FH30" s="80">
        <v>214</v>
      </c>
      <c r="FI30" s="80">
        <v>267</v>
      </c>
      <c r="FJ30" s="80">
        <v>361</v>
      </c>
      <c r="FK30" s="80">
        <v>424</v>
      </c>
      <c r="FL30" s="80">
        <v>512</v>
      </c>
      <c r="FM30" s="80">
        <v>1778</v>
      </c>
      <c r="FN30" s="80"/>
      <c r="FO30" s="80" t="s">
        <v>2855</v>
      </c>
      <c r="FP30" s="80">
        <v>31</v>
      </c>
      <c r="FQ30" s="80">
        <v>13</v>
      </c>
      <c r="FR30" s="80">
        <v>12</v>
      </c>
      <c r="FS30" s="80">
        <v>10</v>
      </c>
      <c r="FT30" s="80">
        <v>6</v>
      </c>
      <c r="FU30" s="80">
        <v>72</v>
      </c>
    </row>
    <row r="31" spans="1:177" x14ac:dyDescent="0.3">
      <c r="B31" s="71" t="s">
        <v>135</v>
      </c>
      <c r="C31" s="71" t="s">
        <v>2855</v>
      </c>
      <c r="D31" s="71">
        <v>38</v>
      </c>
      <c r="E31" s="71">
        <v>2</v>
      </c>
      <c r="F31" s="71">
        <v>2</v>
      </c>
      <c r="G31" s="71">
        <v>0</v>
      </c>
      <c r="H31" s="71">
        <v>0</v>
      </c>
      <c r="I31" s="71">
        <v>42</v>
      </c>
      <c r="K31" s="71" t="s">
        <v>2855</v>
      </c>
      <c r="L31" s="71">
        <v>483</v>
      </c>
      <c r="M31" s="71">
        <v>541</v>
      </c>
      <c r="N31" s="71">
        <v>911</v>
      </c>
      <c r="O31" s="71">
        <v>1166</v>
      </c>
      <c r="P31" s="71">
        <v>1004</v>
      </c>
      <c r="Q31" s="71">
        <v>4105</v>
      </c>
      <c r="T31" s="72" t="s">
        <v>417</v>
      </c>
      <c r="U31" s="72" t="s">
        <v>2855</v>
      </c>
      <c r="V31" s="72" t="s">
        <v>1970</v>
      </c>
      <c r="W31" s="72" t="s">
        <v>1970</v>
      </c>
      <c r="X31" s="72" t="s">
        <v>1970</v>
      </c>
      <c r="Y31" s="72" t="s">
        <v>1970</v>
      </c>
      <c r="Z31" s="72" t="s">
        <v>1970</v>
      </c>
      <c r="AA31" s="72" t="s">
        <v>1970</v>
      </c>
      <c r="AB31" s="72"/>
      <c r="AC31" s="72" t="s">
        <v>2855</v>
      </c>
      <c r="AD31" s="72" t="s">
        <v>1970</v>
      </c>
      <c r="AE31" s="72" t="s">
        <v>1970</v>
      </c>
      <c r="AF31" s="72" t="s">
        <v>1970</v>
      </c>
      <c r="AG31" s="72" t="s">
        <v>1970</v>
      </c>
      <c r="AH31" s="72" t="s">
        <v>1970</v>
      </c>
      <c r="AI31" s="72" t="s">
        <v>1970</v>
      </c>
      <c r="AK31" s="73" t="s">
        <v>2464</v>
      </c>
      <c r="AL31" s="73" t="s">
        <v>2855</v>
      </c>
      <c r="AM31" s="73" t="s">
        <v>1978</v>
      </c>
      <c r="AN31" s="73" t="s">
        <v>1978</v>
      </c>
      <c r="AO31" s="73" t="s">
        <v>1978</v>
      </c>
      <c r="AP31" s="73" t="s">
        <v>1978</v>
      </c>
      <c r="AQ31" s="73" t="s">
        <v>1978</v>
      </c>
      <c r="AR31" s="73" t="s">
        <v>1978</v>
      </c>
      <c r="AS31" s="73"/>
      <c r="AT31" s="73" t="s">
        <v>2855</v>
      </c>
      <c r="AU31" s="73" t="s">
        <v>1978</v>
      </c>
      <c r="AV31" s="73" t="s">
        <v>1978</v>
      </c>
      <c r="AW31" s="73" t="s">
        <v>1978</v>
      </c>
      <c r="AX31" s="73" t="s">
        <v>1978</v>
      </c>
      <c r="AY31" s="73" t="s">
        <v>1978</v>
      </c>
      <c r="AZ31" s="73" t="s">
        <v>1978</v>
      </c>
      <c r="BB31" s="78" t="s">
        <v>884</v>
      </c>
      <c r="BC31" s="78" t="s">
        <v>2855</v>
      </c>
      <c r="BD31" s="78">
        <v>2530</v>
      </c>
      <c r="BE31" s="78">
        <v>1559</v>
      </c>
      <c r="BF31" s="78">
        <v>1478</v>
      </c>
      <c r="BG31" s="78">
        <v>1236</v>
      </c>
      <c r="BH31" s="78">
        <v>858</v>
      </c>
      <c r="BI31" s="78">
        <v>7661</v>
      </c>
      <c r="BJ31" s="78"/>
      <c r="BK31" s="78" t="s">
        <v>2855</v>
      </c>
      <c r="BL31" s="78">
        <v>324</v>
      </c>
      <c r="BM31" s="78">
        <v>0</v>
      </c>
      <c r="BN31" s="78">
        <v>0</v>
      </c>
      <c r="BO31" s="78">
        <v>0</v>
      </c>
      <c r="BP31" s="78">
        <v>0</v>
      </c>
      <c r="BQ31" s="78">
        <v>324</v>
      </c>
      <c r="BS31" s="80" t="s">
        <v>1077</v>
      </c>
      <c r="BT31" s="80" t="s">
        <v>2856</v>
      </c>
      <c r="BU31" s="80" t="s">
        <v>1970</v>
      </c>
      <c r="BV31" s="80" t="s">
        <v>1970</v>
      </c>
      <c r="BW31" s="80" t="s">
        <v>1970</v>
      </c>
      <c r="BX31" s="80" t="s">
        <v>1970</v>
      </c>
      <c r="BY31" s="80" t="s">
        <v>1970</v>
      </c>
      <c r="BZ31" s="80" t="s">
        <v>1970</v>
      </c>
      <c r="CA31" s="80"/>
      <c r="CB31" s="80" t="s">
        <v>2856</v>
      </c>
      <c r="CC31" s="80" t="s">
        <v>1970</v>
      </c>
      <c r="CD31" s="80" t="s">
        <v>1970</v>
      </c>
      <c r="CE31" s="80" t="s">
        <v>1970</v>
      </c>
      <c r="CF31" s="80" t="s">
        <v>1970</v>
      </c>
      <c r="CG31" s="80" t="s">
        <v>1970</v>
      </c>
      <c r="CH31" s="80" t="s">
        <v>1970</v>
      </c>
      <c r="CL31" s="61" t="s">
        <v>1274</v>
      </c>
      <c r="CM31" s="61" t="s">
        <v>2855</v>
      </c>
      <c r="CN31" s="61">
        <v>62</v>
      </c>
      <c r="CO31" s="61">
        <v>66</v>
      </c>
      <c r="CP31" s="61">
        <v>169</v>
      </c>
      <c r="CQ31" s="61">
        <v>239</v>
      </c>
      <c r="CR31" s="61">
        <v>297</v>
      </c>
      <c r="CS31" s="61">
        <v>833</v>
      </c>
      <c r="CT31" s="61"/>
      <c r="CU31" s="61" t="s">
        <v>2855</v>
      </c>
      <c r="CV31" s="61">
        <v>12</v>
      </c>
      <c r="CW31" s="61">
        <v>0</v>
      </c>
      <c r="CX31" s="61">
        <v>0</v>
      </c>
      <c r="CY31" s="61">
        <v>0</v>
      </c>
      <c r="CZ31" s="61">
        <v>0</v>
      </c>
      <c r="DA31" s="61">
        <v>12</v>
      </c>
      <c r="DD31" s="91" t="s">
        <v>1391</v>
      </c>
      <c r="DE31" s="91" t="s">
        <v>1968</v>
      </c>
      <c r="DF31" s="91">
        <v>208</v>
      </c>
      <c r="DG31" s="91">
        <v>333</v>
      </c>
      <c r="DH31" s="91">
        <v>453</v>
      </c>
      <c r="DI31" s="91">
        <v>538</v>
      </c>
      <c r="DJ31" s="91">
        <v>480</v>
      </c>
      <c r="DK31" s="91">
        <v>2012</v>
      </c>
      <c r="DL31" s="91"/>
      <c r="DM31" s="91" t="s">
        <v>1968</v>
      </c>
      <c r="DN31" s="91">
        <v>27</v>
      </c>
      <c r="DO31" s="91">
        <v>5</v>
      </c>
      <c r="DP31" s="91">
        <v>1</v>
      </c>
      <c r="DQ31" s="91">
        <v>3</v>
      </c>
      <c r="DR31" s="91">
        <v>1</v>
      </c>
      <c r="DS31" s="91">
        <v>37</v>
      </c>
      <c r="DV31" s="94" t="s">
        <v>1478</v>
      </c>
      <c r="DW31" s="94" t="s">
        <v>2856</v>
      </c>
      <c r="DX31" s="94">
        <v>230</v>
      </c>
      <c r="DY31" s="94">
        <v>212</v>
      </c>
      <c r="DZ31" s="94">
        <v>257</v>
      </c>
      <c r="EA31" s="94">
        <v>305</v>
      </c>
      <c r="EB31" s="94">
        <v>245</v>
      </c>
      <c r="EC31" s="94">
        <v>1249</v>
      </c>
      <c r="ED31" s="94"/>
      <c r="EE31" s="94" t="s">
        <v>2856</v>
      </c>
      <c r="EF31" s="94">
        <v>15</v>
      </c>
      <c r="EG31" s="94">
        <v>5</v>
      </c>
      <c r="EH31" s="94">
        <v>0</v>
      </c>
      <c r="EI31" s="94">
        <v>0</v>
      </c>
      <c r="EJ31" s="94">
        <v>0</v>
      </c>
      <c r="EK31" s="94">
        <v>20</v>
      </c>
      <c r="EN31" s="61" t="s">
        <v>1685</v>
      </c>
      <c r="EO31" s="61" t="s">
        <v>2855</v>
      </c>
      <c r="EP31" s="61" t="s">
        <v>1970</v>
      </c>
      <c r="EQ31" s="61" t="s">
        <v>1970</v>
      </c>
      <c r="ER31" s="61" t="s">
        <v>1970</v>
      </c>
      <c r="ES31" s="61" t="s">
        <v>1970</v>
      </c>
      <c r="ET31" s="61" t="s">
        <v>1970</v>
      </c>
      <c r="EU31" s="61" t="s">
        <v>1970</v>
      </c>
      <c r="EV31" s="61"/>
      <c r="EW31" s="61" t="s">
        <v>2855</v>
      </c>
      <c r="EX31" s="61" t="s">
        <v>1970</v>
      </c>
      <c r="EY31" s="61" t="s">
        <v>1970</v>
      </c>
      <c r="EZ31" s="61" t="s">
        <v>1970</v>
      </c>
      <c r="FA31" s="61" t="s">
        <v>1970</v>
      </c>
      <c r="FB31" s="61" t="s">
        <v>1970</v>
      </c>
      <c r="FC31" s="61" t="s">
        <v>1970</v>
      </c>
      <c r="FF31" s="80" t="s">
        <v>1861</v>
      </c>
      <c r="FG31" s="80" t="s">
        <v>2855</v>
      </c>
      <c r="FH31" s="80">
        <v>940</v>
      </c>
      <c r="FI31" s="80">
        <v>841</v>
      </c>
      <c r="FJ31" s="80">
        <v>787</v>
      </c>
      <c r="FK31" s="80">
        <v>815</v>
      </c>
      <c r="FL31" s="80">
        <v>916</v>
      </c>
      <c r="FM31" s="80">
        <v>4299</v>
      </c>
      <c r="FN31" s="80"/>
      <c r="FO31" s="80" t="s">
        <v>2855</v>
      </c>
      <c r="FP31" s="80">
        <v>99</v>
      </c>
      <c r="FQ31" s="80">
        <v>0</v>
      </c>
      <c r="FR31" s="80">
        <v>0</v>
      </c>
      <c r="FS31" s="80">
        <v>0</v>
      </c>
      <c r="FT31" s="80">
        <v>0</v>
      </c>
      <c r="FU31" s="80">
        <v>99</v>
      </c>
    </row>
    <row r="32" spans="1:177" x14ac:dyDescent="0.3">
      <c r="B32" s="71" t="s">
        <v>140</v>
      </c>
      <c r="C32" s="71" t="s">
        <v>2855</v>
      </c>
      <c r="D32" s="71">
        <v>51</v>
      </c>
      <c r="E32" s="71">
        <v>10</v>
      </c>
      <c r="F32" s="71">
        <v>2</v>
      </c>
      <c r="G32" s="71">
        <v>3</v>
      </c>
      <c r="H32" s="71">
        <v>1</v>
      </c>
      <c r="I32" s="71">
        <v>67</v>
      </c>
      <c r="K32" s="71" t="s">
        <v>2855</v>
      </c>
      <c r="L32" s="71">
        <v>289</v>
      </c>
      <c r="M32" s="71">
        <v>387</v>
      </c>
      <c r="N32" s="71">
        <v>656</v>
      </c>
      <c r="O32" s="71">
        <v>973</v>
      </c>
      <c r="P32" s="71">
        <v>760</v>
      </c>
      <c r="Q32" s="71">
        <v>3065</v>
      </c>
      <c r="AK32" s="73" t="s">
        <v>2465</v>
      </c>
      <c r="AL32" s="73" t="s">
        <v>2855</v>
      </c>
      <c r="AM32" s="73" t="s">
        <v>1978</v>
      </c>
      <c r="AN32" s="73" t="s">
        <v>1978</v>
      </c>
      <c r="AO32" s="73" t="s">
        <v>1978</v>
      </c>
      <c r="AP32" s="73" t="s">
        <v>1978</v>
      </c>
      <c r="AQ32" s="73" t="s">
        <v>1978</v>
      </c>
      <c r="AR32" s="73" t="s">
        <v>1978</v>
      </c>
      <c r="AS32" s="73"/>
      <c r="AT32" s="73" t="s">
        <v>2855</v>
      </c>
      <c r="AU32" s="73" t="s">
        <v>1978</v>
      </c>
      <c r="AV32" s="73" t="s">
        <v>1978</v>
      </c>
      <c r="AW32" s="73" t="s">
        <v>1978</v>
      </c>
      <c r="AX32" s="73" t="s">
        <v>1978</v>
      </c>
      <c r="AY32" s="73" t="s">
        <v>1978</v>
      </c>
      <c r="AZ32" s="73" t="s">
        <v>1978</v>
      </c>
      <c r="BB32" s="78" t="s">
        <v>904</v>
      </c>
      <c r="BC32" s="78" t="s">
        <v>2855</v>
      </c>
      <c r="BD32" s="78">
        <v>149</v>
      </c>
      <c r="BE32" s="78">
        <v>130</v>
      </c>
      <c r="BF32" s="78">
        <v>180</v>
      </c>
      <c r="BG32" s="78">
        <v>268</v>
      </c>
      <c r="BH32" s="78">
        <v>229</v>
      </c>
      <c r="BI32" s="78">
        <v>956</v>
      </c>
      <c r="BJ32" s="78"/>
      <c r="BK32" s="78" t="s">
        <v>2855</v>
      </c>
      <c r="BL32" s="78">
        <v>27</v>
      </c>
      <c r="BM32" s="78">
        <v>0</v>
      </c>
      <c r="BN32" s="78">
        <v>0</v>
      </c>
      <c r="BO32" s="78">
        <v>0</v>
      </c>
      <c r="BP32" s="78">
        <v>0</v>
      </c>
      <c r="BQ32" s="78">
        <v>27</v>
      </c>
      <c r="BS32" s="80" t="s">
        <v>1082</v>
      </c>
      <c r="BT32" s="80" t="s">
        <v>2856</v>
      </c>
      <c r="BU32" s="80">
        <v>1794</v>
      </c>
      <c r="BV32" s="80">
        <v>1053</v>
      </c>
      <c r="BW32" s="80">
        <v>1048</v>
      </c>
      <c r="BX32" s="80">
        <v>998</v>
      </c>
      <c r="BY32" s="80">
        <v>696</v>
      </c>
      <c r="BZ32" s="80">
        <v>5589</v>
      </c>
      <c r="CA32" s="80"/>
      <c r="CB32" s="80" t="s">
        <v>2856</v>
      </c>
      <c r="CC32" s="80">
        <v>541</v>
      </c>
      <c r="CD32" s="80">
        <v>5</v>
      </c>
      <c r="CE32" s="80">
        <v>0</v>
      </c>
      <c r="CF32" s="80">
        <v>0</v>
      </c>
      <c r="CG32" s="80">
        <v>0</v>
      </c>
      <c r="CH32" s="80">
        <v>546</v>
      </c>
      <c r="CL32" s="61" t="s">
        <v>1358</v>
      </c>
      <c r="CM32" s="61" t="s">
        <v>2855</v>
      </c>
      <c r="CN32" s="61">
        <v>161</v>
      </c>
      <c r="CO32" s="61">
        <v>189</v>
      </c>
      <c r="CP32" s="61">
        <v>326</v>
      </c>
      <c r="CQ32" s="61">
        <v>448</v>
      </c>
      <c r="CR32" s="61">
        <v>427</v>
      </c>
      <c r="CS32" s="61">
        <v>1551</v>
      </c>
      <c r="CT32" s="61"/>
      <c r="CU32" s="61" t="s">
        <v>2855</v>
      </c>
      <c r="CV32" s="61">
        <v>23</v>
      </c>
      <c r="CW32" s="61">
        <v>1</v>
      </c>
      <c r="CX32" s="61">
        <v>0</v>
      </c>
      <c r="CY32" s="61">
        <v>0</v>
      </c>
      <c r="CZ32" s="61">
        <v>0</v>
      </c>
      <c r="DA32" s="61">
        <v>24</v>
      </c>
      <c r="DD32" s="91" t="s">
        <v>1398</v>
      </c>
      <c r="DE32" s="91" t="s">
        <v>1968</v>
      </c>
      <c r="DF32" s="91">
        <v>203</v>
      </c>
      <c r="DG32" s="91">
        <v>379</v>
      </c>
      <c r="DH32" s="91">
        <v>499</v>
      </c>
      <c r="DI32" s="91">
        <v>628</v>
      </c>
      <c r="DJ32" s="91">
        <v>590</v>
      </c>
      <c r="DK32" s="91">
        <v>2299</v>
      </c>
      <c r="DL32" s="91"/>
      <c r="DM32" s="91" t="s">
        <v>1968</v>
      </c>
      <c r="DN32" s="91">
        <v>18</v>
      </c>
      <c r="DO32" s="91">
        <v>11</v>
      </c>
      <c r="DP32" s="91">
        <v>6</v>
      </c>
      <c r="DQ32" s="91">
        <v>1</v>
      </c>
      <c r="DR32" s="91">
        <v>0</v>
      </c>
      <c r="DS32" s="91">
        <v>36</v>
      </c>
      <c r="DV32" s="94" t="s">
        <v>1482</v>
      </c>
      <c r="DW32" s="94" t="s">
        <v>2856</v>
      </c>
      <c r="DX32" s="94">
        <v>272</v>
      </c>
      <c r="DY32" s="94">
        <v>324</v>
      </c>
      <c r="DZ32" s="94">
        <v>398</v>
      </c>
      <c r="EA32" s="94">
        <v>466</v>
      </c>
      <c r="EB32" s="94">
        <v>444</v>
      </c>
      <c r="EC32" s="94">
        <v>1904</v>
      </c>
      <c r="ED32" s="94"/>
      <c r="EE32" s="94" t="s">
        <v>2856</v>
      </c>
      <c r="EF32" s="94">
        <v>24</v>
      </c>
      <c r="EG32" s="94">
        <v>0</v>
      </c>
      <c r="EH32" s="94">
        <v>0</v>
      </c>
      <c r="EI32" s="94">
        <v>0</v>
      </c>
      <c r="EJ32" s="94">
        <v>0</v>
      </c>
      <c r="EK32" s="94">
        <v>24</v>
      </c>
      <c r="EN32" s="61" t="s">
        <v>1689</v>
      </c>
      <c r="EO32" s="61" t="s">
        <v>2855</v>
      </c>
      <c r="EP32" s="61">
        <v>223</v>
      </c>
      <c r="EQ32" s="61">
        <v>296</v>
      </c>
      <c r="ER32" s="61">
        <v>370</v>
      </c>
      <c r="ES32" s="61">
        <v>543</v>
      </c>
      <c r="ET32" s="61">
        <v>663</v>
      </c>
      <c r="EU32" s="61">
        <v>2095</v>
      </c>
      <c r="EV32" s="61"/>
      <c r="EW32" s="61" t="s">
        <v>2855</v>
      </c>
      <c r="EX32" s="61">
        <v>47</v>
      </c>
      <c r="EY32" s="61">
        <v>17</v>
      </c>
      <c r="EZ32" s="61">
        <v>12</v>
      </c>
      <c r="FA32" s="61">
        <v>16</v>
      </c>
      <c r="FB32" s="61">
        <v>7</v>
      </c>
      <c r="FC32" s="61">
        <v>99</v>
      </c>
      <c r="FF32" s="80" t="s">
        <v>1867</v>
      </c>
      <c r="FG32" s="80" t="s">
        <v>2855</v>
      </c>
      <c r="FH32" s="80">
        <v>626</v>
      </c>
      <c r="FI32" s="80">
        <v>606</v>
      </c>
      <c r="FJ32" s="80">
        <v>486</v>
      </c>
      <c r="FK32" s="80">
        <v>540</v>
      </c>
      <c r="FL32" s="80">
        <v>585</v>
      </c>
      <c r="FM32" s="80">
        <v>2843</v>
      </c>
      <c r="FN32" s="80"/>
      <c r="FO32" s="80" t="s">
        <v>2855</v>
      </c>
      <c r="FP32" s="80">
        <v>49</v>
      </c>
      <c r="FQ32" s="80">
        <v>0</v>
      </c>
      <c r="FR32" s="80">
        <v>0</v>
      </c>
      <c r="FS32" s="80">
        <v>0</v>
      </c>
      <c r="FT32" s="80">
        <v>0</v>
      </c>
      <c r="FU32" s="80">
        <v>49</v>
      </c>
    </row>
    <row r="33" spans="2:177" x14ac:dyDescent="0.3">
      <c r="B33" s="71" t="s">
        <v>149</v>
      </c>
      <c r="C33" s="71" t="s">
        <v>2855</v>
      </c>
      <c r="D33" s="71" t="s">
        <v>1970</v>
      </c>
      <c r="E33" s="71" t="s">
        <v>1970</v>
      </c>
      <c r="F33" s="71" t="s">
        <v>1970</v>
      </c>
      <c r="G33" s="71" t="s">
        <v>1970</v>
      </c>
      <c r="H33" s="71" t="s">
        <v>1970</v>
      </c>
      <c r="I33" s="71" t="s">
        <v>1970</v>
      </c>
      <c r="K33" s="71" t="s">
        <v>2855</v>
      </c>
      <c r="L33" s="71" t="s">
        <v>1970</v>
      </c>
      <c r="M33" s="71" t="s">
        <v>1970</v>
      </c>
      <c r="N33" s="71" t="s">
        <v>1970</v>
      </c>
      <c r="O33" s="71" t="s">
        <v>1970</v>
      </c>
      <c r="P33" s="71" t="s">
        <v>1970</v>
      </c>
      <c r="Q33" s="71" t="s">
        <v>1970</v>
      </c>
      <c r="T33" s="72" t="s">
        <v>266</v>
      </c>
      <c r="U33" s="72" t="s">
        <v>2856</v>
      </c>
      <c r="V33" s="72">
        <v>1241</v>
      </c>
      <c r="W33" s="72">
        <v>1151</v>
      </c>
      <c r="X33" s="72">
        <v>1295</v>
      </c>
      <c r="Y33" s="72">
        <v>1231</v>
      </c>
      <c r="Z33" s="72">
        <v>814</v>
      </c>
      <c r="AA33" s="72">
        <v>5732</v>
      </c>
      <c r="AB33" s="72"/>
      <c r="AC33" s="72" t="s">
        <v>2856</v>
      </c>
      <c r="AD33" s="72">
        <v>128</v>
      </c>
      <c r="AE33" s="72">
        <v>10</v>
      </c>
      <c r="AF33" s="72">
        <v>1</v>
      </c>
      <c r="AG33" s="72">
        <v>3</v>
      </c>
      <c r="AH33" s="72">
        <v>1</v>
      </c>
      <c r="AI33" s="72">
        <v>143</v>
      </c>
      <c r="AK33" s="73" t="s">
        <v>693</v>
      </c>
      <c r="AL33" s="73" t="s">
        <v>2855</v>
      </c>
      <c r="AM33" s="73">
        <v>129</v>
      </c>
      <c r="AN33" s="73">
        <v>133</v>
      </c>
      <c r="AO33" s="73">
        <v>240</v>
      </c>
      <c r="AP33" s="73">
        <v>338</v>
      </c>
      <c r="AQ33" s="73">
        <v>312</v>
      </c>
      <c r="AR33" s="73">
        <v>1152</v>
      </c>
      <c r="AS33" s="73"/>
      <c r="AT33" s="73" t="s">
        <v>2855</v>
      </c>
      <c r="AU33" s="73">
        <v>40</v>
      </c>
      <c r="AV33" s="73">
        <v>0</v>
      </c>
      <c r="AW33" s="73">
        <v>0</v>
      </c>
      <c r="AX33" s="73">
        <v>1</v>
      </c>
      <c r="AY33" s="73">
        <v>0</v>
      </c>
      <c r="AZ33" s="73">
        <v>41</v>
      </c>
      <c r="BB33" s="78" t="s">
        <v>909</v>
      </c>
      <c r="BC33" s="78" t="s">
        <v>2855</v>
      </c>
      <c r="BD33" s="78">
        <v>242</v>
      </c>
      <c r="BE33" s="78">
        <v>385</v>
      </c>
      <c r="BF33" s="78">
        <v>552</v>
      </c>
      <c r="BG33" s="78">
        <v>610</v>
      </c>
      <c r="BH33" s="78">
        <v>371</v>
      </c>
      <c r="BI33" s="78">
        <v>2160</v>
      </c>
      <c r="BJ33" s="78"/>
      <c r="BK33" s="78" t="s">
        <v>2855</v>
      </c>
      <c r="BL33" s="78">
        <v>25</v>
      </c>
      <c r="BM33" s="78">
        <v>3</v>
      </c>
      <c r="BN33" s="78">
        <v>0</v>
      </c>
      <c r="BO33" s="78">
        <v>0</v>
      </c>
      <c r="BP33" s="78">
        <v>0</v>
      </c>
      <c r="BQ33" s="78">
        <v>28</v>
      </c>
      <c r="BS33" s="80" t="s">
        <v>1085</v>
      </c>
      <c r="BT33" s="80" t="s">
        <v>2856</v>
      </c>
      <c r="BU33" s="80">
        <v>69</v>
      </c>
      <c r="BV33" s="80">
        <v>61</v>
      </c>
      <c r="BW33" s="80">
        <v>87</v>
      </c>
      <c r="BX33" s="80">
        <v>113</v>
      </c>
      <c r="BY33" s="80">
        <v>95</v>
      </c>
      <c r="BZ33" s="80">
        <v>425</v>
      </c>
      <c r="CA33" s="80"/>
      <c r="CB33" s="80" t="s">
        <v>2856</v>
      </c>
      <c r="CC33" s="80">
        <v>10</v>
      </c>
      <c r="CD33" s="80">
        <v>0</v>
      </c>
      <c r="CE33" s="80">
        <v>0</v>
      </c>
      <c r="CF33" s="80">
        <v>0</v>
      </c>
      <c r="CG33" s="80">
        <v>0</v>
      </c>
      <c r="CH33" s="80">
        <v>10</v>
      </c>
      <c r="CL33" s="61" t="s">
        <v>1277</v>
      </c>
      <c r="CM33" s="61" t="s">
        <v>2855</v>
      </c>
      <c r="CN33" s="61" t="s">
        <v>1970</v>
      </c>
      <c r="CO33" s="61" t="s">
        <v>1970</v>
      </c>
      <c r="CP33" s="61" t="s">
        <v>1970</v>
      </c>
      <c r="CQ33" s="61" t="s">
        <v>1970</v>
      </c>
      <c r="CR33" s="61" t="s">
        <v>1970</v>
      </c>
      <c r="CS33" s="61" t="s">
        <v>1970</v>
      </c>
      <c r="CT33" s="61"/>
      <c r="CU33" s="61" t="s">
        <v>2855</v>
      </c>
      <c r="CV33" s="61" t="s">
        <v>1970</v>
      </c>
      <c r="CW33" s="61" t="s">
        <v>1970</v>
      </c>
      <c r="CX33" s="61" t="s">
        <v>1970</v>
      </c>
      <c r="CY33" s="61" t="s">
        <v>1970</v>
      </c>
      <c r="CZ33" s="61" t="s">
        <v>1970</v>
      </c>
      <c r="DA33" s="61" t="s">
        <v>1970</v>
      </c>
      <c r="DD33" s="91" t="s">
        <v>1402</v>
      </c>
      <c r="DE33" s="91" t="s">
        <v>1968</v>
      </c>
      <c r="DF33" s="91">
        <v>169</v>
      </c>
      <c r="DG33" s="91">
        <v>236</v>
      </c>
      <c r="DH33" s="91">
        <v>264</v>
      </c>
      <c r="DI33" s="91">
        <v>387</v>
      </c>
      <c r="DJ33" s="91">
        <v>364</v>
      </c>
      <c r="DK33" s="91">
        <v>1420</v>
      </c>
      <c r="DL33" s="91"/>
      <c r="DM33" s="91" t="s">
        <v>1968</v>
      </c>
      <c r="DN33" s="91">
        <v>20</v>
      </c>
      <c r="DO33" s="91">
        <v>5</v>
      </c>
      <c r="DP33" s="91">
        <v>0</v>
      </c>
      <c r="DQ33" s="91">
        <v>1</v>
      </c>
      <c r="DR33" s="91">
        <v>0</v>
      </c>
      <c r="DS33" s="91">
        <v>26</v>
      </c>
      <c r="DV33" s="94" t="s">
        <v>1486</v>
      </c>
      <c r="DW33" s="94" t="s">
        <v>2856</v>
      </c>
      <c r="DX33" s="94">
        <v>366</v>
      </c>
      <c r="DY33" s="94">
        <v>329</v>
      </c>
      <c r="DZ33" s="94">
        <v>442</v>
      </c>
      <c r="EA33" s="94">
        <v>504</v>
      </c>
      <c r="EB33" s="94">
        <v>460</v>
      </c>
      <c r="EC33" s="94">
        <v>2101</v>
      </c>
      <c r="ED33" s="94"/>
      <c r="EE33" s="94" t="s">
        <v>2856</v>
      </c>
      <c r="EF33" s="94">
        <v>17</v>
      </c>
      <c r="EG33" s="94">
        <v>0</v>
      </c>
      <c r="EH33" s="94">
        <v>0</v>
      </c>
      <c r="EI33" s="94">
        <v>0</v>
      </c>
      <c r="EJ33" s="94">
        <v>0</v>
      </c>
      <c r="EK33" s="94">
        <v>17</v>
      </c>
      <c r="EN33" s="61" t="s">
        <v>1693</v>
      </c>
      <c r="EO33" s="61" t="s">
        <v>2855</v>
      </c>
      <c r="EP33" s="61" t="s">
        <v>1970</v>
      </c>
      <c r="EQ33" s="61" t="s">
        <v>1970</v>
      </c>
      <c r="ER33" s="61" t="s">
        <v>1970</v>
      </c>
      <c r="ES33" s="61" t="s">
        <v>1970</v>
      </c>
      <c r="ET33" s="61" t="s">
        <v>1970</v>
      </c>
      <c r="EU33" s="61" t="s">
        <v>1970</v>
      </c>
      <c r="EV33" s="61"/>
      <c r="EW33" s="61" t="s">
        <v>2855</v>
      </c>
      <c r="EX33" s="61" t="s">
        <v>1970</v>
      </c>
      <c r="EY33" s="61" t="s">
        <v>1970</v>
      </c>
      <c r="EZ33" s="61" t="s">
        <v>1970</v>
      </c>
      <c r="FA33" s="61" t="s">
        <v>1970</v>
      </c>
      <c r="FB33" s="61" t="s">
        <v>1970</v>
      </c>
      <c r="FC33" s="61" t="s">
        <v>1970</v>
      </c>
      <c r="FF33" s="80" t="s">
        <v>1873</v>
      </c>
      <c r="FG33" s="80" t="s">
        <v>2855</v>
      </c>
      <c r="FH33" s="80">
        <v>113</v>
      </c>
      <c r="FI33" s="80">
        <v>217</v>
      </c>
      <c r="FJ33" s="80">
        <v>318</v>
      </c>
      <c r="FK33" s="80">
        <v>372</v>
      </c>
      <c r="FL33" s="80">
        <v>502</v>
      </c>
      <c r="FM33" s="80">
        <v>1522</v>
      </c>
      <c r="FN33" s="80"/>
      <c r="FO33" s="80" t="s">
        <v>2855</v>
      </c>
      <c r="FP33" s="80">
        <v>20</v>
      </c>
      <c r="FQ33" s="80">
        <v>18</v>
      </c>
      <c r="FR33" s="80">
        <v>15</v>
      </c>
      <c r="FS33" s="80">
        <v>8</v>
      </c>
      <c r="FT33" s="80">
        <v>22</v>
      </c>
      <c r="FU33" s="80">
        <v>83</v>
      </c>
    </row>
    <row r="34" spans="2:177" x14ac:dyDescent="0.3">
      <c r="B34" s="71" t="s">
        <v>154</v>
      </c>
      <c r="C34" s="71" t="s">
        <v>2855</v>
      </c>
      <c r="D34" s="71" t="s">
        <v>1970</v>
      </c>
      <c r="E34" s="71" t="s">
        <v>1970</v>
      </c>
      <c r="F34" s="71" t="s">
        <v>1970</v>
      </c>
      <c r="G34" s="71" t="s">
        <v>1970</v>
      </c>
      <c r="H34" s="71" t="s">
        <v>1970</v>
      </c>
      <c r="I34" s="71" t="s">
        <v>1970</v>
      </c>
      <c r="K34" s="71" t="s">
        <v>2855</v>
      </c>
      <c r="L34" s="71" t="s">
        <v>1970</v>
      </c>
      <c r="M34" s="71" t="s">
        <v>1970</v>
      </c>
      <c r="N34" s="71" t="s">
        <v>1970</v>
      </c>
      <c r="O34" s="71" t="s">
        <v>1970</v>
      </c>
      <c r="P34" s="71" t="s">
        <v>1970</v>
      </c>
      <c r="Q34" s="71" t="s">
        <v>1970</v>
      </c>
      <c r="T34" s="72" t="s">
        <v>272</v>
      </c>
      <c r="U34" s="72" t="s">
        <v>2856</v>
      </c>
      <c r="V34" s="72" t="s">
        <v>1970</v>
      </c>
      <c r="W34" s="72" t="s">
        <v>1970</v>
      </c>
      <c r="X34" s="72" t="s">
        <v>1970</v>
      </c>
      <c r="Y34" s="72" t="s">
        <v>1970</v>
      </c>
      <c r="Z34" s="72" t="s">
        <v>1970</v>
      </c>
      <c r="AA34" s="72" t="s">
        <v>1970</v>
      </c>
      <c r="AB34" s="72"/>
      <c r="AC34" s="72" t="s">
        <v>2856</v>
      </c>
      <c r="AD34" s="72" t="s">
        <v>1970</v>
      </c>
      <c r="AE34" s="72" t="s">
        <v>1970</v>
      </c>
      <c r="AF34" s="72" t="s">
        <v>1970</v>
      </c>
      <c r="AG34" s="72" t="s">
        <v>1970</v>
      </c>
      <c r="AH34" s="72" t="s">
        <v>1970</v>
      </c>
      <c r="AI34" s="72" t="s">
        <v>1970</v>
      </c>
      <c r="AK34" s="73" t="s">
        <v>697</v>
      </c>
      <c r="AL34" s="73" t="s">
        <v>2855</v>
      </c>
      <c r="AM34" s="73">
        <v>153</v>
      </c>
      <c r="AN34" s="73">
        <v>208</v>
      </c>
      <c r="AO34" s="73">
        <v>469</v>
      </c>
      <c r="AP34" s="73">
        <v>741</v>
      </c>
      <c r="AQ34" s="73">
        <v>520</v>
      </c>
      <c r="AR34" s="73">
        <v>2091</v>
      </c>
      <c r="AS34" s="73"/>
      <c r="AT34" s="73" t="s">
        <v>2855</v>
      </c>
      <c r="AU34" s="73">
        <v>17</v>
      </c>
      <c r="AV34" s="73">
        <v>0</v>
      </c>
      <c r="AW34" s="73">
        <v>0</v>
      </c>
      <c r="AX34" s="73">
        <v>1</v>
      </c>
      <c r="AY34" s="73">
        <v>0</v>
      </c>
      <c r="AZ34" s="73">
        <v>18</v>
      </c>
      <c r="BB34" s="78" t="s">
        <v>922</v>
      </c>
      <c r="BC34" s="78" t="s">
        <v>2855</v>
      </c>
      <c r="BD34" s="78">
        <v>208</v>
      </c>
      <c r="BE34" s="78">
        <v>215</v>
      </c>
      <c r="BF34" s="78">
        <v>429</v>
      </c>
      <c r="BG34" s="78">
        <v>508</v>
      </c>
      <c r="BH34" s="78">
        <v>400</v>
      </c>
      <c r="BI34" s="78">
        <v>1760</v>
      </c>
      <c r="BJ34" s="78"/>
      <c r="BK34" s="78" t="s">
        <v>2855</v>
      </c>
      <c r="BL34" s="78">
        <v>25</v>
      </c>
      <c r="BM34" s="78">
        <v>0</v>
      </c>
      <c r="BN34" s="78">
        <v>0</v>
      </c>
      <c r="BO34" s="78">
        <v>0</v>
      </c>
      <c r="BP34" s="78">
        <v>0</v>
      </c>
      <c r="BQ34" s="78">
        <v>25</v>
      </c>
      <c r="BS34" s="80" t="s">
        <v>1090</v>
      </c>
      <c r="BT34" s="80" t="s">
        <v>2856</v>
      </c>
      <c r="BU34" s="80" t="s">
        <v>1970</v>
      </c>
      <c r="BV34" s="80" t="s">
        <v>1970</v>
      </c>
      <c r="BW34" s="80" t="s">
        <v>1970</v>
      </c>
      <c r="BX34" s="80" t="s">
        <v>1970</v>
      </c>
      <c r="BY34" s="80" t="s">
        <v>1970</v>
      </c>
      <c r="BZ34" s="80" t="s">
        <v>1970</v>
      </c>
      <c r="CA34" s="80"/>
      <c r="CB34" s="80" t="s">
        <v>2856</v>
      </c>
      <c r="CC34" s="80" t="s">
        <v>1970</v>
      </c>
      <c r="CD34" s="80" t="s">
        <v>1970</v>
      </c>
      <c r="CE34" s="80" t="s">
        <v>1970</v>
      </c>
      <c r="CF34" s="80" t="s">
        <v>1970</v>
      </c>
      <c r="CG34" s="80" t="s">
        <v>1970</v>
      </c>
      <c r="CH34" s="80" t="s">
        <v>1970</v>
      </c>
      <c r="CL34" s="61" t="s">
        <v>1291</v>
      </c>
      <c r="CM34" s="61" t="s">
        <v>2855</v>
      </c>
      <c r="CN34" s="61">
        <v>175</v>
      </c>
      <c r="CO34" s="61">
        <v>61</v>
      </c>
      <c r="CP34" s="61">
        <v>112</v>
      </c>
      <c r="CQ34" s="61">
        <v>158</v>
      </c>
      <c r="CR34" s="61">
        <v>157</v>
      </c>
      <c r="CS34" s="61">
        <v>663</v>
      </c>
      <c r="CT34" s="61"/>
      <c r="CU34" s="61" t="s">
        <v>2855</v>
      </c>
      <c r="CV34" s="61">
        <v>56</v>
      </c>
      <c r="CW34" s="61">
        <v>0</v>
      </c>
      <c r="CX34" s="61">
        <v>0</v>
      </c>
      <c r="CY34" s="61">
        <v>0</v>
      </c>
      <c r="CZ34" s="61">
        <v>0</v>
      </c>
      <c r="DA34" s="61">
        <v>56</v>
      </c>
      <c r="DD34" s="91" t="s">
        <v>1406</v>
      </c>
      <c r="DE34" s="91" t="s">
        <v>1968</v>
      </c>
      <c r="DF34" s="91">
        <v>573</v>
      </c>
      <c r="DG34" s="91">
        <v>822</v>
      </c>
      <c r="DH34" s="91">
        <v>1039</v>
      </c>
      <c r="DI34" s="91">
        <v>1159</v>
      </c>
      <c r="DJ34" s="91">
        <v>1032</v>
      </c>
      <c r="DK34" s="91">
        <v>4625</v>
      </c>
      <c r="DL34" s="91"/>
      <c r="DM34" s="91" t="s">
        <v>1968</v>
      </c>
      <c r="DN34" s="91">
        <v>75</v>
      </c>
      <c r="DO34" s="91">
        <v>42</v>
      </c>
      <c r="DP34" s="91">
        <v>15</v>
      </c>
      <c r="DQ34" s="91">
        <v>0</v>
      </c>
      <c r="DR34" s="91">
        <v>0</v>
      </c>
      <c r="DS34" s="91">
        <v>132</v>
      </c>
      <c r="DV34" s="94" t="s">
        <v>1494</v>
      </c>
      <c r="DW34" s="94" t="s">
        <v>2856</v>
      </c>
      <c r="DX34" s="94">
        <v>1503</v>
      </c>
      <c r="DY34" s="94">
        <v>1036</v>
      </c>
      <c r="DZ34" s="94">
        <v>1291</v>
      </c>
      <c r="EA34" s="94">
        <v>1419</v>
      </c>
      <c r="EB34" s="94">
        <v>1098</v>
      </c>
      <c r="EC34" s="94">
        <v>6347</v>
      </c>
      <c r="ED34" s="94"/>
      <c r="EE34" s="94" t="s">
        <v>2856</v>
      </c>
      <c r="EF34" s="94">
        <v>40</v>
      </c>
      <c r="EG34" s="94">
        <v>0</v>
      </c>
      <c r="EH34" s="94">
        <v>0</v>
      </c>
      <c r="EI34" s="94">
        <v>0</v>
      </c>
      <c r="EJ34" s="94">
        <v>0</v>
      </c>
      <c r="EK34" s="94">
        <v>40</v>
      </c>
      <c r="EN34" s="61" t="s">
        <v>1697</v>
      </c>
      <c r="EO34" s="61" t="s">
        <v>2855</v>
      </c>
      <c r="EP34" s="61" t="s">
        <v>1970</v>
      </c>
      <c r="EQ34" s="61" t="s">
        <v>1970</v>
      </c>
      <c r="ER34" s="61" t="s">
        <v>1970</v>
      </c>
      <c r="ES34" s="61" t="s">
        <v>1970</v>
      </c>
      <c r="ET34" s="61" t="s">
        <v>1970</v>
      </c>
      <c r="EU34" s="61" t="s">
        <v>1970</v>
      </c>
      <c r="EV34" s="61"/>
      <c r="EW34" s="61" t="s">
        <v>2855</v>
      </c>
      <c r="EX34" s="61" t="s">
        <v>1970</v>
      </c>
      <c r="EY34" s="61" t="s">
        <v>1970</v>
      </c>
      <c r="EZ34" s="61" t="s">
        <v>1970</v>
      </c>
      <c r="FA34" s="61" t="s">
        <v>1970</v>
      </c>
      <c r="FB34" s="61" t="s">
        <v>1970</v>
      </c>
      <c r="FC34" s="61" t="s">
        <v>1970</v>
      </c>
      <c r="FF34" s="80" t="s">
        <v>1879</v>
      </c>
      <c r="FG34" s="80" t="s">
        <v>2855</v>
      </c>
      <c r="FH34" s="80">
        <v>256</v>
      </c>
      <c r="FI34" s="80">
        <v>454</v>
      </c>
      <c r="FJ34" s="80">
        <v>529</v>
      </c>
      <c r="FK34" s="80">
        <v>607</v>
      </c>
      <c r="FL34" s="80">
        <v>799</v>
      </c>
      <c r="FM34" s="80">
        <v>2645</v>
      </c>
      <c r="FN34" s="80"/>
      <c r="FO34" s="80" t="s">
        <v>2855</v>
      </c>
      <c r="FP34" s="80">
        <v>62</v>
      </c>
      <c r="FQ34" s="80">
        <v>0</v>
      </c>
      <c r="FR34" s="80">
        <v>0</v>
      </c>
      <c r="FS34" s="80">
        <v>0</v>
      </c>
      <c r="FT34" s="80">
        <v>0</v>
      </c>
      <c r="FU34" s="80">
        <v>62</v>
      </c>
    </row>
    <row r="35" spans="2:177" x14ac:dyDescent="0.3">
      <c r="B35" s="71" t="s">
        <v>159</v>
      </c>
      <c r="C35" s="71" t="s">
        <v>2855</v>
      </c>
      <c r="D35" s="71" t="s">
        <v>1970</v>
      </c>
      <c r="E35" s="71" t="s">
        <v>1970</v>
      </c>
      <c r="F35" s="71" t="s">
        <v>1970</v>
      </c>
      <c r="G35" s="71" t="s">
        <v>1970</v>
      </c>
      <c r="H35" s="71" t="s">
        <v>1970</v>
      </c>
      <c r="I35" s="71" t="s">
        <v>1970</v>
      </c>
      <c r="K35" s="71" t="s">
        <v>2855</v>
      </c>
      <c r="L35" s="71" t="s">
        <v>1970</v>
      </c>
      <c r="M35" s="71" t="s">
        <v>1970</v>
      </c>
      <c r="N35" s="71" t="s">
        <v>1970</v>
      </c>
      <c r="O35" s="71" t="s">
        <v>1970</v>
      </c>
      <c r="P35" s="71" t="s">
        <v>1970</v>
      </c>
      <c r="Q35" s="71" t="s">
        <v>1970</v>
      </c>
      <c r="T35" s="72" t="s">
        <v>276</v>
      </c>
      <c r="U35" s="72" t="s">
        <v>2856</v>
      </c>
      <c r="V35" s="72" t="s">
        <v>1970</v>
      </c>
      <c r="W35" s="72" t="s">
        <v>1970</v>
      </c>
      <c r="X35" s="72" t="s">
        <v>1970</v>
      </c>
      <c r="Y35" s="72" t="s">
        <v>1970</v>
      </c>
      <c r="Z35" s="72" t="s">
        <v>1970</v>
      </c>
      <c r="AA35" s="72" t="s">
        <v>1970</v>
      </c>
      <c r="AB35" s="72"/>
      <c r="AC35" s="72" t="s">
        <v>2856</v>
      </c>
      <c r="AD35" s="72" t="s">
        <v>1970</v>
      </c>
      <c r="AE35" s="72" t="s">
        <v>1970</v>
      </c>
      <c r="AF35" s="72" t="s">
        <v>1970</v>
      </c>
      <c r="AG35" s="72" t="s">
        <v>1970</v>
      </c>
      <c r="AH35" s="72" t="s">
        <v>1970</v>
      </c>
      <c r="AI35" s="72" t="s">
        <v>1970</v>
      </c>
      <c r="AK35" s="73" t="s">
        <v>701</v>
      </c>
      <c r="AL35" s="73" t="s">
        <v>2855</v>
      </c>
      <c r="AM35" s="73" t="s">
        <v>1978</v>
      </c>
      <c r="AN35" s="73" t="s">
        <v>1978</v>
      </c>
      <c r="AO35" s="73" t="s">
        <v>1978</v>
      </c>
      <c r="AP35" s="73" t="s">
        <v>1978</v>
      </c>
      <c r="AQ35" s="73" t="s">
        <v>1978</v>
      </c>
      <c r="AR35" s="73" t="s">
        <v>1978</v>
      </c>
      <c r="AS35" s="73"/>
      <c r="AT35" s="73" t="s">
        <v>2855</v>
      </c>
      <c r="AU35" s="73" t="s">
        <v>1978</v>
      </c>
      <c r="AV35" s="73" t="s">
        <v>1978</v>
      </c>
      <c r="AW35" s="73" t="s">
        <v>1978</v>
      </c>
      <c r="AX35" s="73" t="s">
        <v>1978</v>
      </c>
      <c r="AY35" s="73" t="s">
        <v>1978</v>
      </c>
      <c r="AZ35" s="73" t="s">
        <v>1978</v>
      </c>
      <c r="BB35" s="78" t="s">
        <v>927</v>
      </c>
      <c r="BC35" s="78" t="s">
        <v>2855</v>
      </c>
      <c r="BD35" s="78">
        <v>158</v>
      </c>
      <c r="BE35" s="78">
        <v>188</v>
      </c>
      <c r="BF35" s="78">
        <v>331</v>
      </c>
      <c r="BG35" s="78">
        <v>421</v>
      </c>
      <c r="BH35" s="78">
        <v>314</v>
      </c>
      <c r="BI35" s="78">
        <v>1412</v>
      </c>
      <c r="BJ35" s="78"/>
      <c r="BK35" s="78" t="s">
        <v>2855</v>
      </c>
      <c r="BL35" s="78">
        <v>28</v>
      </c>
      <c r="BM35" s="78">
        <v>0</v>
      </c>
      <c r="BN35" s="78">
        <v>0</v>
      </c>
      <c r="BO35" s="78">
        <v>0</v>
      </c>
      <c r="BP35" s="78">
        <v>0</v>
      </c>
      <c r="BQ35" s="78">
        <v>28</v>
      </c>
      <c r="BS35" s="80" t="s">
        <v>1095</v>
      </c>
      <c r="BT35" s="80" t="s">
        <v>2856</v>
      </c>
      <c r="BU35" s="80">
        <v>1129</v>
      </c>
      <c r="BV35" s="80">
        <v>427</v>
      </c>
      <c r="BW35" s="80">
        <v>595</v>
      </c>
      <c r="BX35" s="80">
        <v>856</v>
      </c>
      <c r="BY35" s="80">
        <v>719</v>
      </c>
      <c r="BZ35" s="80">
        <v>3726</v>
      </c>
      <c r="CA35" s="80"/>
      <c r="CB35" s="80" t="s">
        <v>2856</v>
      </c>
      <c r="CC35" s="80">
        <v>301</v>
      </c>
      <c r="CD35" s="80">
        <v>0</v>
      </c>
      <c r="CE35" s="80">
        <v>0</v>
      </c>
      <c r="CF35" s="80">
        <v>0</v>
      </c>
      <c r="CG35" s="80">
        <v>0</v>
      </c>
      <c r="CH35" s="80">
        <v>301</v>
      </c>
      <c r="CL35" s="61" t="s">
        <v>1345</v>
      </c>
      <c r="CM35" s="61" t="s">
        <v>2855</v>
      </c>
      <c r="CN35" s="61">
        <v>1153</v>
      </c>
      <c r="CO35" s="61">
        <v>1123</v>
      </c>
      <c r="CP35" s="61">
        <v>1279</v>
      </c>
      <c r="CQ35" s="61">
        <v>1326</v>
      </c>
      <c r="CR35" s="61">
        <v>962</v>
      </c>
      <c r="CS35" s="61">
        <v>5843</v>
      </c>
      <c r="CT35" s="61"/>
      <c r="CU35" s="61" t="s">
        <v>2855</v>
      </c>
      <c r="CV35" s="61">
        <v>301</v>
      </c>
      <c r="CW35" s="61">
        <v>1</v>
      </c>
      <c r="CX35" s="61">
        <v>0</v>
      </c>
      <c r="CY35" s="61">
        <v>0</v>
      </c>
      <c r="CZ35" s="61">
        <v>0</v>
      </c>
      <c r="DA35" s="61">
        <v>302</v>
      </c>
      <c r="DD35" s="91" t="s">
        <v>1434</v>
      </c>
      <c r="DE35" s="91" t="s">
        <v>1968</v>
      </c>
      <c r="DF35" s="91">
        <v>95</v>
      </c>
      <c r="DG35" s="91">
        <v>161</v>
      </c>
      <c r="DH35" s="91">
        <v>204</v>
      </c>
      <c r="DI35" s="91">
        <v>240</v>
      </c>
      <c r="DJ35" s="91">
        <v>213</v>
      </c>
      <c r="DK35" s="91">
        <v>913</v>
      </c>
      <c r="DL35" s="91"/>
      <c r="DM35" s="91" t="s">
        <v>1968</v>
      </c>
      <c r="DN35" s="91">
        <v>14</v>
      </c>
      <c r="DO35" s="91">
        <v>4</v>
      </c>
      <c r="DP35" s="91">
        <v>0</v>
      </c>
      <c r="DQ35" s="91">
        <v>2</v>
      </c>
      <c r="DR35" s="91">
        <v>2</v>
      </c>
      <c r="DS35" s="91">
        <v>22</v>
      </c>
      <c r="DV35" s="94" t="s">
        <v>1498</v>
      </c>
      <c r="DW35" s="94" t="s">
        <v>2856</v>
      </c>
      <c r="DX35" s="94">
        <v>349</v>
      </c>
      <c r="DY35" s="94">
        <v>359</v>
      </c>
      <c r="DZ35" s="94">
        <v>526</v>
      </c>
      <c r="EA35" s="94">
        <v>503</v>
      </c>
      <c r="EB35" s="94">
        <v>354</v>
      </c>
      <c r="EC35" s="94">
        <v>2091</v>
      </c>
      <c r="ED35" s="94"/>
      <c r="EE35" s="94" t="s">
        <v>2856</v>
      </c>
      <c r="EF35" s="94">
        <v>9</v>
      </c>
      <c r="EG35" s="94">
        <v>1</v>
      </c>
      <c r="EH35" s="94">
        <v>0</v>
      </c>
      <c r="EI35" s="94">
        <v>0</v>
      </c>
      <c r="EJ35" s="94">
        <v>0</v>
      </c>
      <c r="EK35" s="94">
        <v>10</v>
      </c>
      <c r="EN35" s="61" t="s">
        <v>1701</v>
      </c>
      <c r="EO35" s="61" t="s">
        <v>2855</v>
      </c>
      <c r="EP35" s="61" t="s">
        <v>1970</v>
      </c>
      <c r="EQ35" s="61" t="s">
        <v>1970</v>
      </c>
      <c r="ER35" s="61" t="s">
        <v>1970</v>
      </c>
      <c r="ES35" s="61" t="s">
        <v>1970</v>
      </c>
      <c r="ET35" s="61" t="s">
        <v>1970</v>
      </c>
      <c r="EU35" s="61" t="s">
        <v>1970</v>
      </c>
      <c r="EV35" s="61"/>
      <c r="EW35" s="61" t="s">
        <v>2855</v>
      </c>
      <c r="EX35" s="61" t="s">
        <v>1970</v>
      </c>
      <c r="EY35" s="61" t="s">
        <v>1970</v>
      </c>
      <c r="EZ35" s="61" t="s">
        <v>1970</v>
      </c>
      <c r="FA35" s="61" t="s">
        <v>1970</v>
      </c>
      <c r="FB35" s="61" t="s">
        <v>1970</v>
      </c>
      <c r="FC35" s="61" t="s">
        <v>1970</v>
      </c>
      <c r="FF35" s="80" t="s">
        <v>1885</v>
      </c>
      <c r="FG35" s="80" t="s">
        <v>2855</v>
      </c>
      <c r="FH35" s="80">
        <v>496</v>
      </c>
      <c r="FI35" s="80">
        <v>462</v>
      </c>
      <c r="FJ35" s="80">
        <v>534</v>
      </c>
      <c r="FK35" s="80">
        <v>542</v>
      </c>
      <c r="FL35" s="80">
        <v>554</v>
      </c>
      <c r="FM35" s="80">
        <v>2588</v>
      </c>
      <c r="FN35" s="80"/>
      <c r="FO35" s="80" t="s">
        <v>2855</v>
      </c>
      <c r="FP35" s="80">
        <v>82</v>
      </c>
      <c r="FQ35" s="80">
        <v>12</v>
      </c>
      <c r="FR35" s="80">
        <v>0</v>
      </c>
      <c r="FS35" s="80">
        <v>0</v>
      </c>
      <c r="FT35" s="80">
        <v>0</v>
      </c>
      <c r="FU35" s="80">
        <v>94</v>
      </c>
    </row>
    <row r="36" spans="2:177" x14ac:dyDescent="0.3">
      <c r="B36" s="71" t="s">
        <v>177</v>
      </c>
      <c r="C36" s="71" t="s">
        <v>2855</v>
      </c>
      <c r="D36" s="71" t="s">
        <v>1970</v>
      </c>
      <c r="E36" s="71" t="s">
        <v>1970</v>
      </c>
      <c r="F36" s="71" t="s">
        <v>1970</v>
      </c>
      <c r="G36" s="71" t="s">
        <v>1970</v>
      </c>
      <c r="H36" s="71" t="s">
        <v>1970</v>
      </c>
      <c r="I36" s="71" t="s">
        <v>1970</v>
      </c>
      <c r="K36" s="71" t="s">
        <v>2855</v>
      </c>
      <c r="L36" s="71" t="s">
        <v>1970</v>
      </c>
      <c r="M36" s="71" t="s">
        <v>1970</v>
      </c>
      <c r="N36" s="71" t="s">
        <v>1970</v>
      </c>
      <c r="O36" s="71" t="s">
        <v>1970</v>
      </c>
      <c r="P36" s="71" t="s">
        <v>1970</v>
      </c>
      <c r="Q36" s="71" t="s">
        <v>1970</v>
      </c>
      <c r="T36" s="72" t="s">
        <v>280</v>
      </c>
      <c r="U36" s="72" t="s">
        <v>2856</v>
      </c>
      <c r="V36" s="72" t="s">
        <v>1970</v>
      </c>
      <c r="W36" s="72" t="s">
        <v>1970</v>
      </c>
      <c r="X36" s="72" t="s">
        <v>1970</v>
      </c>
      <c r="Y36" s="72" t="s">
        <v>1970</v>
      </c>
      <c r="Z36" s="72" t="s">
        <v>1970</v>
      </c>
      <c r="AA36" s="72" t="s">
        <v>1970</v>
      </c>
      <c r="AB36" s="72"/>
      <c r="AC36" s="72" t="s">
        <v>2856</v>
      </c>
      <c r="AD36" s="72" t="s">
        <v>1970</v>
      </c>
      <c r="AE36" s="72" t="s">
        <v>1970</v>
      </c>
      <c r="AF36" s="72" t="s">
        <v>1970</v>
      </c>
      <c r="AG36" s="72" t="s">
        <v>1970</v>
      </c>
      <c r="AH36" s="72" t="s">
        <v>1970</v>
      </c>
      <c r="AI36" s="72" t="s">
        <v>1970</v>
      </c>
      <c r="AK36" s="73" t="s">
        <v>705</v>
      </c>
      <c r="AL36" s="73" t="s">
        <v>2855</v>
      </c>
      <c r="AM36" s="73" t="s">
        <v>1978</v>
      </c>
      <c r="AN36" s="73" t="s">
        <v>1978</v>
      </c>
      <c r="AO36" s="73" t="s">
        <v>1978</v>
      </c>
      <c r="AP36" s="73" t="s">
        <v>1978</v>
      </c>
      <c r="AQ36" s="73" t="s">
        <v>1978</v>
      </c>
      <c r="AR36" s="73" t="s">
        <v>1978</v>
      </c>
      <c r="AS36" s="73"/>
      <c r="AT36" s="73" t="s">
        <v>2855</v>
      </c>
      <c r="AU36" s="73" t="s">
        <v>1978</v>
      </c>
      <c r="AV36" s="73" t="s">
        <v>1978</v>
      </c>
      <c r="AW36" s="73" t="s">
        <v>1978</v>
      </c>
      <c r="AX36" s="73" t="s">
        <v>1978</v>
      </c>
      <c r="AY36" s="73" t="s">
        <v>1978</v>
      </c>
      <c r="AZ36" s="73" t="s">
        <v>1978</v>
      </c>
      <c r="BB36" s="78" t="s">
        <v>932</v>
      </c>
      <c r="BC36" s="78" t="s">
        <v>2855</v>
      </c>
      <c r="BD36" s="78" t="s">
        <v>1970</v>
      </c>
      <c r="BE36" s="78" t="s">
        <v>1970</v>
      </c>
      <c r="BF36" s="78" t="s">
        <v>1970</v>
      </c>
      <c r="BG36" s="78" t="s">
        <v>1970</v>
      </c>
      <c r="BH36" s="78" t="s">
        <v>1970</v>
      </c>
      <c r="BI36" s="78" t="s">
        <v>1970</v>
      </c>
      <c r="BJ36" s="78"/>
      <c r="BK36" s="78" t="s">
        <v>2855</v>
      </c>
      <c r="BL36" s="78" t="s">
        <v>1970</v>
      </c>
      <c r="BM36" s="78" t="s">
        <v>1970</v>
      </c>
      <c r="BN36" s="78" t="s">
        <v>1970</v>
      </c>
      <c r="BO36" s="78" t="s">
        <v>1970</v>
      </c>
      <c r="BP36" s="78" t="s">
        <v>1970</v>
      </c>
      <c r="BQ36" s="78" t="s">
        <v>1970</v>
      </c>
      <c r="BS36" s="80" t="s">
        <v>1100</v>
      </c>
      <c r="BT36" s="80" t="s">
        <v>2856</v>
      </c>
      <c r="BU36" s="80">
        <v>63</v>
      </c>
      <c r="BV36" s="80">
        <v>112</v>
      </c>
      <c r="BW36" s="80">
        <v>174</v>
      </c>
      <c r="BX36" s="80">
        <v>341</v>
      </c>
      <c r="BY36" s="80">
        <v>282</v>
      </c>
      <c r="BZ36" s="80">
        <v>972</v>
      </c>
      <c r="CA36" s="80"/>
      <c r="CB36" s="80" t="s">
        <v>2856</v>
      </c>
      <c r="CC36" s="80">
        <v>14</v>
      </c>
      <c r="CD36" s="80">
        <v>0</v>
      </c>
      <c r="CE36" s="80">
        <v>0</v>
      </c>
      <c r="CF36" s="80">
        <v>0</v>
      </c>
      <c r="CG36" s="80">
        <v>0</v>
      </c>
      <c r="CH36" s="80">
        <v>14</v>
      </c>
      <c r="CL36" s="61" t="s">
        <v>1287</v>
      </c>
      <c r="CM36" s="61" t="s">
        <v>2855</v>
      </c>
      <c r="CN36" s="61">
        <v>591</v>
      </c>
      <c r="CO36" s="61">
        <v>505</v>
      </c>
      <c r="CP36" s="61">
        <v>982</v>
      </c>
      <c r="CQ36" s="61">
        <v>1470</v>
      </c>
      <c r="CR36" s="61">
        <v>1463</v>
      </c>
      <c r="CS36" s="61">
        <v>5011</v>
      </c>
      <c r="CT36" s="61"/>
      <c r="CU36" s="61" t="s">
        <v>2855</v>
      </c>
      <c r="CV36" s="61">
        <v>139</v>
      </c>
      <c r="CW36" s="61">
        <v>0</v>
      </c>
      <c r="CX36" s="61">
        <v>0</v>
      </c>
      <c r="CY36" s="61">
        <v>0</v>
      </c>
      <c r="CZ36" s="61">
        <v>0</v>
      </c>
      <c r="DA36" s="61">
        <v>139</v>
      </c>
      <c r="DD36" s="91" t="s">
        <v>1439</v>
      </c>
      <c r="DE36" s="91" t="s">
        <v>1968</v>
      </c>
      <c r="DF36" s="91">
        <v>303</v>
      </c>
      <c r="DG36" s="91">
        <v>432</v>
      </c>
      <c r="DH36" s="91">
        <v>599</v>
      </c>
      <c r="DI36" s="91">
        <v>770</v>
      </c>
      <c r="DJ36" s="91">
        <v>609</v>
      </c>
      <c r="DK36" s="91">
        <v>2713</v>
      </c>
      <c r="DL36" s="91"/>
      <c r="DM36" s="91" t="s">
        <v>1968</v>
      </c>
      <c r="DN36" s="91">
        <v>21</v>
      </c>
      <c r="DO36" s="91">
        <v>3</v>
      </c>
      <c r="DP36" s="91">
        <v>1</v>
      </c>
      <c r="DQ36" s="91">
        <v>0</v>
      </c>
      <c r="DR36" s="91">
        <v>1</v>
      </c>
      <c r="DS36" s="91">
        <v>26</v>
      </c>
      <c r="DV36" s="94" t="s">
        <v>1502</v>
      </c>
      <c r="DW36" s="94" t="s">
        <v>2856</v>
      </c>
      <c r="DX36" s="94">
        <v>191</v>
      </c>
      <c r="DY36" s="94">
        <v>261</v>
      </c>
      <c r="DZ36" s="94">
        <v>376</v>
      </c>
      <c r="EA36" s="94">
        <v>460</v>
      </c>
      <c r="EB36" s="94">
        <v>352</v>
      </c>
      <c r="EC36" s="94">
        <v>1640</v>
      </c>
      <c r="ED36" s="94"/>
      <c r="EE36" s="94" t="s">
        <v>2856</v>
      </c>
      <c r="EF36" s="94">
        <v>9</v>
      </c>
      <c r="EG36" s="94">
        <v>0</v>
      </c>
      <c r="EH36" s="94">
        <v>0</v>
      </c>
      <c r="EI36" s="94">
        <v>0</v>
      </c>
      <c r="EJ36" s="94">
        <v>0</v>
      </c>
      <c r="EK36" s="94">
        <v>9</v>
      </c>
      <c r="EN36" s="61" t="s">
        <v>1705</v>
      </c>
      <c r="EO36" s="61" t="s">
        <v>2855</v>
      </c>
      <c r="EP36" s="61" t="s">
        <v>1970</v>
      </c>
      <c r="EQ36" s="61" t="s">
        <v>1970</v>
      </c>
      <c r="ER36" s="61" t="s">
        <v>1970</v>
      </c>
      <c r="ES36" s="61" t="s">
        <v>1970</v>
      </c>
      <c r="ET36" s="61" t="s">
        <v>1970</v>
      </c>
      <c r="EU36" s="61" t="s">
        <v>1970</v>
      </c>
      <c r="EV36" s="61"/>
      <c r="EW36" s="61" t="s">
        <v>2855</v>
      </c>
      <c r="EX36" s="61" t="s">
        <v>1970</v>
      </c>
      <c r="EY36" s="61" t="s">
        <v>1970</v>
      </c>
      <c r="EZ36" s="61" t="s">
        <v>1970</v>
      </c>
      <c r="FA36" s="61" t="s">
        <v>1970</v>
      </c>
      <c r="FB36" s="61" t="s">
        <v>1970</v>
      </c>
      <c r="FC36" s="61" t="s">
        <v>1970</v>
      </c>
      <c r="FF36" s="80" t="s">
        <v>1890</v>
      </c>
      <c r="FG36" s="80" t="s">
        <v>2855</v>
      </c>
      <c r="FH36" s="80">
        <v>517</v>
      </c>
      <c r="FI36" s="80">
        <v>545</v>
      </c>
      <c r="FJ36" s="80">
        <v>646</v>
      </c>
      <c r="FK36" s="80">
        <v>734</v>
      </c>
      <c r="FL36" s="80">
        <v>773</v>
      </c>
      <c r="FM36" s="80">
        <v>3215</v>
      </c>
      <c r="FN36" s="80"/>
      <c r="FO36" s="80" t="s">
        <v>2855</v>
      </c>
      <c r="FP36" s="80">
        <v>66</v>
      </c>
      <c r="FQ36" s="80">
        <v>23</v>
      </c>
      <c r="FR36" s="80">
        <v>0</v>
      </c>
      <c r="FS36" s="80">
        <v>0</v>
      </c>
      <c r="FT36" s="80">
        <v>0</v>
      </c>
      <c r="FU36" s="80">
        <v>89</v>
      </c>
    </row>
    <row r="37" spans="2:177" x14ac:dyDescent="0.3">
      <c r="B37" s="71" t="s">
        <v>182</v>
      </c>
      <c r="C37" s="71" t="s">
        <v>2855</v>
      </c>
      <c r="D37" s="71">
        <v>103</v>
      </c>
      <c r="E37" s="71">
        <v>11</v>
      </c>
      <c r="F37" s="71">
        <v>1</v>
      </c>
      <c r="G37" s="71">
        <v>3</v>
      </c>
      <c r="H37" s="71">
        <v>0</v>
      </c>
      <c r="I37" s="71">
        <v>118</v>
      </c>
      <c r="K37" s="71" t="s">
        <v>2855</v>
      </c>
      <c r="L37" s="71">
        <v>574</v>
      </c>
      <c r="M37" s="71">
        <v>650</v>
      </c>
      <c r="N37" s="71">
        <v>792</v>
      </c>
      <c r="O37" s="71">
        <v>910</v>
      </c>
      <c r="P37" s="71">
        <v>678</v>
      </c>
      <c r="Q37" s="71">
        <v>3604</v>
      </c>
      <c r="T37" s="72" t="s">
        <v>284</v>
      </c>
      <c r="U37" s="72" t="s">
        <v>2856</v>
      </c>
      <c r="V37" s="72" t="s">
        <v>1970</v>
      </c>
      <c r="W37" s="72" t="s">
        <v>1970</v>
      </c>
      <c r="X37" s="72" t="s">
        <v>1970</v>
      </c>
      <c r="Y37" s="72" t="s">
        <v>1970</v>
      </c>
      <c r="Z37" s="72" t="s">
        <v>1970</v>
      </c>
      <c r="AA37" s="72" t="s">
        <v>1970</v>
      </c>
      <c r="AB37" s="72"/>
      <c r="AC37" s="72" t="s">
        <v>2856</v>
      </c>
      <c r="AD37" s="72" t="s">
        <v>1970</v>
      </c>
      <c r="AE37" s="72" t="s">
        <v>1970</v>
      </c>
      <c r="AF37" s="72" t="s">
        <v>1970</v>
      </c>
      <c r="AG37" s="72" t="s">
        <v>1970</v>
      </c>
      <c r="AH37" s="72" t="s">
        <v>1970</v>
      </c>
      <c r="AI37" s="72" t="s">
        <v>1970</v>
      </c>
      <c r="AK37" s="73" t="s">
        <v>708</v>
      </c>
      <c r="AL37" s="73" t="s">
        <v>2855</v>
      </c>
      <c r="AM37" s="73" t="s">
        <v>1978</v>
      </c>
      <c r="AN37" s="73" t="s">
        <v>1978</v>
      </c>
      <c r="AO37" s="73" t="s">
        <v>1978</v>
      </c>
      <c r="AP37" s="73" t="s">
        <v>1978</v>
      </c>
      <c r="AQ37" s="73" t="s">
        <v>1978</v>
      </c>
      <c r="AR37" s="73" t="s">
        <v>1978</v>
      </c>
      <c r="AS37" s="73"/>
      <c r="AT37" s="73" t="s">
        <v>2855</v>
      </c>
      <c r="AU37" s="73" t="s">
        <v>1978</v>
      </c>
      <c r="AV37" s="73" t="s">
        <v>1978</v>
      </c>
      <c r="AW37" s="73" t="s">
        <v>1978</v>
      </c>
      <c r="AX37" s="73" t="s">
        <v>1978</v>
      </c>
      <c r="AY37" s="73" t="s">
        <v>1978</v>
      </c>
      <c r="AZ37" s="73" t="s">
        <v>1978</v>
      </c>
      <c r="BB37" s="78" t="s">
        <v>936</v>
      </c>
      <c r="BC37" s="78" t="s">
        <v>2855</v>
      </c>
      <c r="BD37" s="78">
        <v>396</v>
      </c>
      <c r="BE37" s="78">
        <v>52</v>
      </c>
      <c r="BF37" s="78">
        <v>126</v>
      </c>
      <c r="BG37" s="78">
        <v>154</v>
      </c>
      <c r="BH37" s="78">
        <v>266</v>
      </c>
      <c r="BI37" s="78">
        <v>994</v>
      </c>
      <c r="BJ37" s="78"/>
      <c r="BK37" s="78" t="s">
        <v>2855</v>
      </c>
      <c r="BL37" s="78">
        <v>126</v>
      </c>
      <c r="BM37" s="78">
        <v>0</v>
      </c>
      <c r="BN37" s="78">
        <v>0</v>
      </c>
      <c r="BO37" s="78">
        <v>0</v>
      </c>
      <c r="BP37" s="78">
        <v>0</v>
      </c>
      <c r="BQ37" s="78">
        <v>126</v>
      </c>
      <c r="BS37" s="80" t="s">
        <v>1104</v>
      </c>
      <c r="BT37" s="80" t="s">
        <v>2856</v>
      </c>
      <c r="BU37" s="80">
        <v>139</v>
      </c>
      <c r="BV37" s="80">
        <v>103</v>
      </c>
      <c r="BW37" s="80">
        <v>179</v>
      </c>
      <c r="BX37" s="80">
        <v>294</v>
      </c>
      <c r="BY37" s="80">
        <v>266</v>
      </c>
      <c r="BZ37" s="80">
        <v>981</v>
      </c>
      <c r="CA37" s="80"/>
      <c r="CB37" s="80" t="s">
        <v>2856</v>
      </c>
      <c r="CC37" s="80">
        <v>45</v>
      </c>
      <c r="CD37" s="80">
        <v>0</v>
      </c>
      <c r="CE37" s="80">
        <v>0</v>
      </c>
      <c r="CF37" s="80">
        <v>0</v>
      </c>
      <c r="CG37" s="80">
        <v>0</v>
      </c>
      <c r="CH37" s="80">
        <v>45</v>
      </c>
      <c r="CL37" s="61" t="s">
        <v>1295</v>
      </c>
      <c r="CM37" s="61" t="s">
        <v>2855</v>
      </c>
      <c r="CN37" s="61">
        <v>319</v>
      </c>
      <c r="CO37" s="61">
        <v>366</v>
      </c>
      <c r="CP37" s="61">
        <v>746</v>
      </c>
      <c r="CQ37" s="61">
        <v>1068</v>
      </c>
      <c r="CR37" s="61">
        <v>1065</v>
      </c>
      <c r="CS37" s="61">
        <v>3564</v>
      </c>
      <c r="CT37" s="61"/>
      <c r="CU37" s="61" t="s">
        <v>2855</v>
      </c>
      <c r="CV37" s="61">
        <v>33</v>
      </c>
      <c r="CW37" s="61">
        <v>0</v>
      </c>
      <c r="CX37" s="61">
        <v>0</v>
      </c>
      <c r="CY37" s="61">
        <v>0</v>
      </c>
      <c r="CZ37" s="61">
        <v>0</v>
      </c>
      <c r="DA37" s="61">
        <v>33</v>
      </c>
      <c r="DD37" s="91" t="s">
        <v>1444</v>
      </c>
      <c r="DE37" s="91" t="s">
        <v>1968</v>
      </c>
      <c r="DF37" s="91">
        <v>331</v>
      </c>
      <c r="DG37" s="91">
        <v>388</v>
      </c>
      <c r="DH37" s="91">
        <v>546</v>
      </c>
      <c r="DI37" s="91">
        <v>582</v>
      </c>
      <c r="DJ37" s="91">
        <v>443</v>
      </c>
      <c r="DK37" s="91">
        <v>2290</v>
      </c>
      <c r="DL37" s="91"/>
      <c r="DM37" s="91" t="s">
        <v>1968</v>
      </c>
      <c r="DN37" s="91">
        <v>28</v>
      </c>
      <c r="DO37" s="91">
        <v>4</v>
      </c>
      <c r="DP37" s="91">
        <v>2</v>
      </c>
      <c r="DQ37" s="91">
        <v>1</v>
      </c>
      <c r="DR37" s="91">
        <v>0</v>
      </c>
      <c r="DS37" s="91">
        <v>35</v>
      </c>
      <c r="DV37" s="94" t="s">
        <v>1506</v>
      </c>
      <c r="DW37" s="94" t="s">
        <v>2856</v>
      </c>
      <c r="DX37" s="94">
        <v>181</v>
      </c>
      <c r="DY37" s="94">
        <v>309</v>
      </c>
      <c r="DZ37" s="94">
        <v>423</v>
      </c>
      <c r="EA37" s="94">
        <v>514</v>
      </c>
      <c r="EB37" s="94">
        <v>489</v>
      </c>
      <c r="EC37" s="94">
        <v>1916</v>
      </c>
      <c r="ED37" s="94"/>
      <c r="EE37" s="94" t="s">
        <v>2856</v>
      </c>
      <c r="EF37" s="94">
        <v>17</v>
      </c>
      <c r="EG37" s="94">
        <v>1</v>
      </c>
      <c r="EH37" s="94">
        <v>0</v>
      </c>
      <c r="EI37" s="94">
        <v>0</v>
      </c>
      <c r="EJ37" s="94">
        <v>0</v>
      </c>
      <c r="EK37" s="94">
        <v>18</v>
      </c>
      <c r="FF37" s="80" t="s">
        <v>1895</v>
      </c>
      <c r="FG37" s="80" t="s">
        <v>2855</v>
      </c>
      <c r="FH37" s="80">
        <v>180</v>
      </c>
      <c r="FI37" s="80">
        <v>252</v>
      </c>
      <c r="FJ37" s="80">
        <v>314</v>
      </c>
      <c r="FK37" s="80">
        <v>404</v>
      </c>
      <c r="FL37" s="80">
        <v>501</v>
      </c>
      <c r="FM37" s="80">
        <v>1651</v>
      </c>
      <c r="FN37" s="80"/>
      <c r="FO37" s="80" t="s">
        <v>2855</v>
      </c>
      <c r="FP37" s="80">
        <v>39</v>
      </c>
      <c r="FQ37" s="80">
        <v>8</v>
      </c>
      <c r="FR37" s="80">
        <v>0</v>
      </c>
      <c r="FS37" s="80">
        <v>0</v>
      </c>
      <c r="FT37" s="80">
        <v>0</v>
      </c>
      <c r="FU37" s="80">
        <v>47</v>
      </c>
    </row>
    <row r="38" spans="2:177" x14ac:dyDescent="0.3">
      <c r="B38" s="71" t="s">
        <v>187</v>
      </c>
      <c r="C38" s="71" t="s">
        <v>2855</v>
      </c>
      <c r="D38" s="71">
        <v>36</v>
      </c>
      <c r="E38" s="71">
        <v>6</v>
      </c>
      <c r="F38" s="71">
        <v>2</v>
      </c>
      <c r="G38" s="71">
        <v>0</v>
      </c>
      <c r="H38" s="71">
        <v>0</v>
      </c>
      <c r="I38" s="71">
        <v>44</v>
      </c>
      <c r="K38" s="71" t="s">
        <v>2855</v>
      </c>
      <c r="L38" s="71">
        <v>293</v>
      </c>
      <c r="M38" s="71">
        <v>492</v>
      </c>
      <c r="N38" s="71">
        <v>651</v>
      </c>
      <c r="O38" s="71">
        <v>665</v>
      </c>
      <c r="P38" s="71">
        <v>469</v>
      </c>
      <c r="Q38" s="71">
        <v>2570</v>
      </c>
      <c r="T38" s="72" t="s">
        <v>288</v>
      </c>
      <c r="U38" s="72" t="s">
        <v>2856</v>
      </c>
      <c r="V38" s="72" t="s">
        <v>1970</v>
      </c>
      <c r="W38" s="72" t="s">
        <v>1970</v>
      </c>
      <c r="X38" s="72" t="s">
        <v>1970</v>
      </c>
      <c r="Y38" s="72" t="s">
        <v>1970</v>
      </c>
      <c r="Z38" s="72" t="s">
        <v>1970</v>
      </c>
      <c r="AA38" s="72" t="s">
        <v>1970</v>
      </c>
      <c r="AB38" s="72"/>
      <c r="AC38" s="72" t="s">
        <v>2856</v>
      </c>
      <c r="AD38" s="72" t="s">
        <v>1970</v>
      </c>
      <c r="AE38" s="72" t="s">
        <v>1970</v>
      </c>
      <c r="AF38" s="72" t="s">
        <v>1970</v>
      </c>
      <c r="AG38" s="72" t="s">
        <v>1970</v>
      </c>
      <c r="AH38" s="72" t="s">
        <v>1970</v>
      </c>
      <c r="AI38" s="72" t="s">
        <v>1970</v>
      </c>
      <c r="AK38" s="73" t="s">
        <v>712</v>
      </c>
      <c r="AL38" s="73" t="s">
        <v>2855</v>
      </c>
      <c r="AM38" s="73" t="s">
        <v>1978</v>
      </c>
      <c r="AN38" s="73" t="s">
        <v>1978</v>
      </c>
      <c r="AO38" s="73" t="s">
        <v>1978</v>
      </c>
      <c r="AP38" s="73" t="s">
        <v>1978</v>
      </c>
      <c r="AQ38" s="73" t="s">
        <v>1978</v>
      </c>
      <c r="AR38" s="73" t="s">
        <v>1978</v>
      </c>
      <c r="AS38" s="73"/>
      <c r="AT38" s="73" t="s">
        <v>2855</v>
      </c>
      <c r="AU38" s="73" t="s">
        <v>1978</v>
      </c>
      <c r="AV38" s="73" t="s">
        <v>1978</v>
      </c>
      <c r="AW38" s="73" t="s">
        <v>1978</v>
      </c>
      <c r="AX38" s="73" t="s">
        <v>1978</v>
      </c>
      <c r="AY38" s="73" t="s">
        <v>1978</v>
      </c>
      <c r="AZ38" s="73" t="s">
        <v>1978</v>
      </c>
      <c r="BB38" s="78" t="s">
        <v>940</v>
      </c>
      <c r="BC38" s="78" t="s">
        <v>2855</v>
      </c>
      <c r="BD38" s="78">
        <v>61</v>
      </c>
      <c r="BE38" s="78">
        <v>16</v>
      </c>
      <c r="BF38" s="78">
        <v>30</v>
      </c>
      <c r="BG38" s="78">
        <v>33</v>
      </c>
      <c r="BH38" s="78">
        <v>99</v>
      </c>
      <c r="BI38" s="78">
        <v>239</v>
      </c>
      <c r="BJ38" s="78"/>
      <c r="BK38" s="78" t="s">
        <v>2855</v>
      </c>
      <c r="BL38" s="78">
        <v>29</v>
      </c>
      <c r="BM38" s="78">
        <v>0</v>
      </c>
      <c r="BN38" s="78">
        <v>0</v>
      </c>
      <c r="BO38" s="78">
        <v>0</v>
      </c>
      <c r="BP38" s="78">
        <v>0</v>
      </c>
      <c r="BQ38" s="78">
        <v>29</v>
      </c>
      <c r="BS38" s="80" t="s">
        <v>1108</v>
      </c>
      <c r="BT38" s="80" t="s">
        <v>2856</v>
      </c>
      <c r="BU38" s="80">
        <v>104</v>
      </c>
      <c r="BV38" s="80">
        <v>57</v>
      </c>
      <c r="BW38" s="80">
        <v>98</v>
      </c>
      <c r="BX38" s="80">
        <v>136</v>
      </c>
      <c r="BY38" s="80">
        <v>214</v>
      </c>
      <c r="BZ38" s="80">
        <v>609</v>
      </c>
      <c r="CA38" s="80"/>
      <c r="CB38" s="80" t="s">
        <v>2856</v>
      </c>
      <c r="CC38" s="80">
        <v>20</v>
      </c>
      <c r="CD38" s="80">
        <v>0</v>
      </c>
      <c r="CE38" s="80">
        <v>0</v>
      </c>
      <c r="CF38" s="80">
        <v>0</v>
      </c>
      <c r="CG38" s="80">
        <v>0</v>
      </c>
      <c r="CH38" s="80">
        <v>20</v>
      </c>
      <c r="CL38" s="61" t="s">
        <v>1317</v>
      </c>
      <c r="CM38" s="61" t="s">
        <v>2855</v>
      </c>
      <c r="CN38" s="61">
        <v>137</v>
      </c>
      <c r="CO38" s="61">
        <v>69</v>
      </c>
      <c r="CP38" s="61">
        <v>123</v>
      </c>
      <c r="CQ38" s="61">
        <v>158</v>
      </c>
      <c r="CR38" s="61">
        <v>187</v>
      </c>
      <c r="CS38" s="61">
        <v>674</v>
      </c>
      <c r="CT38" s="61"/>
      <c r="CU38" s="61" t="s">
        <v>2855</v>
      </c>
      <c r="CV38" s="61">
        <v>51</v>
      </c>
      <c r="CW38" s="61">
        <v>0</v>
      </c>
      <c r="CX38" s="61">
        <v>0</v>
      </c>
      <c r="CY38" s="61">
        <v>0</v>
      </c>
      <c r="CZ38" s="61">
        <v>0</v>
      </c>
      <c r="DA38" s="61">
        <v>51</v>
      </c>
      <c r="DD38" s="91" t="s">
        <v>1448</v>
      </c>
      <c r="DE38" s="91" t="s">
        <v>1968</v>
      </c>
      <c r="DF38" s="91">
        <v>506</v>
      </c>
      <c r="DG38" s="91">
        <v>485</v>
      </c>
      <c r="DH38" s="91">
        <v>449</v>
      </c>
      <c r="DI38" s="91">
        <v>582</v>
      </c>
      <c r="DJ38" s="91">
        <v>496</v>
      </c>
      <c r="DK38" s="91">
        <v>2518</v>
      </c>
      <c r="DL38" s="91"/>
      <c r="DM38" s="91" t="s">
        <v>1968</v>
      </c>
      <c r="DN38" s="91">
        <v>26</v>
      </c>
      <c r="DO38" s="91">
        <v>3</v>
      </c>
      <c r="DP38" s="91">
        <v>2</v>
      </c>
      <c r="DQ38" s="91">
        <v>1</v>
      </c>
      <c r="DR38" s="91">
        <v>1</v>
      </c>
      <c r="DS38" s="91">
        <v>33</v>
      </c>
      <c r="DV38" s="94" t="s">
        <v>1514</v>
      </c>
      <c r="DW38" s="94" t="s">
        <v>2856</v>
      </c>
      <c r="DX38" s="94">
        <v>169</v>
      </c>
      <c r="DY38" s="94">
        <v>286</v>
      </c>
      <c r="DZ38" s="94">
        <v>387</v>
      </c>
      <c r="EA38" s="94">
        <v>495</v>
      </c>
      <c r="EB38" s="94">
        <v>342</v>
      </c>
      <c r="EC38" s="94">
        <v>1679</v>
      </c>
      <c r="ED38" s="94"/>
      <c r="EE38" s="94" t="s">
        <v>2856</v>
      </c>
      <c r="EF38" s="94">
        <v>10</v>
      </c>
      <c r="EG38" s="94">
        <v>6</v>
      </c>
      <c r="EH38" s="94">
        <v>0</v>
      </c>
      <c r="EI38" s="94">
        <v>0</v>
      </c>
      <c r="EJ38" s="94">
        <v>0</v>
      </c>
      <c r="EK38" s="94">
        <v>16</v>
      </c>
      <c r="EN38" s="61" t="s">
        <v>1567</v>
      </c>
      <c r="EO38" s="61" t="s">
        <v>2856</v>
      </c>
      <c r="EP38" s="61">
        <v>665</v>
      </c>
      <c r="EQ38" s="61">
        <v>1005</v>
      </c>
      <c r="ER38" s="61">
        <v>1233</v>
      </c>
      <c r="ES38" s="61">
        <v>1478</v>
      </c>
      <c r="ET38" s="61">
        <v>1547</v>
      </c>
      <c r="EU38" s="61">
        <v>5928</v>
      </c>
      <c r="EV38" s="61"/>
      <c r="EW38" s="61" t="s">
        <v>2856</v>
      </c>
      <c r="EX38" s="61">
        <v>173</v>
      </c>
      <c r="EY38" s="61">
        <v>93</v>
      </c>
      <c r="EZ38" s="61">
        <v>62</v>
      </c>
      <c r="FA38" s="61">
        <v>53</v>
      </c>
      <c r="FB38" s="61">
        <v>63</v>
      </c>
      <c r="FC38" s="61">
        <v>444</v>
      </c>
      <c r="FF38" s="80" t="s">
        <v>1900</v>
      </c>
      <c r="FG38" s="80" t="s">
        <v>2855</v>
      </c>
      <c r="FH38" s="80">
        <v>563</v>
      </c>
      <c r="FI38" s="80">
        <v>497</v>
      </c>
      <c r="FJ38" s="80">
        <v>556</v>
      </c>
      <c r="FK38" s="80">
        <v>735</v>
      </c>
      <c r="FL38" s="80">
        <v>851</v>
      </c>
      <c r="FM38" s="80">
        <v>3202</v>
      </c>
      <c r="FN38" s="80"/>
      <c r="FO38" s="80" t="s">
        <v>2855</v>
      </c>
      <c r="FP38" s="80">
        <v>63</v>
      </c>
      <c r="FQ38" s="80">
        <v>22</v>
      </c>
      <c r="FR38" s="80">
        <v>12</v>
      </c>
      <c r="FS38" s="80">
        <v>0</v>
      </c>
      <c r="FT38" s="80">
        <v>0</v>
      </c>
      <c r="FU38" s="80">
        <v>97</v>
      </c>
    </row>
    <row r="39" spans="2:177" x14ac:dyDescent="0.3">
      <c r="B39" s="71" t="s">
        <v>192</v>
      </c>
      <c r="C39" s="71" t="s">
        <v>2855</v>
      </c>
      <c r="D39" s="71">
        <v>78</v>
      </c>
      <c r="E39" s="71">
        <v>8</v>
      </c>
      <c r="F39" s="71">
        <v>1</v>
      </c>
      <c r="G39" s="71">
        <v>0</v>
      </c>
      <c r="H39" s="71">
        <v>0</v>
      </c>
      <c r="I39" s="71">
        <v>87</v>
      </c>
      <c r="K39" s="71" t="s">
        <v>2855</v>
      </c>
      <c r="L39" s="71">
        <v>650</v>
      </c>
      <c r="M39" s="71">
        <v>646</v>
      </c>
      <c r="N39" s="71">
        <v>695</v>
      </c>
      <c r="O39" s="71">
        <v>673</v>
      </c>
      <c r="P39" s="71">
        <v>498</v>
      </c>
      <c r="Q39" s="71">
        <v>3162</v>
      </c>
      <c r="T39" s="72" t="s">
        <v>294</v>
      </c>
      <c r="U39" s="72" t="s">
        <v>2856</v>
      </c>
      <c r="V39" s="72" t="s">
        <v>1970</v>
      </c>
      <c r="W39" s="72" t="s">
        <v>1970</v>
      </c>
      <c r="X39" s="72" t="s">
        <v>1970</v>
      </c>
      <c r="Y39" s="72" t="s">
        <v>1970</v>
      </c>
      <c r="Z39" s="72" t="s">
        <v>1970</v>
      </c>
      <c r="AA39" s="72" t="s">
        <v>1970</v>
      </c>
      <c r="AB39" s="72"/>
      <c r="AC39" s="72" t="s">
        <v>2856</v>
      </c>
      <c r="AD39" s="72" t="s">
        <v>1970</v>
      </c>
      <c r="AE39" s="72" t="s">
        <v>1970</v>
      </c>
      <c r="AF39" s="72" t="s">
        <v>1970</v>
      </c>
      <c r="AG39" s="72" t="s">
        <v>1970</v>
      </c>
      <c r="AH39" s="72" t="s">
        <v>1970</v>
      </c>
      <c r="AI39" s="72" t="s">
        <v>1970</v>
      </c>
      <c r="AK39" s="73" t="s">
        <v>715</v>
      </c>
      <c r="AL39" s="73" t="s">
        <v>2855</v>
      </c>
      <c r="AM39" s="73" t="s">
        <v>1978</v>
      </c>
      <c r="AN39" s="73" t="s">
        <v>1978</v>
      </c>
      <c r="AO39" s="73" t="s">
        <v>1978</v>
      </c>
      <c r="AP39" s="73" t="s">
        <v>1978</v>
      </c>
      <c r="AQ39" s="73" t="s">
        <v>1978</v>
      </c>
      <c r="AR39" s="73" t="s">
        <v>1978</v>
      </c>
      <c r="AS39" s="73"/>
      <c r="AT39" s="73" t="s">
        <v>2855</v>
      </c>
      <c r="AU39" s="73" t="s">
        <v>1978</v>
      </c>
      <c r="AV39" s="73" t="s">
        <v>1978</v>
      </c>
      <c r="AW39" s="73" t="s">
        <v>1978</v>
      </c>
      <c r="AX39" s="73" t="s">
        <v>1978</v>
      </c>
      <c r="AY39" s="73" t="s">
        <v>1978</v>
      </c>
      <c r="AZ39" s="73" t="s">
        <v>1978</v>
      </c>
      <c r="BB39" s="78" t="s">
        <v>944</v>
      </c>
      <c r="BC39" s="78" t="s">
        <v>2855</v>
      </c>
      <c r="BD39" s="78">
        <v>732</v>
      </c>
      <c r="BE39" s="78">
        <v>646</v>
      </c>
      <c r="BF39" s="78">
        <v>954</v>
      </c>
      <c r="BG39" s="78">
        <v>948</v>
      </c>
      <c r="BH39" s="78">
        <v>785</v>
      </c>
      <c r="BI39" s="78">
        <v>4065</v>
      </c>
      <c r="BJ39" s="78"/>
      <c r="BK39" s="78" t="s">
        <v>2855</v>
      </c>
      <c r="BL39" s="78">
        <v>166</v>
      </c>
      <c r="BM39" s="78">
        <v>0</v>
      </c>
      <c r="BN39" s="78">
        <v>0</v>
      </c>
      <c r="BO39" s="78">
        <v>0</v>
      </c>
      <c r="BP39" s="78">
        <v>0</v>
      </c>
      <c r="BQ39" s="78">
        <v>166</v>
      </c>
      <c r="BS39" s="80" t="s">
        <v>1112</v>
      </c>
      <c r="BT39" s="80" t="s">
        <v>2856</v>
      </c>
      <c r="BU39" s="80">
        <v>96</v>
      </c>
      <c r="BV39" s="80">
        <v>77</v>
      </c>
      <c r="BW39" s="80">
        <v>162</v>
      </c>
      <c r="BX39" s="80">
        <v>215</v>
      </c>
      <c r="BY39" s="80">
        <v>202</v>
      </c>
      <c r="BZ39" s="80">
        <v>752</v>
      </c>
      <c r="CA39" s="80"/>
      <c r="CB39" s="80" t="s">
        <v>2856</v>
      </c>
      <c r="CC39" s="80">
        <v>40</v>
      </c>
      <c r="CD39" s="80">
        <v>0</v>
      </c>
      <c r="CE39" s="80">
        <v>0</v>
      </c>
      <c r="CF39" s="80">
        <v>0</v>
      </c>
      <c r="CG39" s="80">
        <v>0</v>
      </c>
      <c r="CH39" s="80">
        <v>40</v>
      </c>
      <c r="CL39" s="61" t="s">
        <v>1321</v>
      </c>
      <c r="CM39" s="61" t="s">
        <v>2855</v>
      </c>
      <c r="CN39" s="61">
        <v>83</v>
      </c>
      <c r="CO39" s="61">
        <v>133</v>
      </c>
      <c r="CP39" s="61">
        <v>283</v>
      </c>
      <c r="CQ39" s="61">
        <v>434</v>
      </c>
      <c r="CR39" s="61">
        <v>455</v>
      </c>
      <c r="CS39" s="61">
        <v>1388</v>
      </c>
      <c r="CT39" s="61"/>
      <c r="CU39" s="61" t="s">
        <v>2855</v>
      </c>
      <c r="CV39" s="61">
        <v>11</v>
      </c>
      <c r="CW39" s="61">
        <v>0</v>
      </c>
      <c r="CX39" s="61">
        <v>0</v>
      </c>
      <c r="CY39" s="61">
        <v>0</v>
      </c>
      <c r="CZ39" s="61">
        <v>0</v>
      </c>
      <c r="DA39" s="61">
        <v>11</v>
      </c>
      <c r="DD39" s="91" t="s">
        <v>1452</v>
      </c>
      <c r="DE39" s="91" t="s">
        <v>1968</v>
      </c>
      <c r="DF39" s="91">
        <v>270</v>
      </c>
      <c r="DG39" s="91">
        <v>371</v>
      </c>
      <c r="DH39" s="91">
        <v>432</v>
      </c>
      <c r="DI39" s="91">
        <v>421</v>
      </c>
      <c r="DJ39" s="91">
        <v>328</v>
      </c>
      <c r="DK39" s="91">
        <v>1822</v>
      </c>
      <c r="DL39" s="91"/>
      <c r="DM39" s="91" t="s">
        <v>1968</v>
      </c>
      <c r="DN39" s="91">
        <v>26</v>
      </c>
      <c r="DO39" s="91">
        <v>0</v>
      </c>
      <c r="DP39" s="91">
        <v>2</v>
      </c>
      <c r="DQ39" s="91">
        <v>0</v>
      </c>
      <c r="DR39" s="91">
        <v>0</v>
      </c>
      <c r="DS39" s="91">
        <v>28</v>
      </c>
      <c r="DV39" s="94" t="s">
        <v>1518</v>
      </c>
      <c r="DW39" s="94" t="s">
        <v>2856</v>
      </c>
      <c r="DX39" s="94">
        <v>140</v>
      </c>
      <c r="DY39" s="94">
        <v>209</v>
      </c>
      <c r="DZ39" s="94">
        <v>260</v>
      </c>
      <c r="EA39" s="94">
        <v>357</v>
      </c>
      <c r="EB39" s="94">
        <v>255</v>
      </c>
      <c r="EC39" s="94">
        <v>1221</v>
      </c>
      <c r="ED39" s="94"/>
      <c r="EE39" s="94" t="s">
        <v>2856</v>
      </c>
      <c r="EF39" s="94">
        <v>10</v>
      </c>
      <c r="EG39" s="94">
        <v>5</v>
      </c>
      <c r="EH39" s="94">
        <v>0</v>
      </c>
      <c r="EI39" s="94">
        <v>0</v>
      </c>
      <c r="EJ39" s="94">
        <v>0</v>
      </c>
      <c r="EK39" s="94">
        <v>15</v>
      </c>
      <c r="EN39" s="61" t="s">
        <v>1572</v>
      </c>
      <c r="EO39" s="61" t="s">
        <v>2856</v>
      </c>
      <c r="EP39" s="61">
        <v>196</v>
      </c>
      <c r="EQ39" s="61">
        <v>289</v>
      </c>
      <c r="ER39" s="61">
        <v>359</v>
      </c>
      <c r="ES39" s="61">
        <v>463</v>
      </c>
      <c r="ET39" s="61">
        <v>562</v>
      </c>
      <c r="EU39" s="61">
        <v>1869</v>
      </c>
      <c r="EV39" s="61"/>
      <c r="EW39" s="61" t="s">
        <v>2856</v>
      </c>
      <c r="EX39" s="61">
        <v>49</v>
      </c>
      <c r="EY39" s="61">
        <v>25</v>
      </c>
      <c r="EZ39" s="61">
        <v>12</v>
      </c>
      <c r="FA39" s="61">
        <v>9</v>
      </c>
      <c r="FB39" s="61">
        <v>18</v>
      </c>
      <c r="FC39" s="61">
        <v>113</v>
      </c>
      <c r="FF39" s="80" t="s">
        <v>1905</v>
      </c>
      <c r="FG39" s="80" t="s">
        <v>2855</v>
      </c>
      <c r="FH39" s="80">
        <v>275</v>
      </c>
      <c r="FI39" s="80">
        <v>376</v>
      </c>
      <c r="FJ39" s="80">
        <v>482</v>
      </c>
      <c r="FK39" s="80">
        <v>537</v>
      </c>
      <c r="FL39" s="80">
        <v>749</v>
      </c>
      <c r="FM39" s="80">
        <v>2419</v>
      </c>
      <c r="FN39" s="80"/>
      <c r="FO39" s="80" t="s">
        <v>2855</v>
      </c>
      <c r="FP39" s="80">
        <v>54</v>
      </c>
      <c r="FQ39" s="80">
        <v>23</v>
      </c>
      <c r="FR39" s="80">
        <v>7</v>
      </c>
      <c r="FS39" s="80">
        <v>4</v>
      </c>
      <c r="FT39" s="80">
        <v>10</v>
      </c>
      <c r="FU39" s="80">
        <v>98</v>
      </c>
    </row>
    <row r="40" spans="2:177" x14ac:dyDescent="0.3">
      <c r="B40" s="71" t="s">
        <v>198</v>
      </c>
      <c r="C40" s="71" t="s">
        <v>2855</v>
      </c>
      <c r="D40" s="71">
        <v>149</v>
      </c>
      <c r="E40" s="71">
        <v>13</v>
      </c>
      <c r="F40" s="71">
        <v>4</v>
      </c>
      <c r="G40" s="71">
        <v>1</v>
      </c>
      <c r="H40" s="71">
        <v>0</v>
      </c>
      <c r="I40" s="71">
        <v>167</v>
      </c>
      <c r="K40" s="71" t="s">
        <v>2855</v>
      </c>
      <c r="L40" s="71">
        <v>854</v>
      </c>
      <c r="M40" s="71">
        <v>771</v>
      </c>
      <c r="N40" s="71">
        <v>830</v>
      </c>
      <c r="O40" s="71">
        <v>882</v>
      </c>
      <c r="P40" s="71">
        <v>531</v>
      </c>
      <c r="Q40" s="71">
        <v>3868</v>
      </c>
      <c r="T40" s="72" t="s">
        <v>298</v>
      </c>
      <c r="U40" s="72" t="s">
        <v>2856</v>
      </c>
      <c r="V40" s="72">
        <v>281</v>
      </c>
      <c r="W40" s="72">
        <v>118</v>
      </c>
      <c r="X40" s="72">
        <v>212</v>
      </c>
      <c r="Y40" s="72">
        <v>231</v>
      </c>
      <c r="Z40" s="72">
        <v>241</v>
      </c>
      <c r="AA40" s="72">
        <v>1083</v>
      </c>
      <c r="AB40" s="72"/>
      <c r="AC40" s="72" t="s">
        <v>2856</v>
      </c>
      <c r="AD40" s="72">
        <v>14</v>
      </c>
      <c r="AE40" s="72">
        <v>0</v>
      </c>
      <c r="AF40" s="72">
        <v>0</v>
      </c>
      <c r="AG40" s="72">
        <v>0</v>
      </c>
      <c r="AH40" s="72">
        <v>0</v>
      </c>
      <c r="AI40" s="72">
        <v>14</v>
      </c>
      <c r="AK40" s="73" t="s">
        <v>719</v>
      </c>
      <c r="AL40" s="73" t="s">
        <v>2855</v>
      </c>
      <c r="AM40" s="73">
        <v>723</v>
      </c>
      <c r="AN40" s="73">
        <v>497</v>
      </c>
      <c r="AO40" s="73">
        <v>550</v>
      </c>
      <c r="AP40" s="73">
        <v>539</v>
      </c>
      <c r="AQ40" s="73">
        <v>333</v>
      </c>
      <c r="AR40" s="73">
        <v>2642</v>
      </c>
      <c r="AS40" s="73"/>
      <c r="AT40" s="73" t="s">
        <v>2855</v>
      </c>
      <c r="AU40" s="73">
        <v>66</v>
      </c>
      <c r="AV40" s="73">
        <v>3</v>
      </c>
      <c r="AW40" s="73">
        <v>1</v>
      </c>
      <c r="AX40" s="73">
        <v>0</v>
      </c>
      <c r="AY40" s="73">
        <v>0</v>
      </c>
      <c r="AZ40" s="73">
        <v>70</v>
      </c>
      <c r="BB40" s="78" t="s">
        <v>947</v>
      </c>
      <c r="BC40" s="78" t="s">
        <v>2855</v>
      </c>
      <c r="BD40" s="78">
        <v>91</v>
      </c>
      <c r="BE40" s="78">
        <v>89</v>
      </c>
      <c r="BF40" s="78">
        <v>185</v>
      </c>
      <c r="BG40" s="78">
        <v>293</v>
      </c>
      <c r="BH40" s="78">
        <v>310</v>
      </c>
      <c r="BI40" s="78">
        <v>968</v>
      </c>
      <c r="BJ40" s="78"/>
      <c r="BK40" s="78" t="s">
        <v>2855</v>
      </c>
      <c r="BL40" s="78">
        <v>29</v>
      </c>
      <c r="BM40" s="78">
        <v>0</v>
      </c>
      <c r="BN40" s="78">
        <v>0</v>
      </c>
      <c r="BO40" s="78">
        <v>0</v>
      </c>
      <c r="BP40" s="78">
        <v>0</v>
      </c>
      <c r="BQ40" s="78">
        <v>29</v>
      </c>
      <c r="BS40" s="80" t="s">
        <v>1115</v>
      </c>
      <c r="BT40" s="80" t="s">
        <v>2856</v>
      </c>
      <c r="BU40" s="80">
        <v>90</v>
      </c>
      <c r="BV40" s="80">
        <v>165</v>
      </c>
      <c r="BW40" s="80">
        <v>374</v>
      </c>
      <c r="BX40" s="80">
        <v>537</v>
      </c>
      <c r="BY40" s="80">
        <v>515</v>
      </c>
      <c r="BZ40" s="80">
        <v>1681</v>
      </c>
      <c r="CA40" s="80"/>
      <c r="CB40" s="80" t="s">
        <v>2856</v>
      </c>
      <c r="CC40" s="80">
        <v>16</v>
      </c>
      <c r="CD40" s="80">
        <v>0</v>
      </c>
      <c r="CE40" s="80">
        <v>0</v>
      </c>
      <c r="CF40" s="80">
        <v>0</v>
      </c>
      <c r="CG40" s="80">
        <v>0</v>
      </c>
      <c r="CH40" s="80">
        <v>16</v>
      </c>
      <c r="CL40" s="61" t="s">
        <v>1225</v>
      </c>
      <c r="CM40" s="61" t="s">
        <v>2855</v>
      </c>
      <c r="CN40" s="61" t="s">
        <v>1970</v>
      </c>
      <c r="CO40" s="61" t="s">
        <v>1970</v>
      </c>
      <c r="CP40" s="61" t="s">
        <v>1970</v>
      </c>
      <c r="CQ40" s="61" t="s">
        <v>1970</v>
      </c>
      <c r="CR40" s="61" t="s">
        <v>1970</v>
      </c>
      <c r="CS40" s="61" t="s">
        <v>1970</v>
      </c>
      <c r="CT40" s="61"/>
      <c r="CU40" s="61" t="s">
        <v>2855</v>
      </c>
      <c r="CV40" s="61" t="s">
        <v>1970</v>
      </c>
      <c r="CW40" s="61" t="s">
        <v>1970</v>
      </c>
      <c r="CX40" s="61" t="s">
        <v>1970</v>
      </c>
      <c r="CY40" s="61" t="s">
        <v>1970</v>
      </c>
      <c r="CZ40" s="61" t="s">
        <v>1970</v>
      </c>
      <c r="DA40" s="61" t="s">
        <v>1970</v>
      </c>
      <c r="DV40" s="94" t="s">
        <v>1522</v>
      </c>
      <c r="DW40" s="94" t="s">
        <v>2856</v>
      </c>
      <c r="DX40" s="94">
        <v>308</v>
      </c>
      <c r="DY40" s="94">
        <v>331</v>
      </c>
      <c r="DZ40" s="94">
        <v>427</v>
      </c>
      <c r="EA40" s="94">
        <v>561</v>
      </c>
      <c r="EB40" s="94">
        <v>457</v>
      </c>
      <c r="EC40" s="94">
        <v>2084</v>
      </c>
      <c r="ED40" s="94"/>
      <c r="EE40" s="94" t="s">
        <v>2856</v>
      </c>
      <c r="EF40" s="94">
        <v>21</v>
      </c>
      <c r="EG40" s="94">
        <v>0</v>
      </c>
      <c r="EH40" s="94">
        <v>0</v>
      </c>
      <c r="EI40" s="94">
        <v>0</v>
      </c>
      <c r="EJ40" s="94">
        <v>0</v>
      </c>
      <c r="EK40" s="94">
        <v>21</v>
      </c>
      <c r="EN40" s="61" t="s">
        <v>1576</v>
      </c>
      <c r="EO40" s="61" t="s">
        <v>2856</v>
      </c>
      <c r="EP40" s="61">
        <v>275</v>
      </c>
      <c r="EQ40" s="61">
        <v>419</v>
      </c>
      <c r="ER40" s="61">
        <v>578</v>
      </c>
      <c r="ES40" s="61">
        <v>715</v>
      </c>
      <c r="ET40" s="61">
        <v>813</v>
      </c>
      <c r="EU40" s="61">
        <v>2800</v>
      </c>
      <c r="EV40" s="61"/>
      <c r="EW40" s="61" t="s">
        <v>2856</v>
      </c>
      <c r="EX40" s="61">
        <v>65</v>
      </c>
      <c r="EY40" s="61">
        <v>32</v>
      </c>
      <c r="EZ40" s="61">
        <v>18</v>
      </c>
      <c r="FA40" s="61">
        <v>18</v>
      </c>
      <c r="FB40" s="61">
        <v>19</v>
      </c>
      <c r="FC40" s="61">
        <v>152</v>
      </c>
      <c r="FF40" s="80" t="s">
        <v>1910</v>
      </c>
      <c r="FG40" s="80" t="s">
        <v>2855</v>
      </c>
      <c r="FH40" s="80">
        <v>241</v>
      </c>
      <c r="FI40" s="80">
        <v>279</v>
      </c>
      <c r="FJ40" s="80">
        <v>381</v>
      </c>
      <c r="FK40" s="80">
        <v>439</v>
      </c>
      <c r="FL40" s="80">
        <v>572</v>
      </c>
      <c r="FM40" s="80">
        <v>1912</v>
      </c>
      <c r="FN40" s="80"/>
      <c r="FO40" s="80" t="s">
        <v>2855</v>
      </c>
      <c r="FP40" s="80">
        <v>34</v>
      </c>
      <c r="FQ40" s="80">
        <v>17</v>
      </c>
      <c r="FR40" s="80">
        <v>23</v>
      </c>
      <c r="FS40" s="80">
        <v>8</v>
      </c>
      <c r="FT40" s="80">
        <v>0</v>
      </c>
      <c r="FU40" s="80">
        <v>82</v>
      </c>
    </row>
    <row r="41" spans="2:177" x14ac:dyDescent="0.3">
      <c r="B41" s="71" t="s">
        <v>204</v>
      </c>
      <c r="C41" s="71" t="s">
        <v>2855</v>
      </c>
      <c r="D41" s="71">
        <v>25</v>
      </c>
      <c r="E41" s="71">
        <v>6</v>
      </c>
      <c r="F41" s="71">
        <v>2</v>
      </c>
      <c r="G41" s="71">
        <v>1</v>
      </c>
      <c r="H41" s="71">
        <v>1</v>
      </c>
      <c r="I41" s="71">
        <v>35</v>
      </c>
      <c r="K41" s="71" t="s">
        <v>2855</v>
      </c>
      <c r="L41" s="71">
        <v>214</v>
      </c>
      <c r="M41" s="71">
        <v>316</v>
      </c>
      <c r="N41" s="71">
        <v>434</v>
      </c>
      <c r="O41" s="71">
        <v>490</v>
      </c>
      <c r="P41" s="71">
        <v>379</v>
      </c>
      <c r="Q41" s="71">
        <v>1833</v>
      </c>
      <c r="T41" s="72" t="s">
        <v>302</v>
      </c>
      <c r="U41" s="72" t="s">
        <v>2856</v>
      </c>
      <c r="V41" s="72">
        <v>415</v>
      </c>
      <c r="W41" s="72">
        <v>372</v>
      </c>
      <c r="X41" s="72">
        <v>396</v>
      </c>
      <c r="Y41" s="72">
        <v>468</v>
      </c>
      <c r="Z41" s="72">
        <v>324</v>
      </c>
      <c r="AA41" s="72">
        <v>1975</v>
      </c>
      <c r="AB41" s="72"/>
      <c r="AC41" s="72" t="s">
        <v>2856</v>
      </c>
      <c r="AD41" s="72">
        <v>33</v>
      </c>
      <c r="AE41" s="72">
        <v>4</v>
      </c>
      <c r="AF41" s="72">
        <v>0</v>
      </c>
      <c r="AG41" s="72">
        <v>0</v>
      </c>
      <c r="AH41" s="72">
        <v>0</v>
      </c>
      <c r="AI41" s="72">
        <v>37</v>
      </c>
      <c r="AK41" s="73" t="s">
        <v>726</v>
      </c>
      <c r="AL41" s="73" t="s">
        <v>2855</v>
      </c>
      <c r="AM41" s="73" t="s">
        <v>1978</v>
      </c>
      <c r="AN41" s="73" t="s">
        <v>1978</v>
      </c>
      <c r="AO41" s="73" t="s">
        <v>1978</v>
      </c>
      <c r="AP41" s="73" t="s">
        <v>1978</v>
      </c>
      <c r="AQ41" s="73" t="s">
        <v>1978</v>
      </c>
      <c r="AR41" s="73" t="s">
        <v>1978</v>
      </c>
      <c r="AS41" s="73"/>
      <c r="AT41" s="73" t="s">
        <v>2855</v>
      </c>
      <c r="AU41" s="73" t="s">
        <v>1978</v>
      </c>
      <c r="AV41" s="73" t="s">
        <v>1978</v>
      </c>
      <c r="AW41" s="73" t="s">
        <v>1978</v>
      </c>
      <c r="AX41" s="73" t="s">
        <v>1978</v>
      </c>
      <c r="AY41" s="73" t="s">
        <v>1978</v>
      </c>
      <c r="AZ41" s="73" t="s">
        <v>1978</v>
      </c>
      <c r="BB41" s="78" t="s">
        <v>952</v>
      </c>
      <c r="BC41" s="78" t="s">
        <v>2855</v>
      </c>
      <c r="BD41" s="78">
        <v>77</v>
      </c>
      <c r="BE41" s="78">
        <v>127</v>
      </c>
      <c r="BF41" s="78">
        <v>274</v>
      </c>
      <c r="BG41" s="78">
        <v>439</v>
      </c>
      <c r="BH41" s="78">
        <v>412</v>
      </c>
      <c r="BI41" s="78">
        <v>1329</v>
      </c>
      <c r="BJ41" s="78"/>
      <c r="BK41" s="78" t="s">
        <v>2855</v>
      </c>
      <c r="BL41" s="78">
        <v>19</v>
      </c>
      <c r="BM41" s="78">
        <v>5</v>
      </c>
      <c r="BN41" s="78">
        <v>0</v>
      </c>
      <c r="BO41" s="78">
        <v>0</v>
      </c>
      <c r="BP41" s="78">
        <v>0</v>
      </c>
      <c r="BQ41" s="78">
        <v>24</v>
      </c>
      <c r="BS41" s="80" t="s">
        <v>1119</v>
      </c>
      <c r="BT41" s="80" t="s">
        <v>2856</v>
      </c>
      <c r="BU41" s="80">
        <v>121</v>
      </c>
      <c r="BV41" s="80">
        <v>179</v>
      </c>
      <c r="BW41" s="80">
        <v>376</v>
      </c>
      <c r="BX41" s="80">
        <v>587</v>
      </c>
      <c r="BY41" s="80">
        <v>570</v>
      </c>
      <c r="BZ41" s="80">
        <v>1833</v>
      </c>
      <c r="CA41" s="80"/>
      <c r="CB41" s="80" t="s">
        <v>2856</v>
      </c>
      <c r="CC41" s="80">
        <v>30</v>
      </c>
      <c r="CD41" s="80">
        <v>0</v>
      </c>
      <c r="CE41" s="80">
        <v>0</v>
      </c>
      <c r="CF41" s="80">
        <v>0</v>
      </c>
      <c r="CG41" s="80">
        <v>0</v>
      </c>
      <c r="CH41" s="80">
        <v>30</v>
      </c>
      <c r="CL41" s="61" t="s">
        <v>1229</v>
      </c>
      <c r="CM41" s="61" t="s">
        <v>2855</v>
      </c>
      <c r="CN41" s="61" t="s">
        <v>1970</v>
      </c>
      <c r="CO41" s="61" t="s">
        <v>1970</v>
      </c>
      <c r="CP41" s="61" t="s">
        <v>1970</v>
      </c>
      <c r="CQ41" s="61" t="s">
        <v>1970</v>
      </c>
      <c r="CR41" s="61" t="s">
        <v>1970</v>
      </c>
      <c r="CS41" s="61" t="s">
        <v>1970</v>
      </c>
      <c r="CT41" s="61"/>
      <c r="CU41" s="61" t="s">
        <v>2855</v>
      </c>
      <c r="CV41" s="61" t="s">
        <v>1970</v>
      </c>
      <c r="CW41" s="61" t="s">
        <v>1970</v>
      </c>
      <c r="CX41" s="61" t="s">
        <v>1970</v>
      </c>
      <c r="CY41" s="61" t="s">
        <v>1970</v>
      </c>
      <c r="CZ41" s="61" t="s">
        <v>1970</v>
      </c>
      <c r="DA41" s="61" t="s">
        <v>1970</v>
      </c>
      <c r="DD41" s="276" t="s">
        <v>1372</v>
      </c>
      <c r="DE41" s="276" t="s">
        <v>2840</v>
      </c>
      <c r="DF41" s="276">
        <v>381</v>
      </c>
      <c r="DG41" s="276">
        <v>400</v>
      </c>
      <c r="DH41" s="276">
        <v>478</v>
      </c>
      <c r="DI41" s="276">
        <v>455</v>
      </c>
      <c r="DJ41" s="276">
        <v>360</v>
      </c>
      <c r="DK41" s="276">
        <v>2074</v>
      </c>
      <c r="DL41" s="276"/>
      <c r="DM41" s="276" t="s">
        <v>2840</v>
      </c>
      <c r="DN41" s="276">
        <v>56</v>
      </c>
      <c r="DO41" s="276">
        <v>2</v>
      </c>
      <c r="DP41" s="276">
        <v>0</v>
      </c>
      <c r="DQ41" s="276">
        <v>0</v>
      </c>
      <c r="DR41" s="276">
        <v>0</v>
      </c>
      <c r="DS41" s="276">
        <v>58</v>
      </c>
      <c r="DT41" s="16">
        <v>45</v>
      </c>
      <c r="DU41" s="259"/>
      <c r="DV41" s="94" t="s">
        <v>1526</v>
      </c>
      <c r="DW41" s="94" t="s">
        <v>2856</v>
      </c>
      <c r="DX41" s="94">
        <v>138</v>
      </c>
      <c r="DY41" s="94">
        <v>144</v>
      </c>
      <c r="DZ41" s="94">
        <v>146</v>
      </c>
      <c r="EA41" s="94">
        <v>165</v>
      </c>
      <c r="EB41" s="94">
        <v>161</v>
      </c>
      <c r="EC41" s="94">
        <v>754</v>
      </c>
      <c r="ED41" s="94"/>
      <c r="EE41" s="94" t="s">
        <v>2856</v>
      </c>
      <c r="EF41" s="94">
        <v>12</v>
      </c>
      <c r="EG41" s="94">
        <v>1</v>
      </c>
      <c r="EH41" s="94">
        <v>0</v>
      </c>
      <c r="EI41" s="94">
        <v>0</v>
      </c>
      <c r="EJ41" s="94">
        <v>0</v>
      </c>
      <c r="EK41" s="94">
        <v>13</v>
      </c>
      <c r="EN41" s="61" t="s">
        <v>1580</v>
      </c>
      <c r="EO41" s="61" t="s">
        <v>2856</v>
      </c>
      <c r="EP41" s="61">
        <v>74</v>
      </c>
      <c r="EQ41" s="61">
        <v>118</v>
      </c>
      <c r="ER41" s="61">
        <v>175</v>
      </c>
      <c r="ES41" s="61">
        <v>256</v>
      </c>
      <c r="ET41" s="61">
        <v>316</v>
      </c>
      <c r="EU41" s="61">
        <v>939</v>
      </c>
      <c r="EV41" s="61"/>
      <c r="EW41" s="61" t="s">
        <v>2856</v>
      </c>
      <c r="EX41" s="61">
        <v>18</v>
      </c>
      <c r="EY41" s="61">
        <v>8</v>
      </c>
      <c r="EZ41" s="61">
        <v>6</v>
      </c>
      <c r="FA41" s="61">
        <v>7</v>
      </c>
      <c r="FB41" s="61">
        <v>3</v>
      </c>
      <c r="FC41" s="61">
        <v>42</v>
      </c>
      <c r="FF41" s="80" t="s">
        <v>1915</v>
      </c>
      <c r="FG41" s="80" t="s">
        <v>2855</v>
      </c>
      <c r="FH41" s="80">
        <v>162</v>
      </c>
      <c r="FI41" s="80">
        <v>227</v>
      </c>
      <c r="FJ41" s="80">
        <v>292</v>
      </c>
      <c r="FK41" s="80">
        <v>333</v>
      </c>
      <c r="FL41" s="80">
        <v>452</v>
      </c>
      <c r="FM41" s="80">
        <v>1466</v>
      </c>
      <c r="FN41" s="80"/>
      <c r="FO41" s="80" t="s">
        <v>2855</v>
      </c>
      <c r="FP41" s="80">
        <v>43</v>
      </c>
      <c r="FQ41" s="80">
        <v>9</v>
      </c>
      <c r="FR41" s="80">
        <v>4</v>
      </c>
      <c r="FS41" s="80">
        <v>4</v>
      </c>
      <c r="FT41" s="80">
        <v>7</v>
      </c>
      <c r="FU41" s="80">
        <v>67</v>
      </c>
    </row>
    <row r="42" spans="2:177" x14ac:dyDescent="0.3">
      <c r="B42" s="71" t="s">
        <v>208</v>
      </c>
      <c r="C42" s="71" t="s">
        <v>2855</v>
      </c>
      <c r="D42" s="71">
        <v>99</v>
      </c>
      <c r="E42" s="71">
        <v>16</v>
      </c>
      <c r="F42" s="71">
        <v>3</v>
      </c>
      <c r="G42" s="71">
        <v>3</v>
      </c>
      <c r="H42" s="71">
        <v>1</v>
      </c>
      <c r="I42" s="71">
        <v>122</v>
      </c>
      <c r="K42" s="71" t="s">
        <v>2855</v>
      </c>
      <c r="L42" s="71">
        <v>451</v>
      </c>
      <c r="M42" s="71">
        <v>525</v>
      </c>
      <c r="N42" s="71">
        <v>718</v>
      </c>
      <c r="O42" s="71">
        <v>843</v>
      </c>
      <c r="P42" s="71">
        <v>611</v>
      </c>
      <c r="Q42" s="71">
        <v>3148</v>
      </c>
      <c r="T42" s="72" t="s">
        <v>306</v>
      </c>
      <c r="U42" s="72" t="s">
        <v>2856</v>
      </c>
      <c r="V42" s="72">
        <v>203</v>
      </c>
      <c r="W42" s="72">
        <v>140</v>
      </c>
      <c r="X42" s="72">
        <v>185</v>
      </c>
      <c r="Y42" s="72">
        <v>186</v>
      </c>
      <c r="Z42" s="72">
        <v>194</v>
      </c>
      <c r="AA42" s="72">
        <v>908</v>
      </c>
      <c r="AB42" s="72"/>
      <c r="AC42" s="72" t="s">
        <v>2856</v>
      </c>
      <c r="AD42" s="72">
        <v>7</v>
      </c>
      <c r="AE42" s="72">
        <v>0</v>
      </c>
      <c r="AF42" s="72">
        <v>0</v>
      </c>
      <c r="AG42" s="72">
        <v>0</v>
      </c>
      <c r="AH42" s="72">
        <v>0</v>
      </c>
      <c r="AI42" s="72">
        <v>7</v>
      </c>
      <c r="AK42" s="73" t="s">
        <v>730</v>
      </c>
      <c r="AL42" s="73" t="s">
        <v>2855</v>
      </c>
      <c r="AM42" s="73">
        <v>823</v>
      </c>
      <c r="AN42" s="73">
        <v>1079</v>
      </c>
      <c r="AO42" s="73">
        <v>1656</v>
      </c>
      <c r="AP42" s="73">
        <v>1892</v>
      </c>
      <c r="AQ42" s="73">
        <v>1175</v>
      </c>
      <c r="AR42" s="73">
        <v>6625</v>
      </c>
      <c r="AS42" s="73"/>
      <c r="AT42" s="73" t="s">
        <v>2855</v>
      </c>
      <c r="AU42" s="73">
        <v>36</v>
      </c>
      <c r="AV42" s="73">
        <v>3</v>
      </c>
      <c r="AW42" s="73">
        <v>0</v>
      </c>
      <c r="AX42" s="73">
        <v>0</v>
      </c>
      <c r="AY42" s="73">
        <v>0</v>
      </c>
      <c r="AZ42" s="73">
        <v>39</v>
      </c>
      <c r="BB42" s="78" t="s">
        <v>957</v>
      </c>
      <c r="BC42" s="78" t="s">
        <v>2855</v>
      </c>
      <c r="BD42" s="78">
        <v>166</v>
      </c>
      <c r="BE42" s="78">
        <v>142</v>
      </c>
      <c r="BF42" s="78">
        <v>280</v>
      </c>
      <c r="BG42" s="78">
        <v>389</v>
      </c>
      <c r="BH42" s="78">
        <v>378</v>
      </c>
      <c r="BI42" s="78">
        <v>1355</v>
      </c>
      <c r="BJ42" s="78"/>
      <c r="BK42" s="78" t="s">
        <v>2855</v>
      </c>
      <c r="BL42" s="78">
        <v>22</v>
      </c>
      <c r="BM42" s="78">
        <v>0</v>
      </c>
      <c r="BN42" s="78">
        <v>0</v>
      </c>
      <c r="BO42" s="78">
        <v>0</v>
      </c>
      <c r="BP42" s="78">
        <v>0</v>
      </c>
      <c r="BQ42" s="78">
        <v>22</v>
      </c>
      <c r="BS42" s="80" t="s">
        <v>1123</v>
      </c>
      <c r="BT42" s="80" t="s">
        <v>2856</v>
      </c>
      <c r="BU42" s="80">
        <v>31</v>
      </c>
      <c r="BV42" s="80">
        <v>52</v>
      </c>
      <c r="BW42" s="80">
        <v>113</v>
      </c>
      <c r="BX42" s="80">
        <v>220</v>
      </c>
      <c r="BY42" s="80">
        <v>209</v>
      </c>
      <c r="BZ42" s="80">
        <v>625</v>
      </c>
      <c r="CA42" s="80"/>
      <c r="CB42" s="80" t="s">
        <v>2856</v>
      </c>
      <c r="CC42" s="80">
        <v>7</v>
      </c>
      <c r="CD42" s="80">
        <v>0</v>
      </c>
      <c r="CE42" s="80">
        <v>0</v>
      </c>
      <c r="CF42" s="80">
        <v>0</v>
      </c>
      <c r="CG42" s="80">
        <v>0</v>
      </c>
      <c r="CH42" s="80">
        <v>7</v>
      </c>
      <c r="CL42" s="61" t="s">
        <v>1233</v>
      </c>
      <c r="CM42" s="61" t="s">
        <v>2855</v>
      </c>
      <c r="CN42" s="61" t="s">
        <v>1970</v>
      </c>
      <c r="CO42" s="61" t="s">
        <v>1970</v>
      </c>
      <c r="CP42" s="61" t="s">
        <v>1970</v>
      </c>
      <c r="CQ42" s="61" t="s">
        <v>1970</v>
      </c>
      <c r="CR42" s="61" t="s">
        <v>1970</v>
      </c>
      <c r="CS42" s="61" t="s">
        <v>1970</v>
      </c>
      <c r="CT42" s="61"/>
      <c r="CU42" s="61" t="s">
        <v>2855</v>
      </c>
      <c r="CV42" s="61" t="s">
        <v>1970</v>
      </c>
      <c r="CW42" s="61" t="s">
        <v>1970</v>
      </c>
      <c r="CX42" s="61" t="s">
        <v>1970</v>
      </c>
      <c r="CY42" s="61" t="s">
        <v>1970</v>
      </c>
      <c r="CZ42" s="61" t="s">
        <v>1970</v>
      </c>
      <c r="DA42" s="61" t="s">
        <v>1970</v>
      </c>
      <c r="DD42" s="276" t="s">
        <v>1376</v>
      </c>
      <c r="DE42" s="276" t="s">
        <v>2840</v>
      </c>
      <c r="DF42" s="276">
        <v>107</v>
      </c>
      <c r="DG42" s="276">
        <v>139</v>
      </c>
      <c r="DH42" s="276">
        <v>181</v>
      </c>
      <c r="DI42" s="276">
        <v>231</v>
      </c>
      <c r="DJ42" s="276">
        <v>199</v>
      </c>
      <c r="DK42" s="276">
        <v>857</v>
      </c>
      <c r="DL42" s="276"/>
      <c r="DM42" s="276" t="s">
        <v>2840</v>
      </c>
      <c r="DN42" s="276">
        <v>10</v>
      </c>
      <c r="DO42" s="276">
        <v>2</v>
      </c>
      <c r="DP42" s="276">
        <v>0</v>
      </c>
      <c r="DQ42" s="276">
        <v>0</v>
      </c>
      <c r="DR42" s="276">
        <v>0</v>
      </c>
      <c r="DS42" s="276">
        <v>12</v>
      </c>
      <c r="DT42" s="16">
        <v>20</v>
      </c>
      <c r="DU42" s="259"/>
      <c r="DV42" s="94" t="s">
        <v>1530</v>
      </c>
      <c r="DW42" s="94" t="s">
        <v>2856</v>
      </c>
      <c r="DX42" s="94">
        <v>296</v>
      </c>
      <c r="DY42" s="94">
        <v>431</v>
      </c>
      <c r="DZ42" s="94">
        <v>493</v>
      </c>
      <c r="EA42" s="94">
        <v>479</v>
      </c>
      <c r="EB42" s="94">
        <v>284</v>
      </c>
      <c r="EC42" s="94">
        <v>1983</v>
      </c>
      <c r="ED42" s="94"/>
      <c r="EE42" s="94" t="s">
        <v>2856</v>
      </c>
      <c r="EF42" s="94">
        <v>14</v>
      </c>
      <c r="EG42" s="94">
        <v>2</v>
      </c>
      <c r="EH42" s="94">
        <v>0</v>
      </c>
      <c r="EI42" s="94">
        <v>0</v>
      </c>
      <c r="EJ42" s="94">
        <v>0</v>
      </c>
      <c r="EK42" s="94">
        <v>16</v>
      </c>
      <c r="EN42" s="61" t="s">
        <v>1584</v>
      </c>
      <c r="EO42" s="61" t="s">
        <v>2856</v>
      </c>
      <c r="EP42" s="61">
        <v>70</v>
      </c>
      <c r="EQ42" s="61">
        <v>128</v>
      </c>
      <c r="ER42" s="61">
        <v>215</v>
      </c>
      <c r="ES42" s="61">
        <v>270</v>
      </c>
      <c r="ET42" s="61">
        <v>349</v>
      </c>
      <c r="EU42" s="61">
        <v>1032</v>
      </c>
      <c r="EV42" s="61"/>
      <c r="EW42" s="61" t="s">
        <v>2856</v>
      </c>
      <c r="EX42" s="61">
        <v>9</v>
      </c>
      <c r="EY42" s="61">
        <v>6</v>
      </c>
      <c r="EZ42" s="61">
        <v>3</v>
      </c>
      <c r="FA42" s="61">
        <v>2</v>
      </c>
      <c r="FB42" s="61">
        <v>0</v>
      </c>
      <c r="FC42" s="61">
        <v>20</v>
      </c>
      <c r="FF42" s="80" t="s">
        <v>1920</v>
      </c>
      <c r="FG42" s="80" t="s">
        <v>2855</v>
      </c>
      <c r="FH42" s="80">
        <v>563</v>
      </c>
      <c r="FI42" s="80">
        <v>498</v>
      </c>
      <c r="FJ42" s="80">
        <v>446</v>
      </c>
      <c r="FK42" s="80">
        <v>467</v>
      </c>
      <c r="FL42" s="80">
        <v>574</v>
      </c>
      <c r="FM42" s="80">
        <v>2548</v>
      </c>
      <c r="FN42" s="80"/>
      <c r="FO42" s="80" t="s">
        <v>2855</v>
      </c>
      <c r="FP42" s="80">
        <v>49</v>
      </c>
      <c r="FQ42" s="80">
        <v>0</v>
      </c>
      <c r="FR42" s="80">
        <v>0</v>
      </c>
      <c r="FS42" s="80">
        <v>0</v>
      </c>
      <c r="FT42" s="80">
        <v>0</v>
      </c>
      <c r="FU42" s="80">
        <v>49</v>
      </c>
    </row>
    <row r="43" spans="2:177" x14ac:dyDescent="0.3">
      <c r="B43" s="71" t="s">
        <v>214</v>
      </c>
      <c r="C43" s="71" t="s">
        <v>2855</v>
      </c>
      <c r="D43" s="71">
        <v>23</v>
      </c>
      <c r="E43" s="71">
        <v>8</v>
      </c>
      <c r="F43" s="71">
        <v>2</v>
      </c>
      <c r="G43" s="71">
        <v>0</v>
      </c>
      <c r="H43" s="71">
        <v>0</v>
      </c>
      <c r="I43" s="71">
        <v>33</v>
      </c>
      <c r="K43" s="71" t="s">
        <v>2855</v>
      </c>
      <c r="L43" s="71">
        <v>156</v>
      </c>
      <c r="M43" s="71">
        <v>300</v>
      </c>
      <c r="N43" s="71">
        <v>405</v>
      </c>
      <c r="O43" s="71">
        <v>539</v>
      </c>
      <c r="P43" s="71">
        <v>408</v>
      </c>
      <c r="Q43" s="71">
        <v>1808</v>
      </c>
      <c r="T43" s="72" t="s">
        <v>314</v>
      </c>
      <c r="U43" s="72" t="s">
        <v>2856</v>
      </c>
      <c r="V43" s="72">
        <v>718</v>
      </c>
      <c r="W43" s="72">
        <v>626</v>
      </c>
      <c r="X43" s="72">
        <v>713</v>
      </c>
      <c r="Y43" s="72">
        <v>855</v>
      </c>
      <c r="Z43" s="72">
        <v>571</v>
      </c>
      <c r="AA43" s="72">
        <v>3483</v>
      </c>
      <c r="AB43" s="72"/>
      <c r="AC43" s="72" t="s">
        <v>2856</v>
      </c>
      <c r="AD43" s="72">
        <v>28</v>
      </c>
      <c r="AE43" s="72">
        <v>3</v>
      </c>
      <c r="AF43" s="72">
        <v>0</v>
      </c>
      <c r="AG43" s="72">
        <v>0</v>
      </c>
      <c r="AH43" s="72">
        <v>0</v>
      </c>
      <c r="AI43" s="72">
        <v>31</v>
      </c>
      <c r="AK43" s="73" t="s">
        <v>734</v>
      </c>
      <c r="AL43" s="73" t="s">
        <v>2855</v>
      </c>
      <c r="AM43" s="73">
        <v>559</v>
      </c>
      <c r="AN43" s="73">
        <v>623</v>
      </c>
      <c r="AO43" s="73">
        <v>754</v>
      </c>
      <c r="AP43" s="73">
        <v>963</v>
      </c>
      <c r="AQ43" s="73">
        <v>672</v>
      </c>
      <c r="AR43" s="73">
        <v>3571</v>
      </c>
      <c r="AS43" s="73"/>
      <c r="AT43" s="73" t="s">
        <v>2855</v>
      </c>
      <c r="AU43" s="73">
        <v>76</v>
      </c>
      <c r="AV43" s="73">
        <v>1</v>
      </c>
      <c r="AW43" s="73">
        <v>0</v>
      </c>
      <c r="AX43" s="73">
        <v>2</v>
      </c>
      <c r="AY43" s="73">
        <v>0</v>
      </c>
      <c r="AZ43" s="73">
        <v>79</v>
      </c>
      <c r="BB43" s="78" t="s">
        <v>962</v>
      </c>
      <c r="BC43" s="78" t="s">
        <v>2855</v>
      </c>
      <c r="BD43" s="78">
        <v>136</v>
      </c>
      <c r="BE43" s="78">
        <v>182</v>
      </c>
      <c r="BF43" s="78">
        <v>387</v>
      </c>
      <c r="BG43" s="78">
        <v>540</v>
      </c>
      <c r="BH43" s="78">
        <v>432</v>
      </c>
      <c r="BI43" s="78">
        <v>1677</v>
      </c>
      <c r="BJ43" s="78"/>
      <c r="BK43" s="78" t="s">
        <v>2855</v>
      </c>
      <c r="BL43" s="78">
        <v>21</v>
      </c>
      <c r="BM43" s="78">
        <v>0</v>
      </c>
      <c r="BN43" s="78">
        <v>0</v>
      </c>
      <c r="BO43" s="78">
        <v>0</v>
      </c>
      <c r="BP43" s="78">
        <v>0</v>
      </c>
      <c r="BQ43" s="78">
        <v>21</v>
      </c>
      <c r="BS43" s="80" t="s">
        <v>1127</v>
      </c>
      <c r="BT43" s="80" t="s">
        <v>2856</v>
      </c>
      <c r="BU43" s="80">
        <v>207</v>
      </c>
      <c r="BV43" s="80">
        <v>179</v>
      </c>
      <c r="BW43" s="80">
        <v>263</v>
      </c>
      <c r="BX43" s="80">
        <v>350</v>
      </c>
      <c r="BY43" s="80">
        <v>311</v>
      </c>
      <c r="BZ43" s="80">
        <v>1310</v>
      </c>
      <c r="CA43" s="80"/>
      <c r="CB43" s="80" t="s">
        <v>2856</v>
      </c>
      <c r="CC43" s="80">
        <v>80</v>
      </c>
      <c r="CD43" s="80">
        <v>0</v>
      </c>
      <c r="CE43" s="80">
        <v>0</v>
      </c>
      <c r="CF43" s="80">
        <v>0</v>
      </c>
      <c r="CG43" s="80">
        <v>0</v>
      </c>
      <c r="CH43" s="80">
        <v>80</v>
      </c>
      <c r="CL43" s="61" t="s">
        <v>1237</v>
      </c>
      <c r="CM43" s="61" t="s">
        <v>2855</v>
      </c>
      <c r="CN43" s="61" t="s">
        <v>1970</v>
      </c>
      <c r="CO43" s="61" t="s">
        <v>1970</v>
      </c>
      <c r="CP43" s="61" t="s">
        <v>1970</v>
      </c>
      <c r="CQ43" s="61" t="s">
        <v>1970</v>
      </c>
      <c r="CR43" s="61" t="s">
        <v>1970</v>
      </c>
      <c r="CS43" s="61" t="s">
        <v>1970</v>
      </c>
      <c r="CT43" s="61"/>
      <c r="CU43" s="61" t="s">
        <v>2855</v>
      </c>
      <c r="CV43" s="61" t="s">
        <v>1970</v>
      </c>
      <c r="CW43" s="61" t="s">
        <v>1970</v>
      </c>
      <c r="CX43" s="61" t="s">
        <v>1970</v>
      </c>
      <c r="CY43" s="61" t="s">
        <v>1970</v>
      </c>
      <c r="CZ43" s="61" t="s">
        <v>1970</v>
      </c>
      <c r="DA43" s="61" t="s">
        <v>1970</v>
      </c>
      <c r="DD43" s="276" t="s">
        <v>1383</v>
      </c>
      <c r="DE43" s="276" t="s">
        <v>2840</v>
      </c>
      <c r="DF43" s="276" t="s">
        <v>1970</v>
      </c>
      <c r="DG43" s="276" t="s">
        <v>1970</v>
      </c>
      <c r="DH43" s="276" t="s">
        <v>1970</v>
      </c>
      <c r="DI43" s="276" t="s">
        <v>1970</v>
      </c>
      <c r="DJ43" s="276" t="s">
        <v>1970</v>
      </c>
      <c r="DK43" s="276" t="s">
        <v>1970</v>
      </c>
      <c r="DL43" s="276"/>
      <c r="DM43" s="276" t="s">
        <v>2840</v>
      </c>
      <c r="DN43" s="276" t="s">
        <v>1970</v>
      </c>
      <c r="DO43" s="276" t="s">
        <v>1970</v>
      </c>
      <c r="DP43" s="276" t="s">
        <v>1970</v>
      </c>
      <c r="DQ43" s="276" t="s">
        <v>1970</v>
      </c>
      <c r="DR43" s="276" t="s">
        <v>1970</v>
      </c>
      <c r="DS43" s="276" t="s">
        <v>1970</v>
      </c>
      <c r="DT43" s="16">
        <v>15</v>
      </c>
      <c r="DU43" s="259" t="s">
        <v>2976</v>
      </c>
      <c r="DV43" s="94" t="s">
        <v>1534</v>
      </c>
      <c r="DW43" s="94" t="s">
        <v>2856</v>
      </c>
      <c r="DX43" s="94">
        <v>573</v>
      </c>
      <c r="DY43" s="94">
        <v>790</v>
      </c>
      <c r="DZ43" s="94">
        <v>1219</v>
      </c>
      <c r="EA43" s="94">
        <v>1579</v>
      </c>
      <c r="EB43" s="94">
        <v>1315</v>
      </c>
      <c r="EC43" s="94">
        <v>5476</v>
      </c>
      <c r="ED43" s="94"/>
      <c r="EE43" s="94" t="s">
        <v>2856</v>
      </c>
      <c r="EF43" s="94">
        <v>25</v>
      </c>
      <c r="EG43" s="94">
        <v>4</v>
      </c>
      <c r="EH43" s="94">
        <v>0</v>
      </c>
      <c r="EI43" s="94">
        <v>0</v>
      </c>
      <c r="EJ43" s="94">
        <v>0</v>
      </c>
      <c r="EK43" s="94">
        <v>29</v>
      </c>
      <c r="EN43" s="61" t="s">
        <v>1588</v>
      </c>
      <c r="EO43" s="61" t="s">
        <v>2856</v>
      </c>
      <c r="EP43" s="61" t="s">
        <v>1970</v>
      </c>
      <c r="EQ43" s="61" t="s">
        <v>1970</v>
      </c>
      <c r="ER43" s="61" t="s">
        <v>1970</v>
      </c>
      <c r="ES43" s="61" t="s">
        <v>1970</v>
      </c>
      <c r="ET43" s="61" t="s">
        <v>1970</v>
      </c>
      <c r="EU43" s="61" t="s">
        <v>1970</v>
      </c>
      <c r="EV43" s="61"/>
      <c r="EW43" s="61" t="s">
        <v>2856</v>
      </c>
      <c r="EX43" s="61" t="s">
        <v>1970</v>
      </c>
      <c r="EY43" s="61" t="s">
        <v>1970</v>
      </c>
      <c r="EZ43" s="61" t="s">
        <v>1970</v>
      </c>
      <c r="FA43" s="61" t="s">
        <v>1970</v>
      </c>
      <c r="FB43" s="61" t="s">
        <v>1970</v>
      </c>
      <c r="FC43" s="61" t="s">
        <v>1970</v>
      </c>
      <c r="FF43" s="80" t="s">
        <v>1925</v>
      </c>
      <c r="FG43" s="80" t="s">
        <v>2855</v>
      </c>
      <c r="FH43" s="80">
        <v>289</v>
      </c>
      <c r="FI43" s="80">
        <v>368</v>
      </c>
      <c r="FJ43" s="80">
        <v>504</v>
      </c>
      <c r="FK43" s="80">
        <v>653</v>
      </c>
      <c r="FL43" s="80">
        <v>756</v>
      </c>
      <c r="FM43" s="80">
        <v>2570</v>
      </c>
      <c r="FN43" s="80"/>
      <c r="FO43" s="80" t="s">
        <v>2855</v>
      </c>
      <c r="FP43" s="80">
        <v>31</v>
      </c>
      <c r="FQ43" s="80">
        <v>5</v>
      </c>
      <c r="FR43" s="80">
        <v>0</v>
      </c>
      <c r="FS43" s="80">
        <v>0</v>
      </c>
      <c r="FT43" s="80">
        <v>0</v>
      </c>
      <c r="FU43" s="80">
        <v>36</v>
      </c>
    </row>
    <row r="44" spans="2:177" x14ac:dyDescent="0.3">
      <c r="B44" s="71" t="s">
        <v>219</v>
      </c>
      <c r="C44" s="71" t="s">
        <v>2855</v>
      </c>
      <c r="D44" s="71">
        <v>14</v>
      </c>
      <c r="E44" s="71">
        <v>8</v>
      </c>
      <c r="F44" s="71">
        <v>6</v>
      </c>
      <c r="G44" s="71">
        <v>2</v>
      </c>
      <c r="H44" s="71">
        <v>2</v>
      </c>
      <c r="I44" s="71">
        <v>32</v>
      </c>
      <c r="K44" s="71" t="s">
        <v>2855</v>
      </c>
      <c r="L44" s="71">
        <v>90</v>
      </c>
      <c r="M44" s="71">
        <v>145</v>
      </c>
      <c r="N44" s="71">
        <v>262</v>
      </c>
      <c r="O44" s="71">
        <v>375</v>
      </c>
      <c r="P44" s="71">
        <v>343</v>
      </c>
      <c r="Q44" s="71">
        <v>1215</v>
      </c>
      <c r="T44" s="72" t="s">
        <v>320</v>
      </c>
      <c r="U44" s="72" t="s">
        <v>2856</v>
      </c>
      <c r="V44" s="72">
        <v>684</v>
      </c>
      <c r="W44" s="72">
        <v>867</v>
      </c>
      <c r="X44" s="72">
        <v>1075</v>
      </c>
      <c r="Y44" s="72">
        <v>1215</v>
      </c>
      <c r="Z44" s="72">
        <v>743</v>
      </c>
      <c r="AA44" s="72">
        <v>4584</v>
      </c>
      <c r="AB44" s="72"/>
      <c r="AC44" s="72" t="s">
        <v>2856</v>
      </c>
      <c r="AD44" s="72">
        <v>18</v>
      </c>
      <c r="AE44" s="72">
        <v>2</v>
      </c>
      <c r="AF44" s="72">
        <v>0</v>
      </c>
      <c r="AG44" s="72">
        <v>2</v>
      </c>
      <c r="AH44" s="72">
        <v>0</v>
      </c>
      <c r="AI44" s="72">
        <v>22</v>
      </c>
      <c r="AK44" s="73" t="s">
        <v>738</v>
      </c>
      <c r="AL44" s="73" t="s">
        <v>2855</v>
      </c>
      <c r="AM44" s="73">
        <v>340</v>
      </c>
      <c r="AN44" s="73">
        <v>575</v>
      </c>
      <c r="AO44" s="73">
        <v>857</v>
      </c>
      <c r="AP44" s="73">
        <v>1043</v>
      </c>
      <c r="AQ44" s="73">
        <v>686</v>
      </c>
      <c r="AR44" s="73">
        <v>3501</v>
      </c>
      <c r="AS44" s="73"/>
      <c r="AT44" s="73" t="s">
        <v>2855</v>
      </c>
      <c r="AU44" s="73">
        <v>18</v>
      </c>
      <c r="AV44" s="73">
        <v>1</v>
      </c>
      <c r="AW44" s="73">
        <v>1</v>
      </c>
      <c r="AX44" s="73">
        <v>0</v>
      </c>
      <c r="AY44" s="73">
        <v>0</v>
      </c>
      <c r="AZ44" s="73">
        <v>20</v>
      </c>
      <c r="BB44" s="78" t="s">
        <v>967</v>
      </c>
      <c r="BC44" s="78" t="s">
        <v>2855</v>
      </c>
      <c r="BD44" s="78">
        <v>2030</v>
      </c>
      <c r="BE44" s="78">
        <v>1233</v>
      </c>
      <c r="BF44" s="78">
        <v>1492</v>
      </c>
      <c r="BG44" s="78">
        <v>1427</v>
      </c>
      <c r="BH44" s="78">
        <v>947</v>
      </c>
      <c r="BI44" s="78">
        <v>7129</v>
      </c>
      <c r="BJ44" s="78"/>
      <c r="BK44" s="78" t="s">
        <v>2855</v>
      </c>
      <c r="BL44" s="78">
        <v>402</v>
      </c>
      <c r="BM44" s="78">
        <v>0</v>
      </c>
      <c r="BN44" s="78">
        <v>0</v>
      </c>
      <c r="BO44" s="78">
        <v>0</v>
      </c>
      <c r="BP44" s="78">
        <v>0</v>
      </c>
      <c r="BQ44" s="78">
        <v>402</v>
      </c>
      <c r="BS44" s="80" t="s">
        <v>1131</v>
      </c>
      <c r="BT44" s="80" t="s">
        <v>2856</v>
      </c>
      <c r="BU44" s="80">
        <v>134</v>
      </c>
      <c r="BV44" s="80">
        <v>98</v>
      </c>
      <c r="BW44" s="80">
        <v>167</v>
      </c>
      <c r="BX44" s="80">
        <v>241</v>
      </c>
      <c r="BY44" s="80">
        <v>223</v>
      </c>
      <c r="BZ44" s="80">
        <v>863</v>
      </c>
      <c r="CA44" s="80"/>
      <c r="CB44" s="80" t="s">
        <v>2856</v>
      </c>
      <c r="CC44" s="80">
        <v>27</v>
      </c>
      <c r="CD44" s="80">
        <v>0</v>
      </c>
      <c r="CE44" s="80">
        <v>0</v>
      </c>
      <c r="CF44" s="80">
        <v>0</v>
      </c>
      <c r="CG44" s="80">
        <v>0</v>
      </c>
      <c r="CH44" s="80">
        <v>27</v>
      </c>
      <c r="CL44" s="61" t="s">
        <v>1241</v>
      </c>
      <c r="CM44" s="61" t="s">
        <v>2855</v>
      </c>
      <c r="CN44" s="61" t="s">
        <v>1970</v>
      </c>
      <c r="CO44" s="61" t="s">
        <v>1970</v>
      </c>
      <c r="CP44" s="61" t="s">
        <v>1970</v>
      </c>
      <c r="CQ44" s="61" t="s">
        <v>1970</v>
      </c>
      <c r="CR44" s="61" t="s">
        <v>1970</v>
      </c>
      <c r="CS44" s="61" t="s">
        <v>1970</v>
      </c>
      <c r="CT44" s="61"/>
      <c r="CU44" s="61" t="s">
        <v>2855</v>
      </c>
      <c r="CV44" s="61" t="s">
        <v>1970</v>
      </c>
      <c r="CW44" s="61" t="s">
        <v>1970</v>
      </c>
      <c r="CX44" s="61" t="s">
        <v>1970</v>
      </c>
      <c r="CY44" s="61" t="s">
        <v>1970</v>
      </c>
      <c r="CZ44" s="61" t="s">
        <v>1970</v>
      </c>
      <c r="DA44" s="61" t="s">
        <v>1970</v>
      </c>
      <c r="DD44" s="276" t="s">
        <v>1387</v>
      </c>
      <c r="DE44" s="276" t="s">
        <v>2840</v>
      </c>
      <c r="DF44" s="276">
        <v>869</v>
      </c>
      <c r="DG44" s="276">
        <v>969</v>
      </c>
      <c r="DH44" s="276">
        <v>946</v>
      </c>
      <c r="DI44" s="276">
        <v>1082</v>
      </c>
      <c r="DJ44" s="276">
        <v>895</v>
      </c>
      <c r="DK44" s="276">
        <v>4761</v>
      </c>
      <c r="DL44" s="276"/>
      <c r="DM44" s="276" t="s">
        <v>2840</v>
      </c>
      <c r="DN44" s="276">
        <v>154</v>
      </c>
      <c r="DO44" s="276">
        <v>46</v>
      </c>
      <c r="DP44" s="276">
        <v>0</v>
      </c>
      <c r="DQ44" s="276">
        <v>0</v>
      </c>
      <c r="DR44" s="276">
        <v>0</v>
      </c>
      <c r="DS44" s="276">
        <v>200</v>
      </c>
      <c r="DT44" s="16">
        <v>144</v>
      </c>
      <c r="DU44" s="259"/>
      <c r="DV44" s="94" t="s">
        <v>1538</v>
      </c>
      <c r="DW44" s="94" t="s">
        <v>2856</v>
      </c>
      <c r="DX44" s="94">
        <v>389</v>
      </c>
      <c r="DY44" s="94">
        <v>476</v>
      </c>
      <c r="DZ44" s="94">
        <v>494</v>
      </c>
      <c r="EA44" s="94">
        <v>548</v>
      </c>
      <c r="EB44" s="94">
        <v>410</v>
      </c>
      <c r="EC44" s="94">
        <v>2317</v>
      </c>
      <c r="ED44" s="94"/>
      <c r="EE44" s="94" t="s">
        <v>2856</v>
      </c>
      <c r="EF44" s="94">
        <v>19</v>
      </c>
      <c r="EG44" s="94">
        <v>0</v>
      </c>
      <c r="EH44" s="94">
        <v>0</v>
      </c>
      <c r="EI44" s="94">
        <v>0</v>
      </c>
      <c r="EJ44" s="94">
        <v>0</v>
      </c>
      <c r="EK44" s="94">
        <v>19</v>
      </c>
      <c r="EN44" s="61" t="s">
        <v>1592</v>
      </c>
      <c r="EO44" s="61" t="s">
        <v>2856</v>
      </c>
      <c r="EP44" s="61" t="s">
        <v>1970</v>
      </c>
      <c r="EQ44" s="61" t="s">
        <v>1970</v>
      </c>
      <c r="ER44" s="61" t="s">
        <v>1970</v>
      </c>
      <c r="ES44" s="61" t="s">
        <v>1970</v>
      </c>
      <c r="ET44" s="61" t="s">
        <v>1970</v>
      </c>
      <c r="EU44" s="61" t="s">
        <v>1970</v>
      </c>
      <c r="EV44" s="61"/>
      <c r="EW44" s="61" t="s">
        <v>2856</v>
      </c>
      <c r="EX44" s="61" t="s">
        <v>1970</v>
      </c>
      <c r="EY44" s="61" t="s">
        <v>1970</v>
      </c>
      <c r="EZ44" s="61" t="s">
        <v>1970</v>
      </c>
      <c r="FA44" s="61" t="s">
        <v>1970</v>
      </c>
      <c r="FB44" s="61" t="s">
        <v>1970</v>
      </c>
      <c r="FC44" s="61" t="s">
        <v>1970</v>
      </c>
      <c r="FF44" s="80" t="s">
        <v>1929</v>
      </c>
      <c r="FG44" s="80" t="s">
        <v>2855</v>
      </c>
      <c r="FH44" s="80">
        <v>276</v>
      </c>
      <c r="FI44" s="80">
        <v>359</v>
      </c>
      <c r="FJ44" s="80">
        <v>411</v>
      </c>
      <c r="FK44" s="80">
        <v>505</v>
      </c>
      <c r="FL44" s="80">
        <v>640</v>
      </c>
      <c r="FM44" s="80">
        <v>2191</v>
      </c>
      <c r="FN44" s="80"/>
      <c r="FO44" s="80" t="s">
        <v>2855</v>
      </c>
      <c r="FP44" s="80">
        <v>41</v>
      </c>
      <c r="FQ44" s="80">
        <v>9</v>
      </c>
      <c r="FR44" s="80">
        <v>5</v>
      </c>
      <c r="FS44" s="80">
        <v>11</v>
      </c>
      <c r="FT44" s="80">
        <v>14</v>
      </c>
      <c r="FU44" s="80">
        <v>80</v>
      </c>
    </row>
    <row r="45" spans="2:177" x14ac:dyDescent="0.3">
      <c r="B45" s="71" t="s">
        <v>224</v>
      </c>
      <c r="C45" s="71" t="s">
        <v>2855</v>
      </c>
      <c r="D45" s="71" t="s">
        <v>1970</v>
      </c>
      <c r="E45" s="71" t="s">
        <v>1970</v>
      </c>
      <c r="F45" s="71" t="s">
        <v>1970</v>
      </c>
      <c r="G45" s="71" t="s">
        <v>1970</v>
      </c>
      <c r="H45" s="71" t="s">
        <v>1970</v>
      </c>
      <c r="I45" s="71" t="s">
        <v>1970</v>
      </c>
      <c r="K45" s="71" t="s">
        <v>2855</v>
      </c>
      <c r="L45" s="71" t="s">
        <v>1970</v>
      </c>
      <c r="M45" s="71" t="s">
        <v>1970</v>
      </c>
      <c r="N45" s="71" t="s">
        <v>1970</v>
      </c>
      <c r="O45" s="71" t="s">
        <v>1970</v>
      </c>
      <c r="P45" s="71" t="s">
        <v>1970</v>
      </c>
      <c r="Q45" s="71" t="s">
        <v>1970</v>
      </c>
      <c r="T45" s="72" t="s">
        <v>330</v>
      </c>
      <c r="U45" s="72" t="s">
        <v>2856</v>
      </c>
      <c r="V45" s="72">
        <v>698</v>
      </c>
      <c r="W45" s="72">
        <v>780</v>
      </c>
      <c r="X45" s="72">
        <v>945</v>
      </c>
      <c r="Y45" s="72">
        <v>1022</v>
      </c>
      <c r="Z45" s="72">
        <v>739</v>
      </c>
      <c r="AA45" s="72">
        <v>4184</v>
      </c>
      <c r="AB45" s="72"/>
      <c r="AC45" s="72" t="s">
        <v>2856</v>
      </c>
      <c r="AD45" s="72">
        <v>16</v>
      </c>
      <c r="AE45" s="72">
        <v>0</v>
      </c>
      <c r="AF45" s="72">
        <v>0</v>
      </c>
      <c r="AG45" s="72">
        <v>0</v>
      </c>
      <c r="AH45" s="72">
        <v>0</v>
      </c>
      <c r="AI45" s="72">
        <v>16</v>
      </c>
      <c r="AK45" s="73" t="s">
        <v>742</v>
      </c>
      <c r="AL45" s="73" t="s">
        <v>2855</v>
      </c>
      <c r="AM45" s="73">
        <v>263</v>
      </c>
      <c r="AN45" s="73">
        <v>421</v>
      </c>
      <c r="AO45" s="73">
        <v>673</v>
      </c>
      <c r="AP45" s="73">
        <v>841</v>
      </c>
      <c r="AQ45" s="73">
        <v>583</v>
      </c>
      <c r="AR45" s="73">
        <v>2781</v>
      </c>
      <c r="AS45" s="73"/>
      <c r="AT45" s="73" t="s">
        <v>2855</v>
      </c>
      <c r="AU45" s="73">
        <v>22</v>
      </c>
      <c r="AV45" s="73">
        <v>0</v>
      </c>
      <c r="AW45" s="73">
        <v>0</v>
      </c>
      <c r="AX45" s="73">
        <v>0</v>
      </c>
      <c r="AY45" s="73">
        <v>0</v>
      </c>
      <c r="AZ45" s="73">
        <v>22</v>
      </c>
      <c r="BB45" s="78" t="s">
        <v>972</v>
      </c>
      <c r="BC45" s="78" t="s">
        <v>2855</v>
      </c>
      <c r="BD45" s="78">
        <v>66</v>
      </c>
      <c r="BE45" s="78">
        <v>87</v>
      </c>
      <c r="BF45" s="78">
        <v>173</v>
      </c>
      <c r="BG45" s="78">
        <v>207</v>
      </c>
      <c r="BH45" s="78">
        <v>209</v>
      </c>
      <c r="BI45" s="78">
        <v>742</v>
      </c>
      <c r="BJ45" s="78"/>
      <c r="BK45" s="78" t="s">
        <v>2855</v>
      </c>
      <c r="BL45" s="78">
        <v>17</v>
      </c>
      <c r="BM45" s="78">
        <v>0</v>
      </c>
      <c r="BN45" s="78">
        <v>0</v>
      </c>
      <c r="BO45" s="78">
        <v>0</v>
      </c>
      <c r="BP45" s="78">
        <v>0</v>
      </c>
      <c r="BQ45" s="78">
        <v>17</v>
      </c>
      <c r="BS45" s="80" t="s">
        <v>1135</v>
      </c>
      <c r="BT45" s="80" t="s">
        <v>2856</v>
      </c>
      <c r="BU45" s="80">
        <v>63</v>
      </c>
      <c r="BV45" s="80">
        <v>30</v>
      </c>
      <c r="BW45" s="80">
        <v>65</v>
      </c>
      <c r="BX45" s="80">
        <v>105</v>
      </c>
      <c r="BY45" s="80">
        <v>106</v>
      </c>
      <c r="BZ45" s="80">
        <v>369</v>
      </c>
      <c r="CA45" s="80"/>
      <c r="CB45" s="80" t="s">
        <v>2856</v>
      </c>
      <c r="CC45" s="80">
        <v>16</v>
      </c>
      <c r="CD45" s="80">
        <v>0</v>
      </c>
      <c r="CE45" s="80">
        <v>0</v>
      </c>
      <c r="CF45" s="80">
        <v>0</v>
      </c>
      <c r="CG45" s="80">
        <v>0</v>
      </c>
      <c r="CH45" s="80">
        <v>16</v>
      </c>
      <c r="DD45" s="276" t="s">
        <v>1391</v>
      </c>
      <c r="DE45" s="276" t="s">
        <v>2840</v>
      </c>
      <c r="DF45" s="276">
        <v>186</v>
      </c>
      <c r="DG45" s="276">
        <v>245</v>
      </c>
      <c r="DH45" s="276">
        <v>368</v>
      </c>
      <c r="DI45" s="276">
        <v>470</v>
      </c>
      <c r="DJ45" s="276">
        <v>476</v>
      </c>
      <c r="DK45" s="276">
        <v>1745</v>
      </c>
      <c r="DL45" s="276"/>
      <c r="DM45" s="276" t="s">
        <v>2840</v>
      </c>
      <c r="DN45" s="276">
        <v>37</v>
      </c>
      <c r="DO45" s="276">
        <v>6</v>
      </c>
      <c r="DP45" s="276">
        <v>2</v>
      </c>
      <c r="DQ45" s="276">
        <v>1</v>
      </c>
      <c r="DR45" s="276">
        <v>2</v>
      </c>
      <c r="DS45" s="276">
        <v>48</v>
      </c>
      <c r="DT45" s="16">
        <v>38</v>
      </c>
      <c r="DU45" s="259"/>
      <c r="DV45" s="94" t="s">
        <v>1554</v>
      </c>
      <c r="DW45" s="94" t="s">
        <v>2856</v>
      </c>
      <c r="DX45" s="94">
        <v>165</v>
      </c>
      <c r="DY45" s="94">
        <v>94</v>
      </c>
      <c r="DZ45" s="94">
        <v>132</v>
      </c>
      <c r="EA45" s="94">
        <v>168</v>
      </c>
      <c r="EB45" s="94">
        <v>132</v>
      </c>
      <c r="EC45" s="94">
        <v>691</v>
      </c>
      <c r="ED45" s="94"/>
      <c r="EE45" s="94" t="s">
        <v>2856</v>
      </c>
      <c r="EF45" s="94">
        <v>24</v>
      </c>
      <c r="EG45" s="94">
        <v>0</v>
      </c>
      <c r="EH45" s="94">
        <v>0</v>
      </c>
      <c r="EI45" s="94">
        <v>0</v>
      </c>
      <c r="EJ45" s="94">
        <v>0</v>
      </c>
      <c r="EK45" s="94">
        <v>24</v>
      </c>
      <c r="EN45" s="61" t="s">
        <v>1596</v>
      </c>
      <c r="EO45" s="61" t="s">
        <v>2856</v>
      </c>
      <c r="EP45" s="61">
        <v>169</v>
      </c>
      <c r="EQ45" s="61">
        <v>250</v>
      </c>
      <c r="ER45" s="61">
        <v>290</v>
      </c>
      <c r="ES45" s="61">
        <v>467</v>
      </c>
      <c r="ET45" s="61">
        <v>522</v>
      </c>
      <c r="EU45" s="61">
        <v>1698</v>
      </c>
      <c r="EV45" s="61"/>
      <c r="EW45" s="61" t="s">
        <v>2856</v>
      </c>
      <c r="EX45" s="61">
        <v>33</v>
      </c>
      <c r="EY45" s="61">
        <v>31</v>
      </c>
      <c r="EZ45" s="61">
        <v>23</v>
      </c>
      <c r="FA45" s="61">
        <v>28</v>
      </c>
      <c r="FB45" s="61">
        <v>20</v>
      </c>
      <c r="FC45" s="61">
        <v>135</v>
      </c>
      <c r="FF45" s="80" t="s">
        <v>1933</v>
      </c>
      <c r="FG45" s="80" t="s">
        <v>2855</v>
      </c>
      <c r="FH45" s="80" t="s">
        <v>1970</v>
      </c>
      <c r="FI45" s="80" t="s">
        <v>1970</v>
      </c>
      <c r="FJ45" s="80" t="s">
        <v>1970</v>
      </c>
      <c r="FK45" s="80" t="s">
        <v>1970</v>
      </c>
      <c r="FL45" s="80" t="s">
        <v>1970</v>
      </c>
      <c r="FM45" s="80" t="s">
        <v>1970</v>
      </c>
      <c r="FN45" s="80"/>
      <c r="FO45" s="80" t="s">
        <v>2855</v>
      </c>
      <c r="FP45" s="80" t="s">
        <v>1970</v>
      </c>
      <c r="FQ45" s="80" t="s">
        <v>1970</v>
      </c>
      <c r="FR45" s="80" t="s">
        <v>1970</v>
      </c>
      <c r="FS45" s="80" t="s">
        <v>1970</v>
      </c>
      <c r="FT45" s="80" t="s">
        <v>1970</v>
      </c>
      <c r="FU45" s="80" t="s">
        <v>1970</v>
      </c>
    </row>
    <row r="46" spans="2:177" x14ac:dyDescent="0.3">
      <c r="B46" s="71" t="s">
        <v>229</v>
      </c>
      <c r="C46" s="71" t="s">
        <v>2855</v>
      </c>
      <c r="D46" s="71" t="s">
        <v>1970</v>
      </c>
      <c r="E46" s="71" t="s">
        <v>1970</v>
      </c>
      <c r="F46" s="71" t="s">
        <v>1970</v>
      </c>
      <c r="G46" s="71" t="s">
        <v>1970</v>
      </c>
      <c r="H46" s="71" t="s">
        <v>1970</v>
      </c>
      <c r="I46" s="71" t="s">
        <v>1970</v>
      </c>
      <c r="K46" s="71" t="s">
        <v>2855</v>
      </c>
      <c r="L46" s="71" t="s">
        <v>1970</v>
      </c>
      <c r="M46" s="71" t="s">
        <v>1970</v>
      </c>
      <c r="N46" s="71" t="s">
        <v>1970</v>
      </c>
      <c r="O46" s="71" t="s">
        <v>1970</v>
      </c>
      <c r="P46" s="71" t="s">
        <v>1970</v>
      </c>
      <c r="Q46" s="71" t="s">
        <v>1970</v>
      </c>
      <c r="T46" s="72" t="s">
        <v>334</v>
      </c>
      <c r="U46" s="72" t="s">
        <v>2856</v>
      </c>
      <c r="V46" s="72">
        <v>706</v>
      </c>
      <c r="W46" s="72">
        <v>519</v>
      </c>
      <c r="X46" s="72">
        <v>777</v>
      </c>
      <c r="Y46" s="72">
        <v>792</v>
      </c>
      <c r="Z46" s="72">
        <v>549</v>
      </c>
      <c r="AA46" s="72">
        <v>3343</v>
      </c>
      <c r="AB46" s="72"/>
      <c r="AC46" s="72" t="s">
        <v>2856</v>
      </c>
      <c r="AD46" s="72">
        <v>28</v>
      </c>
      <c r="AE46" s="72">
        <v>0</v>
      </c>
      <c r="AF46" s="72">
        <v>0</v>
      </c>
      <c r="AG46" s="72">
        <v>0</v>
      </c>
      <c r="AH46" s="72">
        <v>0</v>
      </c>
      <c r="AI46" s="72">
        <v>28</v>
      </c>
      <c r="AK46" s="73" t="s">
        <v>743</v>
      </c>
      <c r="AL46" s="73" t="s">
        <v>2855</v>
      </c>
      <c r="AM46" s="73">
        <v>216</v>
      </c>
      <c r="AN46" s="73">
        <v>406</v>
      </c>
      <c r="AO46" s="73">
        <v>670</v>
      </c>
      <c r="AP46" s="73">
        <v>851</v>
      </c>
      <c r="AQ46" s="73">
        <v>598</v>
      </c>
      <c r="AR46" s="73">
        <v>2741</v>
      </c>
      <c r="AS46" s="73"/>
      <c r="AT46" s="73" t="s">
        <v>2855</v>
      </c>
      <c r="AU46" s="73">
        <v>17</v>
      </c>
      <c r="AV46" s="73">
        <v>3</v>
      </c>
      <c r="AW46" s="73">
        <v>0</v>
      </c>
      <c r="AX46" s="73">
        <v>0</v>
      </c>
      <c r="AY46" s="73">
        <v>0</v>
      </c>
      <c r="AZ46" s="73">
        <v>20</v>
      </c>
      <c r="BB46" s="78" t="s">
        <v>980</v>
      </c>
      <c r="BC46" s="78" t="s">
        <v>2855</v>
      </c>
      <c r="BD46" s="78">
        <v>103</v>
      </c>
      <c r="BE46" s="78">
        <v>76</v>
      </c>
      <c r="BF46" s="78">
        <v>139</v>
      </c>
      <c r="BG46" s="78">
        <v>167</v>
      </c>
      <c r="BH46" s="78">
        <v>166</v>
      </c>
      <c r="BI46" s="78">
        <v>651</v>
      </c>
      <c r="BJ46" s="78"/>
      <c r="BK46" s="78" t="s">
        <v>2855</v>
      </c>
      <c r="BL46" s="78">
        <v>32</v>
      </c>
      <c r="BM46" s="78">
        <v>0</v>
      </c>
      <c r="BN46" s="78">
        <v>0</v>
      </c>
      <c r="BO46" s="78">
        <v>0</v>
      </c>
      <c r="BP46" s="78">
        <v>0</v>
      </c>
      <c r="BQ46" s="78">
        <v>32</v>
      </c>
      <c r="BS46" s="80" t="s">
        <v>1138</v>
      </c>
      <c r="BT46" s="80" t="s">
        <v>2856</v>
      </c>
      <c r="BU46" s="80">
        <v>182</v>
      </c>
      <c r="BV46" s="80">
        <v>112</v>
      </c>
      <c r="BW46" s="80">
        <v>157</v>
      </c>
      <c r="BX46" s="80">
        <v>234</v>
      </c>
      <c r="BY46" s="80">
        <v>194</v>
      </c>
      <c r="BZ46" s="80">
        <v>879</v>
      </c>
      <c r="CA46" s="80"/>
      <c r="CB46" s="80" t="s">
        <v>2856</v>
      </c>
      <c r="CC46" s="80">
        <v>50</v>
      </c>
      <c r="CD46" s="80">
        <v>2</v>
      </c>
      <c r="CE46" s="80">
        <v>0</v>
      </c>
      <c r="CF46" s="80">
        <v>0</v>
      </c>
      <c r="CG46" s="80">
        <v>0</v>
      </c>
      <c r="CH46" s="80">
        <v>52</v>
      </c>
      <c r="CL46" s="61" t="s">
        <v>1173</v>
      </c>
      <c r="CM46" s="61" t="s">
        <v>2856</v>
      </c>
      <c r="CN46" s="61">
        <v>147</v>
      </c>
      <c r="CO46" s="61">
        <v>63</v>
      </c>
      <c r="CP46" s="61">
        <v>149</v>
      </c>
      <c r="CQ46" s="61">
        <v>212</v>
      </c>
      <c r="CR46" s="61">
        <v>224</v>
      </c>
      <c r="CS46" s="61">
        <v>795</v>
      </c>
      <c r="CT46" s="61"/>
      <c r="CU46" s="61" t="s">
        <v>2856</v>
      </c>
      <c r="CV46" s="61">
        <v>43</v>
      </c>
      <c r="CW46" s="61">
        <v>0</v>
      </c>
      <c r="CX46" s="61">
        <v>0</v>
      </c>
      <c r="CY46" s="61">
        <v>0</v>
      </c>
      <c r="CZ46" s="61">
        <v>0</v>
      </c>
      <c r="DA46" s="61">
        <v>43</v>
      </c>
      <c r="DD46" s="276" t="s">
        <v>1398</v>
      </c>
      <c r="DE46" s="276" t="s">
        <v>2840</v>
      </c>
      <c r="DF46" s="276">
        <v>277</v>
      </c>
      <c r="DG46" s="276">
        <v>419</v>
      </c>
      <c r="DH46" s="276">
        <v>497</v>
      </c>
      <c r="DI46" s="276">
        <v>657</v>
      </c>
      <c r="DJ46" s="276">
        <v>560</v>
      </c>
      <c r="DK46" s="276">
        <v>2410</v>
      </c>
      <c r="DL46" s="276"/>
      <c r="DM46" s="276" t="s">
        <v>2840</v>
      </c>
      <c r="DN46" s="276">
        <v>36</v>
      </c>
      <c r="DO46" s="276">
        <v>9</v>
      </c>
      <c r="DP46" s="276">
        <v>0</v>
      </c>
      <c r="DQ46" s="276">
        <v>0</v>
      </c>
      <c r="DR46" s="276">
        <v>0</v>
      </c>
      <c r="DS46" s="276">
        <v>45</v>
      </c>
      <c r="DT46" s="16">
        <v>25</v>
      </c>
      <c r="DU46" s="259"/>
      <c r="DV46" s="94" t="s">
        <v>1558</v>
      </c>
      <c r="DW46" s="94" t="s">
        <v>2856</v>
      </c>
      <c r="DX46" s="94">
        <v>286</v>
      </c>
      <c r="DY46" s="94">
        <v>289</v>
      </c>
      <c r="DZ46" s="94">
        <v>329</v>
      </c>
      <c r="EA46" s="94">
        <v>371</v>
      </c>
      <c r="EB46" s="94">
        <v>249</v>
      </c>
      <c r="EC46" s="94">
        <v>1524</v>
      </c>
      <c r="ED46" s="94"/>
      <c r="EE46" s="94" t="s">
        <v>2856</v>
      </c>
      <c r="EF46" s="94">
        <v>32</v>
      </c>
      <c r="EG46" s="94">
        <v>0</v>
      </c>
      <c r="EH46" s="94">
        <v>0</v>
      </c>
      <c r="EI46" s="94">
        <v>0</v>
      </c>
      <c r="EJ46" s="94">
        <v>0</v>
      </c>
      <c r="EK46" s="94">
        <v>32</v>
      </c>
      <c r="EN46" s="61" t="s">
        <v>1601</v>
      </c>
      <c r="EO46" s="61" t="s">
        <v>2856</v>
      </c>
      <c r="EP46" s="61">
        <v>205</v>
      </c>
      <c r="EQ46" s="61">
        <v>302</v>
      </c>
      <c r="ER46" s="61">
        <v>460</v>
      </c>
      <c r="ES46" s="61">
        <v>571</v>
      </c>
      <c r="ET46" s="61">
        <v>651</v>
      </c>
      <c r="EU46" s="61">
        <v>2189</v>
      </c>
      <c r="EV46" s="61"/>
      <c r="EW46" s="61" t="s">
        <v>2856</v>
      </c>
      <c r="EX46" s="61">
        <v>53</v>
      </c>
      <c r="EY46" s="61">
        <v>28</v>
      </c>
      <c r="EZ46" s="61">
        <v>33</v>
      </c>
      <c r="FA46" s="61">
        <v>17</v>
      </c>
      <c r="FB46" s="61">
        <v>22</v>
      </c>
      <c r="FC46" s="61">
        <v>153</v>
      </c>
      <c r="FF46" s="80" t="s">
        <v>1938</v>
      </c>
      <c r="FG46" s="80" t="s">
        <v>2855</v>
      </c>
      <c r="FH46" s="80" t="s">
        <v>1970</v>
      </c>
      <c r="FI46" s="80" t="s">
        <v>1970</v>
      </c>
      <c r="FJ46" s="80" t="s">
        <v>1970</v>
      </c>
      <c r="FK46" s="80" t="s">
        <v>1970</v>
      </c>
      <c r="FL46" s="80" t="s">
        <v>1970</v>
      </c>
      <c r="FM46" s="80" t="s">
        <v>1970</v>
      </c>
      <c r="FN46" s="80"/>
      <c r="FO46" s="80" t="s">
        <v>2855</v>
      </c>
      <c r="FP46" s="80" t="s">
        <v>1970</v>
      </c>
      <c r="FQ46" s="80" t="s">
        <v>1970</v>
      </c>
      <c r="FR46" s="80" t="s">
        <v>1970</v>
      </c>
      <c r="FS46" s="80" t="s">
        <v>1970</v>
      </c>
      <c r="FT46" s="80" t="s">
        <v>1970</v>
      </c>
      <c r="FU46" s="80" t="s">
        <v>1970</v>
      </c>
    </row>
    <row r="47" spans="2:177" x14ac:dyDescent="0.3">
      <c r="B47" s="71" t="s">
        <v>245</v>
      </c>
      <c r="C47" s="71" t="s">
        <v>2855</v>
      </c>
      <c r="D47" s="71" t="s">
        <v>1970</v>
      </c>
      <c r="E47" s="71" t="s">
        <v>1970</v>
      </c>
      <c r="F47" s="71" t="s">
        <v>1970</v>
      </c>
      <c r="G47" s="71" t="s">
        <v>1970</v>
      </c>
      <c r="H47" s="71" t="s">
        <v>1970</v>
      </c>
      <c r="I47" s="71" t="s">
        <v>1970</v>
      </c>
      <c r="K47" s="71" t="s">
        <v>2855</v>
      </c>
      <c r="L47" s="71" t="s">
        <v>1970</v>
      </c>
      <c r="M47" s="71" t="s">
        <v>1970</v>
      </c>
      <c r="N47" s="71" t="s">
        <v>1970</v>
      </c>
      <c r="O47" s="71" t="s">
        <v>1970</v>
      </c>
      <c r="P47" s="71" t="s">
        <v>1970</v>
      </c>
      <c r="Q47" s="71" t="s">
        <v>1970</v>
      </c>
      <c r="T47" s="72" t="s">
        <v>340</v>
      </c>
      <c r="U47" s="72" t="s">
        <v>2856</v>
      </c>
      <c r="V47" s="72" t="s">
        <v>1970</v>
      </c>
      <c r="W47" s="72" t="s">
        <v>1970</v>
      </c>
      <c r="X47" s="72" t="s">
        <v>1970</v>
      </c>
      <c r="Y47" s="72" t="s">
        <v>1970</v>
      </c>
      <c r="Z47" s="72" t="s">
        <v>1970</v>
      </c>
      <c r="AA47" s="72" t="s">
        <v>1970</v>
      </c>
      <c r="AB47" s="72"/>
      <c r="AC47" s="72" t="s">
        <v>2856</v>
      </c>
      <c r="AD47" s="72" t="s">
        <v>1970</v>
      </c>
      <c r="AE47" s="72" t="s">
        <v>1970</v>
      </c>
      <c r="AF47" s="72" t="s">
        <v>1970</v>
      </c>
      <c r="AG47" s="72" t="s">
        <v>1970</v>
      </c>
      <c r="AH47" s="72" t="s">
        <v>1970</v>
      </c>
      <c r="AI47" s="72" t="s">
        <v>1970</v>
      </c>
      <c r="BB47" s="78" t="s">
        <v>984</v>
      </c>
      <c r="BC47" s="78" t="s">
        <v>2855</v>
      </c>
      <c r="BD47" s="78">
        <v>76</v>
      </c>
      <c r="BE47" s="78">
        <v>44</v>
      </c>
      <c r="BF47" s="78">
        <v>69</v>
      </c>
      <c r="BG47" s="78">
        <v>92</v>
      </c>
      <c r="BH47" s="78">
        <v>98</v>
      </c>
      <c r="BI47" s="78">
        <v>379</v>
      </c>
      <c r="BJ47" s="78"/>
      <c r="BK47" s="78" t="s">
        <v>2855</v>
      </c>
      <c r="BL47" s="78">
        <v>26</v>
      </c>
      <c r="BM47" s="78">
        <v>0</v>
      </c>
      <c r="BN47" s="78">
        <v>0</v>
      </c>
      <c r="BO47" s="78">
        <v>0</v>
      </c>
      <c r="BP47" s="78">
        <v>0</v>
      </c>
      <c r="BQ47" s="78">
        <v>26</v>
      </c>
      <c r="BS47" s="80" t="s">
        <v>1142</v>
      </c>
      <c r="BT47" s="80" t="s">
        <v>2856</v>
      </c>
      <c r="BU47" s="80">
        <v>143</v>
      </c>
      <c r="BV47" s="80">
        <v>86</v>
      </c>
      <c r="BW47" s="80">
        <v>162</v>
      </c>
      <c r="BX47" s="80">
        <v>213</v>
      </c>
      <c r="BY47" s="80">
        <v>181</v>
      </c>
      <c r="BZ47" s="80">
        <v>785</v>
      </c>
      <c r="CA47" s="80"/>
      <c r="CB47" s="80" t="s">
        <v>2856</v>
      </c>
      <c r="CC47" s="80">
        <v>27</v>
      </c>
      <c r="CD47" s="80">
        <v>1</v>
      </c>
      <c r="CE47" s="80">
        <v>0</v>
      </c>
      <c r="CF47" s="80">
        <v>0</v>
      </c>
      <c r="CG47" s="80">
        <v>0</v>
      </c>
      <c r="CH47" s="80">
        <v>28</v>
      </c>
      <c r="CL47" s="61" t="s">
        <v>1177</v>
      </c>
      <c r="CM47" s="61" t="s">
        <v>2856</v>
      </c>
      <c r="CN47" s="61">
        <v>154</v>
      </c>
      <c r="CO47" s="61">
        <v>80</v>
      </c>
      <c r="CP47" s="61">
        <v>156</v>
      </c>
      <c r="CQ47" s="61">
        <v>295</v>
      </c>
      <c r="CR47" s="61">
        <v>302</v>
      </c>
      <c r="CS47" s="61">
        <v>987</v>
      </c>
      <c r="CT47" s="61"/>
      <c r="CU47" s="61" t="s">
        <v>2856</v>
      </c>
      <c r="CV47" s="61">
        <v>44</v>
      </c>
      <c r="CW47" s="61">
        <v>0</v>
      </c>
      <c r="CX47" s="61">
        <v>0</v>
      </c>
      <c r="CY47" s="61">
        <v>0</v>
      </c>
      <c r="CZ47" s="61">
        <v>0</v>
      </c>
      <c r="DA47" s="61">
        <v>44</v>
      </c>
      <c r="DD47" s="276" t="s">
        <v>1402</v>
      </c>
      <c r="DE47" s="276" t="s">
        <v>2840</v>
      </c>
      <c r="DF47" s="276">
        <v>116</v>
      </c>
      <c r="DG47" s="276">
        <v>166</v>
      </c>
      <c r="DH47" s="276">
        <v>275</v>
      </c>
      <c r="DI47" s="276">
        <v>404</v>
      </c>
      <c r="DJ47" s="276">
        <v>330</v>
      </c>
      <c r="DK47" s="276">
        <v>1291</v>
      </c>
      <c r="DL47" s="276"/>
      <c r="DM47" s="276" t="s">
        <v>2840</v>
      </c>
      <c r="DN47" s="276">
        <v>21</v>
      </c>
      <c r="DO47" s="276">
        <v>5</v>
      </c>
      <c r="DP47" s="276">
        <v>2</v>
      </c>
      <c r="DQ47" s="276">
        <v>0</v>
      </c>
      <c r="DR47" s="276">
        <v>0</v>
      </c>
      <c r="DS47" s="276">
        <v>28</v>
      </c>
      <c r="DT47" s="16">
        <v>25</v>
      </c>
      <c r="DU47" s="259"/>
      <c r="DV47" s="94" t="s">
        <v>1562</v>
      </c>
      <c r="DW47" s="94" t="s">
        <v>2856</v>
      </c>
      <c r="DX47" s="94">
        <v>137</v>
      </c>
      <c r="DY47" s="94">
        <v>119</v>
      </c>
      <c r="DZ47" s="94">
        <v>209</v>
      </c>
      <c r="EA47" s="94">
        <v>277</v>
      </c>
      <c r="EB47" s="94">
        <v>231</v>
      </c>
      <c r="EC47" s="94">
        <v>973</v>
      </c>
      <c r="ED47" s="94"/>
      <c r="EE47" s="94" t="s">
        <v>2856</v>
      </c>
      <c r="EF47" s="94">
        <v>20</v>
      </c>
      <c r="EG47" s="94">
        <v>0</v>
      </c>
      <c r="EH47" s="94">
        <v>0</v>
      </c>
      <c r="EI47" s="94">
        <v>0</v>
      </c>
      <c r="EJ47" s="94">
        <v>0</v>
      </c>
      <c r="EK47" s="94">
        <v>20</v>
      </c>
      <c r="EN47" s="61" t="s">
        <v>1605</v>
      </c>
      <c r="EO47" s="61" t="s">
        <v>2856</v>
      </c>
      <c r="EP47" s="61">
        <v>543</v>
      </c>
      <c r="EQ47" s="61">
        <v>779</v>
      </c>
      <c r="ER47" s="61">
        <v>952</v>
      </c>
      <c r="ES47" s="61">
        <v>1109</v>
      </c>
      <c r="ET47" s="61">
        <v>1104</v>
      </c>
      <c r="EU47" s="61">
        <v>4487</v>
      </c>
      <c r="EV47" s="61"/>
      <c r="EW47" s="61" t="s">
        <v>2856</v>
      </c>
      <c r="EX47" s="61">
        <v>75</v>
      </c>
      <c r="EY47" s="61">
        <v>55</v>
      </c>
      <c r="EZ47" s="61">
        <v>37</v>
      </c>
      <c r="FA47" s="61">
        <v>30</v>
      </c>
      <c r="FB47" s="61">
        <v>32</v>
      </c>
      <c r="FC47" s="61">
        <v>229</v>
      </c>
    </row>
    <row r="48" spans="2:177" x14ac:dyDescent="0.3">
      <c r="B48" s="71" t="s">
        <v>250</v>
      </c>
      <c r="C48" s="71" t="s">
        <v>2855</v>
      </c>
      <c r="D48" s="71" t="s">
        <v>1970</v>
      </c>
      <c r="E48" s="71" t="s">
        <v>1970</v>
      </c>
      <c r="F48" s="71" t="s">
        <v>1970</v>
      </c>
      <c r="G48" s="71" t="s">
        <v>1970</v>
      </c>
      <c r="H48" s="71" t="s">
        <v>1970</v>
      </c>
      <c r="I48" s="71" t="s">
        <v>1970</v>
      </c>
      <c r="K48" s="71" t="s">
        <v>2855</v>
      </c>
      <c r="L48" s="71" t="s">
        <v>1970</v>
      </c>
      <c r="M48" s="71" t="s">
        <v>1970</v>
      </c>
      <c r="N48" s="71" t="s">
        <v>1970</v>
      </c>
      <c r="O48" s="71" t="s">
        <v>1970</v>
      </c>
      <c r="P48" s="71" t="s">
        <v>1970</v>
      </c>
      <c r="Q48" s="71" t="s">
        <v>1970</v>
      </c>
      <c r="T48" s="72" t="s">
        <v>346</v>
      </c>
      <c r="U48" s="72" t="s">
        <v>2856</v>
      </c>
      <c r="V48" s="72" t="s">
        <v>1970</v>
      </c>
      <c r="W48" s="72" t="s">
        <v>1970</v>
      </c>
      <c r="X48" s="72" t="s">
        <v>1970</v>
      </c>
      <c r="Y48" s="72" t="s">
        <v>1970</v>
      </c>
      <c r="Z48" s="72" t="s">
        <v>1970</v>
      </c>
      <c r="AA48" s="72" t="s">
        <v>1970</v>
      </c>
      <c r="AB48" s="72"/>
      <c r="AC48" s="72" t="s">
        <v>2856</v>
      </c>
      <c r="AD48" s="72" t="s">
        <v>1970</v>
      </c>
      <c r="AE48" s="72" t="s">
        <v>1970</v>
      </c>
      <c r="AF48" s="72" t="s">
        <v>1970</v>
      </c>
      <c r="AG48" s="72" t="s">
        <v>1970</v>
      </c>
      <c r="AH48" s="72" t="s">
        <v>1970</v>
      </c>
      <c r="AI48" s="72" t="s">
        <v>1970</v>
      </c>
      <c r="AK48" s="73" t="s">
        <v>440</v>
      </c>
      <c r="AL48" s="73" t="s">
        <v>2855</v>
      </c>
      <c r="AM48" s="73">
        <v>409</v>
      </c>
      <c r="AN48" s="73">
        <v>435</v>
      </c>
      <c r="AO48" s="73">
        <v>447</v>
      </c>
      <c r="AP48" s="73">
        <v>481</v>
      </c>
      <c r="AQ48" s="73">
        <v>505</v>
      </c>
      <c r="AR48" s="73">
        <v>2277</v>
      </c>
      <c r="AS48" s="73"/>
      <c r="AT48" s="73" t="s">
        <v>2855</v>
      </c>
      <c r="AU48" s="73">
        <v>57</v>
      </c>
      <c r="AV48" s="73">
        <v>21</v>
      </c>
      <c r="AW48" s="73">
        <v>9</v>
      </c>
      <c r="AX48" s="73">
        <v>11</v>
      </c>
      <c r="AY48" s="73">
        <v>25</v>
      </c>
      <c r="AZ48" s="73">
        <v>123</v>
      </c>
      <c r="BB48" s="78" t="s">
        <v>988</v>
      </c>
      <c r="BC48" s="78" t="s">
        <v>2855</v>
      </c>
      <c r="BD48" s="78">
        <v>111</v>
      </c>
      <c r="BE48" s="78">
        <v>63</v>
      </c>
      <c r="BF48" s="78">
        <v>126</v>
      </c>
      <c r="BG48" s="78">
        <v>224</v>
      </c>
      <c r="BH48" s="78">
        <v>192</v>
      </c>
      <c r="BI48" s="78">
        <v>716</v>
      </c>
      <c r="BJ48" s="78"/>
      <c r="BK48" s="78" t="s">
        <v>2855</v>
      </c>
      <c r="BL48" s="78">
        <v>29</v>
      </c>
      <c r="BM48" s="78">
        <v>0</v>
      </c>
      <c r="BN48" s="78">
        <v>0</v>
      </c>
      <c r="BO48" s="78">
        <v>0</v>
      </c>
      <c r="BP48" s="78">
        <v>0</v>
      </c>
      <c r="BQ48" s="78">
        <v>29</v>
      </c>
      <c r="BS48" s="80" t="s">
        <v>1146</v>
      </c>
      <c r="BT48" s="80" t="s">
        <v>2856</v>
      </c>
      <c r="BU48" s="80">
        <v>88</v>
      </c>
      <c r="BV48" s="80">
        <v>66</v>
      </c>
      <c r="BW48" s="80">
        <v>169</v>
      </c>
      <c r="BX48" s="80">
        <v>238</v>
      </c>
      <c r="BY48" s="80">
        <v>204</v>
      </c>
      <c r="BZ48" s="80">
        <v>765</v>
      </c>
      <c r="CA48" s="80"/>
      <c r="CB48" s="80" t="s">
        <v>2856</v>
      </c>
      <c r="CC48" s="80">
        <v>23</v>
      </c>
      <c r="CD48" s="80">
        <v>0</v>
      </c>
      <c r="CE48" s="80">
        <v>0</v>
      </c>
      <c r="CF48" s="80">
        <v>0</v>
      </c>
      <c r="CG48" s="80">
        <v>0</v>
      </c>
      <c r="CH48" s="80">
        <v>23</v>
      </c>
      <c r="CL48" s="61" t="s">
        <v>1181</v>
      </c>
      <c r="CM48" s="61" t="s">
        <v>2856</v>
      </c>
      <c r="CN48" s="61">
        <v>37</v>
      </c>
      <c r="CO48" s="61">
        <v>45</v>
      </c>
      <c r="CP48" s="61">
        <v>93</v>
      </c>
      <c r="CQ48" s="61">
        <v>136</v>
      </c>
      <c r="CR48" s="61">
        <v>174</v>
      </c>
      <c r="CS48" s="61">
        <v>485</v>
      </c>
      <c r="CT48" s="61"/>
      <c r="CU48" s="61" t="s">
        <v>2856</v>
      </c>
      <c r="CV48" s="61">
        <v>7</v>
      </c>
      <c r="CW48" s="61">
        <v>0</v>
      </c>
      <c r="CX48" s="61">
        <v>0</v>
      </c>
      <c r="CY48" s="61">
        <v>0</v>
      </c>
      <c r="CZ48" s="61">
        <v>0</v>
      </c>
      <c r="DA48" s="61">
        <v>7</v>
      </c>
      <c r="DD48" s="276" t="s">
        <v>1410</v>
      </c>
      <c r="DE48" s="276" t="s">
        <v>2840</v>
      </c>
      <c r="DF48" s="276" t="s">
        <v>1970</v>
      </c>
      <c r="DG48" s="276" t="s">
        <v>1970</v>
      </c>
      <c r="DH48" s="276" t="s">
        <v>1970</v>
      </c>
      <c r="DI48" s="276" t="s">
        <v>1970</v>
      </c>
      <c r="DJ48" s="276" t="s">
        <v>1970</v>
      </c>
      <c r="DK48" s="276" t="s">
        <v>1970</v>
      </c>
      <c r="DL48" s="276"/>
      <c r="DM48" s="276" t="s">
        <v>2840</v>
      </c>
      <c r="DN48" s="276" t="s">
        <v>1970</v>
      </c>
      <c r="DO48" s="276" t="s">
        <v>1970</v>
      </c>
      <c r="DP48" s="276" t="s">
        <v>1970</v>
      </c>
      <c r="DQ48" s="276" t="s">
        <v>1970</v>
      </c>
      <c r="DR48" s="276" t="s">
        <v>1970</v>
      </c>
      <c r="DS48" s="276" t="s">
        <v>1970</v>
      </c>
      <c r="DT48" s="16">
        <v>19</v>
      </c>
      <c r="DU48" s="259" t="s">
        <v>2976</v>
      </c>
      <c r="DV48" s="94" t="s">
        <v>1510</v>
      </c>
      <c r="DW48" s="94" t="s">
        <v>2856</v>
      </c>
      <c r="DX48" s="94">
        <v>2837</v>
      </c>
      <c r="DY48" s="94">
        <v>1171</v>
      </c>
      <c r="DZ48" s="94">
        <v>1044</v>
      </c>
      <c r="EA48" s="94">
        <v>1022</v>
      </c>
      <c r="EB48" s="94">
        <v>1266</v>
      </c>
      <c r="EC48" s="94">
        <v>7340</v>
      </c>
      <c r="ED48" s="94"/>
      <c r="EE48" s="94" t="s">
        <v>2856</v>
      </c>
      <c r="EF48" s="94">
        <v>351</v>
      </c>
      <c r="EG48" s="94">
        <v>0</v>
      </c>
      <c r="EH48" s="94">
        <v>0</v>
      </c>
      <c r="EI48" s="94">
        <v>0</v>
      </c>
      <c r="EJ48" s="94">
        <v>0</v>
      </c>
      <c r="EK48" s="94">
        <v>351</v>
      </c>
      <c r="EN48" s="61" t="s">
        <v>1609</v>
      </c>
      <c r="EO48" s="61" t="s">
        <v>2856</v>
      </c>
      <c r="EP48" s="61" t="s">
        <v>1970</v>
      </c>
      <c r="EQ48" s="61" t="s">
        <v>1970</v>
      </c>
      <c r="ER48" s="61" t="s">
        <v>1970</v>
      </c>
      <c r="ES48" s="61" t="s">
        <v>1970</v>
      </c>
      <c r="ET48" s="61" t="s">
        <v>1970</v>
      </c>
      <c r="EU48" s="61" t="s">
        <v>1970</v>
      </c>
      <c r="EV48" s="61"/>
      <c r="EW48" s="61" t="s">
        <v>2856</v>
      </c>
      <c r="EX48" s="61" t="s">
        <v>1970</v>
      </c>
      <c r="EY48" s="61" t="s">
        <v>1970</v>
      </c>
      <c r="EZ48" s="61" t="s">
        <v>1970</v>
      </c>
      <c r="FA48" s="61" t="s">
        <v>1970</v>
      </c>
      <c r="FB48" s="61" t="s">
        <v>1970</v>
      </c>
      <c r="FC48" s="61" t="s">
        <v>1970</v>
      </c>
      <c r="FF48" s="80" t="s">
        <v>1714</v>
      </c>
      <c r="FG48" s="80" t="s">
        <v>2856</v>
      </c>
      <c r="FH48" s="80">
        <v>1982</v>
      </c>
      <c r="FI48" s="80">
        <v>1159</v>
      </c>
      <c r="FJ48" s="80">
        <v>928</v>
      </c>
      <c r="FK48" s="80">
        <v>864</v>
      </c>
      <c r="FL48" s="80">
        <v>947</v>
      </c>
      <c r="FM48" s="80">
        <v>5880</v>
      </c>
      <c r="FN48" s="80"/>
      <c r="FO48" s="80" t="s">
        <v>2856</v>
      </c>
      <c r="FP48" s="80">
        <v>450</v>
      </c>
      <c r="FQ48" s="80">
        <v>0</v>
      </c>
      <c r="FR48" s="80">
        <v>0</v>
      </c>
      <c r="FS48" s="80">
        <v>0</v>
      </c>
      <c r="FT48" s="80">
        <v>0</v>
      </c>
      <c r="FU48" s="80">
        <v>450</v>
      </c>
    </row>
    <row r="49" spans="2:177" x14ac:dyDescent="0.3">
      <c r="B49" s="71" t="s">
        <v>255</v>
      </c>
      <c r="C49" s="71" t="s">
        <v>2855</v>
      </c>
      <c r="D49" s="71" t="s">
        <v>1970</v>
      </c>
      <c r="E49" s="71" t="s">
        <v>1970</v>
      </c>
      <c r="F49" s="71" t="s">
        <v>1970</v>
      </c>
      <c r="G49" s="71" t="s">
        <v>1970</v>
      </c>
      <c r="H49" s="71" t="s">
        <v>1970</v>
      </c>
      <c r="I49" s="71" t="s">
        <v>1970</v>
      </c>
      <c r="K49" s="71" t="s">
        <v>2855</v>
      </c>
      <c r="L49" s="71" t="s">
        <v>1970</v>
      </c>
      <c r="M49" s="71" t="s">
        <v>1970</v>
      </c>
      <c r="N49" s="71" t="s">
        <v>1970</v>
      </c>
      <c r="O49" s="71" t="s">
        <v>1970</v>
      </c>
      <c r="P49" s="71" t="s">
        <v>1970</v>
      </c>
      <c r="Q49" s="71" t="s">
        <v>1970</v>
      </c>
      <c r="T49" s="72" t="s">
        <v>350</v>
      </c>
      <c r="U49" s="72" t="s">
        <v>2856</v>
      </c>
      <c r="V49" s="72" t="s">
        <v>1970</v>
      </c>
      <c r="W49" s="72" t="s">
        <v>1970</v>
      </c>
      <c r="X49" s="72" t="s">
        <v>1970</v>
      </c>
      <c r="Y49" s="72" t="s">
        <v>1970</v>
      </c>
      <c r="Z49" s="72" t="s">
        <v>1970</v>
      </c>
      <c r="AA49" s="72" t="s">
        <v>1970</v>
      </c>
      <c r="AB49" s="72"/>
      <c r="AC49" s="72" t="s">
        <v>2856</v>
      </c>
      <c r="AD49" s="72" t="s">
        <v>1970</v>
      </c>
      <c r="AE49" s="72" t="s">
        <v>1970</v>
      </c>
      <c r="AF49" s="72" t="s">
        <v>1970</v>
      </c>
      <c r="AG49" s="72" t="s">
        <v>1970</v>
      </c>
      <c r="AH49" s="72" t="s">
        <v>1970</v>
      </c>
      <c r="AI49" s="72" t="s">
        <v>1970</v>
      </c>
      <c r="AK49" s="73" t="s">
        <v>444</v>
      </c>
      <c r="AL49" s="73" t="s">
        <v>2855</v>
      </c>
      <c r="AM49" s="73">
        <v>866</v>
      </c>
      <c r="AN49" s="73">
        <v>942</v>
      </c>
      <c r="AO49" s="73">
        <v>717</v>
      </c>
      <c r="AP49" s="73">
        <v>684</v>
      </c>
      <c r="AQ49" s="73">
        <v>785</v>
      </c>
      <c r="AR49" s="73">
        <v>3994</v>
      </c>
      <c r="AS49" s="73"/>
      <c r="AT49" s="73" t="s">
        <v>2855</v>
      </c>
      <c r="AU49" s="73">
        <v>68</v>
      </c>
      <c r="AV49" s="73">
        <v>22</v>
      </c>
      <c r="AW49" s="73">
        <v>3</v>
      </c>
      <c r="AX49" s="73">
        <v>5</v>
      </c>
      <c r="AY49" s="73">
        <v>8</v>
      </c>
      <c r="AZ49" s="73">
        <v>106</v>
      </c>
      <c r="BB49" s="78" t="s">
        <v>1001</v>
      </c>
      <c r="BC49" s="78" t="s">
        <v>2855</v>
      </c>
      <c r="BD49" s="78">
        <v>474</v>
      </c>
      <c r="BE49" s="78">
        <v>483</v>
      </c>
      <c r="BF49" s="78">
        <v>998</v>
      </c>
      <c r="BG49" s="78">
        <v>1505</v>
      </c>
      <c r="BH49" s="78">
        <v>1343</v>
      </c>
      <c r="BI49" s="78">
        <v>4803</v>
      </c>
      <c r="BJ49" s="78"/>
      <c r="BK49" s="78" t="s">
        <v>2855</v>
      </c>
      <c r="BL49" s="78">
        <v>83</v>
      </c>
      <c r="BM49" s="78">
        <v>0</v>
      </c>
      <c r="BN49" s="78">
        <v>0</v>
      </c>
      <c r="BO49" s="78">
        <v>0</v>
      </c>
      <c r="BP49" s="78">
        <v>0</v>
      </c>
      <c r="BQ49" s="78">
        <v>83</v>
      </c>
      <c r="BS49" s="80" t="s">
        <v>1150</v>
      </c>
      <c r="BT49" s="80" t="s">
        <v>2856</v>
      </c>
      <c r="BU49" s="80">
        <v>48</v>
      </c>
      <c r="BV49" s="80">
        <v>47</v>
      </c>
      <c r="BW49" s="80">
        <v>127</v>
      </c>
      <c r="BX49" s="80">
        <v>203</v>
      </c>
      <c r="BY49" s="80">
        <v>217</v>
      </c>
      <c r="BZ49" s="80">
        <v>642</v>
      </c>
      <c r="CA49" s="80"/>
      <c r="CB49" s="80" t="s">
        <v>2856</v>
      </c>
      <c r="CC49" s="80">
        <v>13</v>
      </c>
      <c r="CD49" s="80">
        <v>0</v>
      </c>
      <c r="CE49" s="80">
        <v>0</v>
      </c>
      <c r="CF49" s="80">
        <v>0</v>
      </c>
      <c r="CG49" s="80">
        <v>0</v>
      </c>
      <c r="CH49" s="80">
        <v>13</v>
      </c>
      <c r="CL49" s="61" t="s">
        <v>1186</v>
      </c>
      <c r="CM49" s="61" t="s">
        <v>2856</v>
      </c>
      <c r="CN49" s="61">
        <v>119</v>
      </c>
      <c r="CO49" s="61">
        <v>78</v>
      </c>
      <c r="CP49" s="61">
        <v>155</v>
      </c>
      <c r="CQ49" s="61">
        <v>259</v>
      </c>
      <c r="CR49" s="61">
        <v>280</v>
      </c>
      <c r="CS49" s="61">
        <v>891</v>
      </c>
      <c r="CT49" s="61"/>
      <c r="CU49" s="61" t="s">
        <v>2856</v>
      </c>
      <c r="CV49" s="61">
        <v>21</v>
      </c>
      <c r="CW49" s="61">
        <v>0</v>
      </c>
      <c r="CX49" s="61">
        <v>0</v>
      </c>
      <c r="CY49" s="61">
        <v>0</v>
      </c>
      <c r="CZ49" s="61">
        <v>0</v>
      </c>
      <c r="DA49" s="61">
        <v>21</v>
      </c>
      <c r="DD49" s="276" t="s">
        <v>1414</v>
      </c>
      <c r="DE49" s="276" t="s">
        <v>2840</v>
      </c>
      <c r="DF49" s="276" t="s">
        <v>1970</v>
      </c>
      <c r="DG49" s="276" t="s">
        <v>1970</v>
      </c>
      <c r="DH49" s="276" t="s">
        <v>1970</v>
      </c>
      <c r="DI49" s="276" t="s">
        <v>1970</v>
      </c>
      <c r="DJ49" s="276" t="s">
        <v>1970</v>
      </c>
      <c r="DK49" s="276" t="s">
        <v>1970</v>
      </c>
      <c r="DL49" s="276"/>
      <c r="DM49" s="276" t="s">
        <v>2840</v>
      </c>
      <c r="DN49" s="276" t="s">
        <v>1970</v>
      </c>
      <c r="DO49" s="276" t="s">
        <v>1970</v>
      </c>
      <c r="DP49" s="276" t="s">
        <v>1970</v>
      </c>
      <c r="DQ49" s="276" t="s">
        <v>1970</v>
      </c>
      <c r="DR49" s="276" t="s">
        <v>1970</v>
      </c>
      <c r="DS49" s="276" t="s">
        <v>1970</v>
      </c>
      <c r="DT49" s="16">
        <v>19</v>
      </c>
      <c r="DU49" s="259" t="s">
        <v>2976</v>
      </c>
      <c r="EN49" s="61" t="s">
        <v>1613</v>
      </c>
      <c r="EO49" s="61" t="s">
        <v>2856</v>
      </c>
      <c r="EP49" s="61">
        <v>176</v>
      </c>
      <c r="EQ49" s="61">
        <v>265</v>
      </c>
      <c r="ER49" s="61">
        <v>359</v>
      </c>
      <c r="ES49" s="61">
        <v>394</v>
      </c>
      <c r="ET49" s="61">
        <v>524</v>
      </c>
      <c r="EU49" s="61">
        <v>1718</v>
      </c>
      <c r="EV49" s="61"/>
      <c r="EW49" s="61" t="s">
        <v>2856</v>
      </c>
      <c r="EX49" s="61">
        <v>50</v>
      </c>
      <c r="EY49" s="61">
        <v>29</v>
      </c>
      <c r="EZ49" s="61">
        <v>29</v>
      </c>
      <c r="FA49" s="61">
        <v>14</v>
      </c>
      <c r="FB49" s="61">
        <v>18</v>
      </c>
      <c r="FC49" s="61">
        <v>140</v>
      </c>
      <c r="FF49" s="80" t="s">
        <v>1718</v>
      </c>
      <c r="FG49" s="80" t="s">
        <v>2856</v>
      </c>
      <c r="FH49" s="80">
        <v>167</v>
      </c>
      <c r="FI49" s="80">
        <v>238</v>
      </c>
      <c r="FJ49" s="80">
        <v>349</v>
      </c>
      <c r="FK49" s="80">
        <v>421</v>
      </c>
      <c r="FL49" s="80">
        <v>507</v>
      </c>
      <c r="FM49" s="80">
        <v>1682</v>
      </c>
      <c r="FN49" s="80"/>
      <c r="FO49" s="80" t="s">
        <v>2856</v>
      </c>
      <c r="FP49" s="80">
        <v>13</v>
      </c>
      <c r="FQ49" s="80">
        <v>4</v>
      </c>
      <c r="FR49" s="80">
        <v>4</v>
      </c>
      <c r="FS49" s="80">
        <v>5</v>
      </c>
      <c r="FT49" s="80">
        <v>4</v>
      </c>
      <c r="FU49" s="80">
        <v>30</v>
      </c>
    </row>
    <row r="50" spans="2:177" x14ac:dyDescent="0.3">
      <c r="B50" s="71" t="s">
        <v>260</v>
      </c>
      <c r="C50" s="71" t="s">
        <v>2855</v>
      </c>
      <c r="D50" s="71" t="s">
        <v>1970</v>
      </c>
      <c r="E50" s="71" t="s">
        <v>1970</v>
      </c>
      <c r="F50" s="71" t="s">
        <v>1970</v>
      </c>
      <c r="G50" s="71" t="s">
        <v>1970</v>
      </c>
      <c r="H50" s="71" t="s">
        <v>1970</v>
      </c>
      <c r="I50" s="71" t="s">
        <v>1970</v>
      </c>
      <c r="K50" s="71" t="s">
        <v>2855</v>
      </c>
      <c r="L50" s="71" t="s">
        <v>1970</v>
      </c>
      <c r="M50" s="71" t="s">
        <v>1970</v>
      </c>
      <c r="N50" s="71" t="s">
        <v>1970</v>
      </c>
      <c r="O50" s="71" t="s">
        <v>1970</v>
      </c>
      <c r="P50" s="71" t="s">
        <v>1970</v>
      </c>
      <c r="Q50" s="71" t="s">
        <v>1970</v>
      </c>
      <c r="T50" s="72" t="s">
        <v>358</v>
      </c>
      <c r="U50" s="72" t="s">
        <v>2856</v>
      </c>
      <c r="V50" s="72">
        <v>267</v>
      </c>
      <c r="W50" s="72">
        <v>179</v>
      </c>
      <c r="X50" s="72">
        <v>331</v>
      </c>
      <c r="Y50" s="72">
        <v>505</v>
      </c>
      <c r="Z50" s="72">
        <v>410</v>
      </c>
      <c r="AA50" s="72">
        <v>1692</v>
      </c>
      <c r="AB50" s="72"/>
      <c r="AC50" s="72" t="s">
        <v>2856</v>
      </c>
      <c r="AD50" s="72">
        <v>26</v>
      </c>
      <c r="AE50" s="72">
        <v>0</v>
      </c>
      <c r="AF50" s="72">
        <v>0</v>
      </c>
      <c r="AG50" s="72">
        <v>0</v>
      </c>
      <c r="AH50" s="72">
        <v>0</v>
      </c>
      <c r="AI50" s="72">
        <v>26</v>
      </c>
      <c r="AK50" s="73" t="s">
        <v>448</v>
      </c>
      <c r="AL50" s="73" t="s">
        <v>2855</v>
      </c>
      <c r="AM50" s="73">
        <v>744</v>
      </c>
      <c r="AN50" s="73">
        <v>1033</v>
      </c>
      <c r="AO50" s="73">
        <v>740</v>
      </c>
      <c r="AP50" s="73">
        <v>742</v>
      </c>
      <c r="AQ50" s="73">
        <v>864</v>
      </c>
      <c r="AR50" s="73">
        <v>4123</v>
      </c>
      <c r="AS50" s="73"/>
      <c r="AT50" s="73" t="s">
        <v>2855</v>
      </c>
      <c r="AU50" s="73">
        <v>53</v>
      </c>
      <c r="AV50" s="73">
        <v>12</v>
      </c>
      <c r="AW50" s="73">
        <v>5</v>
      </c>
      <c r="AX50" s="73">
        <v>8</v>
      </c>
      <c r="AY50" s="73">
        <v>18</v>
      </c>
      <c r="AZ50" s="73">
        <v>96</v>
      </c>
      <c r="BB50" s="78" t="s">
        <v>1006</v>
      </c>
      <c r="BC50" s="78" t="s">
        <v>2855</v>
      </c>
      <c r="BD50" s="78">
        <v>86</v>
      </c>
      <c r="BE50" s="78">
        <v>81</v>
      </c>
      <c r="BF50" s="78">
        <v>169</v>
      </c>
      <c r="BG50" s="78">
        <v>256</v>
      </c>
      <c r="BH50" s="78">
        <v>279</v>
      </c>
      <c r="BI50" s="78">
        <v>871</v>
      </c>
      <c r="BJ50" s="78"/>
      <c r="BK50" s="78" t="s">
        <v>2855</v>
      </c>
      <c r="BL50" s="78">
        <v>24</v>
      </c>
      <c r="BM50" s="78">
        <v>0</v>
      </c>
      <c r="BN50" s="78">
        <v>0</v>
      </c>
      <c r="BO50" s="78">
        <v>0</v>
      </c>
      <c r="BP50" s="78">
        <v>0</v>
      </c>
      <c r="BQ50" s="78">
        <v>24</v>
      </c>
      <c r="BS50" s="80" t="s">
        <v>1155</v>
      </c>
      <c r="BT50" s="80" t="s">
        <v>2856</v>
      </c>
      <c r="BU50" s="80">
        <v>50</v>
      </c>
      <c r="BV50" s="80">
        <v>66</v>
      </c>
      <c r="BW50" s="80">
        <v>122</v>
      </c>
      <c r="BX50" s="80">
        <v>184</v>
      </c>
      <c r="BY50" s="80">
        <v>183</v>
      </c>
      <c r="BZ50" s="80">
        <v>605</v>
      </c>
      <c r="CA50" s="80"/>
      <c r="CB50" s="80" t="s">
        <v>2856</v>
      </c>
      <c r="CC50" s="80">
        <v>12</v>
      </c>
      <c r="CD50" s="80">
        <v>0</v>
      </c>
      <c r="CE50" s="80">
        <v>0</v>
      </c>
      <c r="CF50" s="80">
        <v>0</v>
      </c>
      <c r="CG50" s="80">
        <v>0</v>
      </c>
      <c r="CH50" s="80">
        <v>12</v>
      </c>
      <c r="CL50" s="61" t="s">
        <v>1190</v>
      </c>
      <c r="CM50" s="61" t="s">
        <v>2856</v>
      </c>
      <c r="CN50" s="61">
        <v>1643</v>
      </c>
      <c r="CO50" s="61">
        <v>661</v>
      </c>
      <c r="CP50" s="61">
        <v>795</v>
      </c>
      <c r="CQ50" s="61">
        <v>945</v>
      </c>
      <c r="CR50" s="61">
        <v>859</v>
      </c>
      <c r="CS50" s="61">
        <v>4903</v>
      </c>
      <c r="CT50" s="61"/>
      <c r="CU50" s="61" t="s">
        <v>2856</v>
      </c>
      <c r="CV50" s="61">
        <v>314</v>
      </c>
      <c r="CW50" s="61">
        <v>0</v>
      </c>
      <c r="CX50" s="61">
        <v>0</v>
      </c>
      <c r="CY50" s="61">
        <v>0</v>
      </c>
      <c r="CZ50" s="61">
        <v>0</v>
      </c>
      <c r="DA50" s="61">
        <v>314</v>
      </c>
      <c r="DD50" s="276" t="s">
        <v>1418</v>
      </c>
      <c r="DE50" s="276" t="s">
        <v>2840</v>
      </c>
      <c r="DF50" s="276" t="s">
        <v>1970</v>
      </c>
      <c r="DG50" s="276" t="s">
        <v>1970</v>
      </c>
      <c r="DH50" s="276" t="s">
        <v>1970</v>
      </c>
      <c r="DI50" s="276" t="s">
        <v>1970</v>
      </c>
      <c r="DJ50" s="276" t="s">
        <v>1970</v>
      </c>
      <c r="DK50" s="276" t="s">
        <v>1970</v>
      </c>
      <c r="DL50" s="276"/>
      <c r="DM50" s="276" t="s">
        <v>2840</v>
      </c>
      <c r="DN50" s="276" t="s">
        <v>1970</v>
      </c>
      <c r="DO50" s="276" t="s">
        <v>1970</v>
      </c>
      <c r="DP50" s="276" t="s">
        <v>1970</v>
      </c>
      <c r="DQ50" s="276" t="s">
        <v>1970</v>
      </c>
      <c r="DR50" s="276" t="s">
        <v>1970</v>
      </c>
      <c r="DS50" s="276" t="s">
        <v>1970</v>
      </c>
      <c r="DT50" s="16">
        <v>20</v>
      </c>
      <c r="DU50" s="259" t="s">
        <v>2976</v>
      </c>
      <c r="DV50" s="94" t="s">
        <v>1458</v>
      </c>
      <c r="DW50" s="94" t="s">
        <v>1968</v>
      </c>
      <c r="DX50" s="94">
        <v>619</v>
      </c>
      <c r="DY50" s="94">
        <v>517</v>
      </c>
      <c r="DZ50" s="94">
        <v>565</v>
      </c>
      <c r="EA50" s="94">
        <v>618</v>
      </c>
      <c r="EB50" s="94">
        <v>471</v>
      </c>
      <c r="EC50" s="94">
        <v>2790</v>
      </c>
      <c r="ED50" s="94"/>
      <c r="EE50" s="94" t="s">
        <v>1968</v>
      </c>
      <c r="EF50" s="94">
        <v>58</v>
      </c>
      <c r="EG50" s="94">
        <v>3</v>
      </c>
      <c r="EH50" s="94">
        <v>0</v>
      </c>
      <c r="EI50" s="94">
        <v>0</v>
      </c>
      <c r="EJ50" s="94">
        <v>0</v>
      </c>
      <c r="EK50" s="94">
        <v>61</v>
      </c>
      <c r="EN50" s="61" t="s">
        <v>1617</v>
      </c>
      <c r="EO50" s="61" t="s">
        <v>2856</v>
      </c>
      <c r="EP50" s="61">
        <v>69</v>
      </c>
      <c r="EQ50" s="61">
        <v>160</v>
      </c>
      <c r="ER50" s="61">
        <v>207</v>
      </c>
      <c r="ES50" s="61">
        <v>254</v>
      </c>
      <c r="ET50" s="61">
        <v>362</v>
      </c>
      <c r="EU50" s="61">
        <v>1052</v>
      </c>
      <c r="EV50" s="61"/>
      <c r="EW50" s="61" t="s">
        <v>2856</v>
      </c>
      <c r="EX50" s="61">
        <v>5</v>
      </c>
      <c r="EY50" s="61">
        <v>6</v>
      </c>
      <c r="EZ50" s="61">
        <v>2</v>
      </c>
      <c r="FA50" s="61">
        <v>1</v>
      </c>
      <c r="FB50" s="61">
        <v>5</v>
      </c>
      <c r="FC50" s="61">
        <v>19</v>
      </c>
      <c r="FF50" s="80" t="s">
        <v>1722</v>
      </c>
      <c r="FG50" s="80" t="s">
        <v>2856</v>
      </c>
      <c r="FH50" s="80" t="s">
        <v>1970</v>
      </c>
      <c r="FI50" s="80" t="s">
        <v>1970</v>
      </c>
      <c r="FJ50" s="80" t="s">
        <v>1970</v>
      </c>
      <c r="FK50" s="80" t="s">
        <v>1970</v>
      </c>
      <c r="FL50" s="80" t="s">
        <v>1970</v>
      </c>
      <c r="FM50" s="80" t="s">
        <v>1970</v>
      </c>
      <c r="FN50" s="80"/>
      <c r="FO50" s="80" t="s">
        <v>2856</v>
      </c>
      <c r="FP50" s="80" t="s">
        <v>1970</v>
      </c>
      <c r="FQ50" s="80" t="s">
        <v>1970</v>
      </c>
      <c r="FR50" s="80" t="s">
        <v>1970</v>
      </c>
      <c r="FS50" s="80" t="s">
        <v>1970</v>
      </c>
      <c r="FT50" s="80" t="s">
        <v>1970</v>
      </c>
      <c r="FU50" s="80" t="s">
        <v>1970</v>
      </c>
    </row>
    <row r="51" spans="2:177" x14ac:dyDescent="0.3">
      <c r="B51" s="186"/>
      <c r="D51" s="186"/>
      <c r="E51" s="186"/>
      <c r="F51" s="186"/>
      <c r="G51" s="186"/>
      <c r="H51" s="186"/>
      <c r="I51" s="186"/>
      <c r="J51" s="256"/>
      <c r="L51" s="186"/>
      <c r="M51" s="186"/>
      <c r="N51" s="186"/>
      <c r="O51" s="186"/>
      <c r="P51" s="186"/>
      <c r="Q51" s="186"/>
      <c r="T51" s="72" t="s">
        <v>364</v>
      </c>
      <c r="U51" s="72" t="s">
        <v>2856</v>
      </c>
      <c r="V51" s="72">
        <v>197</v>
      </c>
      <c r="W51" s="72">
        <v>249</v>
      </c>
      <c r="X51" s="72">
        <v>427</v>
      </c>
      <c r="Y51" s="72">
        <v>611</v>
      </c>
      <c r="Z51" s="72">
        <v>434</v>
      </c>
      <c r="AA51" s="72">
        <v>1918</v>
      </c>
      <c r="AB51" s="72"/>
      <c r="AC51" s="72" t="s">
        <v>2856</v>
      </c>
      <c r="AD51" s="72">
        <v>18</v>
      </c>
      <c r="AE51" s="72">
        <v>2</v>
      </c>
      <c r="AF51" s="72">
        <v>0</v>
      </c>
      <c r="AG51" s="72">
        <v>0</v>
      </c>
      <c r="AH51" s="72">
        <v>0</v>
      </c>
      <c r="AI51" s="72">
        <v>20</v>
      </c>
      <c r="AK51" s="73" t="s">
        <v>452</v>
      </c>
      <c r="AL51" s="73" t="s">
        <v>2855</v>
      </c>
      <c r="AM51" s="73">
        <v>601</v>
      </c>
      <c r="AN51" s="73">
        <v>464</v>
      </c>
      <c r="AO51" s="73">
        <v>580</v>
      </c>
      <c r="AP51" s="73">
        <v>549</v>
      </c>
      <c r="AQ51" s="73">
        <v>757</v>
      </c>
      <c r="AR51" s="73">
        <v>2951</v>
      </c>
      <c r="AS51" s="73"/>
      <c r="AT51" s="73" t="s">
        <v>2855</v>
      </c>
      <c r="AU51" s="73">
        <v>63</v>
      </c>
      <c r="AV51" s="73">
        <v>12</v>
      </c>
      <c r="AW51" s="73">
        <v>11</v>
      </c>
      <c r="AX51" s="73">
        <v>4</v>
      </c>
      <c r="AY51" s="73">
        <v>16</v>
      </c>
      <c r="AZ51" s="73">
        <v>106</v>
      </c>
      <c r="BB51" s="78" t="s">
        <v>1011</v>
      </c>
      <c r="BC51" s="78" t="s">
        <v>2855</v>
      </c>
      <c r="BD51" s="78">
        <v>505</v>
      </c>
      <c r="BE51" s="78">
        <v>363</v>
      </c>
      <c r="BF51" s="78">
        <v>530</v>
      </c>
      <c r="BG51" s="78">
        <v>738</v>
      </c>
      <c r="BH51" s="78">
        <v>691</v>
      </c>
      <c r="BI51" s="78">
        <v>2827</v>
      </c>
      <c r="BJ51" s="78"/>
      <c r="BK51" s="78" t="s">
        <v>2855</v>
      </c>
      <c r="BL51" s="78">
        <v>63</v>
      </c>
      <c r="BM51" s="78">
        <v>0</v>
      </c>
      <c r="BN51" s="78">
        <v>0</v>
      </c>
      <c r="BO51" s="78">
        <v>0</v>
      </c>
      <c r="BP51" s="78">
        <v>0</v>
      </c>
      <c r="BQ51" s="78">
        <v>63</v>
      </c>
      <c r="BS51" s="80" t="s">
        <v>1159</v>
      </c>
      <c r="BT51" s="80" t="s">
        <v>2856</v>
      </c>
      <c r="BU51" s="80">
        <v>99</v>
      </c>
      <c r="BV51" s="80">
        <v>60</v>
      </c>
      <c r="BW51" s="80">
        <v>111</v>
      </c>
      <c r="BX51" s="80">
        <v>179</v>
      </c>
      <c r="BY51" s="80">
        <v>176</v>
      </c>
      <c r="BZ51" s="80">
        <v>625</v>
      </c>
      <c r="CA51" s="80"/>
      <c r="CB51" s="80" t="s">
        <v>2856</v>
      </c>
      <c r="CC51" s="80">
        <v>18</v>
      </c>
      <c r="CD51" s="80">
        <v>0</v>
      </c>
      <c r="CE51" s="80">
        <v>0</v>
      </c>
      <c r="CF51" s="80">
        <v>0</v>
      </c>
      <c r="CG51" s="80">
        <v>0</v>
      </c>
      <c r="CH51" s="80">
        <v>18</v>
      </c>
      <c r="CL51" s="61" t="s">
        <v>1298</v>
      </c>
      <c r="CM51" s="61" t="s">
        <v>2856</v>
      </c>
      <c r="CN51" s="61">
        <v>489</v>
      </c>
      <c r="CO51" s="61">
        <v>320</v>
      </c>
      <c r="CP51" s="61">
        <v>375</v>
      </c>
      <c r="CQ51" s="61">
        <v>442</v>
      </c>
      <c r="CR51" s="61">
        <v>430</v>
      </c>
      <c r="CS51" s="61">
        <v>2056</v>
      </c>
      <c r="CT51" s="61"/>
      <c r="CU51" s="61" t="s">
        <v>2856</v>
      </c>
      <c r="CV51" s="61">
        <v>93</v>
      </c>
      <c r="CW51" s="61">
        <v>0</v>
      </c>
      <c r="CX51" s="61">
        <v>0</v>
      </c>
      <c r="CY51" s="61">
        <v>0</v>
      </c>
      <c r="CZ51" s="61">
        <v>0</v>
      </c>
      <c r="DA51" s="61">
        <v>93</v>
      </c>
      <c r="DD51" s="276" t="s">
        <v>1422</v>
      </c>
      <c r="DE51" s="276" t="s">
        <v>2840</v>
      </c>
      <c r="DF51" s="276" t="s">
        <v>1970</v>
      </c>
      <c r="DG51" s="276" t="s">
        <v>1970</v>
      </c>
      <c r="DH51" s="276" t="s">
        <v>1970</v>
      </c>
      <c r="DI51" s="276" t="s">
        <v>1970</v>
      </c>
      <c r="DJ51" s="276" t="s">
        <v>1970</v>
      </c>
      <c r="DK51" s="276" t="s">
        <v>1970</v>
      </c>
      <c r="DL51" s="276"/>
      <c r="DM51" s="276" t="s">
        <v>2840</v>
      </c>
      <c r="DN51" s="276" t="s">
        <v>1970</v>
      </c>
      <c r="DO51" s="276" t="s">
        <v>1970</v>
      </c>
      <c r="DP51" s="276" t="s">
        <v>1970</v>
      </c>
      <c r="DQ51" s="276" t="s">
        <v>1970</v>
      </c>
      <c r="DR51" s="276" t="s">
        <v>1970</v>
      </c>
      <c r="DS51" s="276" t="s">
        <v>1970</v>
      </c>
      <c r="DT51" s="16">
        <v>20</v>
      </c>
      <c r="DU51" s="259" t="s">
        <v>2976</v>
      </c>
      <c r="DV51" s="94" t="s">
        <v>1462</v>
      </c>
      <c r="DW51" s="94" t="s">
        <v>1968</v>
      </c>
      <c r="DX51" s="94">
        <v>260</v>
      </c>
      <c r="DY51" s="94">
        <v>317</v>
      </c>
      <c r="DZ51" s="94">
        <v>369</v>
      </c>
      <c r="EA51" s="94">
        <v>372</v>
      </c>
      <c r="EB51" s="94">
        <v>305</v>
      </c>
      <c r="EC51" s="94">
        <v>1623</v>
      </c>
      <c r="ED51" s="94"/>
      <c r="EE51" s="94" t="s">
        <v>1968</v>
      </c>
      <c r="EF51" s="94">
        <v>20</v>
      </c>
      <c r="EG51" s="94">
        <v>0</v>
      </c>
      <c r="EH51" s="94">
        <v>0</v>
      </c>
      <c r="EI51" s="94">
        <v>0</v>
      </c>
      <c r="EJ51" s="94">
        <v>0</v>
      </c>
      <c r="EK51" s="94">
        <v>20</v>
      </c>
      <c r="EN51" s="61" t="s">
        <v>1621</v>
      </c>
      <c r="EO51" s="61" t="s">
        <v>2856</v>
      </c>
      <c r="EP51" s="61">
        <v>448</v>
      </c>
      <c r="EQ51" s="61">
        <v>596</v>
      </c>
      <c r="ER51" s="61">
        <v>705</v>
      </c>
      <c r="ES51" s="61">
        <v>813</v>
      </c>
      <c r="ET51" s="61">
        <v>997</v>
      </c>
      <c r="EU51" s="61">
        <v>3559</v>
      </c>
      <c r="EV51" s="61"/>
      <c r="EW51" s="61" t="s">
        <v>2856</v>
      </c>
      <c r="EX51" s="61">
        <v>74</v>
      </c>
      <c r="EY51" s="61">
        <v>30</v>
      </c>
      <c r="EZ51" s="61">
        <v>24</v>
      </c>
      <c r="FA51" s="61">
        <v>25</v>
      </c>
      <c r="FB51" s="61">
        <v>33</v>
      </c>
      <c r="FC51" s="61">
        <v>186</v>
      </c>
      <c r="FF51" s="80" t="s">
        <v>1726</v>
      </c>
      <c r="FG51" s="80" t="s">
        <v>2856</v>
      </c>
      <c r="FH51" s="80" t="s">
        <v>1970</v>
      </c>
      <c r="FI51" s="80" t="s">
        <v>1970</v>
      </c>
      <c r="FJ51" s="80" t="s">
        <v>1970</v>
      </c>
      <c r="FK51" s="80" t="s">
        <v>1970</v>
      </c>
      <c r="FL51" s="80" t="s">
        <v>1970</v>
      </c>
      <c r="FM51" s="80" t="s">
        <v>1970</v>
      </c>
      <c r="FN51" s="80"/>
      <c r="FO51" s="80" t="s">
        <v>2856</v>
      </c>
      <c r="FP51" s="80" t="s">
        <v>1970</v>
      </c>
      <c r="FQ51" s="80" t="s">
        <v>1970</v>
      </c>
      <c r="FR51" s="80" t="s">
        <v>1970</v>
      </c>
      <c r="FS51" s="80" t="s">
        <v>1970</v>
      </c>
      <c r="FT51" s="80" t="s">
        <v>1970</v>
      </c>
      <c r="FU51" s="80" t="s">
        <v>1970</v>
      </c>
    </row>
    <row r="52" spans="2:177" x14ac:dyDescent="0.3">
      <c r="B52" s="71" t="s">
        <v>1</v>
      </c>
      <c r="C52" s="71" t="s">
        <v>2856</v>
      </c>
      <c r="D52" s="71">
        <v>7</v>
      </c>
      <c r="E52" s="71">
        <v>1</v>
      </c>
      <c r="F52" s="71">
        <v>0</v>
      </c>
      <c r="G52" s="71">
        <v>0</v>
      </c>
      <c r="H52" s="71">
        <v>0</v>
      </c>
      <c r="I52" s="71">
        <v>8</v>
      </c>
      <c r="K52" s="71" t="s">
        <v>2856</v>
      </c>
      <c r="L52" s="71">
        <v>103</v>
      </c>
      <c r="M52" s="71">
        <v>170</v>
      </c>
      <c r="N52" s="71">
        <v>284</v>
      </c>
      <c r="O52" s="71">
        <v>348</v>
      </c>
      <c r="P52" s="71">
        <v>336</v>
      </c>
      <c r="Q52" s="71">
        <v>1241</v>
      </c>
      <c r="T52" s="72" t="s">
        <v>370</v>
      </c>
      <c r="U52" s="72" t="s">
        <v>2856</v>
      </c>
      <c r="V52" s="72">
        <v>1500</v>
      </c>
      <c r="W52" s="72">
        <v>1409</v>
      </c>
      <c r="X52" s="72">
        <v>1373</v>
      </c>
      <c r="Y52" s="72">
        <v>1382</v>
      </c>
      <c r="Z52" s="72">
        <v>1011</v>
      </c>
      <c r="AA52" s="72">
        <v>6675</v>
      </c>
      <c r="AB52" s="72"/>
      <c r="AC52" s="72" t="s">
        <v>2856</v>
      </c>
      <c r="AD52" s="72">
        <v>143</v>
      </c>
      <c r="AE52" s="72">
        <v>40</v>
      </c>
      <c r="AF52" s="72">
        <v>7</v>
      </c>
      <c r="AG52" s="72">
        <v>0</v>
      </c>
      <c r="AH52" s="72">
        <v>0</v>
      </c>
      <c r="AI52" s="72">
        <v>190</v>
      </c>
      <c r="AK52" s="73" t="s">
        <v>456</v>
      </c>
      <c r="AL52" s="73" t="s">
        <v>2855</v>
      </c>
      <c r="AM52" s="73">
        <v>1021</v>
      </c>
      <c r="AN52" s="73">
        <v>956</v>
      </c>
      <c r="AO52" s="73">
        <v>850</v>
      </c>
      <c r="AP52" s="73">
        <v>809</v>
      </c>
      <c r="AQ52" s="73">
        <v>1126</v>
      </c>
      <c r="AR52" s="73">
        <v>4762</v>
      </c>
      <c r="AS52" s="73"/>
      <c r="AT52" s="73" t="s">
        <v>2855</v>
      </c>
      <c r="AU52" s="73">
        <v>82</v>
      </c>
      <c r="AV52" s="73">
        <v>4</v>
      </c>
      <c r="AW52" s="73">
        <v>3</v>
      </c>
      <c r="AX52" s="73">
        <v>1</v>
      </c>
      <c r="AY52" s="73">
        <v>9</v>
      </c>
      <c r="AZ52" s="73">
        <v>99</v>
      </c>
      <c r="BB52" s="78" t="s">
        <v>1015</v>
      </c>
      <c r="BC52" s="78" t="s">
        <v>2855</v>
      </c>
      <c r="BD52" s="78">
        <v>192</v>
      </c>
      <c r="BE52" s="78">
        <v>190</v>
      </c>
      <c r="BF52" s="78">
        <v>350</v>
      </c>
      <c r="BG52" s="78">
        <v>470</v>
      </c>
      <c r="BH52" s="78">
        <v>443</v>
      </c>
      <c r="BI52" s="78">
        <v>1645</v>
      </c>
      <c r="BJ52" s="78"/>
      <c r="BK52" s="78" t="s">
        <v>2855</v>
      </c>
      <c r="BL52" s="78">
        <v>40</v>
      </c>
      <c r="BM52" s="78">
        <v>0</v>
      </c>
      <c r="BN52" s="78">
        <v>0</v>
      </c>
      <c r="BO52" s="78">
        <v>0</v>
      </c>
      <c r="BP52" s="78">
        <v>0</v>
      </c>
      <c r="BQ52" s="78">
        <v>40</v>
      </c>
      <c r="BS52" s="80" t="s">
        <v>1167</v>
      </c>
      <c r="BT52" s="80" t="s">
        <v>2856</v>
      </c>
      <c r="BU52" s="80">
        <v>71</v>
      </c>
      <c r="BV52" s="80">
        <v>36</v>
      </c>
      <c r="BW52" s="80">
        <v>90</v>
      </c>
      <c r="BX52" s="80">
        <v>99</v>
      </c>
      <c r="BY52" s="80">
        <v>130</v>
      </c>
      <c r="BZ52" s="80">
        <v>426</v>
      </c>
      <c r="CA52" s="80"/>
      <c r="CB52" s="80" t="s">
        <v>2856</v>
      </c>
      <c r="CC52" s="80">
        <v>20</v>
      </c>
      <c r="CD52" s="80">
        <v>0</v>
      </c>
      <c r="CE52" s="80">
        <v>0</v>
      </c>
      <c r="CF52" s="80">
        <v>0</v>
      </c>
      <c r="CG52" s="80">
        <v>0</v>
      </c>
      <c r="CH52" s="80">
        <v>20</v>
      </c>
      <c r="CL52" s="61" t="s">
        <v>1302</v>
      </c>
      <c r="CM52" s="61" t="s">
        <v>2856</v>
      </c>
      <c r="CN52" s="61">
        <v>469</v>
      </c>
      <c r="CO52" s="61">
        <v>276</v>
      </c>
      <c r="CP52" s="61">
        <v>428</v>
      </c>
      <c r="CQ52" s="61">
        <v>518</v>
      </c>
      <c r="CR52" s="61">
        <v>502</v>
      </c>
      <c r="CS52" s="61">
        <v>2193</v>
      </c>
      <c r="CT52" s="61"/>
      <c r="CU52" s="61" t="s">
        <v>2856</v>
      </c>
      <c r="CV52" s="61">
        <v>150</v>
      </c>
      <c r="CW52" s="61">
        <v>0</v>
      </c>
      <c r="CX52" s="61">
        <v>0</v>
      </c>
      <c r="CY52" s="61">
        <v>0</v>
      </c>
      <c r="CZ52" s="61">
        <v>0</v>
      </c>
      <c r="DA52" s="61">
        <v>150</v>
      </c>
      <c r="DD52" s="276" t="s">
        <v>1426</v>
      </c>
      <c r="DE52" s="276" t="s">
        <v>2840</v>
      </c>
      <c r="DF52" s="276" t="s">
        <v>1970</v>
      </c>
      <c r="DG52" s="276" t="s">
        <v>1970</v>
      </c>
      <c r="DH52" s="276" t="s">
        <v>1970</v>
      </c>
      <c r="DI52" s="276" t="s">
        <v>1970</v>
      </c>
      <c r="DJ52" s="276" t="s">
        <v>1970</v>
      </c>
      <c r="DK52" s="276" t="s">
        <v>1970</v>
      </c>
      <c r="DL52" s="276"/>
      <c r="DM52" s="276" t="s">
        <v>2840</v>
      </c>
      <c r="DN52" s="276" t="s">
        <v>1970</v>
      </c>
      <c r="DO52" s="276" t="s">
        <v>1970</v>
      </c>
      <c r="DP52" s="276" t="s">
        <v>1970</v>
      </c>
      <c r="DQ52" s="276" t="s">
        <v>1970</v>
      </c>
      <c r="DR52" s="276" t="s">
        <v>1970</v>
      </c>
      <c r="DS52" s="276" t="s">
        <v>1970</v>
      </c>
      <c r="DT52" s="16">
        <v>15</v>
      </c>
      <c r="DU52" s="259" t="s">
        <v>2976</v>
      </c>
      <c r="DV52" s="94" t="s">
        <v>1466</v>
      </c>
      <c r="DW52" s="94" t="s">
        <v>1968</v>
      </c>
      <c r="DX52" s="94">
        <v>793</v>
      </c>
      <c r="DY52" s="94">
        <v>1011</v>
      </c>
      <c r="DZ52" s="94">
        <v>1000</v>
      </c>
      <c r="EA52" s="94">
        <v>1017</v>
      </c>
      <c r="EB52" s="94">
        <v>757</v>
      </c>
      <c r="EC52" s="94">
        <v>4578</v>
      </c>
      <c r="ED52" s="94"/>
      <c r="EE52" s="94" t="s">
        <v>1968</v>
      </c>
      <c r="EF52" s="94">
        <v>39</v>
      </c>
      <c r="EG52" s="94">
        <v>1</v>
      </c>
      <c r="EH52" s="94">
        <v>0</v>
      </c>
      <c r="EI52" s="94">
        <v>0</v>
      </c>
      <c r="EJ52" s="94">
        <v>0</v>
      </c>
      <c r="EK52" s="94">
        <v>40</v>
      </c>
      <c r="EN52" s="61" t="s">
        <v>1625</v>
      </c>
      <c r="EO52" s="61" t="s">
        <v>2856</v>
      </c>
      <c r="EP52" s="61">
        <v>278</v>
      </c>
      <c r="EQ52" s="61">
        <v>483</v>
      </c>
      <c r="ER52" s="61">
        <v>557</v>
      </c>
      <c r="ES52" s="61">
        <v>683</v>
      </c>
      <c r="ET52" s="61">
        <v>853</v>
      </c>
      <c r="EU52" s="61">
        <v>2854</v>
      </c>
      <c r="EV52" s="61"/>
      <c r="EW52" s="61" t="s">
        <v>2856</v>
      </c>
      <c r="EX52" s="61">
        <v>68</v>
      </c>
      <c r="EY52" s="61">
        <v>46</v>
      </c>
      <c r="EZ52" s="61">
        <v>18</v>
      </c>
      <c r="FA52" s="61">
        <v>15</v>
      </c>
      <c r="FB52" s="61">
        <v>23</v>
      </c>
      <c r="FC52" s="61">
        <v>170</v>
      </c>
      <c r="FF52" s="80" t="s">
        <v>1730</v>
      </c>
      <c r="FG52" s="80" t="s">
        <v>2856</v>
      </c>
      <c r="FH52" s="80">
        <v>137</v>
      </c>
      <c r="FI52" s="80">
        <v>147</v>
      </c>
      <c r="FJ52" s="80">
        <v>264</v>
      </c>
      <c r="FK52" s="80">
        <v>372</v>
      </c>
      <c r="FL52" s="80">
        <v>408</v>
      </c>
      <c r="FM52" s="80">
        <v>1328</v>
      </c>
      <c r="FN52" s="80"/>
      <c r="FO52" s="80" t="s">
        <v>2856</v>
      </c>
      <c r="FP52" s="80">
        <v>26</v>
      </c>
      <c r="FQ52" s="80">
        <v>3</v>
      </c>
      <c r="FR52" s="80">
        <v>5</v>
      </c>
      <c r="FS52" s="80">
        <v>3</v>
      </c>
      <c r="FT52" s="80">
        <v>2</v>
      </c>
      <c r="FU52" s="80">
        <v>39</v>
      </c>
    </row>
    <row r="53" spans="2:177" x14ac:dyDescent="0.3">
      <c r="B53" s="71" t="s">
        <v>7</v>
      </c>
      <c r="C53" s="71" t="s">
        <v>2856</v>
      </c>
      <c r="D53" s="71">
        <v>7</v>
      </c>
      <c r="E53" s="71">
        <v>1</v>
      </c>
      <c r="F53" s="71">
        <v>0</v>
      </c>
      <c r="G53" s="71">
        <v>0</v>
      </c>
      <c r="H53" s="71">
        <v>0</v>
      </c>
      <c r="I53" s="71">
        <v>8</v>
      </c>
      <c r="K53" s="71" t="s">
        <v>2856</v>
      </c>
      <c r="L53" s="71">
        <v>207</v>
      </c>
      <c r="M53" s="71">
        <v>422</v>
      </c>
      <c r="N53" s="71">
        <v>553</v>
      </c>
      <c r="O53" s="71">
        <v>698</v>
      </c>
      <c r="P53" s="71">
        <v>555</v>
      </c>
      <c r="Q53" s="71">
        <v>2435</v>
      </c>
      <c r="T53" s="72" t="s">
        <v>376</v>
      </c>
      <c r="U53" s="72" t="s">
        <v>2856</v>
      </c>
      <c r="V53" s="72">
        <v>1452</v>
      </c>
      <c r="W53" s="72">
        <v>1157</v>
      </c>
      <c r="X53" s="72">
        <v>1382</v>
      </c>
      <c r="Y53" s="72">
        <v>1401</v>
      </c>
      <c r="Z53" s="72">
        <v>927</v>
      </c>
      <c r="AA53" s="72">
        <v>6319</v>
      </c>
      <c r="AB53" s="72"/>
      <c r="AC53" s="72" t="s">
        <v>2856</v>
      </c>
      <c r="AD53" s="72">
        <v>81</v>
      </c>
      <c r="AE53" s="72">
        <v>9</v>
      </c>
      <c r="AF53" s="72">
        <v>1</v>
      </c>
      <c r="AG53" s="72">
        <v>0</v>
      </c>
      <c r="AH53" s="72">
        <v>1</v>
      </c>
      <c r="AI53" s="72">
        <v>92</v>
      </c>
      <c r="AK53" s="73" t="s">
        <v>460</v>
      </c>
      <c r="AL53" s="73" t="s">
        <v>2855</v>
      </c>
      <c r="AM53" s="73">
        <v>852</v>
      </c>
      <c r="AN53" s="73">
        <v>760</v>
      </c>
      <c r="AO53" s="73">
        <v>732</v>
      </c>
      <c r="AP53" s="73">
        <v>725</v>
      </c>
      <c r="AQ53" s="73">
        <v>909</v>
      </c>
      <c r="AR53" s="73">
        <v>3978</v>
      </c>
      <c r="AS53" s="73"/>
      <c r="AT53" s="73" t="s">
        <v>2855</v>
      </c>
      <c r="AU53" s="73">
        <v>58</v>
      </c>
      <c r="AV53" s="73">
        <v>6</v>
      </c>
      <c r="AW53" s="73">
        <v>3</v>
      </c>
      <c r="AX53" s="73">
        <v>12</v>
      </c>
      <c r="AY53" s="73">
        <v>11</v>
      </c>
      <c r="AZ53" s="73">
        <v>90</v>
      </c>
      <c r="BB53" s="78" t="s">
        <v>1020</v>
      </c>
      <c r="BC53" s="78" t="s">
        <v>2855</v>
      </c>
      <c r="BD53" s="78">
        <v>111</v>
      </c>
      <c r="BE53" s="78">
        <v>124</v>
      </c>
      <c r="BF53" s="78">
        <v>292</v>
      </c>
      <c r="BG53" s="78">
        <v>458</v>
      </c>
      <c r="BH53" s="78">
        <v>477</v>
      </c>
      <c r="BI53" s="78">
        <v>1462</v>
      </c>
      <c r="BJ53" s="78"/>
      <c r="BK53" s="78" t="s">
        <v>2855</v>
      </c>
      <c r="BL53" s="78">
        <v>20</v>
      </c>
      <c r="BM53" s="78">
        <v>0</v>
      </c>
      <c r="BN53" s="78">
        <v>0</v>
      </c>
      <c r="BO53" s="78">
        <v>0</v>
      </c>
      <c r="BP53" s="78">
        <v>0</v>
      </c>
      <c r="BQ53" s="78">
        <v>20</v>
      </c>
      <c r="CL53" s="61" t="s">
        <v>1333</v>
      </c>
      <c r="CM53" s="61" t="s">
        <v>2856</v>
      </c>
      <c r="CN53" s="61">
        <v>138</v>
      </c>
      <c r="CO53" s="61">
        <v>77</v>
      </c>
      <c r="CP53" s="61">
        <v>115</v>
      </c>
      <c r="CQ53" s="61">
        <v>178</v>
      </c>
      <c r="CR53" s="61">
        <v>164</v>
      </c>
      <c r="CS53" s="61">
        <v>672</v>
      </c>
      <c r="CT53" s="61"/>
      <c r="CU53" s="61" t="s">
        <v>2856</v>
      </c>
      <c r="CV53" s="61">
        <v>18</v>
      </c>
      <c r="CW53" s="61">
        <v>0</v>
      </c>
      <c r="CX53" s="61">
        <v>0</v>
      </c>
      <c r="CY53" s="61">
        <v>0</v>
      </c>
      <c r="CZ53" s="61">
        <v>0</v>
      </c>
      <c r="DA53" s="61">
        <v>18</v>
      </c>
      <c r="DD53" s="276" t="s">
        <v>1430</v>
      </c>
      <c r="DE53" s="276" t="s">
        <v>2840</v>
      </c>
      <c r="DF53" s="276" t="s">
        <v>1970</v>
      </c>
      <c r="DG53" s="276" t="s">
        <v>1970</v>
      </c>
      <c r="DH53" s="276" t="s">
        <v>1970</v>
      </c>
      <c r="DI53" s="276" t="s">
        <v>1970</v>
      </c>
      <c r="DJ53" s="276" t="s">
        <v>1970</v>
      </c>
      <c r="DK53" s="276" t="s">
        <v>1970</v>
      </c>
      <c r="DL53" s="276"/>
      <c r="DM53" s="276" t="s">
        <v>2840</v>
      </c>
      <c r="DN53" s="276" t="s">
        <v>1970</v>
      </c>
      <c r="DO53" s="276" t="s">
        <v>1970</v>
      </c>
      <c r="DP53" s="276" t="s">
        <v>1970</v>
      </c>
      <c r="DQ53" s="276" t="s">
        <v>1970</v>
      </c>
      <c r="DR53" s="276" t="s">
        <v>1970</v>
      </c>
      <c r="DS53" s="276" t="s">
        <v>1970</v>
      </c>
      <c r="DT53" s="16">
        <v>20</v>
      </c>
      <c r="DU53" s="259" t="s">
        <v>2976</v>
      </c>
      <c r="DV53" s="94" t="s">
        <v>1470</v>
      </c>
      <c r="DW53" s="94" t="s">
        <v>1968</v>
      </c>
      <c r="DX53" s="94">
        <v>403</v>
      </c>
      <c r="DY53" s="94">
        <v>439</v>
      </c>
      <c r="DZ53" s="94">
        <v>657</v>
      </c>
      <c r="EA53" s="94">
        <v>681</v>
      </c>
      <c r="EB53" s="94">
        <v>637</v>
      </c>
      <c r="EC53" s="94">
        <v>2817</v>
      </c>
      <c r="ED53" s="94"/>
      <c r="EE53" s="94" t="s">
        <v>1968</v>
      </c>
      <c r="EF53" s="94">
        <v>39</v>
      </c>
      <c r="EG53" s="94">
        <v>2</v>
      </c>
      <c r="EH53" s="94">
        <v>0</v>
      </c>
      <c r="EI53" s="94">
        <v>0</v>
      </c>
      <c r="EJ53" s="94">
        <v>0</v>
      </c>
      <c r="EK53" s="94">
        <v>41</v>
      </c>
      <c r="EN53" s="61" t="s">
        <v>1629</v>
      </c>
      <c r="EO53" s="61" t="s">
        <v>2856</v>
      </c>
      <c r="EP53" s="61">
        <v>170</v>
      </c>
      <c r="EQ53" s="61">
        <v>266</v>
      </c>
      <c r="ER53" s="61">
        <v>323</v>
      </c>
      <c r="ES53" s="61">
        <v>430</v>
      </c>
      <c r="ET53" s="61">
        <v>550</v>
      </c>
      <c r="EU53" s="61">
        <v>1739</v>
      </c>
      <c r="EV53" s="61"/>
      <c r="EW53" s="61" t="s">
        <v>2856</v>
      </c>
      <c r="EX53" s="61">
        <v>18</v>
      </c>
      <c r="EY53" s="61">
        <v>8</v>
      </c>
      <c r="EZ53" s="61">
        <v>1</v>
      </c>
      <c r="FA53" s="61">
        <v>5</v>
      </c>
      <c r="FB53" s="61">
        <v>2</v>
      </c>
      <c r="FC53" s="61">
        <v>34</v>
      </c>
      <c r="FF53" s="80" t="s">
        <v>1734</v>
      </c>
      <c r="FG53" s="80" t="s">
        <v>2856</v>
      </c>
      <c r="FH53" s="80">
        <v>142</v>
      </c>
      <c r="FI53" s="80">
        <v>248</v>
      </c>
      <c r="FJ53" s="80">
        <v>313</v>
      </c>
      <c r="FK53" s="80">
        <v>379</v>
      </c>
      <c r="FL53" s="80">
        <v>483</v>
      </c>
      <c r="FM53" s="80">
        <v>1565</v>
      </c>
      <c r="FN53" s="80"/>
      <c r="FO53" s="80" t="s">
        <v>2856</v>
      </c>
      <c r="FP53" s="80">
        <v>12</v>
      </c>
      <c r="FQ53" s="80">
        <v>6</v>
      </c>
      <c r="FR53" s="80">
        <v>2</v>
      </c>
      <c r="FS53" s="80">
        <v>7</v>
      </c>
      <c r="FT53" s="80">
        <v>1</v>
      </c>
      <c r="FU53" s="80">
        <v>28</v>
      </c>
    </row>
    <row r="54" spans="2:177" x14ac:dyDescent="0.3">
      <c r="B54" s="71" t="s">
        <v>12</v>
      </c>
      <c r="C54" s="71" t="s">
        <v>2856</v>
      </c>
      <c r="D54" s="71">
        <v>115</v>
      </c>
      <c r="E54" s="71">
        <v>4</v>
      </c>
      <c r="F54" s="71">
        <v>1</v>
      </c>
      <c r="G54" s="71">
        <v>1</v>
      </c>
      <c r="H54" s="71">
        <v>1</v>
      </c>
      <c r="I54" s="71">
        <v>122</v>
      </c>
      <c r="K54" s="71" t="s">
        <v>2856</v>
      </c>
      <c r="L54" s="71">
        <v>1043</v>
      </c>
      <c r="M54" s="71">
        <v>759</v>
      </c>
      <c r="N54" s="71">
        <v>890</v>
      </c>
      <c r="O54" s="71">
        <v>852</v>
      </c>
      <c r="P54" s="71">
        <v>633</v>
      </c>
      <c r="Q54" s="71">
        <v>4177</v>
      </c>
      <c r="T54" s="72" t="s">
        <v>383</v>
      </c>
      <c r="U54" s="72" t="s">
        <v>2856</v>
      </c>
      <c r="V54" s="72">
        <v>877</v>
      </c>
      <c r="W54" s="72">
        <v>477</v>
      </c>
      <c r="X54" s="72">
        <v>536</v>
      </c>
      <c r="Y54" s="72">
        <v>569</v>
      </c>
      <c r="Z54" s="72">
        <v>439</v>
      </c>
      <c r="AA54" s="72">
        <v>2898</v>
      </c>
      <c r="AB54" s="72"/>
      <c r="AC54" s="72" t="s">
        <v>2856</v>
      </c>
      <c r="AD54" s="72">
        <v>17</v>
      </c>
      <c r="AE54" s="72">
        <v>0</v>
      </c>
      <c r="AF54" s="72">
        <v>0</v>
      </c>
      <c r="AG54" s="72">
        <v>0</v>
      </c>
      <c r="AH54" s="72">
        <v>0</v>
      </c>
      <c r="AI54" s="72">
        <v>17</v>
      </c>
      <c r="AK54" s="73" t="s">
        <v>464</v>
      </c>
      <c r="AL54" s="73" t="s">
        <v>2855</v>
      </c>
      <c r="AM54" s="73">
        <v>960</v>
      </c>
      <c r="AN54" s="73">
        <v>761</v>
      </c>
      <c r="AO54" s="73">
        <v>823</v>
      </c>
      <c r="AP54" s="73">
        <v>804</v>
      </c>
      <c r="AQ54" s="73">
        <v>905</v>
      </c>
      <c r="AR54" s="73">
        <v>4253</v>
      </c>
      <c r="AS54" s="73"/>
      <c r="AT54" s="73" t="s">
        <v>2855</v>
      </c>
      <c r="AU54" s="73">
        <v>123</v>
      </c>
      <c r="AV54" s="73">
        <v>22</v>
      </c>
      <c r="AW54" s="73">
        <v>12</v>
      </c>
      <c r="AX54" s="73">
        <v>12</v>
      </c>
      <c r="AY54" s="73">
        <v>17</v>
      </c>
      <c r="AZ54" s="73">
        <v>186</v>
      </c>
      <c r="BB54" s="78" t="s">
        <v>1025</v>
      </c>
      <c r="BC54" s="78" t="s">
        <v>2855</v>
      </c>
      <c r="BD54" s="78">
        <v>167</v>
      </c>
      <c r="BE54" s="78">
        <v>174</v>
      </c>
      <c r="BF54" s="78">
        <v>285</v>
      </c>
      <c r="BG54" s="78">
        <v>433</v>
      </c>
      <c r="BH54" s="78">
        <v>410</v>
      </c>
      <c r="BI54" s="78">
        <v>1469</v>
      </c>
      <c r="BJ54" s="78"/>
      <c r="BK54" s="78" t="s">
        <v>2855</v>
      </c>
      <c r="BL54" s="78">
        <v>39</v>
      </c>
      <c r="BM54" s="78">
        <v>0</v>
      </c>
      <c r="BN54" s="78">
        <v>0</v>
      </c>
      <c r="BO54" s="78">
        <v>0</v>
      </c>
      <c r="BP54" s="78">
        <v>0</v>
      </c>
      <c r="BQ54" s="78">
        <v>39</v>
      </c>
      <c r="BS54" s="80" t="s">
        <v>1065</v>
      </c>
      <c r="BT54" s="80" t="s">
        <v>1968</v>
      </c>
      <c r="BU54" s="80">
        <v>91</v>
      </c>
      <c r="BV54" s="80">
        <v>74</v>
      </c>
      <c r="BW54" s="80">
        <v>96</v>
      </c>
      <c r="BX54" s="80">
        <v>96</v>
      </c>
      <c r="BY54" s="80">
        <v>126</v>
      </c>
      <c r="BZ54" s="80">
        <v>483</v>
      </c>
      <c r="CA54" s="80"/>
      <c r="CB54" s="80" t="s">
        <v>1968</v>
      </c>
      <c r="CC54" s="80">
        <v>23</v>
      </c>
      <c r="CD54" s="80">
        <v>0</v>
      </c>
      <c r="CE54" s="80">
        <v>0</v>
      </c>
      <c r="CF54" s="80">
        <v>0</v>
      </c>
      <c r="CG54" s="80">
        <v>0</v>
      </c>
      <c r="CH54" s="80">
        <v>23</v>
      </c>
      <c r="CL54" s="61" t="s">
        <v>1306</v>
      </c>
      <c r="CM54" s="61" t="s">
        <v>2856</v>
      </c>
      <c r="CN54" s="61">
        <v>91</v>
      </c>
      <c r="CO54" s="61">
        <v>72</v>
      </c>
      <c r="CP54" s="61">
        <v>141</v>
      </c>
      <c r="CQ54" s="61">
        <v>201</v>
      </c>
      <c r="CR54" s="61">
        <v>218</v>
      </c>
      <c r="CS54" s="61">
        <v>723</v>
      </c>
      <c r="CT54" s="61"/>
      <c r="CU54" s="61" t="s">
        <v>2856</v>
      </c>
      <c r="CV54" s="61">
        <v>15</v>
      </c>
      <c r="CW54" s="61">
        <v>0</v>
      </c>
      <c r="CX54" s="61">
        <v>0</v>
      </c>
      <c r="CY54" s="61">
        <v>0</v>
      </c>
      <c r="CZ54" s="61">
        <v>0</v>
      </c>
      <c r="DA54" s="61">
        <v>15</v>
      </c>
      <c r="DD54" s="276" t="s">
        <v>1434</v>
      </c>
      <c r="DE54" s="276" t="s">
        <v>2840</v>
      </c>
      <c r="DF54" s="276">
        <v>176</v>
      </c>
      <c r="DG54" s="276">
        <v>172</v>
      </c>
      <c r="DH54" s="276">
        <v>193</v>
      </c>
      <c r="DI54" s="276">
        <v>214</v>
      </c>
      <c r="DJ54" s="276">
        <v>210</v>
      </c>
      <c r="DK54" s="276">
        <v>965</v>
      </c>
      <c r="DL54" s="276"/>
      <c r="DM54" s="276" t="s">
        <v>2840</v>
      </c>
      <c r="DN54" s="276">
        <v>25</v>
      </c>
      <c r="DO54" s="276">
        <v>9</v>
      </c>
      <c r="DP54" s="276">
        <v>2</v>
      </c>
      <c r="DQ54" s="276">
        <v>0</v>
      </c>
      <c r="DR54" s="276">
        <v>0</v>
      </c>
      <c r="DS54" s="276">
        <v>36</v>
      </c>
      <c r="DT54" s="16">
        <v>19</v>
      </c>
      <c r="DU54" s="259"/>
      <c r="DV54" s="94" t="s">
        <v>1474</v>
      </c>
      <c r="DW54" s="94" t="s">
        <v>1968</v>
      </c>
      <c r="DX54" s="94">
        <v>890</v>
      </c>
      <c r="DY54" s="94">
        <v>436</v>
      </c>
      <c r="DZ54" s="94">
        <v>448</v>
      </c>
      <c r="EA54" s="94">
        <v>425</v>
      </c>
      <c r="EB54" s="94">
        <v>308</v>
      </c>
      <c r="EC54" s="94">
        <v>2507</v>
      </c>
      <c r="ED54" s="94"/>
      <c r="EE54" s="94" t="s">
        <v>1968</v>
      </c>
      <c r="EF54" s="94">
        <v>19</v>
      </c>
      <c r="EG54" s="94">
        <v>0</v>
      </c>
      <c r="EH54" s="94">
        <v>0</v>
      </c>
      <c r="EI54" s="94">
        <v>0</v>
      </c>
      <c r="EJ54" s="94">
        <v>0</v>
      </c>
      <c r="EK54" s="94">
        <v>19</v>
      </c>
      <c r="EN54" s="61" t="s">
        <v>1633</v>
      </c>
      <c r="EO54" s="61" t="s">
        <v>2856</v>
      </c>
      <c r="EP54" s="61" t="s">
        <v>1970</v>
      </c>
      <c r="EQ54" s="61" t="s">
        <v>1970</v>
      </c>
      <c r="ER54" s="61" t="s">
        <v>1970</v>
      </c>
      <c r="ES54" s="61" t="s">
        <v>1970</v>
      </c>
      <c r="ET54" s="61" t="s">
        <v>1970</v>
      </c>
      <c r="EU54" s="61" t="s">
        <v>1970</v>
      </c>
      <c r="EV54" s="61"/>
      <c r="EW54" s="61" t="s">
        <v>2856</v>
      </c>
      <c r="EX54" s="61" t="s">
        <v>1970</v>
      </c>
      <c r="EY54" s="61" t="s">
        <v>1970</v>
      </c>
      <c r="EZ54" s="61" t="s">
        <v>1970</v>
      </c>
      <c r="FA54" s="61" t="s">
        <v>1970</v>
      </c>
      <c r="FB54" s="61" t="s">
        <v>1970</v>
      </c>
      <c r="FC54" s="61" t="s">
        <v>1970</v>
      </c>
      <c r="FF54" s="80" t="s">
        <v>1738</v>
      </c>
      <c r="FG54" s="80" t="s">
        <v>2856</v>
      </c>
      <c r="FH54" s="80" t="s">
        <v>1970</v>
      </c>
      <c r="FI54" s="80" t="s">
        <v>1970</v>
      </c>
      <c r="FJ54" s="80" t="s">
        <v>1970</v>
      </c>
      <c r="FK54" s="80" t="s">
        <v>1970</v>
      </c>
      <c r="FL54" s="80" t="s">
        <v>1970</v>
      </c>
      <c r="FM54" s="80" t="s">
        <v>1970</v>
      </c>
      <c r="FN54" s="80"/>
      <c r="FO54" s="80" t="s">
        <v>2856</v>
      </c>
      <c r="FP54" s="80" t="s">
        <v>1970</v>
      </c>
      <c r="FQ54" s="80" t="s">
        <v>1970</v>
      </c>
      <c r="FR54" s="80" t="s">
        <v>1970</v>
      </c>
      <c r="FS54" s="80" t="s">
        <v>1970</v>
      </c>
      <c r="FT54" s="80" t="s">
        <v>1970</v>
      </c>
      <c r="FU54" s="80" t="s">
        <v>1970</v>
      </c>
    </row>
    <row r="55" spans="2:177" x14ac:dyDescent="0.3">
      <c r="B55" s="71" t="s">
        <v>17</v>
      </c>
      <c r="C55" s="71" t="s">
        <v>2856</v>
      </c>
      <c r="D55" s="71">
        <v>49</v>
      </c>
      <c r="E55" s="71">
        <v>11</v>
      </c>
      <c r="F55" s="71">
        <v>1</v>
      </c>
      <c r="G55" s="71">
        <v>0</v>
      </c>
      <c r="H55" s="71">
        <v>0</v>
      </c>
      <c r="I55" s="71">
        <v>61</v>
      </c>
      <c r="K55" s="71" t="s">
        <v>2856</v>
      </c>
      <c r="L55" s="71">
        <v>843</v>
      </c>
      <c r="M55" s="71">
        <v>1058</v>
      </c>
      <c r="N55" s="71">
        <v>1488</v>
      </c>
      <c r="O55" s="71">
        <v>1567</v>
      </c>
      <c r="P55" s="71">
        <v>1038</v>
      </c>
      <c r="Q55" s="71">
        <v>5994</v>
      </c>
      <c r="T55" s="72" t="s">
        <v>389</v>
      </c>
      <c r="U55" s="72" t="s">
        <v>2856</v>
      </c>
      <c r="V55" s="72">
        <v>198</v>
      </c>
      <c r="W55" s="72">
        <v>255</v>
      </c>
      <c r="X55" s="72">
        <v>377</v>
      </c>
      <c r="Y55" s="72">
        <v>431</v>
      </c>
      <c r="Z55" s="72">
        <v>347</v>
      </c>
      <c r="AA55" s="72">
        <v>1608</v>
      </c>
      <c r="AB55" s="72"/>
      <c r="AC55" s="72" t="s">
        <v>2856</v>
      </c>
      <c r="AD55" s="72">
        <v>9</v>
      </c>
      <c r="AE55" s="72">
        <v>1</v>
      </c>
      <c r="AF55" s="72">
        <v>1</v>
      </c>
      <c r="AG55" s="72">
        <v>0</v>
      </c>
      <c r="AH55" s="72">
        <v>0</v>
      </c>
      <c r="AI55" s="72">
        <v>11</v>
      </c>
      <c r="AK55" s="73" t="s">
        <v>468</v>
      </c>
      <c r="AL55" s="73" t="s">
        <v>2855</v>
      </c>
      <c r="AM55" s="73">
        <v>602</v>
      </c>
      <c r="AN55" s="73">
        <v>441</v>
      </c>
      <c r="AO55" s="73">
        <v>197</v>
      </c>
      <c r="AP55" s="73">
        <v>114</v>
      </c>
      <c r="AQ55" s="73">
        <v>167</v>
      </c>
      <c r="AR55" s="73">
        <v>1521</v>
      </c>
      <c r="AS55" s="73"/>
      <c r="AT55" s="73" t="s">
        <v>2855</v>
      </c>
      <c r="AU55" s="73">
        <v>103</v>
      </c>
      <c r="AV55" s="73">
        <v>31</v>
      </c>
      <c r="AW55" s="73">
        <v>14</v>
      </c>
      <c r="AX55" s="73">
        <v>7</v>
      </c>
      <c r="AY55" s="73">
        <v>11</v>
      </c>
      <c r="AZ55" s="73">
        <v>166</v>
      </c>
      <c r="BB55" s="78" t="s">
        <v>1030</v>
      </c>
      <c r="BC55" s="78" t="s">
        <v>2855</v>
      </c>
      <c r="BD55" s="78">
        <v>180</v>
      </c>
      <c r="BE55" s="78">
        <v>182</v>
      </c>
      <c r="BF55" s="78">
        <v>387</v>
      </c>
      <c r="BG55" s="78">
        <v>625</v>
      </c>
      <c r="BH55" s="78">
        <v>626</v>
      </c>
      <c r="BI55" s="78">
        <v>2000</v>
      </c>
      <c r="BJ55" s="78"/>
      <c r="BK55" s="78" t="s">
        <v>2855</v>
      </c>
      <c r="BL55" s="78">
        <v>39</v>
      </c>
      <c r="BM55" s="78">
        <v>0</v>
      </c>
      <c r="BN55" s="78">
        <v>0</v>
      </c>
      <c r="BO55" s="78">
        <v>0</v>
      </c>
      <c r="BP55" s="78">
        <v>0</v>
      </c>
      <c r="BQ55" s="78">
        <v>39</v>
      </c>
      <c r="BS55" s="80" t="s">
        <v>1069</v>
      </c>
      <c r="BT55" s="80" t="s">
        <v>1968</v>
      </c>
      <c r="BU55" s="80">
        <v>651</v>
      </c>
      <c r="BV55" s="80">
        <v>661</v>
      </c>
      <c r="BW55" s="80">
        <v>647</v>
      </c>
      <c r="BX55" s="80">
        <v>558</v>
      </c>
      <c r="BY55" s="80">
        <v>409</v>
      </c>
      <c r="BZ55" s="80">
        <v>2926</v>
      </c>
      <c r="CA55" s="80"/>
      <c r="CB55" s="80" t="s">
        <v>1968</v>
      </c>
      <c r="CC55" s="80">
        <v>179</v>
      </c>
      <c r="CD55" s="80">
        <v>12</v>
      </c>
      <c r="CE55" s="80">
        <v>0</v>
      </c>
      <c r="CF55" s="80">
        <v>0</v>
      </c>
      <c r="CG55" s="80">
        <v>0</v>
      </c>
      <c r="CH55" s="80">
        <v>191</v>
      </c>
      <c r="CL55" s="61" t="s">
        <v>1313</v>
      </c>
      <c r="CM55" s="61" t="s">
        <v>2856</v>
      </c>
      <c r="CN55" s="61">
        <v>130</v>
      </c>
      <c r="CO55" s="61">
        <v>64</v>
      </c>
      <c r="CP55" s="61">
        <v>85</v>
      </c>
      <c r="CQ55" s="61">
        <v>116</v>
      </c>
      <c r="CR55" s="61">
        <v>145</v>
      </c>
      <c r="CS55" s="61">
        <v>540</v>
      </c>
      <c r="CT55" s="61"/>
      <c r="CU55" s="61" t="s">
        <v>2856</v>
      </c>
      <c r="CV55" s="61">
        <v>61</v>
      </c>
      <c r="CW55" s="61">
        <v>0</v>
      </c>
      <c r="CX55" s="61">
        <v>0</v>
      </c>
      <c r="CY55" s="61">
        <v>0</v>
      </c>
      <c r="CZ55" s="61">
        <v>0</v>
      </c>
      <c r="DA55" s="61">
        <v>61</v>
      </c>
      <c r="DD55" s="276" t="s">
        <v>1439</v>
      </c>
      <c r="DE55" s="276" t="s">
        <v>2840</v>
      </c>
      <c r="DF55" s="276">
        <v>218</v>
      </c>
      <c r="DG55" s="276">
        <v>353</v>
      </c>
      <c r="DH55" s="276">
        <v>496</v>
      </c>
      <c r="DI55" s="276">
        <v>584</v>
      </c>
      <c r="DJ55" s="276">
        <v>482</v>
      </c>
      <c r="DK55" s="276">
        <v>2133</v>
      </c>
      <c r="DL55" s="276"/>
      <c r="DM55" s="276" t="s">
        <v>2840</v>
      </c>
      <c r="DN55" s="276">
        <v>30</v>
      </c>
      <c r="DO55" s="276">
        <v>3</v>
      </c>
      <c r="DP55" s="276">
        <v>3</v>
      </c>
      <c r="DQ55" s="276">
        <v>0</v>
      </c>
      <c r="DR55" s="276">
        <v>0</v>
      </c>
      <c r="DS55" s="276">
        <v>36</v>
      </c>
      <c r="DT55" s="16">
        <v>29</v>
      </c>
      <c r="DU55" s="259"/>
      <c r="DV55" s="94" t="s">
        <v>1478</v>
      </c>
      <c r="DW55" s="94" t="s">
        <v>1968</v>
      </c>
      <c r="DX55" s="94">
        <v>198</v>
      </c>
      <c r="DY55" s="94">
        <v>204</v>
      </c>
      <c r="DZ55" s="94">
        <v>226</v>
      </c>
      <c r="EA55" s="94">
        <v>247</v>
      </c>
      <c r="EB55" s="94">
        <v>194</v>
      </c>
      <c r="EC55" s="94">
        <v>1069</v>
      </c>
      <c r="ED55" s="94"/>
      <c r="EE55" s="94" t="s">
        <v>1968</v>
      </c>
      <c r="EF55" s="94">
        <v>14</v>
      </c>
      <c r="EG55" s="94">
        <v>0</v>
      </c>
      <c r="EH55" s="94">
        <v>0</v>
      </c>
      <c r="EI55" s="94">
        <v>0</v>
      </c>
      <c r="EJ55" s="94">
        <v>0</v>
      </c>
      <c r="EK55" s="94">
        <v>14</v>
      </c>
      <c r="EN55" s="61" t="s">
        <v>1637</v>
      </c>
      <c r="EO55" s="61" t="s">
        <v>2856</v>
      </c>
      <c r="EP55" s="61" t="s">
        <v>1970</v>
      </c>
      <c r="EQ55" s="61" t="s">
        <v>1970</v>
      </c>
      <c r="ER55" s="61" t="s">
        <v>1970</v>
      </c>
      <c r="ES55" s="61" t="s">
        <v>1970</v>
      </c>
      <c r="ET55" s="61" t="s">
        <v>1970</v>
      </c>
      <c r="EU55" s="61" t="s">
        <v>1970</v>
      </c>
      <c r="EV55" s="61"/>
      <c r="EW55" s="61" t="s">
        <v>2856</v>
      </c>
      <c r="EX55" s="61" t="s">
        <v>1970</v>
      </c>
      <c r="EY55" s="61" t="s">
        <v>1970</v>
      </c>
      <c r="EZ55" s="61" t="s">
        <v>1970</v>
      </c>
      <c r="FA55" s="61" t="s">
        <v>1970</v>
      </c>
      <c r="FB55" s="61" t="s">
        <v>1970</v>
      </c>
      <c r="FC55" s="61" t="s">
        <v>1970</v>
      </c>
      <c r="FF55" s="80" t="s">
        <v>1742</v>
      </c>
      <c r="FG55" s="80" t="s">
        <v>2856</v>
      </c>
      <c r="FH55" s="80">
        <v>1016</v>
      </c>
      <c r="FI55" s="80">
        <v>858</v>
      </c>
      <c r="FJ55" s="80">
        <v>774</v>
      </c>
      <c r="FK55" s="80">
        <v>814</v>
      </c>
      <c r="FL55" s="80">
        <v>1094</v>
      </c>
      <c r="FM55" s="80">
        <v>4556</v>
      </c>
      <c r="FN55" s="80"/>
      <c r="FO55" s="80" t="s">
        <v>2856</v>
      </c>
      <c r="FP55" s="80">
        <v>168</v>
      </c>
      <c r="FQ55" s="80">
        <v>0</v>
      </c>
      <c r="FR55" s="80">
        <v>0</v>
      </c>
      <c r="FS55" s="80">
        <v>0</v>
      </c>
      <c r="FT55" s="80">
        <v>0</v>
      </c>
      <c r="FU55" s="80">
        <v>168</v>
      </c>
    </row>
    <row r="56" spans="2:177" x14ac:dyDescent="0.3">
      <c r="B56" s="71" t="s">
        <v>22</v>
      </c>
      <c r="C56" s="71" t="s">
        <v>2856</v>
      </c>
      <c r="D56" s="71">
        <v>63</v>
      </c>
      <c r="E56" s="71">
        <v>3</v>
      </c>
      <c r="F56" s="71">
        <v>1</v>
      </c>
      <c r="G56" s="71">
        <v>0</v>
      </c>
      <c r="H56" s="71">
        <v>1</v>
      </c>
      <c r="I56" s="71">
        <v>68</v>
      </c>
      <c r="K56" s="71" t="s">
        <v>2856</v>
      </c>
      <c r="L56" s="71">
        <v>813</v>
      </c>
      <c r="M56" s="71">
        <v>960</v>
      </c>
      <c r="N56" s="71">
        <v>1200</v>
      </c>
      <c r="O56" s="71">
        <v>1437</v>
      </c>
      <c r="P56" s="71">
        <v>951</v>
      </c>
      <c r="Q56" s="71">
        <v>5361</v>
      </c>
      <c r="T56" s="72" t="s">
        <v>393</v>
      </c>
      <c r="U56" s="72" t="s">
        <v>2856</v>
      </c>
      <c r="V56" s="72">
        <v>131</v>
      </c>
      <c r="W56" s="72">
        <v>188</v>
      </c>
      <c r="X56" s="72">
        <v>288</v>
      </c>
      <c r="Y56" s="72">
        <v>362</v>
      </c>
      <c r="Z56" s="72">
        <v>284</v>
      </c>
      <c r="AA56" s="72">
        <v>1253</v>
      </c>
      <c r="AB56" s="72"/>
      <c r="AC56" s="72" t="s">
        <v>2856</v>
      </c>
      <c r="AD56" s="72">
        <v>9</v>
      </c>
      <c r="AE56" s="72">
        <v>2</v>
      </c>
      <c r="AF56" s="72">
        <v>1</v>
      </c>
      <c r="AG56" s="72">
        <v>0</v>
      </c>
      <c r="AH56" s="72">
        <v>1</v>
      </c>
      <c r="AI56" s="72">
        <v>13</v>
      </c>
      <c r="AK56" s="73" t="s">
        <v>472</v>
      </c>
      <c r="AL56" s="73" t="s">
        <v>2855</v>
      </c>
      <c r="AM56" s="73">
        <v>523</v>
      </c>
      <c r="AN56" s="73">
        <v>634</v>
      </c>
      <c r="AO56" s="73">
        <v>613</v>
      </c>
      <c r="AP56" s="73">
        <v>552</v>
      </c>
      <c r="AQ56" s="73">
        <v>665</v>
      </c>
      <c r="AR56" s="73">
        <v>2987</v>
      </c>
      <c r="AS56" s="73"/>
      <c r="AT56" s="73" t="s">
        <v>2855</v>
      </c>
      <c r="AU56" s="73">
        <v>50</v>
      </c>
      <c r="AV56" s="73">
        <v>24</v>
      </c>
      <c r="AW56" s="73">
        <v>17</v>
      </c>
      <c r="AX56" s="73">
        <v>6</v>
      </c>
      <c r="AY56" s="73">
        <v>18</v>
      </c>
      <c r="AZ56" s="73">
        <v>115</v>
      </c>
      <c r="BB56" s="78" t="s">
        <v>1034</v>
      </c>
      <c r="BC56" s="78" t="s">
        <v>2855</v>
      </c>
      <c r="BD56" s="78">
        <v>57</v>
      </c>
      <c r="BE56" s="78">
        <v>85</v>
      </c>
      <c r="BF56" s="78">
        <v>178</v>
      </c>
      <c r="BG56" s="78">
        <v>283</v>
      </c>
      <c r="BH56" s="78">
        <v>277</v>
      </c>
      <c r="BI56" s="78">
        <v>880</v>
      </c>
      <c r="BJ56" s="78"/>
      <c r="BK56" s="78" t="s">
        <v>2855</v>
      </c>
      <c r="BL56" s="78">
        <v>15</v>
      </c>
      <c r="BM56" s="78">
        <v>0</v>
      </c>
      <c r="BN56" s="78">
        <v>0</v>
      </c>
      <c r="BO56" s="78">
        <v>0</v>
      </c>
      <c r="BP56" s="78">
        <v>0</v>
      </c>
      <c r="BQ56" s="78">
        <v>15</v>
      </c>
      <c r="BS56" s="80" t="s">
        <v>1073</v>
      </c>
      <c r="BT56" s="80" t="s">
        <v>1968</v>
      </c>
      <c r="BU56" s="80">
        <v>1110</v>
      </c>
      <c r="BV56" s="80">
        <v>816</v>
      </c>
      <c r="BW56" s="80">
        <v>792</v>
      </c>
      <c r="BX56" s="80">
        <v>606</v>
      </c>
      <c r="BY56" s="80">
        <v>430</v>
      </c>
      <c r="BZ56" s="80">
        <v>3754</v>
      </c>
      <c r="CA56" s="80"/>
      <c r="CB56" s="80" t="s">
        <v>1968</v>
      </c>
      <c r="CC56" s="80">
        <v>262</v>
      </c>
      <c r="CD56" s="80">
        <v>11</v>
      </c>
      <c r="CE56" s="80">
        <v>0</v>
      </c>
      <c r="CF56" s="80">
        <v>0</v>
      </c>
      <c r="CG56" s="80">
        <v>0</v>
      </c>
      <c r="CH56" s="80">
        <v>273</v>
      </c>
      <c r="CL56" s="61" t="s">
        <v>1337</v>
      </c>
      <c r="CM56" s="61" t="s">
        <v>2856</v>
      </c>
      <c r="CN56" s="61">
        <v>89</v>
      </c>
      <c r="CO56" s="61">
        <v>46</v>
      </c>
      <c r="CP56" s="61">
        <v>92</v>
      </c>
      <c r="CQ56" s="61">
        <v>107</v>
      </c>
      <c r="CR56" s="61">
        <v>110</v>
      </c>
      <c r="CS56" s="61">
        <v>444</v>
      </c>
      <c r="CT56" s="61"/>
      <c r="CU56" s="61" t="s">
        <v>2856</v>
      </c>
      <c r="CV56" s="61">
        <v>21</v>
      </c>
      <c r="CW56" s="61">
        <v>0</v>
      </c>
      <c r="CX56" s="61">
        <v>0</v>
      </c>
      <c r="CY56" s="61">
        <v>0</v>
      </c>
      <c r="CZ56" s="61">
        <v>0</v>
      </c>
      <c r="DA56" s="61">
        <v>21</v>
      </c>
      <c r="DD56" s="276" t="s">
        <v>1444</v>
      </c>
      <c r="DE56" s="276" t="s">
        <v>2840</v>
      </c>
      <c r="DF56" s="276">
        <v>346</v>
      </c>
      <c r="DG56" s="276">
        <v>459</v>
      </c>
      <c r="DH56" s="276">
        <v>492</v>
      </c>
      <c r="DI56" s="276">
        <v>531</v>
      </c>
      <c r="DJ56" s="276">
        <v>421</v>
      </c>
      <c r="DK56" s="276">
        <v>2249</v>
      </c>
      <c r="DL56" s="276"/>
      <c r="DM56" s="276" t="s">
        <v>2840</v>
      </c>
      <c r="DN56" s="276">
        <v>35</v>
      </c>
      <c r="DO56" s="276">
        <v>3</v>
      </c>
      <c r="DP56" s="276">
        <v>3</v>
      </c>
      <c r="DQ56" s="276">
        <v>0</v>
      </c>
      <c r="DR56" s="276">
        <v>0</v>
      </c>
      <c r="DS56" s="276">
        <v>41</v>
      </c>
      <c r="DT56" s="16">
        <v>30</v>
      </c>
      <c r="DU56" s="259"/>
      <c r="DV56" s="94" t="s">
        <v>1482</v>
      </c>
      <c r="DW56" s="94" t="s">
        <v>1968</v>
      </c>
      <c r="DX56" s="94">
        <v>221</v>
      </c>
      <c r="DY56" s="94">
        <v>260</v>
      </c>
      <c r="DZ56" s="94">
        <v>384</v>
      </c>
      <c r="EA56" s="94">
        <v>463</v>
      </c>
      <c r="EB56" s="94">
        <v>412</v>
      </c>
      <c r="EC56" s="94">
        <v>1740</v>
      </c>
      <c r="ED56" s="94"/>
      <c r="EE56" s="94" t="s">
        <v>1968</v>
      </c>
      <c r="EF56" s="94">
        <v>20</v>
      </c>
      <c r="EG56" s="94">
        <v>0</v>
      </c>
      <c r="EH56" s="94">
        <v>0</v>
      </c>
      <c r="EI56" s="94">
        <v>0</v>
      </c>
      <c r="EJ56" s="94">
        <v>0</v>
      </c>
      <c r="EK56" s="94">
        <v>20</v>
      </c>
      <c r="EN56" s="61" t="s">
        <v>1641</v>
      </c>
      <c r="EO56" s="61" t="s">
        <v>2856</v>
      </c>
      <c r="EP56" s="61" t="s">
        <v>1970</v>
      </c>
      <c r="EQ56" s="61" t="s">
        <v>1970</v>
      </c>
      <c r="ER56" s="61" t="s">
        <v>1970</v>
      </c>
      <c r="ES56" s="61" t="s">
        <v>1970</v>
      </c>
      <c r="ET56" s="61" t="s">
        <v>1970</v>
      </c>
      <c r="EU56" s="61" t="s">
        <v>1970</v>
      </c>
      <c r="EV56" s="61"/>
      <c r="EW56" s="61" t="s">
        <v>2856</v>
      </c>
      <c r="EX56" s="61" t="s">
        <v>1970</v>
      </c>
      <c r="EY56" s="61" t="s">
        <v>1970</v>
      </c>
      <c r="EZ56" s="61" t="s">
        <v>1970</v>
      </c>
      <c r="FA56" s="61" t="s">
        <v>1970</v>
      </c>
      <c r="FB56" s="61" t="s">
        <v>1970</v>
      </c>
      <c r="FC56" s="61" t="s">
        <v>1970</v>
      </c>
      <c r="FF56" s="80" t="s">
        <v>1746</v>
      </c>
      <c r="FG56" s="80" t="s">
        <v>2856</v>
      </c>
      <c r="FH56" s="80">
        <v>210</v>
      </c>
      <c r="FI56" s="80">
        <v>341</v>
      </c>
      <c r="FJ56" s="80">
        <v>330</v>
      </c>
      <c r="FK56" s="80">
        <v>381</v>
      </c>
      <c r="FL56" s="80">
        <v>496</v>
      </c>
      <c r="FM56" s="80">
        <v>1758</v>
      </c>
      <c r="FN56" s="80"/>
      <c r="FO56" s="80" t="s">
        <v>2856</v>
      </c>
      <c r="FP56" s="80">
        <v>56</v>
      </c>
      <c r="FQ56" s="80">
        <v>0</v>
      </c>
      <c r="FR56" s="80">
        <v>0</v>
      </c>
      <c r="FS56" s="80">
        <v>0</v>
      </c>
      <c r="FT56" s="80">
        <v>0</v>
      </c>
      <c r="FU56" s="80">
        <v>56</v>
      </c>
    </row>
    <row r="57" spans="2:177" x14ac:dyDescent="0.3">
      <c r="B57" s="71" t="s">
        <v>27</v>
      </c>
      <c r="C57" s="71" t="s">
        <v>2856</v>
      </c>
      <c r="D57" s="71" t="s">
        <v>1970</v>
      </c>
      <c r="E57" s="71" t="s">
        <v>1970</v>
      </c>
      <c r="F57" s="71" t="s">
        <v>1970</v>
      </c>
      <c r="G57" s="71" t="s">
        <v>1970</v>
      </c>
      <c r="H57" s="71" t="s">
        <v>1970</v>
      </c>
      <c r="I57" s="71" t="s">
        <v>1970</v>
      </c>
      <c r="K57" s="71" t="s">
        <v>2856</v>
      </c>
      <c r="L57" s="71" t="s">
        <v>1970</v>
      </c>
      <c r="M57" s="71" t="s">
        <v>1970</v>
      </c>
      <c r="N57" s="71" t="s">
        <v>1970</v>
      </c>
      <c r="O57" s="71" t="s">
        <v>1970</v>
      </c>
      <c r="P57" s="71" t="s">
        <v>1970</v>
      </c>
      <c r="Q57" s="71" t="s">
        <v>1970</v>
      </c>
      <c r="T57" s="72" t="s">
        <v>397</v>
      </c>
      <c r="U57" s="72" t="s">
        <v>2856</v>
      </c>
      <c r="V57" s="72">
        <v>1128</v>
      </c>
      <c r="W57" s="72">
        <v>996</v>
      </c>
      <c r="X57" s="72">
        <v>1433</v>
      </c>
      <c r="Y57" s="72">
        <v>1700</v>
      </c>
      <c r="Z57" s="72">
        <v>1332</v>
      </c>
      <c r="AA57" s="72">
        <v>6589</v>
      </c>
      <c r="AB57" s="72"/>
      <c r="AC57" s="72" t="s">
        <v>2856</v>
      </c>
      <c r="AD57" s="72">
        <v>34</v>
      </c>
      <c r="AE57" s="72">
        <v>0</v>
      </c>
      <c r="AF57" s="72">
        <v>0</v>
      </c>
      <c r="AG57" s="72">
        <v>0</v>
      </c>
      <c r="AH57" s="72">
        <v>0</v>
      </c>
      <c r="AI57" s="72">
        <v>34</v>
      </c>
      <c r="AK57" s="73" t="s">
        <v>476</v>
      </c>
      <c r="AL57" s="73" t="s">
        <v>2855</v>
      </c>
      <c r="AM57" s="73">
        <v>721</v>
      </c>
      <c r="AN57" s="73">
        <v>851</v>
      </c>
      <c r="AO57" s="73">
        <v>652</v>
      </c>
      <c r="AP57" s="73">
        <v>666</v>
      </c>
      <c r="AQ57" s="73">
        <v>872</v>
      </c>
      <c r="AR57" s="73">
        <v>3762</v>
      </c>
      <c r="AS57" s="73"/>
      <c r="AT57" s="73" t="s">
        <v>2855</v>
      </c>
      <c r="AU57" s="73">
        <v>57</v>
      </c>
      <c r="AV57" s="73">
        <v>12</v>
      </c>
      <c r="AW57" s="73">
        <v>3</v>
      </c>
      <c r="AX57" s="73">
        <v>6</v>
      </c>
      <c r="AY57" s="73">
        <v>8</v>
      </c>
      <c r="AZ57" s="73">
        <v>86</v>
      </c>
      <c r="BB57" s="78" t="s">
        <v>1038</v>
      </c>
      <c r="BC57" s="78" t="s">
        <v>2855</v>
      </c>
      <c r="BD57" s="78">
        <v>359</v>
      </c>
      <c r="BE57" s="78">
        <v>468</v>
      </c>
      <c r="BF57" s="78">
        <v>860</v>
      </c>
      <c r="BG57" s="78">
        <v>1189</v>
      </c>
      <c r="BH57" s="78">
        <v>1206</v>
      </c>
      <c r="BI57" s="78">
        <v>4082</v>
      </c>
      <c r="BJ57" s="78"/>
      <c r="BK57" s="78" t="s">
        <v>2855</v>
      </c>
      <c r="BL57" s="78">
        <v>55</v>
      </c>
      <c r="BM57" s="78">
        <v>2</v>
      </c>
      <c r="BN57" s="78">
        <v>0</v>
      </c>
      <c r="BO57" s="78">
        <v>0</v>
      </c>
      <c r="BP57" s="78">
        <v>0</v>
      </c>
      <c r="BQ57" s="78">
        <v>57</v>
      </c>
      <c r="BS57" s="80" t="s">
        <v>1077</v>
      </c>
      <c r="BT57" s="80" t="s">
        <v>1968</v>
      </c>
      <c r="BU57" s="80" t="s">
        <v>1970</v>
      </c>
      <c r="BV57" s="80" t="s">
        <v>1970</v>
      </c>
      <c r="BW57" s="80" t="s">
        <v>1970</v>
      </c>
      <c r="BX57" s="80" t="s">
        <v>1970</v>
      </c>
      <c r="BY57" s="80" t="s">
        <v>1970</v>
      </c>
      <c r="BZ57" s="80" t="s">
        <v>1970</v>
      </c>
      <c r="CA57" s="80"/>
      <c r="CB57" s="80" t="s">
        <v>1968</v>
      </c>
      <c r="CC57" s="80" t="s">
        <v>1970</v>
      </c>
      <c r="CD57" s="80" t="s">
        <v>1970</v>
      </c>
      <c r="CE57" s="80" t="s">
        <v>1970</v>
      </c>
      <c r="CF57" s="80" t="s">
        <v>1970</v>
      </c>
      <c r="CG57" s="80" t="s">
        <v>1970</v>
      </c>
      <c r="CH57" s="80" t="s">
        <v>1970</v>
      </c>
      <c r="CL57" s="61" t="s">
        <v>1341</v>
      </c>
      <c r="CM57" s="61" t="s">
        <v>2856</v>
      </c>
      <c r="CN57" s="61">
        <v>54</v>
      </c>
      <c r="CO57" s="61">
        <v>51</v>
      </c>
      <c r="CP57" s="61">
        <v>94</v>
      </c>
      <c r="CQ57" s="61">
        <v>132</v>
      </c>
      <c r="CR57" s="61">
        <v>173</v>
      </c>
      <c r="CS57" s="61">
        <v>504</v>
      </c>
      <c r="CT57" s="61"/>
      <c r="CU57" s="61" t="s">
        <v>2856</v>
      </c>
      <c r="CV57" s="61">
        <v>12</v>
      </c>
      <c r="CW57" s="61">
        <v>0</v>
      </c>
      <c r="CX57" s="61">
        <v>0</v>
      </c>
      <c r="CY57" s="61">
        <v>0</v>
      </c>
      <c r="CZ57" s="61">
        <v>0</v>
      </c>
      <c r="DA57" s="61">
        <v>12</v>
      </c>
      <c r="DD57" s="276" t="s">
        <v>1448</v>
      </c>
      <c r="DE57" s="276" t="s">
        <v>2840</v>
      </c>
      <c r="DF57" s="276">
        <v>265</v>
      </c>
      <c r="DG57" s="276">
        <v>281</v>
      </c>
      <c r="DH57" s="276">
        <v>378</v>
      </c>
      <c r="DI57" s="276">
        <v>506</v>
      </c>
      <c r="DJ57" s="276">
        <v>528</v>
      </c>
      <c r="DK57" s="276">
        <v>1958</v>
      </c>
      <c r="DL57" s="276"/>
      <c r="DM57" s="276" t="s">
        <v>2840</v>
      </c>
      <c r="DN57" s="276">
        <v>35</v>
      </c>
      <c r="DO57" s="276">
        <v>2</v>
      </c>
      <c r="DP57" s="276">
        <v>1</v>
      </c>
      <c r="DQ57" s="276">
        <v>1</v>
      </c>
      <c r="DR57" s="276">
        <v>0</v>
      </c>
      <c r="DS57" s="276">
        <v>39</v>
      </c>
      <c r="DT57" s="16">
        <v>29</v>
      </c>
      <c r="DV57" s="94" t="s">
        <v>1486</v>
      </c>
      <c r="DW57" s="94" t="s">
        <v>1968</v>
      </c>
      <c r="DX57" s="94">
        <v>208</v>
      </c>
      <c r="DY57" s="94">
        <v>250</v>
      </c>
      <c r="DZ57" s="94">
        <v>356</v>
      </c>
      <c r="EA57" s="94">
        <v>436</v>
      </c>
      <c r="EB57" s="94">
        <v>376</v>
      </c>
      <c r="EC57" s="94">
        <v>1626</v>
      </c>
      <c r="ED57" s="94"/>
      <c r="EE57" s="94" t="s">
        <v>1968</v>
      </c>
      <c r="EF57" s="94">
        <v>16</v>
      </c>
      <c r="EG57" s="94">
        <v>0</v>
      </c>
      <c r="EH57" s="94">
        <v>0</v>
      </c>
      <c r="EI57" s="94">
        <v>0</v>
      </c>
      <c r="EJ57" s="94">
        <v>0</v>
      </c>
      <c r="EK57" s="94">
        <v>16</v>
      </c>
      <c r="EN57" s="61" t="s">
        <v>1645</v>
      </c>
      <c r="EO57" s="61" t="s">
        <v>2856</v>
      </c>
      <c r="EP57" s="61">
        <v>297</v>
      </c>
      <c r="EQ57" s="61">
        <v>500</v>
      </c>
      <c r="ER57" s="61">
        <v>639</v>
      </c>
      <c r="ES57" s="61">
        <v>678</v>
      </c>
      <c r="ET57" s="61">
        <v>851</v>
      </c>
      <c r="EU57" s="61">
        <v>2965</v>
      </c>
      <c r="EV57" s="61"/>
      <c r="EW57" s="61" t="s">
        <v>2856</v>
      </c>
      <c r="EX57" s="61">
        <v>49</v>
      </c>
      <c r="EY57" s="61">
        <v>19</v>
      </c>
      <c r="EZ57" s="61">
        <v>12</v>
      </c>
      <c r="FA57" s="61">
        <v>5</v>
      </c>
      <c r="FB57" s="61">
        <v>14</v>
      </c>
      <c r="FC57" s="61">
        <v>99</v>
      </c>
      <c r="FF57" s="80" t="s">
        <v>1750</v>
      </c>
      <c r="FG57" s="80" t="s">
        <v>2856</v>
      </c>
      <c r="FH57" s="80">
        <v>203</v>
      </c>
      <c r="FI57" s="80">
        <v>238</v>
      </c>
      <c r="FJ57" s="80">
        <v>233</v>
      </c>
      <c r="FK57" s="80">
        <v>282</v>
      </c>
      <c r="FL57" s="80">
        <v>317</v>
      </c>
      <c r="FM57" s="80">
        <v>1273</v>
      </c>
      <c r="FN57" s="80"/>
      <c r="FO57" s="80" t="s">
        <v>2856</v>
      </c>
      <c r="FP57" s="80">
        <v>48</v>
      </c>
      <c r="FQ57" s="80">
        <v>29</v>
      </c>
      <c r="FR57" s="80">
        <v>14</v>
      </c>
      <c r="FS57" s="80">
        <v>5</v>
      </c>
      <c r="FT57" s="80">
        <v>0</v>
      </c>
      <c r="FU57" s="80">
        <v>96</v>
      </c>
    </row>
    <row r="58" spans="2:177" x14ac:dyDescent="0.3">
      <c r="B58" s="71" t="s">
        <v>31</v>
      </c>
      <c r="C58" s="71" t="s">
        <v>2856</v>
      </c>
      <c r="D58" s="71" t="s">
        <v>1970</v>
      </c>
      <c r="E58" s="71" t="s">
        <v>1970</v>
      </c>
      <c r="F58" s="71" t="s">
        <v>1970</v>
      </c>
      <c r="G58" s="71" t="s">
        <v>1970</v>
      </c>
      <c r="H58" s="71" t="s">
        <v>1970</v>
      </c>
      <c r="I58" s="71" t="s">
        <v>1970</v>
      </c>
      <c r="K58" s="71" t="s">
        <v>2856</v>
      </c>
      <c r="L58" s="71" t="s">
        <v>1970</v>
      </c>
      <c r="M58" s="71" t="s">
        <v>1970</v>
      </c>
      <c r="N58" s="71" t="s">
        <v>1970</v>
      </c>
      <c r="O58" s="71" t="s">
        <v>1970</v>
      </c>
      <c r="P58" s="71" t="s">
        <v>1970</v>
      </c>
      <c r="Q58" s="71" t="s">
        <v>1970</v>
      </c>
      <c r="T58" s="72" t="s">
        <v>403</v>
      </c>
      <c r="U58" s="72" t="s">
        <v>2856</v>
      </c>
      <c r="V58" s="72" t="s">
        <v>1970</v>
      </c>
      <c r="W58" s="72" t="s">
        <v>1970</v>
      </c>
      <c r="X58" s="72" t="s">
        <v>1970</v>
      </c>
      <c r="Y58" s="72" t="s">
        <v>1970</v>
      </c>
      <c r="Z58" s="72" t="s">
        <v>1970</v>
      </c>
      <c r="AA58" s="72" t="s">
        <v>1970</v>
      </c>
      <c r="AB58" s="72"/>
      <c r="AC58" s="72" t="s">
        <v>2856</v>
      </c>
      <c r="AD58" s="72" t="s">
        <v>1970</v>
      </c>
      <c r="AE58" s="72" t="s">
        <v>1970</v>
      </c>
      <c r="AF58" s="72" t="s">
        <v>1970</v>
      </c>
      <c r="AG58" s="72" t="s">
        <v>1970</v>
      </c>
      <c r="AH58" s="72" t="s">
        <v>1970</v>
      </c>
      <c r="AI58" s="72" t="s">
        <v>1970</v>
      </c>
      <c r="BB58" s="78" t="s">
        <v>1043</v>
      </c>
      <c r="BC58" s="78" t="s">
        <v>2855</v>
      </c>
      <c r="BD58" s="78">
        <v>315</v>
      </c>
      <c r="BE58" s="78">
        <v>440</v>
      </c>
      <c r="BF58" s="78">
        <v>694</v>
      </c>
      <c r="BG58" s="78">
        <v>969</v>
      </c>
      <c r="BH58" s="78">
        <v>908</v>
      </c>
      <c r="BI58" s="78">
        <v>3326</v>
      </c>
      <c r="BJ58" s="78"/>
      <c r="BK58" s="78" t="s">
        <v>2855</v>
      </c>
      <c r="BL58" s="78">
        <v>39</v>
      </c>
      <c r="BM58" s="78">
        <v>0</v>
      </c>
      <c r="BN58" s="78">
        <v>0</v>
      </c>
      <c r="BO58" s="78">
        <v>0</v>
      </c>
      <c r="BP58" s="78">
        <v>0</v>
      </c>
      <c r="BQ58" s="78">
        <v>39</v>
      </c>
      <c r="BS58" s="80" t="s">
        <v>1082</v>
      </c>
      <c r="BT58" s="80" t="s">
        <v>1968</v>
      </c>
      <c r="BU58" s="80">
        <v>1513</v>
      </c>
      <c r="BV58" s="80">
        <v>903</v>
      </c>
      <c r="BW58" s="80">
        <v>891</v>
      </c>
      <c r="BX58" s="80">
        <v>835</v>
      </c>
      <c r="BY58" s="80">
        <v>636</v>
      </c>
      <c r="BZ58" s="80">
        <v>4778</v>
      </c>
      <c r="CA58" s="80"/>
      <c r="CB58" s="80" t="s">
        <v>1968</v>
      </c>
      <c r="CC58" s="80">
        <v>485</v>
      </c>
      <c r="CD58" s="80">
        <v>3</v>
      </c>
      <c r="CE58" s="80">
        <v>0</v>
      </c>
      <c r="CF58" s="80">
        <v>0</v>
      </c>
      <c r="CG58" s="80">
        <v>0</v>
      </c>
      <c r="CH58" s="80">
        <v>488</v>
      </c>
      <c r="CL58" s="61" t="s">
        <v>1207</v>
      </c>
      <c r="CM58" s="61" t="s">
        <v>2856</v>
      </c>
      <c r="CN58" s="61">
        <v>235</v>
      </c>
      <c r="CO58" s="61">
        <v>118</v>
      </c>
      <c r="CP58" s="61">
        <v>158</v>
      </c>
      <c r="CQ58" s="61">
        <v>209</v>
      </c>
      <c r="CR58" s="61">
        <v>321</v>
      </c>
      <c r="CS58" s="61">
        <v>1041</v>
      </c>
      <c r="CT58" s="61"/>
      <c r="CU58" s="61" t="s">
        <v>2856</v>
      </c>
      <c r="CV58" s="61">
        <v>55</v>
      </c>
      <c r="CW58" s="61">
        <v>0</v>
      </c>
      <c r="CX58" s="61">
        <v>0</v>
      </c>
      <c r="CY58" s="61">
        <v>0</v>
      </c>
      <c r="CZ58" s="61">
        <v>0</v>
      </c>
      <c r="DA58" s="61">
        <v>55</v>
      </c>
      <c r="DD58" s="276" t="s">
        <v>1452</v>
      </c>
      <c r="DE58" s="276" t="s">
        <v>2840</v>
      </c>
      <c r="DF58" s="276">
        <v>300</v>
      </c>
      <c r="DG58" s="276">
        <v>367</v>
      </c>
      <c r="DH58" s="276">
        <v>452</v>
      </c>
      <c r="DI58" s="276">
        <v>460</v>
      </c>
      <c r="DJ58" s="276">
        <v>391</v>
      </c>
      <c r="DK58" s="276">
        <v>1970</v>
      </c>
      <c r="DL58" s="276"/>
      <c r="DM58" s="276" t="s">
        <v>2840</v>
      </c>
      <c r="DN58" s="276">
        <v>32</v>
      </c>
      <c r="DO58" s="276">
        <v>8</v>
      </c>
      <c r="DP58" s="276">
        <v>0</v>
      </c>
      <c r="DQ58" s="276">
        <v>1</v>
      </c>
      <c r="DR58" s="276">
        <v>0</v>
      </c>
      <c r="DS58" s="276">
        <v>41</v>
      </c>
      <c r="DT58" s="16">
        <v>21</v>
      </c>
      <c r="DV58" s="94" t="s">
        <v>1494</v>
      </c>
      <c r="DW58" s="94" t="s">
        <v>1968</v>
      </c>
      <c r="DX58" s="94">
        <v>1491</v>
      </c>
      <c r="DY58" s="94">
        <v>1039</v>
      </c>
      <c r="DZ58" s="94">
        <v>1275</v>
      </c>
      <c r="EA58" s="94">
        <v>1334</v>
      </c>
      <c r="EB58" s="94">
        <v>1000</v>
      </c>
      <c r="EC58" s="94">
        <v>6139</v>
      </c>
      <c r="ED58" s="94"/>
      <c r="EE58" s="94" t="s">
        <v>1968</v>
      </c>
      <c r="EF58" s="94">
        <v>46</v>
      </c>
      <c r="EG58" s="94">
        <v>0</v>
      </c>
      <c r="EH58" s="94">
        <v>0</v>
      </c>
      <c r="EI58" s="94">
        <v>0</v>
      </c>
      <c r="EJ58" s="94">
        <v>0</v>
      </c>
      <c r="EK58" s="94">
        <v>46</v>
      </c>
      <c r="EN58" s="61" t="s">
        <v>1649</v>
      </c>
      <c r="EO58" s="61" t="s">
        <v>2856</v>
      </c>
      <c r="EP58" s="61">
        <v>635</v>
      </c>
      <c r="EQ58" s="61">
        <v>739</v>
      </c>
      <c r="ER58" s="61">
        <v>895</v>
      </c>
      <c r="ES58" s="61">
        <v>1022</v>
      </c>
      <c r="ET58" s="61">
        <v>1107</v>
      </c>
      <c r="EU58" s="61">
        <v>4398</v>
      </c>
      <c r="EV58" s="61"/>
      <c r="EW58" s="61" t="s">
        <v>2856</v>
      </c>
      <c r="EX58" s="61">
        <v>75</v>
      </c>
      <c r="EY58" s="61">
        <v>37</v>
      </c>
      <c r="EZ58" s="61">
        <v>30</v>
      </c>
      <c r="FA58" s="61">
        <v>35</v>
      </c>
      <c r="FB58" s="61">
        <v>24</v>
      </c>
      <c r="FC58" s="61">
        <v>201</v>
      </c>
      <c r="FF58" s="80" t="s">
        <v>1757</v>
      </c>
      <c r="FG58" s="80" t="s">
        <v>2856</v>
      </c>
      <c r="FH58" s="80">
        <v>459</v>
      </c>
      <c r="FI58" s="80">
        <v>463</v>
      </c>
      <c r="FJ58" s="80">
        <v>417</v>
      </c>
      <c r="FK58" s="80">
        <v>462</v>
      </c>
      <c r="FL58" s="80">
        <v>647</v>
      </c>
      <c r="FM58" s="80">
        <v>2448</v>
      </c>
      <c r="FN58" s="80"/>
      <c r="FO58" s="80" t="s">
        <v>2856</v>
      </c>
      <c r="FP58" s="80">
        <v>112</v>
      </c>
      <c r="FQ58" s="80">
        <v>0</v>
      </c>
      <c r="FR58" s="80">
        <v>0</v>
      </c>
      <c r="FS58" s="80">
        <v>0</v>
      </c>
      <c r="FT58" s="80">
        <v>0</v>
      </c>
      <c r="FU58" s="80">
        <v>112</v>
      </c>
    </row>
    <row r="59" spans="2:177" x14ac:dyDescent="0.3">
      <c r="B59" s="71" t="s">
        <v>35</v>
      </c>
      <c r="C59" s="71" t="s">
        <v>2856</v>
      </c>
      <c r="D59" s="71" t="s">
        <v>1970</v>
      </c>
      <c r="E59" s="71" t="s">
        <v>1970</v>
      </c>
      <c r="F59" s="71" t="s">
        <v>1970</v>
      </c>
      <c r="G59" s="71" t="s">
        <v>1970</v>
      </c>
      <c r="H59" s="71" t="s">
        <v>1970</v>
      </c>
      <c r="I59" s="71" t="s">
        <v>1970</v>
      </c>
      <c r="K59" s="71" t="s">
        <v>2856</v>
      </c>
      <c r="L59" s="71" t="s">
        <v>1970</v>
      </c>
      <c r="M59" s="71" t="s">
        <v>1970</v>
      </c>
      <c r="N59" s="71" t="s">
        <v>1970</v>
      </c>
      <c r="O59" s="71" t="s">
        <v>1970</v>
      </c>
      <c r="P59" s="71" t="s">
        <v>1970</v>
      </c>
      <c r="Q59" s="71" t="s">
        <v>1970</v>
      </c>
      <c r="T59" s="72" t="s">
        <v>2463</v>
      </c>
      <c r="U59" s="72" t="s">
        <v>2856</v>
      </c>
      <c r="V59" s="72">
        <v>233</v>
      </c>
      <c r="W59" s="72">
        <v>494</v>
      </c>
      <c r="X59" s="72">
        <v>793</v>
      </c>
      <c r="Y59" s="72">
        <v>887</v>
      </c>
      <c r="Z59" s="72">
        <v>565</v>
      </c>
      <c r="AA59" s="72">
        <v>2972</v>
      </c>
      <c r="AB59" s="72"/>
      <c r="AC59" s="72" t="s">
        <v>2856</v>
      </c>
      <c r="AD59" s="72">
        <v>5</v>
      </c>
      <c r="AE59" s="72">
        <v>3</v>
      </c>
      <c r="AF59" s="72">
        <v>1</v>
      </c>
      <c r="AG59" s="72">
        <v>0</v>
      </c>
      <c r="AH59" s="72">
        <v>0</v>
      </c>
      <c r="AI59" s="72">
        <v>9</v>
      </c>
      <c r="AK59" s="73" t="s">
        <v>556</v>
      </c>
      <c r="AL59" s="73" t="s">
        <v>2856</v>
      </c>
      <c r="AM59" s="73">
        <v>349</v>
      </c>
      <c r="AN59" s="73">
        <v>540</v>
      </c>
      <c r="AO59" s="73">
        <v>852</v>
      </c>
      <c r="AP59" s="73">
        <v>996</v>
      </c>
      <c r="AQ59" s="73">
        <v>689</v>
      </c>
      <c r="AR59" s="73">
        <v>3426</v>
      </c>
      <c r="AS59" s="73"/>
      <c r="AT59" s="73" t="s">
        <v>2856</v>
      </c>
      <c r="AU59" s="73">
        <v>60</v>
      </c>
      <c r="AV59" s="73">
        <v>4</v>
      </c>
      <c r="AW59" s="73">
        <v>1</v>
      </c>
      <c r="AX59" s="73">
        <v>0</v>
      </c>
      <c r="AY59" s="73">
        <v>1</v>
      </c>
      <c r="AZ59" s="73">
        <v>66</v>
      </c>
      <c r="BB59" s="78" t="s">
        <v>1047</v>
      </c>
      <c r="BC59" s="78" t="s">
        <v>2855</v>
      </c>
      <c r="BD59" s="78">
        <v>172</v>
      </c>
      <c r="BE59" s="78">
        <v>219</v>
      </c>
      <c r="BF59" s="78">
        <v>435</v>
      </c>
      <c r="BG59" s="78">
        <v>729</v>
      </c>
      <c r="BH59" s="78">
        <v>682</v>
      </c>
      <c r="BI59" s="78">
        <v>2237</v>
      </c>
      <c r="BJ59" s="78"/>
      <c r="BK59" s="78" t="s">
        <v>2855</v>
      </c>
      <c r="BL59" s="78">
        <v>36</v>
      </c>
      <c r="BM59" s="78">
        <v>0</v>
      </c>
      <c r="BN59" s="78">
        <v>0</v>
      </c>
      <c r="BO59" s="78">
        <v>0</v>
      </c>
      <c r="BP59" s="78">
        <v>0</v>
      </c>
      <c r="BQ59" s="78">
        <v>36</v>
      </c>
      <c r="BS59" s="80" t="s">
        <v>1085</v>
      </c>
      <c r="BT59" s="80" t="s">
        <v>1968</v>
      </c>
      <c r="BU59" s="80">
        <v>31</v>
      </c>
      <c r="BV59" s="80">
        <v>40</v>
      </c>
      <c r="BW59" s="80">
        <v>77</v>
      </c>
      <c r="BX59" s="80">
        <v>105</v>
      </c>
      <c r="BY59" s="80">
        <v>90</v>
      </c>
      <c r="BZ59" s="80">
        <v>343</v>
      </c>
      <c r="CA59" s="80"/>
      <c r="CB59" s="80" t="s">
        <v>1968</v>
      </c>
      <c r="CC59" s="80">
        <v>10</v>
      </c>
      <c r="CD59" s="80">
        <v>0</v>
      </c>
      <c r="CE59" s="80">
        <v>0</v>
      </c>
      <c r="CF59" s="80">
        <v>0</v>
      </c>
      <c r="CG59" s="80">
        <v>0</v>
      </c>
      <c r="CH59" s="80">
        <v>10</v>
      </c>
      <c r="CL59" s="61" t="s">
        <v>1191</v>
      </c>
      <c r="CM59" s="61" t="s">
        <v>2856</v>
      </c>
      <c r="CN59" s="61">
        <v>284</v>
      </c>
      <c r="CO59" s="61">
        <v>225</v>
      </c>
      <c r="CP59" s="61">
        <v>298</v>
      </c>
      <c r="CQ59" s="61">
        <v>398</v>
      </c>
      <c r="CR59" s="61">
        <v>313</v>
      </c>
      <c r="CS59" s="61">
        <v>1518</v>
      </c>
      <c r="CT59" s="61"/>
      <c r="CU59" s="61" t="s">
        <v>2856</v>
      </c>
      <c r="CV59" s="61">
        <v>25</v>
      </c>
      <c r="CW59" s="61">
        <v>0</v>
      </c>
      <c r="CX59" s="61">
        <v>0</v>
      </c>
      <c r="CY59" s="61">
        <v>0</v>
      </c>
      <c r="CZ59" s="61">
        <v>0</v>
      </c>
      <c r="DA59" s="61">
        <v>25</v>
      </c>
      <c r="DV59" s="94" t="s">
        <v>1498</v>
      </c>
      <c r="DW59" s="94" t="s">
        <v>1968</v>
      </c>
      <c r="DX59" s="94" t="s">
        <v>1970</v>
      </c>
      <c r="DY59" s="94" t="s">
        <v>1970</v>
      </c>
      <c r="DZ59" s="94" t="s">
        <v>1970</v>
      </c>
      <c r="EA59" s="94" t="s">
        <v>1970</v>
      </c>
      <c r="EB59" s="94" t="s">
        <v>1970</v>
      </c>
      <c r="EC59" s="94" t="s">
        <v>1970</v>
      </c>
      <c r="ED59" s="94"/>
      <c r="EE59" s="94" t="s">
        <v>1968</v>
      </c>
      <c r="EF59" s="94" t="s">
        <v>1970</v>
      </c>
      <c r="EG59" s="94" t="s">
        <v>1970</v>
      </c>
      <c r="EH59" s="94" t="s">
        <v>1970</v>
      </c>
      <c r="EI59" s="94" t="s">
        <v>1970</v>
      </c>
      <c r="EJ59" s="94" t="s">
        <v>1970</v>
      </c>
      <c r="EK59" s="94" t="s">
        <v>1970</v>
      </c>
      <c r="EN59" s="61" t="s">
        <v>1653</v>
      </c>
      <c r="EO59" s="61" t="s">
        <v>2856</v>
      </c>
      <c r="EP59" s="61">
        <v>322</v>
      </c>
      <c r="EQ59" s="61">
        <v>379</v>
      </c>
      <c r="ER59" s="61">
        <v>429</v>
      </c>
      <c r="ES59" s="61">
        <v>459</v>
      </c>
      <c r="ET59" s="61">
        <v>560</v>
      </c>
      <c r="EU59" s="61">
        <v>2149</v>
      </c>
      <c r="EV59" s="61"/>
      <c r="EW59" s="61" t="s">
        <v>2856</v>
      </c>
      <c r="EX59" s="61">
        <v>16</v>
      </c>
      <c r="EY59" s="61">
        <v>9</v>
      </c>
      <c r="EZ59" s="61">
        <v>8</v>
      </c>
      <c r="FA59" s="61">
        <v>6</v>
      </c>
      <c r="FB59" s="61">
        <v>12</v>
      </c>
      <c r="FC59" s="61">
        <v>51</v>
      </c>
      <c r="FF59" s="80" t="s">
        <v>1761</v>
      </c>
      <c r="FG59" s="80" t="s">
        <v>2856</v>
      </c>
      <c r="FH59" s="80">
        <v>500</v>
      </c>
      <c r="FI59" s="80">
        <v>602</v>
      </c>
      <c r="FJ59" s="80">
        <v>520</v>
      </c>
      <c r="FK59" s="80">
        <v>583</v>
      </c>
      <c r="FL59" s="80">
        <v>816</v>
      </c>
      <c r="FM59" s="80">
        <v>3021</v>
      </c>
      <c r="FN59" s="80"/>
      <c r="FO59" s="80" t="s">
        <v>2856</v>
      </c>
      <c r="FP59" s="80">
        <v>77</v>
      </c>
      <c r="FQ59" s="80">
        <v>27</v>
      </c>
      <c r="FR59" s="80">
        <v>0</v>
      </c>
      <c r="FS59" s="80">
        <v>0</v>
      </c>
      <c r="FT59" s="80">
        <v>0</v>
      </c>
      <c r="FU59" s="80">
        <v>104</v>
      </c>
    </row>
    <row r="60" spans="2:177" x14ac:dyDescent="0.3">
      <c r="B60" s="71" t="s">
        <v>39</v>
      </c>
      <c r="C60" s="71" t="s">
        <v>2856</v>
      </c>
      <c r="D60" s="71" t="s">
        <v>1970</v>
      </c>
      <c r="E60" s="71" t="s">
        <v>1970</v>
      </c>
      <c r="F60" s="71" t="s">
        <v>1970</v>
      </c>
      <c r="G60" s="71" t="s">
        <v>1970</v>
      </c>
      <c r="H60" s="71" t="s">
        <v>1970</v>
      </c>
      <c r="I60" s="71" t="s">
        <v>1970</v>
      </c>
      <c r="K60" s="71" t="s">
        <v>2856</v>
      </c>
      <c r="L60" s="71" t="s">
        <v>1970</v>
      </c>
      <c r="M60" s="71" t="s">
        <v>1970</v>
      </c>
      <c r="N60" s="71" t="s">
        <v>1970</v>
      </c>
      <c r="O60" s="71" t="s">
        <v>1970</v>
      </c>
      <c r="P60" s="71" t="s">
        <v>1970</v>
      </c>
      <c r="Q60" s="71" t="s">
        <v>1970</v>
      </c>
      <c r="T60" s="72" t="s">
        <v>407</v>
      </c>
      <c r="U60" s="72" t="s">
        <v>2856</v>
      </c>
      <c r="V60" s="72">
        <v>212</v>
      </c>
      <c r="W60" s="72">
        <v>370</v>
      </c>
      <c r="X60" s="72">
        <v>625</v>
      </c>
      <c r="Y60" s="72">
        <v>707</v>
      </c>
      <c r="Z60" s="72">
        <v>502</v>
      </c>
      <c r="AA60" s="72">
        <v>2416</v>
      </c>
      <c r="AB60" s="72"/>
      <c r="AC60" s="72" t="s">
        <v>2856</v>
      </c>
      <c r="AD60" s="72">
        <v>7</v>
      </c>
      <c r="AE60" s="72">
        <v>1</v>
      </c>
      <c r="AF60" s="72">
        <v>1</v>
      </c>
      <c r="AG60" s="72">
        <v>0</v>
      </c>
      <c r="AH60" s="72">
        <v>0</v>
      </c>
      <c r="AI60" s="72">
        <v>9</v>
      </c>
      <c r="AK60" s="73" t="s">
        <v>562</v>
      </c>
      <c r="AL60" s="73" t="s">
        <v>2856</v>
      </c>
      <c r="AM60" s="73">
        <v>303</v>
      </c>
      <c r="AN60" s="73">
        <v>518</v>
      </c>
      <c r="AO60" s="73">
        <v>898</v>
      </c>
      <c r="AP60" s="73">
        <v>1276</v>
      </c>
      <c r="AQ60" s="73">
        <v>945</v>
      </c>
      <c r="AR60" s="73">
        <v>3940</v>
      </c>
      <c r="AS60" s="73"/>
      <c r="AT60" s="73" t="s">
        <v>2856</v>
      </c>
      <c r="AU60" s="73">
        <v>22</v>
      </c>
      <c r="AV60" s="73">
        <v>3</v>
      </c>
      <c r="AW60" s="73">
        <v>0</v>
      </c>
      <c r="AX60" s="73">
        <v>0</v>
      </c>
      <c r="AY60" s="73">
        <v>0</v>
      </c>
      <c r="AZ60" s="73">
        <v>25</v>
      </c>
      <c r="BB60" s="78" t="s">
        <v>1052</v>
      </c>
      <c r="BC60" s="78" t="s">
        <v>2855</v>
      </c>
      <c r="BD60" s="78">
        <v>53</v>
      </c>
      <c r="BE60" s="78">
        <v>73</v>
      </c>
      <c r="BF60" s="78">
        <v>138</v>
      </c>
      <c r="BG60" s="78">
        <v>267</v>
      </c>
      <c r="BH60" s="78">
        <v>260</v>
      </c>
      <c r="BI60" s="78">
        <v>791</v>
      </c>
      <c r="BJ60" s="78"/>
      <c r="BK60" s="78" t="s">
        <v>2855</v>
      </c>
      <c r="BL60" s="78">
        <v>16</v>
      </c>
      <c r="BM60" s="78">
        <v>0</v>
      </c>
      <c r="BN60" s="78">
        <v>0</v>
      </c>
      <c r="BO60" s="78">
        <v>0</v>
      </c>
      <c r="BP60" s="78">
        <v>0</v>
      </c>
      <c r="BQ60" s="78">
        <v>16</v>
      </c>
      <c r="BS60" s="80" t="s">
        <v>1090</v>
      </c>
      <c r="BT60" s="80" t="s">
        <v>1968</v>
      </c>
      <c r="BU60" s="80" t="s">
        <v>1970</v>
      </c>
      <c r="BV60" s="80" t="s">
        <v>1970</v>
      </c>
      <c r="BW60" s="80" t="s">
        <v>1970</v>
      </c>
      <c r="BX60" s="80" t="s">
        <v>1970</v>
      </c>
      <c r="BY60" s="80" t="s">
        <v>1970</v>
      </c>
      <c r="BZ60" s="80" t="s">
        <v>1970</v>
      </c>
      <c r="CA60" s="80"/>
      <c r="CB60" s="80" t="s">
        <v>1968</v>
      </c>
      <c r="CC60" s="80" t="s">
        <v>1970</v>
      </c>
      <c r="CD60" s="80" t="s">
        <v>1970</v>
      </c>
      <c r="CE60" s="80" t="s">
        <v>1970</v>
      </c>
      <c r="CF60" s="80" t="s">
        <v>1970</v>
      </c>
      <c r="CG60" s="80" t="s">
        <v>1970</v>
      </c>
      <c r="CH60" s="80" t="s">
        <v>1970</v>
      </c>
      <c r="CL60" s="61" t="s">
        <v>1199</v>
      </c>
      <c r="CM60" s="61" t="s">
        <v>2856</v>
      </c>
      <c r="CN60" s="61">
        <v>192</v>
      </c>
      <c r="CO60" s="61">
        <v>178</v>
      </c>
      <c r="CP60" s="61">
        <v>280</v>
      </c>
      <c r="CQ60" s="61">
        <v>379</v>
      </c>
      <c r="CR60" s="61">
        <v>337</v>
      </c>
      <c r="CS60" s="61">
        <v>1366</v>
      </c>
      <c r="CT60" s="61"/>
      <c r="CU60" s="61" t="s">
        <v>2856</v>
      </c>
      <c r="CV60" s="61">
        <v>23</v>
      </c>
      <c r="CW60" s="61">
        <v>0</v>
      </c>
      <c r="CX60" s="61">
        <v>0</v>
      </c>
      <c r="CY60" s="61">
        <v>0</v>
      </c>
      <c r="CZ60" s="61">
        <v>0</v>
      </c>
      <c r="DA60" s="61">
        <v>23</v>
      </c>
      <c r="DV60" s="94" t="s">
        <v>1502</v>
      </c>
      <c r="DW60" s="94" t="s">
        <v>1968</v>
      </c>
      <c r="DX60" s="94">
        <v>188</v>
      </c>
      <c r="DY60" s="94">
        <v>238</v>
      </c>
      <c r="DZ60" s="94">
        <v>353</v>
      </c>
      <c r="EA60" s="94">
        <v>404</v>
      </c>
      <c r="EB60" s="94">
        <v>271</v>
      </c>
      <c r="EC60" s="94">
        <v>1454</v>
      </c>
      <c r="ED60" s="94"/>
      <c r="EE60" s="94" t="s">
        <v>1968</v>
      </c>
      <c r="EF60" s="94">
        <v>11</v>
      </c>
      <c r="EG60" s="94">
        <v>0</v>
      </c>
      <c r="EH60" s="94">
        <v>0</v>
      </c>
      <c r="EI60" s="94">
        <v>0</v>
      </c>
      <c r="EJ60" s="94">
        <v>0</v>
      </c>
      <c r="EK60" s="94">
        <v>11</v>
      </c>
      <c r="EN60" s="61" t="s">
        <v>1657</v>
      </c>
      <c r="EO60" s="61" t="s">
        <v>2856</v>
      </c>
      <c r="EP60" s="61">
        <v>100</v>
      </c>
      <c r="EQ60" s="61">
        <v>126</v>
      </c>
      <c r="ER60" s="61">
        <v>184</v>
      </c>
      <c r="ES60" s="61">
        <v>215</v>
      </c>
      <c r="ET60" s="61">
        <v>252</v>
      </c>
      <c r="EU60" s="61">
        <v>877</v>
      </c>
      <c r="EV60" s="61"/>
      <c r="EW60" s="61" t="s">
        <v>2856</v>
      </c>
      <c r="EX60" s="61">
        <v>28</v>
      </c>
      <c r="EY60" s="61">
        <v>5</v>
      </c>
      <c r="EZ60" s="61">
        <v>1</v>
      </c>
      <c r="FA60" s="61">
        <v>0</v>
      </c>
      <c r="FB60" s="61">
        <v>0</v>
      </c>
      <c r="FC60" s="61">
        <v>34</v>
      </c>
      <c r="FF60" s="80" t="s">
        <v>1765</v>
      </c>
      <c r="FG60" s="80" t="s">
        <v>2856</v>
      </c>
      <c r="FH60" s="80" t="s">
        <v>1970</v>
      </c>
      <c r="FI60" s="80" t="s">
        <v>1970</v>
      </c>
      <c r="FJ60" s="80" t="s">
        <v>1970</v>
      </c>
      <c r="FK60" s="80" t="s">
        <v>1970</v>
      </c>
      <c r="FL60" s="80" t="s">
        <v>1970</v>
      </c>
      <c r="FM60" s="80" t="s">
        <v>1970</v>
      </c>
      <c r="FN60" s="80"/>
      <c r="FO60" s="80" t="s">
        <v>2856</v>
      </c>
      <c r="FP60" s="80" t="s">
        <v>1970</v>
      </c>
      <c r="FQ60" s="80" t="s">
        <v>1970</v>
      </c>
      <c r="FR60" s="80" t="s">
        <v>1970</v>
      </c>
      <c r="FS60" s="80" t="s">
        <v>1970</v>
      </c>
      <c r="FT60" s="80" t="s">
        <v>1970</v>
      </c>
      <c r="FU60" s="80" t="s">
        <v>1970</v>
      </c>
    </row>
    <row r="61" spans="2:177" x14ac:dyDescent="0.3">
      <c r="B61" s="71" t="s">
        <v>43</v>
      </c>
      <c r="C61" s="71" t="s">
        <v>2856</v>
      </c>
      <c r="D61" s="71" t="s">
        <v>1970</v>
      </c>
      <c r="E61" s="71" t="s">
        <v>1970</v>
      </c>
      <c r="F61" s="71" t="s">
        <v>1970</v>
      </c>
      <c r="G61" s="71" t="s">
        <v>1970</v>
      </c>
      <c r="H61" s="71" t="s">
        <v>1970</v>
      </c>
      <c r="I61" s="71" t="s">
        <v>1970</v>
      </c>
      <c r="K61" s="71" t="s">
        <v>2856</v>
      </c>
      <c r="L61" s="71" t="s">
        <v>1970</v>
      </c>
      <c r="M61" s="71" t="s">
        <v>1970</v>
      </c>
      <c r="N61" s="71" t="s">
        <v>1970</v>
      </c>
      <c r="O61" s="71" t="s">
        <v>1970</v>
      </c>
      <c r="P61" s="71" t="s">
        <v>1970</v>
      </c>
      <c r="Q61" s="71" t="s">
        <v>1970</v>
      </c>
      <c r="T61" s="72" t="s">
        <v>411</v>
      </c>
      <c r="U61" s="72" t="s">
        <v>2856</v>
      </c>
      <c r="V61" s="72">
        <v>939</v>
      </c>
      <c r="W61" s="72">
        <v>446</v>
      </c>
      <c r="X61" s="72">
        <v>448</v>
      </c>
      <c r="Y61" s="72">
        <v>412</v>
      </c>
      <c r="Z61" s="72">
        <v>300</v>
      </c>
      <c r="AA61" s="72">
        <v>2545</v>
      </c>
      <c r="AB61" s="72"/>
      <c r="AC61" s="72" t="s">
        <v>2856</v>
      </c>
      <c r="AD61" s="72">
        <v>44</v>
      </c>
      <c r="AE61" s="72">
        <v>0</v>
      </c>
      <c r="AF61" s="72">
        <v>0</v>
      </c>
      <c r="AG61" s="72">
        <v>0</v>
      </c>
      <c r="AH61" s="72">
        <v>0</v>
      </c>
      <c r="AI61" s="72">
        <v>44</v>
      </c>
      <c r="AK61" s="73" t="s">
        <v>566</v>
      </c>
      <c r="AL61" s="73" t="s">
        <v>2856</v>
      </c>
      <c r="AM61" s="73">
        <v>223</v>
      </c>
      <c r="AN61" s="73">
        <v>329</v>
      </c>
      <c r="AO61" s="73">
        <v>507</v>
      </c>
      <c r="AP61" s="73">
        <v>571</v>
      </c>
      <c r="AQ61" s="73">
        <v>424</v>
      </c>
      <c r="AR61" s="73">
        <v>2054</v>
      </c>
      <c r="AS61" s="73"/>
      <c r="AT61" s="73" t="s">
        <v>2856</v>
      </c>
      <c r="AU61" s="73">
        <v>19</v>
      </c>
      <c r="AV61" s="73">
        <v>0</v>
      </c>
      <c r="AW61" s="73">
        <v>0</v>
      </c>
      <c r="AX61" s="73">
        <v>0</v>
      </c>
      <c r="AY61" s="73">
        <v>0</v>
      </c>
      <c r="AZ61" s="73">
        <v>19</v>
      </c>
      <c r="BB61" s="78" t="s">
        <v>1057</v>
      </c>
      <c r="BC61" s="78" t="s">
        <v>2855</v>
      </c>
      <c r="BD61" s="78" t="s">
        <v>1970</v>
      </c>
      <c r="BE61" s="78" t="s">
        <v>1970</v>
      </c>
      <c r="BF61" s="78" t="s">
        <v>1970</v>
      </c>
      <c r="BG61" s="78" t="s">
        <v>1970</v>
      </c>
      <c r="BH61" s="78" t="s">
        <v>1970</v>
      </c>
      <c r="BI61" s="78" t="s">
        <v>1970</v>
      </c>
      <c r="BJ61" s="78"/>
      <c r="BK61" s="78" t="s">
        <v>2855</v>
      </c>
      <c r="BL61" s="78" t="s">
        <v>1970</v>
      </c>
      <c r="BM61" s="78" t="s">
        <v>1970</v>
      </c>
      <c r="BN61" s="78" t="s">
        <v>1970</v>
      </c>
      <c r="BO61" s="78" t="s">
        <v>1970</v>
      </c>
      <c r="BP61" s="78" t="s">
        <v>1970</v>
      </c>
      <c r="BQ61" s="78" t="s">
        <v>1970</v>
      </c>
      <c r="BS61" s="80" t="s">
        <v>1095</v>
      </c>
      <c r="BT61" s="80" t="s">
        <v>1968</v>
      </c>
      <c r="BU61" s="80">
        <v>1038</v>
      </c>
      <c r="BV61" s="80">
        <v>382</v>
      </c>
      <c r="BW61" s="80">
        <v>517</v>
      </c>
      <c r="BX61" s="80">
        <v>687</v>
      </c>
      <c r="BY61" s="80">
        <v>636</v>
      </c>
      <c r="BZ61" s="80">
        <v>3260</v>
      </c>
      <c r="CA61" s="80"/>
      <c r="CB61" s="80" t="s">
        <v>1968</v>
      </c>
      <c r="CC61" s="80">
        <v>295</v>
      </c>
      <c r="CD61" s="80">
        <v>0</v>
      </c>
      <c r="CE61" s="80">
        <v>0</v>
      </c>
      <c r="CF61" s="80">
        <v>0</v>
      </c>
      <c r="CG61" s="80">
        <v>0</v>
      </c>
      <c r="CH61" s="80">
        <v>295</v>
      </c>
      <c r="CL61" s="61" t="s">
        <v>1203</v>
      </c>
      <c r="CM61" s="61" t="s">
        <v>2856</v>
      </c>
      <c r="CN61" s="61">
        <v>233</v>
      </c>
      <c r="CO61" s="61">
        <v>414</v>
      </c>
      <c r="CP61" s="61">
        <v>510</v>
      </c>
      <c r="CQ61" s="61">
        <v>647</v>
      </c>
      <c r="CR61" s="61">
        <v>528</v>
      </c>
      <c r="CS61" s="61">
        <v>2332</v>
      </c>
      <c r="CT61" s="61"/>
      <c r="CU61" s="61" t="s">
        <v>2856</v>
      </c>
      <c r="CV61" s="61">
        <v>15</v>
      </c>
      <c r="CW61" s="61">
        <v>0</v>
      </c>
      <c r="CX61" s="61">
        <v>0</v>
      </c>
      <c r="CY61" s="61">
        <v>0</v>
      </c>
      <c r="CZ61" s="61">
        <v>0</v>
      </c>
      <c r="DA61" s="61">
        <v>15</v>
      </c>
      <c r="DV61" s="94" t="s">
        <v>1506</v>
      </c>
      <c r="DW61" s="94" t="s">
        <v>1968</v>
      </c>
      <c r="DX61" s="94">
        <v>131</v>
      </c>
      <c r="DY61" s="94">
        <v>215</v>
      </c>
      <c r="DZ61" s="94">
        <v>372</v>
      </c>
      <c r="EA61" s="94">
        <v>439</v>
      </c>
      <c r="EB61" s="94">
        <v>364</v>
      </c>
      <c r="EC61" s="94">
        <v>1521</v>
      </c>
      <c r="ED61" s="94"/>
      <c r="EE61" s="94" t="s">
        <v>1968</v>
      </c>
      <c r="EF61" s="94">
        <v>15</v>
      </c>
      <c r="EG61" s="94">
        <v>1</v>
      </c>
      <c r="EH61" s="94">
        <v>0</v>
      </c>
      <c r="EI61" s="94">
        <v>0</v>
      </c>
      <c r="EJ61" s="94">
        <v>0</v>
      </c>
      <c r="EK61" s="94">
        <v>16</v>
      </c>
      <c r="EN61" s="61" t="s">
        <v>1661</v>
      </c>
      <c r="EO61" s="61" t="s">
        <v>2856</v>
      </c>
      <c r="EP61" s="61">
        <v>86</v>
      </c>
      <c r="EQ61" s="61">
        <v>128</v>
      </c>
      <c r="ER61" s="61">
        <v>186</v>
      </c>
      <c r="ES61" s="61">
        <v>255</v>
      </c>
      <c r="ET61" s="61">
        <v>292</v>
      </c>
      <c r="EU61" s="61">
        <v>947</v>
      </c>
      <c r="EV61" s="61"/>
      <c r="EW61" s="61" t="s">
        <v>2856</v>
      </c>
      <c r="EX61" s="61">
        <v>12</v>
      </c>
      <c r="EY61" s="61">
        <v>13</v>
      </c>
      <c r="EZ61" s="61">
        <v>7</v>
      </c>
      <c r="FA61" s="61">
        <v>9</v>
      </c>
      <c r="FB61" s="61">
        <v>12</v>
      </c>
      <c r="FC61" s="61">
        <v>53</v>
      </c>
      <c r="FF61" s="80" t="s">
        <v>1769</v>
      </c>
      <c r="FG61" s="80" t="s">
        <v>2856</v>
      </c>
      <c r="FH61" s="80">
        <v>1849</v>
      </c>
      <c r="FI61" s="80">
        <v>1445</v>
      </c>
      <c r="FJ61" s="80">
        <v>954</v>
      </c>
      <c r="FK61" s="80">
        <v>877</v>
      </c>
      <c r="FL61" s="80">
        <v>955</v>
      </c>
      <c r="FM61" s="80">
        <v>6080</v>
      </c>
      <c r="FN61" s="80"/>
      <c r="FO61" s="80" t="s">
        <v>2856</v>
      </c>
      <c r="FP61" s="80">
        <v>320</v>
      </c>
      <c r="FQ61" s="80">
        <v>104</v>
      </c>
      <c r="FR61" s="80">
        <v>36</v>
      </c>
      <c r="FS61" s="80">
        <v>0</v>
      </c>
      <c r="FT61" s="80">
        <v>0</v>
      </c>
      <c r="FU61" s="80">
        <v>460</v>
      </c>
    </row>
    <row r="62" spans="2:177" x14ac:dyDescent="0.3">
      <c r="B62" s="71" t="s">
        <v>47</v>
      </c>
      <c r="C62" s="71" t="s">
        <v>2856</v>
      </c>
      <c r="D62" s="71" t="s">
        <v>1970</v>
      </c>
      <c r="E62" s="71" t="s">
        <v>1970</v>
      </c>
      <c r="F62" s="71" t="s">
        <v>1970</v>
      </c>
      <c r="G62" s="71" t="s">
        <v>1970</v>
      </c>
      <c r="H62" s="71" t="s">
        <v>1970</v>
      </c>
      <c r="I62" s="71" t="s">
        <v>1970</v>
      </c>
      <c r="K62" s="71" t="s">
        <v>2856</v>
      </c>
      <c r="L62" s="71" t="s">
        <v>1970</v>
      </c>
      <c r="M62" s="71" t="s">
        <v>1970</v>
      </c>
      <c r="N62" s="71" t="s">
        <v>1970</v>
      </c>
      <c r="O62" s="71" t="s">
        <v>1970</v>
      </c>
      <c r="P62" s="71" t="s">
        <v>1970</v>
      </c>
      <c r="Q62" s="71" t="s">
        <v>1970</v>
      </c>
      <c r="T62" s="72" t="s">
        <v>417</v>
      </c>
      <c r="U62" s="72" t="s">
        <v>2856</v>
      </c>
      <c r="V62" s="72">
        <v>98</v>
      </c>
      <c r="W62" s="72">
        <v>156</v>
      </c>
      <c r="X62" s="72">
        <v>297</v>
      </c>
      <c r="Y62" s="72">
        <v>381</v>
      </c>
      <c r="Z62" s="72">
        <v>327</v>
      </c>
      <c r="AA62" s="72">
        <v>1259</v>
      </c>
      <c r="AB62" s="72"/>
      <c r="AC62" s="72" t="s">
        <v>2856</v>
      </c>
      <c r="AD62" s="72">
        <v>8</v>
      </c>
      <c r="AE62" s="72">
        <v>6</v>
      </c>
      <c r="AF62" s="72">
        <v>0</v>
      </c>
      <c r="AG62" s="72">
        <v>0</v>
      </c>
      <c r="AH62" s="72">
        <v>0</v>
      </c>
      <c r="AI62" s="72">
        <v>14</v>
      </c>
      <c r="AK62" s="73" t="s">
        <v>570</v>
      </c>
      <c r="AL62" s="73" t="s">
        <v>2856</v>
      </c>
      <c r="AM62" s="73">
        <v>266</v>
      </c>
      <c r="AN62" s="73">
        <v>442</v>
      </c>
      <c r="AO62" s="73">
        <v>653</v>
      </c>
      <c r="AP62" s="73">
        <v>871</v>
      </c>
      <c r="AQ62" s="73">
        <v>582</v>
      </c>
      <c r="AR62" s="73">
        <v>2814</v>
      </c>
      <c r="AS62" s="73"/>
      <c r="AT62" s="73" t="s">
        <v>2856</v>
      </c>
      <c r="AU62" s="73">
        <v>17</v>
      </c>
      <c r="AV62" s="73">
        <v>5</v>
      </c>
      <c r="AW62" s="73">
        <v>1</v>
      </c>
      <c r="AX62" s="73">
        <v>1</v>
      </c>
      <c r="AY62" s="73">
        <v>0</v>
      </c>
      <c r="AZ62" s="73">
        <v>24</v>
      </c>
      <c r="BB62" s="78" t="s">
        <v>1062</v>
      </c>
      <c r="BC62" s="78" t="s">
        <v>2855</v>
      </c>
      <c r="BD62" s="78">
        <v>272</v>
      </c>
      <c r="BE62" s="78">
        <v>106</v>
      </c>
      <c r="BF62" s="78">
        <v>148</v>
      </c>
      <c r="BG62" s="78">
        <v>187</v>
      </c>
      <c r="BH62" s="78">
        <v>237</v>
      </c>
      <c r="BI62" s="78">
        <v>950</v>
      </c>
      <c r="BJ62" s="78"/>
      <c r="BK62" s="78" t="s">
        <v>2855</v>
      </c>
      <c r="BL62" s="78">
        <v>45</v>
      </c>
      <c r="BM62" s="78">
        <v>0</v>
      </c>
      <c r="BN62" s="78">
        <v>0</v>
      </c>
      <c r="BO62" s="78">
        <v>0</v>
      </c>
      <c r="BP62" s="78">
        <v>0</v>
      </c>
      <c r="BQ62" s="78">
        <v>45</v>
      </c>
      <c r="BS62" s="80" t="s">
        <v>1100</v>
      </c>
      <c r="BT62" s="80" t="s">
        <v>1968</v>
      </c>
      <c r="BU62" s="80">
        <v>65</v>
      </c>
      <c r="BV62" s="80">
        <v>131</v>
      </c>
      <c r="BW62" s="80">
        <v>244</v>
      </c>
      <c r="BX62" s="80">
        <v>369</v>
      </c>
      <c r="BY62" s="80">
        <v>306</v>
      </c>
      <c r="BZ62" s="80">
        <v>1115</v>
      </c>
      <c r="CA62" s="80"/>
      <c r="CB62" s="80" t="s">
        <v>1968</v>
      </c>
      <c r="CC62" s="80">
        <v>15</v>
      </c>
      <c r="CD62" s="80">
        <v>0</v>
      </c>
      <c r="CE62" s="80">
        <v>0</v>
      </c>
      <c r="CF62" s="80">
        <v>0</v>
      </c>
      <c r="CG62" s="80">
        <v>0</v>
      </c>
      <c r="CH62" s="80">
        <v>15</v>
      </c>
      <c r="CL62" s="61" t="s">
        <v>1211</v>
      </c>
      <c r="CM62" s="61" t="s">
        <v>2856</v>
      </c>
      <c r="CN62" s="61">
        <v>145</v>
      </c>
      <c r="CO62" s="61">
        <v>157</v>
      </c>
      <c r="CP62" s="61">
        <v>296</v>
      </c>
      <c r="CQ62" s="61">
        <v>374</v>
      </c>
      <c r="CR62" s="61">
        <v>287</v>
      </c>
      <c r="CS62" s="61">
        <v>1259</v>
      </c>
      <c r="CT62" s="61"/>
      <c r="CU62" s="61" t="s">
        <v>2856</v>
      </c>
      <c r="CV62" s="61">
        <v>18</v>
      </c>
      <c r="CW62" s="61">
        <v>0</v>
      </c>
      <c r="CX62" s="61">
        <v>0</v>
      </c>
      <c r="CY62" s="61">
        <v>0</v>
      </c>
      <c r="CZ62" s="61">
        <v>0</v>
      </c>
      <c r="DA62" s="61">
        <v>18</v>
      </c>
      <c r="DV62" s="94" t="s">
        <v>1514</v>
      </c>
      <c r="DW62" s="94" t="s">
        <v>1968</v>
      </c>
      <c r="DX62" s="94">
        <v>203</v>
      </c>
      <c r="DY62" s="94">
        <v>264</v>
      </c>
      <c r="DZ62" s="94">
        <v>311</v>
      </c>
      <c r="EA62" s="94">
        <v>390</v>
      </c>
      <c r="EB62" s="94">
        <v>300</v>
      </c>
      <c r="EC62" s="94">
        <v>1468</v>
      </c>
      <c r="ED62" s="94"/>
      <c r="EE62" s="94" t="s">
        <v>1968</v>
      </c>
      <c r="EF62" s="94">
        <v>19</v>
      </c>
      <c r="EG62" s="94">
        <v>2</v>
      </c>
      <c r="EH62" s="94">
        <v>0</v>
      </c>
      <c r="EI62" s="94">
        <v>0</v>
      </c>
      <c r="EJ62" s="94">
        <v>0</v>
      </c>
      <c r="EK62" s="94">
        <v>21</v>
      </c>
      <c r="EN62" s="61" t="s">
        <v>1665</v>
      </c>
      <c r="EO62" s="61" t="s">
        <v>2856</v>
      </c>
      <c r="EP62" s="61">
        <v>96</v>
      </c>
      <c r="EQ62" s="61">
        <v>136</v>
      </c>
      <c r="ER62" s="61">
        <v>190</v>
      </c>
      <c r="ES62" s="61">
        <v>280</v>
      </c>
      <c r="ET62" s="61">
        <v>352</v>
      </c>
      <c r="EU62" s="61">
        <v>1054</v>
      </c>
      <c r="EV62" s="61"/>
      <c r="EW62" s="61" t="s">
        <v>2856</v>
      </c>
      <c r="EX62" s="61">
        <v>17</v>
      </c>
      <c r="EY62" s="61">
        <v>9</v>
      </c>
      <c r="EZ62" s="61">
        <v>6</v>
      </c>
      <c r="FA62" s="61">
        <v>4</v>
      </c>
      <c r="FB62" s="61">
        <v>2</v>
      </c>
      <c r="FC62" s="61">
        <v>38</v>
      </c>
      <c r="FF62" s="80" t="s">
        <v>1773</v>
      </c>
      <c r="FG62" s="80" t="s">
        <v>2856</v>
      </c>
      <c r="FH62" s="80">
        <v>307</v>
      </c>
      <c r="FI62" s="80">
        <v>526</v>
      </c>
      <c r="FJ62" s="80">
        <v>679</v>
      </c>
      <c r="FK62" s="80">
        <v>650</v>
      </c>
      <c r="FL62" s="80">
        <v>706</v>
      </c>
      <c r="FM62" s="80">
        <v>2868</v>
      </c>
      <c r="FN62" s="80"/>
      <c r="FO62" s="80" t="s">
        <v>2856</v>
      </c>
      <c r="FP62" s="80">
        <v>41</v>
      </c>
      <c r="FQ62" s="80">
        <v>4</v>
      </c>
      <c r="FR62" s="80">
        <v>0</v>
      </c>
      <c r="FS62" s="80">
        <v>0</v>
      </c>
      <c r="FT62" s="80">
        <v>0</v>
      </c>
      <c r="FU62" s="80">
        <v>45</v>
      </c>
    </row>
    <row r="63" spans="2:177" x14ac:dyDescent="0.3">
      <c r="B63" s="71" t="s">
        <v>51</v>
      </c>
      <c r="C63" s="71" t="s">
        <v>2856</v>
      </c>
      <c r="D63" s="71" t="s">
        <v>1970</v>
      </c>
      <c r="E63" s="71" t="s">
        <v>1970</v>
      </c>
      <c r="F63" s="71" t="s">
        <v>1970</v>
      </c>
      <c r="G63" s="71" t="s">
        <v>1970</v>
      </c>
      <c r="H63" s="71" t="s">
        <v>1970</v>
      </c>
      <c r="I63" s="71" t="s">
        <v>1970</v>
      </c>
      <c r="K63" s="71" t="s">
        <v>2856</v>
      </c>
      <c r="L63" s="71" t="s">
        <v>1970</v>
      </c>
      <c r="M63" s="71" t="s">
        <v>1970</v>
      </c>
      <c r="N63" s="71" t="s">
        <v>1970</v>
      </c>
      <c r="O63" s="71" t="s">
        <v>1970</v>
      </c>
      <c r="P63" s="71" t="s">
        <v>1970</v>
      </c>
      <c r="Q63" s="71" t="s">
        <v>1970</v>
      </c>
      <c r="AK63" s="73" t="s">
        <v>574</v>
      </c>
      <c r="AL63" s="73" t="s">
        <v>2856</v>
      </c>
      <c r="AM63" s="73">
        <v>225</v>
      </c>
      <c r="AN63" s="73">
        <v>254</v>
      </c>
      <c r="AO63" s="73">
        <v>456</v>
      </c>
      <c r="AP63" s="73">
        <v>557</v>
      </c>
      <c r="AQ63" s="73">
        <v>433</v>
      </c>
      <c r="AR63" s="73">
        <v>1925</v>
      </c>
      <c r="AS63" s="73"/>
      <c r="AT63" s="73" t="s">
        <v>2856</v>
      </c>
      <c r="AU63" s="73">
        <v>34</v>
      </c>
      <c r="AV63" s="73">
        <v>0</v>
      </c>
      <c r="AW63" s="73">
        <v>0</v>
      </c>
      <c r="AX63" s="73">
        <v>0</v>
      </c>
      <c r="AY63" s="73">
        <v>0</v>
      </c>
      <c r="AZ63" s="73">
        <v>34</v>
      </c>
      <c r="BS63" s="80" t="s">
        <v>1104</v>
      </c>
      <c r="BT63" s="80" t="s">
        <v>1968</v>
      </c>
      <c r="BU63" s="80">
        <v>115</v>
      </c>
      <c r="BV63" s="80">
        <v>79</v>
      </c>
      <c r="BW63" s="80">
        <v>209</v>
      </c>
      <c r="BX63" s="80">
        <v>314</v>
      </c>
      <c r="BY63" s="80">
        <v>264</v>
      </c>
      <c r="BZ63" s="80">
        <v>981</v>
      </c>
      <c r="CA63" s="80"/>
      <c r="CB63" s="80" t="s">
        <v>1968</v>
      </c>
      <c r="CC63" s="80">
        <v>45</v>
      </c>
      <c r="CD63" s="80">
        <v>0</v>
      </c>
      <c r="CE63" s="80">
        <v>0</v>
      </c>
      <c r="CF63" s="80">
        <v>0</v>
      </c>
      <c r="CG63" s="80">
        <v>0</v>
      </c>
      <c r="CH63" s="80">
        <v>45</v>
      </c>
      <c r="CL63" s="61" t="s">
        <v>1216</v>
      </c>
      <c r="CM63" s="61" t="s">
        <v>2856</v>
      </c>
      <c r="CN63" s="61">
        <v>137</v>
      </c>
      <c r="CO63" s="61">
        <v>85</v>
      </c>
      <c r="CP63" s="61">
        <v>118</v>
      </c>
      <c r="CQ63" s="61">
        <v>161</v>
      </c>
      <c r="CR63" s="61">
        <v>194</v>
      </c>
      <c r="CS63" s="61">
        <v>695</v>
      </c>
      <c r="CT63" s="61"/>
      <c r="CU63" s="61" t="s">
        <v>2856</v>
      </c>
      <c r="CV63" s="61">
        <v>43</v>
      </c>
      <c r="CW63" s="61">
        <v>0</v>
      </c>
      <c r="CX63" s="61">
        <v>0</v>
      </c>
      <c r="CY63" s="61">
        <v>0</v>
      </c>
      <c r="CZ63" s="61">
        <v>0</v>
      </c>
      <c r="DA63" s="61">
        <v>43</v>
      </c>
      <c r="DV63" s="94" t="s">
        <v>1518</v>
      </c>
      <c r="DW63" s="94" t="s">
        <v>1968</v>
      </c>
      <c r="DX63" s="94">
        <v>123</v>
      </c>
      <c r="DY63" s="94">
        <v>169</v>
      </c>
      <c r="DZ63" s="94">
        <v>208</v>
      </c>
      <c r="EA63" s="94">
        <v>263</v>
      </c>
      <c r="EB63" s="94">
        <v>262</v>
      </c>
      <c r="EC63" s="94">
        <v>1025</v>
      </c>
      <c r="ED63" s="94"/>
      <c r="EE63" s="94" t="s">
        <v>1968</v>
      </c>
      <c r="EF63" s="94">
        <v>11</v>
      </c>
      <c r="EG63" s="94">
        <v>1</v>
      </c>
      <c r="EH63" s="94">
        <v>0</v>
      </c>
      <c r="EI63" s="94">
        <v>0</v>
      </c>
      <c r="EJ63" s="94">
        <v>0</v>
      </c>
      <c r="EK63" s="94">
        <v>12</v>
      </c>
      <c r="EN63" s="61" t="s">
        <v>1669</v>
      </c>
      <c r="EO63" s="61" t="s">
        <v>2856</v>
      </c>
      <c r="EP63" s="61">
        <v>98</v>
      </c>
      <c r="EQ63" s="61">
        <v>137</v>
      </c>
      <c r="ER63" s="61">
        <v>188</v>
      </c>
      <c r="ES63" s="61">
        <v>242</v>
      </c>
      <c r="ET63" s="61">
        <v>347</v>
      </c>
      <c r="EU63" s="61">
        <v>1012</v>
      </c>
      <c r="EV63" s="61"/>
      <c r="EW63" s="61" t="s">
        <v>2856</v>
      </c>
      <c r="EX63" s="61">
        <v>9</v>
      </c>
      <c r="EY63" s="61">
        <v>4</v>
      </c>
      <c r="EZ63" s="61">
        <v>0</v>
      </c>
      <c r="FA63" s="61">
        <v>0</v>
      </c>
      <c r="FB63" s="61">
        <v>0</v>
      </c>
      <c r="FC63" s="61">
        <v>13</v>
      </c>
      <c r="FF63" s="80" t="s">
        <v>1777</v>
      </c>
      <c r="FG63" s="80" t="s">
        <v>2856</v>
      </c>
      <c r="FH63" s="80">
        <v>306</v>
      </c>
      <c r="FI63" s="80">
        <v>542</v>
      </c>
      <c r="FJ63" s="80">
        <v>676</v>
      </c>
      <c r="FK63" s="80">
        <v>682</v>
      </c>
      <c r="FL63" s="80">
        <v>795</v>
      </c>
      <c r="FM63" s="80">
        <v>3001</v>
      </c>
      <c r="FN63" s="80"/>
      <c r="FO63" s="80" t="s">
        <v>2856</v>
      </c>
      <c r="FP63" s="80">
        <v>15</v>
      </c>
      <c r="FQ63" s="80">
        <v>0</v>
      </c>
      <c r="FR63" s="80">
        <v>0</v>
      </c>
      <c r="FS63" s="80">
        <v>0</v>
      </c>
      <c r="FT63" s="80">
        <v>0</v>
      </c>
      <c r="FU63" s="80">
        <v>15</v>
      </c>
    </row>
    <row r="64" spans="2:177" x14ac:dyDescent="0.3">
      <c r="B64" s="71" t="s">
        <v>55</v>
      </c>
      <c r="C64" s="71" t="s">
        <v>2856</v>
      </c>
      <c r="D64" s="71" t="s">
        <v>1970</v>
      </c>
      <c r="E64" s="71" t="s">
        <v>1970</v>
      </c>
      <c r="F64" s="71" t="s">
        <v>1970</v>
      </c>
      <c r="G64" s="71" t="s">
        <v>1970</v>
      </c>
      <c r="H64" s="71" t="s">
        <v>1970</v>
      </c>
      <c r="I64" s="71" t="s">
        <v>1970</v>
      </c>
      <c r="K64" s="71" t="s">
        <v>2856</v>
      </c>
      <c r="L64" s="71" t="s">
        <v>1970</v>
      </c>
      <c r="M64" s="71" t="s">
        <v>1970</v>
      </c>
      <c r="N64" s="71" t="s">
        <v>1970</v>
      </c>
      <c r="O64" s="71" t="s">
        <v>1970</v>
      </c>
      <c r="P64" s="71" t="s">
        <v>1970</v>
      </c>
      <c r="Q64" s="71" t="s">
        <v>1970</v>
      </c>
      <c r="T64" s="72" t="s">
        <v>266</v>
      </c>
      <c r="U64" s="72" t="s">
        <v>1968</v>
      </c>
      <c r="V64" s="72">
        <v>765</v>
      </c>
      <c r="W64" s="72">
        <v>826</v>
      </c>
      <c r="X64" s="72">
        <v>1021</v>
      </c>
      <c r="Y64" s="72">
        <v>1045</v>
      </c>
      <c r="Z64" s="72">
        <v>643</v>
      </c>
      <c r="AA64" s="72">
        <v>4300</v>
      </c>
      <c r="AB64" s="72"/>
      <c r="AC64" s="72" t="s">
        <v>1968</v>
      </c>
      <c r="AD64" s="72">
        <v>47</v>
      </c>
      <c r="AE64" s="72">
        <v>3</v>
      </c>
      <c r="AF64" s="72">
        <v>2</v>
      </c>
      <c r="AG64" s="72">
        <v>0</v>
      </c>
      <c r="AH64" s="72">
        <v>1</v>
      </c>
      <c r="AI64" s="72">
        <v>53</v>
      </c>
      <c r="AK64" s="73" t="s">
        <v>578</v>
      </c>
      <c r="AL64" s="73" t="s">
        <v>2856</v>
      </c>
      <c r="AM64" s="73">
        <v>245</v>
      </c>
      <c r="AN64" s="73">
        <v>286</v>
      </c>
      <c r="AO64" s="73">
        <v>553</v>
      </c>
      <c r="AP64" s="73">
        <v>660</v>
      </c>
      <c r="AQ64" s="73">
        <v>553</v>
      </c>
      <c r="AR64" s="73">
        <v>2297</v>
      </c>
      <c r="AS64" s="73"/>
      <c r="AT64" s="73" t="s">
        <v>2856</v>
      </c>
      <c r="AU64" s="73">
        <v>24</v>
      </c>
      <c r="AV64" s="73">
        <v>0</v>
      </c>
      <c r="AW64" s="73">
        <v>0</v>
      </c>
      <c r="AX64" s="73">
        <v>0</v>
      </c>
      <c r="AY64" s="73">
        <v>0</v>
      </c>
      <c r="AZ64" s="73">
        <v>24</v>
      </c>
      <c r="BB64" s="78" t="s">
        <v>748</v>
      </c>
      <c r="BC64" s="78" t="s">
        <v>2856</v>
      </c>
      <c r="BD64" s="78">
        <v>188</v>
      </c>
      <c r="BE64" s="78">
        <v>240</v>
      </c>
      <c r="BF64" s="78">
        <v>446</v>
      </c>
      <c r="BG64" s="78">
        <v>659</v>
      </c>
      <c r="BH64" s="78">
        <v>637</v>
      </c>
      <c r="BI64" s="78">
        <v>2170</v>
      </c>
      <c r="BJ64" s="78"/>
      <c r="BK64" s="78" t="s">
        <v>2856</v>
      </c>
      <c r="BL64" s="78">
        <v>20</v>
      </c>
      <c r="BM64" s="78">
        <v>0</v>
      </c>
      <c r="BN64" s="78">
        <v>0</v>
      </c>
      <c r="BO64" s="78">
        <v>0</v>
      </c>
      <c r="BP64" s="78">
        <v>0</v>
      </c>
      <c r="BQ64" s="78">
        <v>20</v>
      </c>
      <c r="BS64" s="80" t="s">
        <v>1108</v>
      </c>
      <c r="BT64" s="80" t="s">
        <v>1968</v>
      </c>
      <c r="BU64" s="80">
        <v>73</v>
      </c>
      <c r="BV64" s="80">
        <v>57</v>
      </c>
      <c r="BW64" s="80">
        <v>83</v>
      </c>
      <c r="BX64" s="80">
        <v>166</v>
      </c>
      <c r="BY64" s="80">
        <v>194</v>
      </c>
      <c r="BZ64" s="80">
        <v>573</v>
      </c>
      <c r="CA64" s="80"/>
      <c r="CB64" s="80" t="s">
        <v>1968</v>
      </c>
      <c r="CC64" s="80">
        <v>20</v>
      </c>
      <c r="CD64" s="80">
        <v>0</v>
      </c>
      <c r="CE64" s="80">
        <v>0</v>
      </c>
      <c r="CF64" s="80">
        <v>0</v>
      </c>
      <c r="CG64" s="80">
        <v>0</v>
      </c>
      <c r="CH64" s="80">
        <v>20</v>
      </c>
      <c r="CL64" s="61" t="s">
        <v>1221</v>
      </c>
      <c r="CM64" s="61" t="s">
        <v>2856</v>
      </c>
      <c r="CN64" s="61">
        <v>49</v>
      </c>
      <c r="CO64" s="61">
        <v>84</v>
      </c>
      <c r="CP64" s="61">
        <v>169</v>
      </c>
      <c r="CQ64" s="61">
        <v>283</v>
      </c>
      <c r="CR64" s="61">
        <v>283</v>
      </c>
      <c r="CS64" s="61">
        <v>868</v>
      </c>
      <c r="CT64" s="61"/>
      <c r="CU64" s="61" t="s">
        <v>2856</v>
      </c>
      <c r="CV64" s="61">
        <v>7</v>
      </c>
      <c r="CW64" s="61">
        <v>0</v>
      </c>
      <c r="CX64" s="61">
        <v>0</v>
      </c>
      <c r="CY64" s="61">
        <v>0</v>
      </c>
      <c r="CZ64" s="61">
        <v>0</v>
      </c>
      <c r="DA64" s="61">
        <v>7</v>
      </c>
      <c r="DV64" s="94" t="s">
        <v>1522</v>
      </c>
      <c r="DW64" s="94" t="s">
        <v>1968</v>
      </c>
      <c r="DX64" s="94">
        <v>225</v>
      </c>
      <c r="DY64" s="94">
        <v>250</v>
      </c>
      <c r="DZ64" s="94">
        <v>357</v>
      </c>
      <c r="EA64" s="94">
        <v>428</v>
      </c>
      <c r="EB64" s="94">
        <v>398</v>
      </c>
      <c r="EC64" s="94">
        <v>1658</v>
      </c>
      <c r="ED64" s="94"/>
      <c r="EE64" s="94" t="s">
        <v>1968</v>
      </c>
      <c r="EF64" s="94">
        <v>21</v>
      </c>
      <c r="EG64" s="94">
        <v>0</v>
      </c>
      <c r="EH64" s="94">
        <v>0</v>
      </c>
      <c r="EI64" s="94">
        <v>0</v>
      </c>
      <c r="EJ64" s="94">
        <v>0</v>
      </c>
      <c r="EK64" s="94">
        <v>21</v>
      </c>
      <c r="EN64" s="61" t="s">
        <v>1673</v>
      </c>
      <c r="EO64" s="61" t="s">
        <v>2856</v>
      </c>
      <c r="EP64" s="61">
        <v>158</v>
      </c>
      <c r="EQ64" s="61">
        <v>185</v>
      </c>
      <c r="ER64" s="61">
        <v>190</v>
      </c>
      <c r="ES64" s="61">
        <v>217</v>
      </c>
      <c r="ET64" s="61">
        <v>271</v>
      </c>
      <c r="EU64" s="61">
        <v>1021</v>
      </c>
      <c r="EV64" s="61"/>
      <c r="EW64" s="61" t="s">
        <v>2856</v>
      </c>
      <c r="EX64" s="61">
        <v>51</v>
      </c>
      <c r="EY64" s="61">
        <v>13</v>
      </c>
      <c r="EZ64" s="61">
        <v>8</v>
      </c>
      <c r="FA64" s="61">
        <v>2</v>
      </c>
      <c r="FB64" s="61">
        <v>6</v>
      </c>
      <c r="FC64" s="61">
        <v>80</v>
      </c>
      <c r="FF64" s="80" t="s">
        <v>1781</v>
      </c>
      <c r="FG64" s="80" t="s">
        <v>2856</v>
      </c>
      <c r="FH64" s="80">
        <v>445</v>
      </c>
      <c r="FI64" s="80">
        <v>665</v>
      </c>
      <c r="FJ64" s="80">
        <v>791</v>
      </c>
      <c r="FK64" s="80">
        <v>791</v>
      </c>
      <c r="FL64" s="80">
        <v>910</v>
      </c>
      <c r="FM64" s="80">
        <v>3602</v>
      </c>
      <c r="FN64" s="80"/>
      <c r="FO64" s="80" t="s">
        <v>2856</v>
      </c>
      <c r="FP64" s="80">
        <v>50</v>
      </c>
      <c r="FQ64" s="80">
        <v>1</v>
      </c>
      <c r="FR64" s="80">
        <v>0</v>
      </c>
      <c r="FS64" s="80">
        <v>0</v>
      </c>
      <c r="FT64" s="80">
        <v>0</v>
      </c>
      <c r="FU64" s="80">
        <v>51</v>
      </c>
    </row>
    <row r="65" spans="1:177" x14ac:dyDescent="0.3">
      <c r="B65" s="71" t="s">
        <v>59</v>
      </c>
      <c r="C65" s="71" t="s">
        <v>2856</v>
      </c>
      <c r="D65" s="71" t="s">
        <v>1970</v>
      </c>
      <c r="E65" s="71" t="s">
        <v>1970</v>
      </c>
      <c r="F65" s="71" t="s">
        <v>1970</v>
      </c>
      <c r="G65" s="71" t="s">
        <v>1970</v>
      </c>
      <c r="H65" s="71" t="s">
        <v>1970</v>
      </c>
      <c r="I65" s="71" t="s">
        <v>1970</v>
      </c>
      <c r="K65" s="71" t="s">
        <v>2856</v>
      </c>
      <c r="L65" s="71" t="s">
        <v>1970</v>
      </c>
      <c r="M65" s="71" t="s">
        <v>1970</v>
      </c>
      <c r="N65" s="71" t="s">
        <v>1970</v>
      </c>
      <c r="O65" s="71" t="s">
        <v>1970</v>
      </c>
      <c r="P65" s="71" t="s">
        <v>1970</v>
      </c>
      <c r="Q65" s="71" t="s">
        <v>1970</v>
      </c>
      <c r="T65" s="72" t="s">
        <v>272</v>
      </c>
      <c r="U65" s="72" t="s">
        <v>1968</v>
      </c>
      <c r="V65" s="72">
        <v>285</v>
      </c>
      <c r="W65" s="72">
        <v>368</v>
      </c>
      <c r="X65" s="72">
        <v>475</v>
      </c>
      <c r="Y65" s="72">
        <v>491</v>
      </c>
      <c r="Z65" s="72">
        <v>323</v>
      </c>
      <c r="AA65" s="72">
        <v>1942</v>
      </c>
      <c r="AB65" s="72"/>
      <c r="AC65" s="72" t="s">
        <v>1968</v>
      </c>
      <c r="AD65" s="72">
        <v>20</v>
      </c>
      <c r="AE65" s="72">
        <v>0</v>
      </c>
      <c r="AF65" s="72">
        <v>0</v>
      </c>
      <c r="AG65" s="72">
        <v>0</v>
      </c>
      <c r="AH65" s="72">
        <v>0</v>
      </c>
      <c r="AI65" s="72">
        <v>20</v>
      </c>
      <c r="AK65" s="73" t="s">
        <v>582</v>
      </c>
      <c r="AL65" s="73" t="s">
        <v>2856</v>
      </c>
      <c r="AM65" s="73">
        <v>458</v>
      </c>
      <c r="AN65" s="73">
        <v>656</v>
      </c>
      <c r="AO65" s="73">
        <v>906</v>
      </c>
      <c r="AP65" s="73">
        <v>1122</v>
      </c>
      <c r="AQ65" s="73">
        <v>656</v>
      </c>
      <c r="AR65" s="73">
        <v>3798</v>
      </c>
      <c r="AS65" s="73"/>
      <c r="AT65" s="73" t="s">
        <v>2856</v>
      </c>
      <c r="AU65" s="73">
        <v>34</v>
      </c>
      <c r="AV65" s="73">
        <v>2</v>
      </c>
      <c r="AW65" s="73">
        <v>0</v>
      </c>
      <c r="AX65" s="73">
        <v>0</v>
      </c>
      <c r="AY65" s="73">
        <v>0</v>
      </c>
      <c r="AZ65" s="73">
        <v>36</v>
      </c>
      <c r="BB65" s="78" t="s">
        <v>753</v>
      </c>
      <c r="BC65" s="78" t="s">
        <v>2856</v>
      </c>
      <c r="BD65" s="78">
        <v>375</v>
      </c>
      <c r="BE65" s="78">
        <v>233</v>
      </c>
      <c r="BF65" s="78">
        <v>413</v>
      </c>
      <c r="BG65" s="78">
        <v>474</v>
      </c>
      <c r="BH65" s="78">
        <v>421</v>
      </c>
      <c r="BI65" s="78">
        <v>1916</v>
      </c>
      <c r="BJ65" s="78"/>
      <c r="BK65" s="78" t="s">
        <v>2856</v>
      </c>
      <c r="BL65" s="78">
        <v>83</v>
      </c>
      <c r="BM65" s="78">
        <v>0</v>
      </c>
      <c r="BN65" s="78">
        <v>0</v>
      </c>
      <c r="BO65" s="78">
        <v>0</v>
      </c>
      <c r="BP65" s="78">
        <v>0</v>
      </c>
      <c r="BQ65" s="78">
        <v>83</v>
      </c>
      <c r="BS65" s="80" t="s">
        <v>1112</v>
      </c>
      <c r="BT65" s="80" t="s">
        <v>1968</v>
      </c>
      <c r="BU65" s="80">
        <v>106</v>
      </c>
      <c r="BV65" s="80">
        <v>87</v>
      </c>
      <c r="BW65" s="80">
        <v>153</v>
      </c>
      <c r="BX65" s="80">
        <v>226</v>
      </c>
      <c r="BY65" s="80">
        <v>212</v>
      </c>
      <c r="BZ65" s="80">
        <v>784</v>
      </c>
      <c r="CA65" s="80"/>
      <c r="CB65" s="80" t="s">
        <v>1968</v>
      </c>
      <c r="CC65" s="80">
        <v>32</v>
      </c>
      <c r="CD65" s="80">
        <v>0</v>
      </c>
      <c r="CE65" s="80">
        <v>0</v>
      </c>
      <c r="CF65" s="80">
        <v>0</v>
      </c>
      <c r="CG65" s="80">
        <v>0</v>
      </c>
      <c r="CH65" s="80">
        <v>32</v>
      </c>
      <c r="CL65" s="61" t="s">
        <v>1348</v>
      </c>
      <c r="CM65" s="61" t="s">
        <v>2856</v>
      </c>
      <c r="CN65" s="61">
        <v>68</v>
      </c>
      <c r="CO65" s="61">
        <v>90</v>
      </c>
      <c r="CP65" s="61">
        <v>217</v>
      </c>
      <c r="CQ65" s="61">
        <v>367</v>
      </c>
      <c r="CR65" s="61">
        <v>299</v>
      </c>
      <c r="CS65" s="61">
        <v>1041</v>
      </c>
      <c r="CT65" s="61"/>
      <c r="CU65" s="61" t="s">
        <v>2856</v>
      </c>
      <c r="CV65" s="61">
        <v>25</v>
      </c>
      <c r="CW65" s="61">
        <v>0</v>
      </c>
      <c r="CX65" s="61">
        <v>0</v>
      </c>
      <c r="CY65" s="61">
        <v>0</v>
      </c>
      <c r="CZ65" s="61">
        <v>0</v>
      </c>
      <c r="DA65" s="61">
        <v>25</v>
      </c>
      <c r="DV65" s="94" t="s">
        <v>1526</v>
      </c>
      <c r="DW65" s="94" t="s">
        <v>1968</v>
      </c>
      <c r="DX65" s="94">
        <v>178</v>
      </c>
      <c r="DY65" s="94">
        <v>141</v>
      </c>
      <c r="DZ65" s="94">
        <v>152</v>
      </c>
      <c r="EA65" s="94">
        <v>169</v>
      </c>
      <c r="EB65" s="94">
        <v>136</v>
      </c>
      <c r="EC65" s="94">
        <v>776</v>
      </c>
      <c r="ED65" s="94"/>
      <c r="EE65" s="94" t="s">
        <v>1968</v>
      </c>
      <c r="EF65" s="94">
        <v>14</v>
      </c>
      <c r="EG65" s="94">
        <v>0</v>
      </c>
      <c r="EH65" s="94">
        <v>0</v>
      </c>
      <c r="EI65" s="94">
        <v>0</v>
      </c>
      <c r="EJ65" s="94">
        <v>0</v>
      </c>
      <c r="EK65" s="94">
        <v>14</v>
      </c>
      <c r="EN65" s="61" t="s">
        <v>1677</v>
      </c>
      <c r="EO65" s="61" t="s">
        <v>2856</v>
      </c>
      <c r="EP65" s="61">
        <v>758</v>
      </c>
      <c r="EQ65" s="61">
        <v>773</v>
      </c>
      <c r="ER65" s="61">
        <v>732</v>
      </c>
      <c r="ES65" s="61">
        <v>715</v>
      </c>
      <c r="ET65" s="61">
        <v>756</v>
      </c>
      <c r="EU65" s="61">
        <v>3734</v>
      </c>
      <c r="EV65" s="61"/>
      <c r="EW65" s="61" t="s">
        <v>2856</v>
      </c>
      <c r="EX65" s="61">
        <v>54</v>
      </c>
      <c r="EY65" s="61">
        <v>8</v>
      </c>
      <c r="EZ65" s="61">
        <v>1</v>
      </c>
      <c r="FA65" s="61">
        <v>0</v>
      </c>
      <c r="FB65" s="61">
        <v>0</v>
      </c>
      <c r="FC65" s="61">
        <v>63</v>
      </c>
      <c r="FF65" s="80" t="s">
        <v>1785</v>
      </c>
      <c r="FG65" s="80" t="s">
        <v>2856</v>
      </c>
      <c r="FH65" s="80">
        <v>496</v>
      </c>
      <c r="FI65" s="80">
        <v>729</v>
      </c>
      <c r="FJ65" s="80">
        <v>885</v>
      </c>
      <c r="FK65" s="80">
        <v>793</v>
      </c>
      <c r="FL65" s="80">
        <v>950</v>
      </c>
      <c r="FM65" s="80">
        <v>3853</v>
      </c>
      <c r="FN65" s="80"/>
      <c r="FO65" s="80" t="s">
        <v>2856</v>
      </c>
      <c r="FP65" s="80">
        <v>46</v>
      </c>
      <c r="FQ65" s="80">
        <v>4</v>
      </c>
      <c r="FR65" s="80">
        <v>0</v>
      </c>
      <c r="FS65" s="80">
        <v>0</v>
      </c>
      <c r="FT65" s="80">
        <v>0</v>
      </c>
      <c r="FU65" s="80">
        <v>50</v>
      </c>
    </row>
    <row r="66" spans="1:177" x14ac:dyDescent="0.3">
      <c r="B66" s="71" t="s">
        <v>63</v>
      </c>
      <c r="C66" s="71" t="s">
        <v>2856</v>
      </c>
      <c r="D66" s="71">
        <v>29</v>
      </c>
      <c r="E66" s="71">
        <v>0</v>
      </c>
      <c r="F66" s="71">
        <v>0</v>
      </c>
      <c r="G66" s="71">
        <v>0</v>
      </c>
      <c r="H66" s="71">
        <v>0</v>
      </c>
      <c r="I66" s="71">
        <v>29</v>
      </c>
      <c r="K66" s="71" t="s">
        <v>2856</v>
      </c>
      <c r="L66" s="71">
        <v>473</v>
      </c>
      <c r="M66" s="71">
        <v>594</v>
      </c>
      <c r="N66" s="71">
        <v>837</v>
      </c>
      <c r="O66" s="71">
        <v>913</v>
      </c>
      <c r="P66" s="71">
        <v>717</v>
      </c>
      <c r="Q66" s="71">
        <v>3534</v>
      </c>
      <c r="T66" s="72" t="s">
        <v>276</v>
      </c>
      <c r="U66" s="72" t="s">
        <v>1968</v>
      </c>
      <c r="V66" s="72">
        <v>152</v>
      </c>
      <c r="W66" s="72">
        <v>220</v>
      </c>
      <c r="X66" s="72">
        <v>339</v>
      </c>
      <c r="Y66" s="72">
        <v>346</v>
      </c>
      <c r="Z66" s="72">
        <v>253</v>
      </c>
      <c r="AA66" s="72">
        <v>1310</v>
      </c>
      <c r="AB66" s="72"/>
      <c r="AC66" s="72" t="s">
        <v>1968</v>
      </c>
      <c r="AD66" s="72">
        <v>8</v>
      </c>
      <c r="AE66" s="72">
        <v>3</v>
      </c>
      <c r="AF66" s="72">
        <v>1</v>
      </c>
      <c r="AG66" s="72">
        <v>0</v>
      </c>
      <c r="AH66" s="72">
        <v>1</v>
      </c>
      <c r="AI66" s="72">
        <v>13</v>
      </c>
      <c r="AK66" s="73" t="s">
        <v>585</v>
      </c>
      <c r="AL66" s="73" t="s">
        <v>2856</v>
      </c>
      <c r="AM66" s="73">
        <v>214</v>
      </c>
      <c r="AN66" s="73">
        <v>214</v>
      </c>
      <c r="AO66" s="73">
        <v>383</v>
      </c>
      <c r="AP66" s="73">
        <v>596</v>
      </c>
      <c r="AQ66" s="73">
        <v>495</v>
      </c>
      <c r="AR66" s="73">
        <v>1902</v>
      </c>
      <c r="AS66" s="73"/>
      <c r="AT66" s="73" t="s">
        <v>2856</v>
      </c>
      <c r="AU66" s="73">
        <v>53</v>
      </c>
      <c r="AV66" s="73">
        <v>1</v>
      </c>
      <c r="AW66" s="73">
        <v>0</v>
      </c>
      <c r="AX66" s="73">
        <v>0</v>
      </c>
      <c r="AY66" s="73">
        <v>0</v>
      </c>
      <c r="AZ66" s="73">
        <v>54</v>
      </c>
      <c r="BB66" s="78" t="s">
        <v>758</v>
      </c>
      <c r="BC66" s="78" t="s">
        <v>2856</v>
      </c>
      <c r="BD66" s="78">
        <v>374</v>
      </c>
      <c r="BE66" s="78">
        <v>292</v>
      </c>
      <c r="BF66" s="78">
        <v>558</v>
      </c>
      <c r="BG66" s="78">
        <v>803</v>
      </c>
      <c r="BH66" s="78">
        <v>634</v>
      </c>
      <c r="BI66" s="78">
        <v>2661</v>
      </c>
      <c r="BJ66" s="78"/>
      <c r="BK66" s="78" t="s">
        <v>2856</v>
      </c>
      <c r="BL66" s="78">
        <v>17</v>
      </c>
      <c r="BM66" s="78">
        <v>0</v>
      </c>
      <c r="BN66" s="78">
        <v>0</v>
      </c>
      <c r="BO66" s="78">
        <v>0</v>
      </c>
      <c r="BP66" s="78">
        <v>0</v>
      </c>
      <c r="BQ66" s="78">
        <v>17</v>
      </c>
      <c r="BS66" s="80" t="s">
        <v>1115</v>
      </c>
      <c r="BT66" s="80" t="s">
        <v>1968</v>
      </c>
      <c r="BU66" s="80">
        <v>82</v>
      </c>
      <c r="BV66" s="80">
        <v>187</v>
      </c>
      <c r="BW66" s="80">
        <v>357</v>
      </c>
      <c r="BX66" s="80">
        <v>536</v>
      </c>
      <c r="BY66" s="80">
        <v>489</v>
      </c>
      <c r="BZ66" s="80">
        <v>1651</v>
      </c>
      <c r="CA66" s="80"/>
      <c r="CB66" s="80" t="s">
        <v>1968</v>
      </c>
      <c r="CC66" s="80">
        <v>10</v>
      </c>
      <c r="CD66" s="80">
        <v>0</v>
      </c>
      <c r="CE66" s="80">
        <v>0</v>
      </c>
      <c r="CF66" s="80">
        <v>0</v>
      </c>
      <c r="CG66" s="80">
        <v>0</v>
      </c>
      <c r="CH66" s="80">
        <v>10</v>
      </c>
      <c r="CL66" s="61" t="s">
        <v>1352</v>
      </c>
      <c r="CM66" s="61" t="s">
        <v>2856</v>
      </c>
      <c r="CN66" s="61" t="s">
        <v>1970</v>
      </c>
      <c r="CO66" s="61" t="s">
        <v>1970</v>
      </c>
      <c r="CP66" s="61" t="s">
        <v>1970</v>
      </c>
      <c r="CQ66" s="61" t="s">
        <v>1970</v>
      </c>
      <c r="CR66" s="61" t="s">
        <v>1970</v>
      </c>
      <c r="CS66" s="61" t="s">
        <v>1970</v>
      </c>
      <c r="CT66" s="61"/>
      <c r="CU66" s="61" t="s">
        <v>2856</v>
      </c>
      <c r="CV66" s="61" t="s">
        <v>1970</v>
      </c>
      <c r="CW66" s="61" t="s">
        <v>1970</v>
      </c>
      <c r="CX66" s="61" t="s">
        <v>1970</v>
      </c>
      <c r="CY66" s="61" t="s">
        <v>1970</v>
      </c>
      <c r="CZ66" s="61" t="s">
        <v>1970</v>
      </c>
      <c r="DA66" s="61" t="s">
        <v>1970</v>
      </c>
      <c r="DV66" s="94" t="s">
        <v>1530</v>
      </c>
      <c r="DW66" s="94" t="s">
        <v>1968</v>
      </c>
      <c r="DX66" s="94">
        <v>354</v>
      </c>
      <c r="DY66" s="94">
        <v>424</v>
      </c>
      <c r="DZ66" s="94">
        <v>439</v>
      </c>
      <c r="EA66" s="94">
        <v>395</v>
      </c>
      <c r="EB66" s="94">
        <v>285</v>
      </c>
      <c r="EC66" s="94">
        <v>1897</v>
      </c>
      <c r="ED66" s="94"/>
      <c r="EE66" s="94" t="s">
        <v>1968</v>
      </c>
      <c r="EF66" s="94">
        <v>8</v>
      </c>
      <c r="EG66" s="94">
        <v>5</v>
      </c>
      <c r="EH66" s="94">
        <v>0</v>
      </c>
      <c r="EI66" s="94">
        <v>0</v>
      </c>
      <c r="EJ66" s="94">
        <v>0</v>
      </c>
      <c r="EK66" s="94">
        <v>13</v>
      </c>
      <c r="EN66" s="61" t="s">
        <v>1681</v>
      </c>
      <c r="EO66" s="61" t="s">
        <v>2856</v>
      </c>
      <c r="EP66" s="61" t="s">
        <v>1970</v>
      </c>
      <c r="EQ66" s="61" t="s">
        <v>1970</v>
      </c>
      <c r="ER66" s="61" t="s">
        <v>1970</v>
      </c>
      <c r="ES66" s="61" t="s">
        <v>1970</v>
      </c>
      <c r="ET66" s="61" t="s">
        <v>1970</v>
      </c>
      <c r="EU66" s="61" t="s">
        <v>1970</v>
      </c>
      <c r="EV66" s="61"/>
      <c r="EW66" s="61" t="s">
        <v>2856</v>
      </c>
      <c r="EX66" s="61" t="s">
        <v>1970</v>
      </c>
      <c r="EY66" s="61" t="s">
        <v>1970</v>
      </c>
      <c r="EZ66" s="61" t="s">
        <v>1970</v>
      </c>
      <c r="FA66" s="61" t="s">
        <v>1970</v>
      </c>
      <c r="FB66" s="61" t="s">
        <v>1970</v>
      </c>
      <c r="FC66" s="61" t="s">
        <v>1970</v>
      </c>
      <c r="FF66" s="80" t="s">
        <v>1793</v>
      </c>
      <c r="FG66" s="80" t="s">
        <v>2856</v>
      </c>
      <c r="FH66" s="80">
        <v>449</v>
      </c>
      <c r="FI66" s="80">
        <v>572</v>
      </c>
      <c r="FJ66" s="80">
        <v>660</v>
      </c>
      <c r="FK66" s="80">
        <v>775</v>
      </c>
      <c r="FL66" s="80">
        <v>966</v>
      </c>
      <c r="FM66" s="80">
        <v>3422</v>
      </c>
      <c r="FN66" s="80"/>
      <c r="FO66" s="80" t="s">
        <v>2856</v>
      </c>
      <c r="FP66" s="80">
        <v>98</v>
      </c>
      <c r="FQ66" s="80">
        <v>44</v>
      </c>
      <c r="FR66" s="80">
        <v>23</v>
      </c>
      <c r="FS66" s="80">
        <v>16</v>
      </c>
      <c r="FT66" s="80">
        <v>14</v>
      </c>
      <c r="FU66" s="80">
        <v>195</v>
      </c>
    </row>
    <row r="67" spans="1:177" x14ac:dyDescent="0.3">
      <c r="B67" s="71" t="s">
        <v>68</v>
      </c>
      <c r="C67" s="71" t="s">
        <v>2856</v>
      </c>
      <c r="D67" s="71">
        <v>20</v>
      </c>
      <c r="E67" s="71">
        <v>0</v>
      </c>
      <c r="F67" s="71">
        <v>0</v>
      </c>
      <c r="G67" s="71">
        <v>0</v>
      </c>
      <c r="H67" s="71">
        <v>0</v>
      </c>
      <c r="I67" s="71">
        <v>20</v>
      </c>
      <c r="K67" s="71" t="s">
        <v>2856</v>
      </c>
      <c r="L67" s="71">
        <v>447</v>
      </c>
      <c r="M67" s="71">
        <v>536</v>
      </c>
      <c r="N67" s="71">
        <v>681</v>
      </c>
      <c r="O67" s="71">
        <v>814</v>
      </c>
      <c r="P67" s="71">
        <v>601</v>
      </c>
      <c r="Q67" s="71">
        <v>3079</v>
      </c>
      <c r="T67" s="72" t="s">
        <v>280</v>
      </c>
      <c r="U67" s="72" t="s">
        <v>1968</v>
      </c>
      <c r="V67" s="72">
        <v>80</v>
      </c>
      <c r="W67" s="72">
        <v>176</v>
      </c>
      <c r="X67" s="72">
        <v>294</v>
      </c>
      <c r="Y67" s="72">
        <v>301</v>
      </c>
      <c r="Z67" s="72">
        <v>204</v>
      </c>
      <c r="AA67" s="72">
        <v>1055</v>
      </c>
      <c r="AB67" s="72"/>
      <c r="AC67" s="72" t="s">
        <v>1968</v>
      </c>
      <c r="AD67" s="72">
        <v>10</v>
      </c>
      <c r="AE67" s="72">
        <v>2</v>
      </c>
      <c r="AF67" s="72">
        <v>2</v>
      </c>
      <c r="AG67" s="72">
        <v>0</v>
      </c>
      <c r="AH67" s="72">
        <v>1</v>
      </c>
      <c r="AI67" s="72">
        <v>15</v>
      </c>
      <c r="AK67" s="73" t="s">
        <v>591</v>
      </c>
      <c r="AL67" s="73" t="s">
        <v>2856</v>
      </c>
      <c r="AM67" s="73">
        <v>671</v>
      </c>
      <c r="AN67" s="73">
        <v>486</v>
      </c>
      <c r="AO67" s="73">
        <v>499</v>
      </c>
      <c r="AP67" s="73">
        <v>548</v>
      </c>
      <c r="AQ67" s="73">
        <v>467</v>
      </c>
      <c r="AR67" s="73">
        <v>2671</v>
      </c>
      <c r="AS67" s="73"/>
      <c r="AT67" s="73" t="s">
        <v>2856</v>
      </c>
      <c r="AU67" s="73">
        <v>71</v>
      </c>
      <c r="AV67" s="73">
        <v>13</v>
      </c>
      <c r="AW67" s="73">
        <v>6</v>
      </c>
      <c r="AX67" s="73">
        <v>0</v>
      </c>
      <c r="AY67" s="73">
        <v>0</v>
      </c>
      <c r="AZ67" s="73">
        <v>90</v>
      </c>
      <c r="BB67" s="78" t="s">
        <v>762</v>
      </c>
      <c r="BC67" s="78" t="s">
        <v>2856</v>
      </c>
      <c r="BD67" s="78">
        <v>208</v>
      </c>
      <c r="BE67" s="78">
        <v>221</v>
      </c>
      <c r="BF67" s="78">
        <v>406</v>
      </c>
      <c r="BG67" s="78">
        <v>576</v>
      </c>
      <c r="BH67" s="78">
        <v>518</v>
      </c>
      <c r="BI67" s="78">
        <v>1929</v>
      </c>
      <c r="BJ67" s="78"/>
      <c r="BK67" s="78" t="s">
        <v>2856</v>
      </c>
      <c r="BL67" s="78">
        <v>21</v>
      </c>
      <c r="BM67" s="78">
        <v>0</v>
      </c>
      <c r="BN67" s="78">
        <v>0</v>
      </c>
      <c r="BO67" s="78">
        <v>0</v>
      </c>
      <c r="BP67" s="78">
        <v>0</v>
      </c>
      <c r="BQ67" s="78">
        <v>21</v>
      </c>
      <c r="BS67" s="80" t="s">
        <v>1119</v>
      </c>
      <c r="BT67" s="80" t="s">
        <v>1968</v>
      </c>
      <c r="BU67" s="80">
        <v>134</v>
      </c>
      <c r="BV67" s="80">
        <v>191</v>
      </c>
      <c r="BW67" s="80">
        <v>380</v>
      </c>
      <c r="BX67" s="80">
        <v>548</v>
      </c>
      <c r="BY67" s="80">
        <v>519</v>
      </c>
      <c r="BZ67" s="80">
        <v>1772</v>
      </c>
      <c r="CA67" s="80"/>
      <c r="CB67" s="80" t="s">
        <v>1968</v>
      </c>
      <c r="CC67" s="80">
        <v>17</v>
      </c>
      <c r="CD67" s="80">
        <v>0</v>
      </c>
      <c r="CE67" s="80">
        <v>0</v>
      </c>
      <c r="CF67" s="80">
        <v>0</v>
      </c>
      <c r="CG67" s="80">
        <v>0</v>
      </c>
      <c r="CH67" s="80">
        <v>17</v>
      </c>
      <c r="CL67" s="61" t="s">
        <v>1362</v>
      </c>
      <c r="CM67" s="61" t="s">
        <v>2856</v>
      </c>
      <c r="CN67" s="61">
        <v>69</v>
      </c>
      <c r="CO67" s="61">
        <v>150</v>
      </c>
      <c r="CP67" s="61">
        <v>306</v>
      </c>
      <c r="CQ67" s="61">
        <v>443</v>
      </c>
      <c r="CR67" s="61">
        <v>410</v>
      </c>
      <c r="CS67" s="61">
        <v>1378</v>
      </c>
      <c r="CT67" s="61"/>
      <c r="CU67" s="61" t="s">
        <v>2856</v>
      </c>
      <c r="CV67" s="61">
        <v>18</v>
      </c>
      <c r="CW67" s="61">
        <v>0</v>
      </c>
      <c r="CX67" s="61">
        <v>0</v>
      </c>
      <c r="CY67" s="61">
        <v>0</v>
      </c>
      <c r="CZ67" s="61">
        <v>0</v>
      </c>
      <c r="DA67" s="61">
        <v>18</v>
      </c>
      <c r="DV67" s="94" t="s">
        <v>1534</v>
      </c>
      <c r="DW67" s="94" t="s">
        <v>1968</v>
      </c>
      <c r="DX67" s="94">
        <v>481</v>
      </c>
      <c r="DY67" s="94">
        <v>689</v>
      </c>
      <c r="DZ67" s="94">
        <v>1066</v>
      </c>
      <c r="EA67" s="94">
        <v>1307</v>
      </c>
      <c r="EB67" s="94">
        <v>1146</v>
      </c>
      <c r="EC67" s="94">
        <v>4689</v>
      </c>
      <c r="ED67" s="94"/>
      <c r="EE67" s="94" t="s">
        <v>1968</v>
      </c>
      <c r="EF67" s="94">
        <v>21</v>
      </c>
      <c r="EG67" s="94">
        <v>5</v>
      </c>
      <c r="EH67" s="94">
        <v>0</v>
      </c>
      <c r="EI67" s="94">
        <v>0</v>
      </c>
      <c r="EJ67" s="94">
        <v>0</v>
      </c>
      <c r="EK67" s="94">
        <v>26</v>
      </c>
      <c r="EN67" s="61" t="s">
        <v>1685</v>
      </c>
      <c r="EO67" s="61" t="s">
        <v>2856</v>
      </c>
      <c r="EP67" s="61" t="s">
        <v>1970</v>
      </c>
      <c r="EQ67" s="61" t="s">
        <v>1970</v>
      </c>
      <c r="ER67" s="61" t="s">
        <v>1970</v>
      </c>
      <c r="ES67" s="61" t="s">
        <v>1970</v>
      </c>
      <c r="ET67" s="61" t="s">
        <v>1970</v>
      </c>
      <c r="EU67" s="61" t="s">
        <v>1970</v>
      </c>
      <c r="EV67" s="61"/>
      <c r="EW67" s="61" t="s">
        <v>2856</v>
      </c>
      <c r="EX67" s="61" t="s">
        <v>1970</v>
      </c>
      <c r="EY67" s="61" t="s">
        <v>1970</v>
      </c>
      <c r="EZ67" s="61" t="s">
        <v>1970</v>
      </c>
      <c r="FA67" s="61" t="s">
        <v>1970</v>
      </c>
      <c r="FB67" s="61" t="s">
        <v>1970</v>
      </c>
      <c r="FC67" s="61" t="s">
        <v>1970</v>
      </c>
      <c r="FF67" s="80" t="s">
        <v>1799</v>
      </c>
      <c r="FG67" s="80" t="s">
        <v>2856</v>
      </c>
      <c r="FH67" s="80">
        <v>580</v>
      </c>
      <c r="FI67" s="80">
        <v>621</v>
      </c>
      <c r="FJ67" s="80">
        <v>671</v>
      </c>
      <c r="FK67" s="80">
        <v>739</v>
      </c>
      <c r="FL67" s="80">
        <v>878</v>
      </c>
      <c r="FM67" s="80">
        <v>3489</v>
      </c>
      <c r="FN67" s="80"/>
      <c r="FO67" s="80" t="s">
        <v>2856</v>
      </c>
      <c r="FP67" s="80">
        <v>109</v>
      </c>
      <c r="FQ67" s="80">
        <v>20</v>
      </c>
      <c r="FR67" s="80">
        <v>11</v>
      </c>
      <c r="FS67" s="80">
        <v>8</v>
      </c>
      <c r="FT67" s="80">
        <v>5</v>
      </c>
      <c r="FU67" s="80">
        <v>153</v>
      </c>
    </row>
    <row r="68" spans="1:177" x14ac:dyDescent="0.3">
      <c r="B68" s="71" t="s">
        <v>73</v>
      </c>
      <c r="C68" s="71" t="s">
        <v>2856</v>
      </c>
      <c r="D68" s="71">
        <v>26</v>
      </c>
      <c r="E68" s="71">
        <v>0</v>
      </c>
      <c r="F68" s="71">
        <v>0</v>
      </c>
      <c r="G68" s="71">
        <v>0</v>
      </c>
      <c r="H68" s="71">
        <v>0</v>
      </c>
      <c r="I68" s="71">
        <v>26</v>
      </c>
      <c r="K68" s="71" t="s">
        <v>2856</v>
      </c>
      <c r="L68" s="71">
        <v>349</v>
      </c>
      <c r="M68" s="71">
        <v>424</v>
      </c>
      <c r="N68" s="71">
        <v>561</v>
      </c>
      <c r="O68" s="71">
        <v>596</v>
      </c>
      <c r="P68" s="71">
        <v>526</v>
      </c>
      <c r="Q68" s="71">
        <v>2456</v>
      </c>
      <c r="T68" s="72" t="s">
        <v>284</v>
      </c>
      <c r="U68" s="72" t="s">
        <v>1968</v>
      </c>
      <c r="V68" s="72">
        <v>76</v>
      </c>
      <c r="W68" s="72">
        <v>177</v>
      </c>
      <c r="X68" s="72">
        <v>362</v>
      </c>
      <c r="Y68" s="72">
        <v>509</v>
      </c>
      <c r="Z68" s="72">
        <v>398</v>
      </c>
      <c r="AA68" s="72">
        <v>1522</v>
      </c>
      <c r="AB68" s="72"/>
      <c r="AC68" s="72" t="s">
        <v>1968</v>
      </c>
      <c r="AD68" s="72">
        <v>10</v>
      </c>
      <c r="AE68" s="72">
        <v>2</v>
      </c>
      <c r="AF68" s="72">
        <v>2</v>
      </c>
      <c r="AG68" s="72">
        <v>1</v>
      </c>
      <c r="AH68" s="72">
        <v>1</v>
      </c>
      <c r="AI68" s="72">
        <v>16</v>
      </c>
      <c r="AK68" s="73" t="s">
        <v>596</v>
      </c>
      <c r="AL68" s="73" t="s">
        <v>2856</v>
      </c>
      <c r="AM68" s="73">
        <v>500</v>
      </c>
      <c r="AN68" s="73">
        <v>435</v>
      </c>
      <c r="AO68" s="73">
        <v>760</v>
      </c>
      <c r="AP68" s="73">
        <v>895</v>
      </c>
      <c r="AQ68" s="73">
        <v>669</v>
      </c>
      <c r="AR68" s="73">
        <v>3259</v>
      </c>
      <c r="AS68" s="73"/>
      <c r="AT68" s="73" t="s">
        <v>2856</v>
      </c>
      <c r="AU68" s="73">
        <v>46</v>
      </c>
      <c r="AV68" s="73">
        <v>1</v>
      </c>
      <c r="AW68" s="73">
        <v>3</v>
      </c>
      <c r="AX68" s="73">
        <v>0</v>
      </c>
      <c r="AY68" s="73">
        <v>0</v>
      </c>
      <c r="AZ68" s="73">
        <v>50</v>
      </c>
      <c r="BB68" s="78" t="s">
        <v>767</v>
      </c>
      <c r="BC68" s="78" t="s">
        <v>2856</v>
      </c>
      <c r="BD68" s="78">
        <v>376</v>
      </c>
      <c r="BE68" s="78">
        <v>274</v>
      </c>
      <c r="BF68" s="78">
        <v>392</v>
      </c>
      <c r="BG68" s="78">
        <v>441</v>
      </c>
      <c r="BH68" s="78">
        <v>348</v>
      </c>
      <c r="BI68" s="78">
        <v>1831</v>
      </c>
      <c r="BJ68" s="78"/>
      <c r="BK68" s="78" t="s">
        <v>2856</v>
      </c>
      <c r="BL68" s="78">
        <v>50</v>
      </c>
      <c r="BM68" s="78">
        <v>2</v>
      </c>
      <c r="BN68" s="78">
        <v>0</v>
      </c>
      <c r="BO68" s="78">
        <v>0</v>
      </c>
      <c r="BP68" s="78">
        <v>0</v>
      </c>
      <c r="BQ68" s="78">
        <v>52</v>
      </c>
      <c r="BS68" s="80" t="s">
        <v>1123</v>
      </c>
      <c r="BT68" s="80" t="s">
        <v>1968</v>
      </c>
      <c r="BU68" s="80">
        <v>45</v>
      </c>
      <c r="BV68" s="80">
        <v>91</v>
      </c>
      <c r="BW68" s="80">
        <v>207</v>
      </c>
      <c r="BX68" s="80">
        <v>284</v>
      </c>
      <c r="BY68" s="80">
        <v>297</v>
      </c>
      <c r="BZ68" s="80">
        <v>924</v>
      </c>
      <c r="CA68" s="80"/>
      <c r="CB68" s="80" t="s">
        <v>1968</v>
      </c>
      <c r="CC68" s="80">
        <v>3</v>
      </c>
      <c r="CD68" s="80">
        <v>0</v>
      </c>
      <c r="CE68" s="80">
        <v>0</v>
      </c>
      <c r="CF68" s="80">
        <v>0</v>
      </c>
      <c r="CG68" s="80">
        <v>0</v>
      </c>
      <c r="CH68" s="80">
        <v>3</v>
      </c>
      <c r="CL68" s="61" t="s">
        <v>1367</v>
      </c>
      <c r="CM68" s="61" t="s">
        <v>2856</v>
      </c>
      <c r="CN68" s="61">
        <v>1081</v>
      </c>
      <c r="CO68" s="61">
        <v>637</v>
      </c>
      <c r="CP68" s="61">
        <v>756</v>
      </c>
      <c r="CQ68" s="61">
        <v>848</v>
      </c>
      <c r="CR68" s="61">
        <v>641</v>
      </c>
      <c r="CS68" s="61">
        <v>3963</v>
      </c>
      <c r="CT68" s="61"/>
      <c r="CU68" s="61" t="s">
        <v>2856</v>
      </c>
      <c r="CV68" s="61">
        <v>357</v>
      </c>
      <c r="CW68" s="61">
        <v>6</v>
      </c>
      <c r="CX68" s="61">
        <v>0</v>
      </c>
      <c r="CY68" s="61">
        <v>0</v>
      </c>
      <c r="CZ68" s="61">
        <v>0</v>
      </c>
      <c r="DA68" s="61">
        <v>363</v>
      </c>
      <c r="DV68" s="94" t="s">
        <v>1538</v>
      </c>
      <c r="DW68" s="94" t="s">
        <v>1968</v>
      </c>
      <c r="DX68" s="94">
        <v>303</v>
      </c>
      <c r="DY68" s="94">
        <v>410</v>
      </c>
      <c r="DZ68" s="94">
        <v>465</v>
      </c>
      <c r="EA68" s="94">
        <v>450</v>
      </c>
      <c r="EB68" s="94">
        <v>361</v>
      </c>
      <c r="EC68" s="94">
        <v>1989</v>
      </c>
      <c r="ED68" s="94"/>
      <c r="EE68" s="94" t="s">
        <v>1968</v>
      </c>
      <c r="EF68" s="94">
        <v>21</v>
      </c>
      <c r="EG68" s="94">
        <v>0</v>
      </c>
      <c r="EH68" s="94">
        <v>0</v>
      </c>
      <c r="EI68" s="94">
        <v>0</v>
      </c>
      <c r="EJ68" s="94">
        <v>0</v>
      </c>
      <c r="EK68" s="94">
        <v>21</v>
      </c>
      <c r="EN68" s="61" t="s">
        <v>1689</v>
      </c>
      <c r="EO68" s="61" t="s">
        <v>2856</v>
      </c>
      <c r="EP68" s="61">
        <v>194</v>
      </c>
      <c r="EQ68" s="61">
        <v>305</v>
      </c>
      <c r="ER68" s="61">
        <v>349</v>
      </c>
      <c r="ES68" s="61">
        <v>473</v>
      </c>
      <c r="ET68" s="61">
        <v>560</v>
      </c>
      <c r="EU68" s="61">
        <v>1881</v>
      </c>
      <c r="EV68" s="61"/>
      <c r="EW68" s="61" t="s">
        <v>2856</v>
      </c>
      <c r="EX68" s="61">
        <v>30</v>
      </c>
      <c r="EY68" s="61">
        <v>15</v>
      </c>
      <c r="EZ68" s="61">
        <v>6</v>
      </c>
      <c r="FA68" s="61">
        <v>4</v>
      </c>
      <c r="FB68" s="61">
        <v>7</v>
      </c>
      <c r="FC68" s="61">
        <v>62</v>
      </c>
      <c r="FF68" s="80" t="s">
        <v>1805</v>
      </c>
      <c r="FG68" s="80" t="s">
        <v>2856</v>
      </c>
      <c r="FH68" s="80">
        <v>523</v>
      </c>
      <c r="FI68" s="80">
        <v>640</v>
      </c>
      <c r="FJ68" s="80">
        <v>708</v>
      </c>
      <c r="FK68" s="80">
        <v>806</v>
      </c>
      <c r="FL68" s="80">
        <v>976</v>
      </c>
      <c r="FM68" s="80">
        <v>3653</v>
      </c>
      <c r="FN68" s="80"/>
      <c r="FO68" s="80" t="s">
        <v>2856</v>
      </c>
      <c r="FP68" s="80">
        <v>66</v>
      </c>
      <c r="FQ68" s="80">
        <v>21</v>
      </c>
      <c r="FR68" s="80">
        <v>13</v>
      </c>
      <c r="FS68" s="80">
        <v>14</v>
      </c>
      <c r="FT68" s="80">
        <v>9</v>
      </c>
      <c r="FU68" s="80">
        <v>123</v>
      </c>
    </row>
    <row r="69" spans="1:177" x14ac:dyDescent="0.3">
      <c r="B69" s="71" t="s">
        <v>78</v>
      </c>
      <c r="C69" s="71" t="s">
        <v>2856</v>
      </c>
      <c r="D69" s="71">
        <v>18</v>
      </c>
      <c r="E69" s="71">
        <v>0</v>
      </c>
      <c r="F69" s="71">
        <v>0</v>
      </c>
      <c r="G69" s="71">
        <v>0</v>
      </c>
      <c r="H69" s="71">
        <v>0</v>
      </c>
      <c r="I69" s="71">
        <v>18</v>
      </c>
      <c r="K69" s="71" t="s">
        <v>2856</v>
      </c>
      <c r="L69" s="71">
        <v>267</v>
      </c>
      <c r="M69" s="71">
        <v>294</v>
      </c>
      <c r="N69" s="71">
        <v>409</v>
      </c>
      <c r="O69" s="71">
        <v>507</v>
      </c>
      <c r="P69" s="71">
        <v>382</v>
      </c>
      <c r="Q69" s="71">
        <v>1859</v>
      </c>
      <c r="T69" s="72" t="s">
        <v>288</v>
      </c>
      <c r="U69" s="72" t="s">
        <v>1968</v>
      </c>
      <c r="V69" s="72">
        <v>102</v>
      </c>
      <c r="W69" s="72">
        <v>130</v>
      </c>
      <c r="X69" s="72">
        <v>231</v>
      </c>
      <c r="Y69" s="72">
        <v>260</v>
      </c>
      <c r="Z69" s="72">
        <v>229</v>
      </c>
      <c r="AA69" s="72">
        <v>952</v>
      </c>
      <c r="AB69" s="72"/>
      <c r="AC69" s="72" t="s">
        <v>1968</v>
      </c>
      <c r="AD69" s="72">
        <v>7</v>
      </c>
      <c r="AE69" s="72">
        <v>0</v>
      </c>
      <c r="AF69" s="72">
        <v>1</v>
      </c>
      <c r="AG69" s="72">
        <v>0</v>
      </c>
      <c r="AH69" s="72">
        <v>0</v>
      </c>
      <c r="AI69" s="72">
        <v>8</v>
      </c>
      <c r="AK69" s="73" t="s">
        <v>599</v>
      </c>
      <c r="AL69" s="73" t="s">
        <v>2856</v>
      </c>
      <c r="AM69" s="73">
        <v>575</v>
      </c>
      <c r="AN69" s="73">
        <v>564</v>
      </c>
      <c r="AO69" s="73">
        <v>760</v>
      </c>
      <c r="AP69" s="73">
        <v>836</v>
      </c>
      <c r="AQ69" s="73">
        <v>602</v>
      </c>
      <c r="AR69" s="73">
        <v>3337</v>
      </c>
      <c r="AS69" s="73"/>
      <c r="AT69" s="73" t="s">
        <v>2856</v>
      </c>
      <c r="AU69" s="73">
        <v>18</v>
      </c>
      <c r="AV69" s="73">
        <v>4</v>
      </c>
      <c r="AW69" s="73">
        <v>1</v>
      </c>
      <c r="AX69" s="73">
        <v>0</v>
      </c>
      <c r="AY69" s="73">
        <v>2</v>
      </c>
      <c r="AZ69" s="73">
        <v>25</v>
      </c>
      <c r="BB69" s="78" t="s">
        <v>771</v>
      </c>
      <c r="BC69" s="78" t="s">
        <v>2856</v>
      </c>
      <c r="BD69" s="78">
        <v>278</v>
      </c>
      <c r="BE69" s="78">
        <v>295</v>
      </c>
      <c r="BF69" s="78">
        <v>318</v>
      </c>
      <c r="BG69" s="78">
        <v>320</v>
      </c>
      <c r="BH69" s="78">
        <v>262</v>
      </c>
      <c r="BI69" s="78">
        <v>1473</v>
      </c>
      <c r="BJ69" s="78"/>
      <c r="BK69" s="78" t="s">
        <v>2856</v>
      </c>
      <c r="BL69" s="78">
        <v>22</v>
      </c>
      <c r="BM69" s="78">
        <v>0</v>
      </c>
      <c r="BN69" s="78">
        <v>0</v>
      </c>
      <c r="BO69" s="78">
        <v>0</v>
      </c>
      <c r="BP69" s="78">
        <v>0</v>
      </c>
      <c r="BQ69" s="78">
        <v>22</v>
      </c>
      <c r="BS69" s="80" t="s">
        <v>1127</v>
      </c>
      <c r="BT69" s="80" t="s">
        <v>1968</v>
      </c>
      <c r="BU69" s="80">
        <v>229</v>
      </c>
      <c r="BV69" s="80">
        <v>184</v>
      </c>
      <c r="BW69" s="80">
        <v>242</v>
      </c>
      <c r="BX69" s="80">
        <v>326</v>
      </c>
      <c r="BY69" s="80">
        <v>296</v>
      </c>
      <c r="BZ69" s="80">
        <v>1277</v>
      </c>
      <c r="CA69" s="80"/>
      <c r="CB69" s="80" t="s">
        <v>1968</v>
      </c>
      <c r="CC69" s="80">
        <v>55</v>
      </c>
      <c r="CD69" s="80">
        <v>0</v>
      </c>
      <c r="CE69" s="80">
        <v>0</v>
      </c>
      <c r="CF69" s="80">
        <v>0</v>
      </c>
      <c r="CG69" s="80">
        <v>0</v>
      </c>
      <c r="CH69" s="80">
        <v>55</v>
      </c>
      <c r="CL69" s="61" t="s">
        <v>1195</v>
      </c>
      <c r="CM69" s="61" t="s">
        <v>2856</v>
      </c>
      <c r="CN69" s="61">
        <v>54</v>
      </c>
      <c r="CO69" s="61">
        <v>40</v>
      </c>
      <c r="CP69" s="61">
        <v>71</v>
      </c>
      <c r="CQ69" s="61">
        <v>74</v>
      </c>
      <c r="CR69" s="61">
        <v>103</v>
      </c>
      <c r="CS69" s="61">
        <v>342</v>
      </c>
      <c r="CT69" s="61"/>
      <c r="CU69" s="61" t="s">
        <v>2856</v>
      </c>
      <c r="CV69" s="61">
        <v>19</v>
      </c>
      <c r="CW69" s="61">
        <v>0</v>
      </c>
      <c r="CX69" s="61">
        <v>0</v>
      </c>
      <c r="CY69" s="61">
        <v>0</v>
      </c>
      <c r="CZ69" s="61">
        <v>0</v>
      </c>
      <c r="DA69" s="61">
        <v>19</v>
      </c>
      <c r="DV69" s="94" t="s">
        <v>1554</v>
      </c>
      <c r="DW69" s="94" t="s">
        <v>1968</v>
      </c>
      <c r="DX69" s="94">
        <v>164</v>
      </c>
      <c r="DY69" s="94">
        <v>107</v>
      </c>
      <c r="DZ69" s="94">
        <v>104</v>
      </c>
      <c r="EA69" s="94">
        <v>105</v>
      </c>
      <c r="EB69" s="94">
        <v>119</v>
      </c>
      <c r="EC69" s="94">
        <v>599</v>
      </c>
      <c r="ED69" s="94"/>
      <c r="EE69" s="94" t="s">
        <v>1968</v>
      </c>
      <c r="EF69" s="94">
        <v>31</v>
      </c>
      <c r="EG69" s="94">
        <v>1</v>
      </c>
      <c r="EH69" s="94">
        <v>0</v>
      </c>
      <c r="EI69" s="94">
        <v>0</v>
      </c>
      <c r="EJ69" s="94">
        <v>0</v>
      </c>
      <c r="EK69" s="94">
        <v>32</v>
      </c>
      <c r="EN69" s="61" t="s">
        <v>1693</v>
      </c>
      <c r="EO69" s="61" t="s">
        <v>2856</v>
      </c>
      <c r="EP69" s="61" t="s">
        <v>1970</v>
      </c>
      <c r="EQ69" s="61" t="s">
        <v>1970</v>
      </c>
      <c r="ER69" s="61" t="s">
        <v>1970</v>
      </c>
      <c r="ES69" s="61" t="s">
        <v>1970</v>
      </c>
      <c r="ET69" s="61" t="s">
        <v>1970</v>
      </c>
      <c r="EU69" s="61" t="s">
        <v>1970</v>
      </c>
      <c r="EV69" s="61"/>
      <c r="EW69" s="61" t="s">
        <v>2856</v>
      </c>
      <c r="EX69" s="61" t="s">
        <v>1970</v>
      </c>
      <c r="EY69" s="61" t="s">
        <v>1970</v>
      </c>
      <c r="EZ69" s="61" t="s">
        <v>1970</v>
      </c>
      <c r="FA69" s="61" t="s">
        <v>1970</v>
      </c>
      <c r="FB69" s="61" t="s">
        <v>1970</v>
      </c>
      <c r="FC69" s="61" t="s">
        <v>1970</v>
      </c>
      <c r="FF69" s="80" t="s">
        <v>1811</v>
      </c>
      <c r="FG69" s="80" t="s">
        <v>2856</v>
      </c>
      <c r="FH69" s="80">
        <v>1938</v>
      </c>
      <c r="FI69" s="80">
        <v>1021</v>
      </c>
      <c r="FJ69" s="80">
        <v>789</v>
      </c>
      <c r="FK69" s="80">
        <v>768</v>
      </c>
      <c r="FL69" s="80">
        <v>776</v>
      </c>
      <c r="FM69" s="80">
        <v>5292</v>
      </c>
      <c r="FN69" s="80"/>
      <c r="FO69" s="80" t="s">
        <v>2856</v>
      </c>
      <c r="FP69" s="80">
        <v>345</v>
      </c>
      <c r="FQ69" s="80">
        <v>0</v>
      </c>
      <c r="FR69" s="80">
        <v>0</v>
      </c>
      <c r="FS69" s="80">
        <v>0</v>
      </c>
      <c r="FT69" s="80">
        <v>0</v>
      </c>
      <c r="FU69" s="80">
        <v>345</v>
      </c>
    </row>
    <row r="70" spans="1:177" x14ac:dyDescent="0.3">
      <c r="B70" s="71" t="s">
        <v>83</v>
      </c>
      <c r="C70" s="71" t="s">
        <v>2856</v>
      </c>
      <c r="D70" s="71">
        <v>50</v>
      </c>
      <c r="E70" s="71">
        <v>10</v>
      </c>
      <c r="F70" s="71">
        <v>4</v>
      </c>
      <c r="G70" s="71">
        <v>0</v>
      </c>
      <c r="H70" s="71">
        <v>0</v>
      </c>
      <c r="I70" s="71">
        <v>64</v>
      </c>
      <c r="K70" s="71" t="s">
        <v>2856</v>
      </c>
      <c r="L70" s="71">
        <v>312</v>
      </c>
      <c r="M70" s="71">
        <v>377</v>
      </c>
      <c r="N70" s="71">
        <v>468</v>
      </c>
      <c r="O70" s="71">
        <v>482</v>
      </c>
      <c r="P70" s="71">
        <v>439</v>
      </c>
      <c r="Q70" s="71">
        <v>2078</v>
      </c>
      <c r="T70" s="72" t="s">
        <v>294</v>
      </c>
      <c r="U70" s="72" t="s">
        <v>1968</v>
      </c>
      <c r="V70" s="72">
        <v>135</v>
      </c>
      <c r="W70" s="72">
        <v>257</v>
      </c>
      <c r="X70" s="72">
        <v>445</v>
      </c>
      <c r="Y70" s="72">
        <v>560</v>
      </c>
      <c r="Z70" s="72">
        <v>398</v>
      </c>
      <c r="AA70" s="72">
        <v>1795</v>
      </c>
      <c r="AB70" s="72"/>
      <c r="AC70" s="72" t="s">
        <v>1968</v>
      </c>
      <c r="AD70" s="72">
        <v>9</v>
      </c>
      <c r="AE70" s="72">
        <v>3</v>
      </c>
      <c r="AF70" s="72">
        <v>2</v>
      </c>
      <c r="AG70" s="72">
        <v>0</v>
      </c>
      <c r="AH70" s="72">
        <v>0</v>
      </c>
      <c r="AI70" s="72">
        <v>14</v>
      </c>
      <c r="AK70" s="73" t="s">
        <v>603</v>
      </c>
      <c r="AL70" s="73" t="s">
        <v>2856</v>
      </c>
      <c r="AM70" s="73">
        <v>237</v>
      </c>
      <c r="AN70" s="73">
        <v>285</v>
      </c>
      <c r="AO70" s="73">
        <v>446</v>
      </c>
      <c r="AP70" s="73">
        <v>548</v>
      </c>
      <c r="AQ70" s="73">
        <v>487</v>
      </c>
      <c r="AR70" s="73">
        <v>2003</v>
      </c>
      <c r="AS70" s="73"/>
      <c r="AT70" s="73" t="s">
        <v>2856</v>
      </c>
      <c r="AU70" s="73">
        <v>30</v>
      </c>
      <c r="AV70" s="73">
        <v>9</v>
      </c>
      <c r="AW70" s="73">
        <v>2</v>
      </c>
      <c r="AX70" s="73">
        <v>4</v>
      </c>
      <c r="AY70" s="73">
        <v>0</v>
      </c>
      <c r="AZ70" s="73">
        <v>45</v>
      </c>
      <c r="BB70" s="78" t="s">
        <v>776</v>
      </c>
      <c r="BC70" s="78" t="s">
        <v>2856</v>
      </c>
      <c r="BD70" s="78">
        <v>403</v>
      </c>
      <c r="BE70" s="78">
        <v>280</v>
      </c>
      <c r="BF70" s="78">
        <v>412</v>
      </c>
      <c r="BG70" s="78">
        <v>497</v>
      </c>
      <c r="BH70" s="78">
        <v>465</v>
      </c>
      <c r="BI70" s="78">
        <v>2057</v>
      </c>
      <c r="BJ70" s="78"/>
      <c r="BK70" s="78" t="s">
        <v>2856</v>
      </c>
      <c r="BL70" s="78">
        <v>49</v>
      </c>
      <c r="BM70" s="78">
        <v>0</v>
      </c>
      <c r="BN70" s="78">
        <v>0</v>
      </c>
      <c r="BO70" s="78">
        <v>0</v>
      </c>
      <c r="BP70" s="78">
        <v>0</v>
      </c>
      <c r="BQ70" s="78">
        <v>49</v>
      </c>
      <c r="BS70" s="80" t="s">
        <v>1131</v>
      </c>
      <c r="BT70" s="80" t="s">
        <v>1968</v>
      </c>
      <c r="BU70" s="80">
        <v>72</v>
      </c>
      <c r="BV70" s="80">
        <v>83</v>
      </c>
      <c r="BW70" s="80">
        <v>186</v>
      </c>
      <c r="BX70" s="80">
        <v>238</v>
      </c>
      <c r="BY70" s="80">
        <v>199</v>
      </c>
      <c r="BZ70" s="80">
        <v>778</v>
      </c>
      <c r="CA70" s="80"/>
      <c r="CB70" s="80" t="s">
        <v>1968</v>
      </c>
      <c r="CC70" s="80">
        <v>27</v>
      </c>
      <c r="CD70" s="80">
        <v>0</v>
      </c>
      <c r="CE70" s="80">
        <v>0</v>
      </c>
      <c r="CF70" s="80">
        <v>0</v>
      </c>
      <c r="CG70" s="80">
        <v>0</v>
      </c>
      <c r="CH70" s="80">
        <v>27</v>
      </c>
      <c r="CL70" s="61" t="s">
        <v>1253</v>
      </c>
      <c r="CM70" s="61" t="s">
        <v>2856</v>
      </c>
      <c r="CN70" s="61">
        <v>221</v>
      </c>
      <c r="CO70" s="61">
        <v>100</v>
      </c>
      <c r="CP70" s="61">
        <v>144</v>
      </c>
      <c r="CQ70" s="61">
        <v>214</v>
      </c>
      <c r="CR70" s="61">
        <v>316</v>
      </c>
      <c r="CS70" s="61">
        <v>995</v>
      </c>
      <c r="CT70" s="61"/>
      <c r="CU70" s="61" t="s">
        <v>2856</v>
      </c>
      <c r="CV70" s="61">
        <v>67</v>
      </c>
      <c r="CW70" s="61">
        <v>0</v>
      </c>
      <c r="CX70" s="61">
        <v>0</v>
      </c>
      <c r="CY70" s="61">
        <v>0</v>
      </c>
      <c r="CZ70" s="61">
        <v>0</v>
      </c>
      <c r="DA70" s="61">
        <v>67</v>
      </c>
      <c r="DV70" s="94" t="s">
        <v>1558</v>
      </c>
      <c r="DW70" s="94" t="s">
        <v>1968</v>
      </c>
      <c r="DX70" s="94">
        <v>298</v>
      </c>
      <c r="DY70" s="94">
        <v>264</v>
      </c>
      <c r="DZ70" s="94">
        <v>326</v>
      </c>
      <c r="EA70" s="94">
        <v>274</v>
      </c>
      <c r="EB70" s="94">
        <v>223</v>
      </c>
      <c r="EC70" s="94">
        <v>1385</v>
      </c>
      <c r="ED70" s="94"/>
      <c r="EE70" s="94" t="s">
        <v>1968</v>
      </c>
      <c r="EF70" s="94">
        <v>27</v>
      </c>
      <c r="EG70" s="94">
        <v>0</v>
      </c>
      <c r="EH70" s="94">
        <v>0</v>
      </c>
      <c r="EI70" s="94">
        <v>0</v>
      </c>
      <c r="EJ70" s="94">
        <v>0</v>
      </c>
      <c r="EK70" s="94">
        <v>27</v>
      </c>
      <c r="EN70" s="61" t="s">
        <v>1697</v>
      </c>
      <c r="EO70" s="61" t="s">
        <v>2856</v>
      </c>
      <c r="EP70" s="61" t="s">
        <v>1970</v>
      </c>
      <c r="EQ70" s="61" t="s">
        <v>1970</v>
      </c>
      <c r="ER70" s="61" t="s">
        <v>1970</v>
      </c>
      <c r="ES70" s="61" t="s">
        <v>1970</v>
      </c>
      <c r="ET70" s="61" t="s">
        <v>1970</v>
      </c>
      <c r="EU70" s="61" t="s">
        <v>1970</v>
      </c>
      <c r="EV70" s="61"/>
      <c r="EW70" s="61" t="s">
        <v>2856</v>
      </c>
      <c r="EX70" s="61" t="s">
        <v>1970</v>
      </c>
      <c r="EY70" s="61" t="s">
        <v>1970</v>
      </c>
      <c r="EZ70" s="61" t="s">
        <v>1970</v>
      </c>
      <c r="FA70" s="61" t="s">
        <v>1970</v>
      </c>
      <c r="FB70" s="61" t="s">
        <v>1970</v>
      </c>
      <c r="FC70" s="61" t="s">
        <v>1970</v>
      </c>
      <c r="FE70" s="355"/>
      <c r="FF70" s="80" t="s">
        <v>1817</v>
      </c>
      <c r="FG70" s="80" t="s">
        <v>2856</v>
      </c>
      <c r="FH70" s="80">
        <v>654</v>
      </c>
      <c r="FI70" s="80">
        <v>987</v>
      </c>
      <c r="FJ70" s="80">
        <v>704</v>
      </c>
      <c r="FK70" s="80">
        <v>588</v>
      </c>
      <c r="FL70" s="80">
        <v>608</v>
      </c>
      <c r="FM70" s="80">
        <v>3541</v>
      </c>
      <c r="FN70" s="80"/>
      <c r="FO70" s="80" t="s">
        <v>2856</v>
      </c>
      <c r="FP70" s="80">
        <v>110</v>
      </c>
      <c r="FQ70" s="80">
        <v>1</v>
      </c>
      <c r="FR70" s="80">
        <v>0</v>
      </c>
      <c r="FS70" s="80">
        <v>0</v>
      </c>
      <c r="FT70" s="80">
        <v>0</v>
      </c>
      <c r="FU70" s="80">
        <v>111</v>
      </c>
    </row>
    <row r="71" spans="1:177" x14ac:dyDescent="0.3">
      <c r="B71" s="71" t="s">
        <v>88</v>
      </c>
      <c r="C71" s="71" t="s">
        <v>2856</v>
      </c>
      <c r="D71" s="71">
        <v>48</v>
      </c>
      <c r="E71" s="71">
        <v>1</v>
      </c>
      <c r="F71" s="71">
        <v>1</v>
      </c>
      <c r="G71" s="71">
        <v>1</v>
      </c>
      <c r="H71" s="71">
        <v>0</v>
      </c>
      <c r="I71" s="71">
        <v>51</v>
      </c>
      <c r="K71" s="71" t="s">
        <v>2856</v>
      </c>
      <c r="L71" s="71">
        <v>109</v>
      </c>
      <c r="M71" s="71">
        <v>120</v>
      </c>
      <c r="N71" s="71">
        <v>163</v>
      </c>
      <c r="O71" s="71">
        <v>235</v>
      </c>
      <c r="P71" s="71">
        <v>233</v>
      </c>
      <c r="Q71" s="71">
        <v>860</v>
      </c>
      <c r="T71" s="72" t="s">
        <v>298</v>
      </c>
      <c r="U71" s="72" t="s">
        <v>1968</v>
      </c>
      <c r="V71" s="72">
        <v>237</v>
      </c>
      <c r="W71" s="72">
        <v>121</v>
      </c>
      <c r="X71" s="72">
        <v>145</v>
      </c>
      <c r="Y71" s="72">
        <v>215</v>
      </c>
      <c r="Z71" s="72">
        <v>202</v>
      </c>
      <c r="AA71" s="72">
        <v>920</v>
      </c>
      <c r="AB71" s="72"/>
      <c r="AC71" s="72" t="s">
        <v>1968</v>
      </c>
      <c r="AD71" s="72">
        <v>12</v>
      </c>
      <c r="AE71" s="72">
        <v>0</v>
      </c>
      <c r="AF71" s="72">
        <v>0</v>
      </c>
      <c r="AG71" s="72">
        <v>0</v>
      </c>
      <c r="AH71" s="72">
        <v>0</v>
      </c>
      <c r="AI71" s="72">
        <v>12</v>
      </c>
      <c r="AK71" s="73" t="s">
        <v>608</v>
      </c>
      <c r="AL71" s="73" t="s">
        <v>2856</v>
      </c>
      <c r="AM71" s="73">
        <v>1106</v>
      </c>
      <c r="AN71" s="73">
        <v>447</v>
      </c>
      <c r="AO71" s="73">
        <v>546</v>
      </c>
      <c r="AP71" s="73">
        <v>582</v>
      </c>
      <c r="AQ71" s="73">
        <v>482</v>
      </c>
      <c r="AR71" s="73">
        <v>3163</v>
      </c>
      <c r="AS71" s="73"/>
      <c r="AT71" s="73" t="s">
        <v>2856</v>
      </c>
      <c r="AU71" s="73">
        <v>68</v>
      </c>
      <c r="AV71" s="73">
        <v>0</v>
      </c>
      <c r="AW71" s="73">
        <v>0</v>
      </c>
      <c r="AX71" s="73">
        <v>0</v>
      </c>
      <c r="AY71" s="73">
        <v>0</v>
      </c>
      <c r="AZ71" s="73">
        <v>68</v>
      </c>
      <c r="BB71" s="78" t="s">
        <v>781</v>
      </c>
      <c r="BC71" s="78" t="s">
        <v>2856</v>
      </c>
      <c r="BD71" s="78">
        <v>459</v>
      </c>
      <c r="BE71" s="78">
        <v>317</v>
      </c>
      <c r="BF71" s="78">
        <v>480</v>
      </c>
      <c r="BG71" s="78">
        <v>566</v>
      </c>
      <c r="BH71" s="78">
        <v>546</v>
      </c>
      <c r="BI71" s="78">
        <v>2368</v>
      </c>
      <c r="BJ71" s="78"/>
      <c r="BK71" s="78" t="s">
        <v>2856</v>
      </c>
      <c r="BL71" s="78">
        <v>21</v>
      </c>
      <c r="BM71" s="78">
        <v>0</v>
      </c>
      <c r="BN71" s="78">
        <v>0</v>
      </c>
      <c r="BO71" s="78">
        <v>0</v>
      </c>
      <c r="BP71" s="78">
        <v>0</v>
      </c>
      <c r="BQ71" s="78">
        <v>21</v>
      </c>
      <c r="BS71" s="80" t="s">
        <v>1135</v>
      </c>
      <c r="BT71" s="80" t="s">
        <v>1968</v>
      </c>
      <c r="BU71" s="80">
        <v>68</v>
      </c>
      <c r="BV71" s="80">
        <v>44</v>
      </c>
      <c r="BW71" s="80">
        <v>68</v>
      </c>
      <c r="BX71" s="80">
        <v>81</v>
      </c>
      <c r="BY71" s="80">
        <v>109</v>
      </c>
      <c r="BZ71" s="80">
        <v>370</v>
      </c>
      <c r="CA71" s="80"/>
      <c r="CB71" s="80" t="s">
        <v>1968</v>
      </c>
      <c r="CC71" s="80">
        <v>20</v>
      </c>
      <c r="CD71" s="80">
        <v>0</v>
      </c>
      <c r="CE71" s="80">
        <v>0</v>
      </c>
      <c r="CF71" s="80">
        <v>0</v>
      </c>
      <c r="CG71" s="80">
        <v>0</v>
      </c>
      <c r="CH71" s="80">
        <v>20</v>
      </c>
      <c r="CL71" s="61" t="s">
        <v>1254</v>
      </c>
      <c r="CM71" s="61" t="s">
        <v>2856</v>
      </c>
      <c r="CN71" s="61" t="s">
        <v>1970</v>
      </c>
      <c r="CO71" s="61" t="s">
        <v>1970</v>
      </c>
      <c r="CP71" s="61" t="s">
        <v>1970</v>
      </c>
      <c r="CQ71" s="61" t="s">
        <v>1970</v>
      </c>
      <c r="CR71" s="61" t="s">
        <v>1970</v>
      </c>
      <c r="CS71" s="61" t="s">
        <v>1970</v>
      </c>
      <c r="CT71" s="61"/>
      <c r="CU71" s="61" t="s">
        <v>2856</v>
      </c>
      <c r="CV71" s="61" t="s">
        <v>1970</v>
      </c>
      <c r="CW71" s="61" t="s">
        <v>1970</v>
      </c>
      <c r="CX71" s="61" t="s">
        <v>1970</v>
      </c>
      <c r="CY71" s="61" t="s">
        <v>1970</v>
      </c>
      <c r="CZ71" s="61" t="s">
        <v>1970</v>
      </c>
      <c r="DA71" s="61" t="s">
        <v>1970</v>
      </c>
      <c r="DV71" s="94" t="s">
        <v>1562</v>
      </c>
      <c r="DW71" s="94" t="s">
        <v>1968</v>
      </c>
      <c r="DX71" s="94">
        <v>147</v>
      </c>
      <c r="DY71" s="94">
        <v>121</v>
      </c>
      <c r="DZ71" s="94">
        <v>177</v>
      </c>
      <c r="EA71" s="94">
        <v>182</v>
      </c>
      <c r="EB71" s="94">
        <v>177</v>
      </c>
      <c r="EC71" s="94">
        <v>804</v>
      </c>
      <c r="ED71" s="94"/>
      <c r="EE71" s="94" t="s">
        <v>1968</v>
      </c>
      <c r="EF71" s="94">
        <v>15</v>
      </c>
      <c r="EG71" s="94">
        <v>0</v>
      </c>
      <c r="EH71" s="94">
        <v>0</v>
      </c>
      <c r="EI71" s="94">
        <v>0</v>
      </c>
      <c r="EJ71" s="94">
        <v>0</v>
      </c>
      <c r="EK71" s="94">
        <v>15</v>
      </c>
      <c r="EN71" s="61" t="s">
        <v>1701</v>
      </c>
      <c r="EO71" s="61" t="s">
        <v>2856</v>
      </c>
      <c r="EP71" s="61" t="s">
        <v>1970</v>
      </c>
      <c r="EQ71" s="61" t="s">
        <v>1970</v>
      </c>
      <c r="ER71" s="61" t="s">
        <v>1970</v>
      </c>
      <c r="ES71" s="61" t="s">
        <v>1970</v>
      </c>
      <c r="ET71" s="61" t="s">
        <v>1970</v>
      </c>
      <c r="EU71" s="61" t="s">
        <v>1970</v>
      </c>
      <c r="EV71" s="61"/>
      <c r="EW71" s="61" t="s">
        <v>2856</v>
      </c>
      <c r="EX71" s="61" t="s">
        <v>1970</v>
      </c>
      <c r="EY71" s="61" t="s">
        <v>1970</v>
      </c>
      <c r="EZ71" s="61" t="s">
        <v>1970</v>
      </c>
      <c r="FA71" s="61" t="s">
        <v>1970</v>
      </c>
      <c r="FB71" s="61" t="s">
        <v>1970</v>
      </c>
      <c r="FC71" s="61" t="s">
        <v>1970</v>
      </c>
      <c r="FE71" s="355" t="s">
        <v>3564</v>
      </c>
      <c r="FF71" s="80" t="s">
        <v>1823</v>
      </c>
      <c r="FG71" s="80" t="s">
        <v>2856</v>
      </c>
      <c r="FH71" s="80" t="s">
        <v>1970</v>
      </c>
      <c r="FI71" s="80" t="s">
        <v>1970</v>
      </c>
      <c r="FJ71" s="80" t="s">
        <v>1970</v>
      </c>
      <c r="FK71" s="80" t="s">
        <v>1970</v>
      </c>
      <c r="FL71" s="80" t="s">
        <v>1970</v>
      </c>
      <c r="FM71" s="80" t="s">
        <v>1970</v>
      </c>
      <c r="FN71" s="80"/>
      <c r="FO71" s="80" t="s">
        <v>2856</v>
      </c>
      <c r="FP71" s="80" t="s">
        <v>1970</v>
      </c>
      <c r="FQ71" s="80" t="s">
        <v>1970</v>
      </c>
      <c r="FR71" s="80" t="s">
        <v>1970</v>
      </c>
      <c r="FS71" s="80" t="s">
        <v>1970</v>
      </c>
      <c r="FT71" s="80" t="s">
        <v>1970</v>
      </c>
      <c r="FU71" s="80" t="s">
        <v>1970</v>
      </c>
    </row>
    <row r="72" spans="1:177" x14ac:dyDescent="0.3">
      <c r="B72" s="71" t="s">
        <v>97</v>
      </c>
      <c r="C72" s="71" t="s">
        <v>2856</v>
      </c>
      <c r="D72" s="71">
        <v>8</v>
      </c>
      <c r="E72" s="71">
        <v>4</v>
      </c>
      <c r="F72" s="71">
        <v>1</v>
      </c>
      <c r="G72" s="71">
        <v>1</v>
      </c>
      <c r="H72" s="71">
        <v>0</v>
      </c>
      <c r="I72" s="71">
        <v>14</v>
      </c>
      <c r="K72" s="71" t="s">
        <v>2856</v>
      </c>
      <c r="L72" s="71">
        <v>81</v>
      </c>
      <c r="M72" s="71">
        <v>188</v>
      </c>
      <c r="N72" s="71">
        <v>268</v>
      </c>
      <c r="O72" s="71">
        <v>327</v>
      </c>
      <c r="P72" s="71">
        <v>259</v>
      </c>
      <c r="Q72" s="71">
        <v>1123</v>
      </c>
      <c r="T72" s="72" t="s">
        <v>302</v>
      </c>
      <c r="U72" s="72" t="s">
        <v>1968</v>
      </c>
      <c r="V72" s="72">
        <v>234</v>
      </c>
      <c r="W72" s="72">
        <v>264</v>
      </c>
      <c r="X72" s="72">
        <v>284</v>
      </c>
      <c r="Y72" s="72">
        <v>298</v>
      </c>
      <c r="Z72" s="72">
        <v>225</v>
      </c>
      <c r="AA72" s="72">
        <v>1305</v>
      </c>
      <c r="AB72" s="72"/>
      <c r="AC72" s="72" t="s">
        <v>1968</v>
      </c>
      <c r="AD72" s="72">
        <v>34</v>
      </c>
      <c r="AE72" s="72">
        <v>4</v>
      </c>
      <c r="AF72" s="72">
        <v>0</v>
      </c>
      <c r="AG72" s="72">
        <v>0</v>
      </c>
      <c r="AH72" s="72">
        <v>0</v>
      </c>
      <c r="AI72" s="72">
        <v>38</v>
      </c>
      <c r="AK72" s="73" t="s">
        <v>614</v>
      </c>
      <c r="AL72" s="73" t="s">
        <v>2856</v>
      </c>
      <c r="AM72" s="73">
        <v>326</v>
      </c>
      <c r="AN72" s="73">
        <v>361</v>
      </c>
      <c r="AO72" s="73">
        <v>482</v>
      </c>
      <c r="AP72" s="73">
        <v>694</v>
      </c>
      <c r="AQ72" s="73">
        <v>562</v>
      </c>
      <c r="AR72" s="73">
        <v>2425</v>
      </c>
      <c r="AS72" s="73"/>
      <c r="AT72" s="73" t="s">
        <v>2856</v>
      </c>
      <c r="AU72" s="73">
        <v>26</v>
      </c>
      <c r="AV72" s="73">
        <v>10</v>
      </c>
      <c r="AW72" s="73">
        <v>3</v>
      </c>
      <c r="AX72" s="73">
        <v>0</v>
      </c>
      <c r="AY72" s="73">
        <v>1</v>
      </c>
      <c r="AZ72" s="73">
        <v>40</v>
      </c>
      <c r="BB72" s="78" t="s">
        <v>785</v>
      </c>
      <c r="BC72" s="78" t="s">
        <v>2856</v>
      </c>
      <c r="BD72" s="78">
        <v>147</v>
      </c>
      <c r="BE72" s="78">
        <v>220</v>
      </c>
      <c r="BF72" s="78">
        <v>350</v>
      </c>
      <c r="BG72" s="78">
        <v>496</v>
      </c>
      <c r="BH72" s="78">
        <v>484</v>
      </c>
      <c r="BI72" s="78">
        <v>1697</v>
      </c>
      <c r="BJ72" s="78"/>
      <c r="BK72" s="78" t="s">
        <v>2856</v>
      </c>
      <c r="BL72" s="78">
        <v>20</v>
      </c>
      <c r="BM72" s="78">
        <v>0</v>
      </c>
      <c r="BN72" s="78">
        <v>0</v>
      </c>
      <c r="BO72" s="78">
        <v>0</v>
      </c>
      <c r="BP72" s="78">
        <v>0</v>
      </c>
      <c r="BQ72" s="78">
        <v>20</v>
      </c>
      <c r="BS72" s="80" t="s">
        <v>1138</v>
      </c>
      <c r="BT72" s="80" t="s">
        <v>1968</v>
      </c>
      <c r="BU72" s="80">
        <v>107</v>
      </c>
      <c r="BV72" s="80">
        <v>109</v>
      </c>
      <c r="BW72" s="80">
        <v>115</v>
      </c>
      <c r="BX72" s="80">
        <v>165</v>
      </c>
      <c r="BY72" s="80">
        <v>148</v>
      </c>
      <c r="BZ72" s="80">
        <v>644</v>
      </c>
      <c r="CA72" s="80"/>
      <c r="CB72" s="80" t="s">
        <v>1968</v>
      </c>
      <c r="CC72" s="80">
        <v>41</v>
      </c>
      <c r="CD72" s="80">
        <v>1</v>
      </c>
      <c r="CE72" s="80">
        <v>0</v>
      </c>
      <c r="CF72" s="80">
        <v>0</v>
      </c>
      <c r="CG72" s="80">
        <v>0</v>
      </c>
      <c r="CH72" s="80">
        <v>42</v>
      </c>
      <c r="CL72" s="61" t="s">
        <v>1258</v>
      </c>
      <c r="CM72" s="61" t="s">
        <v>2856</v>
      </c>
      <c r="CN72" s="61">
        <v>401</v>
      </c>
      <c r="CO72" s="61">
        <v>63</v>
      </c>
      <c r="CP72" s="61">
        <v>157</v>
      </c>
      <c r="CQ72" s="61">
        <v>185</v>
      </c>
      <c r="CR72" s="61">
        <v>376</v>
      </c>
      <c r="CS72" s="61">
        <v>1182</v>
      </c>
      <c r="CT72" s="61"/>
      <c r="CU72" s="61" t="s">
        <v>2856</v>
      </c>
      <c r="CV72" s="61">
        <v>138</v>
      </c>
      <c r="CW72" s="61">
        <v>0</v>
      </c>
      <c r="CX72" s="61">
        <v>0</v>
      </c>
      <c r="CY72" s="61">
        <v>0</v>
      </c>
      <c r="CZ72" s="61">
        <v>0</v>
      </c>
      <c r="DA72" s="61">
        <v>138</v>
      </c>
      <c r="DV72" s="94" t="s">
        <v>1510</v>
      </c>
      <c r="DW72" s="94" t="s">
        <v>1968</v>
      </c>
      <c r="DX72" s="94">
        <v>2631</v>
      </c>
      <c r="DY72" s="94">
        <v>1168</v>
      </c>
      <c r="DZ72" s="94">
        <v>921</v>
      </c>
      <c r="EA72" s="94">
        <v>850</v>
      </c>
      <c r="EB72" s="94">
        <v>1115</v>
      </c>
      <c r="EC72" s="94">
        <v>6685</v>
      </c>
      <c r="ED72" s="94"/>
      <c r="EE72" s="94" t="s">
        <v>1968</v>
      </c>
      <c r="EF72" s="94">
        <v>312</v>
      </c>
      <c r="EG72" s="94">
        <v>27</v>
      </c>
      <c r="EH72" s="94">
        <v>0</v>
      </c>
      <c r="EI72" s="94">
        <v>0</v>
      </c>
      <c r="EJ72" s="94">
        <v>0</v>
      </c>
      <c r="EK72" s="94">
        <v>339</v>
      </c>
      <c r="EN72" s="61" t="s">
        <v>1705</v>
      </c>
      <c r="EO72" s="61" t="s">
        <v>2856</v>
      </c>
      <c r="EP72" s="61" t="s">
        <v>1970</v>
      </c>
      <c r="EQ72" s="61" t="s">
        <v>1970</v>
      </c>
      <c r="ER72" s="61" t="s">
        <v>1970</v>
      </c>
      <c r="ES72" s="61" t="s">
        <v>1970</v>
      </c>
      <c r="ET72" s="61" t="s">
        <v>1970</v>
      </c>
      <c r="EU72" s="61" t="s">
        <v>1970</v>
      </c>
      <c r="EV72" s="61"/>
      <c r="EW72" s="61" t="s">
        <v>2856</v>
      </c>
      <c r="EX72" s="61" t="s">
        <v>1970</v>
      </c>
      <c r="EY72" s="61" t="s">
        <v>1970</v>
      </c>
      <c r="EZ72" s="61" t="s">
        <v>1970</v>
      </c>
      <c r="FA72" s="61" t="s">
        <v>1970</v>
      </c>
      <c r="FB72" s="61" t="s">
        <v>1970</v>
      </c>
      <c r="FC72" s="61" t="s">
        <v>1970</v>
      </c>
      <c r="FE72" s="355" t="s">
        <v>3562</v>
      </c>
      <c r="FF72" s="80" t="s">
        <v>3561</v>
      </c>
      <c r="FG72" s="80" t="s">
        <v>2856</v>
      </c>
      <c r="FH72" s="80">
        <v>167</v>
      </c>
      <c r="FI72" s="80">
        <v>263</v>
      </c>
      <c r="FJ72" s="80">
        <v>302</v>
      </c>
      <c r="FK72" s="80">
        <v>379</v>
      </c>
      <c r="FL72" s="80">
        <v>403</v>
      </c>
      <c r="FM72" s="80">
        <v>1514</v>
      </c>
      <c r="FN72" s="80"/>
      <c r="FO72" s="80" t="s">
        <v>2856</v>
      </c>
      <c r="FP72" s="80">
        <v>49</v>
      </c>
      <c r="FQ72" s="80">
        <v>12</v>
      </c>
      <c r="FR72" s="80">
        <v>5</v>
      </c>
      <c r="FS72" s="80">
        <v>4</v>
      </c>
      <c r="FT72" s="80">
        <v>1</v>
      </c>
      <c r="FU72" s="80">
        <v>71</v>
      </c>
    </row>
    <row r="73" spans="1:177" x14ac:dyDescent="0.3">
      <c r="B73" s="71" t="s">
        <v>103</v>
      </c>
      <c r="C73" s="71" t="s">
        <v>2856</v>
      </c>
      <c r="D73" s="71">
        <v>20</v>
      </c>
      <c r="E73" s="71">
        <v>4</v>
      </c>
      <c r="F73" s="71">
        <v>1</v>
      </c>
      <c r="G73" s="71">
        <v>2</v>
      </c>
      <c r="H73" s="71">
        <v>0</v>
      </c>
      <c r="I73" s="71">
        <v>27</v>
      </c>
      <c r="K73" s="71" t="s">
        <v>2856</v>
      </c>
      <c r="L73" s="71">
        <v>123</v>
      </c>
      <c r="M73" s="71">
        <v>184</v>
      </c>
      <c r="N73" s="71">
        <v>291</v>
      </c>
      <c r="O73" s="71">
        <v>328</v>
      </c>
      <c r="P73" s="71">
        <v>267</v>
      </c>
      <c r="Q73" s="71">
        <v>1193</v>
      </c>
      <c r="T73" s="72" t="s">
        <v>306</v>
      </c>
      <c r="U73" s="72" t="s">
        <v>1968</v>
      </c>
      <c r="V73" s="72">
        <v>135</v>
      </c>
      <c r="W73" s="72">
        <v>97</v>
      </c>
      <c r="X73" s="72">
        <v>141</v>
      </c>
      <c r="Y73" s="72">
        <v>176</v>
      </c>
      <c r="Z73" s="72">
        <v>186</v>
      </c>
      <c r="AA73" s="72">
        <v>735</v>
      </c>
      <c r="AB73" s="72"/>
      <c r="AC73" s="72" t="s">
        <v>1968</v>
      </c>
      <c r="AD73" s="72">
        <v>7</v>
      </c>
      <c r="AE73" s="72">
        <v>0</v>
      </c>
      <c r="AF73" s="72">
        <v>0</v>
      </c>
      <c r="AG73" s="72">
        <v>0</v>
      </c>
      <c r="AH73" s="72">
        <v>0</v>
      </c>
      <c r="AI73" s="72">
        <v>7</v>
      </c>
      <c r="AK73" s="73" t="s">
        <v>619</v>
      </c>
      <c r="AL73" s="73" t="s">
        <v>2856</v>
      </c>
      <c r="AM73" s="73">
        <v>706</v>
      </c>
      <c r="AN73" s="73">
        <v>1021</v>
      </c>
      <c r="AO73" s="73">
        <v>1525</v>
      </c>
      <c r="AP73" s="73">
        <v>1770</v>
      </c>
      <c r="AQ73" s="73">
        <v>1074</v>
      </c>
      <c r="AR73" s="73">
        <v>6096</v>
      </c>
      <c r="AS73" s="73"/>
      <c r="AT73" s="73" t="s">
        <v>2856</v>
      </c>
      <c r="AU73" s="73">
        <v>33</v>
      </c>
      <c r="AV73" s="73">
        <v>5</v>
      </c>
      <c r="AW73" s="73">
        <v>3</v>
      </c>
      <c r="AX73" s="73">
        <v>1</v>
      </c>
      <c r="AY73" s="73">
        <v>1</v>
      </c>
      <c r="AZ73" s="73">
        <v>43</v>
      </c>
      <c r="BB73" s="78" t="s">
        <v>790</v>
      </c>
      <c r="BC73" s="78" t="s">
        <v>2856</v>
      </c>
      <c r="BD73" s="78">
        <v>202</v>
      </c>
      <c r="BE73" s="78">
        <v>106</v>
      </c>
      <c r="BF73" s="78">
        <v>137</v>
      </c>
      <c r="BG73" s="78">
        <v>197</v>
      </c>
      <c r="BH73" s="78">
        <v>201</v>
      </c>
      <c r="BI73" s="78">
        <v>843</v>
      </c>
      <c r="BJ73" s="78"/>
      <c r="BK73" s="78" t="s">
        <v>2856</v>
      </c>
      <c r="BL73" s="78">
        <v>26</v>
      </c>
      <c r="BM73" s="78">
        <v>0</v>
      </c>
      <c r="BN73" s="78">
        <v>0</v>
      </c>
      <c r="BO73" s="78">
        <v>0</v>
      </c>
      <c r="BP73" s="78">
        <v>0</v>
      </c>
      <c r="BQ73" s="78">
        <v>26</v>
      </c>
      <c r="BS73" s="80" t="s">
        <v>1142</v>
      </c>
      <c r="BT73" s="80" t="s">
        <v>1968</v>
      </c>
      <c r="BU73" s="80">
        <v>55</v>
      </c>
      <c r="BV73" s="80">
        <v>71</v>
      </c>
      <c r="BW73" s="80">
        <v>112</v>
      </c>
      <c r="BX73" s="80">
        <v>157</v>
      </c>
      <c r="BY73" s="80">
        <v>149</v>
      </c>
      <c r="BZ73" s="80">
        <v>544</v>
      </c>
      <c r="CA73" s="80"/>
      <c r="CB73" s="80" t="s">
        <v>1968</v>
      </c>
      <c r="CC73" s="80">
        <v>17</v>
      </c>
      <c r="CD73" s="80">
        <v>1</v>
      </c>
      <c r="CE73" s="80">
        <v>0</v>
      </c>
      <c r="CF73" s="80">
        <v>0</v>
      </c>
      <c r="CG73" s="80">
        <v>0</v>
      </c>
      <c r="CH73" s="80">
        <v>18</v>
      </c>
      <c r="CL73" s="61" t="s">
        <v>1262</v>
      </c>
      <c r="CM73" s="61" t="s">
        <v>2856</v>
      </c>
      <c r="CN73" s="61">
        <v>1146</v>
      </c>
      <c r="CO73" s="61">
        <v>833</v>
      </c>
      <c r="CP73" s="61">
        <v>1086</v>
      </c>
      <c r="CQ73" s="61">
        <v>1097</v>
      </c>
      <c r="CR73" s="61">
        <v>875</v>
      </c>
      <c r="CS73" s="61">
        <v>5037</v>
      </c>
      <c r="CT73" s="61"/>
      <c r="CU73" s="61" t="s">
        <v>2856</v>
      </c>
      <c r="CV73" s="61">
        <v>166</v>
      </c>
      <c r="CW73" s="61">
        <v>0</v>
      </c>
      <c r="CX73" s="61">
        <v>0</v>
      </c>
      <c r="CY73" s="61">
        <v>0</v>
      </c>
      <c r="CZ73" s="61">
        <v>0</v>
      </c>
      <c r="DA73" s="61">
        <v>166</v>
      </c>
      <c r="FF73" s="80" t="s">
        <v>1837</v>
      </c>
      <c r="FG73" s="80" t="s">
        <v>2856</v>
      </c>
      <c r="FH73" s="80" t="s">
        <v>1970</v>
      </c>
      <c r="FI73" s="80" t="s">
        <v>1970</v>
      </c>
      <c r="FJ73" s="80" t="s">
        <v>1970</v>
      </c>
      <c r="FK73" s="80" t="s">
        <v>1970</v>
      </c>
      <c r="FL73" s="80" t="s">
        <v>1970</v>
      </c>
      <c r="FM73" s="80" t="s">
        <v>1970</v>
      </c>
      <c r="FN73" s="80"/>
      <c r="FO73" s="80" t="s">
        <v>2856</v>
      </c>
      <c r="FP73" s="80" t="s">
        <v>1970</v>
      </c>
      <c r="FQ73" s="80" t="s">
        <v>1970</v>
      </c>
      <c r="FR73" s="80" t="s">
        <v>1970</v>
      </c>
      <c r="FS73" s="80" t="s">
        <v>1970</v>
      </c>
      <c r="FT73" s="80" t="s">
        <v>1970</v>
      </c>
      <c r="FU73" s="80" t="s">
        <v>1970</v>
      </c>
    </row>
    <row r="74" spans="1:177" x14ac:dyDescent="0.3">
      <c r="A74" s="187" t="s">
        <v>3641</v>
      </c>
      <c r="B74" s="71" t="s">
        <v>3640</v>
      </c>
      <c r="C74" s="71" t="s">
        <v>2856</v>
      </c>
      <c r="D74" s="71">
        <v>8</v>
      </c>
      <c r="E74" s="71">
        <v>1</v>
      </c>
      <c r="F74" s="71">
        <v>2</v>
      </c>
      <c r="G74" s="71">
        <v>2</v>
      </c>
      <c r="H74" s="71">
        <v>0</v>
      </c>
      <c r="I74" s="71">
        <v>13</v>
      </c>
      <c r="K74" s="71" t="s">
        <v>2856</v>
      </c>
      <c r="L74" s="71">
        <v>70</v>
      </c>
      <c r="M74" s="71">
        <v>110</v>
      </c>
      <c r="N74" s="71">
        <v>197</v>
      </c>
      <c r="O74" s="71">
        <v>267</v>
      </c>
      <c r="P74" s="71">
        <v>209</v>
      </c>
      <c r="Q74" s="71">
        <v>853</v>
      </c>
      <c r="T74" s="72" t="s">
        <v>314</v>
      </c>
      <c r="U74" s="72" t="s">
        <v>1968</v>
      </c>
      <c r="V74" s="72">
        <v>553</v>
      </c>
      <c r="W74" s="72">
        <v>640</v>
      </c>
      <c r="X74" s="72">
        <v>714</v>
      </c>
      <c r="Y74" s="72">
        <v>765</v>
      </c>
      <c r="Z74" s="72">
        <v>544</v>
      </c>
      <c r="AA74" s="72">
        <v>3216</v>
      </c>
      <c r="AB74" s="72"/>
      <c r="AC74" s="72" t="s">
        <v>1968</v>
      </c>
      <c r="AD74" s="72">
        <v>23</v>
      </c>
      <c r="AE74" s="72">
        <v>4</v>
      </c>
      <c r="AF74" s="72">
        <v>1</v>
      </c>
      <c r="AG74" s="72">
        <v>1</v>
      </c>
      <c r="AH74" s="72">
        <v>0</v>
      </c>
      <c r="AI74" s="72">
        <v>29</v>
      </c>
      <c r="AK74" s="73" t="s">
        <v>623</v>
      </c>
      <c r="AL74" s="73" t="s">
        <v>2856</v>
      </c>
      <c r="AM74" s="73">
        <v>270</v>
      </c>
      <c r="AN74" s="73">
        <v>506</v>
      </c>
      <c r="AO74" s="73">
        <v>814</v>
      </c>
      <c r="AP74" s="73">
        <v>1011</v>
      </c>
      <c r="AQ74" s="73">
        <v>632</v>
      </c>
      <c r="AR74" s="73">
        <v>3233</v>
      </c>
      <c r="AS74" s="73"/>
      <c r="AT74" s="73" t="s">
        <v>2856</v>
      </c>
      <c r="AU74" s="73">
        <v>20</v>
      </c>
      <c r="AV74" s="73">
        <v>3</v>
      </c>
      <c r="AW74" s="73">
        <v>1</v>
      </c>
      <c r="AX74" s="73">
        <v>0</v>
      </c>
      <c r="AY74" s="73">
        <v>0</v>
      </c>
      <c r="AZ74" s="73">
        <v>24</v>
      </c>
      <c r="BB74" s="78" t="s">
        <v>795</v>
      </c>
      <c r="BC74" s="78" t="s">
        <v>2856</v>
      </c>
      <c r="BD74" s="78">
        <v>264</v>
      </c>
      <c r="BE74" s="78">
        <v>263</v>
      </c>
      <c r="BF74" s="78">
        <v>492</v>
      </c>
      <c r="BG74" s="78">
        <v>609</v>
      </c>
      <c r="BH74" s="78">
        <v>573</v>
      </c>
      <c r="BI74" s="78">
        <v>2201</v>
      </c>
      <c r="BJ74" s="78"/>
      <c r="BK74" s="78" t="s">
        <v>2856</v>
      </c>
      <c r="BL74" s="78">
        <v>22</v>
      </c>
      <c r="BM74" s="78">
        <v>0</v>
      </c>
      <c r="BN74" s="78">
        <v>0</v>
      </c>
      <c r="BO74" s="78">
        <v>0</v>
      </c>
      <c r="BP74" s="78">
        <v>0</v>
      </c>
      <c r="BQ74" s="78">
        <v>22</v>
      </c>
      <c r="BS74" s="80" t="s">
        <v>1146</v>
      </c>
      <c r="BT74" s="80" t="s">
        <v>1968</v>
      </c>
      <c r="BU74" s="80">
        <v>64</v>
      </c>
      <c r="BV74" s="80">
        <v>68</v>
      </c>
      <c r="BW74" s="80">
        <v>172</v>
      </c>
      <c r="BX74" s="80">
        <v>269</v>
      </c>
      <c r="BY74" s="80">
        <v>232</v>
      </c>
      <c r="BZ74" s="80">
        <v>805</v>
      </c>
      <c r="CA74" s="80"/>
      <c r="CB74" s="80" t="s">
        <v>1968</v>
      </c>
      <c r="CC74" s="80">
        <v>19</v>
      </c>
      <c r="CD74" s="80">
        <v>0</v>
      </c>
      <c r="CE74" s="80">
        <v>0</v>
      </c>
      <c r="CF74" s="80">
        <v>0</v>
      </c>
      <c r="CG74" s="80">
        <v>0</v>
      </c>
      <c r="CH74" s="80">
        <v>19</v>
      </c>
      <c r="CL74" s="61" t="s">
        <v>1270</v>
      </c>
      <c r="CM74" s="61" t="s">
        <v>2856</v>
      </c>
      <c r="CN74" s="61">
        <v>132</v>
      </c>
      <c r="CO74" s="61">
        <v>135</v>
      </c>
      <c r="CP74" s="61">
        <v>211</v>
      </c>
      <c r="CQ74" s="61">
        <v>377</v>
      </c>
      <c r="CR74" s="61">
        <v>366</v>
      </c>
      <c r="CS74" s="61">
        <v>1221</v>
      </c>
      <c r="CT74" s="61"/>
      <c r="CU74" s="61" t="s">
        <v>2856</v>
      </c>
      <c r="CV74" s="61">
        <v>20</v>
      </c>
      <c r="CW74" s="61">
        <v>0</v>
      </c>
      <c r="CX74" s="61">
        <v>0</v>
      </c>
      <c r="CY74" s="61">
        <v>0</v>
      </c>
      <c r="CZ74" s="61">
        <v>0</v>
      </c>
      <c r="DA74" s="61">
        <v>20</v>
      </c>
      <c r="DV74" s="277" t="s">
        <v>1458</v>
      </c>
      <c r="DW74" s="277" t="s">
        <v>2840</v>
      </c>
      <c r="DX74" s="277">
        <v>561</v>
      </c>
      <c r="DY74" s="277">
        <v>473</v>
      </c>
      <c r="DZ74" s="277">
        <v>544</v>
      </c>
      <c r="EA74" s="277">
        <v>539</v>
      </c>
      <c r="EB74" s="277">
        <v>434</v>
      </c>
      <c r="EC74" s="277">
        <v>2551</v>
      </c>
      <c r="ED74" s="277"/>
      <c r="EE74" s="277" t="s">
        <v>2840</v>
      </c>
      <c r="EF74" s="277">
        <v>61</v>
      </c>
      <c r="EG74" s="277">
        <v>0</v>
      </c>
      <c r="EH74" s="277">
        <v>0</v>
      </c>
      <c r="EI74" s="277">
        <v>0</v>
      </c>
      <c r="EJ74" s="277">
        <v>0</v>
      </c>
      <c r="EK74" s="277">
        <v>61</v>
      </c>
      <c r="EL74" s="16">
        <v>75</v>
      </c>
      <c r="EN74" s="61" t="s">
        <v>1567</v>
      </c>
      <c r="EO74" s="61" t="s">
        <v>1968</v>
      </c>
      <c r="EP74" s="61">
        <v>626</v>
      </c>
      <c r="EQ74" s="61">
        <v>979</v>
      </c>
      <c r="ER74" s="61">
        <v>1135</v>
      </c>
      <c r="ES74" s="61">
        <v>1339</v>
      </c>
      <c r="ET74" s="61">
        <v>1395</v>
      </c>
      <c r="EU74" s="61">
        <v>5474</v>
      </c>
      <c r="EV74" s="61"/>
      <c r="EW74" s="61" t="s">
        <v>1968</v>
      </c>
      <c r="EX74" s="61">
        <v>133</v>
      </c>
      <c r="EY74" s="61">
        <v>65</v>
      </c>
      <c r="EZ74" s="61">
        <v>38</v>
      </c>
      <c r="FA74" s="61">
        <v>48</v>
      </c>
      <c r="FB74" s="61">
        <v>28</v>
      </c>
      <c r="FC74" s="61">
        <v>312</v>
      </c>
      <c r="FF74" s="80" t="s">
        <v>1843</v>
      </c>
      <c r="FG74" s="80" t="s">
        <v>2856</v>
      </c>
      <c r="FH74" s="80" t="s">
        <v>1970</v>
      </c>
      <c r="FI74" s="80" t="s">
        <v>1970</v>
      </c>
      <c r="FJ74" s="80" t="s">
        <v>1970</v>
      </c>
      <c r="FK74" s="80" t="s">
        <v>1970</v>
      </c>
      <c r="FL74" s="80" t="s">
        <v>1970</v>
      </c>
      <c r="FM74" s="80" t="s">
        <v>1970</v>
      </c>
      <c r="FN74" s="80"/>
      <c r="FO74" s="80" t="s">
        <v>2856</v>
      </c>
      <c r="FP74" s="80" t="s">
        <v>1970</v>
      </c>
      <c r="FQ74" s="80" t="s">
        <v>1970</v>
      </c>
      <c r="FR74" s="80" t="s">
        <v>1970</v>
      </c>
      <c r="FS74" s="80" t="s">
        <v>1970</v>
      </c>
      <c r="FT74" s="80" t="s">
        <v>1970</v>
      </c>
      <c r="FU74" s="80" t="s">
        <v>1970</v>
      </c>
    </row>
    <row r="75" spans="1:177" x14ac:dyDescent="0.3">
      <c r="B75" s="71" t="s">
        <v>2461</v>
      </c>
      <c r="C75" s="71" t="s">
        <v>2856</v>
      </c>
      <c r="D75" s="71">
        <v>412</v>
      </c>
      <c r="E75" s="71">
        <v>152</v>
      </c>
      <c r="F75" s="71">
        <v>163</v>
      </c>
      <c r="G75" s="71">
        <v>198</v>
      </c>
      <c r="H75" s="71">
        <v>226</v>
      </c>
      <c r="I75" s="71">
        <v>1151</v>
      </c>
      <c r="K75" s="71" t="s">
        <v>2856</v>
      </c>
      <c r="L75" s="71">
        <v>867</v>
      </c>
      <c r="M75" s="71">
        <v>698</v>
      </c>
      <c r="N75" s="71">
        <v>596</v>
      </c>
      <c r="O75" s="71">
        <v>716</v>
      </c>
      <c r="P75" s="71">
        <v>912</v>
      </c>
      <c r="Q75" s="71">
        <v>3789</v>
      </c>
      <c r="T75" s="72" t="s">
        <v>320</v>
      </c>
      <c r="U75" s="72" t="s">
        <v>1968</v>
      </c>
      <c r="V75" s="72">
        <v>1873</v>
      </c>
      <c r="W75" s="72">
        <v>1371</v>
      </c>
      <c r="X75" s="72">
        <v>1531</v>
      </c>
      <c r="Y75" s="72">
        <v>1528</v>
      </c>
      <c r="Z75" s="72">
        <v>1067</v>
      </c>
      <c r="AA75" s="72">
        <v>7370</v>
      </c>
      <c r="AB75" s="72"/>
      <c r="AC75" s="72" t="s">
        <v>1968</v>
      </c>
      <c r="AD75" s="72">
        <v>157</v>
      </c>
      <c r="AE75" s="72">
        <v>7</v>
      </c>
      <c r="AF75" s="72">
        <v>1</v>
      </c>
      <c r="AG75" s="72">
        <v>2</v>
      </c>
      <c r="AH75" s="72">
        <v>0</v>
      </c>
      <c r="AI75" s="72">
        <v>167</v>
      </c>
      <c r="AK75" s="73" t="s">
        <v>627</v>
      </c>
      <c r="AL75" s="73" t="s">
        <v>2856</v>
      </c>
      <c r="AM75" s="73">
        <v>128</v>
      </c>
      <c r="AN75" s="73">
        <v>259</v>
      </c>
      <c r="AO75" s="73">
        <v>545</v>
      </c>
      <c r="AP75" s="73">
        <v>798</v>
      </c>
      <c r="AQ75" s="73">
        <v>562</v>
      </c>
      <c r="AR75" s="73">
        <v>2292</v>
      </c>
      <c r="AS75" s="73"/>
      <c r="AT75" s="73" t="s">
        <v>2856</v>
      </c>
      <c r="AU75" s="73">
        <v>22</v>
      </c>
      <c r="AV75" s="73">
        <v>1</v>
      </c>
      <c r="AW75" s="73">
        <v>0</v>
      </c>
      <c r="AX75" s="73">
        <v>0</v>
      </c>
      <c r="AY75" s="73">
        <v>1</v>
      </c>
      <c r="AZ75" s="73">
        <v>24</v>
      </c>
      <c r="BB75" s="78" t="s">
        <v>800</v>
      </c>
      <c r="BC75" s="78" t="s">
        <v>2856</v>
      </c>
      <c r="BD75" s="78">
        <v>215</v>
      </c>
      <c r="BE75" s="78">
        <v>136</v>
      </c>
      <c r="BF75" s="78">
        <v>197</v>
      </c>
      <c r="BG75" s="78">
        <v>244</v>
      </c>
      <c r="BH75" s="78">
        <v>240</v>
      </c>
      <c r="BI75" s="78">
        <v>1032</v>
      </c>
      <c r="BJ75" s="78"/>
      <c r="BK75" s="78" t="s">
        <v>2856</v>
      </c>
      <c r="BL75" s="78">
        <v>18</v>
      </c>
      <c r="BM75" s="78">
        <v>0</v>
      </c>
      <c r="BN75" s="78">
        <v>0</v>
      </c>
      <c r="BO75" s="78">
        <v>0</v>
      </c>
      <c r="BP75" s="78">
        <v>0</v>
      </c>
      <c r="BQ75" s="78">
        <v>18</v>
      </c>
      <c r="BS75" s="80" t="s">
        <v>1150</v>
      </c>
      <c r="BT75" s="80" t="s">
        <v>1968</v>
      </c>
      <c r="BU75" s="80">
        <v>47</v>
      </c>
      <c r="BV75" s="80">
        <v>58</v>
      </c>
      <c r="BW75" s="80">
        <v>147</v>
      </c>
      <c r="BX75" s="80">
        <v>198</v>
      </c>
      <c r="BY75" s="80">
        <v>198</v>
      </c>
      <c r="BZ75" s="80">
        <v>648</v>
      </c>
      <c r="CA75" s="80"/>
      <c r="CB75" s="80" t="s">
        <v>1968</v>
      </c>
      <c r="CC75" s="80">
        <v>13</v>
      </c>
      <c r="CD75" s="80">
        <v>0</v>
      </c>
      <c r="CE75" s="80">
        <v>0</v>
      </c>
      <c r="CF75" s="80">
        <v>0</v>
      </c>
      <c r="CG75" s="80">
        <v>0</v>
      </c>
      <c r="CH75" s="80">
        <v>13</v>
      </c>
      <c r="CL75" s="61" t="s">
        <v>1274</v>
      </c>
      <c r="CM75" s="61" t="s">
        <v>2856</v>
      </c>
      <c r="CN75" s="61">
        <v>100</v>
      </c>
      <c r="CO75" s="61">
        <v>98</v>
      </c>
      <c r="CP75" s="61">
        <v>212</v>
      </c>
      <c r="CQ75" s="61">
        <v>249</v>
      </c>
      <c r="CR75" s="61">
        <v>264</v>
      </c>
      <c r="CS75" s="61">
        <v>923</v>
      </c>
      <c r="CT75" s="61"/>
      <c r="CU75" s="61" t="s">
        <v>2856</v>
      </c>
      <c r="CV75" s="61">
        <v>28</v>
      </c>
      <c r="CW75" s="61">
        <v>0</v>
      </c>
      <c r="CX75" s="61">
        <v>0</v>
      </c>
      <c r="CY75" s="61">
        <v>0</v>
      </c>
      <c r="CZ75" s="61">
        <v>0</v>
      </c>
      <c r="DA75" s="61">
        <v>28</v>
      </c>
      <c r="DV75" s="277" t="s">
        <v>1462</v>
      </c>
      <c r="DW75" s="277" t="s">
        <v>2840</v>
      </c>
      <c r="DX75" s="277">
        <v>196</v>
      </c>
      <c r="DY75" s="277">
        <v>252</v>
      </c>
      <c r="DZ75" s="277">
        <v>321</v>
      </c>
      <c r="EA75" s="277">
        <v>366</v>
      </c>
      <c r="EB75" s="277">
        <v>326</v>
      </c>
      <c r="EC75" s="277">
        <v>1461</v>
      </c>
      <c r="ED75" s="277"/>
      <c r="EE75" s="277" t="s">
        <v>2840</v>
      </c>
      <c r="EF75" s="277">
        <v>15</v>
      </c>
      <c r="EG75" s="277">
        <v>0</v>
      </c>
      <c r="EH75" s="277">
        <v>0</v>
      </c>
      <c r="EI75" s="277">
        <v>0</v>
      </c>
      <c r="EJ75" s="277">
        <v>0</v>
      </c>
      <c r="EK75" s="277">
        <v>15</v>
      </c>
      <c r="EL75" s="16">
        <v>18</v>
      </c>
      <c r="EN75" s="61" t="s">
        <v>1572</v>
      </c>
      <c r="EO75" s="61" t="s">
        <v>1968</v>
      </c>
      <c r="EP75" s="61">
        <v>149</v>
      </c>
      <c r="EQ75" s="61">
        <v>259</v>
      </c>
      <c r="ER75" s="61">
        <v>350</v>
      </c>
      <c r="ES75" s="61">
        <v>436</v>
      </c>
      <c r="ET75" s="61">
        <v>484</v>
      </c>
      <c r="EU75" s="61">
        <v>1678</v>
      </c>
      <c r="EV75" s="61"/>
      <c r="EW75" s="61" t="s">
        <v>1968</v>
      </c>
      <c r="EX75" s="61">
        <v>32</v>
      </c>
      <c r="EY75" s="61">
        <v>18</v>
      </c>
      <c r="EZ75" s="61">
        <v>9</v>
      </c>
      <c r="FA75" s="61">
        <v>8</v>
      </c>
      <c r="FB75" s="61">
        <v>15</v>
      </c>
      <c r="FC75" s="61">
        <v>82</v>
      </c>
      <c r="FF75" s="80" t="s">
        <v>1849</v>
      </c>
      <c r="FG75" s="80" t="s">
        <v>2856</v>
      </c>
      <c r="FH75" s="80" t="s">
        <v>1970</v>
      </c>
      <c r="FI75" s="80" t="s">
        <v>1970</v>
      </c>
      <c r="FJ75" s="80" t="s">
        <v>1970</v>
      </c>
      <c r="FK75" s="80" t="s">
        <v>1970</v>
      </c>
      <c r="FL75" s="80" t="s">
        <v>1970</v>
      </c>
      <c r="FM75" s="80" t="s">
        <v>1970</v>
      </c>
      <c r="FN75" s="80"/>
      <c r="FO75" s="80" t="s">
        <v>2856</v>
      </c>
      <c r="FP75" s="80" t="s">
        <v>1970</v>
      </c>
      <c r="FQ75" s="80" t="s">
        <v>1970</v>
      </c>
      <c r="FR75" s="80" t="s">
        <v>1970</v>
      </c>
      <c r="FS75" s="80" t="s">
        <v>1970</v>
      </c>
      <c r="FT75" s="80" t="s">
        <v>1970</v>
      </c>
      <c r="FU75" s="80" t="s">
        <v>1970</v>
      </c>
    </row>
    <row r="76" spans="1:177" x14ac:dyDescent="0.3">
      <c r="B76" s="71" t="s">
        <v>2462</v>
      </c>
      <c r="C76" s="71" t="s">
        <v>2856</v>
      </c>
      <c r="D76" s="71">
        <v>284</v>
      </c>
      <c r="E76" s="71">
        <v>88</v>
      </c>
      <c r="F76" s="71">
        <v>25</v>
      </c>
      <c r="G76" s="71">
        <v>17</v>
      </c>
      <c r="H76" s="71">
        <v>38</v>
      </c>
      <c r="I76" s="71">
        <v>452</v>
      </c>
      <c r="K76" s="71" t="s">
        <v>2856</v>
      </c>
      <c r="L76" s="71">
        <v>663</v>
      </c>
      <c r="M76" s="71">
        <v>590</v>
      </c>
      <c r="N76" s="71">
        <v>536</v>
      </c>
      <c r="O76" s="71">
        <v>640</v>
      </c>
      <c r="P76" s="71">
        <v>851</v>
      </c>
      <c r="Q76" s="71">
        <v>3280</v>
      </c>
      <c r="T76" s="72" t="s">
        <v>330</v>
      </c>
      <c r="U76" s="72" t="s">
        <v>1968</v>
      </c>
      <c r="V76" s="72">
        <v>550</v>
      </c>
      <c r="W76" s="72">
        <v>571</v>
      </c>
      <c r="X76" s="72">
        <v>737</v>
      </c>
      <c r="Y76" s="72">
        <v>736</v>
      </c>
      <c r="Z76" s="72">
        <v>546</v>
      </c>
      <c r="AA76" s="72">
        <v>3140</v>
      </c>
      <c r="AB76" s="72"/>
      <c r="AC76" s="72" t="s">
        <v>1968</v>
      </c>
      <c r="AD76" s="72">
        <v>14</v>
      </c>
      <c r="AE76" s="72">
        <v>0</v>
      </c>
      <c r="AF76" s="72">
        <v>0</v>
      </c>
      <c r="AG76" s="72">
        <v>0</v>
      </c>
      <c r="AH76" s="72">
        <v>0</v>
      </c>
      <c r="AI76" s="72">
        <v>14</v>
      </c>
      <c r="AK76" s="73" t="s">
        <v>630</v>
      </c>
      <c r="AL76" s="73" t="s">
        <v>2856</v>
      </c>
      <c r="AM76" s="73">
        <v>520</v>
      </c>
      <c r="AN76" s="73">
        <v>277</v>
      </c>
      <c r="AO76" s="73">
        <v>433</v>
      </c>
      <c r="AP76" s="73">
        <v>559</v>
      </c>
      <c r="AQ76" s="73">
        <v>530</v>
      </c>
      <c r="AR76" s="73">
        <v>2319</v>
      </c>
      <c r="AS76" s="73"/>
      <c r="AT76" s="73" t="s">
        <v>2856</v>
      </c>
      <c r="AU76" s="73">
        <v>109</v>
      </c>
      <c r="AV76" s="73">
        <v>1</v>
      </c>
      <c r="AW76" s="73">
        <v>0</v>
      </c>
      <c r="AX76" s="73">
        <v>0</v>
      </c>
      <c r="AY76" s="73">
        <v>0</v>
      </c>
      <c r="AZ76" s="73">
        <v>110</v>
      </c>
      <c r="BB76" s="78" t="s">
        <v>805</v>
      </c>
      <c r="BC76" s="78" t="s">
        <v>2856</v>
      </c>
      <c r="BD76" s="78">
        <v>36</v>
      </c>
      <c r="BE76" s="78">
        <v>37</v>
      </c>
      <c r="BF76" s="78">
        <v>69</v>
      </c>
      <c r="BG76" s="78">
        <v>95</v>
      </c>
      <c r="BH76" s="78">
        <v>163</v>
      </c>
      <c r="BI76" s="78">
        <v>400</v>
      </c>
      <c r="BJ76" s="78"/>
      <c r="BK76" s="78" t="s">
        <v>2856</v>
      </c>
      <c r="BL76" s="78">
        <v>1</v>
      </c>
      <c r="BM76" s="78">
        <v>0</v>
      </c>
      <c r="BN76" s="78">
        <v>0</v>
      </c>
      <c r="BO76" s="78">
        <v>0</v>
      </c>
      <c r="BP76" s="78">
        <v>0</v>
      </c>
      <c r="BQ76" s="78">
        <v>1</v>
      </c>
      <c r="BS76" s="80" t="s">
        <v>1155</v>
      </c>
      <c r="BT76" s="80" t="s">
        <v>1968</v>
      </c>
      <c r="BU76" s="80">
        <v>62</v>
      </c>
      <c r="BV76" s="80">
        <v>86</v>
      </c>
      <c r="BW76" s="80">
        <v>142</v>
      </c>
      <c r="BX76" s="80">
        <v>170</v>
      </c>
      <c r="BY76" s="80">
        <v>174</v>
      </c>
      <c r="BZ76" s="80">
        <v>634</v>
      </c>
      <c r="CA76" s="80"/>
      <c r="CB76" s="80" t="s">
        <v>1968</v>
      </c>
      <c r="CC76" s="80">
        <v>15</v>
      </c>
      <c r="CD76" s="80">
        <v>0</v>
      </c>
      <c r="CE76" s="80">
        <v>0</v>
      </c>
      <c r="CF76" s="80">
        <v>0</v>
      </c>
      <c r="CG76" s="80">
        <v>0</v>
      </c>
      <c r="CH76" s="80">
        <v>15</v>
      </c>
      <c r="CL76" s="61" t="s">
        <v>1358</v>
      </c>
      <c r="CM76" s="61" t="s">
        <v>2856</v>
      </c>
      <c r="CN76" s="61">
        <v>141</v>
      </c>
      <c r="CO76" s="61">
        <v>180</v>
      </c>
      <c r="CP76" s="61">
        <v>291</v>
      </c>
      <c r="CQ76" s="61">
        <v>413</v>
      </c>
      <c r="CR76" s="61">
        <v>378</v>
      </c>
      <c r="CS76" s="61">
        <v>1403</v>
      </c>
      <c r="CT76" s="61"/>
      <c r="CU76" s="61" t="s">
        <v>2856</v>
      </c>
      <c r="CV76" s="61">
        <v>25</v>
      </c>
      <c r="CW76" s="61">
        <v>0</v>
      </c>
      <c r="CX76" s="61">
        <v>0</v>
      </c>
      <c r="CY76" s="61">
        <v>0</v>
      </c>
      <c r="CZ76" s="61">
        <v>0</v>
      </c>
      <c r="DA76" s="61">
        <v>25</v>
      </c>
      <c r="DV76" s="277" t="s">
        <v>1466</v>
      </c>
      <c r="DW76" s="277" t="s">
        <v>2840</v>
      </c>
      <c r="DX76" s="277">
        <v>787</v>
      </c>
      <c r="DY76" s="277">
        <v>796</v>
      </c>
      <c r="DZ76" s="277">
        <v>920</v>
      </c>
      <c r="EA76" s="277">
        <v>921</v>
      </c>
      <c r="EB76" s="277">
        <v>670</v>
      </c>
      <c r="EC76" s="277">
        <v>4094</v>
      </c>
      <c r="ED76" s="277"/>
      <c r="EE76" s="277" t="s">
        <v>2840</v>
      </c>
      <c r="EF76" s="277">
        <v>39</v>
      </c>
      <c r="EG76" s="277">
        <v>3</v>
      </c>
      <c r="EH76" s="277">
        <v>0</v>
      </c>
      <c r="EI76" s="277">
        <v>0</v>
      </c>
      <c r="EJ76" s="277">
        <v>0</v>
      </c>
      <c r="EK76" s="277">
        <v>42</v>
      </c>
      <c r="EL76" s="16">
        <v>39</v>
      </c>
      <c r="EN76" s="61" t="s">
        <v>1576</v>
      </c>
      <c r="EO76" s="61" t="s">
        <v>1968</v>
      </c>
      <c r="EP76" s="61">
        <v>236</v>
      </c>
      <c r="EQ76" s="61">
        <v>382</v>
      </c>
      <c r="ER76" s="61">
        <v>542</v>
      </c>
      <c r="ES76" s="61">
        <v>687</v>
      </c>
      <c r="ET76" s="61">
        <v>695</v>
      </c>
      <c r="EU76" s="61">
        <v>2542</v>
      </c>
      <c r="EV76" s="61"/>
      <c r="EW76" s="61" t="s">
        <v>1968</v>
      </c>
      <c r="EX76" s="61">
        <v>44</v>
      </c>
      <c r="EY76" s="61">
        <v>19</v>
      </c>
      <c r="EZ76" s="61">
        <v>8</v>
      </c>
      <c r="FA76" s="61">
        <v>8</v>
      </c>
      <c r="FB76" s="61">
        <v>9</v>
      </c>
      <c r="FC76" s="61">
        <v>88</v>
      </c>
      <c r="FF76" s="80" t="s">
        <v>1855</v>
      </c>
      <c r="FG76" s="80" t="s">
        <v>2856</v>
      </c>
      <c r="FH76" s="80">
        <v>194</v>
      </c>
      <c r="FI76" s="80">
        <v>313</v>
      </c>
      <c r="FJ76" s="80">
        <v>348</v>
      </c>
      <c r="FK76" s="80">
        <v>416</v>
      </c>
      <c r="FL76" s="80">
        <v>479</v>
      </c>
      <c r="FM76" s="80">
        <v>1750</v>
      </c>
      <c r="FN76" s="80"/>
      <c r="FO76" s="80" t="s">
        <v>2856</v>
      </c>
      <c r="FP76" s="80">
        <v>26</v>
      </c>
      <c r="FQ76" s="80">
        <v>5</v>
      </c>
      <c r="FR76" s="80">
        <v>2</v>
      </c>
      <c r="FS76" s="80">
        <v>3</v>
      </c>
      <c r="FT76" s="80">
        <v>3</v>
      </c>
      <c r="FU76" s="80">
        <v>39</v>
      </c>
    </row>
    <row r="77" spans="1:177" x14ac:dyDescent="0.3">
      <c r="B77" s="71" t="s">
        <v>116</v>
      </c>
      <c r="C77" s="71" t="s">
        <v>2856</v>
      </c>
      <c r="D77" s="71">
        <v>12</v>
      </c>
      <c r="E77" s="71">
        <v>3</v>
      </c>
      <c r="F77" s="71">
        <v>1</v>
      </c>
      <c r="G77" s="71">
        <v>0</v>
      </c>
      <c r="H77" s="71">
        <v>0</v>
      </c>
      <c r="I77" s="71">
        <v>16</v>
      </c>
      <c r="K77" s="71" t="s">
        <v>2856</v>
      </c>
      <c r="L77" s="71">
        <v>233</v>
      </c>
      <c r="M77" s="71">
        <v>344</v>
      </c>
      <c r="N77" s="71">
        <v>523</v>
      </c>
      <c r="O77" s="71">
        <v>687</v>
      </c>
      <c r="P77" s="71">
        <v>561</v>
      </c>
      <c r="Q77" s="71">
        <v>2348</v>
      </c>
      <c r="T77" s="72" t="s">
        <v>334</v>
      </c>
      <c r="U77" s="72" t="s">
        <v>1968</v>
      </c>
      <c r="V77" s="72">
        <v>590</v>
      </c>
      <c r="W77" s="72">
        <v>425</v>
      </c>
      <c r="X77" s="72">
        <v>624</v>
      </c>
      <c r="Y77" s="72">
        <v>716</v>
      </c>
      <c r="Z77" s="72">
        <v>517</v>
      </c>
      <c r="AA77" s="72">
        <v>2872</v>
      </c>
      <c r="AB77" s="72"/>
      <c r="AC77" s="72" t="s">
        <v>1968</v>
      </c>
      <c r="AD77" s="72">
        <v>16</v>
      </c>
      <c r="AE77" s="72">
        <v>0</v>
      </c>
      <c r="AF77" s="72">
        <v>0</v>
      </c>
      <c r="AG77" s="72">
        <v>0</v>
      </c>
      <c r="AH77" s="72">
        <v>0</v>
      </c>
      <c r="AI77" s="72">
        <v>16</v>
      </c>
      <c r="AK77" s="73" t="s">
        <v>636</v>
      </c>
      <c r="AL77" s="73" t="s">
        <v>2856</v>
      </c>
      <c r="AM77" s="73">
        <v>368</v>
      </c>
      <c r="AN77" s="73">
        <v>267</v>
      </c>
      <c r="AO77" s="73">
        <v>428</v>
      </c>
      <c r="AP77" s="73">
        <v>528</v>
      </c>
      <c r="AQ77" s="73">
        <v>509</v>
      </c>
      <c r="AR77" s="73">
        <v>2100</v>
      </c>
      <c r="AS77" s="73"/>
      <c r="AT77" s="73" t="s">
        <v>2856</v>
      </c>
      <c r="AU77" s="73">
        <v>95</v>
      </c>
      <c r="AV77" s="73">
        <v>0</v>
      </c>
      <c r="AW77" s="73">
        <v>0</v>
      </c>
      <c r="AX77" s="73">
        <v>0</v>
      </c>
      <c r="AY77" s="73">
        <v>0</v>
      </c>
      <c r="AZ77" s="73">
        <v>95</v>
      </c>
      <c r="BB77" s="78" t="s">
        <v>810</v>
      </c>
      <c r="BC77" s="78" t="s">
        <v>2856</v>
      </c>
      <c r="BD77" s="78">
        <v>162</v>
      </c>
      <c r="BE77" s="78">
        <v>167</v>
      </c>
      <c r="BF77" s="78">
        <v>345</v>
      </c>
      <c r="BG77" s="78">
        <v>472</v>
      </c>
      <c r="BH77" s="78">
        <v>497</v>
      </c>
      <c r="BI77" s="78">
        <v>1643</v>
      </c>
      <c r="BJ77" s="78"/>
      <c r="BK77" s="78" t="s">
        <v>2856</v>
      </c>
      <c r="BL77" s="78">
        <v>31</v>
      </c>
      <c r="BM77" s="78">
        <v>0</v>
      </c>
      <c r="BN77" s="78">
        <v>0</v>
      </c>
      <c r="BO77" s="78">
        <v>0</v>
      </c>
      <c r="BP77" s="78">
        <v>0</v>
      </c>
      <c r="BQ77" s="78">
        <v>31</v>
      </c>
      <c r="BS77" s="80" t="s">
        <v>1159</v>
      </c>
      <c r="BT77" s="80" t="s">
        <v>1968</v>
      </c>
      <c r="BU77" s="80">
        <v>63</v>
      </c>
      <c r="BV77" s="80">
        <v>63</v>
      </c>
      <c r="BW77" s="80">
        <v>106</v>
      </c>
      <c r="BX77" s="80">
        <v>185</v>
      </c>
      <c r="BY77" s="80">
        <v>167</v>
      </c>
      <c r="BZ77" s="80">
        <v>584</v>
      </c>
      <c r="CA77" s="80"/>
      <c r="CB77" s="80" t="s">
        <v>1968</v>
      </c>
      <c r="CC77" s="80">
        <v>22</v>
      </c>
      <c r="CD77" s="80">
        <v>0</v>
      </c>
      <c r="CE77" s="80">
        <v>0</v>
      </c>
      <c r="CF77" s="80">
        <v>0</v>
      </c>
      <c r="CG77" s="80">
        <v>0</v>
      </c>
      <c r="CH77" s="80">
        <v>22</v>
      </c>
      <c r="CL77" s="61" t="s">
        <v>1277</v>
      </c>
      <c r="CM77" s="61" t="s">
        <v>2856</v>
      </c>
      <c r="CN77" s="61" t="s">
        <v>1970</v>
      </c>
      <c r="CO77" s="61" t="s">
        <v>1970</v>
      </c>
      <c r="CP77" s="61" t="s">
        <v>1970</v>
      </c>
      <c r="CQ77" s="61" t="s">
        <v>1970</v>
      </c>
      <c r="CR77" s="61" t="s">
        <v>1970</v>
      </c>
      <c r="CS77" s="61" t="s">
        <v>1970</v>
      </c>
      <c r="CT77" s="61"/>
      <c r="CU77" s="61" t="s">
        <v>2856</v>
      </c>
      <c r="CV77" s="61" t="s">
        <v>1970</v>
      </c>
      <c r="CW77" s="61" t="s">
        <v>1970</v>
      </c>
      <c r="CX77" s="61" t="s">
        <v>1970</v>
      </c>
      <c r="CY77" s="61" t="s">
        <v>1970</v>
      </c>
      <c r="CZ77" s="61" t="s">
        <v>1970</v>
      </c>
      <c r="DA77" s="61" t="s">
        <v>1970</v>
      </c>
      <c r="DV77" s="277" t="s">
        <v>1470</v>
      </c>
      <c r="DW77" s="277" t="s">
        <v>2840</v>
      </c>
      <c r="DX77" s="277">
        <v>421</v>
      </c>
      <c r="DY77" s="277">
        <v>414</v>
      </c>
      <c r="DZ77" s="277">
        <v>561</v>
      </c>
      <c r="EA77" s="277">
        <v>685</v>
      </c>
      <c r="EB77" s="277">
        <v>544</v>
      </c>
      <c r="EC77" s="277">
        <v>2625</v>
      </c>
      <c r="ED77" s="277"/>
      <c r="EE77" s="277" t="s">
        <v>2840</v>
      </c>
      <c r="EF77" s="277">
        <v>46</v>
      </c>
      <c r="EG77" s="277">
        <v>0</v>
      </c>
      <c r="EH77" s="277">
        <v>0</v>
      </c>
      <c r="EI77" s="277">
        <v>0</v>
      </c>
      <c r="EJ77" s="277">
        <v>0</v>
      </c>
      <c r="EK77" s="277">
        <v>46</v>
      </c>
      <c r="EL77" s="16">
        <v>63</v>
      </c>
      <c r="EN77" s="61" t="s">
        <v>1580</v>
      </c>
      <c r="EO77" s="61" t="s">
        <v>1968</v>
      </c>
      <c r="EP77" s="61">
        <v>76</v>
      </c>
      <c r="EQ77" s="61">
        <v>159</v>
      </c>
      <c r="ER77" s="61">
        <v>176</v>
      </c>
      <c r="ES77" s="61">
        <v>248</v>
      </c>
      <c r="ET77" s="61">
        <v>282</v>
      </c>
      <c r="EU77" s="61">
        <v>941</v>
      </c>
      <c r="EV77" s="61"/>
      <c r="EW77" s="61" t="s">
        <v>1968</v>
      </c>
      <c r="EX77" s="61">
        <v>19</v>
      </c>
      <c r="EY77" s="61">
        <v>11</v>
      </c>
      <c r="EZ77" s="61">
        <v>5</v>
      </c>
      <c r="FA77" s="61">
        <v>1</v>
      </c>
      <c r="FB77" s="61">
        <v>3</v>
      </c>
      <c r="FC77" s="61">
        <v>39</v>
      </c>
      <c r="FF77" s="80" t="s">
        <v>1861</v>
      </c>
      <c r="FG77" s="80" t="s">
        <v>2856</v>
      </c>
      <c r="FH77" s="80">
        <v>604</v>
      </c>
      <c r="FI77" s="80">
        <v>710</v>
      </c>
      <c r="FJ77" s="80">
        <v>748</v>
      </c>
      <c r="FK77" s="80">
        <v>850</v>
      </c>
      <c r="FL77" s="80">
        <v>918</v>
      </c>
      <c r="FM77" s="80">
        <v>3830</v>
      </c>
      <c r="FN77" s="80"/>
      <c r="FO77" s="80" t="s">
        <v>2856</v>
      </c>
      <c r="FP77" s="80">
        <v>112</v>
      </c>
      <c r="FQ77" s="80">
        <v>54</v>
      </c>
      <c r="FR77" s="80">
        <v>30</v>
      </c>
      <c r="FS77" s="80">
        <v>25</v>
      </c>
      <c r="FT77" s="80">
        <v>17</v>
      </c>
      <c r="FU77" s="80">
        <v>238</v>
      </c>
    </row>
    <row r="78" spans="1:177" x14ac:dyDescent="0.3">
      <c r="B78" s="71" t="s">
        <v>121</v>
      </c>
      <c r="C78" s="71" t="s">
        <v>2856</v>
      </c>
      <c r="D78" s="71">
        <v>31</v>
      </c>
      <c r="E78" s="71">
        <v>5</v>
      </c>
      <c r="F78" s="71">
        <v>1</v>
      </c>
      <c r="G78" s="71">
        <v>1</v>
      </c>
      <c r="H78" s="71">
        <v>0</v>
      </c>
      <c r="I78" s="71">
        <v>38</v>
      </c>
      <c r="K78" s="71" t="s">
        <v>2856</v>
      </c>
      <c r="L78" s="71">
        <v>756</v>
      </c>
      <c r="M78" s="71">
        <v>684</v>
      </c>
      <c r="N78" s="71">
        <v>750</v>
      </c>
      <c r="O78" s="71">
        <v>720</v>
      </c>
      <c r="P78" s="71">
        <v>476</v>
      </c>
      <c r="Q78" s="71">
        <v>3386</v>
      </c>
      <c r="T78" s="72" t="s">
        <v>340</v>
      </c>
      <c r="U78" s="72" t="s">
        <v>1968</v>
      </c>
      <c r="V78" s="72">
        <v>121</v>
      </c>
      <c r="W78" s="72">
        <v>115</v>
      </c>
      <c r="X78" s="72">
        <v>127</v>
      </c>
      <c r="Y78" s="72">
        <v>162</v>
      </c>
      <c r="Z78" s="72">
        <v>171</v>
      </c>
      <c r="AA78" s="72">
        <v>696</v>
      </c>
      <c r="AB78" s="72"/>
      <c r="AC78" s="72" t="s">
        <v>1968</v>
      </c>
      <c r="AD78" s="72">
        <v>10</v>
      </c>
      <c r="AE78" s="72">
        <v>0</v>
      </c>
      <c r="AF78" s="72">
        <v>0</v>
      </c>
      <c r="AG78" s="72">
        <v>0</v>
      </c>
      <c r="AH78" s="72">
        <v>0</v>
      </c>
      <c r="AI78" s="72">
        <v>10</v>
      </c>
      <c r="AK78" s="73" t="s">
        <v>642</v>
      </c>
      <c r="AL78" s="73" t="s">
        <v>2856</v>
      </c>
      <c r="AM78" s="73">
        <v>524</v>
      </c>
      <c r="AN78" s="73">
        <v>328</v>
      </c>
      <c r="AO78" s="73">
        <v>485</v>
      </c>
      <c r="AP78" s="73">
        <v>588</v>
      </c>
      <c r="AQ78" s="73">
        <v>561</v>
      </c>
      <c r="AR78" s="73">
        <v>2486</v>
      </c>
      <c r="AS78" s="73"/>
      <c r="AT78" s="73" t="s">
        <v>2856</v>
      </c>
      <c r="AU78" s="73">
        <v>145</v>
      </c>
      <c r="AV78" s="73">
        <v>1</v>
      </c>
      <c r="AW78" s="73">
        <v>0</v>
      </c>
      <c r="AX78" s="73">
        <v>0</v>
      </c>
      <c r="AY78" s="73">
        <v>1</v>
      </c>
      <c r="AZ78" s="73">
        <v>147</v>
      </c>
      <c r="BB78" s="78" t="s">
        <v>814</v>
      </c>
      <c r="BC78" s="78" t="s">
        <v>2856</v>
      </c>
      <c r="BD78" s="78">
        <v>88</v>
      </c>
      <c r="BE78" s="78">
        <v>111</v>
      </c>
      <c r="BF78" s="78">
        <v>207</v>
      </c>
      <c r="BG78" s="78">
        <v>285</v>
      </c>
      <c r="BH78" s="78">
        <v>274</v>
      </c>
      <c r="BI78" s="78">
        <v>965</v>
      </c>
      <c r="BJ78" s="78"/>
      <c r="BK78" s="78" t="s">
        <v>2856</v>
      </c>
      <c r="BL78" s="78">
        <v>13</v>
      </c>
      <c r="BM78" s="78">
        <v>0</v>
      </c>
      <c r="BN78" s="78">
        <v>0</v>
      </c>
      <c r="BO78" s="78">
        <v>0</v>
      </c>
      <c r="BP78" s="78">
        <v>0</v>
      </c>
      <c r="BQ78" s="78">
        <v>13</v>
      </c>
      <c r="BS78" s="80" t="s">
        <v>1167</v>
      </c>
      <c r="BT78" s="80" t="s">
        <v>1968</v>
      </c>
      <c r="BU78" s="80">
        <v>64</v>
      </c>
      <c r="BV78" s="80">
        <v>45</v>
      </c>
      <c r="BW78" s="80">
        <v>91</v>
      </c>
      <c r="BX78" s="80">
        <v>125</v>
      </c>
      <c r="BY78" s="80">
        <v>130</v>
      </c>
      <c r="BZ78" s="80">
        <v>455</v>
      </c>
      <c r="CA78" s="80"/>
      <c r="CB78" s="80" t="s">
        <v>1968</v>
      </c>
      <c r="CC78" s="80">
        <v>20</v>
      </c>
      <c r="CD78" s="80">
        <v>0</v>
      </c>
      <c r="CE78" s="80">
        <v>0</v>
      </c>
      <c r="CF78" s="80">
        <v>0</v>
      </c>
      <c r="CG78" s="80">
        <v>0</v>
      </c>
      <c r="CH78" s="80">
        <v>20</v>
      </c>
      <c r="CJ78" s="259"/>
      <c r="CL78" s="61" t="s">
        <v>1291</v>
      </c>
      <c r="CM78" s="61" t="s">
        <v>2856</v>
      </c>
      <c r="CN78" s="61">
        <v>191</v>
      </c>
      <c r="CO78" s="61">
        <v>87</v>
      </c>
      <c r="CP78" s="61">
        <v>150</v>
      </c>
      <c r="CQ78" s="61">
        <v>158</v>
      </c>
      <c r="CR78" s="61">
        <v>170</v>
      </c>
      <c r="CS78" s="61">
        <v>756</v>
      </c>
      <c r="CT78" s="61"/>
      <c r="CU78" s="61" t="s">
        <v>2856</v>
      </c>
      <c r="CV78" s="61">
        <v>64</v>
      </c>
      <c r="CW78" s="61">
        <v>0</v>
      </c>
      <c r="CX78" s="61">
        <v>0</v>
      </c>
      <c r="CY78" s="61">
        <v>0</v>
      </c>
      <c r="CZ78" s="61">
        <v>0</v>
      </c>
      <c r="DA78" s="61">
        <v>64</v>
      </c>
      <c r="DV78" s="277" t="s">
        <v>1474</v>
      </c>
      <c r="DW78" s="277" t="s">
        <v>2840</v>
      </c>
      <c r="DX78" s="277">
        <v>803</v>
      </c>
      <c r="DY78" s="277">
        <v>351</v>
      </c>
      <c r="DZ78" s="277">
        <v>379</v>
      </c>
      <c r="EA78" s="277">
        <v>415</v>
      </c>
      <c r="EB78" s="277">
        <v>282</v>
      </c>
      <c r="EC78" s="277">
        <v>2230</v>
      </c>
      <c r="ED78" s="277"/>
      <c r="EE78" s="277" t="s">
        <v>2840</v>
      </c>
      <c r="EF78" s="277">
        <v>20</v>
      </c>
      <c r="EG78" s="277">
        <v>0</v>
      </c>
      <c r="EH78" s="277">
        <v>0</v>
      </c>
      <c r="EI78" s="277">
        <v>0</v>
      </c>
      <c r="EJ78" s="277">
        <v>0</v>
      </c>
      <c r="EK78" s="277">
        <v>20</v>
      </c>
      <c r="EL78" s="16">
        <v>30</v>
      </c>
      <c r="EN78" s="61" t="s">
        <v>1584</v>
      </c>
      <c r="EO78" s="61" t="s">
        <v>1968</v>
      </c>
      <c r="EP78" s="61">
        <v>133</v>
      </c>
      <c r="EQ78" s="61">
        <v>202</v>
      </c>
      <c r="ER78" s="61">
        <v>255</v>
      </c>
      <c r="ES78" s="61">
        <v>324</v>
      </c>
      <c r="ET78" s="61">
        <v>335</v>
      </c>
      <c r="EU78" s="61">
        <v>1249</v>
      </c>
      <c r="EV78" s="61"/>
      <c r="EW78" s="61" t="s">
        <v>1968</v>
      </c>
      <c r="EX78" s="61">
        <v>21</v>
      </c>
      <c r="EY78" s="61">
        <v>7</v>
      </c>
      <c r="EZ78" s="61">
        <v>3</v>
      </c>
      <c r="FA78" s="61">
        <v>1</v>
      </c>
      <c r="FB78" s="61">
        <v>2</v>
      </c>
      <c r="FC78" s="61">
        <v>34</v>
      </c>
      <c r="FF78" s="80" t="s">
        <v>1867</v>
      </c>
      <c r="FG78" s="80" t="s">
        <v>2856</v>
      </c>
      <c r="FH78" s="80">
        <v>543</v>
      </c>
      <c r="FI78" s="80">
        <v>587</v>
      </c>
      <c r="FJ78" s="80">
        <v>462</v>
      </c>
      <c r="FK78" s="80">
        <v>537</v>
      </c>
      <c r="FL78" s="80">
        <v>593</v>
      </c>
      <c r="FM78" s="80">
        <v>2722</v>
      </c>
      <c r="FN78" s="80"/>
      <c r="FO78" s="80" t="s">
        <v>2856</v>
      </c>
      <c r="FP78" s="80">
        <v>84</v>
      </c>
      <c r="FQ78" s="80">
        <v>21</v>
      </c>
      <c r="FR78" s="80">
        <v>7</v>
      </c>
      <c r="FS78" s="80">
        <v>4</v>
      </c>
      <c r="FT78" s="80">
        <v>5</v>
      </c>
      <c r="FU78" s="80">
        <v>121</v>
      </c>
    </row>
    <row r="79" spans="1:177" x14ac:dyDescent="0.3">
      <c r="B79" s="71" t="s">
        <v>126</v>
      </c>
      <c r="C79" s="71" t="s">
        <v>2856</v>
      </c>
      <c r="D79" s="71">
        <v>22</v>
      </c>
      <c r="E79" s="71">
        <v>0</v>
      </c>
      <c r="F79" s="71">
        <v>2</v>
      </c>
      <c r="G79" s="71">
        <v>0</v>
      </c>
      <c r="H79" s="71">
        <v>0</v>
      </c>
      <c r="I79" s="71">
        <v>24</v>
      </c>
      <c r="K79" s="71" t="s">
        <v>2856</v>
      </c>
      <c r="L79" s="71">
        <v>170</v>
      </c>
      <c r="M79" s="71">
        <v>291</v>
      </c>
      <c r="N79" s="71">
        <v>414</v>
      </c>
      <c r="O79" s="71">
        <v>505</v>
      </c>
      <c r="P79" s="71">
        <v>319</v>
      </c>
      <c r="Q79" s="71">
        <v>1699</v>
      </c>
      <c r="T79" s="72" t="s">
        <v>346</v>
      </c>
      <c r="U79" s="72" t="s">
        <v>1968</v>
      </c>
      <c r="V79" s="72" t="s">
        <v>1970</v>
      </c>
      <c r="W79" s="72" t="s">
        <v>1970</v>
      </c>
      <c r="X79" s="72" t="s">
        <v>1970</v>
      </c>
      <c r="Y79" s="72" t="s">
        <v>1970</v>
      </c>
      <c r="Z79" s="72" t="s">
        <v>1970</v>
      </c>
      <c r="AA79" s="72" t="s">
        <v>1970</v>
      </c>
      <c r="AB79" s="72"/>
      <c r="AC79" s="72" t="s">
        <v>1968</v>
      </c>
      <c r="AD79" s="72" t="s">
        <v>1970</v>
      </c>
      <c r="AE79" s="72" t="s">
        <v>1970</v>
      </c>
      <c r="AF79" s="72" t="s">
        <v>1970</v>
      </c>
      <c r="AG79" s="72" t="s">
        <v>1970</v>
      </c>
      <c r="AH79" s="72" t="s">
        <v>1970</v>
      </c>
      <c r="AI79" s="72" t="s">
        <v>1970</v>
      </c>
      <c r="AK79" s="73" t="s">
        <v>648</v>
      </c>
      <c r="AL79" s="73" t="s">
        <v>2856</v>
      </c>
      <c r="AM79" s="73">
        <v>1046</v>
      </c>
      <c r="AN79" s="73">
        <v>841</v>
      </c>
      <c r="AO79" s="73">
        <v>994</v>
      </c>
      <c r="AP79" s="73">
        <v>1016</v>
      </c>
      <c r="AQ79" s="73">
        <v>776</v>
      </c>
      <c r="AR79" s="73">
        <v>4673</v>
      </c>
      <c r="AS79" s="73"/>
      <c r="AT79" s="73" t="s">
        <v>2856</v>
      </c>
      <c r="AU79" s="73">
        <v>168</v>
      </c>
      <c r="AV79" s="73">
        <v>2</v>
      </c>
      <c r="AW79" s="73">
        <v>0</v>
      </c>
      <c r="AX79" s="73">
        <v>0</v>
      </c>
      <c r="AY79" s="73">
        <v>0</v>
      </c>
      <c r="AZ79" s="73">
        <v>170</v>
      </c>
      <c r="BB79" s="78" t="s">
        <v>819</v>
      </c>
      <c r="BC79" s="78" t="s">
        <v>2856</v>
      </c>
      <c r="BD79" s="78">
        <v>941</v>
      </c>
      <c r="BE79" s="78">
        <v>480</v>
      </c>
      <c r="BF79" s="78">
        <v>732</v>
      </c>
      <c r="BG79" s="78">
        <v>966</v>
      </c>
      <c r="BH79" s="78">
        <v>883</v>
      </c>
      <c r="BI79" s="78">
        <v>4002</v>
      </c>
      <c r="BJ79" s="78"/>
      <c r="BK79" s="78" t="s">
        <v>2856</v>
      </c>
      <c r="BL79" s="78">
        <v>218</v>
      </c>
      <c r="BM79" s="78">
        <v>0</v>
      </c>
      <c r="BN79" s="78">
        <v>0</v>
      </c>
      <c r="BO79" s="78">
        <v>0</v>
      </c>
      <c r="BP79" s="78">
        <v>0</v>
      </c>
      <c r="BQ79" s="78">
        <v>218</v>
      </c>
      <c r="CJ79" s="259"/>
      <c r="CL79" s="61" t="s">
        <v>1345</v>
      </c>
      <c r="CM79" s="61" t="s">
        <v>2856</v>
      </c>
      <c r="CN79" s="61">
        <v>1229</v>
      </c>
      <c r="CO79" s="61">
        <v>1246</v>
      </c>
      <c r="CP79" s="61">
        <v>1350</v>
      </c>
      <c r="CQ79" s="61">
        <v>1392</v>
      </c>
      <c r="CR79" s="61">
        <v>1046</v>
      </c>
      <c r="CS79" s="61">
        <v>6263</v>
      </c>
      <c r="CT79" s="61"/>
      <c r="CU79" s="61" t="s">
        <v>2856</v>
      </c>
      <c r="CV79" s="61">
        <v>296</v>
      </c>
      <c r="CW79" s="61">
        <v>14</v>
      </c>
      <c r="CX79" s="61">
        <v>0</v>
      </c>
      <c r="CY79" s="61">
        <v>0</v>
      </c>
      <c r="CZ79" s="61">
        <v>0</v>
      </c>
      <c r="DA79" s="61">
        <v>310</v>
      </c>
      <c r="DV79" s="277" t="s">
        <v>1478</v>
      </c>
      <c r="DW79" s="277" t="s">
        <v>2840</v>
      </c>
      <c r="DX79" s="277">
        <v>198</v>
      </c>
      <c r="DY79" s="277">
        <v>138</v>
      </c>
      <c r="DZ79" s="277">
        <v>206</v>
      </c>
      <c r="EA79" s="277">
        <v>244</v>
      </c>
      <c r="EB79" s="277">
        <v>200</v>
      </c>
      <c r="EC79" s="277">
        <v>986</v>
      </c>
      <c r="ED79" s="277"/>
      <c r="EE79" s="277" t="s">
        <v>2840</v>
      </c>
      <c r="EF79" s="277">
        <v>13</v>
      </c>
      <c r="EG79" s="277">
        <v>0</v>
      </c>
      <c r="EH79" s="277">
        <v>0</v>
      </c>
      <c r="EI79" s="277">
        <v>0</v>
      </c>
      <c r="EJ79" s="277">
        <v>0</v>
      </c>
      <c r="EK79" s="277">
        <v>13</v>
      </c>
      <c r="EL79" s="16">
        <v>18</v>
      </c>
      <c r="EN79" s="61" t="s">
        <v>1588</v>
      </c>
      <c r="EO79" s="61" t="s">
        <v>1968</v>
      </c>
      <c r="EP79" s="61">
        <v>44</v>
      </c>
      <c r="EQ79" s="61">
        <v>95</v>
      </c>
      <c r="ER79" s="61">
        <v>129</v>
      </c>
      <c r="ES79" s="61">
        <v>184</v>
      </c>
      <c r="ET79" s="61">
        <v>247</v>
      </c>
      <c r="EU79" s="61">
        <v>699</v>
      </c>
      <c r="EV79" s="61"/>
      <c r="EW79" s="61" t="s">
        <v>1968</v>
      </c>
      <c r="EX79" s="61">
        <v>7</v>
      </c>
      <c r="EY79" s="61">
        <v>3</v>
      </c>
      <c r="EZ79" s="61">
        <v>1</v>
      </c>
      <c r="FA79" s="61">
        <v>1</v>
      </c>
      <c r="FB79" s="61">
        <v>0</v>
      </c>
      <c r="FC79" s="61">
        <v>12</v>
      </c>
      <c r="FF79" s="80" t="s">
        <v>1873</v>
      </c>
      <c r="FG79" s="80" t="s">
        <v>2856</v>
      </c>
      <c r="FH79" s="80">
        <v>167</v>
      </c>
      <c r="FI79" s="80">
        <v>293</v>
      </c>
      <c r="FJ79" s="80">
        <v>347</v>
      </c>
      <c r="FK79" s="80">
        <v>413</v>
      </c>
      <c r="FL79" s="80">
        <v>545</v>
      </c>
      <c r="FM79" s="80">
        <v>1765</v>
      </c>
      <c r="FN79" s="80"/>
      <c r="FO79" s="80" t="s">
        <v>2856</v>
      </c>
      <c r="FP79" s="80">
        <v>29</v>
      </c>
      <c r="FQ79" s="80">
        <v>10</v>
      </c>
      <c r="FR79" s="80">
        <v>6</v>
      </c>
      <c r="FS79" s="80">
        <v>4</v>
      </c>
      <c r="FT79" s="80">
        <v>3</v>
      </c>
      <c r="FU79" s="80">
        <v>52</v>
      </c>
    </row>
    <row r="80" spans="1:177" x14ac:dyDescent="0.3">
      <c r="A80" s="21" t="s">
        <v>2858</v>
      </c>
      <c r="B80" s="205" t="s">
        <v>145</v>
      </c>
      <c r="C80" s="71" t="s">
        <v>2856</v>
      </c>
      <c r="D80" s="71">
        <v>34</v>
      </c>
      <c r="E80" s="71">
        <v>2</v>
      </c>
      <c r="F80" s="71">
        <v>1</v>
      </c>
      <c r="G80" s="71">
        <v>0</v>
      </c>
      <c r="H80" s="71">
        <v>0</v>
      </c>
      <c r="I80" s="71">
        <v>37</v>
      </c>
      <c r="K80" s="71" t="s">
        <v>2856</v>
      </c>
      <c r="L80" s="71">
        <v>276</v>
      </c>
      <c r="M80" s="71">
        <v>454</v>
      </c>
      <c r="N80" s="71">
        <v>609</v>
      </c>
      <c r="O80" s="71">
        <v>709</v>
      </c>
      <c r="P80" s="71">
        <v>540</v>
      </c>
      <c r="Q80" s="71">
        <v>2588</v>
      </c>
      <c r="T80" s="72" t="s">
        <v>350</v>
      </c>
      <c r="U80" s="72" t="s">
        <v>1968</v>
      </c>
      <c r="V80" s="72" t="s">
        <v>1970</v>
      </c>
      <c r="W80" s="72" t="s">
        <v>1970</v>
      </c>
      <c r="X80" s="72" t="s">
        <v>1970</v>
      </c>
      <c r="Y80" s="72" t="s">
        <v>1970</v>
      </c>
      <c r="Z80" s="72" t="s">
        <v>1970</v>
      </c>
      <c r="AA80" s="72" t="s">
        <v>1970</v>
      </c>
      <c r="AB80" s="72"/>
      <c r="AC80" s="72" t="s">
        <v>1968</v>
      </c>
      <c r="AD80" s="72" t="s">
        <v>1970</v>
      </c>
      <c r="AE80" s="72" t="s">
        <v>1970</v>
      </c>
      <c r="AF80" s="72" t="s">
        <v>1970</v>
      </c>
      <c r="AG80" s="72" t="s">
        <v>1970</v>
      </c>
      <c r="AH80" s="72" t="s">
        <v>1970</v>
      </c>
      <c r="AI80" s="72" t="s">
        <v>1970</v>
      </c>
      <c r="AK80" s="73" t="s">
        <v>654</v>
      </c>
      <c r="AL80" s="73" t="s">
        <v>2856</v>
      </c>
      <c r="AM80" s="73">
        <v>277</v>
      </c>
      <c r="AN80" s="73">
        <v>281</v>
      </c>
      <c r="AO80" s="73">
        <v>393</v>
      </c>
      <c r="AP80" s="73">
        <v>524</v>
      </c>
      <c r="AQ80" s="73">
        <v>510</v>
      </c>
      <c r="AR80" s="73">
        <v>1985</v>
      </c>
      <c r="AS80" s="73"/>
      <c r="AT80" s="73" t="s">
        <v>2856</v>
      </c>
      <c r="AU80" s="73">
        <v>44</v>
      </c>
      <c r="AV80" s="73">
        <v>1</v>
      </c>
      <c r="AW80" s="73">
        <v>0</v>
      </c>
      <c r="AX80" s="73">
        <v>0</v>
      </c>
      <c r="AY80" s="73">
        <v>0</v>
      </c>
      <c r="AZ80" s="73">
        <v>45</v>
      </c>
      <c r="BB80" s="78" t="s">
        <v>824</v>
      </c>
      <c r="BC80" s="78" t="s">
        <v>2856</v>
      </c>
      <c r="BD80" s="78">
        <v>30</v>
      </c>
      <c r="BE80" s="78">
        <v>34</v>
      </c>
      <c r="BF80" s="78">
        <v>85</v>
      </c>
      <c r="BG80" s="78">
        <v>127</v>
      </c>
      <c r="BH80" s="78">
        <v>183</v>
      </c>
      <c r="BI80" s="78">
        <v>459</v>
      </c>
      <c r="BJ80" s="78"/>
      <c r="BK80" s="78" t="s">
        <v>2856</v>
      </c>
      <c r="BL80" s="78">
        <v>10</v>
      </c>
      <c r="BM80" s="78">
        <v>0</v>
      </c>
      <c r="BN80" s="78">
        <v>0</v>
      </c>
      <c r="BO80" s="78">
        <v>0</v>
      </c>
      <c r="BP80" s="78">
        <v>0</v>
      </c>
      <c r="BQ80" s="78">
        <v>10</v>
      </c>
      <c r="BS80" s="275" t="s">
        <v>1065</v>
      </c>
      <c r="BT80" s="275" t="s">
        <v>2840</v>
      </c>
      <c r="BU80" s="275">
        <v>126</v>
      </c>
      <c r="BV80" s="275">
        <v>77</v>
      </c>
      <c r="BW80" s="275">
        <v>82</v>
      </c>
      <c r="BX80" s="275">
        <v>98</v>
      </c>
      <c r="BY80" s="275">
        <v>107</v>
      </c>
      <c r="BZ80" s="275">
        <v>490</v>
      </c>
      <c r="CA80" s="275"/>
      <c r="CB80" s="275" t="s">
        <v>2840</v>
      </c>
      <c r="CC80" s="275">
        <v>23</v>
      </c>
      <c r="CD80" s="275">
        <v>0</v>
      </c>
      <c r="CE80" s="275">
        <v>0</v>
      </c>
      <c r="CF80" s="275">
        <v>0</v>
      </c>
      <c r="CG80" s="275">
        <v>0</v>
      </c>
      <c r="CH80" s="275">
        <v>23</v>
      </c>
      <c r="CI80" s="16">
        <v>21</v>
      </c>
      <c r="CJ80" s="259"/>
      <c r="CL80" s="61" t="s">
        <v>1287</v>
      </c>
      <c r="CM80" s="61" t="s">
        <v>2856</v>
      </c>
      <c r="CN80" s="61">
        <v>567</v>
      </c>
      <c r="CO80" s="61">
        <v>490</v>
      </c>
      <c r="CP80" s="61">
        <v>922</v>
      </c>
      <c r="CQ80" s="61">
        <v>1319</v>
      </c>
      <c r="CR80" s="61">
        <v>1286</v>
      </c>
      <c r="CS80" s="61">
        <v>4584</v>
      </c>
      <c r="CT80" s="61"/>
      <c r="CU80" s="61" t="s">
        <v>2856</v>
      </c>
      <c r="CV80" s="61">
        <v>152</v>
      </c>
      <c r="CW80" s="61">
        <v>0</v>
      </c>
      <c r="CX80" s="61">
        <v>0</v>
      </c>
      <c r="CY80" s="61">
        <v>0</v>
      </c>
      <c r="CZ80" s="61">
        <v>0</v>
      </c>
      <c r="DA80" s="61">
        <v>152</v>
      </c>
      <c r="DV80" s="277" t="s">
        <v>1482</v>
      </c>
      <c r="DW80" s="277" t="s">
        <v>2840</v>
      </c>
      <c r="DX80" s="277">
        <v>315</v>
      </c>
      <c r="DY80" s="277">
        <v>338</v>
      </c>
      <c r="DZ80" s="277">
        <v>431</v>
      </c>
      <c r="EA80" s="277">
        <v>469</v>
      </c>
      <c r="EB80" s="277">
        <v>427</v>
      </c>
      <c r="EC80" s="277">
        <v>1980</v>
      </c>
      <c r="ED80" s="277"/>
      <c r="EE80" s="277" t="s">
        <v>2840</v>
      </c>
      <c r="EF80" s="277">
        <v>20</v>
      </c>
      <c r="EG80" s="277">
        <v>0</v>
      </c>
      <c r="EH80" s="277">
        <v>0</v>
      </c>
      <c r="EI80" s="277">
        <v>0</v>
      </c>
      <c r="EJ80" s="277">
        <v>0</v>
      </c>
      <c r="EK80" s="277">
        <v>20</v>
      </c>
      <c r="EL80" s="16">
        <v>22</v>
      </c>
      <c r="EN80" s="61" t="s">
        <v>1592</v>
      </c>
      <c r="EO80" s="61" t="s">
        <v>1968</v>
      </c>
      <c r="EP80" s="61">
        <v>268</v>
      </c>
      <c r="EQ80" s="61">
        <v>526</v>
      </c>
      <c r="ER80" s="61">
        <v>667</v>
      </c>
      <c r="ES80" s="61">
        <v>770</v>
      </c>
      <c r="ET80" s="61">
        <v>822</v>
      </c>
      <c r="EU80" s="61">
        <v>3053</v>
      </c>
      <c r="EV80" s="61"/>
      <c r="EW80" s="61" t="s">
        <v>1968</v>
      </c>
      <c r="EX80" s="61">
        <v>35</v>
      </c>
      <c r="EY80" s="61">
        <v>19</v>
      </c>
      <c r="EZ80" s="61">
        <v>10</v>
      </c>
      <c r="FA80" s="61">
        <v>8</v>
      </c>
      <c r="FB80" s="61">
        <v>11</v>
      </c>
      <c r="FC80" s="61">
        <v>83</v>
      </c>
      <c r="FF80" s="80" t="s">
        <v>1879</v>
      </c>
      <c r="FG80" s="80" t="s">
        <v>2856</v>
      </c>
      <c r="FH80" s="80">
        <v>318</v>
      </c>
      <c r="FI80" s="80">
        <v>506</v>
      </c>
      <c r="FJ80" s="80">
        <v>540</v>
      </c>
      <c r="FK80" s="80">
        <v>573</v>
      </c>
      <c r="FL80" s="80">
        <v>770</v>
      </c>
      <c r="FM80" s="80">
        <v>2707</v>
      </c>
      <c r="FN80" s="80"/>
      <c r="FO80" s="80" t="s">
        <v>2856</v>
      </c>
      <c r="FP80" s="80">
        <v>50</v>
      </c>
      <c r="FQ80" s="80">
        <v>30</v>
      </c>
      <c r="FR80" s="80">
        <v>15</v>
      </c>
      <c r="FS80" s="80">
        <v>13</v>
      </c>
      <c r="FT80" s="80">
        <v>13</v>
      </c>
      <c r="FU80" s="80">
        <v>121</v>
      </c>
    </row>
    <row r="81" spans="2:177" x14ac:dyDescent="0.3">
      <c r="B81" s="71" t="s">
        <v>135</v>
      </c>
      <c r="C81" s="71" t="s">
        <v>2856</v>
      </c>
      <c r="D81" s="71">
        <v>41</v>
      </c>
      <c r="E81" s="71">
        <v>2</v>
      </c>
      <c r="F81" s="71">
        <v>2</v>
      </c>
      <c r="G81" s="71">
        <v>0</v>
      </c>
      <c r="H81" s="71">
        <v>1</v>
      </c>
      <c r="I81" s="71">
        <v>46</v>
      </c>
      <c r="K81" s="71" t="s">
        <v>2856</v>
      </c>
      <c r="L81" s="71">
        <v>824</v>
      </c>
      <c r="M81" s="71">
        <v>846</v>
      </c>
      <c r="N81" s="71">
        <v>1177</v>
      </c>
      <c r="O81" s="71">
        <v>1396</v>
      </c>
      <c r="P81" s="71">
        <v>958</v>
      </c>
      <c r="Q81" s="71">
        <v>5201</v>
      </c>
      <c r="T81" s="72" t="s">
        <v>358</v>
      </c>
      <c r="U81" s="72" t="s">
        <v>1968</v>
      </c>
      <c r="V81" s="72">
        <v>193</v>
      </c>
      <c r="W81" s="72">
        <v>139</v>
      </c>
      <c r="X81" s="72">
        <v>247</v>
      </c>
      <c r="Y81" s="72">
        <v>408</v>
      </c>
      <c r="Z81" s="72">
        <v>332</v>
      </c>
      <c r="AA81" s="72">
        <v>1319</v>
      </c>
      <c r="AB81" s="72"/>
      <c r="AC81" s="72" t="s">
        <v>1968</v>
      </c>
      <c r="AD81" s="72">
        <v>28</v>
      </c>
      <c r="AE81" s="72">
        <v>1</v>
      </c>
      <c r="AF81" s="72">
        <v>0</v>
      </c>
      <c r="AG81" s="72">
        <v>0</v>
      </c>
      <c r="AH81" s="72">
        <v>0</v>
      </c>
      <c r="AI81" s="72">
        <v>29</v>
      </c>
      <c r="AK81" s="73" t="s">
        <v>657</v>
      </c>
      <c r="AL81" s="73" t="s">
        <v>2856</v>
      </c>
      <c r="AM81" s="73">
        <v>548</v>
      </c>
      <c r="AN81" s="73">
        <v>441</v>
      </c>
      <c r="AO81" s="73">
        <v>862</v>
      </c>
      <c r="AP81" s="73">
        <v>1256</v>
      </c>
      <c r="AQ81" s="73">
        <v>1059</v>
      </c>
      <c r="AR81" s="73">
        <v>4166</v>
      </c>
      <c r="AS81" s="73"/>
      <c r="AT81" s="73" t="s">
        <v>2856</v>
      </c>
      <c r="AU81" s="73">
        <v>35</v>
      </c>
      <c r="AV81" s="73">
        <v>0</v>
      </c>
      <c r="AW81" s="73">
        <v>0</v>
      </c>
      <c r="AX81" s="73">
        <v>0</v>
      </c>
      <c r="AY81" s="73">
        <v>0</v>
      </c>
      <c r="AZ81" s="73">
        <v>35</v>
      </c>
      <c r="BB81" s="78" t="s">
        <v>828</v>
      </c>
      <c r="BC81" s="78" t="s">
        <v>2856</v>
      </c>
      <c r="BD81" s="78">
        <v>367</v>
      </c>
      <c r="BE81" s="78">
        <v>439</v>
      </c>
      <c r="BF81" s="78">
        <v>661</v>
      </c>
      <c r="BG81" s="78">
        <v>927</v>
      </c>
      <c r="BH81" s="78">
        <v>913</v>
      </c>
      <c r="BI81" s="78">
        <v>3307</v>
      </c>
      <c r="BJ81" s="78"/>
      <c r="BK81" s="78" t="s">
        <v>2856</v>
      </c>
      <c r="BL81" s="78">
        <v>53</v>
      </c>
      <c r="BM81" s="78">
        <v>1</v>
      </c>
      <c r="BN81" s="78">
        <v>0</v>
      </c>
      <c r="BO81" s="78">
        <v>0</v>
      </c>
      <c r="BP81" s="78">
        <v>0</v>
      </c>
      <c r="BQ81" s="78">
        <v>54</v>
      </c>
      <c r="BS81" s="275" t="s">
        <v>1069</v>
      </c>
      <c r="BT81" s="275" t="s">
        <v>2840</v>
      </c>
      <c r="BU81" s="275">
        <v>903</v>
      </c>
      <c r="BV81" s="275">
        <v>761</v>
      </c>
      <c r="BW81" s="275">
        <v>671</v>
      </c>
      <c r="BX81" s="275">
        <v>545</v>
      </c>
      <c r="BY81" s="275">
        <v>347</v>
      </c>
      <c r="BZ81" s="275">
        <v>3227</v>
      </c>
      <c r="CA81" s="275"/>
      <c r="CB81" s="275" t="s">
        <v>2840</v>
      </c>
      <c r="CC81" s="275">
        <v>156</v>
      </c>
      <c r="CD81" s="275">
        <v>3</v>
      </c>
      <c r="CE81" s="275">
        <v>0</v>
      </c>
      <c r="CF81" s="275">
        <v>0</v>
      </c>
      <c r="CG81" s="275">
        <v>0</v>
      </c>
      <c r="CH81" s="275">
        <v>159</v>
      </c>
      <c r="CI81" s="16" t="s">
        <v>3198</v>
      </c>
      <c r="CJ81" s="259" t="s">
        <v>2974</v>
      </c>
      <c r="CL81" s="61" t="s">
        <v>1295</v>
      </c>
      <c r="CM81" s="61" t="s">
        <v>2856</v>
      </c>
      <c r="CN81" s="61">
        <v>250</v>
      </c>
      <c r="CO81" s="61">
        <v>326</v>
      </c>
      <c r="CP81" s="61">
        <v>631</v>
      </c>
      <c r="CQ81" s="61">
        <v>924</v>
      </c>
      <c r="CR81" s="61">
        <v>945</v>
      </c>
      <c r="CS81" s="61">
        <v>3076</v>
      </c>
      <c r="CT81" s="61"/>
      <c r="CU81" s="61" t="s">
        <v>2856</v>
      </c>
      <c r="CV81" s="61">
        <v>22</v>
      </c>
      <c r="CW81" s="61">
        <v>0</v>
      </c>
      <c r="CX81" s="61">
        <v>0</v>
      </c>
      <c r="CY81" s="61">
        <v>0</v>
      </c>
      <c r="CZ81" s="61">
        <v>0</v>
      </c>
      <c r="DA81" s="61">
        <v>22</v>
      </c>
      <c r="DV81" s="277" t="s">
        <v>1490</v>
      </c>
      <c r="DW81" s="277" t="s">
        <v>2840</v>
      </c>
      <c r="DX81" s="277">
        <v>336</v>
      </c>
      <c r="DY81" s="277">
        <v>356</v>
      </c>
      <c r="DZ81" s="277">
        <v>406</v>
      </c>
      <c r="EA81" s="277">
        <v>411</v>
      </c>
      <c r="EB81" s="277">
        <v>326</v>
      </c>
      <c r="EC81" s="277">
        <v>1835</v>
      </c>
      <c r="ED81" s="277"/>
      <c r="EE81" s="277" t="s">
        <v>2840</v>
      </c>
      <c r="EF81" s="277">
        <v>9</v>
      </c>
      <c r="EG81" s="277">
        <v>0</v>
      </c>
      <c r="EH81" s="277">
        <v>0</v>
      </c>
      <c r="EI81" s="277">
        <v>0</v>
      </c>
      <c r="EJ81" s="277">
        <v>0</v>
      </c>
      <c r="EK81" s="277">
        <v>9</v>
      </c>
      <c r="EL81" s="16">
        <v>10</v>
      </c>
      <c r="EN81" s="61" t="s">
        <v>1596</v>
      </c>
      <c r="EO81" s="61" t="s">
        <v>1968</v>
      </c>
      <c r="EP81" s="61">
        <v>135</v>
      </c>
      <c r="EQ81" s="61">
        <v>221</v>
      </c>
      <c r="ER81" s="61">
        <v>299</v>
      </c>
      <c r="ES81" s="61">
        <v>334</v>
      </c>
      <c r="ET81" s="61">
        <v>384</v>
      </c>
      <c r="EU81" s="61">
        <v>1373</v>
      </c>
      <c r="EV81" s="61"/>
      <c r="EW81" s="61" t="s">
        <v>1968</v>
      </c>
      <c r="EX81" s="61">
        <v>36</v>
      </c>
      <c r="EY81" s="61">
        <v>16</v>
      </c>
      <c r="EZ81" s="61">
        <v>9</v>
      </c>
      <c r="FA81" s="61">
        <v>12</v>
      </c>
      <c r="FB81" s="61">
        <v>16</v>
      </c>
      <c r="FC81" s="61">
        <v>89</v>
      </c>
      <c r="FF81" s="80" t="s">
        <v>1885</v>
      </c>
      <c r="FG81" s="80" t="s">
        <v>2856</v>
      </c>
      <c r="FH81" s="80">
        <v>375</v>
      </c>
      <c r="FI81" s="80">
        <v>433</v>
      </c>
      <c r="FJ81" s="80">
        <v>418</v>
      </c>
      <c r="FK81" s="80">
        <v>463</v>
      </c>
      <c r="FL81" s="80">
        <v>544</v>
      </c>
      <c r="FM81" s="80">
        <v>2233</v>
      </c>
      <c r="FN81" s="80"/>
      <c r="FO81" s="80" t="s">
        <v>2856</v>
      </c>
      <c r="FP81" s="80">
        <v>51</v>
      </c>
      <c r="FQ81" s="80">
        <v>20</v>
      </c>
      <c r="FR81" s="80">
        <v>9</v>
      </c>
      <c r="FS81" s="80">
        <v>8</v>
      </c>
      <c r="FT81" s="80">
        <v>5</v>
      </c>
      <c r="FU81" s="80">
        <v>93</v>
      </c>
    </row>
    <row r="82" spans="2:177" x14ac:dyDescent="0.3">
      <c r="B82" s="71" t="s">
        <v>140</v>
      </c>
      <c r="C82" s="71" t="s">
        <v>2856</v>
      </c>
      <c r="D82" s="71">
        <v>55</v>
      </c>
      <c r="E82" s="71">
        <v>10</v>
      </c>
      <c r="F82" s="71">
        <v>1</v>
      </c>
      <c r="G82" s="71">
        <v>1</v>
      </c>
      <c r="H82" s="71">
        <v>0</v>
      </c>
      <c r="I82" s="71">
        <v>67</v>
      </c>
      <c r="K82" s="71" t="s">
        <v>2856</v>
      </c>
      <c r="L82" s="71">
        <v>358</v>
      </c>
      <c r="M82" s="71">
        <v>431</v>
      </c>
      <c r="N82" s="71">
        <v>609</v>
      </c>
      <c r="O82" s="71">
        <v>727</v>
      </c>
      <c r="P82" s="71">
        <v>643</v>
      </c>
      <c r="Q82" s="71">
        <v>2768</v>
      </c>
      <c r="T82" s="72" t="s">
        <v>364</v>
      </c>
      <c r="U82" s="72" t="s">
        <v>1968</v>
      </c>
      <c r="V82" s="72">
        <v>197</v>
      </c>
      <c r="W82" s="72">
        <v>257</v>
      </c>
      <c r="X82" s="72">
        <v>430</v>
      </c>
      <c r="Y82" s="72">
        <v>531</v>
      </c>
      <c r="Z82" s="72">
        <v>472</v>
      </c>
      <c r="AA82" s="72">
        <v>1887</v>
      </c>
      <c r="AB82" s="72"/>
      <c r="AC82" s="72" t="s">
        <v>1968</v>
      </c>
      <c r="AD82" s="72">
        <v>20</v>
      </c>
      <c r="AE82" s="72">
        <v>1</v>
      </c>
      <c r="AF82" s="72">
        <v>1</v>
      </c>
      <c r="AG82" s="72">
        <v>0</v>
      </c>
      <c r="AH82" s="72">
        <v>0</v>
      </c>
      <c r="AI82" s="72">
        <v>22</v>
      </c>
      <c r="AK82" s="73" t="s">
        <v>661</v>
      </c>
      <c r="AL82" s="73" t="s">
        <v>2856</v>
      </c>
      <c r="AM82" s="73">
        <v>282</v>
      </c>
      <c r="AN82" s="73">
        <v>414</v>
      </c>
      <c r="AO82" s="73">
        <v>664</v>
      </c>
      <c r="AP82" s="73">
        <v>910</v>
      </c>
      <c r="AQ82" s="73">
        <v>784</v>
      </c>
      <c r="AR82" s="73">
        <v>3054</v>
      </c>
      <c r="AS82" s="73"/>
      <c r="AT82" s="73" t="s">
        <v>2856</v>
      </c>
      <c r="AU82" s="73">
        <v>21</v>
      </c>
      <c r="AV82" s="73">
        <v>2</v>
      </c>
      <c r="AW82" s="73">
        <v>6</v>
      </c>
      <c r="AX82" s="73">
        <v>1</v>
      </c>
      <c r="AY82" s="73">
        <v>0</v>
      </c>
      <c r="AZ82" s="73">
        <v>30</v>
      </c>
      <c r="BB82" s="78" t="s">
        <v>833</v>
      </c>
      <c r="BC82" s="78" t="s">
        <v>2856</v>
      </c>
      <c r="BD82" s="78">
        <v>128</v>
      </c>
      <c r="BE82" s="78">
        <v>71</v>
      </c>
      <c r="BF82" s="78">
        <v>147</v>
      </c>
      <c r="BG82" s="78">
        <v>192</v>
      </c>
      <c r="BH82" s="78">
        <v>172</v>
      </c>
      <c r="BI82" s="78">
        <v>710</v>
      </c>
      <c r="BJ82" s="78"/>
      <c r="BK82" s="78" t="s">
        <v>2856</v>
      </c>
      <c r="BL82" s="78">
        <v>45</v>
      </c>
      <c r="BM82" s="78">
        <v>0</v>
      </c>
      <c r="BN82" s="78">
        <v>0</v>
      </c>
      <c r="BO82" s="78">
        <v>0</v>
      </c>
      <c r="BP82" s="78">
        <v>0</v>
      </c>
      <c r="BQ82" s="78">
        <v>45</v>
      </c>
      <c r="BS82" s="275" t="s">
        <v>1073</v>
      </c>
      <c r="BT82" s="275" t="s">
        <v>2840</v>
      </c>
      <c r="BU82" s="275">
        <v>1048</v>
      </c>
      <c r="BV82" s="275">
        <v>870</v>
      </c>
      <c r="BW82" s="275">
        <v>727</v>
      </c>
      <c r="BX82" s="275">
        <v>589</v>
      </c>
      <c r="BY82" s="275">
        <v>381</v>
      </c>
      <c r="BZ82" s="275">
        <v>3615</v>
      </c>
      <c r="CA82" s="275"/>
      <c r="CB82" s="275" t="s">
        <v>2840</v>
      </c>
      <c r="CC82" s="275">
        <v>260</v>
      </c>
      <c r="CD82" s="275">
        <v>8</v>
      </c>
      <c r="CE82" s="275">
        <v>0</v>
      </c>
      <c r="CF82" s="275">
        <v>0</v>
      </c>
      <c r="CG82" s="275">
        <v>0</v>
      </c>
      <c r="CH82" s="275">
        <v>268</v>
      </c>
      <c r="CI82" s="16" t="s">
        <v>3198</v>
      </c>
      <c r="CJ82" s="259" t="s">
        <v>2974</v>
      </c>
      <c r="CL82" s="61" t="s">
        <v>1317</v>
      </c>
      <c r="CM82" s="61" t="s">
        <v>2856</v>
      </c>
      <c r="CN82" s="61">
        <v>128</v>
      </c>
      <c r="CO82" s="61">
        <v>61</v>
      </c>
      <c r="CP82" s="61">
        <v>82</v>
      </c>
      <c r="CQ82" s="61">
        <v>128</v>
      </c>
      <c r="CR82" s="61">
        <v>122</v>
      </c>
      <c r="CS82" s="61">
        <v>521</v>
      </c>
      <c r="CT82" s="61"/>
      <c r="CU82" s="61" t="s">
        <v>2856</v>
      </c>
      <c r="CV82" s="61">
        <v>54</v>
      </c>
      <c r="CW82" s="61">
        <v>0</v>
      </c>
      <c r="CX82" s="61">
        <v>0</v>
      </c>
      <c r="CY82" s="61">
        <v>0</v>
      </c>
      <c r="CZ82" s="61">
        <v>0</v>
      </c>
      <c r="DA82" s="61">
        <v>54</v>
      </c>
      <c r="DV82" s="277" t="s">
        <v>1494</v>
      </c>
      <c r="DW82" s="277" t="s">
        <v>2840</v>
      </c>
      <c r="DX82" s="277">
        <v>1406</v>
      </c>
      <c r="DY82" s="277">
        <v>919</v>
      </c>
      <c r="DZ82" s="277">
        <v>1197</v>
      </c>
      <c r="EA82" s="277">
        <v>1245</v>
      </c>
      <c r="EB82" s="277">
        <v>923</v>
      </c>
      <c r="EC82" s="277">
        <v>5690</v>
      </c>
      <c r="ED82" s="277"/>
      <c r="EE82" s="277" t="s">
        <v>2840</v>
      </c>
      <c r="EF82" s="277">
        <v>51</v>
      </c>
      <c r="EG82" s="277">
        <v>0</v>
      </c>
      <c r="EH82" s="277">
        <v>0</v>
      </c>
      <c r="EI82" s="277">
        <v>0</v>
      </c>
      <c r="EJ82" s="277">
        <v>0</v>
      </c>
      <c r="EK82" s="277">
        <v>51</v>
      </c>
      <c r="EL82" s="16">
        <v>49</v>
      </c>
      <c r="EN82" s="61" t="s">
        <v>1601</v>
      </c>
      <c r="EO82" s="61" t="s">
        <v>1968</v>
      </c>
      <c r="EP82" s="61">
        <v>197</v>
      </c>
      <c r="EQ82" s="61">
        <v>303</v>
      </c>
      <c r="ER82" s="61">
        <v>336</v>
      </c>
      <c r="ES82" s="61">
        <v>397</v>
      </c>
      <c r="ET82" s="61">
        <v>525</v>
      </c>
      <c r="EU82" s="61">
        <v>1758</v>
      </c>
      <c r="EV82" s="61"/>
      <c r="EW82" s="61" t="s">
        <v>1968</v>
      </c>
      <c r="EX82" s="61">
        <v>62</v>
      </c>
      <c r="EY82" s="61">
        <v>35</v>
      </c>
      <c r="EZ82" s="61">
        <v>13</v>
      </c>
      <c r="FA82" s="61">
        <v>12</v>
      </c>
      <c r="FB82" s="61">
        <v>18</v>
      </c>
      <c r="FC82" s="61">
        <v>140</v>
      </c>
      <c r="FF82" s="80" t="s">
        <v>1890</v>
      </c>
      <c r="FG82" s="80" t="s">
        <v>2856</v>
      </c>
      <c r="FH82" s="80">
        <v>348</v>
      </c>
      <c r="FI82" s="80">
        <v>474</v>
      </c>
      <c r="FJ82" s="80">
        <v>517</v>
      </c>
      <c r="FK82" s="80">
        <v>566</v>
      </c>
      <c r="FL82" s="80">
        <v>666</v>
      </c>
      <c r="FM82" s="80">
        <v>2571</v>
      </c>
      <c r="FN82" s="80"/>
      <c r="FO82" s="80" t="s">
        <v>2856</v>
      </c>
      <c r="FP82" s="80">
        <v>41</v>
      </c>
      <c r="FQ82" s="80">
        <v>19</v>
      </c>
      <c r="FR82" s="80">
        <v>9</v>
      </c>
      <c r="FS82" s="80">
        <v>6</v>
      </c>
      <c r="FT82" s="80">
        <v>7</v>
      </c>
      <c r="FU82" s="80">
        <v>82</v>
      </c>
    </row>
    <row r="83" spans="2:177" x14ac:dyDescent="0.3">
      <c r="B83" s="71" t="s">
        <v>149</v>
      </c>
      <c r="C83" s="71" t="s">
        <v>2856</v>
      </c>
      <c r="D83" s="71" t="s">
        <v>1970</v>
      </c>
      <c r="E83" s="71" t="s">
        <v>1970</v>
      </c>
      <c r="F83" s="71" t="s">
        <v>1970</v>
      </c>
      <c r="G83" s="71" t="s">
        <v>1970</v>
      </c>
      <c r="H83" s="71" t="s">
        <v>1970</v>
      </c>
      <c r="I83" s="71" t="s">
        <v>1970</v>
      </c>
      <c r="K83" s="71" t="s">
        <v>2856</v>
      </c>
      <c r="L83" s="71" t="s">
        <v>1970</v>
      </c>
      <c r="M83" s="71" t="s">
        <v>1970</v>
      </c>
      <c r="N83" s="71" t="s">
        <v>1970</v>
      </c>
      <c r="O83" s="71" t="s">
        <v>1970</v>
      </c>
      <c r="P83" s="71" t="s">
        <v>1970</v>
      </c>
      <c r="Q83" s="71" t="s">
        <v>1970</v>
      </c>
      <c r="T83" s="72" t="s">
        <v>370</v>
      </c>
      <c r="U83" s="72" t="s">
        <v>1968</v>
      </c>
      <c r="V83" s="72">
        <v>1075</v>
      </c>
      <c r="W83" s="72">
        <v>1200</v>
      </c>
      <c r="X83" s="72">
        <v>1206</v>
      </c>
      <c r="Y83" s="72">
        <v>1156</v>
      </c>
      <c r="Z83" s="72">
        <v>938</v>
      </c>
      <c r="AA83" s="72">
        <v>5575</v>
      </c>
      <c r="AB83" s="72"/>
      <c r="AC83" s="72" t="s">
        <v>1968</v>
      </c>
      <c r="AD83" s="72">
        <v>184</v>
      </c>
      <c r="AE83" s="72">
        <v>21</v>
      </c>
      <c r="AF83" s="72">
        <v>8</v>
      </c>
      <c r="AG83" s="72">
        <v>3</v>
      </c>
      <c r="AH83" s="72">
        <v>2</v>
      </c>
      <c r="AI83" s="72">
        <v>218</v>
      </c>
      <c r="AK83" s="73" t="s">
        <v>665</v>
      </c>
      <c r="AL83" s="73" t="s">
        <v>2856</v>
      </c>
      <c r="AM83" s="73">
        <v>700</v>
      </c>
      <c r="AN83" s="73">
        <v>825</v>
      </c>
      <c r="AO83" s="73">
        <v>974</v>
      </c>
      <c r="AP83" s="73">
        <v>917</v>
      </c>
      <c r="AQ83" s="73">
        <v>562</v>
      </c>
      <c r="AR83" s="73">
        <v>3978</v>
      </c>
      <c r="AS83" s="73"/>
      <c r="AT83" s="73" t="s">
        <v>2856</v>
      </c>
      <c r="AU83" s="73">
        <v>28</v>
      </c>
      <c r="AV83" s="73">
        <v>2</v>
      </c>
      <c r="AW83" s="73">
        <v>0</v>
      </c>
      <c r="AX83" s="73">
        <v>0</v>
      </c>
      <c r="AY83" s="73">
        <v>0</v>
      </c>
      <c r="AZ83" s="73">
        <v>30</v>
      </c>
      <c r="BB83" s="78" t="s">
        <v>838</v>
      </c>
      <c r="BC83" s="78" t="s">
        <v>2856</v>
      </c>
      <c r="BD83" s="78">
        <v>234</v>
      </c>
      <c r="BE83" s="78">
        <v>205</v>
      </c>
      <c r="BF83" s="78">
        <v>340</v>
      </c>
      <c r="BG83" s="78">
        <v>434</v>
      </c>
      <c r="BH83" s="78">
        <v>356</v>
      </c>
      <c r="BI83" s="78">
        <v>1569</v>
      </c>
      <c r="BJ83" s="78"/>
      <c r="BK83" s="78" t="s">
        <v>2856</v>
      </c>
      <c r="BL83" s="78">
        <v>81</v>
      </c>
      <c r="BM83" s="78">
        <v>2</v>
      </c>
      <c r="BN83" s="78">
        <v>0</v>
      </c>
      <c r="BO83" s="78">
        <v>0</v>
      </c>
      <c r="BP83" s="78">
        <v>0</v>
      </c>
      <c r="BQ83" s="78">
        <v>83</v>
      </c>
      <c r="BS83" s="275" t="s">
        <v>2253</v>
      </c>
      <c r="BT83" s="275" t="s">
        <v>2840</v>
      </c>
      <c r="BU83" s="275">
        <v>197</v>
      </c>
      <c r="BV83" s="275">
        <v>287</v>
      </c>
      <c r="BW83" s="275">
        <v>318</v>
      </c>
      <c r="BX83" s="275">
        <v>293</v>
      </c>
      <c r="BY83" s="275">
        <v>234</v>
      </c>
      <c r="BZ83" s="275">
        <v>1329</v>
      </c>
      <c r="CA83" s="275"/>
      <c r="CB83" s="275" t="s">
        <v>2840</v>
      </c>
      <c r="CC83" s="275">
        <v>41</v>
      </c>
      <c r="CD83" s="275">
        <v>0</v>
      </c>
      <c r="CE83" s="275">
        <v>0</v>
      </c>
      <c r="CF83" s="275">
        <v>0</v>
      </c>
      <c r="CG83" s="275">
        <v>0</v>
      </c>
      <c r="CH83" s="275">
        <v>41</v>
      </c>
      <c r="CI83" s="16">
        <v>41</v>
      </c>
      <c r="CJ83" s="259"/>
      <c r="CL83" s="61" t="s">
        <v>1321</v>
      </c>
      <c r="CM83" s="61" t="s">
        <v>2856</v>
      </c>
      <c r="CN83" s="61">
        <v>111</v>
      </c>
      <c r="CO83" s="61">
        <v>130</v>
      </c>
      <c r="CP83" s="61">
        <v>253</v>
      </c>
      <c r="CQ83" s="61">
        <v>426</v>
      </c>
      <c r="CR83" s="61">
        <v>381</v>
      </c>
      <c r="CS83" s="61">
        <v>1301</v>
      </c>
      <c r="CT83" s="61"/>
      <c r="CU83" s="61" t="s">
        <v>2856</v>
      </c>
      <c r="CV83" s="61">
        <v>18</v>
      </c>
      <c r="CW83" s="61">
        <v>0</v>
      </c>
      <c r="CX83" s="61">
        <v>0</v>
      </c>
      <c r="CY83" s="61">
        <v>0</v>
      </c>
      <c r="CZ83" s="61">
        <v>0</v>
      </c>
      <c r="DA83" s="61">
        <v>18</v>
      </c>
      <c r="DV83" s="277" t="s">
        <v>1502</v>
      </c>
      <c r="DW83" s="277" t="s">
        <v>2840</v>
      </c>
      <c r="DX83" s="277">
        <v>175</v>
      </c>
      <c r="DY83" s="277">
        <v>215</v>
      </c>
      <c r="DZ83" s="277">
        <v>298</v>
      </c>
      <c r="EA83" s="277">
        <v>397</v>
      </c>
      <c r="EB83" s="277">
        <v>279</v>
      </c>
      <c r="EC83" s="277">
        <v>1364</v>
      </c>
      <c r="ED83" s="277"/>
      <c r="EE83" s="277" t="s">
        <v>2840</v>
      </c>
      <c r="EF83" s="277">
        <v>12</v>
      </c>
      <c r="EG83" s="277">
        <v>0</v>
      </c>
      <c r="EH83" s="277">
        <v>0</v>
      </c>
      <c r="EI83" s="277">
        <v>0</v>
      </c>
      <c r="EJ83" s="277">
        <v>0</v>
      </c>
      <c r="EK83" s="277">
        <v>12</v>
      </c>
      <c r="EL83" s="16">
        <v>10</v>
      </c>
      <c r="EN83" s="61" t="s">
        <v>1605</v>
      </c>
      <c r="EO83" s="61" t="s">
        <v>1968</v>
      </c>
      <c r="EP83" s="61">
        <v>480</v>
      </c>
      <c r="EQ83" s="61">
        <v>685</v>
      </c>
      <c r="ER83" s="61">
        <v>862</v>
      </c>
      <c r="ES83" s="61">
        <v>885</v>
      </c>
      <c r="ET83" s="61">
        <v>866</v>
      </c>
      <c r="EU83" s="61">
        <v>3778</v>
      </c>
      <c r="EV83" s="61"/>
      <c r="EW83" s="61" t="s">
        <v>1968</v>
      </c>
      <c r="EX83" s="61">
        <v>81</v>
      </c>
      <c r="EY83" s="61">
        <v>42</v>
      </c>
      <c r="EZ83" s="61">
        <v>24</v>
      </c>
      <c r="FA83" s="61">
        <v>31</v>
      </c>
      <c r="FB83" s="61">
        <v>21</v>
      </c>
      <c r="FC83" s="61">
        <v>199</v>
      </c>
      <c r="FF83" s="80" t="s">
        <v>1895</v>
      </c>
      <c r="FG83" s="80" t="s">
        <v>2856</v>
      </c>
      <c r="FH83" s="80">
        <v>139</v>
      </c>
      <c r="FI83" s="80">
        <v>176</v>
      </c>
      <c r="FJ83" s="80">
        <v>246</v>
      </c>
      <c r="FK83" s="80">
        <v>318</v>
      </c>
      <c r="FL83" s="80">
        <v>403</v>
      </c>
      <c r="FM83" s="80">
        <v>1282</v>
      </c>
      <c r="FN83" s="80"/>
      <c r="FO83" s="80" t="s">
        <v>2856</v>
      </c>
      <c r="FP83" s="80">
        <v>19</v>
      </c>
      <c r="FQ83" s="80">
        <v>4</v>
      </c>
      <c r="FR83" s="80">
        <v>2</v>
      </c>
      <c r="FS83" s="80">
        <v>3</v>
      </c>
      <c r="FT83" s="80">
        <v>1</v>
      </c>
      <c r="FU83" s="80">
        <v>29</v>
      </c>
    </row>
    <row r="84" spans="2:177" x14ac:dyDescent="0.3">
      <c r="B84" s="71" t="s">
        <v>154</v>
      </c>
      <c r="C84" s="71" t="s">
        <v>2856</v>
      </c>
      <c r="D84" s="71" t="s">
        <v>1970</v>
      </c>
      <c r="E84" s="71" t="s">
        <v>1970</v>
      </c>
      <c r="F84" s="71" t="s">
        <v>1970</v>
      </c>
      <c r="G84" s="71" t="s">
        <v>1970</v>
      </c>
      <c r="H84" s="71" t="s">
        <v>1970</v>
      </c>
      <c r="I84" s="71" t="s">
        <v>1970</v>
      </c>
      <c r="K84" s="71" t="s">
        <v>2856</v>
      </c>
      <c r="L84" s="71" t="s">
        <v>1970</v>
      </c>
      <c r="M84" s="71" t="s">
        <v>1970</v>
      </c>
      <c r="N84" s="71" t="s">
        <v>1970</v>
      </c>
      <c r="O84" s="71" t="s">
        <v>1970</v>
      </c>
      <c r="P84" s="71" t="s">
        <v>1970</v>
      </c>
      <c r="Q84" s="71" t="s">
        <v>1970</v>
      </c>
      <c r="T84" s="72" t="s">
        <v>376</v>
      </c>
      <c r="U84" s="72" t="s">
        <v>1968</v>
      </c>
      <c r="V84" s="72">
        <v>1346</v>
      </c>
      <c r="W84" s="72">
        <v>980</v>
      </c>
      <c r="X84" s="72">
        <v>1117</v>
      </c>
      <c r="Y84" s="72">
        <v>1214</v>
      </c>
      <c r="Z84" s="72">
        <v>839</v>
      </c>
      <c r="AA84" s="72">
        <v>5496</v>
      </c>
      <c r="AB84" s="72"/>
      <c r="AC84" s="72" t="s">
        <v>1968</v>
      </c>
      <c r="AD84" s="72">
        <v>104</v>
      </c>
      <c r="AE84" s="72">
        <v>3</v>
      </c>
      <c r="AF84" s="72">
        <v>0</v>
      </c>
      <c r="AG84" s="72">
        <v>1</v>
      </c>
      <c r="AH84" s="72">
        <v>0</v>
      </c>
      <c r="AI84" s="72">
        <v>108</v>
      </c>
      <c r="AK84" s="73" t="s">
        <v>669</v>
      </c>
      <c r="AL84" s="73" t="s">
        <v>2856</v>
      </c>
      <c r="AM84" s="73">
        <v>322</v>
      </c>
      <c r="AN84" s="73">
        <v>462</v>
      </c>
      <c r="AO84" s="73">
        <v>738</v>
      </c>
      <c r="AP84" s="73">
        <v>886</v>
      </c>
      <c r="AQ84" s="73">
        <v>493</v>
      </c>
      <c r="AR84" s="73">
        <v>2901</v>
      </c>
      <c r="AS84" s="73"/>
      <c r="AT84" s="73" t="s">
        <v>2856</v>
      </c>
      <c r="AU84" s="73">
        <v>37</v>
      </c>
      <c r="AV84" s="73">
        <v>0</v>
      </c>
      <c r="AW84" s="73">
        <v>0</v>
      </c>
      <c r="AX84" s="73">
        <v>0</v>
      </c>
      <c r="AY84" s="73">
        <v>0</v>
      </c>
      <c r="AZ84" s="73">
        <v>37</v>
      </c>
      <c r="BB84" s="78" t="s">
        <v>842</v>
      </c>
      <c r="BC84" s="78" t="s">
        <v>2856</v>
      </c>
      <c r="BD84" s="78">
        <v>127</v>
      </c>
      <c r="BE84" s="78">
        <v>50</v>
      </c>
      <c r="BF84" s="78">
        <v>117</v>
      </c>
      <c r="BG84" s="78">
        <v>147</v>
      </c>
      <c r="BH84" s="78">
        <v>151</v>
      </c>
      <c r="BI84" s="78">
        <v>592</v>
      </c>
      <c r="BJ84" s="78"/>
      <c r="BK84" s="78" t="s">
        <v>2856</v>
      </c>
      <c r="BL84" s="78">
        <v>32</v>
      </c>
      <c r="BM84" s="78">
        <v>0</v>
      </c>
      <c r="BN84" s="78">
        <v>0</v>
      </c>
      <c r="BO84" s="78">
        <v>0</v>
      </c>
      <c r="BP84" s="78">
        <v>0</v>
      </c>
      <c r="BQ84" s="78">
        <v>32</v>
      </c>
      <c r="BS84" s="275" t="s">
        <v>1082</v>
      </c>
      <c r="BT84" s="275" t="s">
        <v>2840</v>
      </c>
      <c r="BU84" s="275">
        <v>1662</v>
      </c>
      <c r="BV84" s="275">
        <v>866</v>
      </c>
      <c r="BW84" s="275">
        <v>845</v>
      </c>
      <c r="BX84" s="275">
        <v>684</v>
      </c>
      <c r="BY84" s="275">
        <v>560</v>
      </c>
      <c r="BZ84" s="275">
        <v>4617</v>
      </c>
      <c r="CA84" s="275"/>
      <c r="CB84" s="275" t="s">
        <v>2840</v>
      </c>
      <c r="CC84" s="275">
        <v>386</v>
      </c>
      <c r="CD84" s="275">
        <v>4</v>
      </c>
      <c r="CE84" s="275">
        <v>0</v>
      </c>
      <c r="CF84" s="275">
        <v>0</v>
      </c>
      <c r="CG84" s="275">
        <v>0</v>
      </c>
      <c r="CH84" s="275">
        <v>390</v>
      </c>
      <c r="CI84" s="16">
        <v>532</v>
      </c>
      <c r="CJ84" s="259"/>
      <c r="CL84" s="61" t="s">
        <v>1225</v>
      </c>
      <c r="CM84" s="61" t="s">
        <v>2856</v>
      </c>
      <c r="CN84" s="61">
        <v>48</v>
      </c>
      <c r="CO84" s="61">
        <v>48</v>
      </c>
      <c r="CP84" s="61">
        <v>105</v>
      </c>
      <c r="CQ84" s="61">
        <v>153</v>
      </c>
      <c r="CR84" s="61">
        <v>177</v>
      </c>
      <c r="CS84" s="61">
        <v>531</v>
      </c>
      <c r="CT84" s="61"/>
      <c r="CU84" s="61" t="s">
        <v>2856</v>
      </c>
      <c r="CV84" s="61">
        <v>10</v>
      </c>
      <c r="CW84" s="61">
        <v>0</v>
      </c>
      <c r="CX84" s="61">
        <v>0</v>
      </c>
      <c r="CY84" s="61">
        <v>0</v>
      </c>
      <c r="CZ84" s="61">
        <v>0</v>
      </c>
      <c r="DA84" s="61">
        <v>10</v>
      </c>
      <c r="DV84" s="277" t="s">
        <v>1506</v>
      </c>
      <c r="DW84" s="277" t="s">
        <v>2840</v>
      </c>
      <c r="DX84" s="277">
        <v>173</v>
      </c>
      <c r="DY84" s="277">
        <v>246</v>
      </c>
      <c r="DZ84" s="277">
        <v>310</v>
      </c>
      <c r="EA84" s="277">
        <v>456</v>
      </c>
      <c r="EB84" s="277">
        <v>358</v>
      </c>
      <c r="EC84" s="277">
        <v>1543</v>
      </c>
      <c r="ED84" s="277"/>
      <c r="EE84" s="277" t="s">
        <v>2840</v>
      </c>
      <c r="EF84" s="277">
        <v>12</v>
      </c>
      <c r="EG84" s="277">
        <v>0</v>
      </c>
      <c r="EH84" s="277">
        <v>0</v>
      </c>
      <c r="EI84" s="277">
        <v>0</v>
      </c>
      <c r="EJ84" s="277">
        <v>0</v>
      </c>
      <c r="EK84" s="277">
        <v>12</v>
      </c>
      <c r="EL84" s="16">
        <v>14</v>
      </c>
      <c r="EN84" s="61" t="s">
        <v>1609</v>
      </c>
      <c r="EO84" s="61" t="s">
        <v>1968</v>
      </c>
      <c r="EP84" s="61">
        <v>58</v>
      </c>
      <c r="EQ84" s="61">
        <v>114</v>
      </c>
      <c r="ER84" s="61">
        <v>116</v>
      </c>
      <c r="ES84" s="61">
        <v>157</v>
      </c>
      <c r="ET84" s="61">
        <v>197</v>
      </c>
      <c r="EU84" s="61">
        <v>642</v>
      </c>
      <c r="EV84" s="61"/>
      <c r="EW84" s="61" t="s">
        <v>1968</v>
      </c>
      <c r="EX84" s="61">
        <v>14</v>
      </c>
      <c r="EY84" s="61">
        <v>1</v>
      </c>
      <c r="EZ84" s="61">
        <v>2</v>
      </c>
      <c r="FA84" s="61">
        <v>5</v>
      </c>
      <c r="FB84" s="61">
        <v>1</v>
      </c>
      <c r="FC84" s="61">
        <v>23</v>
      </c>
      <c r="FF84" s="80" t="s">
        <v>1900</v>
      </c>
      <c r="FG84" s="80" t="s">
        <v>2856</v>
      </c>
      <c r="FH84" s="80">
        <v>442</v>
      </c>
      <c r="FI84" s="80">
        <v>372</v>
      </c>
      <c r="FJ84" s="80">
        <v>500</v>
      </c>
      <c r="FK84" s="80">
        <v>547</v>
      </c>
      <c r="FL84" s="80">
        <v>794</v>
      </c>
      <c r="FM84" s="80">
        <v>2655</v>
      </c>
      <c r="FN84" s="80"/>
      <c r="FO84" s="80" t="s">
        <v>2856</v>
      </c>
      <c r="FP84" s="80">
        <v>25</v>
      </c>
      <c r="FQ84" s="80">
        <v>7</v>
      </c>
      <c r="FR84" s="80">
        <v>9</v>
      </c>
      <c r="FS84" s="80">
        <v>11</v>
      </c>
      <c r="FT84" s="80">
        <v>16</v>
      </c>
      <c r="FU84" s="80">
        <v>68</v>
      </c>
    </row>
    <row r="85" spans="2:177" x14ac:dyDescent="0.3">
      <c r="B85" s="71" t="s">
        <v>159</v>
      </c>
      <c r="C85" s="71" t="s">
        <v>2856</v>
      </c>
      <c r="D85" s="71" t="s">
        <v>1970</v>
      </c>
      <c r="E85" s="71" t="s">
        <v>1970</v>
      </c>
      <c r="F85" s="71" t="s">
        <v>1970</v>
      </c>
      <c r="G85" s="71" t="s">
        <v>1970</v>
      </c>
      <c r="H85" s="71" t="s">
        <v>1970</v>
      </c>
      <c r="I85" s="71" t="s">
        <v>1970</v>
      </c>
      <c r="K85" s="71" t="s">
        <v>2856</v>
      </c>
      <c r="L85" s="71" t="s">
        <v>1970</v>
      </c>
      <c r="M85" s="71" t="s">
        <v>1970</v>
      </c>
      <c r="N85" s="71" t="s">
        <v>1970</v>
      </c>
      <c r="O85" s="71" t="s">
        <v>1970</v>
      </c>
      <c r="P85" s="71" t="s">
        <v>1970</v>
      </c>
      <c r="Q85" s="71" t="s">
        <v>1970</v>
      </c>
      <c r="T85" s="72" t="s">
        <v>383</v>
      </c>
      <c r="U85" s="72" t="s">
        <v>1968</v>
      </c>
      <c r="V85" s="72">
        <v>716</v>
      </c>
      <c r="W85" s="72">
        <v>415</v>
      </c>
      <c r="X85" s="72">
        <v>463</v>
      </c>
      <c r="Y85" s="72">
        <v>500</v>
      </c>
      <c r="Z85" s="72">
        <v>395</v>
      </c>
      <c r="AA85" s="72">
        <v>2489</v>
      </c>
      <c r="AB85" s="72"/>
      <c r="AC85" s="72" t="s">
        <v>1968</v>
      </c>
      <c r="AD85" s="72">
        <v>13</v>
      </c>
      <c r="AE85" s="72">
        <v>0</v>
      </c>
      <c r="AF85" s="72">
        <v>0</v>
      </c>
      <c r="AG85" s="72">
        <v>0</v>
      </c>
      <c r="AH85" s="72">
        <v>0</v>
      </c>
      <c r="AI85" s="72">
        <v>13</v>
      </c>
      <c r="AK85" s="73" t="s">
        <v>672</v>
      </c>
      <c r="AL85" s="73" t="s">
        <v>2856</v>
      </c>
      <c r="AM85" s="73">
        <v>406</v>
      </c>
      <c r="AN85" s="73">
        <v>508</v>
      </c>
      <c r="AO85" s="73">
        <v>806</v>
      </c>
      <c r="AP85" s="73">
        <v>931</v>
      </c>
      <c r="AQ85" s="73">
        <v>550</v>
      </c>
      <c r="AR85" s="73">
        <v>3201</v>
      </c>
      <c r="AS85" s="73"/>
      <c r="AT85" s="73" t="s">
        <v>2856</v>
      </c>
      <c r="AU85" s="73">
        <v>52</v>
      </c>
      <c r="AV85" s="73">
        <v>4</v>
      </c>
      <c r="AW85" s="73">
        <v>2</v>
      </c>
      <c r="AX85" s="73">
        <v>1</v>
      </c>
      <c r="AY85" s="73">
        <v>2</v>
      </c>
      <c r="AZ85" s="73">
        <v>61</v>
      </c>
      <c r="BB85" s="78" t="s">
        <v>848</v>
      </c>
      <c r="BC85" s="78" t="s">
        <v>2856</v>
      </c>
      <c r="BD85" s="78">
        <v>62</v>
      </c>
      <c r="BE85" s="78">
        <v>63</v>
      </c>
      <c r="BF85" s="78">
        <v>78</v>
      </c>
      <c r="BG85" s="78">
        <v>151</v>
      </c>
      <c r="BH85" s="78">
        <v>116</v>
      </c>
      <c r="BI85" s="78">
        <v>470</v>
      </c>
      <c r="BJ85" s="78"/>
      <c r="BK85" s="78" t="s">
        <v>2856</v>
      </c>
      <c r="BL85" s="78">
        <v>19</v>
      </c>
      <c r="BM85" s="78">
        <v>0</v>
      </c>
      <c r="BN85" s="78">
        <v>0</v>
      </c>
      <c r="BO85" s="78">
        <v>0</v>
      </c>
      <c r="BP85" s="78">
        <v>0</v>
      </c>
      <c r="BQ85" s="78">
        <v>19</v>
      </c>
      <c r="BS85" s="275" t="s">
        <v>1085</v>
      </c>
      <c r="BT85" s="275" t="s">
        <v>2840</v>
      </c>
      <c r="BU85" s="275">
        <v>36</v>
      </c>
      <c r="BV85" s="275">
        <v>38</v>
      </c>
      <c r="BW85" s="275">
        <v>66</v>
      </c>
      <c r="BX85" s="275">
        <v>114</v>
      </c>
      <c r="BY85" s="275">
        <v>111</v>
      </c>
      <c r="BZ85" s="275">
        <v>365</v>
      </c>
      <c r="CA85" s="275"/>
      <c r="CB85" s="275" t="s">
        <v>2840</v>
      </c>
      <c r="CC85" s="275">
        <v>10</v>
      </c>
      <c r="CD85" s="275">
        <v>0</v>
      </c>
      <c r="CE85" s="275">
        <v>0</v>
      </c>
      <c r="CF85" s="275">
        <v>0</v>
      </c>
      <c r="CG85" s="275">
        <v>0</v>
      </c>
      <c r="CH85" s="275">
        <v>10</v>
      </c>
      <c r="CI85" s="16">
        <v>25</v>
      </c>
      <c r="CJ85" s="259"/>
      <c r="CL85" s="61" t="s">
        <v>1229</v>
      </c>
      <c r="CM85" s="61" t="s">
        <v>2856</v>
      </c>
      <c r="CN85" s="61">
        <v>71</v>
      </c>
      <c r="CO85" s="61">
        <v>76</v>
      </c>
      <c r="CP85" s="61">
        <v>150</v>
      </c>
      <c r="CQ85" s="61">
        <v>159</v>
      </c>
      <c r="CR85" s="61">
        <v>163</v>
      </c>
      <c r="CS85" s="61">
        <v>619</v>
      </c>
      <c r="CT85" s="61"/>
      <c r="CU85" s="61" t="s">
        <v>2856</v>
      </c>
      <c r="CV85" s="61">
        <v>14</v>
      </c>
      <c r="CW85" s="61">
        <v>0</v>
      </c>
      <c r="CX85" s="61">
        <v>0</v>
      </c>
      <c r="CY85" s="61">
        <v>0</v>
      </c>
      <c r="CZ85" s="61">
        <v>0</v>
      </c>
      <c r="DA85" s="61">
        <v>14</v>
      </c>
      <c r="DV85" s="277" t="s">
        <v>1510</v>
      </c>
      <c r="DW85" s="277" t="s">
        <v>2840</v>
      </c>
      <c r="DX85" s="277">
        <v>2268</v>
      </c>
      <c r="DY85" s="277">
        <v>1000</v>
      </c>
      <c r="DZ85" s="277">
        <v>837</v>
      </c>
      <c r="EA85" s="277">
        <v>847</v>
      </c>
      <c r="EB85" s="277">
        <v>999</v>
      </c>
      <c r="EC85" s="277">
        <v>5951</v>
      </c>
      <c r="ED85" s="277"/>
      <c r="EE85" s="277" t="s">
        <v>2840</v>
      </c>
      <c r="EF85" s="277">
        <v>355</v>
      </c>
      <c r="EG85" s="277">
        <v>29</v>
      </c>
      <c r="EH85" s="277">
        <v>0</v>
      </c>
      <c r="EI85" s="277">
        <v>0</v>
      </c>
      <c r="EJ85" s="277">
        <v>0</v>
      </c>
      <c r="EK85" s="277">
        <v>384</v>
      </c>
      <c r="EL85" s="16">
        <v>330</v>
      </c>
      <c r="EN85" s="61" t="s">
        <v>1613</v>
      </c>
      <c r="EO85" s="61" t="s">
        <v>1968</v>
      </c>
      <c r="EP85" s="61">
        <v>168</v>
      </c>
      <c r="EQ85" s="61">
        <v>271</v>
      </c>
      <c r="ER85" s="61">
        <v>339</v>
      </c>
      <c r="ES85" s="61">
        <v>389</v>
      </c>
      <c r="ET85" s="61">
        <v>450</v>
      </c>
      <c r="EU85" s="61">
        <v>1617</v>
      </c>
      <c r="EV85" s="61"/>
      <c r="EW85" s="61" t="s">
        <v>1968</v>
      </c>
      <c r="EX85" s="61">
        <v>40</v>
      </c>
      <c r="EY85" s="61">
        <v>19</v>
      </c>
      <c r="EZ85" s="61">
        <v>15</v>
      </c>
      <c r="FA85" s="61">
        <v>9</v>
      </c>
      <c r="FB85" s="61">
        <v>5</v>
      </c>
      <c r="FC85" s="61">
        <v>88</v>
      </c>
      <c r="FF85" s="80" t="s">
        <v>1905</v>
      </c>
      <c r="FG85" s="80" t="s">
        <v>2856</v>
      </c>
      <c r="FH85" s="80">
        <v>199</v>
      </c>
      <c r="FI85" s="80">
        <v>268</v>
      </c>
      <c r="FJ85" s="80">
        <v>382</v>
      </c>
      <c r="FK85" s="80">
        <v>485</v>
      </c>
      <c r="FL85" s="80">
        <v>594</v>
      </c>
      <c r="FM85" s="80">
        <v>1928</v>
      </c>
      <c r="FN85" s="80"/>
      <c r="FO85" s="80" t="s">
        <v>2856</v>
      </c>
      <c r="FP85" s="80">
        <v>33</v>
      </c>
      <c r="FQ85" s="80">
        <v>5</v>
      </c>
      <c r="FR85" s="80">
        <v>9</v>
      </c>
      <c r="FS85" s="80">
        <v>1</v>
      </c>
      <c r="FT85" s="80">
        <v>1</v>
      </c>
      <c r="FU85" s="80">
        <v>49</v>
      </c>
    </row>
    <row r="86" spans="2:177" x14ac:dyDescent="0.3">
      <c r="B86" s="71" t="s">
        <v>177</v>
      </c>
      <c r="C86" s="71" t="s">
        <v>2856</v>
      </c>
      <c r="D86" s="71" t="s">
        <v>1970</v>
      </c>
      <c r="E86" s="71" t="s">
        <v>1970</v>
      </c>
      <c r="F86" s="71" t="s">
        <v>1970</v>
      </c>
      <c r="G86" s="71" t="s">
        <v>1970</v>
      </c>
      <c r="H86" s="71" t="s">
        <v>1970</v>
      </c>
      <c r="I86" s="71" t="s">
        <v>1970</v>
      </c>
      <c r="K86" s="71" t="s">
        <v>2856</v>
      </c>
      <c r="L86" s="71" t="s">
        <v>1970</v>
      </c>
      <c r="M86" s="71" t="s">
        <v>1970</v>
      </c>
      <c r="N86" s="71" t="s">
        <v>1970</v>
      </c>
      <c r="O86" s="71" t="s">
        <v>1970</v>
      </c>
      <c r="P86" s="71" t="s">
        <v>1970</v>
      </c>
      <c r="Q86" s="71" t="s">
        <v>1970</v>
      </c>
      <c r="T86" s="72" t="s">
        <v>389</v>
      </c>
      <c r="U86" s="72" t="s">
        <v>1968</v>
      </c>
      <c r="V86" s="72">
        <v>139</v>
      </c>
      <c r="W86" s="72">
        <v>207</v>
      </c>
      <c r="X86" s="72">
        <v>327</v>
      </c>
      <c r="Y86" s="72">
        <v>343</v>
      </c>
      <c r="Z86" s="72">
        <v>280</v>
      </c>
      <c r="AA86" s="72">
        <v>1296</v>
      </c>
      <c r="AB86" s="72"/>
      <c r="AC86" s="72" t="s">
        <v>1968</v>
      </c>
      <c r="AD86" s="72">
        <v>11</v>
      </c>
      <c r="AE86" s="72">
        <v>0</v>
      </c>
      <c r="AF86" s="72">
        <v>1</v>
      </c>
      <c r="AG86" s="72">
        <v>0</v>
      </c>
      <c r="AH86" s="72">
        <v>0</v>
      </c>
      <c r="AI86" s="72">
        <v>12</v>
      </c>
      <c r="AK86" s="73" t="s">
        <v>676</v>
      </c>
      <c r="AL86" s="73" t="s">
        <v>2856</v>
      </c>
      <c r="AM86" s="73">
        <v>413</v>
      </c>
      <c r="AN86" s="73">
        <v>536</v>
      </c>
      <c r="AO86" s="73">
        <v>710</v>
      </c>
      <c r="AP86" s="73">
        <v>890</v>
      </c>
      <c r="AQ86" s="73">
        <v>590</v>
      </c>
      <c r="AR86" s="73">
        <v>3139</v>
      </c>
      <c r="AS86" s="73"/>
      <c r="AT86" s="73" t="s">
        <v>2856</v>
      </c>
      <c r="AU86" s="73">
        <v>46</v>
      </c>
      <c r="AV86" s="73">
        <v>1</v>
      </c>
      <c r="AW86" s="73">
        <v>1</v>
      </c>
      <c r="AX86" s="73">
        <v>1</v>
      </c>
      <c r="AY86" s="73">
        <v>0</v>
      </c>
      <c r="AZ86" s="73">
        <v>49</v>
      </c>
      <c r="BB86" s="78" t="s">
        <v>852</v>
      </c>
      <c r="BC86" s="78" t="s">
        <v>2856</v>
      </c>
      <c r="BD86" s="78">
        <v>63</v>
      </c>
      <c r="BE86" s="78">
        <v>58</v>
      </c>
      <c r="BF86" s="78">
        <v>118</v>
      </c>
      <c r="BG86" s="78">
        <v>153</v>
      </c>
      <c r="BH86" s="78">
        <v>159</v>
      </c>
      <c r="BI86" s="78">
        <v>551</v>
      </c>
      <c r="BJ86" s="78"/>
      <c r="BK86" s="78" t="s">
        <v>2856</v>
      </c>
      <c r="BL86" s="78">
        <v>12</v>
      </c>
      <c r="BM86" s="78">
        <v>0</v>
      </c>
      <c r="BN86" s="78">
        <v>0</v>
      </c>
      <c r="BO86" s="78">
        <v>0</v>
      </c>
      <c r="BP86" s="78">
        <v>0</v>
      </c>
      <c r="BQ86" s="78">
        <v>12</v>
      </c>
      <c r="BS86" s="275" t="s">
        <v>1090</v>
      </c>
      <c r="BT86" s="275" t="s">
        <v>2840</v>
      </c>
      <c r="BU86" s="275">
        <v>671</v>
      </c>
      <c r="BV86" s="275">
        <v>346</v>
      </c>
      <c r="BW86" s="275">
        <v>378</v>
      </c>
      <c r="BX86" s="275">
        <v>364</v>
      </c>
      <c r="BY86" s="275">
        <v>304</v>
      </c>
      <c r="BZ86" s="275">
        <v>2063</v>
      </c>
      <c r="CA86" s="275"/>
      <c r="CB86" s="275" t="s">
        <v>2840</v>
      </c>
      <c r="CC86" s="275">
        <v>181</v>
      </c>
      <c r="CD86" s="275">
        <v>1</v>
      </c>
      <c r="CE86" s="275">
        <v>0</v>
      </c>
      <c r="CF86" s="275">
        <v>0</v>
      </c>
      <c r="CG86" s="275">
        <v>0</v>
      </c>
      <c r="CH86" s="275">
        <v>182</v>
      </c>
      <c r="CI86" s="16">
        <v>152</v>
      </c>
      <c r="CJ86" s="259"/>
      <c r="CL86" s="61" t="s">
        <v>1233</v>
      </c>
      <c r="CM86" s="61" t="s">
        <v>2856</v>
      </c>
      <c r="CN86" s="61">
        <v>58</v>
      </c>
      <c r="CO86" s="61">
        <v>70</v>
      </c>
      <c r="CP86" s="61">
        <v>142</v>
      </c>
      <c r="CQ86" s="61">
        <v>190</v>
      </c>
      <c r="CR86" s="61">
        <v>142</v>
      </c>
      <c r="CS86" s="61">
        <v>602</v>
      </c>
      <c r="CT86" s="61"/>
      <c r="CU86" s="61" t="s">
        <v>2856</v>
      </c>
      <c r="CV86" s="61">
        <v>2</v>
      </c>
      <c r="CW86" s="61">
        <v>0</v>
      </c>
      <c r="CX86" s="61">
        <v>0</v>
      </c>
      <c r="CY86" s="61">
        <v>0</v>
      </c>
      <c r="CZ86" s="61">
        <v>0</v>
      </c>
      <c r="DA86" s="61">
        <v>2</v>
      </c>
      <c r="DV86" s="277" t="s">
        <v>1514</v>
      </c>
      <c r="DW86" s="277" t="s">
        <v>2840</v>
      </c>
      <c r="DX86" s="277">
        <v>197</v>
      </c>
      <c r="DY86" s="277">
        <v>220</v>
      </c>
      <c r="DZ86" s="277">
        <v>339</v>
      </c>
      <c r="EA86" s="277">
        <v>371</v>
      </c>
      <c r="EB86" s="277">
        <v>248</v>
      </c>
      <c r="EC86" s="277">
        <v>1375</v>
      </c>
      <c r="ED86" s="277"/>
      <c r="EE86" s="277" t="s">
        <v>2840</v>
      </c>
      <c r="EF86" s="277">
        <v>19</v>
      </c>
      <c r="EG86" s="277">
        <v>2</v>
      </c>
      <c r="EH86" s="277">
        <v>0</v>
      </c>
      <c r="EI86" s="277">
        <v>0</v>
      </c>
      <c r="EJ86" s="277">
        <v>0</v>
      </c>
      <c r="EK86" s="277">
        <v>21</v>
      </c>
      <c r="EL86" s="16">
        <v>16</v>
      </c>
      <c r="EN86" s="61" t="s">
        <v>1617</v>
      </c>
      <c r="EO86" s="61" t="s">
        <v>1968</v>
      </c>
      <c r="EP86" s="61">
        <v>78</v>
      </c>
      <c r="EQ86" s="61">
        <v>168</v>
      </c>
      <c r="ER86" s="61">
        <v>243</v>
      </c>
      <c r="ES86" s="61">
        <v>319</v>
      </c>
      <c r="ET86" s="61">
        <v>347</v>
      </c>
      <c r="EU86" s="61">
        <v>1155</v>
      </c>
      <c r="EV86" s="61"/>
      <c r="EW86" s="61" t="s">
        <v>1968</v>
      </c>
      <c r="EX86" s="61">
        <v>8</v>
      </c>
      <c r="EY86" s="61">
        <v>8</v>
      </c>
      <c r="EZ86" s="61">
        <v>1</v>
      </c>
      <c r="FA86" s="61">
        <v>5</v>
      </c>
      <c r="FB86" s="61">
        <v>4</v>
      </c>
      <c r="FC86" s="61">
        <v>26</v>
      </c>
      <c r="FF86" s="80" t="s">
        <v>1910</v>
      </c>
      <c r="FG86" s="80" t="s">
        <v>2856</v>
      </c>
      <c r="FH86" s="80">
        <v>174</v>
      </c>
      <c r="FI86" s="80">
        <v>286</v>
      </c>
      <c r="FJ86" s="80">
        <v>309</v>
      </c>
      <c r="FK86" s="80">
        <v>383</v>
      </c>
      <c r="FL86" s="80">
        <v>492</v>
      </c>
      <c r="FM86" s="80">
        <v>1644</v>
      </c>
      <c r="FN86" s="80"/>
      <c r="FO86" s="80" t="s">
        <v>2856</v>
      </c>
      <c r="FP86" s="80">
        <v>20</v>
      </c>
      <c r="FQ86" s="80">
        <v>10</v>
      </c>
      <c r="FR86" s="80">
        <v>4</v>
      </c>
      <c r="FS86" s="80">
        <v>1</v>
      </c>
      <c r="FT86" s="80">
        <v>4</v>
      </c>
      <c r="FU86" s="80">
        <v>39</v>
      </c>
    </row>
    <row r="87" spans="2:177" x14ac:dyDescent="0.3">
      <c r="B87" s="71" t="s">
        <v>182</v>
      </c>
      <c r="C87" s="71" t="s">
        <v>2856</v>
      </c>
      <c r="D87" s="71">
        <v>99</v>
      </c>
      <c r="E87" s="71">
        <v>12</v>
      </c>
      <c r="F87" s="71">
        <v>5</v>
      </c>
      <c r="G87" s="71">
        <v>0</v>
      </c>
      <c r="H87" s="71">
        <v>1</v>
      </c>
      <c r="I87" s="71">
        <v>117</v>
      </c>
      <c r="K87" s="71" t="s">
        <v>2856</v>
      </c>
      <c r="L87" s="71">
        <v>502</v>
      </c>
      <c r="M87" s="71">
        <v>527</v>
      </c>
      <c r="N87" s="71">
        <v>641</v>
      </c>
      <c r="O87" s="71">
        <v>787</v>
      </c>
      <c r="P87" s="71">
        <v>621</v>
      </c>
      <c r="Q87" s="71">
        <v>3078</v>
      </c>
      <c r="T87" s="72" t="s">
        <v>393</v>
      </c>
      <c r="U87" s="72" t="s">
        <v>1968</v>
      </c>
      <c r="V87" s="72">
        <v>122</v>
      </c>
      <c r="W87" s="72">
        <v>210</v>
      </c>
      <c r="X87" s="72">
        <v>279</v>
      </c>
      <c r="Y87" s="72">
        <v>360</v>
      </c>
      <c r="Z87" s="72">
        <v>258</v>
      </c>
      <c r="AA87" s="72">
        <v>1229</v>
      </c>
      <c r="AB87" s="72"/>
      <c r="AC87" s="72" t="s">
        <v>1968</v>
      </c>
      <c r="AD87" s="72">
        <v>13</v>
      </c>
      <c r="AE87" s="72">
        <v>3</v>
      </c>
      <c r="AF87" s="72">
        <v>0</v>
      </c>
      <c r="AG87" s="72">
        <v>0</v>
      </c>
      <c r="AH87" s="72">
        <v>0</v>
      </c>
      <c r="AI87" s="72">
        <v>16</v>
      </c>
      <c r="AK87" s="73" t="s">
        <v>681</v>
      </c>
      <c r="AL87" s="73" t="s">
        <v>2856</v>
      </c>
      <c r="AM87" s="73">
        <v>224</v>
      </c>
      <c r="AN87" s="73">
        <v>301</v>
      </c>
      <c r="AO87" s="73">
        <v>452</v>
      </c>
      <c r="AP87" s="73">
        <v>632</v>
      </c>
      <c r="AQ87" s="73">
        <v>421</v>
      </c>
      <c r="AR87" s="73">
        <v>2030</v>
      </c>
      <c r="AS87" s="73"/>
      <c r="AT87" s="73" t="s">
        <v>2856</v>
      </c>
      <c r="AU87" s="73">
        <v>32</v>
      </c>
      <c r="AV87" s="73">
        <v>1</v>
      </c>
      <c r="AW87" s="73">
        <v>0</v>
      </c>
      <c r="AX87" s="73">
        <v>0</v>
      </c>
      <c r="AY87" s="73">
        <v>0</v>
      </c>
      <c r="AZ87" s="73">
        <v>33</v>
      </c>
      <c r="BB87" s="78" t="s">
        <v>856</v>
      </c>
      <c r="BC87" s="78" t="s">
        <v>2856</v>
      </c>
      <c r="BD87" s="78">
        <v>65</v>
      </c>
      <c r="BE87" s="78">
        <v>29</v>
      </c>
      <c r="BF87" s="78">
        <v>83</v>
      </c>
      <c r="BG87" s="78">
        <v>153</v>
      </c>
      <c r="BH87" s="78">
        <v>146</v>
      </c>
      <c r="BI87" s="78">
        <v>476</v>
      </c>
      <c r="BJ87" s="78"/>
      <c r="BK87" s="78" t="s">
        <v>2856</v>
      </c>
      <c r="BL87" s="78">
        <v>16</v>
      </c>
      <c r="BM87" s="78">
        <v>0</v>
      </c>
      <c r="BN87" s="78">
        <v>0</v>
      </c>
      <c r="BO87" s="78">
        <v>0</v>
      </c>
      <c r="BP87" s="78">
        <v>0</v>
      </c>
      <c r="BQ87" s="78">
        <v>16</v>
      </c>
      <c r="BS87" s="275" t="s">
        <v>1095</v>
      </c>
      <c r="BT87" s="275" t="s">
        <v>2840</v>
      </c>
      <c r="BU87" s="275">
        <v>1176</v>
      </c>
      <c r="BV87" s="275">
        <v>479</v>
      </c>
      <c r="BW87" s="275">
        <v>477</v>
      </c>
      <c r="BX87" s="275">
        <v>685</v>
      </c>
      <c r="BY87" s="275">
        <v>546</v>
      </c>
      <c r="BZ87" s="275">
        <v>3363</v>
      </c>
      <c r="CA87" s="275"/>
      <c r="CB87" s="275" t="s">
        <v>2840</v>
      </c>
      <c r="CC87" s="275">
        <v>340</v>
      </c>
      <c r="CD87" s="275">
        <v>0</v>
      </c>
      <c r="CE87" s="275">
        <v>0</v>
      </c>
      <c r="CF87" s="275">
        <v>0</v>
      </c>
      <c r="CG87" s="275">
        <v>0</v>
      </c>
      <c r="CH87" s="275">
        <v>340</v>
      </c>
      <c r="CI87" s="16">
        <v>377</v>
      </c>
      <c r="CJ87" s="259"/>
      <c r="CL87" s="61" t="s">
        <v>1237</v>
      </c>
      <c r="CM87" s="61" t="s">
        <v>2856</v>
      </c>
      <c r="CN87" s="61">
        <v>33</v>
      </c>
      <c r="CO87" s="61">
        <v>47</v>
      </c>
      <c r="CP87" s="61">
        <v>68</v>
      </c>
      <c r="CQ87" s="61">
        <v>105</v>
      </c>
      <c r="CR87" s="61">
        <v>95</v>
      </c>
      <c r="CS87" s="61">
        <v>348</v>
      </c>
      <c r="CT87" s="61"/>
      <c r="CU87" s="61" t="s">
        <v>2856</v>
      </c>
      <c r="CV87" s="61">
        <v>11</v>
      </c>
      <c r="CW87" s="61">
        <v>0</v>
      </c>
      <c r="CX87" s="61">
        <v>0</v>
      </c>
      <c r="CY87" s="61">
        <v>0</v>
      </c>
      <c r="CZ87" s="61">
        <v>0</v>
      </c>
      <c r="DA87" s="61">
        <v>11</v>
      </c>
      <c r="DV87" s="277" t="s">
        <v>1518</v>
      </c>
      <c r="DW87" s="277" t="s">
        <v>2840</v>
      </c>
      <c r="DX87" s="277">
        <v>101</v>
      </c>
      <c r="DY87" s="277">
        <v>124</v>
      </c>
      <c r="DZ87" s="277">
        <v>217</v>
      </c>
      <c r="EA87" s="277">
        <v>232</v>
      </c>
      <c r="EB87" s="277">
        <v>212</v>
      </c>
      <c r="EC87" s="277">
        <v>886</v>
      </c>
      <c r="ED87" s="277"/>
      <c r="EE87" s="277" t="s">
        <v>2840</v>
      </c>
      <c r="EF87" s="277">
        <v>10</v>
      </c>
      <c r="EG87" s="277">
        <v>1</v>
      </c>
      <c r="EH87" s="277">
        <v>0</v>
      </c>
      <c r="EI87" s="277">
        <v>0</v>
      </c>
      <c r="EJ87" s="277">
        <v>0</v>
      </c>
      <c r="EK87" s="277">
        <v>11</v>
      </c>
      <c r="EL87" s="16">
        <v>16</v>
      </c>
      <c r="EN87" s="61" t="s">
        <v>1621</v>
      </c>
      <c r="EO87" s="61" t="s">
        <v>1968</v>
      </c>
      <c r="EP87" s="61">
        <v>517</v>
      </c>
      <c r="EQ87" s="61">
        <v>586</v>
      </c>
      <c r="ER87" s="61">
        <v>664</v>
      </c>
      <c r="ES87" s="61">
        <v>774</v>
      </c>
      <c r="ET87" s="61">
        <v>925</v>
      </c>
      <c r="EU87" s="61">
        <v>3466</v>
      </c>
      <c r="EV87" s="61"/>
      <c r="EW87" s="61" t="s">
        <v>1968</v>
      </c>
      <c r="EX87" s="61">
        <v>62</v>
      </c>
      <c r="EY87" s="61">
        <v>26</v>
      </c>
      <c r="EZ87" s="61">
        <v>11</v>
      </c>
      <c r="FA87" s="61">
        <v>11</v>
      </c>
      <c r="FB87" s="61">
        <v>16</v>
      </c>
      <c r="FC87" s="61">
        <v>126</v>
      </c>
      <c r="FF87" s="80" t="s">
        <v>1915</v>
      </c>
      <c r="FG87" s="80" t="s">
        <v>2856</v>
      </c>
      <c r="FH87" s="80">
        <v>117</v>
      </c>
      <c r="FI87" s="80">
        <v>161</v>
      </c>
      <c r="FJ87" s="80">
        <v>262</v>
      </c>
      <c r="FK87" s="80">
        <v>291</v>
      </c>
      <c r="FL87" s="80">
        <v>408</v>
      </c>
      <c r="FM87" s="80">
        <v>1239</v>
      </c>
      <c r="FN87" s="80"/>
      <c r="FO87" s="80" t="s">
        <v>2856</v>
      </c>
      <c r="FP87" s="80">
        <v>24</v>
      </c>
      <c r="FQ87" s="80">
        <v>8</v>
      </c>
      <c r="FR87" s="80">
        <v>3</v>
      </c>
      <c r="FS87" s="80">
        <v>3</v>
      </c>
      <c r="FT87" s="80">
        <v>2</v>
      </c>
      <c r="FU87" s="80">
        <v>40</v>
      </c>
    </row>
    <row r="88" spans="2:177" x14ac:dyDescent="0.3">
      <c r="B88" s="71" t="s">
        <v>187</v>
      </c>
      <c r="C88" s="71" t="s">
        <v>2856</v>
      </c>
      <c r="D88" s="71">
        <v>29</v>
      </c>
      <c r="E88" s="71">
        <v>11</v>
      </c>
      <c r="F88" s="71">
        <v>6</v>
      </c>
      <c r="G88" s="71">
        <v>0</v>
      </c>
      <c r="H88" s="71">
        <v>0</v>
      </c>
      <c r="I88" s="71">
        <v>46</v>
      </c>
      <c r="K88" s="71" t="s">
        <v>2856</v>
      </c>
      <c r="L88" s="71">
        <v>217</v>
      </c>
      <c r="M88" s="71">
        <v>390</v>
      </c>
      <c r="N88" s="71">
        <v>527</v>
      </c>
      <c r="O88" s="71">
        <v>561</v>
      </c>
      <c r="P88" s="71">
        <v>425</v>
      </c>
      <c r="Q88" s="71">
        <v>2120</v>
      </c>
      <c r="T88" s="72" t="s">
        <v>397</v>
      </c>
      <c r="U88" s="72" t="s">
        <v>1968</v>
      </c>
      <c r="V88" s="72">
        <v>1101</v>
      </c>
      <c r="W88" s="72">
        <v>966</v>
      </c>
      <c r="X88" s="72">
        <v>1374</v>
      </c>
      <c r="Y88" s="72">
        <v>1713</v>
      </c>
      <c r="Z88" s="72">
        <v>1234</v>
      </c>
      <c r="AA88" s="72">
        <v>6388</v>
      </c>
      <c r="AB88" s="72"/>
      <c r="AC88" s="72" t="s">
        <v>1968</v>
      </c>
      <c r="AD88" s="72">
        <v>32</v>
      </c>
      <c r="AE88" s="72">
        <v>1</v>
      </c>
      <c r="AF88" s="72">
        <v>0</v>
      </c>
      <c r="AG88" s="72">
        <v>0</v>
      </c>
      <c r="AH88" s="72">
        <v>0</v>
      </c>
      <c r="AI88" s="72">
        <v>33</v>
      </c>
      <c r="AK88" s="73" t="s">
        <v>685</v>
      </c>
      <c r="AL88" s="73" t="s">
        <v>2856</v>
      </c>
      <c r="AM88" s="73">
        <v>80</v>
      </c>
      <c r="AN88" s="73">
        <v>176</v>
      </c>
      <c r="AO88" s="73">
        <v>308</v>
      </c>
      <c r="AP88" s="73">
        <v>443</v>
      </c>
      <c r="AQ88" s="73">
        <v>393</v>
      </c>
      <c r="AR88" s="73">
        <v>1400</v>
      </c>
      <c r="AS88" s="73"/>
      <c r="AT88" s="73" t="s">
        <v>2856</v>
      </c>
      <c r="AU88" s="73">
        <v>12</v>
      </c>
      <c r="AV88" s="73">
        <v>6</v>
      </c>
      <c r="AW88" s="73">
        <v>0</v>
      </c>
      <c r="AX88" s="73">
        <v>0</v>
      </c>
      <c r="AY88" s="73">
        <v>0</v>
      </c>
      <c r="AZ88" s="73">
        <v>18</v>
      </c>
      <c r="BB88" s="78" t="s">
        <v>860</v>
      </c>
      <c r="BC88" s="78" t="s">
        <v>2856</v>
      </c>
      <c r="BD88" s="78">
        <v>501</v>
      </c>
      <c r="BE88" s="78">
        <v>384</v>
      </c>
      <c r="BF88" s="78">
        <v>384</v>
      </c>
      <c r="BG88" s="78">
        <v>415</v>
      </c>
      <c r="BH88" s="78">
        <v>375</v>
      </c>
      <c r="BI88" s="78">
        <v>2059</v>
      </c>
      <c r="BJ88" s="78"/>
      <c r="BK88" s="78" t="s">
        <v>2856</v>
      </c>
      <c r="BL88" s="78">
        <v>27</v>
      </c>
      <c r="BM88" s="78">
        <v>0</v>
      </c>
      <c r="BN88" s="78">
        <v>0</v>
      </c>
      <c r="BO88" s="78">
        <v>0</v>
      </c>
      <c r="BP88" s="78">
        <v>0</v>
      </c>
      <c r="BQ88" s="78">
        <v>27</v>
      </c>
      <c r="BS88" s="275" t="s">
        <v>1100</v>
      </c>
      <c r="BT88" s="275" t="s">
        <v>2840</v>
      </c>
      <c r="BU88" s="275">
        <v>130</v>
      </c>
      <c r="BV88" s="275">
        <v>133</v>
      </c>
      <c r="BW88" s="275">
        <v>285</v>
      </c>
      <c r="BX88" s="275">
        <v>384</v>
      </c>
      <c r="BY88" s="275">
        <v>300</v>
      </c>
      <c r="BZ88" s="275">
        <v>1232</v>
      </c>
      <c r="CA88" s="275"/>
      <c r="CB88" s="275" t="s">
        <v>2840</v>
      </c>
      <c r="CC88" s="275">
        <v>35</v>
      </c>
      <c r="CD88" s="275">
        <v>0</v>
      </c>
      <c r="CE88" s="275">
        <v>0</v>
      </c>
      <c r="CF88" s="275">
        <v>0</v>
      </c>
      <c r="CG88" s="275">
        <v>0</v>
      </c>
      <c r="CH88" s="275">
        <v>35</v>
      </c>
      <c r="CI88" s="16" t="s">
        <v>2520</v>
      </c>
      <c r="CJ88" s="259" t="s">
        <v>2975</v>
      </c>
      <c r="CL88" s="61" t="s">
        <v>1241</v>
      </c>
      <c r="CM88" s="61" t="s">
        <v>2856</v>
      </c>
      <c r="CN88" s="61">
        <v>50</v>
      </c>
      <c r="CO88" s="61">
        <v>62</v>
      </c>
      <c r="CP88" s="61">
        <v>90</v>
      </c>
      <c r="CQ88" s="61">
        <v>139</v>
      </c>
      <c r="CR88" s="61">
        <v>157</v>
      </c>
      <c r="CS88" s="61">
        <v>498</v>
      </c>
      <c r="CT88" s="61"/>
      <c r="CU88" s="61" t="s">
        <v>2856</v>
      </c>
      <c r="CV88" s="61">
        <v>14</v>
      </c>
      <c r="CW88" s="61">
        <v>1</v>
      </c>
      <c r="CX88" s="61">
        <v>0</v>
      </c>
      <c r="CY88" s="61">
        <v>0</v>
      </c>
      <c r="CZ88" s="61">
        <v>0</v>
      </c>
      <c r="DA88" s="61">
        <v>15</v>
      </c>
      <c r="DV88" s="277" t="s">
        <v>1526</v>
      </c>
      <c r="DW88" s="277" t="s">
        <v>2840</v>
      </c>
      <c r="DX88" s="277">
        <v>177</v>
      </c>
      <c r="DY88" s="277">
        <v>162</v>
      </c>
      <c r="DZ88" s="277">
        <v>148</v>
      </c>
      <c r="EA88" s="277">
        <v>175</v>
      </c>
      <c r="EB88" s="277">
        <v>165</v>
      </c>
      <c r="EC88" s="277">
        <v>827</v>
      </c>
      <c r="ED88" s="277"/>
      <c r="EE88" s="277" t="s">
        <v>2840</v>
      </c>
      <c r="EF88" s="277">
        <v>12</v>
      </c>
      <c r="EG88" s="277">
        <v>0</v>
      </c>
      <c r="EH88" s="277">
        <v>0</v>
      </c>
      <c r="EI88" s="277">
        <v>0</v>
      </c>
      <c r="EJ88" s="277">
        <v>0</v>
      </c>
      <c r="EK88" s="277">
        <v>12</v>
      </c>
      <c r="EL88" s="16">
        <v>12</v>
      </c>
      <c r="EN88" s="61" t="s">
        <v>1625</v>
      </c>
      <c r="EO88" s="61" t="s">
        <v>1968</v>
      </c>
      <c r="EP88" s="61">
        <v>240</v>
      </c>
      <c r="EQ88" s="61">
        <v>416</v>
      </c>
      <c r="ER88" s="61">
        <v>514</v>
      </c>
      <c r="ES88" s="61">
        <v>577</v>
      </c>
      <c r="ET88" s="61">
        <v>740</v>
      </c>
      <c r="EU88" s="61">
        <v>2487</v>
      </c>
      <c r="EV88" s="61"/>
      <c r="EW88" s="61" t="s">
        <v>1968</v>
      </c>
      <c r="EX88" s="61">
        <v>58</v>
      </c>
      <c r="EY88" s="61">
        <v>26</v>
      </c>
      <c r="EZ88" s="61">
        <v>10</v>
      </c>
      <c r="FA88" s="61">
        <v>19</v>
      </c>
      <c r="FB88" s="61">
        <v>9</v>
      </c>
      <c r="FC88" s="61">
        <v>122</v>
      </c>
      <c r="FF88" s="80" t="s">
        <v>1920</v>
      </c>
      <c r="FG88" s="80" t="s">
        <v>2856</v>
      </c>
      <c r="FH88" s="80">
        <v>497</v>
      </c>
      <c r="FI88" s="80">
        <v>529</v>
      </c>
      <c r="FJ88" s="80">
        <v>428</v>
      </c>
      <c r="FK88" s="80">
        <v>462</v>
      </c>
      <c r="FL88" s="80">
        <v>530</v>
      </c>
      <c r="FM88" s="80">
        <v>2446</v>
      </c>
      <c r="FN88" s="80"/>
      <c r="FO88" s="80" t="s">
        <v>2856</v>
      </c>
      <c r="FP88" s="80">
        <v>54</v>
      </c>
      <c r="FQ88" s="80">
        <v>22</v>
      </c>
      <c r="FR88" s="80">
        <v>6</v>
      </c>
      <c r="FS88" s="80">
        <v>8</v>
      </c>
      <c r="FT88" s="80">
        <v>0</v>
      </c>
      <c r="FU88" s="80">
        <v>90</v>
      </c>
    </row>
    <row r="89" spans="2:177" x14ac:dyDescent="0.3">
      <c r="B89" s="71" t="s">
        <v>192</v>
      </c>
      <c r="C89" s="71" t="s">
        <v>2856</v>
      </c>
      <c r="D89" s="71">
        <v>80</v>
      </c>
      <c r="E89" s="71">
        <v>8</v>
      </c>
      <c r="F89" s="71">
        <v>2</v>
      </c>
      <c r="G89" s="71">
        <v>0</v>
      </c>
      <c r="H89" s="71">
        <v>1</v>
      </c>
      <c r="I89" s="71">
        <v>91</v>
      </c>
      <c r="K89" s="71" t="s">
        <v>2856</v>
      </c>
      <c r="L89" s="71">
        <v>540</v>
      </c>
      <c r="M89" s="71">
        <v>614</v>
      </c>
      <c r="N89" s="71">
        <v>637</v>
      </c>
      <c r="O89" s="71">
        <v>611</v>
      </c>
      <c r="P89" s="71">
        <v>400</v>
      </c>
      <c r="Q89" s="71">
        <v>2802</v>
      </c>
      <c r="T89" s="72" t="s">
        <v>403</v>
      </c>
      <c r="U89" s="72" t="s">
        <v>1968</v>
      </c>
      <c r="V89" s="72">
        <v>201</v>
      </c>
      <c r="W89" s="72">
        <v>250</v>
      </c>
      <c r="X89" s="72">
        <v>374</v>
      </c>
      <c r="Y89" s="72">
        <v>451</v>
      </c>
      <c r="Z89" s="72">
        <v>374</v>
      </c>
      <c r="AA89" s="72">
        <v>1650</v>
      </c>
      <c r="AB89" s="72"/>
      <c r="AC89" s="72" t="s">
        <v>1968</v>
      </c>
      <c r="AD89" s="72">
        <v>21</v>
      </c>
      <c r="AE89" s="72">
        <v>3</v>
      </c>
      <c r="AF89" s="72">
        <v>1</v>
      </c>
      <c r="AG89" s="72">
        <v>0</v>
      </c>
      <c r="AH89" s="72">
        <v>0</v>
      </c>
      <c r="AI89" s="72">
        <v>25</v>
      </c>
      <c r="AK89" s="73" t="s">
        <v>689</v>
      </c>
      <c r="AL89" s="73" t="s">
        <v>2856</v>
      </c>
      <c r="AM89" s="73">
        <v>56</v>
      </c>
      <c r="AN89" s="73">
        <v>102</v>
      </c>
      <c r="AO89" s="73">
        <v>156</v>
      </c>
      <c r="AP89" s="73">
        <v>182</v>
      </c>
      <c r="AQ89" s="73">
        <v>139</v>
      </c>
      <c r="AR89" s="73">
        <v>635</v>
      </c>
      <c r="AS89" s="73"/>
      <c r="AT89" s="73" t="s">
        <v>2856</v>
      </c>
      <c r="AU89" s="73">
        <v>8</v>
      </c>
      <c r="AV89" s="73">
        <v>6</v>
      </c>
      <c r="AW89" s="73">
        <v>1</v>
      </c>
      <c r="AX89" s="73">
        <v>2</v>
      </c>
      <c r="AY89" s="73">
        <v>0</v>
      </c>
      <c r="AZ89" s="73">
        <v>17</v>
      </c>
      <c r="BB89" s="78" t="s">
        <v>865</v>
      </c>
      <c r="BC89" s="78" t="s">
        <v>2856</v>
      </c>
      <c r="BD89" s="78">
        <v>235</v>
      </c>
      <c r="BE89" s="78">
        <v>198</v>
      </c>
      <c r="BF89" s="78">
        <v>325</v>
      </c>
      <c r="BG89" s="78">
        <v>387</v>
      </c>
      <c r="BH89" s="78">
        <v>311</v>
      </c>
      <c r="BI89" s="78">
        <v>1456</v>
      </c>
      <c r="BJ89" s="78"/>
      <c r="BK89" s="78" t="s">
        <v>2856</v>
      </c>
      <c r="BL89" s="78">
        <v>19</v>
      </c>
      <c r="BM89" s="78">
        <v>0</v>
      </c>
      <c r="BN89" s="78">
        <v>0</v>
      </c>
      <c r="BO89" s="78">
        <v>0</v>
      </c>
      <c r="BP89" s="78">
        <v>0</v>
      </c>
      <c r="BQ89" s="78">
        <v>19</v>
      </c>
      <c r="BS89" s="275" t="s">
        <v>1104</v>
      </c>
      <c r="BT89" s="275" t="s">
        <v>2840</v>
      </c>
      <c r="BU89" s="275">
        <v>185</v>
      </c>
      <c r="BV89" s="275">
        <v>147</v>
      </c>
      <c r="BW89" s="275">
        <v>206</v>
      </c>
      <c r="BX89" s="275">
        <v>300</v>
      </c>
      <c r="BY89" s="275">
        <v>259</v>
      </c>
      <c r="BZ89" s="275">
        <v>1097</v>
      </c>
      <c r="CA89" s="275"/>
      <c r="CB89" s="275" t="s">
        <v>2840</v>
      </c>
      <c r="CC89" s="275">
        <v>45</v>
      </c>
      <c r="CD89" s="275">
        <v>0</v>
      </c>
      <c r="CE89" s="275">
        <v>0</v>
      </c>
      <c r="CF89" s="275">
        <v>0</v>
      </c>
      <c r="CG89" s="275">
        <v>0</v>
      </c>
      <c r="CH89" s="275">
        <v>45</v>
      </c>
      <c r="CI89" s="16">
        <v>30</v>
      </c>
      <c r="CJ89" s="259"/>
      <c r="DV89" s="277" t="s">
        <v>1530</v>
      </c>
      <c r="DW89" s="277" t="s">
        <v>2840</v>
      </c>
      <c r="DX89" s="277">
        <v>296</v>
      </c>
      <c r="DY89" s="277">
        <v>412</v>
      </c>
      <c r="DZ89" s="277">
        <v>414</v>
      </c>
      <c r="EA89" s="277">
        <v>442</v>
      </c>
      <c r="EB89" s="277">
        <v>283</v>
      </c>
      <c r="EC89" s="277">
        <v>1847</v>
      </c>
      <c r="ED89" s="277"/>
      <c r="EE89" s="277" t="s">
        <v>2840</v>
      </c>
      <c r="EF89" s="277">
        <v>13</v>
      </c>
      <c r="EG89" s="277">
        <v>3</v>
      </c>
      <c r="EH89" s="277">
        <v>0</v>
      </c>
      <c r="EI89" s="277">
        <v>0</v>
      </c>
      <c r="EJ89" s="277">
        <v>0</v>
      </c>
      <c r="EK89" s="277">
        <v>16</v>
      </c>
      <c r="EL89" s="16">
        <v>12</v>
      </c>
      <c r="EN89" s="61" t="s">
        <v>1629</v>
      </c>
      <c r="EO89" s="61" t="s">
        <v>1968</v>
      </c>
      <c r="EP89" s="61">
        <v>131</v>
      </c>
      <c r="EQ89" s="61">
        <v>260</v>
      </c>
      <c r="ER89" s="61">
        <v>293</v>
      </c>
      <c r="ES89" s="61">
        <v>387</v>
      </c>
      <c r="ET89" s="61">
        <v>421</v>
      </c>
      <c r="EU89" s="61">
        <v>1492</v>
      </c>
      <c r="EV89" s="61"/>
      <c r="EW89" s="61" t="s">
        <v>1968</v>
      </c>
      <c r="EX89" s="61">
        <v>8</v>
      </c>
      <c r="EY89" s="61">
        <v>2</v>
      </c>
      <c r="EZ89" s="61">
        <v>3</v>
      </c>
      <c r="FA89" s="61">
        <v>0</v>
      </c>
      <c r="FB89" s="61">
        <v>0</v>
      </c>
      <c r="FC89" s="61">
        <v>13</v>
      </c>
      <c r="FF89" s="80" t="s">
        <v>1925</v>
      </c>
      <c r="FG89" s="80" t="s">
        <v>2856</v>
      </c>
      <c r="FH89" s="80">
        <v>238</v>
      </c>
      <c r="FI89" s="80">
        <v>359</v>
      </c>
      <c r="FJ89" s="80">
        <v>455</v>
      </c>
      <c r="FK89" s="80">
        <v>554</v>
      </c>
      <c r="FL89" s="80">
        <v>713</v>
      </c>
      <c r="FM89" s="80">
        <v>2319</v>
      </c>
      <c r="FN89" s="80"/>
      <c r="FO89" s="80" t="s">
        <v>2856</v>
      </c>
      <c r="FP89" s="80">
        <v>24</v>
      </c>
      <c r="FQ89" s="80">
        <v>4</v>
      </c>
      <c r="FR89" s="80">
        <v>4</v>
      </c>
      <c r="FS89" s="80">
        <v>3</v>
      </c>
      <c r="FT89" s="80">
        <v>4</v>
      </c>
      <c r="FU89" s="80">
        <v>39</v>
      </c>
    </row>
    <row r="90" spans="2:177" x14ac:dyDescent="0.3">
      <c r="B90" s="71" t="s">
        <v>198</v>
      </c>
      <c r="C90" s="71" t="s">
        <v>2856</v>
      </c>
      <c r="D90" s="71">
        <v>123</v>
      </c>
      <c r="E90" s="71">
        <v>8</v>
      </c>
      <c r="F90" s="71">
        <v>5</v>
      </c>
      <c r="G90" s="71">
        <v>4</v>
      </c>
      <c r="H90" s="71">
        <v>1</v>
      </c>
      <c r="I90" s="71">
        <v>141</v>
      </c>
      <c r="K90" s="71" t="s">
        <v>2856</v>
      </c>
      <c r="L90" s="71">
        <v>687</v>
      </c>
      <c r="M90" s="71">
        <v>585</v>
      </c>
      <c r="N90" s="71">
        <v>711</v>
      </c>
      <c r="O90" s="71">
        <v>740</v>
      </c>
      <c r="P90" s="71">
        <v>484</v>
      </c>
      <c r="Q90" s="71">
        <v>3207</v>
      </c>
      <c r="T90" s="72" t="s">
        <v>2463</v>
      </c>
      <c r="U90" s="72" t="s">
        <v>1968</v>
      </c>
      <c r="V90" s="72">
        <v>192</v>
      </c>
      <c r="W90" s="72">
        <v>371</v>
      </c>
      <c r="X90" s="72">
        <v>621</v>
      </c>
      <c r="Y90" s="72">
        <v>713</v>
      </c>
      <c r="Z90" s="72">
        <v>479</v>
      </c>
      <c r="AA90" s="72">
        <v>2376</v>
      </c>
      <c r="AB90" s="72"/>
      <c r="AC90" s="72" t="s">
        <v>1968</v>
      </c>
      <c r="AD90" s="72">
        <v>9</v>
      </c>
      <c r="AE90" s="72">
        <v>1</v>
      </c>
      <c r="AF90" s="72">
        <v>1</v>
      </c>
      <c r="AG90" s="72">
        <v>0</v>
      </c>
      <c r="AH90" s="72">
        <v>0</v>
      </c>
      <c r="AI90" s="72">
        <v>11</v>
      </c>
      <c r="AK90" s="73" t="s">
        <v>693</v>
      </c>
      <c r="AL90" s="73" t="s">
        <v>2856</v>
      </c>
      <c r="AM90" s="73">
        <v>121</v>
      </c>
      <c r="AN90" s="73">
        <v>146</v>
      </c>
      <c r="AO90" s="73">
        <v>232</v>
      </c>
      <c r="AP90" s="73">
        <v>340</v>
      </c>
      <c r="AQ90" s="73">
        <v>292</v>
      </c>
      <c r="AR90" s="73">
        <v>1131</v>
      </c>
      <c r="AS90" s="73"/>
      <c r="AT90" s="73" t="s">
        <v>2856</v>
      </c>
      <c r="AU90" s="73">
        <v>50</v>
      </c>
      <c r="AV90" s="73">
        <v>0</v>
      </c>
      <c r="AW90" s="73">
        <v>2</v>
      </c>
      <c r="AX90" s="73">
        <v>0</v>
      </c>
      <c r="AY90" s="73">
        <v>2</v>
      </c>
      <c r="AZ90" s="73">
        <v>54</v>
      </c>
      <c r="BB90" s="78" t="s">
        <v>870</v>
      </c>
      <c r="BC90" s="78" t="s">
        <v>2856</v>
      </c>
      <c r="BD90" s="78">
        <v>118</v>
      </c>
      <c r="BE90" s="78">
        <v>157</v>
      </c>
      <c r="BF90" s="78">
        <v>280</v>
      </c>
      <c r="BG90" s="78">
        <v>322</v>
      </c>
      <c r="BH90" s="78">
        <v>270</v>
      </c>
      <c r="BI90" s="78">
        <v>1147</v>
      </c>
      <c r="BJ90" s="78"/>
      <c r="BK90" s="78" t="s">
        <v>2856</v>
      </c>
      <c r="BL90" s="78">
        <v>11</v>
      </c>
      <c r="BM90" s="78">
        <v>0</v>
      </c>
      <c r="BN90" s="78">
        <v>0</v>
      </c>
      <c r="BO90" s="78">
        <v>0</v>
      </c>
      <c r="BP90" s="78">
        <v>0</v>
      </c>
      <c r="BQ90" s="78">
        <v>11</v>
      </c>
      <c r="BS90" s="275" t="s">
        <v>1108</v>
      </c>
      <c r="BT90" s="275" t="s">
        <v>2840</v>
      </c>
      <c r="BU90" s="275">
        <v>119</v>
      </c>
      <c r="BV90" s="275">
        <v>48</v>
      </c>
      <c r="BW90" s="275">
        <v>91</v>
      </c>
      <c r="BX90" s="275">
        <v>171</v>
      </c>
      <c r="BY90" s="275">
        <v>211</v>
      </c>
      <c r="BZ90" s="275">
        <v>640</v>
      </c>
      <c r="CA90" s="275"/>
      <c r="CB90" s="275" t="s">
        <v>2840</v>
      </c>
      <c r="CC90" s="275">
        <v>20</v>
      </c>
      <c r="CD90" s="275">
        <v>0</v>
      </c>
      <c r="CE90" s="275">
        <v>0</v>
      </c>
      <c r="CF90" s="275">
        <v>0</v>
      </c>
      <c r="CG90" s="275">
        <v>0</v>
      </c>
      <c r="CH90" s="275">
        <v>20</v>
      </c>
      <c r="CI90" s="16">
        <v>26</v>
      </c>
      <c r="CJ90" s="259"/>
      <c r="CL90" s="61" t="s">
        <v>1173</v>
      </c>
      <c r="CM90" s="61" t="s">
        <v>1968</v>
      </c>
      <c r="CN90" s="61">
        <v>110</v>
      </c>
      <c r="CO90" s="61">
        <v>66</v>
      </c>
      <c r="CP90" s="61">
        <v>116</v>
      </c>
      <c r="CQ90" s="61">
        <v>187</v>
      </c>
      <c r="CR90" s="61">
        <v>195</v>
      </c>
      <c r="CS90" s="61">
        <v>674</v>
      </c>
      <c r="CT90" s="61"/>
      <c r="CU90" s="61" t="s">
        <v>1968</v>
      </c>
      <c r="CV90" s="61">
        <v>41</v>
      </c>
      <c r="CW90" s="61">
        <v>0</v>
      </c>
      <c r="CX90" s="61">
        <v>0</v>
      </c>
      <c r="CY90" s="61">
        <v>0</v>
      </c>
      <c r="CZ90" s="61">
        <v>0</v>
      </c>
      <c r="DA90" s="61">
        <v>41</v>
      </c>
      <c r="DV90" s="277" t="s">
        <v>1534</v>
      </c>
      <c r="DW90" s="277" t="s">
        <v>2840</v>
      </c>
      <c r="DX90" s="277">
        <v>496</v>
      </c>
      <c r="DY90" s="277">
        <v>620</v>
      </c>
      <c r="DZ90" s="277">
        <v>1002</v>
      </c>
      <c r="EA90" s="277">
        <v>1263</v>
      </c>
      <c r="EB90" s="277">
        <v>1000</v>
      </c>
      <c r="EC90" s="277">
        <v>4381</v>
      </c>
      <c r="ED90" s="277"/>
      <c r="EE90" s="277" t="s">
        <v>2840</v>
      </c>
      <c r="EF90" s="277">
        <v>21</v>
      </c>
      <c r="EG90" s="277">
        <v>4</v>
      </c>
      <c r="EH90" s="277">
        <v>0</v>
      </c>
      <c r="EI90" s="277">
        <v>0</v>
      </c>
      <c r="EJ90" s="277">
        <v>0</v>
      </c>
      <c r="EK90" s="277">
        <v>25</v>
      </c>
      <c r="EL90" s="16">
        <v>20</v>
      </c>
      <c r="EN90" s="61" t="s">
        <v>1633</v>
      </c>
      <c r="EO90" s="61" t="s">
        <v>1968</v>
      </c>
      <c r="EP90" s="61">
        <v>20</v>
      </c>
      <c r="EQ90" s="61">
        <v>52</v>
      </c>
      <c r="ER90" s="61">
        <v>82</v>
      </c>
      <c r="ES90" s="61">
        <v>139</v>
      </c>
      <c r="ET90" s="61">
        <v>162</v>
      </c>
      <c r="EU90" s="61">
        <v>455</v>
      </c>
      <c r="EV90" s="61"/>
      <c r="EW90" s="61" t="s">
        <v>1968</v>
      </c>
      <c r="EX90" s="61">
        <v>1</v>
      </c>
      <c r="EY90" s="61">
        <v>5</v>
      </c>
      <c r="EZ90" s="61">
        <v>0</v>
      </c>
      <c r="FA90" s="61">
        <v>1</v>
      </c>
      <c r="FB90" s="61">
        <v>0</v>
      </c>
      <c r="FC90" s="61">
        <v>7</v>
      </c>
      <c r="FF90" s="80" t="s">
        <v>1929</v>
      </c>
      <c r="FG90" s="80" t="s">
        <v>2856</v>
      </c>
      <c r="FH90" s="80">
        <v>226</v>
      </c>
      <c r="FI90" s="80">
        <v>307</v>
      </c>
      <c r="FJ90" s="80">
        <v>399</v>
      </c>
      <c r="FK90" s="80">
        <v>457</v>
      </c>
      <c r="FL90" s="80">
        <v>628</v>
      </c>
      <c r="FM90" s="80">
        <v>2017</v>
      </c>
      <c r="FN90" s="80"/>
      <c r="FO90" s="80" t="s">
        <v>2856</v>
      </c>
      <c r="FP90" s="80">
        <v>22</v>
      </c>
      <c r="FQ90" s="80">
        <v>7</v>
      </c>
      <c r="FR90" s="80">
        <v>1</v>
      </c>
      <c r="FS90" s="80">
        <v>2</v>
      </c>
      <c r="FT90" s="80">
        <v>7</v>
      </c>
      <c r="FU90" s="80">
        <v>39</v>
      </c>
    </row>
    <row r="91" spans="2:177" x14ac:dyDescent="0.3">
      <c r="B91" s="71" t="s">
        <v>204</v>
      </c>
      <c r="C91" s="71" t="s">
        <v>2856</v>
      </c>
      <c r="D91" s="71">
        <v>26</v>
      </c>
      <c r="E91" s="71">
        <v>4</v>
      </c>
      <c r="F91" s="71">
        <v>3</v>
      </c>
      <c r="G91" s="71">
        <v>2</v>
      </c>
      <c r="H91" s="71">
        <v>0</v>
      </c>
      <c r="I91" s="71">
        <v>35</v>
      </c>
      <c r="K91" s="71" t="s">
        <v>2856</v>
      </c>
      <c r="L91" s="71">
        <v>182</v>
      </c>
      <c r="M91" s="71">
        <v>274</v>
      </c>
      <c r="N91" s="71">
        <v>339</v>
      </c>
      <c r="O91" s="71">
        <v>424</v>
      </c>
      <c r="P91" s="71">
        <v>327</v>
      </c>
      <c r="Q91" s="71">
        <v>1546</v>
      </c>
      <c r="T91" s="72" t="s">
        <v>407</v>
      </c>
      <c r="U91" s="72" t="s">
        <v>1968</v>
      </c>
      <c r="V91" s="72">
        <v>203</v>
      </c>
      <c r="W91" s="72">
        <v>379</v>
      </c>
      <c r="X91" s="72">
        <v>557</v>
      </c>
      <c r="Y91" s="72">
        <v>669</v>
      </c>
      <c r="Z91" s="72">
        <v>454</v>
      </c>
      <c r="AA91" s="72">
        <v>2262</v>
      </c>
      <c r="AB91" s="72"/>
      <c r="AC91" s="72" t="s">
        <v>1968</v>
      </c>
      <c r="AD91" s="72">
        <v>9</v>
      </c>
      <c r="AE91" s="72">
        <v>1</v>
      </c>
      <c r="AF91" s="72">
        <v>0</v>
      </c>
      <c r="AG91" s="72">
        <v>0</v>
      </c>
      <c r="AH91" s="72">
        <v>0</v>
      </c>
      <c r="AI91" s="72">
        <v>10</v>
      </c>
      <c r="AK91" s="73" t="s">
        <v>697</v>
      </c>
      <c r="AL91" s="73" t="s">
        <v>2856</v>
      </c>
      <c r="AM91" s="73">
        <v>188</v>
      </c>
      <c r="AN91" s="73">
        <v>314</v>
      </c>
      <c r="AO91" s="73">
        <v>511</v>
      </c>
      <c r="AP91" s="73">
        <v>698</v>
      </c>
      <c r="AQ91" s="73">
        <v>503</v>
      </c>
      <c r="AR91" s="73">
        <v>2214</v>
      </c>
      <c r="AS91" s="73"/>
      <c r="AT91" s="73" t="s">
        <v>2856</v>
      </c>
      <c r="AU91" s="73">
        <v>19</v>
      </c>
      <c r="AV91" s="73">
        <v>1</v>
      </c>
      <c r="AW91" s="73">
        <v>0</v>
      </c>
      <c r="AX91" s="73">
        <v>0</v>
      </c>
      <c r="AY91" s="73">
        <v>0</v>
      </c>
      <c r="AZ91" s="73">
        <v>20</v>
      </c>
      <c r="BB91" s="78" t="s">
        <v>875</v>
      </c>
      <c r="BC91" s="78" t="s">
        <v>2856</v>
      </c>
      <c r="BD91" s="78">
        <v>170</v>
      </c>
      <c r="BE91" s="78">
        <v>172</v>
      </c>
      <c r="BF91" s="78">
        <v>254</v>
      </c>
      <c r="BG91" s="78">
        <v>279</v>
      </c>
      <c r="BH91" s="78">
        <v>267</v>
      </c>
      <c r="BI91" s="78">
        <v>1142</v>
      </c>
      <c r="BJ91" s="78"/>
      <c r="BK91" s="78" t="s">
        <v>2856</v>
      </c>
      <c r="BL91" s="78">
        <v>18</v>
      </c>
      <c r="BM91" s="78">
        <v>0</v>
      </c>
      <c r="BN91" s="78">
        <v>0</v>
      </c>
      <c r="BO91" s="78">
        <v>0</v>
      </c>
      <c r="BP91" s="78">
        <v>0</v>
      </c>
      <c r="BQ91" s="78">
        <v>18</v>
      </c>
      <c r="BS91" s="275" t="s">
        <v>1112</v>
      </c>
      <c r="BT91" s="275" t="s">
        <v>2840</v>
      </c>
      <c r="BU91" s="275">
        <v>129</v>
      </c>
      <c r="BV91" s="275">
        <v>103</v>
      </c>
      <c r="BW91" s="275">
        <v>189</v>
      </c>
      <c r="BX91" s="275">
        <v>217</v>
      </c>
      <c r="BY91" s="275">
        <v>209</v>
      </c>
      <c r="BZ91" s="275">
        <v>847</v>
      </c>
      <c r="CA91" s="275"/>
      <c r="CB91" s="275" t="s">
        <v>2840</v>
      </c>
      <c r="CC91" s="275">
        <v>40</v>
      </c>
      <c r="CD91" s="275">
        <v>0</v>
      </c>
      <c r="CE91" s="275">
        <v>0</v>
      </c>
      <c r="CF91" s="275">
        <v>0</v>
      </c>
      <c r="CG91" s="275">
        <v>0</v>
      </c>
      <c r="CH91" s="275">
        <v>40</v>
      </c>
      <c r="CI91" s="16" t="s">
        <v>2520</v>
      </c>
      <c r="CJ91" s="259" t="s">
        <v>2975</v>
      </c>
      <c r="CL91" s="61" t="s">
        <v>1177</v>
      </c>
      <c r="CM91" s="61" t="s">
        <v>1968</v>
      </c>
      <c r="CN91" s="61">
        <v>86</v>
      </c>
      <c r="CO91" s="61">
        <v>58</v>
      </c>
      <c r="CP91" s="61">
        <v>137</v>
      </c>
      <c r="CQ91" s="61">
        <v>211</v>
      </c>
      <c r="CR91" s="61">
        <v>209</v>
      </c>
      <c r="CS91" s="61">
        <v>701</v>
      </c>
      <c r="CT91" s="61"/>
      <c r="CU91" s="61" t="s">
        <v>1968</v>
      </c>
      <c r="CV91" s="61">
        <v>47</v>
      </c>
      <c r="CW91" s="61">
        <v>0</v>
      </c>
      <c r="CX91" s="61">
        <v>0</v>
      </c>
      <c r="CY91" s="61">
        <v>0</v>
      </c>
      <c r="CZ91" s="61">
        <v>0</v>
      </c>
      <c r="DA91" s="61">
        <v>47</v>
      </c>
      <c r="DV91" s="277" t="s">
        <v>1538</v>
      </c>
      <c r="DW91" s="277" t="s">
        <v>2840</v>
      </c>
      <c r="DX91" s="277">
        <v>267</v>
      </c>
      <c r="DY91" s="277">
        <v>353</v>
      </c>
      <c r="DZ91" s="277">
        <v>413</v>
      </c>
      <c r="EA91" s="277">
        <v>465</v>
      </c>
      <c r="EB91" s="277">
        <v>370</v>
      </c>
      <c r="EC91" s="277">
        <v>1868</v>
      </c>
      <c r="ED91" s="277"/>
      <c r="EE91" s="277" t="s">
        <v>2840</v>
      </c>
      <c r="EF91" s="277">
        <v>18</v>
      </c>
      <c r="EG91" s="277">
        <v>3</v>
      </c>
      <c r="EH91" s="277">
        <v>0</v>
      </c>
      <c r="EI91" s="277">
        <v>0</v>
      </c>
      <c r="EJ91" s="277">
        <v>0</v>
      </c>
      <c r="EK91" s="277">
        <v>21</v>
      </c>
      <c r="EL91" s="16">
        <v>20</v>
      </c>
      <c r="EN91" s="61" t="s">
        <v>1637</v>
      </c>
      <c r="EO91" s="61" t="s">
        <v>1968</v>
      </c>
      <c r="EP91" s="61">
        <v>54</v>
      </c>
      <c r="EQ91" s="61">
        <v>118</v>
      </c>
      <c r="ER91" s="61">
        <v>178</v>
      </c>
      <c r="ES91" s="61">
        <v>255</v>
      </c>
      <c r="ET91" s="61">
        <v>313</v>
      </c>
      <c r="EU91" s="61">
        <v>918</v>
      </c>
      <c r="EV91" s="61"/>
      <c r="EW91" s="61" t="s">
        <v>1968</v>
      </c>
      <c r="EX91" s="61">
        <v>4</v>
      </c>
      <c r="EY91" s="61">
        <v>4</v>
      </c>
      <c r="EZ91" s="61">
        <v>2</v>
      </c>
      <c r="FA91" s="61">
        <v>3</v>
      </c>
      <c r="FB91" s="61">
        <v>1</v>
      </c>
      <c r="FC91" s="61">
        <v>14</v>
      </c>
      <c r="FF91" s="80" t="s">
        <v>1933</v>
      </c>
      <c r="FG91" s="80" t="s">
        <v>2856</v>
      </c>
      <c r="FH91" s="80" t="s">
        <v>1970</v>
      </c>
      <c r="FI91" s="80" t="s">
        <v>1970</v>
      </c>
      <c r="FJ91" s="80" t="s">
        <v>1970</v>
      </c>
      <c r="FK91" s="80" t="s">
        <v>1970</v>
      </c>
      <c r="FL91" s="80" t="s">
        <v>1970</v>
      </c>
      <c r="FM91" s="80" t="s">
        <v>1970</v>
      </c>
      <c r="FN91" s="80"/>
      <c r="FO91" s="80" t="s">
        <v>2856</v>
      </c>
      <c r="FP91" s="80" t="s">
        <v>1970</v>
      </c>
      <c r="FQ91" s="80" t="s">
        <v>1970</v>
      </c>
      <c r="FR91" s="80" t="s">
        <v>1970</v>
      </c>
      <c r="FS91" s="80" t="s">
        <v>1970</v>
      </c>
      <c r="FT91" s="80" t="s">
        <v>1970</v>
      </c>
      <c r="FU91" s="80" t="s">
        <v>1970</v>
      </c>
    </row>
    <row r="92" spans="2:177" x14ac:dyDescent="0.3">
      <c r="B92" s="71" t="s">
        <v>208</v>
      </c>
      <c r="C92" s="71" t="s">
        <v>2856</v>
      </c>
      <c r="D92" s="71">
        <v>43</v>
      </c>
      <c r="E92" s="71">
        <v>7</v>
      </c>
      <c r="F92" s="71">
        <v>3</v>
      </c>
      <c r="G92" s="71">
        <v>5</v>
      </c>
      <c r="H92" s="71">
        <v>3</v>
      </c>
      <c r="I92" s="71">
        <v>61</v>
      </c>
      <c r="K92" s="71" t="s">
        <v>2856</v>
      </c>
      <c r="L92" s="71">
        <v>208</v>
      </c>
      <c r="M92" s="71">
        <v>346</v>
      </c>
      <c r="N92" s="71">
        <v>507</v>
      </c>
      <c r="O92" s="71">
        <v>656</v>
      </c>
      <c r="P92" s="71">
        <v>524</v>
      </c>
      <c r="Q92" s="71">
        <v>2241</v>
      </c>
      <c r="T92" s="72" t="s">
        <v>411</v>
      </c>
      <c r="U92" s="72" t="s">
        <v>1968</v>
      </c>
      <c r="V92" s="72">
        <v>725</v>
      </c>
      <c r="W92" s="72">
        <v>409</v>
      </c>
      <c r="X92" s="72">
        <v>418</v>
      </c>
      <c r="Y92" s="72">
        <v>394</v>
      </c>
      <c r="Z92" s="72">
        <v>236</v>
      </c>
      <c r="AA92" s="72">
        <v>2182</v>
      </c>
      <c r="AB92" s="72"/>
      <c r="AC92" s="72" t="s">
        <v>1968</v>
      </c>
      <c r="AD92" s="72">
        <v>49</v>
      </c>
      <c r="AE92" s="72">
        <v>0</v>
      </c>
      <c r="AF92" s="72">
        <v>0</v>
      </c>
      <c r="AG92" s="72">
        <v>0</v>
      </c>
      <c r="AH92" s="72">
        <v>0</v>
      </c>
      <c r="AI92" s="72">
        <v>49</v>
      </c>
      <c r="AK92" s="73" t="s">
        <v>701</v>
      </c>
      <c r="AL92" s="73" t="s">
        <v>2856</v>
      </c>
      <c r="AM92" s="73">
        <v>144</v>
      </c>
      <c r="AN92" s="73">
        <v>174</v>
      </c>
      <c r="AO92" s="73">
        <v>232</v>
      </c>
      <c r="AP92" s="73">
        <v>305</v>
      </c>
      <c r="AQ92" s="73">
        <v>218</v>
      </c>
      <c r="AR92" s="73">
        <v>1073</v>
      </c>
      <c r="AS92" s="73"/>
      <c r="AT92" s="73" t="s">
        <v>2856</v>
      </c>
      <c r="AU92" s="73">
        <v>20</v>
      </c>
      <c r="AV92" s="73">
        <v>0</v>
      </c>
      <c r="AW92" s="73">
        <v>0</v>
      </c>
      <c r="AX92" s="73">
        <v>0</v>
      </c>
      <c r="AY92" s="73">
        <v>0</v>
      </c>
      <c r="AZ92" s="73">
        <v>20</v>
      </c>
      <c r="BB92" s="78" t="s">
        <v>880</v>
      </c>
      <c r="BC92" s="78" t="s">
        <v>2856</v>
      </c>
      <c r="BD92" s="78">
        <v>475</v>
      </c>
      <c r="BE92" s="78">
        <v>567</v>
      </c>
      <c r="BF92" s="78">
        <v>730</v>
      </c>
      <c r="BG92" s="78">
        <v>858</v>
      </c>
      <c r="BH92" s="78">
        <v>697</v>
      </c>
      <c r="BI92" s="78">
        <v>3327</v>
      </c>
      <c r="BJ92" s="78"/>
      <c r="BK92" s="78" t="s">
        <v>2856</v>
      </c>
      <c r="BL92" s="78">
        <v>21</v>
      </c>
      <c r="BM92" s="78">
        <v>0</v>
      </c>
      <c r="BN92" s="78">
        <v>0</v>
      </c>
      <c r="BO92" s="78">
        <v>0</v>
      </c>
      <c r="BP92" s="78">
        <v>0</v>
      </c>
      <c r="BQ92" s="78">
        <v>21</v>
      </c>
      <c r="BS92" s="275" t="s">
        <v>1115</v>
      </c>
      <c r="BT92" s="275" t="s">
        <v>2840</v>
      </c>
      <c r="BU92" s="275">
        <v>107</v>
      </c>
      <c r="BV92" s="275">
        <v>161</v>
      </c>
      <c r="BW92" s="275">
        <v>359</v>
      </c>
      <c r="BX92" s="275">
        <v>525</v>
      </c>
      <c r="BY92" s="275">
        <v>473</v>
      </c>
      <c r="BZ92" s="275">
        <v>1625</v>
      </c>
      <c r="CA92" s="275"/>
      <c r="CB92" s="275" t="s">
        <v>2840</v>
      </c>
      <c r="CC92" s="275">
        <v>24</v>
      </c>
      <c r="CD92" s="275">
        <v>0</v>
      </c>
      <c r="CE92" s="275">
        <v>0</v>
      </c>
      <c r="CF92" s="275">
        <v>0</v>
      </c>
      <c r="CG92" s="275">
        <v>0</v>
      </c>
      <c r="CH92" s="275">
        <v>24</v>
      </c>
      <c r="CI92" s="16" t="s">
        <v>2520</v>
      </c>
      <c r="CJ92" s="259" t="s">
        <v>2975</v>
      </c>
      <c r="CL92" s="61" t="s">
        <v>1181</v>
      </c>
      <c r="CM92" s="61" t="s">
        <v>1968</v>
      </c>
      <c r="CN92" s="61">
        <v>45</v>
      </c>
      <c r="CO92" s="61">
        <v>33</v>
      </c>
      <c r="CP92" s="61">
        <v>57</v>
      </c>
      <c r="CQ92" s="61">
        <v>128</v>
      </c>
      <c r="CR92" s="61">
        <v>141</v>
      </c>
      <c r="CS92" s="61">
        <v>404</v>
      </c>
      <c r="CT92" s="61"/>
      <c r="CU92" s="61" t="s">
        <v>1968</v>
      </c>
      <c r="CV92" s="61">
        <v>7</v>
      </c>
      <c r="CW92" s="61">
        <v>0</v>
      </c>
      <c r="CX92" s="61">
        <v>0</v>
      </c>
      <c r="CY92" s="61">
        <v>0</v>
      </c>
      <c r="CZ92" s="61">
        <v>0</v>
      </c>
      <c r="DA92" s="61">
        <v>7</v>
      </c>
      <c r="DV92" s="277" t="s">
        <v>1542</v>
      </c>
      <c r="DW92" s="277" t="s">
        <v>2840</v>
      </c>
      <c r="DX92" s="277" t="s">
        <v>1970</v>
      </c>
      <c r="DY92" s="277" t="s">
        <v>1970</v>
      </c>
      <c r="DZ92" s="277" t="s">
        <v>1970</v>
      </c>
      <c r="EA92" s="277" t="s">
        <v>1970</v>
      </c>
      <c r="EB92" s="277" t="s">
        <v>1970</v>
      </c>
      <c r="EC92" s="277" t="s">
        <v>1970</v>
      </c>
      <c r="ED92" s="277"/>
      <c r="EE92" s="277" t="s">
        <v>2840</v>
      </c>
      <c r="EF92" s="277" t="s">
        <v>1970</v>
      </c>
      <c r="EG92" s="277" t="s">
        <v>1970</v>
      </c>
      <c r="EH92" s="277" t="s">
        <v>1970</v>
      </c>
      <c r="EI92" s="277" t="s">
        <v>1970</v>
      </c>
      <c r="EJ92" s="277" t="s">
        <v>1970</v>
      </c>
      <c r="EK92" s="277" t="s">
        <v>1970</v>
      </c>
      <c r="EL92" s="16">
        <v>23</v>
      </c>
      <c r="EN92" s="61" t="s">
        <v>1641</v>
      </c>
      <c r="EO92" s="61" t="s">
        <v>1968</v>
      </c>
      <c r="EP92" s="61">
        <v>28</v>
      </c>
      <c r="EQ92" s="61">
        <v>86</v>
      </c>
      <c r="ER92" s="61">
        <v>159</v>
      </c>
      <c r="ES92" s="61">
        <v>174</v>
      </c>
      <c r="ET92" s="61">
        <v>197</v>
      </c>
      <c r="EU92" s="61">
        <v>644</v>
      </c>
      <c r="EV92" s="61"/>
      <c r="EW92" s="61" t="s">
        <v>1968</v>
      </c>
      <c r="EX92" s="61">
        <v>2</v>
      </c>
      <c r="EY92" s="61">
        <v>2</v>
      </c>
      <c r="EZ92" s="61">
        <v>1</v>
      </c>
      <c r="FA92" s="61">
        <v>3</v>
      </c>
      <c r="FB92" s="61">
        <v>1</v>
      </c>
      <c r="FC92" s="61">
        <v>9</v>
      </c>
      <c r="FF92" s="80" t="s">
        <v>1938</v>
      </c>
      <c r="FG92" s="80" t="s">
        <v>2856</v>
      </c>
      <c r="FH92" s="80" t="s">
        <v>1970</v>
      </c>
      <c r="FI92" s="80" t="s">
        <v>1970</v>
      </c>
      <c r="FJ92" s="80" t="s">
        <v>1970</v>
      </c>
      <c r="FK92" s="80" t="s">
        <v>1970</v>
      </c>
      <c r="FL92" s="80" t="s">
        <v>1970</v>
      </c>
      <c r="FM92" s="80" t="s">
        <v>1970</v>
      </c>
      <c r="FN92" s="80"/>
      <c r="FO92" s="80" t="s">
        <v>2856</v>
      </c>
      <c r="FP92" s="80" t="s">
        <v>1970</v>
      </c>
      <c r="FQ92" s="80" t="s">
        <v>1970</v>
      </c>
      <c r="FR92" s="80" t="s">
        <v>1970</v>
      </c>
      <c r="FS92" s="80" t="s">
        <v>1970</v>
      </c>
      <c r="FT92" s="80" t="s">
        <v>1970</v>
      </c>
      <c r="FU92" s="80" t="s">
        <v>1970</v>
      </c>
    </row>
    <row r="93" spans="2:177" x14ac:dyDescent="0.3">
      <c r="B93" s="71" t="s">
        <v>214</v>
      </c>
      <c r="C93" s="71" t="s">
        <v>2856</v>
      </c>
      <c r="D93" s="71">
        <v>23</v>
      </c>
      <c r="E93" s="71">
        <v>4</v>
      </c>
      <c r="F93" s="71">
        <v>5</v>
      </c>
      <c r="G93" s="71">
        <v>1</v>
      </c>
      <c r="H93" s="71">
        <v>2</v>
      </c>
      <c r="I93" s="71">
        <v>35</v>
      </c>
      <c r="K93" s="71" t="s">
        <v>2856</v>
      </c>
      <c r="L93" s="71">
        <v>137</v>
      </c>
      <c r="M93" s="71">
        <v>232</v>
      </c>
      <c r="N93" s="71">
        <v>314</v>
      </c>
      <c r="O93" s="71">
        <v>433</v>
      </c>
      <c r="P93" s="71">
        <v>345</v>
      </c>
      <c r="Q93" s="71">
        <v>1461</v>
      </c>
      <c r="T93" s="72" t="s">
        <v>417</v>
      </c>
      <c r="U93" s="72" t="s">
        <v>1968</v>
      </c>
      <c r="V93" s="72">
        <v>611</v>
      </c>
      <c r="W93" s="72">
        <v>601</v>
      </c>
      <c r="X93" s="72">
        <v>536</v>
      </c>
      <c r="Y93" s="72">
        <v>650</v>
      </c>
      <c r="Z93" s="72">
        <v>528</v>
      </c>
      <c r="AA93" s="72">
        <v>2926</v>
      </c>
      <c r="AB93" s="72"/>
      <c r="AC93" s="72" t="s">
        <v>1968</v>
      </c>
      <c r="AD93" s="72">
        <v>13</v>
      </c>
      <c r="AE93" s="72">
        <v>2</v>
      </c>
      <c r="AF93" s="72">
        <v>1</v>
      </c>
      <c r="AG93" s="72">
        <v>0</v>
      </c>
      <c r="AH93" s="72">
        <v>0</v>
      </c>
      <c r="AI93" s="72">
        <v>16</v>
      </c>
      <c r="AK93" s="73" t="s">
        <v>705</v>
      </c>
      <c r="AL93" s="73" t="s">
        <v>2856</v>
      </c>
      <c r="AM93" s="73" t="s">
        <v>1978</v>
      </c>
      <c r="AN93" s="73" t="s">
        <v>1978</v>
      </c>
      <c r="AO93" s="73" t="s">
        <v>1978</v>
      </c>
      <c r="AP93" s="73" t="s">
        <v>1978</v>
      </c>
      <c r="AQ93" s="73" t="s">
        <v>1978</v>
      </c>
      <c r="AR93" s="73" t="s">
        <v>1978</v>
      </c>
      <c r="AS93" s="73"/>
      <c r="AT93" s="73" t="s">
        <v>2856</v>
      </c>
      <c r="AU93" s="73" t="s">
        <v>1978</v>
      </c>
      <c r="AV93" s="73" t="s">
        <v>1978</v>
      </c>
      <c r="AW93" s="73" t="s">
        <v>1978</v>
      </c>
      <c r="AX93" s="73" t="s">
        <v>1978</v>
      </c>
      <c r="AY93" s="73" t="s">
        <v>1978</v>
      </c>
      <c r="AZ93" s="73" t="s">
        <v>1978</v>
      </c>
      <c r="BB93" s="78" t="s">
        <v>884</v>
      </c>
      <c r="BC93" s="78" t="s">
        <v>2856</v>
      </c>
      <c r="BD93" s="78">
        <v>2232</v>
      </c>
      <c r="BE93" s="78">
        <v>1409</v>
      </c>
      <c r="BF93" s="78">
        <v>1366</v>
      </c>
      <c r="BG93" s="78">
        <v>1237</v>
      </c>
      <c r="BH93" s="78">
        <v>855</v>
      </c>
      <c r="BI93" s="78">
        <v>7099</v>
      </c>
      <c r="BJ93" s="78"/>
      <c r="BK93" s="78" t="s">
        <v>2856</v>
      </c>
      <c r="BL93" s="78">
        <v>217</v>
      </c>
      <c r="BM93" s="78">
        <v>7</v>
      </c>
      <c r="BN93" s="78">
        <v>1</v>
      </c>
      <c r="BO93" s="78">
        <v>0</v>
      </c>
      <c r="BP93" s="78">
        <v>0</v>
      </c>
      <c r="BQ93" s="78">
        <v>225</v>
      </c>
      <c r="BS93" s="275" t="s">
        <v>1119</v>
      </c>
      <c r="BT93" s="275" t="s">
        <v>2840</v>
      </c>
      <c r="BU93" s="275">
        <v>138</v>
      </c>
      <c r="BV93" s="275">
        <v>218</v>
      </c>
      <c r="BW93" s="275">
        <v>387</v>
      </c>
      <c r="BX93" s="275">
        <v>535</v>
      </c>
      <c r="BY93" s="275">
        <v>498</v>
      </c>
      <c r="BZ93" s="275">
        <v>1776</v>
      </c>
      <c r="CA93" s="275"/>
      <c r="CB93" s="275" t="s">
        <v>2840</v>
      </c>
      <c r="CC93" s="275">
        <v>25</v>
      </c>
      <c r="CD93" s="275">
        <v>0</v>
      </c>
      <c r="CE93" s="275">
        <v>0</v>
      </c>
      <c r="CF93" s="275">
        <v>0</v>
      </c>
      <c r="CG93" s="275">
        <v>0</v>
      </c>
      <c r="CH93" s="275">
        <v>25</v>
      </c>
      <c r="CI93" s="16" t="s">
        <v>2520</v>
      </c>
      <c r="CJ93" s="259" t="s">
        <v>2975</v>
      </c>
      <c r="CL93" s="61" t="s">
        <v>1186</v>
      </c>
      <c r="CM93" s="61" t="s">
        <v>1968</v>
      </c>
      <c r="CN93" s="61">
        <v>83</v>
      </c>
      <c r="CO93" s="61">
        <v>63</v>
      </c>
      <c r="CP93" s="61">
        <v>146</v>
      </c>
      <c r="CQ93" s="61">
        <v>225</v>
      </c>
      <c r="CR93" s="61">
        <v>259</v>
      </c>
      <c r="CS93" s="61">
        <v>776</v>
      </c>
      <c r="CT93" s="61"/>
      <c r="CU93" s="61" t="s">
        <v>1968</v>
      </c>
      <c r="CV93" s="61">
        <v>22</v>
      </c>
      <c r="CW93" s="61">
        <v>0</v>
      </c>
      <c r="CX93" s="61">
        <v>0</v>
      </c>
      <c r="CY93" s="61">
        <v>0</v>
      </c>
      <c r="CZ93" s="61">
        <v>0</v>
      </c>
      <c r="DA93" s="61">
        <v>22</v>
      </c>
      <c r="DV93" s="277" t="s">
        <v>1546</v>
      </c>
      <c r="DW93" s="277" t="s">
        <v>2840</v>
      </c>
      <c r="DX93" s="277" t="s">
        <v>1970</v>
      </c>
      <c r="DY93" s="277" t="s">
        <v>1970</v>
      </c>
      <c r="DZ93" s="277" t="s">
        <v>1970</v>
      </c>
      <c r="EA93" s="277" t="s">
        <v>1970</v>
      </c>
      <c r="EB93" s="277" t="s">
        <v>1970</v>
      </c>
      <c r="EC93" s="277" t="s">
        <v>1970</v>
      </c>
      <c r="ED93" s="277"/>
      <c r="EE93" s="277" t="s">
        <v>2840</v>
      </c>
      <c r="EF93" s="277" t="s">
        <v>1970</v>
      </c>
      <c r="EG93" s="277" t="s">
        <v>1970</v>
      </c>
      <c r="EH93" s="277" t="s">
        <v>1970</v>
      </c>
      <c r="EI93" s="277" t="s">
        <v>1970</v>
      </c>
      <c r="EJ93" s="277" t="s">
        <v>1970</v>
      </c>
      <c r="EK93" s="277" t="s">
        <v>1970</v>
      </c>
      <c r="EL93" s="16">
        <v>20</v>
      </c>
      <c r="EN93" s="61" t="s">
        <v>1645</v>
      </c>
      <c r="EO93" s="61" t="s">
        <v>1968</v>
      </c>
      <c r="EP93" s="61">
        <v>191</v>
      </c>
      <c r="EQ93" s="61">
        <v>373</v>
      </c>
      <c r="ER93" s="61">
        <v>502</v>
      </c>
      <c r="ES93" s="61">
        <v>614</v>
      </c>
      <c r="ET93" s="61">
        <v>645</v>
      </c>
      <c r="EU93" s="61">
        <v>2325</v>
      </c>
      <c r="EV93" s="61"/>
      <c r="EW93" s="61" t="s">
        <v>1968</v>
      </c>
      <c r="EX93" s="61">
        <v>35</v>
      </c>
      <c r="EY93" s="61">
        <v>14</v>
      </c>
      <c r="EZ93" s="61">
        <v>6</v>
      </c>
      <c r="FA93" s="61">
        <v>5</v>
      </c>
      <c r="FB93" s="61">
        <v>3</v>
      </c>
      <c r="FC93" s="61">
        <v>63</v>
      </c>
    </row>
    <row r="94" spans="2:177" x14ac:dyDescent="0.3">
      <c r="B94" s="71" t="s">
        <v>219</v>
      </c>
      <c r="C94" s="71" t="s">
        <v>2856</v>
      </c>
      <c r="D94" s="71">
        <v>29</v>
      </c>
      <c r="E94" s="71">
        <v>3</v>
      </c>
      <c r="F94" s="71">
        <v>2</v>
      </c>
      <c r="G94" s="71">
        <v>0</v>
      </c>
      <c r="H94" s="71">
        <v>0</v>
      </c>
      <c r="I94" s="71">
        <v>34</v>
      </c>
      <c r="K94" s="71" t="s">
        <v>2856</v>
      </c>
      <c r="L94" s="71">
        <v>208</v>
      </c>
      <c r="M94" s="71">
        <v>195</v>
      </c>
      <c r="N94" s="71">
        <v>300</v>
      </c>
      <c r="O94" s="71">
        <v>370</v>
      </c>
      <c r="P94" s="71">
        <v>328</v>
      </c>
      <c r="Q94" s="71">
        <v>1401</v>
      </c>
      <c r="AK94" s="73" t="s">
        <v>708</v>
      </c>
      <c r="AL94" s="73" t="s">
        <v>2856</v>
      </c>
      <c r="AM94" s="73">
        <v>834</v>
      </c>
      <c r="AN94" s="73">
        <v>690</v>
      </c>
      <c r="AO94" s="73">
        <v>1069</v>
      </c>
      <c r="AP94" s="73">
        <v>1291</v>
      </c>
      <c r="AQ94" s="73">
        <v>863</v>
      </c>
      <c r="AR94" s="73">
        <v>4747</v>
      </c>
      <c r="AS94" s="73"/>
      <c r="AT94" s="73" t="s">
        <v>2856</v>
      </c>
      <c r="AU94" s="73">
        <v>34</v>
      </c>
      <c r="AV94" s="73">
        <v>0</v>
      </c>
      <c r="AW94" s="73">
        <v>0</v>
      </c>
      <c r="AX94" s="73">
        <v>0</v>
      </c>
      <c r="AY94" s="73">
        <v>0</v>
      </c>
      <c r="AZ94" s="73">
        <v>34</v>
      </c>
      <c r="BB94" s="78" t="s">
        <v>904</v>
      </c>
      <c r="BC94" s="78" t="s">
        <v>2856</v>
      </c>
      <c r="BD94" s="78">
        <v>204</v>
      </c>
      <c r="BE94" s="78">
        <v>120</v>
      </c>
      <c r="BF94" s="78">
        <v>197</v>
      </c>
      <c r="BG94" s="78">
        <v>286</v>
      </c>
      <c r="BH94" s="78">
        <v>240</v>
      </c>
      <c r="BI94" s="78">
        <v>1047</v>
      </c>
      <c r="BJ94" s="78"/>
      <c r="BK94" s="78" t="s">
        <v>2856</v>
      </c>
      <c r="BL94" s="78">
        <v>27</v>
      </c>
      <c r="BM94" s="78">
        <v>0</v>
      </c>
      <c r="BN94" s="78">
        <v>0</v>
      </c>
      <c r="BO94" s="78">
        <v>0</v>
      </c>
      <c r="BP94" s="78">
        <v>0</v>
      </c>
      <c r="BQ94" s="78">
        <v>27</v>
      </c>
      <c r="BS94" s="275" t="s">
        <v>1123</v>
      </c>
      <c r="BT94" s="275" t="s">
        <v>2840</v>
      </c>
      <c r="BU94" s="275">
        <v>31</v>
      </c>
      <c r="BV94" s="275">
        <v>85</v>
      </c>
      <c r="BW94" s="275">
        <v>181</v>
      </c>
      <c r="BX94" s="275">
        <v>305</v>
      </c>
      <c r="BY94" s="275">
        <v>283</v>
      </c>
      <c r="BZ94" s="275">
        <v>885</v>
      </c>
      <c r="CA94" s="275"/>
      <c r="CB94" s="275" t="s">
        <v>2840</v>
      </c>
      <c r="CC94" s="275">
        <v>4</v>
      </c>
      <c r="CD94" s="275">
        <v>0</v>
      </c>
      <c r="CE94" s="275">
        <v>0</v>
      </c>
      <c r="CF94" s="275">
        <v>0</v>
      </c>
      <c r="CG94" s="275">
        <v>0</v>
      </c>
      <c r="CH94" s="275">
        <v>4</v>
      </c>
      <c r="CI94" s="16" t="s">
        <v>2520</v>
      </c>
      <c r="CJ94" s="259" t="s">
        <v>2975</v>
      </c>
      <c r="CL94" s="61" t="s">
        <v>1190</v>
      </c>
      <c r="CM94" s="61" t="s">
        <v>1968</v>
      </c>
      <c r="CN94" s="61">
        <v>1091</v>
      </c>
      <c r="CO94" s="61">
        <v>464</v>
      </c>
      <c r="CP94" s="61">
        <v>590</v>
      </c>
      <c r="CQ94" s="61">
        <v>739</v>
      </c>
      <c r="CR94" s="61">
        <v>633</v>
      </c>
      <c r="CS94" s="61">
        <v>3517</v>
      </c>
      <c r="CT94" s="61"/>
      <c r="CU94" s="61" t="s">
        <v>1968</v>
      </c>
      <c r="CV94" s="61">
        <v>311</v>
      </c>
      <c r="CW94" s="61">
        <v>0</v>
      </c>
      <c r="CX94" s="61">
        <v>0</v>
      </c>
      <c r="CY94" s="61">
        <v>0</v>
      </c>
      <c r="CZ94" s="61">
        <v>0</v>
      </c>
      <c r="DA94" s="61">
        <v>311</v>
      </c>
      <c r="DV94" s="277" t="s">
        <v>1550</v>
      </c>
      <c r="DW94" s="277" t="s">
        <v>2840</v>
      </c>
      <c r="DX94" s="277" t="s">
        <v>1970</v>
      </c>
      <c r="DY94" s="277" t="s">
        <v>1970</v>
      </c>
      <c r="DZ94" s="277" t="s">
        <v>1970</v>
      </c>
      <c r="EA94" s="277" t="s">
        <v>1970</v>
      </c>
      <c r="EB94" s="277" t="s">
        <v>1970</v>
      </c>
      <c r="EC94" s="277" t="s">
        <v>1970</v>
      </c>
      <c r="ED94" s="277"/>
      <c r="EE94" s="277" t="s">
        <v>2840</v>
      </c>
      <c r="EF94" s="277" t="s">
        <v>1970</v>
      </c>
      <c r="EG94" s="277" t="s">
        <v>1970</v>
      </c>
      <c r="EH94" s="277" t="s">
        <v>1970</v>
      </c>
      <c r="EI94" s="277" t="s">
        <v>1970</v>
      </c>
      <c r="EJ94" s="277" t="s">
        <v>1970</v>
      </c>
      <c r="EK94" s="277" t="s">
        <v>1970</v>
      </c>
      <c r="EL94" s="16">
        <v>20</v>
      </c>
      <c r="EN94" s="61" t="s">
        <v>1649</v>
      </c>
      <c r="EO94" s="61" t="s">
        <v>1968</v>
      </c>
      <c r="EP94" s="61">
        <v>690</v>
      </c>
      <c r="EQ94" s="61">
        <v>765</v>
      </c>
      <c r="ER94" s="61">
        <v>897</v>
      </c>
      <c r="ES94" s="61">
        <v>908</v>
      </c>
      <c r="ET94" s="61">
        <v>988</v>
      </c>
      <c r="EU94" s="61">
        <v>4248</v>
      </c>
      <c r="EV94" s="61"/>
      <c r="EW94" s="61" t="s">
        <v>1968</v>
      </c>
      <c r="EX94" s="61">
        <v>82</v>
      </c>
      <c r="EY94" s="61">
        <v>21</v>
      </c>
      <c r="EZ94" s="61">
        <v>10</v>
      </c>
      <c r="FA94" s="61">
        <v>9</v>
      </c>
      <c r="FB94" s="61">
        <v>16</v>
      </c>
      <c r="FC94" s="61">
        <v>138</v>
      </c>
      <c r="FF94" s="80" t="s">
        <v>1714</v>
      </c>
      <c r="FG94" s="80" t="s">
        <v>1968</v>
      </c>
      <c r="FH94" s="80">
        <v>2334</v>
      </c>
      <c r="FI94" s="80">
        <v>1213</v>
      </c>
      <c r="FJ94" s="80">
        <v>815</v>
      </c>
      <c r="FK94" s="80">
        <v>656</v>
      </c>
      <c r="FL94" s="80">
        <v>794</v>
      </c>
      <c r="FM94" s="80">
        <v>5812</v>
      </c>
      <c r="FN94" s="80"/>
      <c r="FO94" s="80" t="s">
        <v>1968</v>
      </c>
      <c r="FP94" s="80">
        <v>490</v>
      </c>
      <c r="FQ94" s="80">
        <v>0</v>
      </c>
      <c r="FR94" s="80">
        <v>0</v>
      </c>
      <c r="FS94" s="80">
        <v>0</v>
      </c>
      <c r="FT94" s="80">
        <v>0</v>
      </c>
      <c r="FU94" s="80">
        <v>490</v>
      </c>
    </row>
    <row r="95" spans="2:177" x14ac:dyDescent="0.3">
      <c r="B95" s="71" t="s">
        <v>224</v>
      </c>
      <c r="C95" s="71" t="s">
        <v>2856</v>
      </c>
      <c r="D95" s="71">
        <v>42</v>
      </c>
      <c r="E95" s="71">
        <v>4</v>
      </c>
      <c r="F95" s="71">
        <v>3</v>
      </c>
      <c r="G95" s="71">
        <v>4</v>
      </c>
      <c r="H95" s="71">
        <v>1</v>
      </c>
      <c r="I95" s="71">
        <v>54</v>
      </c>
      <c r="K95" s="71" t="s">
        <v>2856</v>
      </c>
      <c r="L95" s="71">
        <v>155</v>
      </c>
      <c r="M95" s="71">
        <v>229</v>
      </c>
      <c r="N95" s="71">
        <v>385</v>
      </c>
      <c r="O95" s="71">
        <v>539</v>
      </c>
      <c r="P95" s="71">
        <v>414</v>
      </c>
      <c r="Q95" s="71">
        <v>1722</v>
      </c>
      <c r="T95" s="273" t="s">
        <v>266</v>
      </c>
      <c r="U95" s="273" t="s">
        <v>2840</v>
      </c>
      <c r="V95" s="273">
        <v>535</v>
      </c>
      <c r="W95" s="273">
        <v>679</v>
      </c>
      <c r="X95" s="273">
        <v>835</v>
      </c>
      <c r="Y95" s="273">
        <v>873</v>
      </c>
      <c r="Z95" s="273">
        <v>561</v>
      </c>
      <c r="AA95" s="273">
        <v>3483</v>
      </c>
      <c r="AB95" s="273"/>
      <c r="AC95" s="273" t="s">
        <v>2840</v>
      </c>
      <c r="AD95" s="273">
        <v>61</v>
      </c>
      <c r="AE95" s="273">
        <v>2</v>
      </c>
      <c r="AF95" s="273">
        <v>1</v>
      </c>
      <c r="AG95" s="273">
        <v>0</v>
      </c>
      <c r="AH95" s="273">
        <v>0</v>
      </c>
      <c r="AI95" s="273">
        <v>64</v>
      </c>
      <c r="AJ95" s="16">
        <v>105</v>
      </c>
      <c r="AK95" s="73" t="s">
        <v>712</v>
      </c>
      <c r="AL95" s="73" t="s">
        <v>2856</v>
      </c>
      <c r="AM95" s="73" t="s">
        <v>1978</v>
      </c>
      <c r="AN95" s="73" t="s">
        <v>1978</v>
      </c>
      <c r="AO95" s="73" t="s">
        <v>1978</v>
      </c>
      <c r="AP95" s="73" t="s">
        <v>1978</v>
      </c>
      <c r="AQ95" s="73" t="s">
        <v>1978</v>
      </c>
      <c r="AR95" s="73" t="s">
        <v>1978</v>
      </c>
      <c r="AS95" s="73"/>
      <c r="AT95" s="73" t="s">
        <v>2856</v>
      </c>
      <c r="AU95" s="73" t="s">
        <v>1978</v>
      </c>
      <c r="AV95" s="73" t="s">
        <v>1978</v>
      </c>
      <c r="AW95" s="73" t="s">
        <v>1978</v>
      </c>
      <c r="AX95" s="73" t="s">
        <v>1978</v>
      </c>
      <c r="AY95" s="73" t="s">
        <v>1978</v>
      </c>
      <c r="AZ95" s="73" t="s">
        <v>1978</v>
      </c>
      <c r="BB95" s="78" t="s">
        <v>909</v>
      </c>
      <c r="BC95" s="78" t="s">
        <v>2856</v>
      </c>
      <c r="BD95" s="78">
        <v>471</v>
      </c>
      <c r="BE95" s="78">
        <v>643</v>
      </c>
      <c r="BF95" s="78">
        <v>815</v>
      </c>
      <c r="BG95" s="78">
        <v>846</v>
      </c>
      <c r="BH95" s="78">
        <v>531</v>
      </c>
      <c r="BI95" s="78">
        <v>3306</v>
      </c>
      <c r="BJ95" s="78"/>
      <c r="BK95" s="78" t="s">
        <v>2856</v>
      </c>
      <c r="BL95" s="78">
        <v>26</v>
      </c>
      <c r="BM95" s="78">
        <v>0</v>
      </c>
      <c r="BN95" s="78">
        <v>0</v>
      </c>
      <c r="BO95" s="78">
        <v>0</v>
      </c>
      <c r="BP95" s="78">
        <v>0</v>
      </c>
      <c r="BQ95" s="78">
        <v>26</v>
      </c>
      <c r="BS95" s="275" t="s">
        <v>1127</v>
      </c>
      <c r="BT95" s="275" t="s">
        <v>2840</v>
      </c>
      <c r="BU95" s="275">
        <v>233</v>
      </c>
      <c r="BV95" s="275">
        <v>158</v>
      </c>
      <c r="BW95" s="275">
        <v>288</v>
      </c>
      <c r="BX95" s="275">
        <v>328</v>
      </c>
      <c r="BY95" s="275">
        <v>307</v>
      </c>
      <c r="BZ95" s="275">
        <v>1314</v>
      </c>
      <c r="CA95" s="275"/>
      <c r="CB95" s="275" t="s">
        <v>2840</v>
      </c>
      <c r="CC95" s="275">
        <v>70</v>
      </c>
      <c r="CD95" s="275">
        <v>0</v>
      </c>
      <c r="CE95" s="275">
        <v>0</v>
      </c>
      <c r="CF95" s="275">
        <v>0</v>
      </c>
      <c r="CG95" s="275">
        <v>0</v>
      </c>
      <c r="CH95" s="275">
        <v>70</v>
      </c>
      <c r="CI95" s="16">
        <v>60</v>
      </c>
      <c r="CJ95" s="259"/>
      <c r="CL95" s="61" t="s">
        <v>1298</v>
      </c>
      <c r="CM95" s="61" t="s">
        <v>1968</v>
      </c>
      <c r="CN95" s="61">
        <v>361</v>
      </c>
      <c r="CO95" s="61">
        <v>218</v>
      </c>
      <c r="CP95" s="61">
        <v>341</v>
      </c>
      <c r="CQ95" s="61">
        <v>443</v>
      </c>
      <c r="CR95" s="61">
        <v>381</v>
      </c>
      <c r="CS95" s="61">
        <v>1744</v>
      </c>
      <c r="CT95" s="61"/>
      <c r="CU95" s="61" t="s">
        <v>1968</v>
      </c>
      <c r="CV95" s="61">
        <v>121</v>
      </c>
      <c r="CW95" s="61">
        <v>0</v>
      </c>
      <c r="CX95" s="61">
        <v>0</v>
      </c>
      <c r="CY95" s="61">
        <v>0</v>
      </c>
      <c r="CZ95" s="61">
        <v>0</v>
      </c>
      <c r="DA95" s="61">
        <v>121</v>
      </c>
      <c r="DV95" s="277" t="s">
        <v>1554</v>
      </c>
      <c r="DW95" s="277" t="s">
        <v>2840</v>
      </c>
      <c r="DX95" s="277">
        <v>159</v>
      </c>
      <c r="DY95" s="277">
        <v>102</v>
      </c>
      <c r="DZ95" s="277">
        <v>102</v>
      </c>
      <c r="EA95" s="277">
        <v>144</v>
      </c>
      <c r="EB95" s="277">
        <v>120</v>
      </c>
      <c r="EC95" s="277">
        <v>627</v>
      </c>
      <c r="ED95" s="277"/>
      <c r="EE95" s="277" t="s">
        <v>2840</v>
      </c>
      <c r="EF95" s="277">
        <v>29</v>
      </c>
      <c r="EG95" s="277">
        <v>0</v>
      </c>
      <c r="EH95" s="277">
        <v>0</v>
      </c>
      <c r="EI95" s="277">
        <v>0</v>
      </c>
      <c r="EJ95" s="277">
        <v>0</v>
      </c>
      <c r="EK95" s="277">
        <v>29</v>
      </c>
      <c r="EL95" s="16">
        <v>38</v>
      </c>
      <c r="EN95" s="61" t="s">
        <v>1653</v>
      </c>
      <c r="EO95" s="61" t="s">
        <v>1968</v>
      </c>
      <c r="EP95" s="61">
        <v>260</v>
      </c>
      <c r="EQ95" s="61">
        <v>376</v>
      </c>
      <c r="ER95" s="61">
        <v>370</v>
      </c>
      <c r="ES95" s="61">
        <v>463</v>
      </c>
      <c r="ET95" s="61">
        <v>463</v>
      </c>
      <c r="EU95" s="61">
        <v>1932</v>
      </c>
      <c r="EV95" s="61"/>
      <c r="EW95" s="61" t="s">
        <v>1968</v>
      </c>
      <c r="EX95" s="61">
        <v>9</v>
      </c>
      <c r="EY95" s="61">
        <v>9</v>
      </c>
      <c r="EZ95" s="61">
        <v>5</v>
      </c>
      <c r="FA95" s="61">
        <v>4</v>
      </c>
      <c r="FB95" s="61">
        <v>9</v>
      </c>
      <c r="FC95" s="61">
        <v>36</v>
      </c>
      <c r="FF95" s="80" t="s">
        <v>1718</v>
      </c>
      <c r="FG95" s="80" t="s">
        <v>1968</v>
      </c>
      <c r="FH95" s="80">
        <v>191</v>
      </c>
      <c r="FI95" s="80">
        <v>231</v>
      </c>
      <c r="FJ95" s="80">
        <v>302</v>
      </c>
      <c r="FK95" s="80">
        <v>344</v>
      </c>
      <c r="FL95" s="80">
        <v>438</v>
      </c>
      <c r="FM95" s="80">
        <v>1506</v>
      </c>
      <c r="FN95" s="80"/>
      <c r="FO95" s="80" t="s">
        <v>1968</v>
      </c>
      <c r="FP95" s="80">
        <v>18</v>
      </c>
      <c r="FQ95" s="80">
        <v>7</v>
      </c>
      <c r="FR95" s="80">
        <v>8</v>
      </c>
      <c r="FS95" s="80">
        <v>2</v>
      </c>
      <c r="FT95" s="80">
        <v>4</v>
      </c>
      <c r="FU95" s="80">
        <v>39</v>
      </c>
    </row>
    <row r="96" spans="2:177" x14ac:dyDescent="0.3">
      <c r="B96" s="71" t="s">
        <v>229</v>
      </c>
      <c r="C96" s="71" t="s">
        <v>2856</v>
      </c>
      <c r="D96" s="71" t="s">
        <v>1970</v>
      </c>
      <c r="E96" s="71" t="s">
        <v>1970</v>
      </c>
      <c r="F96" s="71" t="s">
        <v>1970</v>
      </c>
      <c r="G96" s="71" t="s">
        <v>1970</v>
      </c>
      <c r="H96" s="71" t="s">
        <v>1970</v>
      </c>
      <c r="I96" s="71" t="s">
        <v>1970</v>
      </c>
      <c r="K96" s="71" t="s">
        <v>2856</v>
      </c>
      <c r="L96" s="71" t="s">
        <v>1970</v>
      </c>
      <c r="M96" s="71" t="s">
        <v>1970</v>
      </c>
      <c r="N96" s="71" t="s">
        <v>1970</v>
      </c>
      <c r="O96" s="71" t="s">
        <v>1970</v>
      </c>
      <c r="P96" s="71" t="s">
        <v>1970</v>
      </c>
      <c r="Q96" s="71" t="s">
        <v>1970</v>
      </c>
      <c r="T96" s="273" t="s">
        <v>288</v>
      </c>
      <c r="U96" s="273" t="s">
        <v>2840</v>
      </c>
      <c r="V96" s="273">
        <v>108</v>
      </c>
      <c r="W96" s="273">
        <v>137</v>
      </c>
      <c r="X96" s="273">
        <v>209</v>
      </c>
      <c r="Y96" s="273">
        <v>285</v>
      </c>
      <c r="Z96" s="273">
        <v>246</v>
      </c>
      <c r="AA96" s="273">
        <v>985</v>
      </c>
      <c r="AB96" s="273"/>
      <c r="AC96" s="273" t="s">
        <v>2840</v>
      </c>
      <c r="AD96" s="273">
        <v>10</v>
      </c>
      <c r="AE96" s="273">
        <v>0</v>
      </c>
      <c r="AF96" s="273">
        <v>0</v>
      </c>
      <c r="AG96" s="273">
        <v>0</v>
      </c>
      <c r="AH96" s="273">
        <v>0</v>
      </c>
      <c r="AI96" s="273">
        <v>10</v>
      </c>
      <c r="AJ96" s="16">
        <v>15</v>
      </c>
      <c r="AK96" s="73" t="s">
        <v>715</v>
      </c>
      <c r="AL96" s="73" t="s">
        <v>2856</v>
      </c>
      <c r="AM96" s="73" t="s">
        <v>1978</v>
      </c>
      <c r="AN96" s="73" t="s">
        <v>1978</v>
      </c>
      <c r="AO96" s="73" t="s">
        <v>1978</v>
      </c>
      <c r="AP96" s="73" t="s">
        <v>1978</v>
      </c>
      <c r="AQ96" s="73" t="s">
        <v>1978</v>
      </c>
      <c r="AR96" s="73" t="s">
        <v>1978</v>
      </c>
      <c r="AS96" s="73"/>
      <c r="AT96" s="73" t="s">
        <v>2856</v>
      </c>
      <c r="AU96" s="73" t="s">
        <v>1978</v>
      </c>
      <c r="AV96" s="73" t="s">
        <v>1978</v>
      </c>
      <c r="AW96" s="73" t="s">
        <v>1978</v>
      </c>
      <c r="AX96" s="73" t="s">
        <v>1978</v>
      </c>
      <c r="AY96" s="73" t="s">
        <v>1978</v>
      </c>
      <c r="AZ96" s="73" t="s">
        <v>1978</v>
      </c>
      <c r="BB96" s="78" t="s">
        <v>922</v>
      </c>
      <c r="BC96" s="78" t="s">
        <v>2856</v>
      </c>
      <c r="BD96" s="78">
        <v>182</v>
      </c>
      <c r="BE96" s="78">
        <v>204</v>
      </c>
      <c r="BF96" s="78">
        <v>425</v>
      </c>
      <c r="BG96" s="78">
        <v>597</v>
      </c>
      <c r="BH96" s="78">
        <v>460</v>
      </c>
      <c r="BI96" s="78">
        <v>1868</v>
      </c>
      <c r="BJ96" s="78"/>
      <c r="BK96" s="78" t="s">
        <v>2856</v>
      </c>
      <c r="BL96" s="78">
        <v>28</v>
      </c>
      <c r="BM96" s="78">
        <v>0</v>
      </c>
      <c r="BN96" s="78">
        <v>0</v>
      </c>
      <c r="BO96" s="78">
        <v>0</v>
      </c>
      <c r="BP96" s="78">
        <v>0</v>
      </c>
      <c r="BQ96" s="78">
        <v>28</v>
      </c>
      <c r="BS96" s="275" t="s">
        <v>1131</v>
      </c>
      <c r="BT96" s="275" t="s">
        <v>2840</v>
      </c>
      <c r="BU96" s="275">
        <v>144</v>
      </c>
      <c r="BV96" s="275">
        <v>114</v>
      </c>
      <c r="BW96" s="275">
        <v>170</v>
      </c>
      <c r="BX96" s="275">
        <v>205</v>
      </c>
      <c r="BY96" s="275">
        <v>206</v>
      </c>
      <c r="BZ96" s="275">
        <v>839</v>
      </c>
      <c r="CA96" s="275"/>
      <c r="CB96" s="275" t="s">
        <v>2840</v>
      </c>
      <c r="CC96" s="275">
        <v>27</v>
      </c>
      <c r="CD96" s="275">
        <v>0</v>
      </c>
      <c r="CE96" s="275">
        <v>0</v>
      </c>
      <c r="CF96" s="275">
        <v>0</v>
      </c>
      <c r="CG96" s="275">
        <v>0</v>
      </c>
      <c r="CH96" s="275">
        <v>27</v>
      </c>
      <c r="CI96" s="16">
        <v>26</v>
      </c>
      <c r="CJ96" s="259"/>
      <c r="CL96" s="61" t="s">
        <v>1302</v>
      </c>
      <c r="CM96" s="61" t="s">
        <v>1968</v>
      </c>
      <c r="CN96" s="61">
        <v>435</v>
      </c>
      <c r="CO96" s="61">
        <v>247</v>
      </c>
      <c r="CP96" s="61">
        <v>360</v>
      </c>
      <c r="CQ96" s="61">
        <v>473</v>
      </c>
      <c r="CR96" s="61">
        <v>458</v>
      </c>
      <c r="CS96" s="61">
        <v>1973</v>
      </c>
      <c r="CT96" s="61"/>
      <c r="CU96" s="61" t="s">
        <v>1968</v>
      </c>
      <c r="CV96" s="61">
        <v>157</v>
      </c>
      <c r="CW96" s="61">
        <v>0</v>
      </c>
      <c r="CX96" s="61">
        <v>0</v>
      </c>
      <c r="CY96" s="61">
        <v>0</v>
      </c>
      <c r="CZ96" s="61">
        <v>0</v>
      </c>
      <c r="DA96" s="61">
        <v>157</v>
      </c>
      <c r="DV96" s="277" t="s">
        <v>1558</v>
      </c>
      <c r="DW96" s="277" t="s">
        <v>2840</v>
      </c>
      <c r="DX96" s="277">
        <v>292</v>
      </c>
      <c r="DY96" s="277">
        <v>238</v>
      </c>
      <c r="DZ96" s="277">
        <v>314</v>
      </c>
      <c r="EA96" s="277">
        <v>300</v>
      </c>
      <c r="EB96" s="277">
        <v>233</v>
      </c>
      <c r="EC96" s="277">
        <v>1377</v>
      </c>
      <c r="ED96" s="277"/>
      <c r="EE96" s="277" t="s">
        <v>2840</v>
      </c>
      <c r="EF96" s="277">
        <v>30</v>
      </c>
      <c r="EG96" s="277">
        <v>0</v>
      </c>
      <c r="EH96" s="277">
        <v>0</v>
      </c>
      <c r="EI96" s="277">
        <v>0</v>
      </c>
      <c r="EJ96" s="277">
        <v>0</v>
      </c>
      <c r="EK96" s="277">
        <v>30</v>
      </c>
      <c r="EL96" s="16">
        <v>38</v>
      </c>
      <c r="EN96" s="61" t="s">
        <v>1657</v>
      </c>
      <c r="EO96" s="61" t="s">
        <v>1968</v>
      </c>
      <c r="EP96" s="61">
        <v>116</v>
      </c>
      <c r="EQ96" s="61">
        <v>139</v>
      </c>
      <c r="ER96" s="61">
        <v>137</v>
      </c>
      <c r="ES96" s="61">
        <v>149</v>
      </c>
      <c r="ET96" s="61">
        <v>198</v>
      </c>
      <c r="EU96" s="61">
        <v>739</v>
      </c>
      <c r="EV96" s="61"/>
      <c r="EW96" s="61" t="s">
        <v>1968</v>
      </c>
      <c r="EX96" s="61">
        <v>27</v>
      </c>
      <c r="EY96" s="61">
        <v>5</v>
      </c>
      <c r="EZ96" s="61">
        <v>0</v>
      </c>
      <c r="FA96" s="61">
        <v>0</v>
      </c>
      <c r="FB96" s="61">
        <v>0</v>
      </c>
      <c r="FC96" s="61">
        <v>32</v>
      </c>
      <c r="FF96" s="80" t="s">
        <v>1722</v>
      </c>
      <c r="FG96" s="80" t="s">
        <v>1968</v>
      </c>
      <c r="FH96" s="80" t="s">
        <v>1970</v>
      </c>
      <c r="FI96" s="80" t="s">
        <v>1970</v>
      </c>
      <c r="FJ96" s="80" t="s">
        <v>1970</v>
      </c>
      <c r="FK96" s="80" t="s">
        <v>1970</v>
      </c>
      <c r="FL96" s="80" t="s">
        <v>1970</v>
      </c>
      <c r="FM96" s="80" t="s">
        <v>1970</v>
      </c>
      <c r="FN96" s="80"/>
      <c r="FO96" s="80" t="s">
        <v>1968</v>
      </c>
      <c r="FP96" s="80" t="s">
        <v>1970</v>
      </c>
      <c r="FQ96" s="80" t="s">
        <v>1970</v>
      </c>
      <c r="FR96" s="80" t="s">
        <v>1970</v>
      </c>
      <c r="FS96" s="80" t="s">
        <v>1970</v>
      </c>
      <c r="FT96" s="80" t="s">
        <v>1970</v>
      </c>
      <c r="FU96" s="80" t="s">
        <v>1970</v>
      </c>
    </row>
    <row r="97" spans="2:177" x14ac:dyDescent="0.3">
      <c r="B97" s="71" t="s">
        <v>245</v>
      </c>
      <c r="C97" s="71" t="s">
        <v>2856</v>
      </c>
      <c r="D97" s="71">
        <v>15</v>
      </c>
      <c r="E97" s="71">
        <v>0</v>
      </c>
      <c r="F97" s="71">
        <v>0</v>
      </c>
      <c r="G97" s="71">
        <v>0</v>
      </c>
      <c r="H97" s="71">
        <v>0</v>
      </c>
      <c r="I97" s="71">
        <v>15</v>
      </c>
      <c r="K97" s="71" t="s">
        <v>2856</v>
      </c>
      <c r="L97" s="71">
        <v>175</v>
      </c>
      <c r="M97" s="71">
        <v>139</v>
      </c>
      <c r="N97" s="71">
        <v>202</v>
      </c>
      <c r="O97" s="71">
        <v>325</v>
      </c>
      <c r="P97" s="71">
        <v>370</v>
      </c>
      <c r="Q97" s="71">
        <v>1211</v>
      </c>
      <c r="T97" s="273" t="s">
        <v>310</v>
      </c>
      <c r="U97" s="273" t="s">
        <v>2840</v>
      </c>
      <c r="V97" s="273" t="s">
        <v>1970</v>
      </c>
      <c r="W97" s="273" t="s">
        <v>1970</v>
      </c>
      <c r="X97" s="273" t="s">
        <v>1970</v>
      </c>
      <c r="Y97" s="273" t="s">
        <v>1970</v>
      </c>
      <c r="Z97" s="273" t="s">
        <v>1970</v>
      </c>
      <c r="AA97" s="273" t="s">
        <v>1970</v>
      </c>
      <c r="AB97" s="273"/>
      <c r="AC97" s="273" t="s">
        <v>2840</v>
      </c>
      <c r="AD97" s="273" t="s">
        <v>1970</v>
      </c>
      <c r="AE97" s="273" t="s">
        <v>1970</v>
      </c>
      <c r="AF97" s="273" t="s">
        <v>1970</v>
      </c>
      <c r="AG97" s="273" t="s">
        <v>1970</v>
      </c>
      <c r="AH97" s="273" t="s">
        <v>1970</v>
      </c>
      <c r="AI97" s="273" t="s">
        <v>1970</v>
      </c>
      <c r="AJ97" s="16">
        <v>43</v>
      </c>
      <c r="AK97" s="73" t="s">
        <v>719</v>
      </c>
      <c r="AL97" s="73" t="s">
        <v>2856</v>
      </c>
      <c r="AM97" s="73">
        <v>642</v>
      </c>
      <c r="AN97" s="73">
        <v>499</v>
      </c>
      <c r="AO97" s="73">
        <v>504</v>
      </c>
      <c r="AP97" s="73">
        <v>502</v>
      </c>
      <c r="AQ97" s="73">
        <v>323</v>
      </c>
      <c r="AR97" s="73">
        <v>2470</v>
      </c>
      <c r="AS97" s="73"/>
      <c r="AT97" s="73" t="s">
        <v>2856</v>
      </c>
      <c r="AU97" s="73">
        <v>86</v>
      </c>
      <c r="AV97" s="73">
        <v>3</v>
      </c>
      <c r="AW97" s="73">
        <v>2</v>
      </c>
      <c r="AX97" s="73">
        <v>0</v>
      </c>
      <c r="AY97" s="73">
        <v>0</v>
      </c>
      <c r="AZ97" s="73">
        <v>91</v>
      </c>
      <c r="BB97" s="78" t="s">
        <v>927</v>
      </c>
      <c r="BC97" s="78" t="s">
        <v>2856</v>
      </c>
      <c r="BD97" s="78">
        <v>262</v>
      </c>
      <c r="BE97" s="78">
        <v>336</v>
      </c>
      <c r="BF97" s="78">
        <v>562</v>
      </c>
      <c r="BG97" s="78">
        <v>750</v>
      </c>
      <c r="BH97" s="78">
        <v>628</v>
      </c>
      <c r="BI97" s="78">
        <v>2538</v>
      </c>
      <c r="BJ97" s="78"/>
      <c r="BK97" s="78" t="s">
        <v>2856</v>
      </c>
      <c r="BL97" s="78">
        <v>31</v>
      </c>
      <c r="BM97" s="78">
        <v>0</v>
      </c>
      <c r="BN97" s="78">
        <v>0</v>
      </c>
      <c r="BO97" s="78">
        <v>0</v>
      </c>
      <c r="BP97" s="78">
        <v>0</v>
      </c>
      <c r="BQ97" s="78">
        <v>31</v>
      </c>
      <c r="BS97" s="275" t="s">
        <v>1135</v>
      </c>
      <c r="BT97" s="275" t="s">
        <v>2840</v>
      </c>
      <c r="BU97" s="275">
        <v>104</v>
      </c>
      <c r="BV97" s="275">
        <v>36</v>
      </c>
      <c r="BW97" s="275">
        <v>73</v>
      </c>
      <c r="BX97" s="275">
        <v>94</v>
      </c>
      <c r="BY97" s="275">
        <v>104</v>
      </c>
      <c r="BZ97" s="275">
        <v>411</v>
      </c>
      <c r="CA97" s="275"/>
      <c r="CB97" s="275" t="s">
        <v>2840</v>
      </c>
      <c r="CC97" s="275">
        <v>20</v>
      </c>
      <c r="CD97" s="275">
        <v>0</v>
      </c>
      <c r="CE97" s="275">
        <v>0</v>
      </c>
      <c r="CF97" s="275">
        <v>0</v>
      </c>
      <c r="CG97" s="275">
        <v>0</v>
      </c>
      <c r="CH97" s="275">
        <v>20</v>
      </c>
      <c r="CI97" s="16">
        <v>20</v>
      </c>
      <c r="CJ97" s="259"/>
      <c r="CL97" s="61" t="s">
        <v>1333</v>
      </c>
      <c r="CM97" s="61" t="s">
        <v>1968</v>
      </c>
      <c r="CN97" s="61">
        <v>97</v>
      </c>
      <c r="CO97" s="61">
        <v>58</v>
      </c>
      <c r="CP97" s="61">
        <v>124</v>
      </c>
      <c r="CQ97" s="61">
        <v>191</v>
      </c>
      <c r="CR97" s="61">
        <v>189</v>
      </c>
      <c r="CS97" s="61">
        <v>659</v>
      </c>
      <c r="CT97" s="61"/>
      <c r="CU97" s="61" t="s">
        <v>1968</v>
      </c>
      <c r="CV97" s="61">
        <v>24</v>
      </c>
      <c r="CW97" s="61">
        <v>0</v>
      </c>
      <c r="CX97" s="61">
        <v>0</v>
      </c>
      <c r="CY97" s="61">
        <v>0</v>
      </c>
      <c r="CZ97" s="61">
        <v>0</v>
      </c>
      <c r="DA97" s="61">
        <v>24</v>
      </c>
      <c r="DV97" s="277" t="s">
        <v>1562</v>
      </c>
      <c r="DW97" s="277" t="s">
        <v>2840</v>
      </c>
      <c r="DX97" s="277">
        <v>95</v>
      </c>
      <c r="DY97" s="277">
        <v>86</v>
      </c>
      <c r="DZ97" s="277">
        <v>136</v>
      </c>
      <c r="EA97" s="277">
        <v>177</v>
      </c>
      <c r="EB97" s="277">
        <v>146</v>
      </c>
      <c r="EC97" s="277">
        <v>640</v>
      </c>
      <c r="ED97" s="277"/>
      <c r="EE97" s="277" t="s">
        <v>2840</v>
      </c>
      <c r="EF97" s="277">
        <v>11</v>
      </c>
      <c r="EG97" s="277">
        <v>0</v>
      </c>
      <c r="EH97" s="277">
        <v>0</v>
      </c>
      <c r="EI97" s="277">
        <v>0</v>
      </c>
      <c r="EJ97" s="277">
        <v>0</v>
      </c>
      <c r="EK97" s="277">
        <v>11</v>
      </c>
      <c r="EL97" s="16">
        <v>20</v>
      </c>
      <c r="EN97" s="61" t="s">
        <v>1661</v>
      </c>
      <c r="EO97" s="61" t="s">
        <v>1968</v>
      </c>
      <c r="EP97" s="61">
        <v>87</v>
      </c>
      <c r="EQ97" s="61">
        <v>139</v>
      </c>
      <c r="ER97" s="61">
        <v>145</v>
      </c>
      <c r="ES97" s="61">
        <v>192</v>
      </c>
      <c r="ET97" s="61">
        <v>209</v>
      </c>
      <c r="EU97" s="61">
        <v>772</v>
      </c>
      <c r="EV97" s="61"/>
      <c r="EW97" s="61" t="s">
        <v>1968</v>
      </c>
      <c r="EX97" s="61">
        <v>32</v>
      </c>
      <c r="EY97" s="61">
        <v>16</v>
      </c>
      <c r="EZ97" s="61">
        <v>4</v>
      </c>
      <c r="FA97" s="61">
        <v>0</v>
      </c>
      <c r="FB97" s="61">
        <v>4</v>
      </c>
      <c r="FC97" s="61">
        <v>56</v>
      </c>
      <c r="FF97" s="80" t="s">
        <v>1726</v>
      </c>
      <c r="FG97" s="80" t="s">
        <v>1968</v>
      </c>
      <c r="FH97" s="80" t="s">
        <v>1970</v>
      </c>
      <c r="FI97" s="80" t="s">
        <v>1970</v>
      </c>
      <c r="FJ97" s="80" t="s">
        <v>1970</v>
      </c>
      <c r="FK97" s="80" t="s">
        <v>1970</v>
      </c>
      <c r="FL97" s="80" t="s">
        <v>1970</v>
      </c>
      <c r="FM97" s="80" t="s">
        <v>1970</v>
      </c>
      <c r="FN97" s="80"/>
      <c r="FO97" s="80" t="s">
        <v>1968</v>
      </c>
      <c r="FP97" s="80" t="s">
        <v>1970</v>
      </c>
      <c r="FQ97" s="80" t="s">
        <v>1970</v>
      </c>
      <c r="FR97" s="80" t="s">
        <v>1970</v>
      </c>
      <c r="FS97" s="80" t="s">
        <v>1970</v>
      </c>
      <c r="FT97" s="80" t="s">
        <v>1970</v>
      </c>
      <c r="FU97" s="80" t="s">
        <v>1970</v>
      </c>
    </row>
    <row r="98" spans="2:177" x14ac:dyDescent="0.3">
      <c r="B98" s="71" t="s">
        <v>250</v>
      </c>
      <c r="C98" s="71" t="s">
        <v>2856</v>
      </c>
      <c r="D98" s="71" t="s">
        <v>1970</v>
      </c>
      <c r="E98" s="71" t="s">
        <v>1970</v>
      </c>
      <c r="F98" s="71" t="s">
        <v>1970</v>
      </c>
      <c r="G98" s="71" t="s">
        <v>1970</v>
      </c>
      <c r="H98" s="71" t="s">
        <v>1970</v>
      </c>
      <c r="I98" s="71" t="s">
        <v>1970</v>
      </c>
      <c r="K98" s="71" t="s">
        <v>2856</v>
      </c>
      <c r="L98" s="71" t="s">
        <v>1970</v>
      </c>
      <c r="M98" s="71" t="s">
        <v>1970</v>
      </c>
      <c r="N98" s="71" t="s">
        <v>1970</v>
      </c>
      <c r="O98" s="71" t="s">
        <v>1970</v>
      </c>
      <c r="P98" s="71" t="s">
        <v>1970</v>
      </c>
      <c r="Q98" s="71" t="s">
        <v>1970</v>
      </c>
      <c r="T98" s="273" t="s">
        <v>314</v>
      </c>
      <c r="U98" s="273" t="s">
        <v>2840</v>
      </c>
      <c r="V98" s="273">
        <v>396</v>
      </c>
      <c r="W98" s="273">
        <v>551</v>
      </c>
      <c r="X98" s="273">
        <v>631</v>
      </c>
      <c r="Y98" s="273">
        <v>773</v>
      </c>
      <c r="Z98" s="273">
        <v>585</v>
      </c>
      <c r="AA98" s="273">
        <v>2936</v>
      </c>
      <c r="AB98" s="273"/>
      <c r="AC98" s="273" t="s">
        <v>2840</v>
      </c>
      <c r="AD98" s="273">
        <v>36</v>
      </c>
      <c r="AE98" s="273">
        <v>9</v>
      </c>
      <c r="AF98" s="273">
        <v>2</v>
      </c>
      <c r="AG98" s="273">
        <v>1</v>
      </c>
      <c r="AH98" s="273">
        <v>0</v>
      </c>
      <c r="AI98" s="273">
        <v>48</v>
      </c>
      <c r="AJ98" s="16">
        <v>47</v>
      </c>
      <c r="AK98" s="73" t="s">
        <v>726</v>
      </c>
      <c r="AL98" s="73" t="s">
        <v>2856</v>
      </c>
      <c r="AM98" s="73">
        <v>1370</v>
      </c>
      <c r="AN98" s="73">
        <v>1058</v>
      </c>
      <c r="AO98" s="73">
        <v>1606</v>
      </c>
      <c r="AP98" s="73">
        <v>1926</v>
      </c>
      <c r="AQ98" s="73">
        <v>1428</v>
      </c>
      <c r="AR98" s="73">
        <v>7388</v>
      </c>
      <c r="AS98" s="73"/>
      <c r="AT98" s="73" t="s">
        <v>2856</v>
      </c>
      <c r="AU98" s="73">
        <v>45</v>
      </c>
      <c r="AV98" s="73">
        <v>0</v>
      </c>
      <c r="AW98" s="73">
        <v>0</v>
      </c>
      <c r="AX98" s="73">
        <v>0</v>
      </c>
      <c r="AY98" s="73">
        <v>0</v>
      </c>
      <c r="AZ98" s="73">
        <v>45</v>
      </c>
      <c r="BB98" s="78" t="s">
        <v>932</v>
      </c>
      <c r="BC98" s="78" t="s">
        <v>2856</v>
      </c>
      <c r="BD98" s="78">
        <v>218</v>
      </c>
      <c r="BE98" s="78">
        <v>257</v>
      </c>
      <c r="BF98" s="78">
        <v>379</v>
      </c>
      <c r="BG98" s="78">
        <v>395</v>
      </c>
      <c r="BH98" s="78">
        <v>341</v>
      </c>
      <c r="BI98" s="78">
        <v>1590</v>
      </c>
      <c r="BJ98" s="78"/>
      <c r="BK98" s="78" t="s">
        <v>2856</v>
      </c>
      <c r="BL98" s="78">
        <v>27</v>
      </c>
      <c r="BM98" s="78">
        <v>0</v>
      </c>
      <c r="BN98" s="78">
        <v>0</v>
      </c>
      <c r="BO98" s="78">
        <v>0</v>
      </c>
      <c r="BP98" s="78">
        <v>0</v>
      </c>
      <c r="BQ98" s="78">
        <v>27</v>
      </c>
      <c r="BS98" s="275" t="s">
        <v>1138</v>
      </c>
      <c r="BT98" s="275" t="s">
        <v>2840</v>
      </c>
      <c r="BU98" s="275">
        <v>110</v>
      </c>
      <c r="BV98" s="275">
        <v>69</v>
      </c>
      <c r="BW98" s="275">
        <v>79</v>
      </c>
      <c r="BX98" s="275">
        <v>95</v>
      </c>
      <c r="BY98" s="275">
        <v>113</v>
      </c>
      <c r="BZ98" s="275">
        <v>466</v>
      </c>
      <c r="CA98" s="275"/>
      <c r="CB98" s="275" t="s">
        <v>2840</v>
      </c>
      <c r="CC98" s="275">
        <v>50</v>
      </c>
      <c r="CD98" s="275">
        <v>2</v>
      </c>
      <c r="CE98" s="275">
        <v>2</v>
      </c>
      <c r="CF98" s="275">
        <v>1</v>
      </c>
      <c r="CG98" s="275">
        <v>1</v>
      </c>
      <c r="CH98" s="275">
        <v>56</v>
      </c>
      <c r="CI98" s="16">
        <v>50</v>
      </c>
      <c r="CJ98" s="259"/>
      <c r="CL98" s="61" t="s">
        <v>1306</v>
      </c>
      <c r="CM98" s="61" t="s">
        <v>1968</v>
      </c>
      <c r="CN98" s="61">
        <v>64</v>
      </c>
      <c r="CO98" s="61">
        <v>67</v>
      </c>
      <c r="CP98" s="61">
        <v>128</v>
      </c>
      <c r="CQ98" s="61">
        <v>215</v>
      </c>
      <c r="CR98" s="61">
        <v>201</v>
      </c>
      <c r="CS98" s="61">
        <v>675</v>
      </c>
      <c r="CT98" s="61"/>
      <c r="CU98" s="61" t="s">
        <v>1968</v>
      </c>
      <c r="CV98" s="61">
        <v>22</v>
      </c>
      <c r="CW98" s="61">
        <v>0</v>
      </c>
      <c r="CX98" s="61">
        <v>0</v>
      </c>
      <c r="CY98" s="61">
        <v>0</v>
      </c>
      <c r="CZ98" s="61">
        <v>0</v>
      </c>
      <c r="DA98" s="61">
        <v>22</v>
      </c>
      <c r="EN98" s="61" t="s">
        <v>1665</v>
      </c>
      <c r="EO98" s="61" t="s">
        <v>1968</v>
      </c>
      <c r="EP98" s="61">
        <v>54</v>
      </c>
      <c r="EQ98" s="61">
        <v>94</v>
      </c>
      <c r="ER98" s="61">
        <v>156</v>
      </c>
      <c r="ES98" s="61">
        <v>208</v>
      </c>
      <c r="ET98" s="61">
        <v>255</v>
      </c>
      <c r="EU98" s="61">
        <v>767</v>
      </c>
      <c r="EV98" s="61"/>
      <c r="EW98" s="61" t="s">
        <v>1968</v>
      </c>
      <c r="EX98" s="61">
        <v>11</v>
      </c>
      <c r="EY98" s="61">
        <v>6</v>
      </c>
      <c r="EZ98" s="61">
        <v>3</v>
      </c>
      <c r="FA98" s="61">
        <v>4</v>
      </c>
      <c r="FB98" s="61">
        <v>4</v>
      </c>
      <c r="FC98" s="61">
        <v>28</v>
      </c>
      <c r="FF98" s="80" t="s">
        <v>1730</v>
      </c>
      <c r="FG98" s="80" t="s">
        <v>1968</v>
      </c>
      <c r="FH98" s="80">
        <v>118</v>
      </c>
      <c r="FI98" s="80">
        <v>148</v>
      </c>
      <c r="FJ98" s="80">
        <v>198</v>
      </c>
      <c r="FK98" s="80">
        <v>298</v>
      </c>
      <c r="FL98" s="80">
        <v>348</v>
      </c>
      <c r="FM98" s="80">
        <v>1110</v>
      </c>
      <c r="FN98" s="80"/>
      <c r="FO98" s="80" t="s">
        <v>1968</v>
      </c>
      <c r="FP98" s="80">
        <v>21</v>
      </c>
      <c r="FQ98" s="80">
        <v>6</v>
      </c>
      <c r="FR98" s="80">
        <v>3</v>
      </c>
      <c r="FS98" s="80">
        <v>3</v>
      </c>
      <c r="FT98" s="80">
        <v>1</v>
      </c>
      <c r="FU98" s="80">
        <v>34</v>
      </c>
    </row>
    <row r="99" spans="2:177" x14ac:dyDescent="0.3">
      <c r="B99" s="71" t="s">
        <v>255</v>
      </c>
      <c r="C99" s="71" t="s">
        <v>2856</v>
      </c>
      <c r="D99" s="71" t="s">
        <v>1970</v>
      </c>
      <c r="E99" s="71" t="s">
        <v>1970</v>
      </c>
      <c r="F99" s="71" t="s">
        <v>1970</v>
      </c>
      <c r="G99" s="71" t="s">
        <v>1970</v>
      </c>
      <c r="H99" s="71" t="s">
        <v>1970</v>
      </c>
      <c r="I99" s="71" t="s">
        <v>1970</v>
      </c>
      <c r="K99" s="71" t="s">
        <v>2856</v>
      </c>
      <c r="L99" s="71" t="s">
        <v>1970</v>
      </c>
      <c r="M99" s="71" t="s">
        <v>1970</v>
      </c>
      <c r="N99" s="71" t="s">
        <v>1970</v>
      </c>
      <c r="O99" s="71" t="s">
        <v>1970</v>
      </c>
      <c r="P99" s="71" t="s">
        <v>1970</v>
      </c>
      <c r="Q99" s="71" t="s">
        <v>1970</v>
      </c>
      <c r="T99" s="273" t="s">
        <v>320</v>
      </c>
      <c r="U99" s="273" t="s">
        <v>2840</v>
      </c>
      <c r="V99" s="273">
        <v>1258</v>
      </c>
      <c r="W99" s="273">
        <v>1183</v>
      </c>
      <c r="X99" s="273">
        <v>1400</v>
      </c>
      <c r="Y99" s="273">
        <v>1464</v>
      </c>
      <c r="Z99" s="273">
        <v>1076</v>
      </c>
      <c r="AA99" s="273">
        <v>6381</v>
      </c>
      <c r="AB99" s="273"/>
      <c r="AC99" s="273" t="s">
        <v>2840</v>
      </c>
      <c r="AD99" s="273">
        <v>158</v>
      </c>
      <c r="AE99" s="273">
        <v>39</v>
      </c>
      <c r="AF99" s="273">
        <v>10</v>
      </c>
      <c r="AG99" s="273">
        <v>3</v>
      </c>
      <c r="AH99" s="273">
        <v>3</v>
      </c>
      <c r="AI99" s="273">
        <v>213</v>
      </c>
      <c r="AJ99" s="16">
        <v>187</v>
      </c>
      <c r="AK99" s="73" t="s">
        <v>730</v>
      </c>
      <c r="AL99" s="73" t="s">
        <v>2856</v>
      </c>
      <c r="AM99" s="73">
        <v>854</v>
      </c>
      <c r="AN99" s="73">
        <v>1101</v>
      </c>
      <c r="AO99" s="73">
        <v>1546</v>
      </c>
      <c r="AP99" s="73">
        <v>1763</v>
      </c>
      <c r="AQ99" s="73">
        <v>1076</v>
      </c>
      <c r="AR99" s="73">
        <v>6340</v>
      </c>
      <c r="AS99" s="73"/>
      <c r="AT99" s="73" t="s">
        <v>2856</v>
      </c>
      <c r="AU99" s="73">
        <v>42</v>
      </c>
      <c r="AV99" s="73">
        <v>7</v>
      </c>
      <c r="AW99" s="73">
        <v>0</v>
      </c>
      <c r="AX99" s="73">
        <v>0</v>
      </c>
      <c r="AY99" s="73">
        <v>0</v>
      </c>
      <c r="AZ99" s="73">
        <v>49</v>
      </c>
      <c r="BB99" s="78" t="s">
        <v>936</v>
      </c>
      <c r="BC99" s="78" t="s">
        <v>2856</v>
      </c>
      <c r="BD99" s="78">
        <v>548</v>
      </c>
      <c r="BE99" s="78">
        <v>59</v>
      </c>
      <c r="BF99" s="78">
        <v>106</v>
      </c>
      <c r="BG99" s="78">
        <v>134</v>
      </c>
      <c r="BH99" s="78">
        <v>255</v>
      </c>
      <c r="BI99" s="78">
        <v>1102</v>
      </c>
      <c r="BJ99" s="78"/>
      <c r="BK99" s="78" t="s">
        <v>2856</v>
      </c>
      <c r="BL99" s="78">
        <v>192</v>
      </c>
      <c r="BM99" s="78">
        <v>0</v>
      </c>
      <c r="BN99" s="78">
        <v>0</v>
      </c>
      <c r="BO99" s="78">
        <v>0</v>
      </c>
      <c r="BP99" s="78">
        <v>0</v>
      </c>
      <c r="BQ99" s="78">
        <v>192</v>
      </c>
      <c r="BS99" s="275" t="s">
        <v>1142</v>
      </c>
      <c r="BT99" s="275" t="s">
        <v>2840</v>
      </c>
      <c r="BU99" s="275">
        <v>55</v>
      </c>
      <c r="BV99" s="275">
        <v>60</v>
      </c>
      <c r="BW99" s="275">
        <v>86</v>
      </c>
      <c r="BX99" s="275">
        <v>94</v>
      </c>
      <c r="BY99" s="275">
        <v>107</v>
      </c>
      <c r="BZ99" s="275">
        <v>402</v>
      </c>
      <c r="CA99" s="275"/>
      <c r="CB99" s="275" t="s">
        <v>2840</v>
      </c>
      <c r="CC99" s="275">
        <v>25</v>
      </c>
      <c r="CD99" s="275">
        <v>0</v>
      </c>
      <c r="CE99" s="275">
        <v>0</v>
      </c>
      <c r="CF99" s="275">
        <v>0</v>
      </c>
      <c r="CG99" s="275">
        <v>0</v>
      </c>
      <c r="CH99" s="275">
        <v>25</v>
      </c>
      <c r="CI99" s="16">
        <v>28</v>
      </c>
      <c r="CL99" s="61" t="s">
        <v>1313</v>
      </c>
      <c r="CM99" s="61" t="s">
        <v>1968</v>
      </c>
      <c r="CN99" s="61">
        <v>126</v>
      </c>
      <c r="CO99" s="61">
        <v>65</v>
      </c>
      <c r="CP99" s="61">
        <v>85</v>
      </c>
      <c r="CQ99" s="61">
        <v>118</v>
      </c>
      <c r="CR99" s="61">
        <v>135</v>
      </c>
      <c r="CS99" s="61">
        <v>529</v>
      </c>
      <c r="CT99" s="61"/>
      <c r="CU99" s="61" t="s">
        <v>1968</v>
      </c>
      <c r="CV99" s="61">
        <v>67</v>
      </c>
      <c r="CW99" s="61">
        <v>0</v>
      </c>
      <c r="CX99" s="61">
        <v>0</v>
      </c>
      <c r="CY99" s="61">
        <v>0</v>
      </c>
      <c r="CZ99" s="61">
        <v>0</v>
      </c>
      <c r="DA99" s="61">
        <v>67</v>
      </c>
      <c r="EN99" s="61" t="s">
        <v>1669</v>
      </c>
      <c r="EO99" s="61" t="s">
        <v>1968</v>
      </c>
      <c r="EP99" s="61">
        <v>146</v>
      </c>
      <c r="EQ99" s="61">
        <v>168</v>
      </c>
      <c r="ER99" s="61">
        <v>210</v>
      </c>
      <c r="ES99" s="61">
        <v>231</v>
      </c>
      <c r="ET99" s="61">
        <v>272</v>
      </c>
      <c r="EU99" s="61">
        <v>1027</v>
      </c>
      <c r="EV99" s="61"/>
      <c r="EW99" s="61" t="s">
        <v>1968</v>
      </c>
      <c r="EX99" s="61">
        <v>27</v>
      </c>
      <c r="EY99" s="61">
        <v>7</v>
      </c>
      <c r="EZ99" s="61">
        <v>1</v>
      </c>
      <c r="FA99" s="61">
        <v>0</v>
      </c>
      <c r="FB99" s="61">
        <v>0</v>
      </c>
      <c r="FC99" s="61">
        <v>35</v>
      </c>
      <c r="FF99" s="80" t="s">
        <v>1734</v>
      </c>
      <c r="FG99" s="80" t="s">
        <v>1968</v>
      </c>
      <c r="FH99" s="80">
        <v>111</v>
      </c>
      <c r="FI99" s="80">
        <v>180</v>
      </c>
      <c r="FJ99" s="80">
        <v>252</v>
      </c>
      <c r="FK99" s="80">
        <v>371</v>
      </c>
      <c r="FL99" s="80">
        <v>398</v>
      </c>
      <c r="FM99" s="80">
        <v>1312</v>
      </c>
      <c r="FN99" s="80"/>
      <c r="FO99" s="80" t="s">
        <v>1968</v>
      </c>
      <c r="FP99" s="80">
        <v>5</v>
      </c>
      <c r="FQ99" s="80">
        <v>7</v>
      </c>
      <c r="FR99" s="80">
        <v>1</v>
      </c>
      <c r="FS99" s="80">
        <v>1</v>
      </c>
      <c r="FT99" s="80">
        <v>3</v>
      </c>
      <c r="FU99" s="80">
        <v>17</v>
      </c>
    </row>
    <row r="100" spans="2:177" x14ac:dyDescent="0.3">
      <c r="B100" s="71" t="s">
        <v>260</v>
      </c>
      <c r="C100" s="71" t="s">
        <v>2856</v>
      </c>
      <c r="D100" s="71" t="s">
        <v>1970</v>
      </c>
      <c r="E100" s="71" t="s">
        <v>1970</v>
      </c>
      <c r="F100" s="71" t="s">
        <v>1970</v>
      </c>
      <c r="G100" s="71" t="s">
        <v>1970</v>
      </c>
      <c r="H100" s="71" t="s">
        <v>1970</v>
      </c>
      <c r="I100" s="71" t="s">
        <v>1970</v>
      </c>
      <c r="K100" s="71" t="s">
        <v>2856</v>
      </c>
      <c r="L100" s="71" t="s">
        <v>1970</v>
      </c>
      <c r="M100" s="71" t="s">
        <v>1970</v>
      </c>
      <c r="N100" s="71" t="s">
        <v>1970</v>
      </c>
      <c r="O100" s="71" t="s">
        <v>1970</v>
      </c>
      <c r="P100" s="71" t="s">
        <v>1970</v>
      </c>
      <c r="Q100" s="71" t="s">
        <v>1970</v>
      </c>
      <c r="T100" s="273" t="s">
        <v>326</v>
      </c>
      <c r="U100" s="273" t="s">
        <v>2840</v>
      </c>
      <c r="V100" s="273">
        <v>560</v>
      </c>
      <c r="W100" s="273">
        <v>583</v>
      </c>
      <c r="X100" s="273">
        <v>871</v>
      </c>
      <c r="Y100" s="273">
        <v>1122</v>
      </c>
      <c r="Z100" s="273">
        <v>883</v>
      </c>
      <c r="AA100" s="273">
        <v>4019</v>
      </c>
      <c r="AB100" s="273"/>
      <c r="AC100" s="273" t="s">
        <v>2840</v>
      </c>
      <c r="AD100" s="273">
        <v>84</v>
      </c>
      <c r="AE100" s="273">
        <v>3</v>
      </c>
      <c r="AF100" s="273">
        <v>1</v>
      </c>
      <c r="AG100" s="273">
        <v>1</v>
      </c>
      <c r="AH100" s="273">
        <v>0</v>
      </c>
      <c r="AI100" s="273">
        <v>89</v>
      </c>
      <c r="AJ100" s="16">
        <v>77</v>
      </c>
      <c r="AK100" s="73" t="s">
        <v>734</v>
      </c>
      <c r="AL100" s="73" t="s">
        <v>2856</v>
      </c>
      <c r="AM100" s="73">
        <v>727</v>
      </c>
      <c r="AN100" s="73">
        <v>622</v>
      </c>
      <c r="AO100" s="73">
        <v>831</v>
      </c>
      <c r="AP100" s="73">
        <v>918</v>
      </c>
      <c r="AQ100" s="73">
        <v>601</v>
      </c>
      <c r="AR100" s="73">
        <v>3699</v>
      </c>
      <c r="AS100" s="73"/>
      <c r="AT100" s="73" t="s">
        <v>2856</v>
      </c>
      <c r="AU100" s="73">
        <v>78</v>
      </c>
      <c r="AV100" s="73">
        <v>3</v>
      </c>
      <c r="AW100" s="73">
        <v>0</v>
      </c>
      <c r="AX100" s="73">
        <v>0</v>
      </c>
      <c r="AY100" s="73">
        <v>0</v>
      </c>
      <c r="AZ100" s="73">
        <v>81</v>
      </c>
      <c r="BB100" s="78" t="s">
        <v>940</v>
      </c>
      <c r="BC100" s="78" t="s">
        <v>2856</v>
      </c>
      <c r="BD100" s="78">
        <v>90</v>
      </c>
      <c r="BE100" s="78">
        <v>26</v>
      </c>
      <c r="BF100" s="78">
        <v>46</v>
      </c>
      <c r="BG100" s="78">
        <v>50</v>
      </c>
      <c r="BH100" s="78">
        <v>121</v>
      </c>
      <c r="BI100" s="78">
        <v>333</v>
      </c>
      <c r="BJ100" s="78"/>
      <c r="BK100" s="78" t="s">
        <v>2856</v>
      </c>
      <c r="BL100" s="78">
        <v>47</v>
      </c>
      <c r="BM100" s="78">
        <v>0</v>
      </c>
      <c r="BN100" s="78">
        <v>0</v>
      </c>
      <c r="BO100" s="78">
        <v>0</v>
      </c>
      <c r="BP100" s="78">
        <v>0</v>
      </c>
      <c r="BQ100" s="78">
        <v>47</v>
      </c>
      <c r="BS100" s="275" t="s">
        <v>1146</v>
      </c>
      <c r="BT100" s="275" t="s">
        <v>2840</v>
      </c>
      <c r="BU100" s="275">
        <v>97</v>
      </c>
      <c r="BV100" s="275">
        <v>72</v>
      </c>
      <c r="BW100" s="275">
        <v>158</v>
      </c>
      <c r="BX100" s="275">
        <v>205</v>
      </c>
      <c r="BY100" s="275">
        <v>215</v>
      </c>
      <c r="BZ100" s="275">
        <v>747</v>
      </c>
      <c r="CA100" s="275"/>
      <c r="CB100" s="275" t="s">
        <v>2840</v>
      </c>
      <c r="CC100" s="275">
        <v>25</v>
      </c>
      <c r="CD100" s="275">
        <v>0</v>
      </c>
      <c r="CE100" s="275">
        <v>0</v>
      </c>
      <c r="CF100" s="275">
        <v>0</v>
      </c>
      <c r="CG100" s="275">
        <v>0</v>
      </c>
      <c r="CH100" s="275">
        <v>25</v>
      </c>
      <c r="CI100" s="16">
        <v>26</v>
      </c>
      <c r="CL100" s="61" t="s">
        <v>1337</v>
      </c>
      <c r="CM100" s="61" t="s">
        <v>1968</v>
      </c>
      <c r="CN100" s="61">
        <v>65</v>
      </c>
      <c r="CO100" s="61">
        <v>46</v>
      </c>
      <c r="CP100" s="61">
        <v>81</v>
      </c>
      <c r="CQ100" s="61">
        <v>112</v>
      </c>
      <c r="CR100" s="61">
        <v>122</v>
      </c>
      <c r="CS100" s="61">
        <v>426</v>
      </c>
      <c r="CT100" s="61"/>
      <c r="CU100" s="61" t="s">
        <v>1968</v>
      </c>
      <c r="CV100" s="61">
        <v>20</v>
      </c>
      <c r="CW100" s="61">
        <v>0</v>
      </c>
      <c r="CX100" s="61">
        <v>0</v>
      </c>
      <c r="CY100" s="61">
        <v>0</v>
      </c>
      <c r="CZ100" s="61">
        <v>0</v>
      </c>
      <c r="DA100" s="61">
        <v>20</v>
      </c>
      <c r="EN100" s="61" t="s">
        <v>1673</v>
      </c>
      <c r="EO100" s="61" t="s">
        <v>1968</v>
      </c>
      <c r="EP100" s="61">
        <v>104</v>
      </c>
      <c r="EQ100" s="61">
        <v>146</v>
      </c>
      <c r="ER100" s="61">
        <v>172</v>
      </c>
      <c r="ES100" s="61">
        <v>168</v>
      </c>
      <c r="ET100" s="61">
        <v>223</v>
      </c>
      <c r="EU100" s="61">
        <v>813</v>
      </c>
      <c r="EV100" s="61"/>
      <c r="EW100" s="61" t="s">
        <v>1968</v>
      </c>
      <c r="EX100" s="61">
        <v>30</v>
      </c>
      <c r="EY100" s="61">
        <v>8</v>
      </c>
      <c r="EZ100" s="61">
        <v>4</v>
      </c>
      <c r="FA100" s="61">
        <v>0</v>
      </c>
      <c r="FB100" s="61">
        <v>4</v>
      </c>
      <c r="FC100" s="61">
        <v>46</v>
      </c>
      <c r="FF100" s="80" t="s">
        <v>1738</v>
      </c>
      <c r="FG100" s="80" t="s">
        <v>1968</v>
      </c>
      <c r="FH100" s="80">
        <v>240</v>
      </c>
      <c r="FI100" s="80">
        <v>380</v>
      </c>
      <c r="FJ100" s="80">
        <v>431</v>
      </c>
      <c r="FK100" s="80">
        <v>490</v>
      </c>
      <c r="FL100" s="80">
        <v>695</v>
      </c>
      <c r="FM100" s="80">
        <v>2236</v>
      </c>
      <c r="FN100" s="80"/>
      <c r="FO100" s="80" t="s">
        <v>1968</v>
      </c>
      <c r="FP100" s="80">
        <v>32</v>
      </c>
      <c r="FQ100" s="80">
        <v>17</v>
      </c>
      <c r="FR100" s="80">
        <v>1</v>
      </c>
      <c r="FS100" s="80">
        <v>0</v>
      </c>
      <c r="FT100" s="80">
        <v>0</v>
      </c>
      <c r="FU100" s="80">
        <v>50</v>
      </c>
    </row>
    <row r="101" spans="2:177" x14ac:dyDescent="0.3">
      <c r="B101" s="186"/>
      <c r="D101" s="186"/>
      <c r="E101" s="186"/>
      <c r="F101" s="186"/>
      <c r="G101" s="186"/>
      <c r="H101" s="186"/>
      <c r="I101" s="186"/>
      <c r="J101" s="256"/>
      <c r="L101" s="186"/>
      <c r="M101" s="186"/>
      <c r="N101" s="186"/>
      <c r="O101" s="186"/>
      <c r="P101" s="186"/>
      <c r="Q101" s="186"/>
      <c r="T101" s="273" t="s">
        <v>334</v>
      </c>
      <c r="U101" s="273" t="s">
        <v>2840</v>
      </c>
      <c r="V101" s="273">
        <v>499</v>
      </c>
      <c r="W101" s="273">
        <v>359</v>
      </c>
      <c r="X101" s="273">
        <v>544</v>
      </c>
      <c r="Y101" s="273">
        <v>663</v>
      </c>
      <c r="Z101" s="273">
        <v>516</v>
      </c>
      <c r="AA101" s="273">
        <v>2581</v>
      </c>
      <c r="AB101" s="273"/>
      <c r="AC101" s="273" t="s">
        <v>2840</v>
      </c>
      <c r="AD101" s="273">
        <v>23</v>
      </c>
      <c r="AE101" s="273">
        <v>0</v>
      </c>
      <c r="AF101" s="273">
        <v>0</v>
      </c>
      <c r="AG101" s="273">
        <v>0</v>
      </c>
      <c r="AH101" s="273">
        <v>0</v>
      </c>
      <c r="AI101" s="273">
        <v>23</v>
      </c>
      <c r="AJ101" s="16">
        <v>18</v>
      </c>
      <c r="AK101" s="73" t="s">
        <v>738</v>
      </c>
      <c r="AL101" s="73" t="s">
        <v>2856</v>
      </c>
      <c r="AM101" s="73">
        <v>360</v>
      </c>
      <c r="AN101" s="73">
        <v>603</v>
      </c>
      <c r="AO101" s="73">
        <v>864</v>
      </c>
      <c r="AP101" s="73">
        <v>916</v>
      </c>
      <c r="AQ101" s="73">
        <v>614</v>
      </c>
      <c r="AR101" s="73">
        <v>3357</v>
      </c>
      <c r="AS101" s="73"/>
      <c r="AT101" s="73" t="s">
        <v>2856</v>
      </c>
      <c r="AU101" s="73">
        <v>20</v>
      </c>
      <c r="AV101" s="73">
        <v>2</v>
      </c>
      <c r="AW101" s="73">
        <v>0</v>
      </c>
      <c r="AX101" s="73">
        <v>0</v>
      </c>
      <c r="AY101" s="73">
        <v>0</v>
      </c>
      <c r="AZ101" s="73">
        <v>22</v>
      </c>
      <c r="BB101" s="78" t="s">
        <v>944</v>
      </c>
      <c r="BC101" s="78" t="s">
        <v>2856</v>
      </c>
      <c r="BD101" s="78">
        <v>736</v>
      </c>
      <c r="BE101" s="78">
        <v>604</v>
      </c>
      <c r="BF101" s="78">
        <v>848</v>
      </c>
      <c r="BG101" s="78">
        <v>864</v>
      </c>
      <c r="BH101" s="78">
        <v>710</v>
      </c>
      <c r="BI101" s="78">
        <v>3762</v>
      </c>
      <c r="BJ101" s="78"/>
      <c r="BK101" s="78" t="s">
        <v>2856</v>
      </c>
      <c r="BL101" s="78">
        <v>192</v>
      </c>
      <c r="BM101" s="78">
        <v>0</v>
      </c>
      <c r="BN101" s="78">
        <v>0</v>
      </c>
      <c r="BO101" s="78">
        <v>0</v>
      </c>
      <c r="BP101" s="78">
        <v>0</v>
      </c>
      <c r="BQ101" s="78">
        <v>192</v>
      </c>
      <c r="BS101" s="275" t="s">
        <v>1150</v>
      </c>
      <c r="BT101" s="275" t="s">
        <v>2840</v>
      </c>
      <c r="BU101" s="275">
        <v>66</v>
      </c>
      <c r="BV101" s="275">
        <v>52</v>
      </c>
      <c r="BW101" s="275">
        <v>128</v>
      </c>
      <c r="BX101" s="275">
        <v>204</v>
      </c>
      <c r="BY101" s="275">
        <v>188</v>
      </c>
      <c r="BZ101" s="275">
        <v>638</v>
      </c>
      <c r="CA101" s="275"/>
      <c r="CB101" s="275" t="s">
        <v>2840</v>
      </c>
      <c r="CC101" s="275">
        <v>15</v>
      </c>
      <c r="CD101" s="275">
        <v>0</v>
      </c>
      <c r="CE101" s="275">
        <v>0</v>
      </c>
      <c r="CF101" s="275">
        <v>0</v>
      </c>
      <c r="CG101" s="275">
        <v>0</v>
      </c>
      <c r="CH101" s="275">
        <v>15</v>
      </c>
      <c r="CI101" s="16">
        <v>16</v>
      </c>
      <c r="CL101" s="61" t="s">
        <v>1341</v>
      </c>
      <c r="CM101" s="61" t="s">
        <v>1968</v>
      </c>
      <c r="CN101" s="61">
        <v>47</v>
      </c>
      <c r="CO101" s="61">
        <v>37</v>
      </c>
      <c r="CP101" s="61">
        <v>97</v>
      </c>
      <c r="CQ101" s="61">
        <v>136</v>
      </c>
      <c r="CR101" s="61">
        <v>180</v>
      </c>
      <c r="CS101" s="61">
        <v>497</v>
      </c>
      <c r="CT101" s="61"/>
      <c r="CU101" s="61" t="s">
        <v>1968</v>
      </c>
      <c r="CV101" s="61">
        <v>6</v>
      </c>
      <c r="CW101" s="61">
        <v>0</v>
      </c>
      <c r="CX101" s="61">
        <v>0</v>
      </c>
      <c r="CY101" s="61">
        <v>0</v>
      </c>
      <c r="CZ101" s="61">
        <v>0</v>
      </c>
      <c r="DA101" s="61">
        <v>6</v>
      </c>
      <c r="EN101" s="61" t="s">
        <v>1677</v>
      </c>
      <c r="EO101" s="61" t="s">
        <v>1968</v>
      </c>
      <c r="EP101" s="61">
        <v>762</v>
      </c>
      <c r="EQ101" s="61">
        <v>708</v>
      </c>
      <c r="ER101" s="61">
        <v>584</v>
      </c>
      <c r="ES101" s="61">
        <v>661</v>
      </c>
      <c r="ET101" s="61">
        <v>682</v>
      </c>
      <c r="EU101" s="61">
        <v>3397</v>
      </c>
      <c r="EV101" s="61"/>
      <c r="EW101" s="61" t="s">
        <v>1968</v>
      </c>
      <c r="EX101" s="61">
        <v>90</v>
      </c>
      <c r="EY101" s="61">
        <v>8</v>
      </c>
      <c r="EZ101" s="61">
        <v>0</v>
      </c>
      <c r="FA101" s="61">
        <v>0</v>
      </c>
      <c r="FB101" s="61">
        <v>0</v>
      </c>
      <c r="FC101" s="61">
        <v>98</v>
      </c>
      <c r="FF101" s="80" t="s">
        <v>1742</v>
      </c>
      <c r="FG101" s="80" t="s">
        <v>1968</v>
      </c>
      <c r="FH101" s="80">
        <v>844</v>
      </c>
      <c r="FI101" s="80">
        <v>750</v>
      </c>
      <c r="FJ101" s="80">
        <v>620</v>
      </c>
      <c r="FK101" s="80">
        <v>632</v>
      </c>
      <c r="FL101" s="80">
        <v>842</v>
      </c>
      <c r="FM101" s="80">
        <v>3688</v>
      </c>
      <c r="FN101" s="80"/>
      <c r="FO101" s="80" t="s">
        <v>1968</v>
      </c>
      <c r="FP101" s="80">
        <v>189</v>
      </c>
      <c r="FQ101" s="80">
        <v>0</v>
      </c>
      <c r="FR101" s="80">
        <v>0</v>
      </c>
      <c r="FS101" s="80">
        <v>0</v>
      </c>
      <c r="FT101" s="80">
        <v>0</v>
      </c>
      <c r="FU101" s="80">
        <v>189</v>
      </c>
    </row>
    <row r="102" spans="2:177" x14ac:dyDescent="0.3">
      <c r="B102" s="71" t="s">
        <v>1</v>
      </c>
      <c r="C102" s="71" t="s">
        <v>1968</v>
      </c>
      <c r="D102" s="71">
        <v>7</v>
      </c>
      <c r="E102" s="71">
        <v>0</v>
      </c>
      <c r="F102" s="71">
        <v>1</v>
      </c>
      <c r="G102" s="71">
        <v>1</v>
      </c>
      <c r="H102" s="71">
        <v>0</v>
      </c>
      <c r="I102" s="71">
        <v>9</v>
      </c>
      <c r="K102" s="71" t="s">
        <v>1968</v>
      </c>
      <c r="L102" s="71">
        <v>113</v>
      </c>
      <c r="M102" s="71">
        <v>145</v>
      </c>
      <c r="N102" s="71">
        <v>248</v>
      </c>
      <c r="O102" s="71">
        <v>334</v>
      </c>
      <c r="P102" s="71">
        <v>289</v>
      </c>
      <c r="Q102" s="71">
        <v>1129</v>
      </c>
      <c r="T102" s="273" t="s">
        <v>340</v>
      </c>
      <c r="U102" s="273" t="s">
        <v>2840</v>
      </c>
      <c r="V102" s="273">
        <v>102</v>
      </c>
      <c r="W102" s="273">
        <v>67</v>
      </c>
      <c r="X102" s="273">
        <v>131</v>
      </c>
      <c r="Y102" s="273">
        <v>145</v>
      </c>
      <c r="Z102" s="273">
        <v>153</v>
      </c>
      <c r="AA102" s="273">
        <v>598</v>
      </c>
      <c r="AB102" s="273"/>
      <c r="AC102" s="273" t="s">
        <v>2840</v>
      </c>
      <c r="AD102" s="273">
        <v>10</v>
      </c>
      <c r="AE102" s="273">
        <v>0</v>
      </c>
      <c r="AF102" s="273">
        <v>0</v>
      </c>
      <c r="AG102" s="273">
        <v>0</v>
      </c>
      <c r="AH102" s="273">
        <v>0</v>
      </c>
      <c r="AI102" s="273">
        <v>10</v>
      </c>
      <c r="AJ102" s="16">
        <v>8</v>
      </c>
      <c r="AK102" s="73" t="s">
        <v>742</v>
      </c>
      <c r="AL102" s="73" t="s">
        <v>2856</v>
      </c>
      <c r="AM102" s="73">
        <v>190</v>
      </c>
      <c r="AN102" s="73">
        <v>339</v>
      </c>
      <c r="AO102" s="73">
        <v>549</v>
      </c>
      <c r="AP102" s="73">
        <v>821</v>
      </c>
      <c r="AQ102" s="73">
        <v>571</v>
      </c>
      <c r="AR102" s="73">
        <v>2470</v>
      </c>
      <c r="AS102" s="73"/>
      <c r="AT102" s="73" t="s">
        <v>2856</v>
      </c>
      <c r="AU102" s="73">
        <v>18</v>
      </c>
      <c r="AV102" s="73">
        <v>4</v>
      </c>
      <c r="AW102" s="73">
        <v>2</v>
      </c>
      <c r="AX102" s="73">
        <v>2</v>
      </c>
      <c r="AY102" s="73">
        <v>1</v>
      </c>
      <c r="AZ102" s="73">
        <v>27</v>
      </c>
      <c r="BB102" s="78" t="s">
        <v>947</v>
      </c>
      <c r="BC102" s="78" t="s">
        <v>2856</v>
      </c>
      <c r="BD102" s="78">
        <v>173</v>
      </c>
      <c r="BE102" s="78">
        <v>134</v>
      </c>
      <c r="BF102" s="78">
        <v>249</v>
      </c>
      <c r="BG102" s="78">
        <v>354</v>
      </c>
      <c r="BH102" s="78">
        <v>360</v>
      </c>
      <c r="BI102" s="78">
        <v>1270</v>
      </c>
      <c r="BJ102" s="78"/>
      <c r="BK102" s="78" t="s">
        <v>2856</v>
      </c>
      <c r="BL102" s="78">
        <v>24</v>
      </c>
      <c r="BM102" s="78">
        <v>0</v>
      </c>
      <c r="BN102" s="78">
        <v>0</v>
      </c>
      <c r="BO102" s="78">
        <v>0</v>
      </c>
      <c r="BP102" s="78">
        <v>0</v>
      </c>
      <c r="BQ102" s="78">
        <v>24</v>
      </c>
      <c r="BS102" s="275" t="s">
        <v>1155</v>
      </c>
      <c r="BT102" s="275" t="s">
        <v>2840</v>
      </c>
      <c r="BU102" s="275">
        <v>58</v>
      </c>
      <c r="BV102" s="275">
        <v>81</v>
      </c>
      <c r="BW102" s="275">
        <v>133</v>
      </c>
      <c r="BX102" s="275">
        <v>163</v>
      </c>
      <c r="BY102" s="275">
        <v>174</v>
      </c>
      <c r="BZ102" s="275">
        <v>609</v>
      </c>
      <c r="CA102" s="275"/>
      <c r="CB102" s="275" t="s">
        <v>2840</v>
      </c>
      <c r="CC102" s="275">
        <v>14</v>
      </c>
      <c r="CD102" s="275">
        <v>0</v>
      </c>
      <c r="CE102" s="275">
        <v>0</v>
      </c>
      <c r="CF102" s="275">
        <v>0</v>
      </c>
      <c r="CG102" s="275">
        <v>0</v>
      </c>
      <c r="CH102" s="275">
        <v>14</v>
      </c>
      <c r="CI102" s="16">
        <v>16</v>
      </c>
      <c r="CL102" s="61" t="s">
        <v>1207</v>
      </c>
      <c r="CM102" s="61" t="s">
        <v>1968</v>
      </c>
      <c r="CN102" s="61">
        <v>208</v>
      </c>
      <c r="CO102" s="61">
        <v>92</v>
      </c>
      <c r="CP102" s="61">
        <v>150</v>
      </c>
      <c r="CQ102" s="61">
        <v>191</v>
      </c>
      <c r="CR102" s="61">
        <v>312</v>
      </c>
      <c r="CS102" s="61">
        <v>953</v>
      </c>
      <c r="CT102" s="61"/>
      <c r="CU102" s="61" t="s">
        <v>1968</v>
      </c>
      <c r="CV102" s="61">
        <v>56</v>
      </c>
      <c r="CW102" s="61">
        <v>0</v>
      </c>
      <c r="CX102" s="61">
        <v>0</v>
      </c>
      <c r="CY102" s="61">
        <v>0</v>
      </c>
      <c r="CZ102" s="61">
        <v>0</v>
      </c>
      <c r="DA102" s="61">
        <v>56</v>
      </c>
      <c r="EN102" s="61" t="s">
        <v>1681</v>
      </c>
      <c r="EO102" s="61" t="s">
        <v>1968</v>
      </c>
      <c r="EP102" s="61" t="s">
        <v>1970</v>
      </c>
      <c r="EQ102" s="61" t="s">
        <v>1970</v>
      </c>
      <c r="ER102" s="61" t="s">
        <v>1970</v>
      </c>
      <c r="ES102" s="61" t="s">
        <v>1970</v>
      </c>
      <c r="ET102" s="61" t="s">
        <v>1970</v>
      </c>
      <c r="EU102" s="61" t="s">
        <v>1970</v>
      </c>
      <c r="EV102" s="61"/>
      <c r="EW102" s="61" t="s">
        <v>1968</v>
      </c>
      <c r="EX102" s="61" t="s">
        <v>1970</v>
      </c>
      <c r="EY102" s="61" t="s">
        <v>1970</v>
      </c>
      <c r="EZ102" s="61" t="s">
        <v>1970</v>
      </c>
      <c r="FA102" s="61" t="s">
        <v>1970</v>
      </c>
      <c r="FB102" s="61" t="s">
        <v>1970</v>
      </c>
      <c r="FC102" s="61" t="s">
        <v>1970</v>
      </c>
      <c r="FF102" s="80" t="s">
        <v>1746</v>
      </c>
      <c r="FG102" s="80" t="s">
        <v>1968</v>
      </c>
      <c r="FH102" s="80">
        <v>194</v>
      </c>
      <c r="FI102" s="80">
        <v>291</v>
      </c>
      <c r="FJ102" s="80">
        <v>272</v>
      </c>
      <c r="FK102" s="80">
        <v>352</v>
      </c>
      <c r="FL102" s="80">
        <v>418</v>
      </c>
      <c r="FM102" s="80">
        <v>1527</v>
      </c>
      <c r="FN102" s="80"/>
      <c r="FO102" s="80" t="s">
        <v>1968</v>
      </c>
      <c r="FP102" s="80">
        <v>39</v>
      </c>
      <c r="FQ102" s="80">
        <v>24</v>
      </c>
      <c r="FR102" s="80">
        <v>0</v>
      </c>
      <c r="FS102" s="80">
        <v>0</v>
      </c>
      <c r="FT102" s="80">
        <v>0</v>
      </c>
      <c r="FU102" s="80">
        <v>63</v>
      </c>
    </row>
    <row r="103" spans="2:177" x14ac:dyDescent="0.3">
      <c r="B103" s="71" t="s">
        <v>7</v>
      </c>
      <c r="C103" s="71" t="s">
        <v>1968</v>
      </c>
      <c r="D103" s="71">
        <v>8</v>
      </c>
      <c r="E103" s="71">
        <v>0</v>
      </c>
      <c r="F103" s="71">
        <v>0</v>
      </c>
      <c r="G103" s="71">
        <v>0</v>
      </c>
      <c r="H103" s="71">
        <v>0</v>
      </c>
      <c r="I103" s="71">
        <v>8</v>
      </c>
      <c r="K103" s="71" t="s">
        <v>1968</v>
      </c>
      <c r="L103" s="71">
        <v>158</v>
      </c>
      <c r="M103" s="71">
        <v>322</v>
      </c>
      <c r="N103" s="71">
        <v>438</v>
      </c>
      <c r="O103" s="71">
        <v>608</v>
      </c>
      <c r="P103" s="71">
        <v>490</v>
      </c>
      <c r="Q103" s="71">
        <v>2016</v>
      </c>
      <c r="T103" s="273" t="s">
        <v>354</v>
      </c>
      <c r="U103" s="273" t="s">
        <v>2840</v>
      </c>
      <c r="V103" s="273">
        <v>480</v>
      </c>
      <c r="W103" s="273">
        <v>509</v>
      </c>
      <c r="X103" s="273">
        <v>678</v>
      </c>
      <c r="Y103" s="273">
        <v>771</v>
      </c>
      <c r="Z103" s="273">
        <v>581</v>
      </c>
      <c r="AA103" s="273">
        <v>3019</v>
      </c>
      <c r="AB103" s="273"/>
      <c r="AC103" s="273" t="s">
        <v>2840</v>
      </c>
      <c r="AD103" s="273">
        <v>11</v>
      </c>
      <c r="AE103" s="273">
        <v>0</v>
      </c>
      <c r="AF103" s="273">
        <v>0</v>
      </c>
      <c r="AG103" s="273">
        <v>0</v>
      </c>
      <c r="AH103" s="273">
        <v>0</v>
      </c>
      <c r="AI103" s="273">
        <v>11</v>
      </c>
      <c r="AJ103" s="16">
        <v>20</v>
      </c>
      <c r="AK103" s="73" t="s">
        <v>743</v>
      </c>
      <c r="AL103" s="73" t="s">
        <v>2856</v>
      </c>
      <c r="AM103" s="73">
        <v>214</v>
      </c>
      <c r="AN103" s="73">
        <v>419</v>
      </c>
      <c r="AO103" s="73">
        <v>578</v>
      </c>
      <c r="AP103" s="73">
        <v>747</v>
      </c>
      <c r="AQ103" s="73">
        <v>552</v>
      </c>
      <c r="AR103" s="73">
        <v>2510</v>
      </c>
      <c r="AS103" s="73"/>
      <c r="AT103" s="73" t="s">
        <v>2856</v>
      </c>
      <c r="AU103" s="73">
        <v>16</v>
      </c>
      <c r="AV103" s="73">
        <v>4</v>
      </c>
      <c r="AW103" s="73">
        <v>1</v>
      </c>
      <c r="AX103" s="73">
        <v>1</v>
      </c>
      <c r="AY103" s="73">
        <v>0</v>
      </c>
      <c r="AZ103" s="73">
        <v>22</v>
      </c>
      <c r="BB103" s="78" t="s">
        <v>952</v>
      </c>
      <c r="BC103" s="78" t="s">
        <v>2856</v>
      </c>
      <c r="BD103" s="78">
        <v>51</v>
      </c>
      <c r="BE103" s="78">
        <v>145</v>
      </c>
      <c r="BF103" s="78">
        <v>300</v>
      </c>
      <c r="BG103" s="78">
        <v>490</v>
      </c>
      <c r="BH103" s="78">
        <v>478</v>
      </c>
      <c r="BI103" s="78">
        <v>1464</v>
      </c>
      <c r="BJ103" s="78"/>
      <c r="BK103" s="78" t="s">
        <v>2856</v>
      </c>
      <c r="BL103" s="78">
        <v>17</v>
      </c>
      <c r="BM103" s="78">
        <v>2</v>
      </c>
      <c r="BN103" s="78">
        <v>6</v>
      </c>
      <c r="BO103" s="78">
        <v>0</v>
      </c>
      <c r="BP103" s="78">
        <v>0</v>
      </c>
      <c r="BQ103" s="78">
        <v>25</v>
      </c>
      <c r="BS103" s="275" t="s">
        <v>1159</v>
      </c>
      <c r="BT103" s="275" t="s">
        <v>2840</v>
      </c>
      <c r="BU103" s="275">
        <v>72</v>
      </c>
      <c r="BV103" s="275">
        <v>71</v>
      </c>
      <c r="BW103" s="275">
        <v>116</v>
      </c>
      <c r="BX103" s="275">
        <v>143</v>
      </c>
      <c r="BY103" s="275">
        <v>148</v>
      </c>
      <c r="BZ103" s="275">
        <v>550</v>
      </c>
      <c r="CA103" s="275"/>
      <c r="CB103" s="275" t="s">
        <v>2840</v>
      </c>
      <c r="CC103" s="275">
        <v>24</v>
      </c>
      <c r="CD103" s="275">
        <v>0</v>
      </c>
      <c r="CE103" s="275">
        <v>0</v>
      </c>
      <c r="CF103" s="275">
        <v>0</v>
      </c>
      <c r="CG103" s="275">
        <v>0</v>
      </c>
      <c r="CH103" s="275">
        <v>24</v>
      </c>
      <c r="CI103" s="16">
        <v>23</v>
      </c>
      <c r="CL103" s="61" t="s">
        <v>1191</v>
      </c>
      <c r="CM103" s="61" t="s">
        <v>1968</v>
      </c>
      <c r="CN103" s="61">
        <v>244</v>
      </c>
      <c r="CO103" s="61">
        <v>189</v>
      </c>
      <c r="CP103" s="61">
        <v>248</v>
      </c>
      <c r="CQ103" s="61">
        <v>302</v>
      </c>
      <c r="CR103" s="61">
        <v>273</v>
      </c>
      <c r="CS103" s="61">
        <v>1256</v>
      </c>
      <c r="CT103" s="61"/>
      <c r="CU103" s="61" t="s">
        <v>1968</v>
      </c>
      <c r="CV103" s="61">
        <v>26</v>
      </c>
      <c r="CW103" s="61">
        <v>0</v>
      </c>
      <c r="CX103" s="61">
        <v>0</v>
      </c>
      <c r="CY103" s="61">
        <v>0</v>
      </c>
      <c r="CZ103" s="61">
        <v>0</v>
      </c>
      <c r="DA103" s="61">
        <v>26</v>
      </c>
      <c r="EN103" s="61" t="s">
        <v>1685</v>
      </c>
      <c r="EO103" s="61" t="s">
        <v>1968</v>
      </c>
      <c r="EP103" s="61" t="s">
        <v>1970</v>
      </c>
      <c r="EQ103" s="61" t="s">
        <v>1970</v>
      </c>
      <c r="ER103" s="61" t="s">
        <v>1970</v>
      </c>
      <c r="ES103" s="61" t="s">
        <v>1970</v>
      </c>
      <c r="ET103" s="61" t="s">
        <v>1970</v>
      </c>
      <c r="EU103" s="61" t="s">
        <v>1970</v>
      </c>
      <c r="EV103" s="61"/>
      <c r="EW103" s="61" t="s">
        <v>1968</v>
      </c>
      <c r="EX103" s="61" t="s">
        <v>1970</v>
      </c>
      <c r="EY103" s="61" t="s">
        <v>1970</v>
      </c>
      <c r="EZ103" s="61" t="s">
        <v>1970</v>
      </c>
      <c r="FA103" s="61" t="s">
        <v>1970</v>
      </c>
      <c r="FB103" s="61" t="s">
        <v>1970</v>
      </c>
      <c r="FC103" s="61" t="s">
        <v>1970</v>
      </c>
      <c r="FF103" s="80" t="s">
        <v>1750</v>
      </c>
      <c r="FG103" s="80" t="s">
        <v>1968</v>
      </c>
      <c r="FH103" s="80">
        <v>181</v>
      </c>
      <c r="FI103" s="80">
        <v>225</v>
      </c>
      <c r="FJ103" s="80">
        <v>200</v>
      </c>
      <c r="FK103" s="80">
        <v>232</v>
      </c>
      <c r="FL103" s="80">
        <v>298</v>
      </c>
      <c r="FM103" s="80">
        <v>1136</v>
      </c>
      <c r="FN103" s="80"/>
      <c r="FO103" s="80" t="s">
        <v>1968</v>
      </c>
      <c r="FP103" s="80">
        <v>49</v>
      </c>
      <c r="FQ103" s="80">
        <v>14</v>
      </c>
      <c r="FR103" s="80">
        <v>4</v>
      </c>
      <c r="FS103" s="80">
        <v>2</v>
      </c>
      <c r="FT103" s="80">
        <v>0</v>
      </c>
      <c r="FU103" s="80">
        <v>69</v>
      </c>
    </row>
    <row r="104" spans="2:177" x14ac:dyDescent="0.3">
      <c r="B104" s="71" t="s">
        <v>12</v>
      </c>
      <c r="C104" s="71" t="s">
        <v>1968</v>
      </c>
      <c r="D104" s="71">
        <v>126</v>
      </c>
      <c r="E104" s="71">
        <v>3</v>
      </c>
      <c r="F104" s="71">
        <v>0</v>
      </c>
      <c r="G104" s="71">
        <v>0</v>
      </c>
      <c r="H104" s="71">
        <v>0</v>
      </c>
      <c r="I104" s="71">
        <v>129</v>
      </c>
      <c r="K104" s="71" t="s">
        <v>1968</v>
      </c>
      <c r="L104" s="71">
        <v>721</v>
      </c>
      <c r="M104" s="71">
        <v>750</v>
      </c>
      <c r="N104" s="71">
        <v>769</v>
      </c>
      <c r="O104" s="71">
        <v>856</v>
      </c>
      <c r="P104" s="71">
        <v>595</v>
      </c>
      <c r="Q104" s="71">
        <v>3691</v>
      </c>
      <c r="T104" s="273" t="s">
        <v>358</v>
      </c>
      <c r="U104" s="273" t="s">
        <v>2840</v>
      </c>
      <c r="V104" s="273">
        <v>196</v>
      </c>
      <c r="W104" s="273">
        <v>145</v>
      </c>
      <c r="X104" s="273">
        <v>255</v>
      </c>
      <c r="Y104" s="273">
        <v>341</v>
      </c>
      <c r="Z104" s="273">
        <v>282</v>
      </c>
      <c r="AA104" s="273">
        <v>1219</v>
      </c>
      <c r="AB104" s="273"/>
      <c r="AC104" s="273" t="s">
        <v>2840</v>
      </c>
      <c r="AD104" s="273">
        <v>29</v>
      </c>
      <c r="AE104" s="273">
        <v>0</v>
      </c>
      <c r="AF104" s="273">
        <v>1</v>
      </c>
      <c r="AG104" s="273">
        <v>0</v>
      </c>
      <c r="AH104" s="273">
        <v>0</v>
      </c>
      <c r="AI104" s="273">
        <v>30</v>
      </c>
      <c r="AJ104" s="16">
        <v>40</v>
      </c>
      <c r="BB104" s="78" t="s">
        <v>957</v>
      </c>
      <c r="BC104" s="78" t="s">
        <v>2856</v>
      </c>
      <c r="BD104" s="78">
        <v>114</v>
      </c>
      <c r="BE104" s="78">
        <v>119</v>
      </c>
      <c r="BF104" s="78">
        <v>260</v>
      </c>
      <c r="BG104" s="78">
        <v>344</v>
      </c>
      <c r="BH104" s="78">
        <v>337</v>
      </c>
      <c r="BI104" s="78">
        <v>1174</v>
      </c>
      <c r="BJ104" s="78"/>
      <c r="BK104" s="78" t="s">
        <v>2856</v>
      </c>
      <c r="BL104" s="78">
        <v>21</v>
      </c>
      <c r="BM104" s="78">
        <v>0</v>
      </c>
      <c r="BN104" s="78">
        <v>0</v>
      </c>
      <c r="BO104" s="78">
        <v>0</v>
      </c>
      <c r="BP104" s="78">
        <v>0</v>
      </c>
      <c r="BQ104" s="78">
        <v>21</v>
      </c>
      <c r="BS104" s="275" t="s">
        <v>1163</v>
      </c>
      <c r="BT104" s="275" t="s">
        <v>2840</v>
      </c>
      <c r="BU104" s="275" t="s">
        <v>1970</v>
      </c>
      <c r="BV104" s="275" t="s">
        <v>1970</v>
      </c>
      <c r="BW104" s="275" t="s">
        <v>1970</v>
      </c>
      <c r="BX104" s="275" t="s">
        <v>1970</v>
      </c>
      <c r="BY104" s="275" t="s">
        <v>1970</v>
      </c>
      <c r="BZ104" s="275" t="s">
        <v>1970</v>
      </c>
      <c r="CA104" s="275"/>
      <c r="CB104" s="275" t="s">
        <v>2840</v>
      </c>
      <c r="CC104" s="275" t="s">
        <v>1970</v>
      </c>
      <c r="CD104" s="275" t="s">
        <v>1970</v>
      </c>
      <c r="CE104" s="275" t="s">
        <v>1970</v>
      </c>
      <c r="CF104" s="275" t="s">
        <v>1970</v>
      </c>
      <c r="CG104" s="275" t="s">
        <v>1970</v>
      </c>
      <c r="CH104" s="275" t="s">
        <v>1970</v>
      </c>
      <c r="CI104" s="16">
        <v>18</v>
      </c>
      <c r="CL104" s="61" t="s">
        <v>1199</v>
      </c>
      <c r="CM104" s="61" t="s">
        <v>1968</v>
      </c>
      <c r="CN104" s="61">
        <v>118</v>
      </c>
      <c r="CO104" s="61">
        <v>95</v>
      </c>
      <c r="CP104" s="61">
        <v>192</v>
      </c>
      <c r="CQ104" s="61">
        <v>251</v>
      </c>
      <c r="CR104" s="61">
        <v>245</v>
      </c>
      <c r="CS104" s="61">
        <v>901</v>
      </c>
      <c r="CT104" s="61"/>
      <c r="CU104" s="61" t="s">
        <v>1968</v>
      </c>
      <c r="CV104" s="61">
        <v>21</v>
      </c>
      <c r="CW104" s="61">
        <v>0</v>
      </c>
      <c r="CX104" s="61">
        <v>0</v>
      </c>
      <c r="CY104" s="61">
        <v>0</v>
      </c>
      <c r="CZ104" s="61">
        <v>0</v>
      </c>
      <c r="DA104" s="61">
        <v>21</v>
      </c>
      <c r="EN104" s="61" t="s">
        <v>1689</v>
      </c>
      <c r="EO104" s="61" t="s">
        <v>1968</v>
      </c>
      <c r="EP104" s="61">
        <v>168</v>
      </c>
      <c r="EQ104" s="61">
        <v>243</v>
      </c>
      <c r="ER104" s="61">
        <v>338</v>
      </c>
      <c r="ES104" s="61">
        <v>419</v>
      </c>
      <c r="ET104" s="61">
        <v>417</v>
      </c>
      <c r="EU104" s="61">
        <v>1585</v>
      </c>
      <c r="EV104" s="61"/>
      <c r="EW104" s="61" t="s">
        <v>1968</v>
      </c>
      <c r="EX104" s="61">
        <v>32</v>
      </c>
      <c r="EY104" s="61">
        <v>8</v>
      </c>
      <c r="EZ104" s="61">
        <v>4</v>
      </c>
      <c r="FA104" s="61">
        <v>3</v>
      </c>
      <c r="FB104" s="61">
        <v>6</v>
      </c>
      <c r="FC104" s="61">
        <v>53</v>
      </c>
      <c r="FF104" s="80" t="s">
        <v>1757</v>
      </c>
      <c r="FG104" s="80" t="s">
        <v>1968</v>
      </c>
      <c r="FH104" s="80">
        <v>404</v>
      </c>
      <c r="FI104" s="80">
        <v>408</v>
      </c>
      <c r="FJ104" s="80">
        <v>407</v>
      </c>
      <c r="FK104" s="80">
        <v>364</v>
      </c>
      <c r="FL104" s="80">
        <v>563</v>
      </c>
      <c r="FM104" s="80">
        <v>2146</v>
      </c>
      <c r="FN104" s="80"/>
      <c r="FO104" s="80" t="s">
        <v>1968</v>
      </c>
      <c r="FP104" s="80">
        <v>104</v>
      </c>
      <c r="FQ104" s="80">
        <v>22</v>
      </c>
      <c r="FR104" s="80">
        <v>0</v>
      </c>
      <c r="FS104" s="80">
        <v>0</v>
      </c>
      <c r="FT104" s="80">
        <v>0</v>
      </c>
      <c r="FU104" s="80">
        <v>126</v>
      </c>
    </row>
    <row r="105" spans="2:177" x14ac:dyDescent="0.3">
      <c r="B105" s="71" t="s">
        <v>17</v>
      </c>
      <c r="C105" s="71" t="s">
        <v>1968</v>
      </c>
      <c r="D105" s="71">
        <v>52</v>
      </c>
      <c r="E105" s="71">
        <v>3</v>
      </c>
      <c r="F105" s="71">
        <v>0</v>
      </c>
      <c r="G105" s="71">
        <v>1</v>
      </c>
      <c r="H105" s="71">
        <v>0</v>
      </c>
      <c r="I105" s="71">
        <v>56</v>
      </c>
      <c r="K105" s="71" t="s">
        <v>1968</v>
      </c>
      <c r="L105" s="71">
        <v>615</v>
      </c>
      <c r="M105" s="71">
        <v>838</v>
      </c>
      <c r="N105" s="71">
        <v>1298</v>
      </c>
      <c r="O105" s="71">
        <v>1577</v>
      </c>
      <c r="P105" s="71">
        <v>956</v>
      </c>
      <c r="Q105" s="71">
        <v>5284</v>
      </c>
      <c r="T105" s="273" t="s">
        <v>364</v>
      </c>
      <c r="U105" s="273" t="s">
        <v>2840</v>
      </c>
      <c r="V105" s="273">
        <v>206</v>
      </c>
      <c r="W105" s="273">
        <v>227</v>
      </c>
      <c r="X105" s="273">
        <v>360</v>
      </c>
      <c r="Y105" s="273">
        <v>490</v>
      </c>
      <c r="Z105" s="273">
        <v>390</v>
      </c>
      <c r="AA105" s="273">
        <v>1673</v>
      </c>
      <c r="AB105" s="273"/>
      <c r="AC105" s="273" t="s">
        <v>2840</v>
      </c>
      <c r="AD105" s="273">
        <v>16</v>
      </c>
      <c r="AE105" s="273">
        <v>4</v>
      </c>
      <c r="AF105" s="273">
        <v>0</v>
      </c>
      <c r="AG105" s="273">
        <v>0</v>
      </c>
      <c r="AH105" s="273">
        <v>0</v>
      </c>
      <c r="AI105" s="273">
        <v>20</v>
      </c>
      <c r="AJ105" s="16">
        <v>20</v>
      </c>
      <c r="AK105" s="73" t="s">
        <v>440</v>
      </c>
      <c r="AL105" s="73" t="s">
        <v>2856</v>
      </c>
      <c r="AM105" s="73">
        <v>393</v>
      </c>
      <c r="AN105" s="73">
        <v>376</v>
      </c>
      <c r="AO105" s="73">
        <v>369</v>
      </c>
      <c r="AP105" s="73">
        <v>406</v>
      </c>
      <c r="AQ105" s="73">
        <v>529</v>
      </c>
      <c r="AR105" s="73">
        <v>2073</v>
      </c>
      <c r="AS105" s="73"/>
      <c r="AT105" s="73" t="s">
        <v>2856</v>
      </c>
      <c r="AU105" s="73">
        <v>127</v>
      </c>
      <c r="AV105" s="73">
        <v>60</v>
      </c>
      <c r="AW105" s="73">
        <v>43</v>
      </c>
      <c r="AX105" s="73">
        <v>38</v>
      </c>
      <c r="AY105" s="73">
        <v>55</v>
      </c>
      <c r="AZ105" s="73">
        <v>323</v>
      </c>
      <c r="BB105" s="78" t="s">
        <v>962</v>
      </c>
      <c r="BC105" s="78" t="s">
        <v>2856</v>
      </c>
      <c r="BD105" s="78">
        <v>105</v>
      </c>
      <c r="BE105" s="78">
        <v>206</v>
      </c>
      <c r="BF105" s="78">
        <v>344</v>
      </c>
      <c r="BG105" s="78">
        <v>464</v>
      </c>
      <c r="BH105" s="78">
        <v>368</v>
      </c>
      <c r="BI105" s="78">
        <v>1487</v>
      </c>
      <c r="BJ105" s="78"/>
      <c r="BK105" s="78" t="s">
        <v>2856</v>
      </c>
      <c r="BL105" s="78">
        <v>21</v>
      </c>
      <c r="BM105" s="78">
        <v>0</v>
      </c>
      <c r="BN105" s="78">
        <v>0</v>
      </c>
      <c r="BO105" s="78">
        <v>0</v>
      </c>
      <c r="BP105" s="78">
        <v>0</v>
      </c>
      <c r="BQ105" s="78">
        <v>21</v>
      </c>
      <c r="BS105" s="275" t="s">
        <v>1167</v>
      </c>
      <c r="BT105" s="275" t="s">
        <v>2840</v>
      </c>
      <c r="BU105" s="275">
        <v>71</v>
      </c>
      <c r="BV105" s="275">
        <v>50</v>
      </c>
      <c r="BW105" s="275">
        <v>68</v>
      </c>
      <c r="BX105" s="275">
        <v>107</v>
      </c>
      <c r="BY105" s="275">
        <v>126</v>
      </c>
      <c r="BZ105" s="275">
        <v>422</v>
      </c>
      <c r="CA105" s="275"/>
      <c r="CB105" s="275" t="s">
        <v>2840</v>
      </c>
      <c r="CC105" s="275">
        <v>28</v>
      </c>
      <c r="CD105" s="275">
        <v>0</v>
      </c>
      <c r="CE105" s="275">
        <v>0</v>
      </c>
      <c r="CF105" s="275">
        <v>0</v>
      </c>
      <c r="CG105" s="275">
        <v>0</v>
      </c>
      <c r="CH105" s="275">
        <v>28</v>
      </c>
      <c r="CI105" s="16">
        <v>22</v>
      </c>
      <c r="CL105" s="61" t="s">
        <v>1203</v>
      </c>
      <c r="CM105" s="61" t="s">
        <v>1968</v>
      </c>
      <c r="CN105" s="61">
        <v>288</v>
      </c>
      <c r="CO105" s="61">
        <v>468</v>
      </c>
      <c r="CP105" s="61">
        <v>727</v>
      </c>
      <c r="CQ105" s="61">
        <v>967</v>
      </c>
      <c r="CR105" s="61">
        <v>770</v>
      </c>
      <c r="CS105" s="61">
        <v>3220</v>
      </c>
      <c r="CT105" s="61"/>
      <c r="CU105" s="61" t="s">
        <v>1968</v>
      </c>
      <c r="CV105" s="61">
        <v>19</v>
      </c>
      <c r="CW105" s="61">
        <v>0</v>
      </c>
      <c r="CX105" s="61">
        <v>0</v>
      </c>
      <c r="CY105" s="61">
        <v>0</v>
      </c>
      <c r="CZ105" s="61">
        <v>0</v>
      </c>
      <c r="DA105" s="61">
        <v>19</v>
      </c>
      <c r="EN105" s="61" t="s">
        <v>1693</v>
      </c>
      <c r="EO105" s="61" t="s">
        <v>1968</v>
      </c>
      <c r="EP105" s="61" t="s">
        <v>1970</v>
      </c>
      <c r="EQ105" s="61" t="s">
        <v>1970</v>
      </c>
      <c r="ER105" s="61" t="s">
        <v>1970</v>
      </c>
      <c r="ES105" s="61" t="s">
        <v>1970</v>
      </c>
      <c r="ET105" s="61" t="s">
        <v>1970</v>
      </c>
      <c r="EU105" s="61" t="s">
        <v>1970</v>
      </c>
      <c r="EV105" s="61"/>
      <c r="EW105" s="61" t="s">
        <v>1968</v>
      </c>
      <c r="EX105" s="61" t="s">
        <v>1970</v>
      </c>
      <c r="EY105" s="61" t="s">
        <v>1970</v>
      </c>
      <c r="EZ105" s="61" t="s">
        <v>1970</v>
      </c>
      <c r="FA105" s="61" t="s">
        <v>1970</v>
      </c>
      <c r="FB105" s="61" t="s">
        <v>1970</v>
      </c>
      <c r="FC105" s="61" t="s">
        <v>1970</v>
      </c>
      <c r="FF105" s="80" t="s">
        <v>1761</v>
      </c>
      <c r="FG105" s="80" t="s">
        <v>1968</v>
      </c>
      <c r="FH105" s="80">
        <v>428</v>
      </c>
      <c r="FI105" s="80">
        <v>513</v>
      </c>
      <c r="FJ105" s="80">
        <v>466</v>
      </c>
      <c r="FK105" s="80">
        <v>458</v>
      </c>
      <c r="FL105" s="80">
        <v>575</v>
      </c>
      <c r="FM105" s="80">
        <v>2440</v>
      </c>
      <c r="FN105" s="80"/>
      <c r="FO105" s="80" t="s">
        <v>1968</v>
      </c>
      <c r="FP105" s="80">
        <v>101</v>
      </c>
      <c r="FQ105" s="80">
        <v>16</v>
      </c>
      <c r="FR105" s="80">
        <v>0</v>
      </c>
      <c r="FS105" s="80">
        <v>0</v>
      </c>
      <c r="FT105" s="80">
        <v>0</v>
      </c>
      <c r="FU105" s="80">
        <v>117</v>
      </c>
    </row>
    <row r="106" spans="2:177" x14ac:dyDescent="0.3">
      <c r="B106" s="71" t="s">
        <v>22</v>
      </c>
      <c r="C106" s="71" t="s">
        <v>1968</v>
      </c>
      <c r="D106" s="71">
        <v>53</v>
      </c>
      <c r="E106" s="71">
        <v>2</v>
      </c>
      <c r="F106" s="71">
        <v>0</v>
      </c>
      <c r="G106" s="71">
        <v>0</v>
      </c>
      <c r="H106" s="71">
        <v>0</v>
      </c>
      <c r="I106" s="71">
        <v>55</v>
      </c>
      <c r="K106" s="71" t="s">
        <v>1968</v>
      </c>
      <c r="L106" s="71">
        <v>617</v>
      </c>
      <c r="M106" s="71">
        <v>736</v>
      </c>
      <c r="N106" s="71">
        <v>1120</v>
      </c>
      <c r="O106" s="71">
        <v>1271</v>
      </c>
      <c r="P106" s="71">
        <v>859</v>
      </c>
      <c r="Q106" s="71">
        <v>4603</v>
      </c>
      <c r="T106" s="273" t="s">
        <v>370</v>
      </c>
      <c r="U106" s="273" t="s">
        <v>2840</v>
      </c>
      <c r="V106" s="273">
        <v>665</v>
      </c>
      <c r="W106" s="273">
        <v>927</v>
      </c>
      <c r="X106" s="273">
        <v>1020</v>
      </c>
      <c r="Y106" s="273">
        <v>1082</v>
      </c>
      <c r="Z106" s="273">
        <v>830</v>
      </c>
      <c r="AA106" s="273">
        <v>4524</v>
      </c>
      <c r="AB106" s="273"/>
      <c r="AC106" s="273" t="s">
        <v>2840</v>
      </c>
      <c r="AD106" s="273">
        <v>186</v>
      </c>
      <c r="AE106" s="273">
        <v>39</v>
      </c>
      <c r="AF106" s="273">
        <v>14</v>
      </c>
      <c r="AG106" s="273">
        <v>7</v>
      </c>
      <c r="AH106" s="273">
        <v>3</v>
      </c>
      <c r="AI106" s="273">
        <v>249</v>
      </c>
      <c r="AJ106" s="16">
        <v>195</v>
      </c>
      <c r="AK106" s="73" t="s">
        <v>444</v>
      </c>
      <c r="AL106" s="73" t="s">
        <v>2856</v>
      </c>
      <c r="AM106" s="73">
        <v>658</v>
      </c>
      <c r="AN106" s="73">
        <v>765</v>
      </c>
      <c r="AO106" s="73">
        <v>561</v>
      </c>
      <c r="AP106" s="73">
        <v>587</v>
      </c>
      <c r="AQ106" s="73">
        <v>628</v>
      </c>
      <c r="AR106" s="73">
        <v>3199</v>
      </c>
      <c r="AS106" s="73"/>
      <c r="AT106" s="73" t="s">
        <v>2856</v>
      </c>
      <c r="AU106" s="73">
        <v>116</v>
      </c>
      <c r="AV106" s="73">
        <v>17</v>
      </c>
      <c r="AW106" s="73">
        <v>8</v>
      </c>
      <c r="AX106" s="73">
        <v>17</v>
      </c>
      <c r="AY106" s="73">
        <v>17</v>
      </c>
      <c r="AZ106" s="73">
        <v>175</v>
      </c>
      <c r="BB106" s="78" t="s">
        <v>967</v>
      </c>
      <c r="BC106" s="78" t="s">
        <v>2856</v>
      </c>
      <c r="BD106" s="78">
        <v>1901</v>
      </c>
      <c r="BE106" s="78">
        <v>1174</v>
      </c>
      <c r="BF106" s="78">
        <v>1386</v>
      </c>
      <c r="BG106" s="78">
        <v>1332</v>
      </c>
      <c r="BH106" s="78">
        <v>965</v>
      </c>
      <c r="BI106" s="78">
        <v>6758</v>
      </c>
      <c r="BJ106" s="78"/>
      <c r="BK106" s="78" t="s">
        <v>2856</v>
      </c>
      <c r="BL106" s="78">
        <v>376</v>
      </c>
      <c r="BM106" s="78">
        <v>0</v>
      </c>
      <c r="BN106" s="78">
        <v>0</v>
      </c>
      <c r="BO106" s="78">
        <v>0</v>
      </c>
      <c r="BP106" s="78">
        <v>0</v>
      </c>
      <c r="BQ106" s="78">
        <v>376</v>
      </c>
      <c r="CL106" s="61" t="s">
        <v>1211</v>
      </c>
      <c r="CM106" s="61" t="s">
        <v>1968</v>
      </c>
      <c r="CN106" s="61">
        <v>101</v>
      </c>
      <c r="CO106" s="61">
        <v>122</v>
      </c>
      <c r="CP106" s="61">
        <v>209</v>
      </c>
      <c r="CQ106" s="61">
        <v>277</v>
      </c>
      <c r="CR106" s="61">
        <v>239</v>
      </c>
      <c r="CS106" s="61">
        <v>948</v>
      </c>
      <c r="CT106" s="61"/>
      <c r="CU106" s="61" t="s">
        <v>1968</v>
      </c>
      <c r="CV106" s="61">
        <v>18</v>
      </c>
      <c r="CW106" s="61">
        <v>0</v>
      </c>
      <c r="CX106" s="61">
        <v>0</v>
      </c>
      <c r="CY106" s="61">
        <v>0</v>
      </c>
      <c r="CZ106" s="61">
        <v>0</v>
      </c>
      <c r="DA106" s="61">
        <v>18</v>
      </c>
      <c r="EN106" s="61" t="s">
        <v>1697</v>
      </c>
      <c r="EO106" s="61" t="s">
        <v>1968</v>
      </c>
      <c r="EP106" s="61" t="s">
        <v>1970</v>
      </c>
      <c r="EQ106" s="61" t="s">
        <v>1970</v>
      </c>
      <c r="ER106" s="61" t="s">
        <v>1970</v>
      </c>
      <c r="ES106" s="61" t="s">
        <v>1970</v>
      </c>
      <c r="ET106" s="61" t="s">
        <v>1970</v>
      </c>
      <c r="EU106" s="61" t="s">
        <v>1970</v>
      </c>
      <c r="EV106" s="61"/>
      <c r="EW106" s="61" t="s">
        <v>1968</v>
      </c>
      <c r="EX106" s="61" t="s">
        <v>1970</v>
      </c>
      <c r="EY106" s="61" t="s">
        <v>1970</v>
      </c>
      <c r="EZ106" s="61" t="s">
        <v>1970</v>
      </c>
      <c r="FA106" s="61" t="s">
        <v>1970</v>
      </c>
      <c r="FB106" s="61" t="s">
        <v>1970</v>
      </c>
      <c r="FC106" s="61" t="s">
        <v>1970</v>
      </c>
      <c r="FF106" s="80" t="s">
        <v>1765</v>
      </c>
      <c r="FG106" s="80" t="s">
        <v>1968</v>
      </c>
      <c r="FH106" s="80" t="s">
        <v>1970</v>
      </c>
      <c r="FI106" s="80" t="s">
        <v>1970</v>
      </c>
      <c r="FJ106" s="80" t="s">
        <v>1970</v>
      </c>
      <c r="FK106" s="80" t="s">
        <v>1970</v>
      </c>
      <c r="FL106" s="80" t="s">
        <v>1970</v>
      </c>
      <c r="FM106" s="80" t="s">
        <v>1970</v>
      </c>
      <c r="FN106" s="80"/>
      <c r="FO106" s="80" t="s">
        <v>1968</v>
      </c>
      <c r="FP106" s="80" t="s">
        <v>1970</v>
      </c>
      <c r="FQ106" s="80" t="s">
        <v>1970</v>
      </c>
      <c r="FR106" s="80" t="s">
        <v>1970</v>
      </c>
      <c r="FS106" s="80" t="s">
        <v>1970</v>
      </c>
      <c r="FT106" s="80" t="s">
        <v>1970</v>
      </c>
      <c r="FU106" s="80" t="s">
        <v>1970</v>
      </c>
    </row>
    <row r="107" spans="2:177" x14ac:dyDescent="0.3">
      <c r="B107" s="71" t="s">
        <v>27</v>
      </c>
      <c r="C107" s="71" t="s">
        <v>1968</v>
      </c>
      <c r="D107" s="71">
        <v>72</v>
      </c>
      <c r="E107" s="71">
        <v>2</v>
      </c>
      <c r="F107" s="71">
        <v>0</v>
      </c>
      <c r="G107" s="71">
        <v>0</v>
      </c>
      <c r="H107" s="71">
        <v>0</v>
      </c>
      <c r="I107" s="71">
        <v>74</v>
      </c>
      <c r="K107" s="71" t="s">
        <v>1968</v>
      </c>
      <c r="L107" s="71">
        <v>769</v>
      </c>
      <c r="M107" s="71">
        <v>677</v>
      </c>
      <c r="N107" s="71">
        <v>756</v>
      </c>
      <c r="O107" s="71">
        <v>878</v>
      </c>
      <c r="P107" s="71">
        <v>566</v>
      </c>
      <c r="Q107" s="71">
        <v>3646</v>
      </c>
      <c r="T107" s="273" t="s">
        <v>376</v>
      </c>
      <c r="U107" s="273" t="s">
        <v>2840</v>
      </c>
      <c r="V107" s="273">
        <v>872</v>
      </c>
      <c r="W107" s="273">
        <v>723</v>
      </c>
      <c r="X107" s="273">
        <v>887</v>
      </c>
      <c r="Y107" s="273">
        <v>1040</v>
      </c>
      <c r="Z107" s="273">
        <v>727</v>
      </c>
      <c r="AA107" s="273">
        <v>4249</v>
      </c>
      <c r="AB107" s="273"/>
      <c r="AC107" s="273" t="s">
        <v>2840</v>
      </c>
      <c r="AD107" s="273">
        <v>97</v>
      </c>
      <c r="AE107" s="273">
        <v>4</v>
      </c>
      <c r="AF107" s="273">
        <v>1</v>
      </c>
      <c r="AG107" s="273">
        <v>0</v>
      </c>
      <c r="AH107" s="273">
        <v>0</v>
      </c>
      <c r="AI107" s="273">
        <v>102</v>
      </c>
      <c r="AJ107" s="16">
        <v>135</v>
      </c>
      <c r="AK107" s="73" t="s">
        <v>448</v>
      </c>
      <c r="AL107" s="73" t="s">
        <v>2856</v>
      </c>
      <c r="AM107" s="73">
        <v>522</v>
      </c>
      <c r="AN107" s="73">
        <v>742</v>
      </c>
      <c r="AO107" s="73">
        <v>601</v>
      </c>
      <c r="AP107" s="73">
        <v>598</v>
      </c>
      <c r="AQ107" s="73">
        <v>734</v>
      </c>
      <c r="AR107" s="73">
        <v>3197</v>
      </c>
      <c r="AS107" s="73"/>
      <c r="AT107" s="73" t="s">
        <v>2856</v>
      </c>
      <c r="AU107" s="73">
        <v>84</v>
      </c>
      <c r="AV107" s="73">
        <v>20</v>
      </c>
      <c r="AW107" s="73">
        <v>22</v>
      </c>
      <c r="AX107" s="73">
        <v>27</v>
      </c>
      <c r="AY107" s="73">
        <v>30</v>
      </c>
      <c r="AZ107" s="73">
        <v>183</v>
      </c>
      <c r="BB107" s="78" t="s">
        <v>972</v>
      </c>
      <c r="BC107" s="78" t="s">
        <v>2856</v>
      </c>
      <c r="BD107" s="78">
        <v>85</v>
      </c>
      <c r="BE107" s="78">
        <v>77</v>
      </c>
      <c r="BF107" s="78">
        <v>151</v>
      </c>
      <c r="BG107" s="78">
        <v>223</v>
      </c>
      <c r="BH107" s="78">
        <v>191</v>
      </c>
      <c r="BI107" s="78">
        <v>727</v>
      </c>
      <c r="BJ107" s="78"/>
      <c r="BK107" s="78" t="s">
        <v>2856</v>
      </c>
      <c r="BL107" s="78">
        <v>22</v>
      </c>
      <c r="BM107" s="78">
        <v>0</v>
      </c>
      <c r="BN107" s="78">
        <v>0</v>
      </c>
      <c r="BO107" s="78">
        <v>0</v>
      </c>
      <c r="BP107" s="78">
        <v>0</v>
      </c>
      <c r="BQ107" s="78">
        <v>22</v>
      </c>
      <c r="CL107" s="61" t="s">
        <v>1216</v>
      </c>
      <c r="CM107" s="61" t="s">
        <v>1968</v>
      </c>
      <c r="CN107" s="61">
        <v>218</v>
      </c>
      <c r="CO107" s="61">
        <v>82</v>
      </c>
      <c r="CP107" s="61">
        <v>141</v>
      </c>
      <c r="CQ107" s="61">
        <v>189</v>
      </c>
      <c r="CR107" s="61">
        <v>184</v>
      </c>
      <c r="CS107" s="61">
        <v>814</v>
      </c>
      <c r="CT107" s="61"/>
      <c r="CU107" s="61" t="s">
        <v>1968</v>
      </c>
      <c r="CV107" s="61">
        <v>50</v>
      </c>
      <c r="CW107" s="61">
        <v>0</v>
      </c>
      <c r="CX107" s="61">
        <v>0</v>
      </c>
      <c r="CY107" s="61">
        <v>0</v>
      </c>
      <c r="CZ107" s="61">
        <v>0</v>
      </c>
      <c r="DA107" s="61">
        <v>50</v>
      </c>
      <c r="EN107" s="61" t="s">
        <v>1701</v>
      </c>
      <c r="EO107" s="61" t="s">
        <v>1968</v>
      </c>
      <c r="EP107" s="61">
        <v>88</v>
      </c>
      <c r="EQ107" s="61">
        <v>151</v>
      </c>
      <c r="ER107" s="61">
        <v>224</v>
      </c>
      <c r="ES107" s="61">
        <v>258</v>
      </c>
      <c r="ET107" s="61">
        <v>317</v>
      </c>
      <c r="EU107" s="61">
        <v>1038</v>
      </c>
      <c r="EV107" s="61"/>
      <c r="EW107" s="61" t="s">
        <v>1968</v>
      </c>
      <c r="EX107" s="61">
        <v>7</v>
      </c>
      <c r="EY107" s="61">
        <v>10</v>
      </c>
      <c r="EZ107" s="61">
        <v>3</v>
      </c>
      <c r="FA107" s="61">
        <v>0</v>
      </c>
      <c r="FB107" s="61">
        <v>1</v>
      </c>
      <c r="FC107" s="61">
        <v>21</v>
      </c>
      <c r="FF107" s="80" t="s">
        <v>1769</v>
      </c>
      <c r="FG107" s="80" t="s">
        <v>1968</v>
      </c>
      <c r="FH107" s="80">
        <v>1930</v>
      </c>
      <c r="FI107" s="80">
        <v>1434</v>
      </c>
      <c r="FJ107" s="80">
        <v>995</v>
      </c>
      <c r="FK107" s="80">
        <v>701</v>
      </c>
      <c r="FL107" s="80">
        <v>857</v>
      </c>
      <c r="FM107" s="80">
        <v>5917</v>
      </c>
      <c r="FN107" s="80"/>
      <c r="FO107" s="80" t="s">
        <v>1968</v>
      </c>
      <c r="FP107" s="80">
        <v>439</v>
      </c>
      <c r="FQ107" s="80">
        <v>111</v>
      </c>
      <c r="FR107" s="80">
        <v>0</v>
      </c>
      <c r="FS107" s="80">
        <v>0</v>
      </c>
      <c r="FT107" s="80">
        <v>0</v>
      </c>
      <c r="FU107" s="80">
        <v>550</v>
      </c>
    </row>
    <row r="108" spans="2:177" x14ac:dyDescent="0.3">
      <c r="B108" s="71" t="s">
        <v>31</v>
      </c>
      <c r="C108" s="71" t="s">
        <v>1968</v>
      </c>
      <c r="D108" s="71">
        <v>15</v>
      </c>
      <c r="E108" s="71">
        <v>2</v>
      </c>
      <c r="F108" s="71">
        <v>1</v>
      </c>
      <c r="G108" s="71">
        <v>0</v>
      </c>
      <c r="H108" s="71">
        <v>0</v>
      </c>
      <c r="I108" s="71">
        <v>18</v>
      </c>
      <c r="K108" s="71" t="s">
        <v>1968</v>
      </c>
      <c r="L108" s="71">
        <v>146</v>
      </c>
      <c r="M108" s="71">
        <v>250</v>
      </c>
      <c r="N108" s="71">
        <v>495</v>
      </c>
      <c r="O108" s="71">
        <v>598</v>
      </c>
      <c r="P108" s="71">
        <v>463</v>
      </c>
      <c r="Q108" s="71">
        <v>1952</v>
      </c>
      <c r="T108" s="273" t="s">
        <v>383</v>
      </c>
      <c r="U108" s="273" t="s">
        <v>2840</v>
      </c>
      <c r="V108" s="273">
        <v>597</v>
      </c>
      <c r="W108" s="273">
        <v>332</v>
      </c>
      <c r="X108" s="273">
        <v>372</v>
      </c>
      <c r="Y108" s="273">
        <v>396</v>
      </c>
      <c r="Z108" s="273">
        <v>335</v>
      </c>
      <c r="AA108" s="273">
        <v>2032</v>
      </c>
      <c r="AB108" s="273"/>
      <c r="AC108" s="273" t="s">
        <v>2840</v>
      </c>
      <c r="AD108" s="273">
        <v>16</v>
      </c>
      <c r="AE108" s="273">
        <v>0</v>
      </c>
      <c r="AF108" s="273">
        <v>0</v>
      </c>
      <c r="AG108" s="273">
        <v>0</v>
      </c>
      <c r="AH108" s="273">
        <v>0</v>
      </c>
      <c r="AI108" s="273">
        <v>16</v>
      </c>
      <c r="AJ108" s="16">
        <v>22</v>
      </c>
      <c r="AK108" s="73" t="s">
        <v>452</v>
      </c>
      <c r="AL108" s="73" t="s">
        <v>2856</v>
      </c>
      <c r="AM108" s="73">
        <v>499</v>
      </c>
      <c r="AN108" s="73">
        <v>407</v>
      </c>
      <c r="AO108" s="73">
        <v>404</v>
      </c>
      <c r="AP108" s="73">
        <v>448</v>
      </c>
      <c r="AQ108" s="73">
        <v>645</v>
      </c>
      <c r="AR108" s="73">
        <v>2403</v>
      </c>
      <c r="AS108" s="73"/>
      <c r="AT108" s="73" t="s">
        <v>2856</v>
      </c>
      <c r="AU108" s="73">
        <v>128</v>
      </c>
      <c r="AV108" s="73">
        <v>31</v>
      </c>
      <c r="AW108" s="73">
        <v>24</v>
      </c>
      <c r="AX108" s="73">
        <v>24</v>
      </c>
      <c r="AY108" s="73">
        <v>43</v>
      </c>
      <c r="AZ108" s="73">
        <v>250</v>
      </c>
      <c r="BB108" s="78" t="s">
        <v>980</v>
      </c>
      <c r="BC108" s="78" t="s">
        <v>2856</v>
      </c>
      <c r="BD108" s="78">
        <v>137</v>
      </c>
      <c r="BE108" s="78">
        <v>88</v>
      </c>
      <c r="BF108" s="78">
        <v>109</v>
      </c>
      <c r="BG108" s="78">
        <v>159</v>
      </c>
      <c r="BH108" s="78">
        <v>148</v>
      </c>
      <c r="BI108" s="78">
        <v>641</v>
      </c>
      <c r="BJ108" s="78"/>
      <c r="BK108" s="78" t="s">
        <v>2856</v>
      </c>
      <c r="BL108" s="78">
        <v>28</v>
      </c>
      <c r="BM108" s="78">
        <v>0</v>
      </c>
      <c r="BN108" s="78">
        <v>0</v>
      </c>
      <c r="BO108" s="78">
        <v>0</v>
      </c>
      <c r="BP108" s="78">
        <v>0</v>
      </c>
      <c r="BQ108" s="78">
        <v>28</v>
      </c>
      <c r="CL108" s="61" t="s">
        <v>1221</v>
      </c>
      <c r="CM108" s="61" t="s">
        <v>1968</v>
      </c>
      <c r="CN108" s="61">
        <v>36</v>
      </c>
      <c r="CO108" s="61">
        <v>76</v>
      </c>
      <c r="CP108" s="61">
        <v>143</v>
      </c>
      <c r="CQ108" s="61">
        <v>235</v>
      </c>
      <c r="CR108" s="61">
        <v>262</v>
      </c>
      <c r="CS108" s="61">
        <v>752</v>
      </c>
      <c r="CT108" s="61"/>
      <c r="CU108" s="61" t="s">
        <v>1968</v>
      </c>
      <c r="CV108" s="61">
        <v>8</v>
      </c>
      <c r="CW108" s="61">
        <v>0</v>
      </c>
      <c r="CX108" s="61">
        <v>0</v>
      </c>
      <c r="CY108" s="61">
        <v>0</v>
      </c>
      <c r="CZ108" s="61">
        <v>0</v>
      </c>
      <c r="DA108" s="61">
        <v>8</v>
      </c>
      <c r="EN108" s="61" t="s">
        <v>1705</v>
      </c>
      <c r="EO108" s="61" t="s">
        <v>1968</v>
      </c>
      <c r="EP108" s="61">
        <v>67</v>
      </c>
      <c r="EQ108" s="61">
        <v>109</v>
      </c>
      <c r="ER108" s="61">
        <v>142</v>
      </c>
      <c r="ES108" s="61">
        <v>209</v>
      </c>
      <c r="ET108" s="61">
        <v>273</v>
      </c>
      <c r="EU108" s="61">
        <v>800</v>
      </c>
      <c r="EV108" s="61"/>
      <c r="EW108" s="61" t="s">
        <v>1968</v>
      </c>
      <c r="EX108" s="61">
        <v>13</v>
      </c>
      <c r="EY108" s="61">
        <v>7</v>
      </c>
      <c r="EZ108" s="61">
        <v>0</v>
      </c>
      <c r="FA108" s="61">
        <v>2</v>
      </c>
      <c r="FB108" s="61">
        <v>3</v>
      </c>
      <c r="FC108" s="61">
        <v>25</v>
      </c>
      <c r="FF108" s="80" t="s">
        <v>1773</v>
      </c>
      <c r="FG108" s="80" t="s">
        <v>1968</v>
      </c>
      <c r="FH108" s="80">
        <v>294</v>
      </c>
      <c r="FI108" s="80">
        <v>477</v>
      </c>
      <c r="FJ108" s="80">
        <v>592</v>
      </c>
      <c r="FK108" s="80">
        <v>534</v>
      </c>
      <c r="FL108" s="80">
        <v>681</v>
      </c>
      <c r="FM108" s="80">
        <v>2578</v>
      </c>
      <c r="FN108" s="80"/>
      <c r="FO108" s="80" t="s">
        <v>1968</v>
      </c>
      <c r="FP108" s="80">
        <v>47</v>
      </c>
      <c r="FQ108" s="80">
        <v>3</v>
      </c>
      <c r="FR108" s="80">
        <v>0</v>
      </c>
      <c r="FS108" s="80">
        <v>0</v>
      </c>
      <c r="FT108" s="80">
        <v>0</v>
      </c>
      <c r="FU108" s="80">
        <v>50</v>
      </c>
    </row>
    <row r="109" spans="2:177" x14ac:dyDescent="0.3">
      <c r="B109" s="71" t="s">
        <v>35</v>
      </c>
      <c r="C109" s="71" t="s">
        <v>1968</v>
      </c>
      <c r="D109" s="71">
        <v>42</v>
      </c>
      <c r="E109" s="71">
        <v>6</v>
      </c>
      <c r="F109" s="71">
        <v>6</v>
      </c>
      <c r="G109" s="71">
        <v>2</v>
      </c>
      <c r="H109" s="71">
        <v>0</v>
      </c>
      <c r="I109" s="71">
        <v>56</v>
      </c>
      <c r="K109" s="71" t="s">
        <v>1968</v>
      </c>
      <c r="L109" s="71">
        <v>190</v>
      </c>
      <c r="M109" s="71">
        <v>305</v>
      </c>
      <c r="N109" s="71">
        <v>482</v>
      </c>
      <c r="O109" s="71">
        <v>594</v>
      </c>
      <c r="P109" s="71">
        <v>433</v>
      </c>
      <c r="Q109" s="71">
        <v>2004</v>
      </c>
      <c r="T109" s="273" t="s">
        <v>397</v>
      </c>
      <c r="U109" s="273" t="s">
        <v>2840</v>
      </c>
      <c r="V109" s="273">
        <v>736</v>
      </c>
      <c r="W109" s="273">
        <v>707</v>
      </c>
      <c r="X109" s="273">
        <v>1127</v>
      </c>
      <c r="Y109" s="273">
        <v>1445</v>
      </c>
      <c r="Z109" s="273">
        <v>1157</v>
      </c>
      <c r="AA109" s="273">
        <v>5172</v>
      </c>
      <c r="AB109" s="273"/>
      <c r="AC109" s="273" t="s">
        <v>2840</v>
      </c>
      <c r="AD109" s="273">
        <v>31</v>
      </c>
      <c r="AE109" s="273">
        <v>4</v>
      </c>
      <c r="AF109" s="273">
        <v>2</v>
      </c>
      <c r="AG109" s="273">
        <v>0</v>
      </c>
      <c r="AH109" s="273">
        <v>0</v>
      </c>
      <c r="AI109" s="273">
        <v>37</v>
      </c>
      <c r="AJ109" s="16">
        <v>30</v>
      </c>
      <c r="AK109" s="73" t="s">
        <v>456</v>
      </c>
      <c r="AL109" s="73" t="s">
        <v>2856</v>
      </c>
      <c r="AM109" s="73">
        <v>837</v>
      </c>
      <c r="AN109" s="73">
        <v>766</v>
      </c>
      <c r="AO109" s="73">
        <v>662</v>
      </c>
      <c r="AP109" s="73">
        <v>692</v>
      </c>
      <c r="AQ109" s="73">
        <v>978</v>
      </c>
      <c r="AR109" s="73">
        <v>3935</v>
      </c>
      <c r="AS109" s="73"/>
      <c r="AT109" s="73" t="s">
        <v>2856</v>
      </c>
      <c r="AU109" s="73">
        <v>113</v>
      </c>
      <c r="AV109" s="73">
        <v>10</v>
      </c>
      <c r="AW109" s="73">
        <v>13</v>
      </c>
      <c r="AX109" s="73">
        <v>9</v>
      </c>
      <c r="AY109" s="73">
        <v>14</v>
      </c>
      <c r="AZ109" s="73">
        <v>159</v>
      </c>
      <c r="BB109" s="78" t="s">
        <v>984</v>
      </c>
      <c r="BC109" s="78" t="s">
        <v>2856</v>
      </c>
      <c r="BD109" s="78">
        <v>82</v>
      </c>
      <c r="BE109" s="78">
        <v>57</v>
      </c>
      <c r="BF109" s="78">
        <v>76</v>
      </c>
      <c r="BG109" s="78">
        <v>96</v>
      </c>
      <c r="BH109" s="78">
        <v>85</v>
      </c>
      <c r="BI109" s="78">
        <v>396</v>
      </c>
      <c r="BJ109" s="78"/>
      <c r="BK109" s="78" t="s">
        <v>2856</v>
      </c>
      <c r="BL109" s="78">
        <v>22</v>
      </c>
      <c r="BM109" s="78">
        <v>1</v>
      </c>
      <c r="BN109" s="78">
        <v>0</v>
      </c>
      <c r="BO109" s="78">
        <v>0</v>
      </c>
      <c r="BP109" s="78">
        <v>0</v>
      </c>
      <c r="BQ109" s="78">
        <v>23</v>
      </c>
      <c r="CL109" s="61" t="s">
        <v>1348</v>
      </c>
      <c r="CM109" s="61" t="s">
        <v>1968</v>
      </c>
      <c r="CN109" s="61">
        <v>77</v>
      </c>
      <c r="CO109" s="61">
        <v>102</v>
      </c>
      <c r="CP109" s="61">
        <v>212</v>
      </c>
      <c r="CQ109" s="61">
        <v>330</v>
      </c>
      <c r="CR109" s="61">
        <v>275</v>
      </c>
      <c r="CS109" s="61">
        <v>996</v>
      </c>
      <c r="CT109" s="61"/>
      <c r="CU109" s="61" t="s">
        <v>1968</v>
      </c>
      <c r="CV109" s="61">
        <v>21</v>
      </c>
      <c r="CW109" s="61">
        <v>0</v>
      </c>
      <c r="CX109" s="61">
        <v>0</v>
      </c>
      <c r="CY109" s="61">
        <v>0</v>
      </c>
      <c r="CZ109" s="61">
        <v>0</v>
      </c>
      <c r="DA109" s="61">
        <v>21</v>
      </c>
      <c r="FF109" s="80" t="s">
        <v>1777</v>
      </c>
      <c r="FG109" s="80" t="s">
        <v>1968</v>
      </c>
      <c r="FH109" s="80">
        <v>172</v>
      </c>
      <c r="FI109" s="80">
        <v>373</v>
      </c>
      <c r="FJ109" s="80">
        <v>577</v>
      </c>
      <c r="FK109" s="80">
        <v>564</v>
      </c>
      <c r="FL109" s="80">
        <v>619</v>
      </c>
      <c r="FM109" s="80">
        <v>2305</v>
      </c>
      <c r="FN109" s="80"/>
      <c r="FO109" s="80" t="s">
        <v>1968</v>
      </c>
      <c r="FP109" s="80">
        <v>15</v>
      </c>
      <c r="FQ109" s="80">
        <v>0</v>
      </c>
      <c r="FR109" s="80">
        <v>0</v>
      </c>
      <c r="FS109" s="80">
        <v>0</v>
      </c>
      <c r="FT109" s="80">
        <v>0</v>
      </c>
      <c r="FU109" s="80">
        <v>15</v>
      </c>
    </row>
    <row r="110" spans="2:177" x14ac:dyDescent="0.3">
      <c r="B110" s="71" t="s">
        <v>39</v>
      </c>
      <c r="C110" s="71" t="s">
        <v>1968</v>
      </c>
      <c r="D110" s="71">
        <v>39</v>
      </c>
      <c r="E110" s="71">
        <v>2</v>
      </c>
      <c r="F110" s="71">
        <v>0</v>
      </c>
      <c r="G110" s="71">
        <v>0</v>
      </c>
      <c r="H110" s="71">
        <v>0</v>
      </c>
      <c r="I110" s="71">
        <v>41</v>
      </c>
      <c r="K110" s="71" t="s">
        <v>1968</v>
      </c>
      <c r="L110" s="71">
        <v>306</v>
      </c>
      <c r="M110" s="71">
        <v>275</v>
      </c>
      <c r="N110" s="71">
        <v>356</v>
      </c>
      <c r="O110" s="71">
        <v>442</v>
      </c>
      <c r="P110" s="71">
        <v>346</v>
      </c>
      <c r="Q110" s="71">
        <v>1725</v>
      </c>
      <c r="T110" s="273" t="s">
        <v>411</v>
      </c>
      <c r="U110" s="273" t="s">
        <v>2840</v>
      </c>
      <c r="V110" s="273">
        <v>714</v>
      </c>
      <c r="W110" s="273">
        <v>415</v>
      </c>
      <c r="X110" s="273">
        <v>457</v>
      </c>
      <c r="Y110" s="273">
        <v>377</v>
      </c>
      <c r="Z110" s="273">
        <v>247</v>
      </c>
      <c r="AA110" s="273">
        <v>2210</v>
      </c>
      <c r="AB110" s="273"/>
      <c r="AC110" s="273" t="s">
        <v>2840</v>
      </c>
      <c r="AD110" s="273">
        <v>53</v>
      </c>
      <c r="AE110" s="273">
        <v>0</v>
      </c>
      <c r="AF110" s="273">
        <v>0</v>
      </c>
      <c r="AG110" s="273">
        <v>0</v>
      </c>
      <c r="AH110" s="273">
        <v>0</v>
      </c>
      <c r="AI110" s="273">
        <v>53</v>
      </c>
      <c r="AJ110" s="16">
        <v>40</v>
      </c>
      <c r="AK110" s="73" t="s">
        <v>460</v>
      </c>
      <c r="AL110" s="73" t="s">
        <v>2856</v>
      </c>
      <c r="AM110" s="73">
        <v>718</v>
      </c>
      <c r="AN110" s="73">
        <v>643</v>
      </c>
      <c r="AO110" s="73">
        <v>635</v>
      </c>
      <c r="AP110" s="73">
        <v>563</v>
      </c>
      <c r="AQ110" s="73">
        <v>785</v>
      </c>
      <c r="AR110" s="73">
        <v>3344</v>
      </c>
      <c r="AS110" s="73"/>
      <c r="AT110" s="73" t="s">
        <v>2856</v>
      </c>
      <c r="AU110" s="73">
        <v>109</v>
      </c>
      <c r="AV110" s="73">
        <v>23</v>
      </c>
      <c r="AW110" s="73">
        <v>20</v>
      </c>
      <c r="AX110" s="73">
        <v>16</v>
      </c>
      <c r="AY110" s="73">
        <v>20</v>
      </c>
      <c r="AZ110" s="73">
        <v>188</v>
      </c>
      <c r="BB110" s="78" t="s">
        <v>988</v>
      </c>
      <c r="BC110" s="78" t="s">
        <v>2856</v>
      </c>
      <c r="BD110" s="78">
        <v>87</v>
      </c>
      <c r="BE110" s="78">
        <v>57</v>
      </c>
      <c r="BF110" s="78">
        <v>118</v>
      </c>
      <c r="BG110" s="78">
        <v>216</v>
      </c>
      <c r="BH110" s="78">
        <v>207</v>
      </c>
      <c r="BI110" s="78">
        <v>685</v>
      </c>
      <c r="BJ110" s="78"/>
      <c r="BK110" s="78" t="s">
        <v>2856</v>
      </c>
      <c r="BL110" s="78">
        <v>26</v>
      </c>
      <c r="BM110" s="78">
        <v>0</v>
      </c>
      <c r="BN110" s="78">
        <v>0</v>
      </c>
      <c r="BO110" s="78">
        <v>0</v>
      </c>
      <c r="BP110" s="78">
        <v>0</v>
      </c>
      <c r="BQ110" s="78">
        <v>26</v>
      </c>
      <c r="CL110" s="61" t="s">
        <v>1352</v>
      </c>
      <c r="CM110" s="61" t="s">
        <v>1968</v>
      </c>
      <c r="CN110" s="61">
        <v>48</v>
      </c>
      <c r="CO110" s="61">
        <v>14</v>
      </c>
      <c r="CP110" s="61">
        <v>16</v>
      </c>
      <c r="CQ110" s="61">
        <v>14</v>
      </c>
      <c r="CR110" s="61">
        <v>47</v>
      </c>
      <c r="CS110" s="61">
        <v>139</v>
      </c>
      <c r="CT110" s="61"/>
      <c r="CU110" s="61" t="s">
        <v>1968</v>
      </c>
      <c r="CV110" s="61">
        <v>16</v>
      </c>
      <c r="CW110" s="61">
        <v>0</v>
      </c>
      <c r="CX110" s="61">
        <v>0</v>
      </c>
      <c r="CY110" s="61">
        <v>0</v>
      </c>
      <c r="CZ110" s="61">
        <v>0</v>
      </c>
      <c r="DA110" s="61">
        <v>16</v>
      </c>
      <c r="EN110" s="267" t="s">
        <v>1567</v>
      </c>
      <c r="EO110" s="267" t="s">
        <v>2840</v>
      </c>
      <c r="EP110" s="267">
        <v>657</v>
      </c>
      <c r="EQ110" s="267">
        <v>937</v>
      </c>
      <c r="ER110" s="267">
        <v>1062</v>
      </c>
      <c r="ES110" s="267">
        <v>1283</v>
      </c>
      <c r="ET110" s="267">
        <v>1408</v>
      </c>
      <c r="EU110" s="267">
        <v>5347</v>
      </c>
      <c r="EV110" s="267"/>
      <c r="EW110" s="267" t="s">
        <v>2840</v>
      </c>
      <c r="EX110" s="267">
        <v>109</v>
      </c>
      <c r="EY110" s="267">
        <v>33</v>
      </c>
      <c r="EZ110" s="267">
        <v>23</v>
      </c>
      <c r="FA110" s="267">
        <v>15</v>
      </c>
      <c r="FB110" s="267">
        <v>20</v>
      </c>
      <c r="FC110" s="267">
        <v>200</v>
      </c>
      <c r="FD110" s="16">
        <v>85</v>
      </c>
      <c r="FF110" s="80" t="s">
        <v>1781</v>
      </c>
      <c r="FG110" s="80" t="s">
        <v>1968</v>
      </c>
      <c r="FH110" s="80">
        <v>559</v>
      </c>
      <c r="FI110" s="80">
        <v>630</v>
      </c>
      <c r="FJ110" s="80">
        <v>686</v>
      </c>
      <c r="FK110" s="80">
        <v>630</v>
      </c>
      <c r="FL110" s="80">
        <v>713</v>
      </c>
      <c r="FM110" s="80">
        <v>3218</v>
      </c>
      <c r="FN110" s="80"/>
      <c r="FO110" s="80" t="s">
        <v>1968</v>
      </c>
      <c r="FP110" s="80">
        <v>55</v>
      </c>
      <c r="FQ110" s="80">
        <v>0</v>
      </c>
      <c r="FR110" s="80">
        <v>0</v>
      </c>
      <c r="FS110" s="80">
        <v>0</v>
      </c>
      <c r="FT110" s="80">
        <v>0</v>
      </c>
      <c r="FU110" s="80">
        <v>55</v>
      </c>
    </row>
    <row r="111" spans="2:177" x14ac:dyDescent="0.3">
      <c r="B111" s="71" t="s">
        <v>43</v>
      </c>
      <c r="C111" s="71" t="s">
        <v>1968</v>
      </c>
      <c r="D111" s="71">
        <v>11</v>
      </c>
      <c r="E111" s="71">
        <v>0</v>
      </c>
      <c r="F111" s="71">
        <v>0</v>
      </c>
      <c r="G111" s="71">
        <v>0</v>
      </c>
      <c r="H111" s="71">
        <v>0</v>
      </c>
      <c r="I111" s="71">
        <v>11</v>
      </c>
      <c r="K111" s="71" t="s">
        <v>1968</v>
      </c>
      <c r="L111" s="71">
        <v>91</v>
      </c>
      <c r="M111" s="71">
        <v>109</v>
      </c>
      <c r="N111" s="71">
        <v>193</v>
      </c>
      <c r="O111" s="71">
        <v>318</v>
      </c>
      <c r="P111" s="71">
        <v>258</v>
      </c>
      <c r="Q111" s="71">
        <v>969</v>
      </c>
      <c r="T111" s="273" t="s">
        <v>417</v>
      </c>
      <c r="U111" s="273" t="s">
        <v>2840</v>
      </c>
      <c r="V111" s="273">
        <v>133</v>
      </c>
      <c r="W111" s="273">
        <v>264</v>
      </c>
      <c r="X111" s="273">
        <v>487</v>
      </c>
      <c r="Y111" s="273">
        <v>686</v>
      </c>
      <c r="Z111" s="273">
        <v>584</v>
      </c>
      <c r="AA111" s="273">
        <v>2154</v>
      </c>
      <c r="AB111" s="273"/>
      <c r="AC111" s="273" t="s">
        <v>2840</v>
      </c>
      <c r="AD111" s="273">
        <v>11</v>
      </c>
      <c r="AE111" s="273">
        <v>4</v>
      </c>
      <c r="AF111" s="273">
        <v>3</v>
      </c>
      <c r="AG111" s="273">
        <v>1</v>
      </c>
      <c r="AH111" s="273">
        <v>1</v>
      </c>
      <c r="AI111" s="273">
        <v>20</v>
      </c>
      <c r="AJ111" s="16">
        <v>15</v>
      </c>
      <c r="AK111" s="73" t="s">
        <v>464</v>
      </c>
      <c r="AL111" s="73" t="s">
        <v>2856</v>
      </c>
      <c r="AM111" s="73">
        <v>829</v>
      </c>
      <c r="AN111" s="73">
        <v>692</v>
      </c>
      <c r="AO111" s="73">
        <v>691</v>
      </c>
      <c r="AP111" s="73">
        <v>608</v>
      </c>
      <c r="AQ111" s="73">
        <v>870</v>
      </c>
      <c r="AR111" s="73">
        <v>3690</v>
      </c>
      <c r="AS111" s="73"/>
      <c r="AT111" s="73" t="s">
        <v>2856</v>
      </c>
      <c r="AU111" s="73">
        <v>142</v>
      </c>
      <c r="AV111" s="73">
        <v>41</v>
      </c>
      <c r="AW111" s="73">
        <v>36</v>
      </c>
      <c r="AX111" s="73">
        <v>22</v>
      </c>
      <c r="AY111" s="73">
        <v>40</v>
      </c>
      <c r="AZ111" s="73">
        <v>281</v>
      </c>
      <c r="BB111" s="78" t="s">
        <v>1001</v>
      </c>
      <c r="BC111" s="78" t="s">
        <v>2856</v>
      </c>
      <c r="BD111" s="78">
        <v>574</v>
      </c>
      <c r="BE111" s="78">
        <v>526</v>
      </c>
      <c r="BF111" s="78">
        <v>957</v>
      </c>
      <c r="BG111" s="78">
        <v>1315</v>
      </c>
      <c r="BH111" s="78">
        <v>1237</v>
      </c>
      <c r="BI111" s="78">
        <v>4609</v>
      </c>
      <c r="BJ111" s="78"/>
      <c r="BK111" s="78" t="s">
        <v>2856</v>
      </c>
      <c r="BL111" s="78">
        <v>66</v>
      </c>
      <c r="BM111" s="78">
        <v>0</v>
      </c>
      <c r="BN111" s="78">
        <v>0</v>
      </c>
      <c r="BO111" s="78">
        <v>0</v>
      </c>
      <c r="BP111" s="78">
        <v>0</v>
      </c>
      <c r="BQ111" s="78">
        <v>66</v>
      </c>
      <c r="CL111" s="61" t="s">
        <v>1362</v>
      </c>
      <c r="CM111" s="61" t="s">
        <v>1968</v>
      </c>
      <c r="CN111" s="61">
        <v>90</v>
      </c>
      <c r="CO111" s="61">
        <v>139</v>
      </c>
      <c r="CP111" s="61">
        <v>298</v>
      </c>
      <c r="CQ111" s="61">
        <v>461</v>
      </c>
      <c r="CR111" s="61">
        <v>378</v>
      </c>
      <c r="CS111" s="61">
        <v>1366</v>
      </c>
      <c r="CT111" s="61"/>
      <c r="CU111" s="61" t="s">
        <v>1968</v>
      </c>
      <c r="CV111" s="61">
        <v>14</v>
      </c>
      <c r="CW111" s="61">
        <v>0</v>
      </c>
      <c r="CX111" s="61">
        <v>0</v>
      </c>
      <c r="CY111" s="61">
        <v>0</v>
      </c>
      <c r="CZ111" s="61">
        <v>0</v>
      </c>
      <c r="DA111" s="61">
        <v>14</v>
      </c>
      <c r="EN111" s="267" t="s">
        <v>1572</v>
      </c>
      <c r="EO111" s="267" t="s">
        <v>2840</v>
      </c>
      <c r="EP111" s="267">
        <v>94</v>
      </c>
      <c r="EQ111" s="267">
        <v>159</v>
      </c>
      <c r="ER111" s="267">
        <v>224</v>
      </c>
      <c r="ES111" s="267">
        <v>308</v>
      </c>
      <c r="ET111" s="267">
        <v>390</v>
      </c>
      <c r="EU111" s="267">
        <v>1175</v>
      </c>
      <c r="EV111" s="267"/>
      <c r="EW111" s="267" t="s">
        <v>2840</v>
      </c>
      <c r="EX111" s="267">
        <v>17</v>
      </c>
      <c r="EY111" s="267">
        <v>10</v>
      </c>
      <c r="EZ111" s="267">
        <v>6</v>
      </c>
      <c r="FA111" s="267">
        <v>7</v>
      </c>
      <c r="FB111" s="267">
        <v>7</v>
      </c>
      <c r="FC111" s="267">
        <v>47</v>
      </c>
      <c r="FD111" s="16">
        <v>25</v>
      </c>
      <c r="FF111" s="80" t="s">
        <v>1785</v>
      </c>
      <c r="FG111" s="80" t="s">
        <v>1968</v>
      </c>
      <c r="FH111" s="80">
        <v>490</v>
      </c>
      <c r="FI111" s="80">
        <v>612</v>
      </c>
      <c r="FJ111" s="80">
        <v>745</v>
      </c>
      <c r="FK111" s="80">
        <v>689</v>
      </c>
      <c r="FL111" s="80">
        <v>756</v>
      </c>
      <c r="FM111" s="80">
        <v>3292</v>
      </c>
      <c r="FN111" s="80"/>
      <c r="FO111" s="80" t="s">
        <v>1968</v>
      </c>
      <c r="FP111" s="80">
        <v>52</v>
      </c>
      <c r="FQ111" s="80">
        <v>6</v>
      </c>
      <c r="FR111" s="80">
        <v>0</v>
      </c>
      <c r="FS111" s="80">
        <v>0</v>
      </c>
      <c r="FT111" s="80">
        <v>0</v>
      </c>
      <c r="FU111" s="80">
        <v>58</v>
      </c>
    </row>
    <row r="112" spans="2:177" x14ac:dyDescent="0.3">
      <c r="B112" s="71" t="s">
        <v>47</v>
      </c>
      <c r="C112" s="71" t="s">
        <v>1968</v>
      </c>
      <c r="D112" s="71">
        <v>11</v>
      </c>
      <c r="E112" s="71">
        <v>3</v>
      </c>
      <c r="F112" s="71">
        <v>2</v>
      </c>
      <c r="G112" s="71">
        <v>2</v>
      </c>
      <c r="H112" s="71">
        <v>2</v>
      </c>
      <c r="I112" s="71">
        <v>20</v>
      </c>
      <c r="K112" s="71" t="s">
        <v>1968</v>
      </c>
      <c r="L112" s="71">
        <v>80</v>
      </c>
      <c r="M112" s="71">
        <v>112</v>
      </c>
      <c r="N112" s="71">
        <v>236</v>
      </c>
      <c r="O112" s="71">
        <v>309</v>
      </c>
      <c r="P112" s="71">
        <v>293</v>
      </c>
      <c r="Q112" s="71">
        <v>1030</v>
      </c>
      <c r="T112" s="273" t="s">
        <v>423</v>
      </c>
      <c r="U112" s="273" t="s">
        <v>2840</v>
      </c>
      <c r="V112" s="273" t="s">
        <v>1970</v>
      </c>
      <c r="W112" s="273" t="s">
        <v>1970</v>
      </c>
      <c r="X112" s="273" t="s">
        <v>1970</v>
      </c>
      <c r="Y112" s="273" t="s">
        <v>1970</v>
      </c>
      <c r="Z112" s="273" t="s">
        <v>1970</v>
      </c>
      <c r="AA112" s="273" t="s">
        <v>1970</v>
      </c>
      <c r="AB112" s="273"/>
      <c r="AC112" s="273" t="s">
        <v>2840</v>
      </c>
      <c r="AD112" s="273" t="s">
        <v>1970</v>
      </c>
      <c r="AE112" s="273" t="s">
        <v>1970</v>
      </c>
      <c r="AF112" s="273" t="s">
        <v>1970</v>
      </c>
      <c r="AG112" s="273" t="s">
        <v>1970</v>
      </c>
      <c r="AH112" s="273" t="s">
        <v>1970</v>
      </c>
      <c r="AI112" s="273" t="s">
        <v>1970</v>
      </c>
      <c r="AJ112" s="16">
        <v>40</v>
      </c>
      <c r="AK112" s="73" t="s">
        <v>468</v>
      </c>
      <c r="AL112" s="73" t="s">
        <v>2856</v>
      </c>
      <c r="AM112" s="73">
        <v>674</v>
      </c>
      <c r="AN112" s="73">
        <v>632</v>
      </c>
      <c r="AO112" s="73">
        <v>605</v>
      </c>
      <c r="AP112" s="73">
        <v>559</v>
      </c>
      <c r="AQ112" s="73">
        <v>826</v>
      </c>
      <c r="AR112" s="73">
        <v>3296</v>
      </c>
      <c r="AS112" s="73"/>
      <c r="AT112" s="73" t="s">
        <v>2856</v>
      </c>
      <c r="AU112" s="73">
        <v>138</v>
      </c>
      <c r="AV112" s="73">
        <v>37</v>
      </c>
      <c r="AW112" s="73">
        <v>19</v>
      </c>
      <c r="AX112" s="73">
        <v>26</v>
      </c>
      <c r="AY112" s="73">
        <v>37</v>
      </c>
      <c r="AZ112" s="73">
        <v>257</v>
      </c>
      <c r="BB112" s="78" t="s">
        <v>1006</v>
      </c>
      <c r="BC112" s="78" t="s">
        <v>2856</v>
      </c>
      <c r="BD112" s="78">
        <v>100</v>
      </c>
      <c r="BE112" s="78">
        <v>75</v>
      </c>
      <c r="BF112" s="78">
        <v>171</v>
      </c>
      <c r="BG112" s="78">
        <v>238</v>
      </c>
      <c r="BH112" s="78">
        <v>236</v>
      </c>
      <c r="BI112" s="78">
        <v>820</v>
      </c>
      <c r="BJ112" s="78"/>
      <c r="BK112" s="78" t="s">
        <v>2856</v>
      </c>
      <c r="BL112" s="78">
        <v>26</v>
      </c>
      <c r="BM112" s="78">
        <v>0</v>
      </c>
      <c r="BN112" s="78">
        <v>0</v>
      </c>
      <c r="BO112" s="78">
        <v>0</v>
      </c>
      <c r="BP112" s="78">
        <v>0</v>
      </c>
      <c r="BQ112" s="78">
        <v>26</v>
      </c>
      <c r="CL112" s="61" t="s">
        <v>1367</v>
      </c>
      <c r="CM112" s="61" t="s">
        <v>1968</v>
      </c>
      <c r="CN112" s="61">
        <v>917</v>
      </c>
      <c r="CO112" s="61">
        <v>550</v>
      </c>
      <c r="CP112" s="61">
        <v>619</v>
      </c>
      <c r="CQ112" s="61">
        <v>595</v>
      </c>
      <c r="CR112" s="61">
        <v>507</v>
      </c>
      <c r="CS112" s="61">
        <v>3188</v>
      </c>
      <c r="CT112" s="61"/>
      <c r="CU112" s="61" t="s">
        <v>1968</v>
      </c>
      <c r="CV112" s="61">
        <v>323</v>
      </c>
      <c r="CW112" s="61">
        <v>2</v>
      </c>
      <c r="CX112" s="61">
        <v>0</v>
      </c>
      <c r="CY112" s="61">
        <v>0</v>
      </c>
      <c r="CZ112" s="61">
        <v>0</v>
      </c>
      <c r="DA112" s="61">
        <v>325</v>
      </c>
      <c r="EN112" s="267" t="s">
        <v>1576</v>
      </c>
      <c r="EO112" s="267" t="s">
        <v>2840</v>
      </c>
      <c r="EP112" s="267">
        <v>137</v>
      </c>
      <c r="EQ112" s="267">
        <v>276</v>
      </c>
      <c r="ER112" s="267">
        <v>379</v>
      </c>
      <c r="ES112" s="267">
        <v>561</v>
      </c>
      <c r="ET112" s="267">
        <v>581</v>
      </c>
      <c r="EU112" s="267">
        <v>1934</v>
      </c>
      <c r="EV112" s="267"/>
      <c r="EW112" s="267" t="s">
        <v>2840</v>
      </c>
      <c r="EX112" s="267">
        <v>30</v>
      </c>
      <c r="EY112" s="267">
        <v>9</v>
      </c>
      <c r="EZ112" s="267">
        <v>6</v>
      </c>
      <c r="FA112" s="267">
        <v>6</v>
      </c>
      <c r="FB112" s="267">
        <v>3</v>
      </c>
      <c r="FC112" s="267">
        <v>54</v>
      </c>
      <c r="FD112" s="16">
        <v>30</v>
      </c>
      <c r="FF112" s="80" t="s">
        <v>1793</v>
      </c>
      <c r="FG112" s="80" t="s">
        <v>1968</v>
      </c>
      <c r="FH112" s="80">
        <v>345</v>
      </c>
      <c r="FI112" s="80">
        <v>454</v>
      </c>
      <c r="FJ112" s="80">
        <v>527</v>
      </c>
      <c r="FK112" s="80">
        <v>611</v>
      </c>
      <c r="FL112" s="80">
        <v>718</v>
      </c>
      <c r="FM112" s="80">
        <v>2655</v>
      </c>
      <c r="FN112" s="80"/>
      <c r="FO112" s="80" t="s">
        <v>1968</v>
      </c>
      <c r="FP112" s="80">
        <v>73</v>
      </c>
      <c r="FQ112" s="80">
        <v>29</v>
      </c>
      <c r="FR112" s="80">
        <v>20</v>
      </c>
      <c r="FS112" s="80">
        <v>10</v>
      </c>
      <c r="FT112" s="80">
        <v>6</v>
      </c>
      <c r="FU112" s="80">
        <v>138</v>
      </c>
    </row>
    <row r="113" spans="2:177" x14ac:dyDescent="0.3">
      <c r="B113" s="71" t="s">
        <v>51</v>
      </c>
      <c r="C113" s="71" t="s">
        <v>1968</v>
      </c>
      <c r="D113" s="71">
        <v>32</v>
      </c>
      <c r="E113" s="71">
        <v>3</v>
      </c>
      <c r="F113" s="71">
        <v>0</v>
      </c>
      <c r="G113" s="71">
        <v>0</v>
      </c>
      <c r="H113" s="71">
        <v>0</v>
      </c>
      <c r="I113" s="71">
        <v>35</v>
      </c>
      <c r="K113" s="71" t="s">
        <v>1968</v>
      </c>
      <c r="L113" s="71">
        <v>191</v>
      </c>
      <c r="M113" s="71">
        <v>289</v>
      </c>
      <c r="N113" s="71">
        <v>369</v>
      </c>
      <c r="O113" s="71">
        <v>487</v>
      </c>
      <c r="P113" s="71">
        <v>374</v>
      </c>
      <c r="Q113" s="71">
        <v>1710</v>
      </c>
      <c r="T113" s="273" t="s">
        <v>427</v>
      </c>
      <c r="U113" s="273" t="s">
        <v>2840</v>
      </c>
      <c r="V113" s="273" t="s">
        <v>1970</v>
      </c>
      <c r="W113" s="273" t="s">
        <v>1970</v>
      </c>
      <c r="X113" s="273" t="s">
        <v>1970</v>
      </c>
      <c r="Y113" s="273" t="s">
        <v>1970</v>
      </c>
      <c r="Z113" s="273" t="s">
        <v>1970</v>
      </c>
      <c r="AA113" s="273" t="s">
        <v>1970</v>
      </c>
      <c r="AB113" s="273"/>
      <c r="AC113" s="273" t="s">
        <v>2840</v>
      </c>
      <c r="AD113" s="273" t="s">
        <v>1970</v>
      </c>
      <c r="AE113" s="273" t="s">
        <v>1970</v>
      </c>
      <c r="AF113" s="273" t="s">
        <v>1970</v>
      </c>
      <c r="AG113" s="273" t="s">
        <v>1970</v>
      </c>
      <c r="AH113" s="273" t="s">
        <v>1970</v>
      </c>
      <c r="AI113" s="273" t="s">
        <v>1970</v>
      </c>
      <c r="AJ113" s="16">
        <v>15</v>
      </c>
      <c r="AK113" s="73" t="s">
        <v>472</v>
      </c>
      <c r="AL113" s="73" t="s">
        <v>2856</v>
      </c>
      <c r="AM113" s="73">
        <v>402</v>
      </c>
      <c r="AN113" s="73">
        <v>538</v>
      </c>
      <c r="AO113" s="73">
        <v>494</v>
      </c>
      <c r="AP113" s="73">
        <v>482</v>
      </c>
      <c r="AQ113" s="73">
        <v>605</v>
      </c>
      <c r="AR113" s="73">
        <v>2521</v>
      </c>
      <c r="AS113" s="73"/>
      <c r="AT113" s="73" t="s">
        <v>2856</v>
      </c>
      <c r="AU113" s="73">
        <v>108</v>
      </c>
      <c r="AV113" s="73">
        <v>57</v>
      </c>
      <c r="AW113" s="73">
        <v>28</v>
      </c>
      <c r="AX113" s="73">
        <v>46</v>
      </c>
      <c r="AY113" s="73">
        <v>48</v>
      </c>
      <c r="AZ113" s="73">
        <v>287</v>
      </c>
      <c r="BB113" s="78" t="s">
        <v>1011</v>
      </c>
      <c r="BC113" s="78" t="s">
        <v>2856</v>
      </c>
      <c r="BD113" s="78">
        <v>454</v>
      </c>
      <c r="BE113" s="78">
        <v>363</v>
      </c>
      <c r="BF113" s="78">
        <v>579</v>
      </c>
      <c r="BG113" s="78">
        <v>686</v>
      </c>
      <c r="BH113" s="78">
        <v>610</v>
      </c>
      <c r="BI113" s="78">
        <v>2692</v>
      </c>
      <c r="BJ113" s="78"/>
      <c r="BK113" s="78" t="s">
        <v>2856</v>
      </c>
      <c r="BL113" s="78">
        <v>59</v>
      </c>
      <c r="BM113" s="78">
        <v>0</v>
      </c>
      <c r="BN113" s="78">
        <v>0</v>
      </c>
      <c r="BO113" s="78">
        <v>0</v>
      </c>
      <c r="BP113" s="78">
        <v>0</v>
      </c>
      <c r="BQ113" s="78">
        <v>59</v>
      </c>
      <c r="CL113" s="61" t="s">
        <v>1195</v>
      </c>
      <c r="CM113" s="61" t="s">
        <v>1968</v>
      </c>
      <c r="CN113" s="61">
        <v>37</v>
      </c>
      <c r="CO113" s="61">
        <v>34</v>
      </c>
      <c r="CP113" s="61">
        <v>65</v>
      </c>
      <c r="CQ113" s="61">
        <v>88</v>
      </c>
      <c r="CR113" s="61">
        <v>104</v>
      </c>
      <c r="CS113" s="61">
        <v>328</v>
      </c>
      <c r="CT113" s="61"/>
      <c r="CU113" s="61" t="s">
        <v>1968</v>
      </c>
      <c r="CV113" s="61">
        <v>18</v>
      </c>
      <c r="CW113" s="61">
        <v>0</v>
      </c>
      <c r="CX113" s="61">
        <v>0</v>
      </c>
      <c r="CY113" s="61">
        <v>0</v>
      </c>
      <c r="CZ113" s="61">
        <v>0</v>
      </c>
      <c r="DA113" s="61">
        <v>18</v>
      </c>
      <c r="EN113" s="267" t="s">
        <v>1580</v>
      </c>
      <c r="EO113" s="267" t="s">
        <v>2840</v>
      </c>
      <c r="EP113" s="267">
        <v>56</v>
      </c>
      <c r="EQ113" s="267">
        <v>119</v>
      </c>
      <c r="ER113" s="267">
        <v>160</v>
      </c>
      <c r="ES113" s="267">
        <v>211</v>
      </c>
      <c r="ET113" s="267">
        <v>250</v>
      </c>
      <c r="EU113" s="267">
        <v>796</v>
      </c>
      <c r="EV113" s="267"/>
      <c r="EW113" s="267" t="s">
        <v>2840</v>
      </c>
      <c r="EX113" s="267">
        <v>4</v>
      </c>
      <c r="EY113" s="267">
        <v>7</v>
      </c>
      <c r="EZ113" s="267">
        <v>0</v>
      </c>
      <c r="FA113" s="267">
        <v>3</v>
      </c>
      <c r="FB113" s="267">
        <v>3</v>
      </c>
      <c r="FC113" s="267">
        <v>17</v>
      </c>
      <c r="FD113" s="16">
        <v>20</v>
      </c>
      <c r="FF113" s="80" t="s">
        <v>1799</v>
      </c>
      <c r="FG113" s="80" t="s">
        <v>1968</v>
      </c>
      <c r="FH113" s="80">
        <v>486</v>
      </c>
      <c r="FI113" s="80">
        <v>541</v>
      </c>
      <c r="FJ113" s="80">
        <v>599</v>
      </c>
      <c r="FK113" s="80">
        <v>697</v>
      </c>
      <c r="FL113" s="80">
        <v>689</v>
      </c>
      <c r="FM113" s="80">
        <v>3012</v>
      </c>
      <c r="FN113" s="80"/>
      <c r="FO113" s="80" t="s">
        <v>1968</v>
      </c>
      <c r="FP113" s="80">
        <v>75</v>
      </c>
      <c r="FQ113" s="80">
        <v>13</v>
      </c>
      <c r="FR113" s="80">
        <v>6</v>
      </c>
      <c r="FS113" s="80">
        <v>6</v>
      </c>
      <c r="FT113" s="80">
        <v>8</v>
      </c>
      <c r="FU113" s="80">
        <v>108</v>
      </c>
    </row>
    <row r="114" spans="2:177" x14ac:dyDescent="0.3">
      <c r="B114" s="71" t="s">
        <v>55</v>
      </c>
      <c r="C114" s="71" t="s">
        <v>1968</v>
      </c>
      <c r="D114" s="71">
        <v>15</v>
      </c>
      <c r="E114" s="71">
        <v>1</v>
      </c>
      <c r="F114" s="71">
        <v>0</v>
      </c>
      <c r="G114" s="71">
        <v>0</v>
      </c>
      <c r="H114" s="71">
        <v>0</v>
      </c>
      <c r="I114" s="71">
        <v>16</v>
      </c>
      <c r="K114" s="71" t="s">
        <v>1968</v>
      </c>
      <c r="L114" s="71">
        <v>83</v>
      </c>
      <c r="M114" s="71">
        <v>118</v>
      </c>
      <c r="N114" s="71">
        <v>274</v>
      </c>
      <c r="O114" s="71">
        <v>352</v>
      </c>
      <c r="P114" s="71">
        <v>324</v>
      </c>
      <c r="Q114" s="71">
        <v>1151</v>
      </c>
      <c r="T114" s="273" t="s">
        <v>431</v>
      </c>
      <c r="U114" s="273" t="s">
        <v>2840</v>
      </c>
      <c r="V114" s="273" t="s">
        <v>1970</v>
      </c>
      <c r="W114" s="273" t="s">
        <v>1970</v>
      </c>
      <c r="X114" s="273" t="s">
        <v>1970</v>
      </c>
      <c r="Y114" s="273" t="s">
        <v>1970</v>
      </c>
      <c r="Z114" s="273" t="s">
        <v>1970</v>
      </c>
      <c r="AA114" s="273" t="s">
        <v>1970</v>
      </c>
      <c r="AB114" s="273"/>
      <c r="AC114" s="273" t="s">
        <v>2840</v>
      </c>
      <c r="AD114" s="273" t="s">
        <v>1970</v>
      </c>
      <c r="AE114" s="273" t="s">
        <v>1970</v>
      </c>
      <c r="AF114" s="273" t="s">
        <v>1970</v>
      </c>
      <c r="AG114" s="273" t="s">
        <v>1970</v>
      </c>
      <c r="AH114" s="273" t="s">
        <v>1970</v>
      </c>
      <c r="AI114" s="273" t="s">
        <v>1970</v>
      </c>
      <c r="AJ114" s="16">
        <v>30</v>
      </c>
      <c r="AK114" s="73" t="s">
        <v>476</v>
      </c>
      <c r="AL114" s="73" t="s">
        <v>2856</v>
      </c>
      <c r="AM114" s="73">
        <v>524</v>
      </c>
      <c r="AN114" s="73">
        <v>617</v>
      </c>
      <c r="AO114" s="73">
        <v>545</v>
      </c>
      <c r="AP114" s="73">
        <v>587</v>
      </c>
      <c r="AQ114" s="73">
        <v>719</v>
      </c>
      <c r="AR114" s="73">
        <v>2992</v>
      </c>
      <c r="AS114" s="73"/>
      <c r="AT114" s="73" t="s">
        <v>2856</v>
      </c>
      <c r="AU114" s="73">
        <v>104</v>
      </c>
      <c r="AV114" s="73">
        <v>27</v>
      </c>
      <c r="AW114" s="73">
        <v>10</v>
      </c>
      <c r="AX114" s="73">
        <v>14</v>
      </c>
      <c r="AY114" s="73">
        <v>25</v>
      </c>
      <c r="AZ114" s="73">
        <v>180</v>
      </c>
      <c r="BB114" s="78" t="s">
        <v>1015</v>
      </c>
      <c r="BC114" s="78" t="s">
        <v>2856</v>
      </c>
      <c r="BD114" s="78">
        <v>252</v>
      </c>
      <c r="BE114" s="78">
        <v>212</v>
      </c>
      <c r="BF114" s="78">
        <v>368</v>
      </c>
      <c r="BG114" s="78">
        <v>469</v>
      </c>
      <c r="BH114" s="78">
        <v>454</v>
      </c>
      <c r="BI114" s="78">
        <v>1755</v>
      </c>
      <c r="BJ114" s="78"/>
      <c r="BK114" s="78" t="s">
        <v>2856</v>
      </c>
      <c r="BL114" s="78">
        <v>41</v>
      </c>
      <c r="BM114" s="78">
        <v>0</v>
      </c>
      <c r="BN114" s="78">
        <v>0</v>
      </c>
      <c r="BO114" s="78">
        <v>0</v>
      </c>
      <c r="BP114" s="78">
        <v>0</v>
      </c>
      <c r="BQ114" s="78">
        <v>41</v>
      </c>
      <c r="CL114" s="61" t="s">
        <v>1253</v>
      </c>
      <c r="CM114" s="61" t="s">
        <v>1968</v>
      </c>
      <c r="CN114" s="61">
        <v>232</v>
      </c>
      <c r="CO114" s="61">
        <v>85</v>
      </c>
      <c r="CP114" s="61">
        <v>133</v>
      </c>
      <c r="CQ114" s="61">
        <v>179</v>
      </c>
      <c r="CR114" s="61">
        <v>265</v>
      </c>
      <c r="CS114" s="61">
        <v>894</v>
      </c>
      <c r="CT114" s="61"/>
      <c r="CU114" s="61" t="s">
        <v>1968</v>
      </c>
      <c r="CV114" s="61">
        <v>71</v>
      </c>
      <c r="CW114" s="61">
        <v>1</v>
      </c>
      <c r="CX114" s="61">
        <v>0</v>
      </c>
      <c r="CY114" s="61">
        <v>0</v>
      </c>
      <c r="CZ114" s="61">
        <v>0</v>
      </c>
      <c r="DA114" s="61">
        <v>72</v>
      </c>
      <c r="EN114" s="267" t="s">
        <v>1584</v>
      </c>
      <c r="EO114" s="267" t="s">
        <v>2840</v>
      </c>
      <c r="EP114" s="267">
        <v>90</v>
      </c>
      <c r="EQ114" s="267">
        <v>179</v>
      </c>
      <c r="ER114" s="267">
        <v>256</v>
      </c>
      <c r="ES114" s="267">
        <v>292</v>
      </c>
      <c r="ET114" s="267">
        <v>313</v>
      </c>
      <c r="EU114" s="267">
        <v>1130</v>
      </c>
      <c r="EV114" s="267"/>
      <c r="EW114" s="267" t="s">
        <v>2840</v>
      </c>
      <c r="EX114" s="267">
        <v>8</v>
      </c>
      <c r="EY114" s="267">
        <v>5</v>
      </c>
      <c r="EZ114" s="267">
        <v>3</v>
      </c>
      <c r="FA114" s="267">
        <v>3</v>
      </c>
      <c r="FB114" s="267">
        <v>3</v>
      </c>
      <c r="FC114" s="267">
        <v>22</v>
      </c>
      <c r="FD114" s="16">
        <v>15</v>
      </c>
      <c r="FF114" s="80" t="s">
        <v>1805</v>
      </c>
      <c r="FG114" s="80" t="s">
        <v>1968</v>
      </c>
      <c r="FH114" s="80">
        <v>353</v>
      </c>
      <c r="FI114" s="80">
        <v>488</v>
      </c>
      <c r="FJ114" s="80">
        <v>569</v>
      </c>
      <c r="FK114" s="80">
        <v>565</v>
      </c>
      <c r="FL114" s="80">
        <v>592</v>
      </c>
      <c r="FM114" s="80">
        <v>2567</v>
      </c>
      <c r="FN114" s="80"/>
      <c r="FO114" s="80" t="s">
        <v>1968</v>
      </c>
      <c r="FP114" s="80">
        <v>58</v>
      </c>
      <c r="FQ114" s="80">
        <v>15</v>
      </c>
      <c r="FR114" s="80">
        <v>7</v>
      </c>
      <c r="FS114" s="80">
        <v>4</v>
      </c>
      <c r="FT114" s="80">
        <v>7</v>
      </c>
      <c r="FU114" s="80">
        <v>91</v>
      </c>
    </row>
    <row r="115" spans="2:177" x14ac:dyDescent="0.3">
      <c r="B115" s="71" t="s">
        <v>59</v>
      </c>
      <c r="C115" s="71" t="s">
        <v>1968</v>
      </c>
      <c r="D115" s="71">
        <v>11</v>
      </c>
      <c r="E115" s="71">
        <v>3</v>
      </c>
      <c r="F115" s="71">
        <v>1</v>
      </c>
      <c r="G115" s="71">
        <v>1</v>
      </c>
      <c r="H115" s="71">
        <v>0</v>
      </c>
      <c r="I115" s="71">
        <v>16</v>
      </c>
      <c r="K115" s="71" t="s">
        <v>1968</v>
      </c>
      <c r="L115" s="71">
        <v>102</v>
      </c>
      <c r="M115" s="71">
        <v>189</v>
      </c>
      <c r="N115" s="71">
        <v>381</v>
      </c>
      <c r="O115" s="71">
        <v>564</v>
      </c>
      <c r="P115" s="71">
        <v>405</v>
      </c>
      <c r="Q115" s="71">
        <v>1641</v>
      </c>
      <c r="T115" s="273" t="s">
        <v>435</v>
      </c>
      <c r="U115" s="273" t="s">
        <v>2840</v>
      </c>
      <c r="V115" s="273" t="s">
        <v>1970</v>
      </c>
      <c r="W115" s="273" t="s">
        <v>1970</v>
      </c>
      <c r="X115" s="273" t="s">
        <v>1970</v>
      </c>
      <c r="Y115" s="273" t="s">
        <v>1970</v>
      </c>
      <c r="Z115" s="273" t="s">
        <v>1970</v>
      </c>
      <c r="AA115" s="273" t="s">
        <v>1970</v>
      </c>
      <c r="AB115" s="273"/>
      <c r="AC115" s="273" t="s">
        <v>2840</v>
      </c>
      <c r="AD115" s="273" t="s">
        <v>1970</v>
      </c>
      <c r="AE115" s="273" t="s">
        <v>1970</v>
      </c>
      <c r="AF115" s="273" t="s">
        <v>1970</v>
      </c>
      <c r="AG115" s="273" t="s">
        <v>1970</v>
      </c>
      <c r="AH115" s="273" t="s">
        <v>1970</v>
      </c>
      <c r="AI115" s="273" t="s">
        <v>1970</v>
      </c>
      <c r="AJ115" s="16">
        <v>10</v>
      </c>
      <c r="BB115" s="78" t="s">
        <v>1020</v>
      </c>
      <c r="BC115" s="78" t="s">
        <v>2856</v>
      </c>
      <c r="BD115" s="78">
        <v>128</v>
      </c>
      <c r="BE115" s="78">
        <v>122</v>
      </c>
      <c r="BF115" s="78">
        <v>254</v>
      </c>
      <c r="BG115" s="78">
        <v>403</v>
      </c>
      <c r="BH115" s="78">
        <v>437</v>
      </c>
      <c r="BI115" s="78">
        <v>1344</v>
      </c>
      <c r="BJ115" s="78"/>
      <c r="BK115" s="78" t="s">
        <v>2856</v>
      </c>
      <c r="BL115" s="78">
        <v>22</v>
      </c>
      <c r="BM115" s="78">
        <v>0</v>
      </c>
      <c r="BN115" s="78">
        <v>0</v>
      </c>
      <c r="BO115" s="78">
        <v>0</v>
      </c>
      <c r="BP115" s="78">
        <v>0</v>
      </c>
      <c r="BQ115" s="78">
        <v>22</v>
      </c>
      <c r="CL115" s="61" t="s">
        <v>1254</v>
      </c>
      <c r="CM115" s="61" t="s">
        <v>1968</v>
      </c>
      <c r="CN115" s="61" t="s">
        <v>1970</v>
      </c>
      <c r="CO115" s="61" t="s">
        <v>1970</v>
      </c>
      <c r="CP115" s="61" t="s">
        <v>1970</v>
      </c>
      <c r="CQ115" s="61" t="s">
        <v>1970</v>
      </c>
      <c r="CR115" s="61" t="s">
        <v>1970</v>
      </c>
      <c r="CS115" s="61" t="s">
        <v>1970</v>
      </c>
      <c r="CT115" s="61"/>
      <c r="CU115" s="61" t="s">
        <v>1968</v>
      </c>
      <c r="CV115" s="61" t="s">
        <v>1970</v>
      </c>
      <c r="CW115" s="61" t="s">
        <v>1970</v>
      </c>
      <c r="CX115" s="61" t="s">
        <v>1970</v>
      </c>
      <c r="CY115" s="61" t="s">
        <v>1970</v>
      </c>
      <c r="CZ115" s="61" t="s">
        <v>1970</v>
      </c>
      <c r="DA115" s="61" t="s">
        <v>1970</v>
      </c>
      <c r="EN115" s="267" t="s">
        <v>1588</v>
      </c>
      <c r="EO115" s="267" t="s">
        <v>2840</v>
      </c>
      <c r="EP115" s="267">
        <v>30</v>
      </c>
      <c r="EQ115" s="267">
        <v>77</v>
      </c>
      <c r="ER115" s="267">
        <v>146</v>
      </c>
      <c r="ES115" s="267">
        <v>235</v>
      </c>
      <c r="ET115" s="267">
        <v>268</v>
      </c>
      <c r="EU115" s="267">
        <v>756</v>
      </c>
      <c r="EV115" s="267"/>
      <c r="EW115" s="267" t="s">
        <v>2840</v>
      </c>
      <c r="EX115" s="267">
        <v>3</v>
      </c>
      <c r="EY115" s="267">
        <v>1</v>
      </c>
      <c r="EZ115" s="267">
        <v>1</v>
      </c>
      <c r="FA115" s="267">
        <v>2</v>
      </c>
      <c r="FB115" s="267">
        <v>0</v>
      </c>
      <c r="FC115" s="267">
        <v>7</v>
      </c>
      <c r="FD115" s="16">
        <v>20</v>
      </c>
      <c r="FF115" s="80" t="s">
        <v>1811</v>
      </c>
      <c r="FG115" s="80" t="s">
        <v>1968</v>
      </c>
      <c r="FH115" s="80">
        <v>2209</v>
      </c>
      <c r="FI115" s="80">
        <v>1010</v>
      </c>
      <c r="FJ115" s="80">
        <v>753</v>
      </c>
      <c r="FK115" s="80">
        <v>617</v>
      </c>
      <c r="FL115" s="80">
        <v>639</v>
      </c>
      <c r="FM115" s="80">
        <v>5228</v>
      </c>
      <c r="FN115" s="80"/>
      <c r="FO115" s="80" t="s">
        <v>1968</v>
      </c>
      <c r="FP115" s="80">
        <v>340</v>
      </c>
      <c r="FQ115" s="80">
        <v>0</v>
      </c>
      <c r="FR115" s="80">
        <v>0</v>
      </c>
      <c r="FS115" s="80">
        <v>0</v>
      </c>
      <c r="FT115" s="80">
        <v>0</v>
      </c>
      <c r="FU115" s="80">
        <v>340</v>
      </c>
    </row>
    <row r="116" spans="2:177" x14ac:dyDescent="0.3">
      <c r="B116" s="71" t="s">
        <v>63</v>
      </c>
      <c r="C116" s="71" t="s">
        <v>1968</v>
      </c>
      <c r="D116" s="71">
        <v>27</v>
      </c>
      <c r="E116" s="71">
        <v>0</v>
      </c>
      <c r="F116" s="71">
        <v>0</v>
      </c>
      <c r="G116" s="71">
        <v>0</v>
      </c>
      <c r="H116" s="71">
        <v>0</v>
      </c>
      <c r="I116" s="71">
        <v>27</v>
      </c>
      <c r="K116" s="71" t="s">
        <v>1968</v>
      </c>
      <c r="L116" s="71">
        <v>444</v>
      </c>
      <c r="M116" s="71">
        <v>458</v>
      </c>
      <c r="N116" s="71">
        <v>620</v>
      </c>
      <c r="O116" s="71">
        <v>714</v>
      </c>
      <c r="P116" s="71">
        <v>505</v>
      </c>
      <c r="Q116" s="71">
        <v>2741</v>
      </c>
      <c r="AK116" s="73" t="s">
        <v>556</v>
      </c>
      <c r="AL116" s="73" t="s">
        <v>1968</v>
      </c>
      <c r="AM116" s="73">
        <v>424</v>
      </c>
      <c r="AN116" s="73">
        <v>574</v>
      </c>
      <c r="AO116" s="73">
        <v>823</v>
      </c>
      <c r="AP116" s="73">
        <v>925</v>
      </c>
      <c r="AQ116" s="73">
        <v>701</v>
      </c>
      <c r="AR116" s="73">
        <v>3447</v>
      </c>
      <c r="AS116" s="73"/>
      <c r="AT116" s="73" t="s">
        <v>1968</v>
      </c>
      <c r="AU116" s="73">
        <v>62</v>
      </c>
      <c r="AV116" s="73">
        <v>3</v>
      </c>
      <c r="AW116" s="73">
        <v>0</v>
      </c>
      <c r="AX116" s="73">
        <v>1</v>
      </c>
      <c r="AY116" s="73">
        <v>0</v>
      </c>
      <c r="AZ116" s="73">
        <v>66</v>
      </c>
      <c r="BB116" s="78" t="s">
        <v>1025</v>
      </c>
      <c r="BC116" s="78" t="s">
        <v>2856</v>
      </c>
      <c r="BD116" s="78">
        <v>159</v>
      </c>
      <c r="BE116" s="78">
        <v>157</v>
      </c>
      <c r="BF116" s="78">
        <v>291</v>
      </c>
      <c r="BG116" s="78">
        <v>384</v>
      </c>
      <c r="BH116" s="78">
        <v>364</v>
      </c>
      <c r="BI116" s="78">
        <v>1355</v>
      </c>
      <c r="BJ116" s="78"/>
      <c r="BK116" s="78" t="s">
        <v>2856</v>
      </c>
      <c r="BL116" s="78">
        <v>36</v>
      </c>
      <c r="BM116" s="78">
        <v>0</v>
      </c>
      <c r="BN116" s="78">
        <v>0</v>
      </c>
      <c r="BO116" s="78">
        <v>0</v>
      </c>
      <c r="BP116" s="78">
        <v>0</v>
      </c>
      <c r="BQ116" s="78">
        <v>36</v>
      </c>
      <c r="CL116" s="61" t="s">
        <v>1258</v>
      </c>
      <c r="CM116" s="61" t="s">
        <v>1968</v>
      </c>
      <c r="CN116" s="61">
        <v>476</v>
      </c>
      <c r="CO116" s="61">
        <v>63</v>
      </c>
      <c r="CP116" s="61">
        <v>120</v>
      </c>
      <c r="CQ116" s="61">
        <v>150</v>
      </c>
      <c r="CR116" s="61">
        <v>319</v>
      </c>
      <c r="CS116" s="61">
        <v>1128</v>
      </c>
      <c r="CT116" s="61"/>
      <c r="CU116" s="61" t="s">
        <v>1968</v>
      </c>
      <c r="CV116" s="61">
        <v>150</v>
      </c>
      <c r="CW116" s="61">
        <v>0</v>
      </c>
      <c r="CX116" s="61">
        <v>0</v>
      </c>
      <c r="CY116" s="61">
        <v>0</v>
      </c>
      <c r="CZ116" s="61">
        <v>0</v>
      </c>
      <c r="DA116" s="61">
        <v>150</v>
      </c>
      <c r="EN116" s="267" t="s">
        <v>1592</v>
      </c>
      <c r="EO116" s="267" t="s">
        <v>2840</v>
      </c>
      <c r="EP116" s="267">
        <v>374</v>
      </c>
      <c r="EQ116" s="267">
        <v>650</v>
      </c>
      <c r="ER116" s="267">
        <v>849</v>
      </c>
      <c r="ES116" s="267">
        <v>974</v>
      </c>
      <c r="ET116" s="267">
        <v>1036</v>
      </c>
      <c r="EU116" s="267">
        <v>3883</v>
      </c>
      <c r="EV116" s="267"/>
      <c r="EW116" s="267" t="s">
        <v>2840</v>
      </c>
      <c r="EX116" s="267">
        <v>65</v>
      </c>
      <c r="EY116" s="267">
        <v>23</v>
      </c>
      <c r="EZ116" s="267">
        <v>11</v>
      </c>
      <c r="FA116" s="267">
        <v>12</v>
      </c>
      <c r="FB116" s="267">
        <v>9</v>
      </c>
      <c r="FC116" s="267">
        <v>120</v>
      </c>
      <c r="FD116" s="16">
        <v>60</v>
      </c>
      <c r="FF116" s="80" t="s">
        <v>1817</v>
      </c>
      <c r="FG116" s="80" t="s">
        <v>1968</v>
      </c>
      <c r="FH116" s="80">
        <v>760</v>
      </c>
      <c r="FI116" s="80">
        <v>1042</v>
      </c>
      <c r="FJ116" s="80">
        <v>687</v>
      </c>
      <c r="FK116" s="80">
        <v>513</v>
      </c>
      <c r="FL116" s="80">
        <v>545</v>
      </c>
      <c r="FM116" s="80">
        <v>3547</v>
      </c>
      <c r="FN116" s="80"/>
      <c r="FO116" s="80" t="s">
        <v>1968</v>
      </c>
      <c r="FP116" s="80">
        <v>145</v>
      </c>
      <c r="FQ116" s="80">
        <v>0</v>
      </c>
      <c r="FR116" s="80">
        <v>0</v>
      </c>
      <c r="FS116" s="80">
        <v>0</v>
      </c>
      <c r="FT116" s="80">
        <v>0</v>
      </c>
      <c r="FU116" s="80">
        <v>145</v>
      </c>
    </row>
    <row r="117" spans="2:177" x14ac:dyDescent="0.3">
      <c r="B117" s="71" t="s">
        <v>68</v>
      </c>
      <c r="C117" s="71" t="s">
        <v>1968</v>
      </c>
      <c r="D117" s="71">
        <v>21</v>
      </c>
      <c r="E117" s="71">
        <v>0</v>
      </c>
      <c r="F117" s="71">
        <v>0</v>
      </c>
      <c r="G117" s="71">
        <v>0</v>
      </c>
      <c r="H117" s="71">
        <v>0</v>
      </c>
      <c r="I117" s="71">
        <v>21</v>
      </c>
      <c r="K117" s="71" t="s">
        <v>1968</v>
      </c>
      <c r="L117" s="71">
        <v>263</v>
      </c>
      <c r="M117" s="71">
        <v>386</v>
      </c>
      <c r="N117" s="71">
        <v>596</v>
      </c>
      <c r="O117" s="71">
        <v>684</v>
      </c>
      <c r="P117" s="71">
        <v>541</v>
      </c>
      <c r="Q117" s="71">
        <v>2470</v>
      </c>
      <c r="AK117" s="73" t="s">
        <v>562</v>
      </c>
      <c r="AL117" s="73" t="s">
        <v>1968</v>
      </c>
      <c r="AM117" s="73">
        <v>271</v>
      </c>
      <c r="AN117" s="73">
        <v>503</v>
      </c>
      <c r="AO117" s="73">
        <v>914</v>
      </c>
      <c r="AP117" s="73">
        <v>1112</v>
      </c>
      <c r="AQ117" s="73">
        <v>878</v>
      </c>
      <c r="AR117" s="73">
        <v>3678</v>
      </c>
      <c r="AS117" s="73"/>
      <c r="AT117" s="73" t="s">
        <v>1968</v>
      </c>
      <c r="AU117" s="73">
        <v>17</v>
      </c>
      <c r="AV117" s="73">
        <v>4</v>
      </c>
      <c r="AW117" s="73">
        <v>3</v>
      </c>
      <c r="AX117" s="73">
        <v>1</v>
      </c>
      <c r="AY117" s="73">
        <v>0</v>
      </c>
      <c r="AZ117" s="73">
        <v>25</v>
      </c>
      <c r="BB117" s="78" t="s">
        <v>1030</v>
      </c>
      <c r="BC117" s="78" t="s">
        <v>2856</v>
      </c>
      <c r="BD117" s="78">
        <v>171</v>
      </c>
      <c r="BE117" s="78">
        <v>175</v>
      </c>
      <c r="BF117" s="78">
        <v>373</v>
      </c>
      <c r="BG117" s="78">
        <v>586</v>
      </c>
      <c r="BH117" s="78">
        <v>554</v>
      </c>
      <c r="BI117" s="78">
        <v>1859</v>
      </c>
      <c r="BJ117" s="78"/>
      <c r="BK117" s="78" t="s">
        <v>2856</v>
      </c>
      <c r="BL117" s="78">
        <v>38</v>
      </c>
      <c r="BM117" s="78">
        <v>0</v>
      </c>
      <c r="BN117" s="78">
        <v>0</v>
      </c>
      <c r="BO117" s="78">
        <v>0</v>
      </c>
      <c r="BP117" s="78">
        <v>0</v>
      </c>
      <c r="BQ117" s="78">
        <v>38</v>
      </c>
      <c r="CL117" s="61" t="s">
        <v>1262</v>
      </c>
      <c r="CM117" s="61" t="s">
        <v>1968</v>
      </c>
      <c r="CN117" s="61">
        <v>1139</v>
      </c>
      <c r="CO117" s="61">
        <v>849</v>
      </c>
      <c r="CP117" s="61">
        <v>998</v>
      </c>
      <c r="CQ117" s="61">
        <v>966</v>
      </c>
      <c r="CR117" s="61">
        <v>851</v>
      </c>
      <c r="CS117" s="61">
        <v>4803</v>
      </c>
      <c r="CT117" s="61"/>
      <c r="CU117" s="61" t="s">
        <v>1968</v>
      </c>
      <c r="CV117" s="61">
        <v>190</v>
      </c>
      <c r="CW117" s="61">
        <v>0</v>
      </c>
      <c r="CX117" s="61">
        <v>0</v>
      </c>
      <c r="CY117" s="61">
        <v>0</v>
      </c>
      <c r="CZ117" s="61">
        <v>0</v>
      </c>
      <c r="DA117" s="61">
        <v>190</v>
      </c>
      <c r="EN117" s="267" t="s">
        <v>1596</v>
      </c>
      <c r="EO117" s="267" t="s">
        <v>2840</v>
      </c>
      <c r="EP117" s="267">
        <v>125</v>
      </c>
      <c r="EQ117" s="267">
        <v>202</v>
      </c>
      <c r="ER117" s="267">
        <v>232</v>
      </c>
      <c r="ES117" s="267">
        <v>333</v>
      </c>
      <c r="ET117" s="267">
        <v>397</v>
      </c>
      <c r="EU117" s="267">
        <v>1289</v>
      </c>
      <c r="EV117" s="267"/>
      <c r="EW117" s="267" t="s">
        <v>2840</v>
      </c>
      <c r="EX117" s="267">
        <v>35</v>
      </c>
      <c r="EY117" s="267">
        <v>17</v>
      </c>
      <c r="EZ117" s="267">
        <v>4</v>
      </c>
      <c r="FA117" s="267">
        <v>8</v>
      </c>
      <c r="FB117" s="267">
        <v>6</v>
      </c>
      <c r="FC117" s="267">
        <v>70</v>
      </c>
      <c r="FD117" s="16">
        <v>30</v>
      </c>
      <c r="FE117" s="257" t="s">
        <v>3564</v>
      </c>
      <c r="FF117" s="80" t="s">
        <v>1823</v>
      </c>
      <c r="FG117" s="80" t="s">
        <v>1968</v>
      </c>
      <c r="FH117" s="80" t="s">
        <v>1970</v>
      </c>
      <c r="FI117" s="80" t="s">
        <v>1970</v>
      </c>
      <c r="FJ117" s="80" t="s">
        <v>1970</v>
      </c>
      <c r="FK117" s="80" t="s">
        <v>1970</v>
      </c>
      <c r="FL117" s="80" t="s">
        <v>1970</v>
      </c>
      <c r="FM117" s="80" t="s">
        <v>1970</v>
      </c>
      <c r="FN117" s="80"/>
      <c r="FO117" s="80" t="s">
        <v>1968</v>
      </c>
      <c r="FP117" s="80" t="s">
        <v>1970</v>
      </c>
      <c r="FQ117" s="80" t="s">
        <v>1970</v>
      </c>
      <c r="FR117" s="80" t="s">
        <v>1970</v>
      </c>
      <c r="FS117" s="80" t="s">
        <v>1970</v>
      </c>
      <c r="FT117" s="80" t="s">
        <v>1970</v>
      </c>
      <c r="FU117" s="80" t="s">
        <v>1970</v>
      </c>
    </row>
    <row r="118" spans="2:177" x14ac:dyDescent="0.3">
      <c r="B118" s="71" t="s">
        <v>73</v>
      </c>
      <c r="C118" s="71" t="s">
        <v>1968</v>
      </c>
      <c r="D118" s="71">
        <v>26</v>
      </c>
      <c r="E118" s="71">
        <v>0</v>
      </c>
      <c r="F118" s="71">
        <v>0</v>
      </c>
      <c r="G118" s="71">
        <v>0</v>
      </c>
      <c r="H118" s="71">
        <v>0</v>
      </c>
      <c r="I118" s="71">
        <v>26</v>
      </c>
      <c r="K118" s="71" t="s">
        <v>1968</v>
      </c>
      <c r="L118" s="71">
        <v>255</v>
      </c>
      <c r="M118" s="71">
        <v>311</v>
      </c>
      <c r="N118" s="71">
        <v>479</v>
      </c>
      <c r="O118" s="71">
        <v>584</v>
      </c>
      <c r="P118" s="71">
        <v>434</v>
      </c>
      <c r="Q118" s="71">
        <v>2063</v>
      </c>
      <c r="AK118" s="73" t="s">
        <v>566</v>
      </c>
      <c r="AL118" s="73" t="s">
        <v>1968</v>
      </c>
      <c r="AM118" s="73">
        <v>197</v>
      </c>
      <c r="AN118" s="73">
        <v>271</v>
      </c>
      <c r="AO118" s="73">
        <v>407</v>
      </c>
      <c r="AP118" s="73">
        <v>476</v>
      </c>
      <c r="AQ118" s="73">
        <v>401</v>
      </c>
      <c r="AR118" s="73">
        <v>1752</v>
      </c>
      <c r="AS118" s="73"/>
      <c r="AT118" s="73" t="s">
        <v>1968</v>
      </c>
      <c r="AU118" s="73">
        <v>18</v>
      </c>
      <c r="AV118" s="73">
        <v>4</v>
      </c>
      <c r="AW118" s="73">
        <v>3</v>
      </c>
      <c r="AX118" s="73">
        <v>0</v>
      </c>
      <c r="AY118" s="73">
        <v>0</v>
      </c>
      <c r="AZ118" s="73">
        <v>25</v>
      </c>
      <c r="BB118" s="78" t="s">
        <v>1034</v>
      </c>
      <c r="BC118" s="78" t="s">
        <v>2856</v>
      </c>
      <c r="BD118" s="78">
        <v>54</v>
      </c>
      <c r="BE118" s="78">
        <v>59</v>
      </c>
      <c r="BF118" s="78">
        <v>127</v>
      </c>
      <c r="BG118" s="78">
        <v>222</v>
      </c>
      <c r="BH118" s="78">
        <v>247</v>
      </c>
      <c r="BI118" s="78">
        <v>709</v>
      </c>
      <c r="BJ118" s="78"/>
      <c r="BK118" s="78" t="s">
        <v>2856</v>
      </c>
      <c r="BL118" s="78">
        <v>15</v>
      </c>
      <c r="BM118" s="78">
        <v>0</v>
      </c>
      <c r="BN118" s="78">
        <v>0</v>
      </c>
      <c r="BO118" s="78">
        <v>0</v>
      </c>
      <c r="BP118" s="78">
        <v>0</v>
      </c>
      <c r="BQ118" s="78">
        <v>15</v>
      </c>
      <c r="CL118" s="61" t="s">
        <v>1270</v>
      </c>
      <c r="CM118" s="61" t="s">
        <v>1968</v>
      </c>
      <c r="CN118" s="61">
        <v>89</v>
      </c>
      <c r="CO118" s="61">
        <v>115</v>
      </c>
      <c r="CP118" s="61">
        <v>245</v>
      </c>
      <c r="CQ118" s="61">
        <v>361</v>
      </c>
      <c r="CR118" s="61">
        <v>340</v>
      </c>
      <c r="CS118" s="61">
        <v>1150</v>
      </c>
      <c r="CT118" s="61"/>
      <c r="CU118" s="61" t="s">
        <v>1968</v>
      </c>
      <c r="CV118" s="61">
        <v>17</v>
      </c>
      <c r="CW118" s="61">
        <v>2</v>
      </c>
      <c r="CX118" s="61">
        <v>0</v>
      </c>
      <c r="CY118" s="61">
        <v>0</v>
      </c>
      <c r="CZ118" s="61">
        <v>0</v>
      </c>
      <c r="DA118" s="61">
        <v>19</v>
      </c>
      <c r="EN118" s="267" t="s">
        <v>1601</v>
      </c>
      <c r="EO118" s="267" t="s">
        <v>2840</v>
      </c>
      <c r="EP118" s="267">
        <v>129</v>
      </c>
      <c r="EQ118" s="267">
        <v>204</v>
      </c>
      <c r="ER118" s="267">
        <v>283</v>
      </c>
      <c r="ES118" s="267">
        <v>363</v>
      </c>
      <c r="ET118" s="267">
        <v>437</v>
      </c>
      <c r="EU118" s="267">
        <v>1416</v>
      </c>
      <c r="EV118" s="267"/>
      <c r="EW118" s="267" t="s">
        <v>2840</v>
      </c>
      <c r="EX118" s="267">
        <v>53</v>
      </c>
      <c r="EY118" s="267">
        <v>16</v>
      </c>
      <c r="EZ118" s="267">
        <v>9</v>
      </c>
      <c r="FA118" s="267">
        <v>7</v>
      </c>
      <c r="FB118" s="267">
        <v>4</v>
      </c>
      <c r="FC118" s="267">
        <v>89</v>
      </c>
      <c r="FD118" s="16">
        <v>45</v>
      </c>
      <c r="FE118" s="257" t="s">
        <v>3562</v>
      </c>
      <c r="FF118" s="80" t="s">
        <v>3561</v>
      </c>
      <c r="FG118" s="80" t="s">
        <v>1968</v>
      </c>
      <c r="FH118" s="80">
        <v>102</v>
      </c>
      <c r="FI118" s="80">
        <v>208</v>
      </c>
      <c r="FJ118" s="80">
        <v>233</v>
      </c>
      <c r="FK118" s="80">
        <v>281</v>
      </c>
      <c r="FL118" s="80">
        <v>327</v>
      </c>
      <c r="FM118" s="80">
        <v>1151</v>
      </c>
      <c r="FN118" s="80"/>
      <c r="FO118" s="80" t="s">
        <v>1968</v>
      </c>
      <c r="FP118" s="80">
        <v>18</v>
      </c>
      <c r="FQ118" s="80">
        <v>7</v>
      </c>
      <c r="FR118" s="80">
        <v>1</v>
      </c>
      <c r="FS118" s="80">
        <v>1</v>
      </c>
      <c r="FT118" s="80">
        <v>2</v>
      </c>
      <c r="FU118" s="80">
        <v>29</v>
      </c>
    </row>
    <row r="119" spans="2:177" x14ac:dyDescent="0.3">
      <c r="B119" s="71" t="s">
        <v>78</v>
      </c>
      <c r="C119" s="71" t="s">
        <v>1968</v>
      </c>
      <c r="D119" s="71">
        <v>18</v>
      </c>
      <c r="E119" s="71">
        <v>0</v>
      </c>
      <c r="F119" s="71">
        <v>0</v>
      </c>
      <c r="G119" s="71">
        <v>0</v>
      </c>
      <c r="H119" s="71">
        <v>0</v>
      </c>
      <c r="I119" s="71">
        <v>18</v>
      </c>
      <c r="K119" s="71" t="s">
        <v>1968</v>
      </c>
      <c r="L119" s="71">
        <v>169</v>
      </c>
      <c r="M119" s="71">
        <v>219</v>
      </c>
      <c r="N119" s="71">
        <v>348</v>
      </c>
      <c r="O119" s="71">
        <v>440</v>
      </c>
      <c r="P119" s="71">
        <v>334</v>
      </c>
      <c r="Q119" s="71">
        <v>1510</v>
      </c>
      <c r="AK119" s="73" t="s">
        <v>570</v>
      </c>
      <c r="AL119" s="73" t="s">
        <v>1968</v>
      </c>
      <c r="AM119" s="73">
        <v>184</v>
      </c>
      <c r="AN119" s="73">
        <v>339</v>
      </c>
      <c r="AO119" s="73">
        <v>494</v>
      </c>
      <c r="AP119" s="73">
        <v>662</v>
      </c>
      <c r="AQ119" s="73">
        <v>487</v>
      </c>
      <c r="AR119" s="73">
        <v>2166</v>
      </c>
      <c r="AS119" s="73"/>
      <c r="AT119" s="73" t="s">
        <v>1968</v>
      </c>
      <c r="AU119" s="73">
        <v>15</v>
      </c>
      <c r="AV119" s="73">
        <v>3</v>
      </c>
      <c r="AW119" s="73">
        <v>5</v>
      </c>
      <c r="AX119" s="73">
        <v>1</v>
      </c>
      <c r="AY119" s="73">
        <v>1</v>
      </c>
      <c r="AZ119" s="73">
        <v>25</v>
      </c>
      <c r="BB119" s="78" t="s">
        <v>1038</v>
      </c>
      <c r="BC119" s="78" t="s">
        <v>2856</v>
      </c>
      <c r="BD119" s="78">
        <v>358</v>
      </c>
      <c r="BE119" s="78">
        <v>466</v>
      </c>
      <c r="BF119" s="78">
        <v>830</v>
      </c>
      <c r="BG119" s="78">
        <v>1123</v>
      </c>
      <c r="BH119" s="78">
        <v>1131</v>
      </c>
      <c r="BI119" s="78">
        <v>3908</v>
      </c>
      <c r="BJ119" s="78"/>
      <c r="BK119" s="78" t="s">
        <v>2856</v>
      </c>
      <c r="BL119" s="78">
        <v>47</v>
      </c>
      <c r="BM119" s="78">
        <v>1</v>
      </c>
      <c r="BN119" s="78">
        <v>0</v>
      </c>
      <c r="BO119" s="78">
        <v>0</v>
      </c>
      <c r="BP119" s="78">
        <v>0</v>
      </c>
      <c r="BQ119" s="78">
        <v>48</v>
      </c>
      <c r="CL119" s="61" t="s">
        <v>1274</v>
      </c>
      <c r="CM119" s="61" t="s">
        <v>1968</v>
      </c>
      <c r="CN119" s="61">
        <v>147</v>
      </c>
      <c r="CO119" s="61">
        <v>147</v>
      </c>
      <c r="CP119" s="61">
        <v>243</v>
      </c>
      <c r="CQ119" s="61">
        <v>347</v>
      </c>
      <c r="CR119" s="61">
        <v>355</v>
      </c>
      <c r="CS119" s="61">
        <v>1239</v>
      </c>
      <c r="CT119" s="61"/>
      <c r="CU119" s="61" t="s">
        <v>1968</v>
      </c>
      <c r="CV119" s="61">
        <v>32</v>
      </c>
      <c r="CW119" s="61">
        <v>0</v>
      </c>
      <c r="CX119" s="61">
        <v>0</v>
      </c>
      <c r="CY119" s="61">
        <v>0</v>
      </c>
      <c r="CZ119" s="61">
        <v>0</v>
      </c>
      <c r="DA119" s="61">
        <v>32</v>
      </c>
      <c r="EN119" s="267" t="s">
        <v>1605</v>
      </c>
      <c r="EO119" s="267" t="s">
        <v>2840</v>
      </c>
      <c r="EP119" s="267">
        <v>458</v>
      </c>
      <c r="EQ119" s="267">
        <v>647</v>
      </c>
      <c r="ER119" s="267">
        <v>779</v>
      </c>
      <c r="ES119" s="267">
        <v>884</v>
      </c>
      <c r="ET119" s="267">
        <v>856</v>
      </c>
      <c r="EU119" s="267">
        <v>3624</v>
      </c>
      <c r="EV119" s="267"/>
      <c r="EW119" s="267" t="s">
        <v>2840</v>
      </c>
      <c r="EX119" s="267">
        <v>75</v>
      </c>
      <c r="EY119" s="267">
        <v>28</v>
      </c>
      <c r="EZ119" s="267">
        <v>21</v>
      </c>
      <c r="FA119" s="267">
        <v>16</v>
      </c>
      <c r="FB119" s="267">
        <v>8</v>
      </c>
      <c r="FC119" s="267">
        <v>148</v>
      </c>
      <c r="FD119" s="16">
        <v>70</v>
      </c>
      <c r="FF119" s="80" t="s">
        <v>1837</v>
      </c>
      <c r="FG119" s="80" t="s">
        <v>1968</v>
      </c>
      <c r="FH119" s="80">
        <v>129</v>
      </c>
      <c r="FI119" s="80">
        <v>209</v>
      </c>
      <c r="FJ119" s="80">
        <v>234</v>
      </c>
      <c r="FK119" s="80">
        <v>261</v>
      </c>
      <c r="FL119" s="80">
        <v>338</v>
      </c>
      <c r="FM119" s="80">
        <v>1171</v>
      </c>
      <c r="FN119" s="80"/>
      <c r="FO119" s="80" t="s">
        <v>1968</v>
      </c>
      <c r="FP119" s="80">
        <v>42</v>
      </c>
      <c r="FQ119" s="80">
        <v>18</v>
      </c>
      <c r="FR119" s="80">
        <v>1</v>
      </c>
      <c r="FS119" s="80">
        <v>3</v>
      </c>
      <c r="FT119" s="80">
        <v>4</v>
      </c>
      <c r="FU119" s="80">
        <v>68</v>
      </c>
    </row>
    <row r="120" spans="2:177" x14ac:dyDescent="0.3">
      <c r="B120" s="71" t="s">
        <v>83</v>
      </c>
      <c r="C120" s="71" t="s">
        <v>1968</v>
      </c>
      <c r="D120" s="71">
        <v>34</v>
      </c>
      <c r="E120" s="71">
        <v>2</v>
      </c>
      <c r="F120" s="71">
        <v>3</v>
      </c>
      <c r="G120" s="71">
        <v>0</v>
      </c>
      <c r="H120" s="71">
        <v>0</v>
      </c>
      <c r="I120" s="71">
        <v>39</v>
      </c>
      <c r="K120" s="71" t="s">
        <v>1968</v>
      </c>
      <c r="L120" s="71">
        <v>202</v>
      </c>
      <c r="M120" s="71">
        <v>269</v>
      </c>
      <c r="N120" s="71">
        <v>329</v>
      </c>
      <c r="O120" s="71">
        <v>442</v>
      </c>
      <c r="P120" s="71">
        <v>329</v>
      </c>
      <c r="Q120" s="71">
        <v>1571</v>
      </c>
      <c r="AK120" s="73" t="s">
        <v>574</v>
      </c>
      <c r="AL120" s="73" t="s">
        <v>1968</v>
      </c>
      <c r="AM120" s="73">
        <v>239</v>
      </c>
      <c r="AN120" s="73">
        <v>246</v>
      </c>
      <c r="AO120" s="73">
        <v>373</v>
      </c>
      <c r="AP120" s="73">
        <v>557</v>
      </c>
      <c r="AQ120" s="73">
        <v>389</v>
      </c>
      <c r="AR120" s="73">
        <v>1804</v>
      </c>
      <c r="AS120" s="73"/>
      <c r="AT120" s="73" t="s">
        <v>1968</v>
      </c>
      <c r="AU120" s="73">
        <v>31</v>
      </c>
      <c r="AV120" s="73">
        <v>2</v>
      </c>
      <c r="AW120" s="73">
        <v>0</v>
      </c>
      <c r="AX120" s="73">
        <v>0</v>
      </c>
      <c r="AY120" s="73">
        <v>0</v>
      </c>
      <c r="AZ120" s="73">
        <v>33</v>
      </c>
      <c r="BB120" s="78" t="s">
        <v>1043</v>
      </c>
      <c r="BC120" s="78" t="s">
        <v>2856</v>
      </c>
      <c r="BD120" s="78">
        <v>309</v>
      </c>
      <c r="BE120" s="78">
        <v>363</v>
      </c>
      <c r="BF120" s="78">
        <v>637</v>
      </c>
      <c r="BG120" s="78">
        <v>920</v>
      </c>
      <c r="BH120" s="78">
        <v>865</v>
      </c>
      <c r="BI120" s="78">
        <v>3094</v>
      </c>
      <c r="BJ120" s="78"/>
      <c r="BK120" s="78" t="s">
        <v>2856</v>
      </c>
      <c r="BL120" s="78">
        <v>37</v>
      </c>
      <c r="BM120" s="78">
        <v>0</v>
      </c>
      <c r="BN120" s="78">
        <v>0</v>
      </c>
      <c r="BO120" s="78">
        <v>0</v>
      </c>
      <c r="BP120" s="78">
        <v>0</v>
      </c>
      <c r="BQ120" s="78">
        <v>37</v>
      </c>
      <c r="CL120" s="61" t="s">
        <v>1358</v>
      </c>
      <c r="CM120" s="61" t="s">
        <v>1968</v>
      </c>
      <c r="CN120" s="61">
        <v>160</v>
      </c>
      <c r="CO120" s="61">
        <v>183</v>
      </c>
      <c r="CP120" s="61">
        <v>325</v>
      </c>
      <c r="CQ120" s="61">
        <v>396</v>
      </c>
      <c r="CR120" s="61">
        <v>396</v>
      </c>
      <c r="CS120" s="61">
        <v>1460</v>
      </c>
      <c r="CT120" s="61"/>
      <c r="CU120" s="61" t="s">
        <v>1968</v>
      </c>
      <c r="CV120" s="61">
        <v>28</v>
      </c>
      <c r="CW120" s="61">
        <v>0</v>
      </c>
      <c r="CX120" s="61">
        <v>0</v>
      </c>
      <c r="CY120" s="61">
        <v>0</v>
      </c>
      <c r="CZ120" s="61">
        <v>0</v>
      </c>
      <c r="DA120" s="61">
        <v>28</v>
      </c>
      <c r="EN120" s="267" t="s">
        <v>1609</v>
      </c>
      <c r="EO120" s="267" t="s">
        <v>2840</v>
      </c>
      <c r="EP120" s="267">
        <v>97</v>
      </c>
      <c r="EQ120" s="267">
        <v>139</v>
      </c>
      <c r="ER120" s="267">
        <v>150</v>
      </c>
      <c r="ES120" s="267">
        <v>202</v>
      </c>
      <c r="ET120" s="267">
        <v>233</v>
      </c>
      <c r="EU120" s="267">
        <v>821</v>
      </c>
      <c r="EV120" s="267"/>
      <c r="EW120" s="267" t="s">
        <v>2840</v>
      </c>
      <c r="EX120" s="267">
        <v>23</v>
      </c>
      <c r="EY120" s="267">
        <v>4</v>
      </c>
      <c r="EZ120" s="267">
        <v>2</v>
      </c>
      <c r="FA120" s="267">
        <v>1</v>
      </c>
      <c r="FB120" s="267">
        <v>2</v>
      </c>
      <c r="FC120" s="267">
        <v>32</v>
      </c>
      <c r="FD120" s="16">
        <v>20</v>
      </c>
      <c r="FF120" s="80" t="s">
        <v>1843</v>
      </c>
      <c r="FG120" s="80" t="s">
        <v>1968</v>
      </c>
      <c r="FH120" s="80" t="s">
        <v>1970</v>
      </c>
      <c r="FI120" s="80" t="s">
        <v>1970</v>
      </c>
      <c r="FJ120" s="80" t="s">
        <v>1970</v>
      </c>
      <c r="FK120" s="80" t="s">
        <v>1970</v>
      </c>
      <c r="FL120" s="80" t="s">
        <v>1970</v>
      </c>
      <c r="FM120" s="80" t="s">
        <v>1970</v>
      </c>
      <c r="FN120" s="80"/>
      <c r="FO120" s="80" t="s">
        <v>1968</v>
      </c>
      <c r="FP120" s="80" t="s">
        <v>1970</v>
      </c>
      <c r="FQ120" s="80" t="s">
        <v>1970</v>
      </c>
      <c r="FR120" s="80" t="s">
        <v>1970</v>
      </c>
      <c r="FS120" s="80" t="s">
        <v>1970</v>
      </c>
      <c r="FT120" s="80" t="s">
        <v>1970</v>
      </c>
      <c r="FU120" s="80" t="s">
        <v>1970</v>
      </c>
    </row>
    <row r="121" spans="2:177" x14ac:dyDescent="0.3">
      <c r="B121" s="71" t="s">
        <v>88</v>
      </c>
      <c r="C121" s="71" t="s">
        <v>1968</v>
      </c>
      <c r="D121" s="71">
        <v>23</v>
      </c>
      <c r="E121" s="71">
        <v>0</v>
      </c>
      <c r="F121" s="71">
        <v>1</v>
      </c>
      <c r="G121" s="71">
        <v>1</v>
      </c>
      <c r="H121" s="71">
        <v>0</v>
      </c>
      <c r="I121" s="71">
        <v>25</v>
      </c>
      <c r="K121" s="71" t="s">
        <v>1968</v>
      </c>
      <c r="L121" s="71">
        <v>102</v>
      </c>
      <c r="M121" s="71">
        <v>128</v>
      </c>
      <c r="N121" s="71">
        <v>131</v>
      </c>
      <c r="O121" s="71">
        <v>209</v>
      </c>
      <c r="P121" s="71">
        <v>216</v>
      </c>
      <c r="Q121" s="71">
        <v>786</v>
      </c>
      <c r="AK121" s="73" t="s">
        <v>578</v>
      </c>
      <c r="AL121" s="73" t="s">
        <v>1968</v>
      </c>
      <c r="AM121" s="73">
        <v>295</v>
      </c>
      <c r="AN121" s="73">
        <v>330</v>
      </c>
      <c r="AO121" s="73">
        <v>467</v>
      </c>
      <c r="AP121" s="73">
        <v>595</v>
      </c>
      <c r="AQ121" s="73">
        <v>499</v>
      </c>
      <c r="AR121" s="73">
        <v>2186</v>
      </c>
      <c r="AS121" s="73"/>
      <c r="AT121" s="73" t="s">
        <v>1968</v>
      </c>
      <c r="AU121" s="73">
        <v>22</v>
      </c>
      <c r="AV121" s="73">
        <v>0</v>
      </c>
      <c r="AW121" s="73">
        <v>1</v>
      </c>
      <c r="AX121" s="73">
        <v>0</v>
      </c>
      <c r="AY121" s="73">
        <v>0</v>
      </c>
      <c r="AZ121" s="73">
        <v>23</v>
      </c>
      <c r="BB121" s="78" t="s">
        <v>1047</v>
      </c>
      <c r="BC121" s="78" t="s">
        <v>2856</v>
      </c>
      <c r="BD121" s="78">
        <v>337</v>
      </c>
      <c r="BE121" s="78">
        <v>293</v>
      </c>
      <c r="BF121" s="78">
        <v>527</v>
      </c>
      <c r="BG121" s="78">
        <v>821</v>
      </c>
      <c r="BH121" s="78">
        <v>774</v>
      </c>
      <c r="BI121" s="78">
        <v>2752</v>
      </c>
      <c r="BJ121" s="78"/>
      <c r="BK121" s="78" t="s">
        <v>2856</v>
      </c>
      <c r="BL121" s="78">
        <v>32</v>
      </c>
      <c r="BM121" s="78">
        <v>0</v>
      </c>
      <c r="BN121" s="78">
        <v>0</v>
      </c>
      <c r="BO121" s="78">
        <v>0</v>
      </c>
      <c r="BP121" s="78">
        <v>0</v>
      </c>
      <c r="BQ121" s="78">
        <v>32</v>
      </c>
      <c r="CL121" s="61" t="s">
        <v>1277</v>
      </c>
      <c r="CM121" s="61" t="s">
        <v>1968</v>
      </c>
      <c r="CN121" s="61" t="s">
        <v>1970</v>
      </c>
      <c r="CO121" s="61" t="s">
        <v>1970</v>
      </c>
      <c r="CP121" s="61" t="s">
        <v>1970</v>
      </c>
      <c r="CQ121" s="61" t="s">
        <v>1970</v>
      </c>
      <c r="CR121" s="61" t="s">
        <v>1970</v>
      </c>
      <c r="CS121" s="61" t="s">
        <v>1970</v>
      </c>
      <c r="CT121" s="61"/>
      <c r="CU121" s="61" t="s">
        <v>1968</v>
      </c>
      <c r="CV121" s="61" t="s">
        <v>1970</v>
      </c>
      <c r="CW121" s="61" t="s">
        <v>1970</v>
      </c>
      <c r="CX121" s="61" t="s">
        <v>1970</v>
      </c>
      <c r="CY121" s="61" t="s">
        <v>1970</v>
      </c>
      <c r="CZ121" s="61" t="s">
        <v>1970</v>
      </c>
      <c r="DA121" s="61" t="s">
        <v>1970</v>
      </c>
      <c r="EN121" s="267" t="s">
        <v>1613</v>
      </c>
      <c r="EO121" s="267" t="s">
        <v>2840</v>
      </c>
      <c r="EP121" s="267">
        <v>189</v>
      </c>
      <c r="EQ121" s="267">
        <v>234</v>
      </c>
      <c r="ER121" s="267">
        <v>301</v>
      </c>
      <c r="ES121" s="267">
        <v>396</v>
      </c>
      <c r="ET121" s="267">
        <v>449</v>
      </c>
      <c r="EU121" s="267">
        <v>1569</v>
      </c>
      <c r="EV121" s="267"/>
      <c r="EW121" s="267" t="s">
        <v>2840</v>
      </c>
      <c r="EX121" s="267">
        <v>41</v>
      </c>
      <c r="EY121" s="267">
        <v>14</v>
      </c>
      <c r="EZ121" s="267">
        <v>7</v>
      </c>
      <c r="FA121" s="267">
        <v>3</v>
      </c>
      <c r="FB121" s="267">
        <v>4</v>
      </c>
      <c r="FC121" s="267">
        <v>69</v>
      </c>
      <c r="FD121" s="16">
        <v>40</v>
      </c>
      <c r="FF121" s="80" t="s">
        <v>1849</v>
      </c>
      <c r="FG121" s="80" t="s">
        <v>1968</v>
      </c>
      <c r="FH121" s="80" t="s">
        <v>1970</v>
      </c>
      <c r="FI121" s="80" t="s">
        <v>1970</v>
      </c>
      <c r="FJ121" s="80" t="s">
        <v>1970</v>
      </c>
      <c r="FK121" s="80" t="s">
        <v>1970</v>
      </c>
      <c r="FL121" s="80" t="s">
        <v>1970</v>
      </c>
      <c r="FM121" s="80" t="s">
        <v>1970</v>
      </c>
      <c r="FN121" s="80"/>
      <c r="FO121" s="80" t="s">
        <v>1968</v>
      </c>
      <c r="FP121" s="80" t="s">
        <v>1970</v>
      </c>
      <c r="FQ121" s="80" t="s">
        <v>1970</v>
      </c>
      <c r="FR121" s="80" t="s">
        <v>1970</v>
      </c>
      <c r="FS121" s="80" t="s">
        <v>1970</v>
      </c>
      <c r="FT121" s="80" t="s">
        <v>1970</v>
      </c>
      <c r="FU121" s="80" t="s">
        <v>1970</v>
      </c>
    </row>
    <row r="122" spans="2:177" x14ac:dyDescent="0.3">
      <c r="B122" s="71" t="s">
        <v>97</v>
      </c>
      <c r="C122" s="71" t="s">
        <v>1968</v>
      </c>
      <c r="D122" s="71">
        <v>16</v>
      </c>
      <c r="E122" s="71">
        <v>0</v>
      </c>
      <c r="F122" s="71">
        <v>0</v>
      </c>
      <c r="G122" s="71">
        <v>1</v>
      </c>
      <c r="H122" s="71">
        <v>0</v>
      </c>
      <c r="I122" s="71">
        <v>17</v>
      </c>
      <c r="K122" s="71" t="s">
        <v>1968</v>
      </c>
      <c r="L122" s="71">
        <v>151</v>
      </c>
      <c r="M122" s="71">
        <v>290</v>
      </c>
      <c r="N122" s="71">
        <v>366</v>
      </c>
      <c r="O122" s="71">
        <v>409</v>
      </c>
      <c r="P122" s="71">
        <v>292</v>
      </c>
      <c r="Q122" s="71">
        <v>1508</v>
      </c>
      <c r="AK122" s="73" t="s">
        <v>582</v>
      </c>
      <c r="AL122" s="73" t="s">
        <v>1968</v>
      </c>
      <c r="AM122" s="73">
        <v>377</v>
      </c>
      <c r="AN122" s="73">
        <v>626</v>
      </c>
      <c r="AO122" s="73">
        <v>862</v>
      </c>
      <c r="AP122" s="73">
        <v>937</v>
      </c>
      <c r="AQ122" s="73">
        <v>608</v>
      </c>
      <c r="AR122" s="73">
        <v>3410</v>
      </c>
      <c r="AS122" s="73"/>
      <c r="AT122" s="73" t="s">
        <v>1968</v>
      </c>
      <c r="AU122" s="73">
        <v>36</v>
      </c>
      <c r="AV122" s="73">
        <v>2</v>
      </c>
      <c r="AW122" s="73">
        <v>0</v>
      </c>
      <c r="AX122" s="73">
        <v>0</v>
      </c>
      <c r="AY122" s="73">
        <v>0</v>
      </c>
      <c r="AZ122" s="73">
        <v>38</v>
      </c>
      <c r="BB122" s="78" t="s">
        <v>1052</v>
      </c>
      <c r="BC122" s="78" t="s">
        <v>2856</v>
      </c>
      <c r="BD122" s="78">
        <v>55</v>
      </c>
      <c r="BE122" s="78">
        <v>66</v>
      </c>
      <c r="BF122" s="78">
        <v>152</v>
      </c>
      <c r="BG122" s="78">
        <v>262</v>
      </c>
      <c r="BH122" s="78">
        <v>264</v>
      </c>
      <c r="BI122" s="78">
        <v>799</v>
      </c>
      <c r="BJ122" s="78"/>
      <c r="BK122" s="78" t="s">
        <v>2856</v>
      </c>
      <c r="BL122" s="78">
        <v>15</v>
      </c>
      <c r="BM122" s="78">
        <v>1</v>
      </c>
      <c r="BN122" s="78">
        <v>0</v>
      </c>
      <c r="BO122" s="78">
        <v>0</v>
      </c>
      <c r="BP122" s="78">
        <v>0</v>
      </c>
      <c r="BQ122" s="78">
        <v>16</v>
      </c>
      <c r="CL122" s="61" t="s">
        <v>1291</v>
      </c>
      <c r="CM122" s="61" t="s">
        <v>1968</v>
      </c>
      <c r="CN122" s="61">
        <v>159</v>
      </c>
      <c r="CO122" s="61">
        <v>78</v>
      </c>
      <c r="CP122" s="61">
        <v>113</v>
      </c>
      <c r="CQ122" s="61">
        <v>185</v>
      </c>
      <c r="CR122" s="61">
        <v>146</v>
      </c>
      <c r="CS122" s="61">
        <v>681</v>
      </c>
      <c r="CT122" s="61"/>
      <c r="CU122" s="61" t="s">
        <v>1968</v>
      </c>
      <c r="CV122" s="61">
        <v>62</v>
      </c>
      <c r="CW122" s="61">
        <v>0</v>
      </c>
      <c r="CX122" s="61">
        <v>0</v>
      </c>
      <c r="CY122" s="61">
        <v>0</v>
      </c>
      <c r="CZ122" s="61">
        <v>0</v>
      </c>
      <c r="DA122" s="61">
        <v>62</v>
      </c>
      <c r="EN122" s="267" t="s">
        <v>1617</v>
      </c>
      <c r="EO122" s="267" t="s">
        <v>2840</v>
      </c>
      <c r="EP122" s="267">
        <v>73</v>
      </c>
      <c r="EQ122" s="267">
        <v>159</v>
      </c>
      <c r="ER122" s="267">
        <v>239</v>
      </c>
      <c r="ES122" s="267">
        <v>301</v>
      </c>
      <c r="ET122" s="267">
        <v>398</v>
      </c>
      <c r="EU122" s="267">
        <v>1170</v>
      </c>
      <c r="EV122" s="267"/>
      <c r="EW122" s="267" t="s">
        <v>2840</v>
      </c>
      <c r="EX122" s="267">
        <v>7</v>
      </c>
      <c r="EY122" s="267">
        <v>1</v>
      </c>
      <c r="EZ122" s="267">
        <v>4</v>
      </c>
      <c r="FA122" s="267">
        <v>2</v>
      </c>
      <c r="FB122" s="267">
        <v>0</v>
      </c>
      <c r="FC122" s="267">
        <v>14</v>
      </c>
      <c r="FD122" s="16">
        <v>20</v>
      </c>
      <c r="FF122" s="80" t="s">
        <v>1855</v>
      </c>
      <c r="FG122" s="80" t="s">
        <v>1968</v>
      </c>
      <c r="FH122" s="80">
        <v>170</v>
      </c>
      <c r="FI122" s="80">
        <v>264</v>
      </c>
      <c r="FJ122" s="80">
        <v>311</v>
      </c>
      <c r="FK122" s="80">
        <v>368</v>
      </c>
      <c r="FL122" s="80">
        <v>453</v>
      </c>
      <c r="FM122" s="80">
        <v>1566</v>
      </c>
      <c r="FN122" s="80"/>
      <c r="FO122" s="80" t="s">
        <v>1968</v>
      </c>
      <c r="FP122" s="80">
        <v>28</v>
      </c>
      <c r="FQ122" s="80">
        <v>8</v>
      </c>
      <c r="FR122" s="80">
        <v>3</v>
      </c>
      <c r="FS122" s="80">
        <v>1</v>
      </c>
      <c r="FT122" s="80">
        <v>1</v>
      </c>
      <c r="FU122" s="80">
        <v>41</v>
      </c>
    </row>
    <row r="123" spans="2:177" x14ac:dyDescent="0.3">
      <c r="B123" s="71" t="s">
        <v>103</v>
      </c>
      <c r="C123" s="71" t="s">
        <v>1968</v>
      </c>
      <c r="D123" s="71">
        <v>21</v>
      </c>
      <c r="E123" s="71">
        <v>1</v>
      </c>
      <c r="F123" s="71">
        <v>0</v>
      </c>
      <c r="G123" s="71">
        <v>0</v>
      </c>
      <c r="H123" s="71">
        <v>0</v>
      </c>
      <c r="I123" s="71">
        <v>22</v>
      </c>
      <c r="K123" s="71" t="s">
        <v>1968</v>
      </c>
      <c r="L123" s="71">
        <v>222</v>
      </c>
      <c r="M123" s="71">
        <v>330</v>
      </c>
      <c r="N123" s="71">
        <v>371</v>
      </c>
      <c r="O123" s="71">
        <v>390</v>
      </c>
      <c r="P123" s="71">
        <v>357</v>
      </c>
      <c r="Q123" s="71">
        <v>1670</v>
      </c>
      <c r="AK123" s="73" t="s">
        <v>585</v>
      </c>
      <c r="AL123" s="73" t="s">
        <v>1968</v>
      </c>
      <c r="AM123" s="73">
        <v>286</v>
      </c>
      <c r="AN123" s="73">
        <v>246</v>
      </c>
      <c r="AO123" s="73">
        <v>410</v>
      </c>
      <c r="AP123" s="73">
        <v>559</v>
      </c>
      <c r="AQ123" s="73">
        <v>512</v>
      </c>
      <c r="AR123" s="73">
        <v>2013</v>
      </c>
      <c r="AS123" s="73"/>
      <c r="AT123" s="73" t="s">
        <v>1968</v>
      </c>
      <c r="AU123" s="73">
        <v>53</v>
      </c>
      <c r="AV123" s="73">
        <v>1</v>
      </c>
      <c r="AW123" s="73">
        <v>0</v>
      </c>
      <c r="AX123" s="73">
        <v>1</v>
      </c>
      <c r="AY123" s="73">
        <v>0</v>
      </c>
      <c r="AZ123" s="73">
        <v>55</v>
      </c>
      <c r="BB123" s="78" t="s">
        <v>1057</v>
      </c>
      <c r="BC123" s="78" t="s">
        <v>2856</v>
      </c>
      <c r="BD123" s="78">
        <v>113</v>
      </c>
      <c r="BE123" s="78">
        <v>85</v>
      </c>
      <c r="BF123" s="78">
        <v>149</v>
      </c>
      <c r="BG123" s="78">
        <v>180</v>
      </c>
      <c r="BH123" s="78">
        <v>168</v>
      </c>
      <c r="BI123" s="78">
        <v>695</v>
      </c>
      <c r="BJ123" s="78"/>
      <c r="BK123" s="78" t="s">
        <v>2856</v>
      </c>
      <c r="BL123" s="78">
        <v>20</v>
      </c>
      <c r="BM123" s="78">
        <v>0</v>
      </c>
      <c r="BN123" s="78">
        <v>0</v>
      </c>
      <c r="BO123" s="78">
        <v>0</v>
      </c>
      <c r="BP123" s="78">
        <v>0</v>
      </c>
      <c r="BQ123" s="78">
        <v>20</v>
      </c>
      <c r="CL123" s="61" t="s">
        <v>1345</v>
      </c>
      <c r="CM123" s="61" t="s">
        <v>1968</v>
      </c>
      <c r="CN123" s="61">
        <v>1198</v>
      </c>
      <c r="CO123" s="61">
        <v>1107</v>
      </c>
      <c r="CP123" s="61">
        <v>1132</v>
      </c>
      <c r="CQ123" s="61">
        <v>1264</v>
      </c>
      <c r="CR123" s="61">
        <v>884</v>
      </c>
      <c r="CS123" s="61">
        <v>5585</v>
      </c>
      <c r="CT123" s="61"/>
      <c r="CU123" s="61" t="s">
        <v>1968</v>
      </c>
      <c r="CV123" s="61">
        <v>375</v>
      </c>
      <c r="CW123" s="61">
        <v>6</v>
      </c>
      <c r="CX123" s="61">
        <v>0</v>
      </c>
      <c r="CY123" s="61">
        <v>0</v>
      </c>
      <c r="CZ123" s="61">
        <v>0</v>
      </c>
      <c r="DA123" s="61">
        <v>381</v>
      </c>
      <c r="EN123" s="267" t="s">
        <v>1621</v>
      </c>
      <c r="EO123" s="267" t="s">
        <v>2840</v>
      </c>
      <c r="EP123" s="267">
        <v>360</v>
      </c>
      <c r="EQ123" s="267">
        <v>542</v>
      </c>
      <c r="ER123" s="267">
        <v>607</v>
      </c>
      <c r="ES123" s="267">
        <v>784</v>
      </c>
      <c r="ET123" s="267">
        <v>957</v>
      </c>
      <c r="EU123" s="267">
        <v>3250</v>
      </c>
      <c r="EV123" s="267"/>
      <c r="EW123" s="267" t="s">
        <v>2840</v>
      </c>
      <c r="EX123" s="267">
        <v>42</v>
      </c>
      <c r="EY123" s="267">
        <v>16</v>
      </c>
      <c r="EZ123" s="267">
        <v>7</v>
      </c>
      <c r="FA123" s="267">
        <v>14</v>
      </c>
      <c r="FB123" s="267">
        <v>9</v>
      </c>
      <c r="FC123" s="267">
        <v>88</v>
      </c>
      <c r="FD123" s="16">
        <v>40</v>
      </c>
      <c r="FF123" s="80" t="s">
        <v>1861</v>
      </c>
      <c r="FG123" s="80" t="s">
        <v>1968</v>
      </c>
      <c r="FH123" s="80">
        <v>455</v>
      </c>
      <c r="FI123" s="80">
        <v>549</v>
      </c>
      <c r="FJ123" s="80">
        <v>607</v>
      </c>
      <c r="FK123" s="80">
        <v>628</v>
      </c>
      <c r="FL123" s="80">
        <v>779</v>
      </c>
      <c r="FM123" s="80">
        <v>3018</v>
      </c>
      <c r="FN123" s="80"/>
      <c r="FO123" s="80" t="s">
        <v>1968</v>
      </c>
      <c r="FP123" s="80">
        <v>64</v>
      </c>
      <c r="FQ123" s="80">
        <v>17</v>
      </c>
      <c r="FR123" s="80">
        <v>15</v>
      </c>
      <c r="FS123" s="80">
        <v>7</v>
      </c>
      <c r="FT123" s="80">
        <v>18</v>
      </c>
      <c r="FU123" s="80">
        <v>121</v>
      </c>
    </row>
    <row r="124" spans="2:177" x14ac:dyDescent="0.3">
      <c r="B124" s="71" t="s">
        <v>3640</v>
      </c>
      <c r="C124" s="71" t="s">
        <v>1968</v>
      </c>
      <c r="D124" s="71">
        <v>16</v>
      </c>
      <c r="E124" s="71">
        <v>4</v>
      </c>
      <c r="F124" s="71">
        <v>0</v>
      </c>
      <c r="G124" s="71">
        <v>0</v>
      </c>
      <c r="H124" s="71">
        <v>0</v>
      </c>
      <c r="I124" s="71">
        <v>20</v>
      </c>
      <c r="K124" s="71" t="s">
        <v>1968</v>
      </c>
      <c r="L124" s="71">
        <v>215</v>
      </c>
      <c r="M124" s="71">
        <v>260</v>
      </c>
      <c r="N124" s="71">
        <v>334</v>
      </c>
      <c r="O124" s="71">
        <v>414</v>
      </c>
      <c r="P124" s="71">
        <v>304</v>
      </c>
      <c r="Q124" s="71">
        <v>1527</v>
      </c>
      <c r="AK124" s="73" t="s">
        <v>591</v>
      </c>
      <c r="AL124" s="73" t="s">
        <v>1968</v>
      </c>
      <c r="AM124" s="73">
        <v>560</v>
      </c>
      <c r="AN124" s="73">
        <v>357</v>
      </c>
      <c r="AO124" s="73">
        <v>427</v>
      </c>
      <c r="AP124" s="73">
        <v>555</v>
      </c>
      <c r="AQ124" s="73">
        <v>344</v>
      </c>
      <c r="AR124" s="73">
        <v>2243</v>
      </c>
      <c r="AS124" s="73"/>
      <c r="AT124" s="73" t="s">
        <v>1968</v>
      </c>
      <c r="AU124" s="73">
        <v>77</v>
      </c>
      <c r="AV124" s="73">
        <v>6</v>
      </c>
      <c r="AW124" s="73">
        <v>6</v>
      </c>
      <c r="AX124" s="73">
        <v>3</v>
      </c>
      <c r="AY124" s="73">
        <v>0</v>
      </c>
      <c r="AZ124" s="73">
        <v>92</v>
      </c>
      <c r="BB124" s="78" t="s">
        <v>1062</v>
      </c>
      <c r="BC124" s="78" t="s">
        <v>2856</v>
      </c>
      <c r="BD124" s="78">
        <v>203</v>
      </c>
      <c r="BE124" s="78">
        <v>95</v>
      </c>
      <c r="BF124" s="78">
        <v>142</v>
      </c>
      <c r="BG124" s="78">
        <v>184</v>
      </c>
      <c r="BH124" s="78">
        <v>185</v>
      </c>
      <c r="BI124" s="78">
        <v>809</v>
      </c>
      <c r="BJ124" s="78"/>
      <c r="BK124" s="78" t="s">
        <v>2856</v>
      </c>
      <c r="BL124" s="78">
        <v>24</v>
      </c>
      <c r="BM124" s="78">
        <v>0</v>
      </c>
      <c r="BN124" s="78">
        <v>0</v>
      </c>
      <c r="BO124" s="78">
        <v>0</v>
      </c>
      <c r="BP124" s="78">
        <v>0</v>
      </c>
      <c r="BQ124" s="78">
        <v>24</v>
      </c>
      <c r="CL124" s="61" t="s">
        <v>1287</v>
      </c>
      <c r="CM124" s="61" t="s">
        <v>1968</v>
      </c>
      <c r="CN124" s="61">
        <v>534</v>
      </c>
      <c r="CO124" s="61">
        <v>431</v>
      </c>
      <c r="CP124" s="61">
        <v>738</v>
      </c>
      <c r="CQ124" s="61">
        <v>1125</v>
      </c>
      <c r="CR124" s="61">
        <v>1084</v>
      </c>
      <c r="CS124" s="61">
        <v>3912</v>
      </c>
      <c r="CT124" s="61"/>
      <c r="CU124" s="61" t="s">
        <v>1968</v>
      </c>
      <c r="CV124" s="61">
        <v>160</v>
      </c>
      <c r="CW124" s="61">
        <v>0</v>
      </c>
      <c r="CX124" s="61">
        <v>0</v>
      </c>
      <c r="CY124" s="61">
        <v>0</v>
      </c>
      <c r="CZ124" s="61">
        <v>0</v>
      </c>
      <c r="DA124" s="61">
        <v>160</v>
      </c>
      <c r="EN124" s="267" t="s">
        <v>1625</v>
      </c>
      <c r="EO124" s="267" t="s">
        <v>2840</v>
      </c>
      <c r="EP124" s="267">
        <v>216</v>
      </c>
      <c r="EQ124" s="267">
        <v>384</v>
      </c>
      <c r="ER124" s="267">
        <v>432</v>
      </c>
      <c r="ES124" s="267">
        <v>587</v>
      </c>
      <c r="ET124" s="267">
        <v>709</v>
      </c>
      <c r="EU124" s="267">
        <v>2328</v>
      </c>
      <c r="EV124" s="267"/>
      <c r="EW124" s="267" t="s">
        <v>2840</v>
      </c>
      <c r="EX124" s="267">
        <v>45</v>
      </c>
      <c r="EY124" s="267">
        <v>13</v>
      </c>
      <c r="EZ124" s="267">
        <v>12</v>
      </c>
      <c r="FA124" s="267">
        <v>8</v>
      </c>
      <c r="FB124" s="267">
        <v>10</v>
      </c>
      <c r="FC124" s="267">
        <v>88</v>
      </c>
      <c r="FD124" s="16">
        <v>40</v>
      </c>
      <c r="FF124" s="80" t="s">
        <v>1867</v>
      </c>
      <c r="FG124" s="80" t="s">
        <v>1968</v>
      </c>
      <c r="FH124" s="80">
        <v>476</v>
      </c>
      <c r="FI124" s="80">
        <v>491</v>
      </c>
      <c r="FJ124" s="80">
        <v>416</v>
      </c>
      <c r="FK124" s="80">
        <v>424</v>
      </c>
      <c r="FL124" s="80">
        <v>534</v>
      </c>
      <c r="FM124" s="80">
        <v>2341</v>
      </c>
      <c r="FN124" s="80"/>
      <c r="FO124" s="80" t="s">
        <v>1968</v>
      </c>
      <c r="FP124" s="80">
        <v>83</v>
      </c>
      <c r="FQ124" s="80">
        <v>14</v>
      </c>
      <c r="FR124" s="80">
        <v>8</v>
      </c>
      <c r="FS124" s="80">
        <v>3</v>
      </c>
      <c r="FT124" s="80">
        <v>4</v>
      </c>
      <c r="FU124" s="80">
        <v>112</v>
      </c>
    </row>
    <row r="125" spans="2:177" x14ac:dyDescent="0.3">
      <c r="B125" s="71" t="s">
        <v>2461</v>
      </c>
      <c r="C125" s="71" t="s">
        <v>1968</v>
      </c>
      <c r="D125" s="71">
        <v>333</v>
      </c>
      <c r="E125" s="71">
        <v>95</v>
      </c>
      <c r="F125" s="71">
        <v>65</v>
      </c>
      <c r="G125" s="71">
        <v>78</v>
      </c>
      <c r="H125" s="71">
        <v>111</v>
      </c>
      <c r="I125" s="71">
        <v>682</v>
      </c>
      <c r="K125" s="71" t="s">
        <v>1968</v>
      </c>
      <c r="L125" s="71">
        <v>811</v>
      </c>
      <c r="M125" s="71">
        <v>604</v>
      </c>
      <c r="N125" s="71">
        <v>498</v>
      </c>
      <c r="O125" s="71">
        <v>558</v>
      </c>
      <c r="P125" s="71">
        <v>682</v>
      </c>
      <c r="Q125" s="71">
        <v>3153</v>
      </c>
      <c r="AK125" s="73" t="s">
        <v>596</v>
      </c>
      <c r="AL125" s="73" t="s">
        <v>1968</v>
      </c>
      <c r="AM125" s="73">
        <v>409</v>
      </c>
      <c r="AN125" s="73">
        <v>395</v>
      </c>
      <c r="AO125" s="73">
        <v>710</v>
      </c>
      <c r="AP125" s="73">
        <v>754</v>
      </c>
      <c r="AQ125" s="73">
        <v>601</v>
      </c>
      <c r="AR125" s="73">
        <v>2869</v>
      </c>
      <c r="AS125" s="73"/>
      <c r="AT125" s="73" t="s">
        <v>1968</v>
      </c>
      <c r="AU125" s="73">
        <v>35</v>
      </c>
      <c r="AV125" s="73">
        <v>5</v>
      </c>
      <c r="AW125" s="73">
        <v>3</v>
      </c>
      <c r="AX125" s="73">
        <v>4</v>
      </c>
      <c r="AY125" s="73">
        <v>2</v>
      </c>
      <c r="AZ125" s="73">
        <v>49</v>
      </c>
      <c r="CL125" s="61" t="s">
        <v>1295</v>
      </c>
      <c r="CM125" s="61" t="s">
        <v>1968</v>
      </c>
      <c r="CN125" s="61">
        <v>238</v>
      </c>
      <c r="CO125" s="61">
        <v>302</v>
      </c>
      <c r="CP125" s="61">
        <v>536</v>
      </c>
      <c r="CQ125" s="61">
        <v>857</v>
      </c>
      <c r="CR125" s="61">
        <v>847</v>
      </c>
      <c r="CS125" s="61">
        <v>2780</v>
      </c>
      <c r="CT125" s="61"/>
      <c r="CU125" s="61" t="s">
        <v>1968</v>
      </c>
      <c r="CV125" s="61">
        <v>36</v>
      </c>
      <c r="CW125" s="61">
        <v>0</v>
      </c>
      <c r="CX125" s="61">
        <v>0</v>
      </c>
      <c r="CY125" s="61">
        <v>0</v>
      </c>
      <c r="CZ125" s="61">
        <v>0</v>
      </c>
      <c r="DA125" s="61">
        <v>36</v>
      </c>
      <c r="EN125" s="267" t="s">
        <v>1629</v>
      </c>
      <c r="EO125" s="267" t="s">
        <v>2840</v>
      </c>
      <c r="EP125" s="267">
        <v>63</v>
      </c>
      <c r="EQ125" s="267">
        <v>132</v>
      </c>
      <c r="ER125" s="267">
        <v>239</v>
      </c>
      <c r="ES125" s="267">
        <v>369</v>
      </c>
      <c r="ET125" s="267">
        <v>415</v>
      </c>
      <c r="EU125" s="267">
        <v>1218</v>
      </c>
      <c r="EV125" s="267"/>
      <c r="EW125" s="267" t="s">
        <v>2840</v>
      </c>
      <c r="EX125" s="267">
        <v>5</v>
      </c>
      <c r="EY125" s="267">
        <v>1</v>
      </c>
      <c r="EZ125" s="267">
        <v>1</v>
      </c>
      <c r="FA125" s="267">
        <v>0</v>
      </c>
      <c r="FB125" s="267">
        <v>2</v>
      </c>
      <c r="FC125" s="267">
        <v>9</v>
      </c>
      <c r="FD125" s="16">
        <v>10</v>
      </c>
      <c r="FF125" s="80" t="s">
        <v>1873</v>
      </c>
      <c r="FG125" s="80" t="s">
        <v>1968</v>
      </c>
      <c r="FH125" s="80">
        <v>179</v>
      </c>
      <c r="FI125" s="80">
        <v>306</v>
      </c>
      <c r="FJ125" s="80">
        <v>330</v>
      </c>
      <c r="FK125" s="80">
        <v>402</v>
      </c>
      <c r="FL125" s="80">
        <v>513</v>
      </c>
      <c r="FM125" s="80">
        <v>1730</v>
      </c>
      <c r="FN125" s="80"/>
      <c r="FO125" s="80" t="s">
        <v>1968</v>
      </c>
      <c r="FP125" s="80">
        <v>23</v>
      </c>
      <c r="FQ125" s="80">
        <v>13</v>
      </c>
      <c r="FR125" s="80">
        <v>6</v>
      </c>
      <c r="FS125" s="80">
        <v>5</v>
      </c>
      <c r="FT125" s="80">
        <v>7</v>
      </c>
      <c r="FU125" s="80">
        <v>54</v>
      </c>
    </row>
    <row r="126" spans="2:177" x14ac:dyDescent="0.3">
      <c r="B126" s="71" t="s">
        <v>2462</v>
      </c>
      <c r="C126" s="71" t="s">
        <v>1968</v>
      </c>
      <c r="D126" s="71">
        <v>152</v>
      </c>
      <c r="E126" s="71">
        <v>40</v>
      </c>
      <c r="F126" s="71">
        <v>27</v>
      </c>
      <c r="G126" s="71">
        <v>25</v>
      </c>
      <c r="H126" s="71">
        <v>37</v>
      </c>
      <c r="I126" s="71">
        <v>281</v>
      </c>
      <c r="K126" s="71" t="s">
        <v>1968</v>
      </c>
      <c r="L126" s="71">
        <v>690</v>
      </c>
      <c r="M126" s="71">
        <v>566</v>
      </c>
      <c r="N126" s="71">
        <v>448</v>
      </c>
      <c r="O126" s="71">
        <v>548</v>
      </c>
      <c r="P126" s="71">
        <v>698</v>
      </c>
      <c r="Q126" s="71">
        <v>2950</v>
      </c>
      <c r="AK126" s="73" t="s">
        <v>599</v>
      </c>
      <c r="AL126" s="73" t="s">
        <v>1968</v>
      </c>
      <c r="AM126" s="73">
        <v>564</v>
      </c>
      <c r="AN126" s="73">
        <v>563</v>
      </c>
      <c r="AO126" s="73">
        <v>690</v>
      </c>
      <c r="AP126" s="73">
        <v>750</v>
      </c>
      <c r="AQ126" s="73">
        <v>549</v>
      </c>
      <c r="AR126" s="73">
        <v>3116</v>
      </c>
      <c r="AS126" s="73"/>
      <c r="AT126" s="73" t="s">
        <v>1968</v>
      </c>
      <c r="AU126" s="73">
        <v>22</v>
      </c>
      <c r="AV126" s="73">
        <v>1</v>
      </c>
      <c r="AW126" s="73">
        <v>3</v>
      </c>
      <c r="AX126" s="73">
        <v>0</v>
      </c>
      <c r="AY126" s="73">
        <v>0</v>
      </c>
      <c r="AZ126" s="73">
        <v>26</v>
      </c>
      <c r="BB126" s="78" t="s">
        <v>748</v>
      </c>
      <c r="BC126" s="78" t="s">
        <v>1968</v>
      </c>
      <c r="BD126" s="78">
        <v>160</v>
      </c>
      <c r="BE126" s="78">
        <v>201</v>
      </c>
      <c r="BF126" s="78">
        <v>378</v>
      </c>
      <c r="BG126" s="78">
        <v>540</v>
      </c>
      <c r="BH126" s="78">
        <v>497</v>
      </c>
      <c r="BI126" s="78">
        <v>1776</v>
      </c>
      <c r="BJ126" s="78"/>
      <c r="BK126" s="78" t="s">
        <v>1968</v>
      </c>
      <c r="BL126" s="78">
        <v>20</v>
      </c>
      <c r="BM126" s="78">
        <v>0</v>
      </c>
      <c r="BN126" s="78">
        <v>0</v>
      </c>
      <c r="BO126" s="78">
        <v>0</v>
      </c>
      <c r="BP126" s="78">
        <v>0</v>
      </c>
      <c r="BQ126" s="78">
        <v>20</v>
      </c>
      <c r="CL126" s="61" t="s">
        <v>1317</v>
      </c>
      <c r="CM126" s="61" t="s">
        <v>1968</v>
      </c>
      <c r="CN126" s="61">
        <v>86</v>
      </c>
      <c r="CO126" s="61">
        <v>54</v>
      </c>
      <c r="CP126" s="61">
        <v>69</v>
      </c>
      <c r="CQ126" s="61">
        <v>115</v>
      </c>
      <c r="CR126" s="61">
        <v>129</v>
      </c>
      <c r="CS126" s="61">
        <v>453</v>
      </c>
      <c r="CT126" s="61"/>
      <c r="CU126" s="61" t="s">
        <v>1968</v>
      </c>
      <c r="CV126" s="61">
        <v>41</v>
      </c>
      <c r="CW126" s="61">
        <v>0</v>
      </c>
      <c r="CX126" s="61">
        <v>0</v>
      </c>
      <c r="CY126" s="61">
        <v>0</v>
      </c>
      <c r="CZ126" s="61">
        <v>0</v>
      </c>
      <c r="DA126" s="61">
        <v>41</v>
      </c>
      <c r="EN126" s="267" t="s">
        <v>1633</v>
      </c>
      <c r="EO126" s="267" t="s">
        <v>2840</v>
      </c>
      <c r="EP126" s="267">
        <v>159</v>
      </c>
      <c r="EQ126" s="267">
        <v>162</v>
      </c>
      <c r="ER126" s="267">
        <v>175</v>
      </c>
      <c r="ES126" s="267">
        <v>232</v>
      </c>
      <c r="ET126" s="267">
        <v>334</v>
      </c>
      <c r="EU126" s="267">
        <v>1062</v>
      </c>
      <c r="EV126" s="267"/>
      <c r="EW126" s="267" t="s">
        <v>2840</v>
      </c>
      <c r="EX126" s="267">
        <v>11</v>
      </c>
      <c r="EY126" s="267">
        <v>1</v>
      </c>
      <c r="EZ126" s="267">
        <v>0</v>
      </c>
      <c r="FA126" s="267">
        <v>1</v>
      </c>
      <c r="FB126" s="267">
        <v>1</v>
      </c>
      <c r="FC126" s="267">
        <v>14</v>
      </c>
      <c r="FD126" s="16">
        <v>10</v>
      </c>
      <c r="FF126" s="80" t="s">
        <v>1879</v>
      </c>
      <c r="FG126" s="80" t="s">
        <v>1968</v>
      </c>
      <c r="FH126" s="80">
        <v>226</v>
      </c>
      <c r="FI126" s="80">
        <v>429</v>
      </c>
      <c r="FJ126" s="80">
        <v>510</v>
      </c>
      <c r="FK126" s="80">
        <v>544</v>
      </c>
      <c r="FL126" s="80">
        <v>734</v>
      </c>
      <c r="FM126" s="80">
        <v>2443</v>
      </c>
      <c r="FN126" s="80"/>
      <c r="FO126" s="80" t="s">
        <v>1968</v>
      </c>
      <c r="FP126" s="80">
        <v>34</v>
      </c>
      <c r="FQ126" s="80">
        <v>19</v>
      </c>
      <c r="FR126" s="80">
        <v>11</v>
      </c>
      <c r="FS126" s="80">
        <v>5</v>
      </c>
      <c r="FT126" s="80">
        <v>15</v>
      </c>
      <c r="FU126" s="80">
        <v>84</v>
      </c>
    </row>
    <row r="127" spans="2:177" x14ac:dyDescent="0.3">
      <c r="B127" s="71" t="s">
        <v>116</v>
      </c>
      <c r="C127" s="71" t="s">
        <v>1968</v>
      </c>
      <c r="D127" s="71">
        <v>16</v>
      </c>
      <c r="E127" s="71">
        <v>0</v>
      </c>
      <c r="F127" s="71">
        <v>0</v>
      </c>
      <c r="G127" s="71">
        <v>1</v>
      </c>
      <c r="H127" s="71">
        <v>0</v>
      </c>
      <c r="I127" s="71">
        <v>17</v>
      </c>
      <c r="K127" s="71" t="s">
        <v>1968</v>
      </c>
      <c r="L127" s="71">
        <v>103</v>
      </c>
      <c r="M127" s="71">
        <v>188</v>
      </c>
      <c r="N127" s="71">
        <v>392</v>
      </c>
      <c r="O127" s="71">
        <v>574</v>
      </c>
      <c r="P127" s="71">
        <v>449</v>
      </c>
      <c r="Q127" s="71">
        <v>1706</v>
      </c>
      <c r="AK127" s="73" t="s">
        <v>603</v>
      </c>
      <c r="AL127" s="73" t="s">
        <v>1968</v>
      </c>
      <c r="AM127" s="73">
        <v>371</v>
      </c>
      <c r="AN127" s="73">
        <v>400</v>
      </c>
      <c r="AO127" s="73">
        <v>495</v>
      </c>
      <c r="AP127" s="73">
        <v>598</v>
      </c>
      <c r="AQ127" s="73">
        <v>444</v>
      </c>
      <c r="AR127" s="73">
        <v>2308</v>
      </c>
      <c r="AS127" s="73"/>
      <c r="AT127" s="73" t="s">
        <v>1968</v>
      </c>
      <c r="AU127" s="73">
        <v>38</v>
      </c>
      <c r="AV127" s="73">
        <v>5</v>
      </c>
      <c r="AW127" s="73">
        <v>2</v>
      </c>
      <c r="AX127" s="73">
        <v>1</v>
      </c>
      <c r="AY127" s="73">
        <v>0</v>
      </c>
      <c r="AZ127" s="73">
        <v>46</v>
      </c>
      <c r="BB127" s="78" t="s">
        <v>753</v>
      </c>
      <c r="BC127" s="78" t="s">
        <v>1968</v>
      </c>
      <c r="BD127" s="78">
        <v>309</v>
      </c>
      <c r="BE127" s="78">
        <v>185</v>
      </c>
      <c r="BF127" s="78">
        <v>353</v>
      </c>
      <c r="BG127" s="78">
        <v>441</v>
      </c>
      <c r="BH127" s="78">
        <v>408</v>
      </c>
      <c r="BI127" s="78">
        <v>1696</v>
      </c>
      <c r="BJ127" s="78"/>
      <c r="BK127" s="78" t="s">
        <v>1968</v>
      </c>
      <c r="BL127" s="78">
        <v>84</v>
      </c>
      <c r="BM127" s="78">
        <v>0</v>
      </c>
      <c r="BN127" s="78">
        <v>0</v>
      </c>
      <c r="BO127" s="78">
        <v>0</v>
      </c>
      <c r="BP127" s="78">
        <v>0</v>
      </c>
      <c r="BQ127" s="78">
        <v>84</v>
      </c>
      <c r="CL127" s="61" t="s">
        <v>1321</v>
      </c>
      <c r="CM127" s="61" t="s">
        <v>1968</v>
      </c>
      <c r="CN127" s="61">
        <v>81</v>
      </c>
      <c r="CO127" s="61">
        <v>115</v>
      </c>
      <c r="CP127" s="61">
        <v>219</v>
      </c>
      <c r="CQ127" s="61">
        <v>387</v>
      </c>
      <c r="CR127" s="61">
        <v>382</v>
      </c>
      <c r="CS127" s="61">
        <v>1184</v>
      </c>
      <c r="CT127" s="61"/>
      <c r="CU127" s="61" t="s">
        <v>1968</v>
      </c>
      <c r="CV127" s="61">
        <v>20</v>
      </c>
      <c r="CW127" s="61">
        <v>0</v>
      </c>
      <c r="CX127" s="61">
        <v>0</v>
      </c>
      <c r="CY127" s="61">
        <v>0</v>
      </c>
      <c r="CZ127" s="61">
        <v>0</v>
      </c>
      <c r="DA127" s="61">
        <v>20</v>
      </c>
      <c r="EN127" s="267" t="s">
        <v>1637</v>
      </c>
      <c r="EO127" s="267" t="s">
        <v>2840</v>
      </c>
      <c r="EP127" s="267">
        <v>43</v>
      </c>
      <c r="EQ127" s="267">
        <v>124</v>
      </c>
      <c r="ER127" s="267">
        <v>168</v>
      </c>
      <c r="ES127" s="267">
        <v>275</v>
      </c>
      <c r="ET127" s="267">
        <v>348</v>
      </c>
      <c r="EU127" s="267">
        <v>958</v>
      </c>
      <c r="EV127" s="267"/>
      <c r="EW127" s="267" t="s">
        <v>2840</v>
      </c>
      <c r="EX127" s="267">
        <v>6</v>
      </c>
      <c r="EY127" s="267">
        <v>5</v>
      </c>
      <c r="EZ127" s="267">
        <v>0</v>
      </c>
      <c r="FA127" s="267">
        <v>0</v>
      </c>
      <c r="FB127" s="267">
        <v>2</v>
      </c>
      <c r="FC127" s="267">
        <v>13</v>
      </c>
      <c r="FD127" s="16">
        <v>10</v>
      </c>
      <c r="FF127" s="80" t="s">
        <v>1885</v>
      </c>
      <c r="FG127" s="80" t="s">
        <v>1968</v>
      </c>
      <c r="FH127" s="80">
        <v>319</v>
      </c>
      <c r="FI127" s="80">
        <v>301</v>
      </c>
      <c r="FJ127" s="80">
        <v>359</v>
      </c>
      <c r="FK127" s="80">
        <v>374</v>
      </c>
      <c r="FL127" s="80">
        <v>469</v>
      </c>
      <c r="FM127" s="80">
        <v>1822</v>
      </c>
      <c r="FN127" s="80"/>
      <c r="FO127" s="80" t="s">
        <v>1968</v>
      </c>
      <c r="FP127" s="80">
        <v>36</v>
      </c>
      <c r="FQ127" s="80">
        <v>5</v>
      </c>
      <c r="FR127" s="80">
        <v>6</v>
      </c>
      <c r="FS127" s="80">
        <v>6</v>
      </c>
      <c r="FT127" s="80">
        <v>3</v>
      </c>
      <c r="FU127" s="80">
        <v>56</v>
      </c>
    </row>
    <row r="128" spans="2:177" x14ac:dyDescent="0.3">
      <c r="B128" s="71" t="s">
        <v>121</v>
      </c>
      <c r="C128" s="71" t="s">
        <v>1968</v>
      </c>
      <c r="D128" s="71">
        <v>32</v>
      </c>
      <c r="E128" s="71">
        <v>6</v>
      </c>
      <c r="F128" s="71">
        <v>3</v>
      </c>
      <c r="G128" s="71">
        <v>1</v>
      </c>
      <c r="H128" s="71">
        <v>1</v>
      </c>
      <c r="I128" s="71">
        <v>43</v>
      </c>
      <c r="K128" s="71" t="s">
        <v>1968</v>
      </c>
      <c r="L128" s="71">
        <v>397</v>
      </c>
      <c r="M128" s="71">
        <v>454</v>
      </c>
      <c r="N128" s="71">
        <v>569</v>
      </c>
      <c r="O128" s="71">
        <v>640</v>
      </c>
      <c r="P128" s="71">
        <v>478</v>
      </c>
      <c r="Q128" s="71">
        <v>2538</v>
      </c>
      <c r="AK128" s="73" t="s">
        <v>608</v>
      </c>
      <c r="AL128" s="73" t="s">
        <v>1968</v>
      </c>
      <c r="AM128" s="73">
        <v>1043</v>
      </c>
      <c r="AN128" s="73">
        <v>459</v>
      </c>
      <c r="AO128" s="73">
        <v>480</v>
      </c>
      <c r="AP128" s="73">
        <v>568</v>
      </c>
      <c r="AQ128" s="73">
        <v>346</v>
      </c>
      <c r="AR128" s="73">
        <v>2896</v>
      </c>
      <c r="AS128" s="73"/>
      <c r="AT128" s="73" t="s">
        <v>1968</v>
      </c>
      <c r="AU128" s="73">
        <v>64</v>
      </c>
      <c r="AV128" s="73">
        <v>1</v>
      </c>
      <c r="AW128" s="73">
        <v>0</v>
      </c>
      <c r="AX128" s="73">
        <v>0</v>
      </c>
      <c r="AY128" s="73">
        <v>0</v>
      </c>
      <c r="AZ128" s="73">
        <v>65</v>
      </c>
      <c r="BB128" s="78" t="s">
        <v>758</v>
      </c>
      <c r="BC128" s="78" t="s">
        <v>1968</v>
      </c>
      <c r="BD128" s="78">
        <v>245</v>
      </c>
      <c r="BE128" s="78">
        <v>244</v>
      </c>
      <c r="BF128" s="78">
        <v>500</v>
      </c>
      <c r="BG128" s="78">
        <v>695</v>
      </c>
      <c r="BH128" s="78">
        <v>615</v>
      </c>
      <c r="BI128" s="78">
        <v>2299</v>
      </c>
      <c r="BJ128" s="78"/>
      <c r="BK128" s="78" t="s">
        <v>1968</v>
      </c>
      <c r="BL128" s="78">
        <v>16</v>
      </c>
      <c r="BM128" s="78">
        <v>0</v>
      </c>
      <c r="BN128" s="78">
        <v>0</v>
      </c>
      <c r="BO128" s="78">
        <v>0</v>
      </c>
      <c r="BP128" s="78">
        <v>0</v>
      </c>
      <c r="BQ128" s="78">
        <v>16</v>
      </c>
      <c r="CL128" s="61" t="s">
        <v>1225</v>
      </c>
      <c r="CM128" s="61" t="s">
        <v>1968</v>
      </c>
      <c r="CN128" s="61">
        <v>33</v>
      </c>
      <c r="CO128" s="61">
        <v>26</v>
      </c>
      <c r="CP128" s="61">
        <v>90</v>
      </c>
      <c r="CQ128" s="61">
        <v>116</v>
      </c>
      <c r="CR128" s="61">
        <v>130</v>
      </c>
      <c r="CS128" s="61">
        <v>395</v>
      </c>
      <c r="CT128" s="61"/>
      <c r="CU128" s="61" t="s">
        <v>1968</v>
      </c>
      <c r="CV128" s="61">
        <v>12</v>
      </c>
      <c r="CW128" s="61">
        <v>0</v>
      </c>
      <c r="CX128" s="61">
        <v>0</v>
      </c>
      <c r="CY128" s="61">
        <v>0</v>
      </c>
      <c r="CZ128" s="61">
        <v>0</v>
      </c>
      <c r="DA128" s="61">
        <v>12</v>
      </c>
      <c r="EN128" s="267" t="s">
        <v>1641</v>
      </c>
      <c r="EO128" s="267" t="s">
        <v>2840</v>
      </c>
      <c r="EP128" s="267">
        <v>38</v>
      </c>
      <c r="EQ128" s="267">
        <v>65</v>
      </c>
      <c r="ER128" s="267">
        <v>146</v>
      </c>
      <c r="ES128" s="267">
        <v>207</v>
      </c>
      <c r="ET128" s="267">
        <v>262</v>
      </c>
      <c r="EU128" s="267">
        <v>718</v>
      </c>
      <c r="EV128" s="267"/>
      <c r="EW128" s="267" t="s">
        <v>2840</v>
      </c>
      <c r="EX128" s="267">
        <v>3</v>
      </c>
      <c r="EY128" s="267">
        <v>0</v>
      </c>
      <c r="EZ128" s="267">
        <v>2</v>
      </c>
      <c r="FA128" s="267">
        <v>0</v>
      </c>
      <c r="FB128" s="267">
        <v>0</v>
      </c>
      <c r="FC128" s="267">
        <v>5</v>
      </c>
      <c r="FD128" s="16">
        <v>10</v>
      </c>
      <c r="FF128" s="80" t="s">
        <v>1890</v>
      </c>
      <c r="FG128" s="80" t="s">
        <v>1968</v>
      </c>
      <c r="FH128" s="80">
        <v>285</v>
      </c>
      <c r="FI128" s="80">
        <v>364</v>
      </c>
      <c r="FJ128" s="80">
        <v>460</v>
      </c>
      <c r="FK128" s="80">
        <v>458</v>
      </c>
      <c r="FL128" s="80">
        <v>574</v>
      </c>
      <c r="FM128" s="80">
        <v>2141</v>
      </c>
      <c r="FN128" s="80"/>
      <c r="FO128" s="80" t="s">
        <v>1968</v>
      </c>
      <c r="FP128" s="80">
        <v>21</v>
      </c>
      <c r="FQ128" s="80">
        <v>8</v>
      </c>
      <c r="FR128" s="80">
        <v>5</v>
      </c>
      <c r="FS128" s="80">
        <v>4</v>
      </c>
      <c r="FT128" s="80">
        <v>7</v>
      </c>
      <c r="FU128" s="80">
        <v>45</v>
      </c>
    </row>
    <row r="129" spans="1:179" x14ac:dyDescent="0.3">
      <c r="B129" s="71" t="s">
        <v>126</v>
      </c>
      <c r="C129" s="71" t="s">
        <v>1968</v>
      </c>
      <c r="D129" s="71">
        <v>20</v>
      </c>
      <c r="E129" s="71">
        <v>1</v>
      </c>
      <c r="F129" s="71">
        <v>0</v>
      </c>
      <c r="G129" s="71">
        <v>0</v>
      </c>
      <c r="H129" s="71">
        <v>0</v>
      </c>
      <c r="I129" s="71">
        <v>21</v>
      </c>
      <c r="K129" s="71" t="s">
        <v>1968</v>
      </c>
      <c r="L129" s="71">
        <v>162</v>
      </c>
      <c r="M129" s="71">
        <v>218</v>
      </c>
      <c r="N129" s="71">
        <v>305</v>
      </c>
      <c r="O129" s="71">
        <v>382</v>
      </c>
      <c r="P129" s="71">
        <v>263</v>
      </c>
      <c r="Q129" s="71">
        <v>1330</v>
      </c>
      <c r="AK129" s="73" t="s">
        <v>614</v>
      </c>
      <c r="AL129" s="73" t="s">
        <v>1968</v>
      </c>
      <c r="AM129" s="73">
        <v>227</v>
      </c>
      <c r="AN129" s="73">
        <v>278</v>
      </c>
      <c r="AO129" s="73">
        <v>451</v>
      </c>
      <c r="AP129" s="73">
        <v>549</v>
      </c>
      <c r="AQ129" s="73">
        <v>475</v>
      </c>
      <c r="AR129" s="73">
        <v>1980</v>
      </c>
      <c r="AS129" s="73"/>
      <c r="AT129" s="73" t="s">
        <v>1968</v>
      </c>
      <c r="AU129" s="73">
        <v>34</v>
      </c>
      <c r="AV129" s="73">
        <v>3</v>
      </c>
      <c r="AW129" s="73">
        <v>4</v>
      </c>
      <c r="AX129" s="73">
        <v>0</v>
      </c>
      <c r="AY129" s="73">
        <v>0</v>
      </c>
      <c r="AZ129" s="73">
        <v>41</v>
      </c>
      <c r="BB129" s="78" t="s">
        <v>762</v>
      </c>
      <c r="BC129" s="78" t="s">
        <v>1968</v>
      </c>
      <c r="BD129" s="78">
        <v>117</v>
      </c>
      <c r="BE129" s="78">
        <v>160</v>
      </c>
      <c r="BF129" s="78">
        <v>306</v>
      </c>
      <c r="BG129" s="78">
        <v>458</v>
      </c>
      <c r="BH129" s="78">
        <v>375</v>
      </c>
      <c r="BI129" s="78">
        <v>1416</v>
      </c>
      <c r="BJ129" s="78"/>
      <c r="BK129" s="78" t="s">
        <v>1968</v>
      </c>
      <c r="BL129" s="78">
        <v>21</v>
      </c>
      <c r="BM129" s="78">
        <v>0</v>
      </c>
      <c r="BN129" s="78">
        <v>0</v>
      </c>
      <c r="BO129" s="78">
        <v>0</v>
      </c>
      <c r="BP129" s="78">
        <v>0</v>
      </c>
      <c r="BQ129" s="78">
        <v>21</v>
      </c>
      <c r="CL129" s="61" t="s">
        <v>1229</v>
      </c>
      <c r="CM129" s="61" t="s">
        <v>1968</v>
      </c>
      <c r="CN129" s="61">
        <v>68</v>
      </c>
      <c r="CO129" s="61">
        <v>73</v>
      </c>
      <c r="CP129" s="61">
        <v>144</v>
      </c>
      <c r="CQ129" s="61">
        <v>184</v>
      </c>
      <c r="CR129" s="61">
        <v>180</v>
      </c>
      <c r="CS129" s="61">
        <v>649</v>
      </c>
      <c r="CT129" s="61"/>
      <c r="CU129" s="61" t="s">
        <v>1968</v>
      </c>
      <c r="CV129" s="61">
        <v>16</v>
      </c>
      <c r="CW129" s="61">
        <v>0</v>
      </c>
      <c r="CX129" s="61">
        <v>0</v>
      </c>
      <c r="CY129" s="61">
        <v>0</v>
      </c>
      <c r="CZ129" s="61">
        <v>0</v>
      </c>
      <c r="DA129" s="61">
        <v>16</v>
      </c>
      <c r="EN129" s="267" t="s">
        <v>1645</v>
      </c>
      <c r="EO129" s="267" t="s">
        <v>2840</v>
      </c>
      <c r="EP129" s="267">
        <v>115</v>
      </c>
      <c r="EQ129" s="267">
        <v>314</v>
      </c>
      <c r="ER129" s="267">
        <v>384</v>
      </c>
      <c r="ES129" s="267">
        <v>520</v>
      </c>
      <c r="ET129" s="267">
        <v>639</v>
      </c>
      <c r="EU129" s="267">
        <v>1972</v>
      </c>
      <c r="EV129" s="267"/>
      <c r="EW129" s="267" t="s">
        <v>2840</v>
      </c>
      <c r="EX129" s="267">
        <v>20</v>
      </c>
      <c r="EY129" s="267">
        <v>7</v>
      </c>
      <c r="EZ129" s="267">
        <v>2</v>
      </c>
      <c r="FA129" s="267">
        <v>3</v>
      </c>
      <c r="FB129" s="267">
        <v>2</v>
      </c>
      <c r="FC129" s="267">
        <v>34</v>
      </c>
      <c r="FD129" s="16">
        <v>30</v>
      </c>
      <c r="FF129" s="80" t="s">
        <v>1895</v>
      </c>
      <c r="FG129" s="80" t="s">
        <v>1968</v>
      </c>
      <c r="FH129" s="80">
        <v>101</v>
      </c>
      <c r="FI129" s="80">
        <v>164</v>
      </c>
      <c r="FJ129" s="80">
        <v>206</v>
      </c>
      <c r="FK129" s="80">
        <v>213</v>
      </c>
      <c r="FL129" s="80">
        <v>338</v>
      </c>
      <c r="FM129" s="80">
        <v>1022</v>
      </c>
      <c r="FN129" s="80"/>
      <c r="FO129" s="80" t="s">
        <v>1968</v>
      </c>
      <c r="FP129" s="80">
        <v>17</v>
      </c>
      <c r="FQ129" s="80">
        <v>2</v>
      </c>
      <c r="FR129" s="80">
        <v>3</v>
      </c>
      <c r="FS129" s="80">
        <v>0</v>
      </c>
      <c r="FT129" s="80">
        <v>3</v>
      </c>
      <c r="FU129" s="80">
        <v>25</v>
      </c>
    </row>
    <row r="130" spans="1:179" x14ac:dyDescent="0.3">
      <c r="A130" s="21" t="s">
        <v>2858</v>
      </c>
      <c r="B130" s="205" t="s">
        <v>145</v>
      </c>
      <c r="C130" s="71" t="s">
        <v>1968</v>
      </c>
      <c r="D130" s="71">
        <v>28</v>
      </c>
      <c r="E130" s="71">
        <v>1</v>
      </c>
      <c r="F130" s="71">
        <v>2</v>
      </c>
      <c r="G130" s="71">
        <v>4</v>
      </c>
      <c r="H130" s="71">
        <v>2</v>
      </c>
      <c r="I130" s="71">
        <v>37</v>
      </c>
      <c r="K130" s="71" t="s">
        <v>1968</v>
      </c>
      <c r="L130" s="71">
        <v>172</v>
      </c>
      <c r="M130" s="71">
        <v>296</v>
      </c>
      <c r="N130" s="71">
        <v>440</v>
      </c>
      <c r="O130" s="71">
        <v>581</v>
      </c>
      <c r="P130" s="71">
        <v>453</v>
      </c>
      <c r="Q130" s="71">
        <v>1942</v>
      </c>
      <c r="AK130" s="73" t="s">
        <v>619</v>
      </c>
      <c r="AL130" s="73" t="s">
        <v>1968</v>
      </c>
      <c r="AM130" s="73">
        <v>619</v>
      </c>
      <c r="AN130" s="73">
        <v>952</v>
      </c>
      <c r="AO130" s="73">
        <v>1398</v>
      </c>
      <c r="AP130" s="73">
        <v>1531</v>
      </c>
      <c r="AQ130" s="73">
        <v>881</v>
      </c>
      <c r="AR130" s="73">
        <v>5381</v>
      </c>
      <c r="AS130" s="73"/>
      <c r="AT130" s="73" t="s">
        <v>1968</v>
      </c>
      <c r="AU130" s="73">
        <v>42</v>
      </c>
      <c r="AV130" s="73">
        <v>5</v>
      </c>
      <c r="AW130" s="73">
        <v>0</v>
      </c>
      <c r="AX130" s="73">
        <v>0</v>
      </c>
      <c r="AY130" s="73">
        <v>2</v>
      </c>
      <c r="AZ130" s="73">
        <v>49</v>
      </c>
      <c r="BB130" s="78" t="s">
        <v>767</v>
      </c>
      <c r="BC130" s="78" t="s">
        <v>1968</v>
      </c>
      <c r="BD130" s="78">
        <v>268</v>
      </c>
      <c r="BE130" s="78">
        <v>222</v>
      </c>
      <c r="BF130" s="78">
        <v>268</v>
      </c>
      <c r="BG130" s="78">
        <v>303</v>
      </c>
      <c r="BH130" s="78">
        <v>289</v>
      </c>
      <c r="BI130" s="78">
        <v>1350</v>
      </c>
      <c r="BJ130" s="78"/>
      <c r="BK130" s="78" t="s">
        <v>1968</v>
      </c>
      <c r="BL130" s="78">
        <v>48</v>
      </c>
      <c r="BM130" s="78">
        <v>5</v>
      </c>
      <c r="BN130" s="78">
        <v>0</v>
      </c>
      <c r="BO130" s="78">
        <v>0</v>
      </c>
      <c r="BP130" s="78">
        <v>0</v>
      </c>
      <c r="BQ130" s="78">
        <v>53</v>
      </c>
      <c r="CL130" s="61" t="s">
        <v>1233</v>
      </c>
      <c r="CM130" s="61" t="s">
        <v>1968</v>
      </c>
      <c r="CN130" s="61">
        <v>48</v>
      </c>
      <c r="CO130" s="61">
        <v>78</v>
      </c>
      <c r="CP130" s="61">
        <v>114</v>
      </c>
      <c r="CQ130" s="61">
        <v>161</v>
      </c>
      <c r="CR130" s="61">
        <v>161</v>
      </c>
      <c r="CS130" s="61">
        <v>562</v>
      </c>
      <c r="CT130" s="61"/>
      <c r="CU130" s="61" t="s">
        <v>1968</v>
      </c>
      <c r="CV130" s="61">
        <v>2</v>
      </c>
      <c r="CW130" s="61">
        <v>0</v>
      </c>
      <c r="CX130" s="61">
        <v>0</v>
      </c>
      <c r="CY130" s="61">
        <v>0</v>
      </c>
      <c r="CZ130" s="61">
        <v>0</v>
      </c>
      <c r="DA130" s="61">
        <v>2</v>
      </c>
      <c r="EN130" s="267" t="s">
        <v>1649</v>
      </c>
      <c r="EO130" s="267" t="s">
        <v>2840</v>
      </c>
      <c r="EP130" s="267">
        <v>482</v>
      </c>
      <c r="EQ130" s="267">
        <v>617</v>
      </c>
      <c r="ER130" s="267">
        <v>740</v>
      </c>
      <c r="ES130" s="267">
        <v>889</v>
      </c>
      <c r="ET130" s="267">
        <v>954</v>
      </c>
      <c r="EU130" s="267">
        <v>3682</v>
      </c>
      <c r="EV130" s="267"/>
      <c r="EW130" s="267" t="s">
        <v>2840</v>
      </c>
      <c r="EX130" s="267">
        <v>44</v>
      </c>
      <c r="EY130" s="267">
        <v>8</v>
      </c>
      <c r="EZ130" s="267">
        <v>9</v>
      </c>
      <c r="FA130" s="267">
        <v>7</v>
      </c>
      <c r="FB130" s="267">
        <v>7</v>
      </c>
      <c r="FC130" s="267">
        <v>75</v>
      </c>
      <c r="FD130" s="16">
        <v>30</v>
      </c>
      <c r="FF130" s="80" t="s">
        <v>1900</v>
      </c>
      <c r="FG130" s="80" t="s">
        <v>1968</v>
      </c>
      <c r="FH130" s="80">
        <v>349</v>
      </c>
      <c r="FI130" s="80">
        <v>265</v>
      </c>
      <c r="FJ130" s="80">
        <v>334</v>
      </c>
      <c r="FK130" s="80">
        <v>424</v>
      </c>
      <c r="FL130" s="80">
        <v>569</v>
      </c>
      <c r="FM130" s="80">
        <v>1941</v>
      </c>
      <c r="FN130" s="80"/>
      <c r="FO130" s="80" t="s">
        <v>1968</v>
      </c>
      <c r="FP130" s="80">
        <v>19</v>
      </c>
      <c r="FQ130" s="80">
        <v>6</v>
      </c>
      <c r="FR130" s="80">
        <v>6</v>
      </c>
      <c r="FS130" s="80">
        <v>2</v>
      </c>
      <c r="FT130" s="80">
        <v>4</v>
      </c>
      <c r="FU130" s="80">
        <v>37</v>
      </c>
    </row>
    <row r="131" spans="1:179" x14ac:dyDescent="0.3">
      <c r="B131" s="71" t="s">
        <v>135</v>
      </c>
      <c r="C131" s="71" t="s">
        <v>1968</v>
      </c>
      <c r="D131" s="71">
        <v>40</v>
      </c>
      <c r="E131" s="71">
        <v>1</v>
      </c>
      <c r="F131" s="71">
        <v>0</v>
      </c>
      <c r="G131" s="71">
        <v>2</v>
      </c>
      <c r="H131" s="71">
        <v>0</v>
      </c>
      <c r="I131" s="71">
        <v>43</v>
      </c>
      <c r="K131" s="71" t="s">
        <v>1968</v>
      </c>
      <c r="L131" s="71">
        <v>700</v>
      </c>
      <c r="M131" s="71">
        <v>685</v>
      </c>
      <c r="N131" s="71">
        <v>1037</v>
      </c>
      <c r="O131" s="71">
        <v>1219</v>
      </c>
      <c r="P131" s="71">
        <v>935</v>
      </c>
      <c r="Q131" s="71">
        <v>4576</v>
      </c>
      <c r="AK131" s="73" t="s">
        <v>623</v>
      </c>
      <c r="AL131" s="73" t="s">
        <v>1968</v>
      </c>
      <c r="AM131" s="73">
        <v>264</v>
      </c>
      <c r="AN131" s="73">
        <v>446</v>
      </c>
      <c r="AO131" s="73">
        <v>777</v>
      </c>
      <c r="AP131" s="73">
        <v>847</v>
      </c>
      <c r="AQ131" s="73">
        <v>590</v>
      </c>
      <c r="AR131" s="73">
        <v>2924</v>
      </c>
      <c r="AS131" s="73"/>
      <c r="AT131" s="73" t="s">
        <v>1968</v>
      </c>
      <c r="AU131" s="73">
        <v>22</v>
      </c>
      <c r="AV131" s="73">
        <v>3</v>
      </c>
      <c r="AW131" s="73">
        <v>1</v>
      </c>
      <c r="AX131" s="73">
        <v>0</v>
      </c>
      <c r="AY131" s="73">
        <v>0</v>
      </c>
      <c r="AZ131" s="73">
        <v>26</v>
      </c>
      <c r="BB131" s="78" t="s">
        <v>771</v>
      </c>
      <c r="BC131" s="78" t="s">
        <v>1968</v>
      </c>
      <c r="BD131" s="78">
        <v>261</v>
      </c>
      <c r="BE131" s="78">
        <v>215</v>
      </c>
      <c r="BF131" s="78">
        <v>299</v>
      </c>
      <c r="BG131" s="78">
        <v>333</v>
      </c>
      <c r="BH131" s="78">
        <v>246</v>
      </c>
      <c r="BI131" s="78">
        <v>1354</v>
      </c>
      <c r="BJ131" s="78"/>
      <c r="BK131" s="78" t="s">
        <v>1968</v>
      </c>
      <c r="BL131" s="78">
        <v>19</v>
      </c>
      <c r="BM131" s="78">
        <v>0</v>
      </c>
      <c r="BN131" s="78">
        <v>0</v>
      </c>
      <c r="BO131" s="78">
        <v>0</v>
      </c>
      <c r="BP131" s="78">
        <v>0</v>
      </c>
      <c r="BQ131" s="78">
        <v>19</v>
      </c>
      <c r="CL131" s="61" t="s">
        <v>1237</v>
      </c>
      <c r="CM131" s="61" t="s">
        <v>1968</v>
      </c>
      <c r="CN131" s="61">
        <v>64</v>
      </c>
      <c r="CO131" s="61">
        <v>36</v>
      </c>
      <c r="CP131" s="61">
        <v>71</v>
      </c>
      <c r="CQ131" s="61">
        <v>93</v>
      </c>
      <c r="CR131" s="61">
        <v>89</v>
      </c>
      <c r="CS131" s="61">
        <v>353</v>
      </c>
      <c r="CT131" s="61"/>
      <c r="CU131" s="61" t="s">
        <v>1968</v>
      </c>
      <c r="CV131" s="61">
        <v>27</v>
      </c>
      <c r="CW131" s="61">
        <v>0</v>
      </c>
      <c r="CX131" s="61">
        <v>0</v>
      </c>
      <c r="CY131" s="61">
        <v>0</v>
      </c>
      <c r="CZ131" s="61">
        <v>0</v>
      </c>
      <c r="DA131" s="61">
        <v>27</v>
      </c>
      <c r="EN131" s="267" t="s">
        <v>1653</v>
      </c>
      <c r="EO131" s="267" t="s">
        <v>2840</v>
      </c>
      <c r="EP131" s="267">
        <v>308</v>
      </c>
      <c r="EQ131" s="267">
        <v>373</v>
      </c>
      <c r="ER131" s="267">
        <v>394</v>
      </c>
      <c r="ES131" s="267">
        <v>481</v>
      </c>
      <c r="ET131" s="267">
        <v>505</v>
      </c>
      <c r="EU131" s="267">
        <v>2061</v>
      </c>
      <c r="EV131" s="267"/>
      <c r="EW131" s="267" t="s">
        <v>2840</v>
      </c>
      <c r="EX131" s="267">
        <v>21</v>
      </c>
      <c r="EY131" s="267">
        <v>10</v>
      </c>
      <c r="EZ131" s="267">
        <v>2</v>
      </c>
      <c r="FA131" s="267">
        <v>2</v>
      </c>
      <c r="FB131" s="267">
        <v>5</v>
      </c>
      <c r="FC131" s="267">
        <v>40</v>
      </c>
      <c r="FD131" s="16">
        <v>30</v>
      </c>
      <c r="FF131" s="80" t="s">
        <v>1905</v>
      </c>
      <c r="FG131" s="80" t="s">
        <v>1968</v>
      </c>
      <c r="FH131" s="80">
        <v>145</v>
      </c>
      <c r="FI131" s="80">
        <v>207</v>
      </c>
      <c r="FJ131" s="80">
        <v>235</v>
      </c>
      <c r="FK131" s="80">
        <v>308</v>
      </c>
      <c r="FL131" s="80">
        <v>405</v>
      </c>
      <c r="FM131" s="80">
        <v>1300</v>
      </c>
      <c r="FN131" s="80"/>
      <c r="FO131" s="80" t="s">
        <v>1968</v>
      </c>
      <c r="FP131" s="80">
        <v>18</v>
      </c>
      <c r="FQ131" s="80">
        <v>6</v>
      </c>
      <c r="FR131" s="80">
        <v>2</v>
      </c>
      <c r="FS131" s="80">
        <v>2</v>
      </c>
      <c r="FT131" s="80">
        <v>1</v>
      </c>
      <c r="FU131" s="80">
        <v>29</v>
      </c>
    </row>
    <row r="132" spans="1:179" x14ac:dyDescent="0.3">
      <c r="B132" s="71" t="s">
        <v>140</v>
      </c>
      <c r="C132" s="71" t="s">
        <v>1968</v>
      </c>
      <c r="D132" s="71">
        <v>58</v>
      </c>
      <c r="E132" s="71">
        <v>7</v>
      </c>
      <c r="F132" s="71">
        <v>0</v>
      </c>
      <c r="G132" s="71">
        <v>0</v>
      </c>
      <c r="H132" s="71">
        <v>0</v>
      </c>
      <c r="I132" s="71">
        <v>65</v>
      </c>
      <c r="K132" s="71" t="s">
        <v>1968</v>
      </c>
      <c r="L132" s="71">
        <v>258</v>
      </c>
      <c r="M132" s="71">
        <v>328</v>
      </c>
      <c r="N132" s="71">
        <v>479</v>
      </c>
      <c r="O132" s="71">
        <v>617</v>
      </c>
      <c r="P132" s="71">
        <v>480</v>
      </c>
      <c r="Q132" s="71">
        <v>2162</v>
      </c>
      <c r="AK132" s="73" t="s">
        <v>627</v>
      </c>
      <c r="AL132" s="73" t="s">
        <v>1968</v>
      </c>
      <c r="AM132" s="73">
        <v>197</v>
      </c>
      <c r="AN132" s="73">
        <v>324</v>
      </c>
      <c r="AO132" s="73">
        <v>554</v>
      </c>
      <c r="AP132" s="73">
        <v>853</v>
      </c>
      <c r="AQ132" s="73">
        <v>640</v>
      </c>
      <c r="AR132" s="73">
        <v>2568</v>
      </c>
      <c r="AS132" s="73"/>
      <c r="AT132" s="73" t="s">
        <v>1968</v>
      </c>
      <c r="AU132" s="73">
        <v>20</v>
      </c>
      <c r="AV132" s="73">
        <v>3</v>
      </c>
      <c r="AW132" s="73">
        <v>0</v>
      </c>
      <c r="AX132" s="73">
        <v>2</v>
      </c>
      <c r="AY132" s="73">
        <v>1</v>
      </c>
      <c r="AZ132" s="73">
        <v>26</v>
      </c>
      <c r="BB132" s="78" t="s">
        <v>776</v>
      </c>
      <c r="BC132" s="78" t="s">
        <v>1968</v>
      </c>
      <c r="BD132" s="78">
        <v>342</v>
      </c>
      <c r="BE132" s="78">
        <v>253</v>
      </c>
      <c r="BF132" s="78">
        <v>419</v>
      </c>
      <c r="BG132" s="78">
        <v>531</v>
      </c>
      <c r="BH132" s="78">
        <v>461</v>
      </c>
      <c r="BI132" s="78">
        <v>2006</v>
      </c>
      <c r="BJ132" s="78"/>
      <c r="BK132" s="78" t="s">
        <v>1968</v>
      </c>
      <c r="BL132" s="78">
        <v>47</v>
      </c>
      <c r="BM132" s="78">
        <v>0</v>
      </c>
      <c r="BN132" s="78">
        <v>0</v>
      </c>
      <c r="BO132" s="78">
        <v>0</v>
      </c>
      <c r="BP132" s="78">
        <v>0</v>
      </c>
      <c r="BQ132" s="78">
        <v>47</v>
      </c>
      <c r="CL132" s="61" t="s">
        <v>1241</v>
      </c>
      <c r="CM132" s="61" t="s">
        <v>1968</v>
      </c>
      <c r="CN132" s="61">
        <v>39</v>
      </c>
      <c r="CO132" s="61">
        <v>57</v>
      </c>
      <c r="CP132" s="61">
        <v>94</v>
      </c>
      <c r="CQ132" s="61">
        <v>120</v>
      </c>
      <c r="CR132" s="61">
        <v>125</v>
      </c>
      <c r="CS132" s="61">
        <v>435</v>
      </c>
      <c r="CT132" s="61"/>
      <c r="CU132" s="61" t="s">
        <v>1968</v>
      </c>
      <c r="CV132" s="61">
        <v>15</v>
      </c>
      <c r="CW132" s="61">
        <v>0</v>
      </c>
      <c r="CX132" s="61">
        <v>0</v>
      </c>
      <c r="CY132" s="61">
        <v>0</v>
      </c>
      <c r="CZ132" s="61">
        <v>0</v>
      </c>
      <c r="DA132" s="61">
        <v>15</v>
      </c>
      <c r="EN132" s="267" t="s">
        <v>1657</v>
      </c>
      <c r="EO132" s="267" t="s">
        <v>2840</v>
      </c>
      <c r="EP132" s="267">
        <v>70</v>
      </c>
      <c r="EQ132" s="267">
        <v>90</v>
      </c>
      <c r="ER132" s="267">
        <v>122</v>
      </c>
      <c r="ES132" s="267">
        <v>143</v>
      </c>
      <c r="ET132" s="267">
        <v>192</v>
      </c>
      <c r="EU132" s="267">
        <v>617</v>
      </c>
      <c r="EV132" s="267"/>
      <c r="EW132" s="267" t="s">
        <v>2840</v>
      </c>
      <c r="EX132" s="267">
        <v>20</v>
      </c>
      <c r="EY132" s="267">
        <v>2</v>
      </c>
      <c r="EZ132" s="267">
        <v>5</v>
      </c>
      <c r="FA132" s="267">
        <v>1</v>
      </c>
      <c r="FB132" s="267">
        <v>0</v>
      </c>
      <c r="FC132" s="267">
        <v>28</v>
      </c>
      <c r="FD132" s="16">
        <v>30</v>
      </c>
      <c r="FF132" s="80" t="s">
        <v>1910</v>
      </c>
      <c r="FG132" s="80" t="s">
        <v>1968</v>
      </c>
      <c r="FH132" s="80">
        <v>135</v>
      </c>
      <c r="FI132" s="80">
        <v>160</v>
      </c>
      <c r="FJ132" s="80">
        <v>213</v>
      </c>
      <c r="FK132" s="80">
        <v>246</v>
      </c>
      <c r="FL132" s="80">
        <v>357</v>
      </c>
      <c r="FM132" s="80">
        <v>1111</v>
      </c>
      <c r="FN132" s="80"/>
      <c r="FO132" s="80" t="s">
        <v>1968</v>
      </c>
      <c r="FP132" s="80">
        <v>12</v>
      </c>
      <c r="FQ132" s="80">
        <v>2</v>
      </c>
      <c r="FR132" s="80">
        <v>1</v>
      </c>
      <c r="FS132" s="80">
        <v>1</v>
      </c>
      <c r="FT132" s="80">
        <v>3</v>
      </c>
      <c r="FU132" s="80">
        <v>19</v>
      </c>
    </row>
    <row r="133" spans="1:179" x14ac:dyDescent="0.3">
      <c r="B133" s="71" t="s">
        <v>149</v>
      </c>
      <c r="C133" s="71" t="s">
        <v>1968</v>
      </c>
      <c r="D133" s="71">
        <v>18</v>
      </c>
      <c r="E133" s="71">
        <v>2</v>
      </c>
      <c r="F133" s="71">
        <v>0</v>
      </c>
      <c r="G133" s="71">
        <v>0</v>
      </c>
      <c r="H133" s="71">
        <v>0</v>
      </c>
      <c r="I133" s="71">
        <v>20</v>
      </c>
      <c r="K133" s="71" t="s">
        <v>1968</v>
      </c>
      <c r="L133" s="71">
        <v>462</v>
      </c>
      <c r="M133" s="71">
        <v>646</v>
      </c>
      <c r="N133" s="71">
        <v>1034</v>
      </c>
      <c r="O133" s="71">
        <v>1414</v>
      </c>
      <c r="P133" s="71">
        <v>1045</v>
      </c>
      <c r="Q133" s="71">
        <v>4601</v>
      </c>
      <c r="AK133" s="73" t="s">
        <v>630</v>
      </c>
      <c r="AL133" s="73" t="s">
        <v>1968</v>
      </c>
      <c r="AM133" s="73">
        <v>587</v>
      </c>
      <c r="AN133" s="73">
        <v>291</v>
      </c>
      <c r="AO133" s="73">
        <v>404</v>
      </c>
      <c r="AP133" s="73">
        <v>502</v>
      </c>
      <c r="AQ133" s="73">
        <v>548</v>
      </c>
      <c r="AR133" s="73">
        <v>2332</v>
      </c>
      <c r="AS133" s="73"/>
      <c r="AT133" s="73" t="s">
        <v>1968</v>
      </c>
      <c r="AU133" s="73">
        <v>112</v>
      </c>
      <c r="AV133" s="73">
        <v>1</v>
      </c>
      <c r="AW133" s="73">
        <v>0</v>
      </c>
      <c r="AX133" s="73">
        <v>0</v>
      </c>
      <c r="AY133" s="73">
        <v>0</v>
      </c>
      <c r="AZ133" s="73">
        <v>113</v>
      </c>
      <c r="BB133" s="78" t="s">
        <v>781</v>
      </c>
      <c r="BC133" s="78" t="s">
        <v>1968</v>
      </c>
      <c r="BD133" s="78">
        <v>469</v>
      </c>
      <c r="BE133" s="78">
        <v>277</v>
      </c>
      <c r="BF133" s="78">
        <v>456</v>
      </c>
      <c r="BG133" s="78">
        <v>531</v>
      </c>
      <c r="BH133" s="78">
        <v>481</v>
      </c>
      <c r="BI133" s="78">
        <v>2214</v>
      </c>
      <c r="BJ133" s="78"/>
      <c r="BK133" s="78" t="s">
        <v>1968</v>
      </c>
      <c r="BL133" s="78">
        <v>21</v>
      </c>
      <c r="BM133" s="78">
        <v>0</v>
      </c>
      <c r="BN133" s="78">
        <v>0</v>
      </c>
      <c r="BO133" s="78">
        <v>0</v>
      </c>
      <c r="BP133" s="78">
        <v>0</v>
      </c>
      <c r="BQ133" s="78">
        <v>21</v>
      </c>
      <c r="EN133" s="267" t="s">
        <v>1661</v>
      </c>
      <c r="EO133" s="267" t="s">
        <v>2840</v>
      </c>
      <c r="EP133" s="267">
        <v>76</v>
      </c>
      <c r="EQ133" s="267">
        <v>112</v>
      </c>
      <c r="ER133" s="267">
        <v>132</v>
      </c>
      <c r="ES133" s="267">
        <v>163</v>
      </c>
      <c r="ET133" s="267">
        <v>225</v>
      </c>
      <c r="EU133" s="267">
        <v>708</v>
      </c>
      <c r="EV133" s="267"/>
      <c r="EW133" s="267" t="s">
        <v>2840</v>
      </c>
      <c r="EX133" s="267">
        <v>21</v>
      </c>
      <c r="EY133" s="267">
        <v>7</v>
      </c>
      <c r="EZ133" s="267">
        <v>6</v>
      </c>
      <c r="FA133" s="267">
        <v>1</v>
      </c>
      <c r="FB133" s="267">
        <v>3</v>
      </c>
      <c r="FC133" s="267">
        <v>38</v>
      </c>
      <c r="FD133" s="16">
        <v>20</v>
      </c>
      <c r="FF133" s="80" t="s">
        <v>1915</v>
      </c>
      <c r="FG133" s="80" t="s">
        <v>1968</v>
      </c>
      <c r="FH133" s="80">
        <v>96</v>
      </c>
      <c r="FI133" s="80">
        <v>132</v>
      </c>
      <c r="FJ133" s="80">
        <v>177</v>
      </c>
      <c r="FK133" s="80">
        <v>224</v>
      </c>
      <c r="FL133" s="80">
        <v>284</v>
      </c>
      <c r="FM133" s="80">
        <v>913</v>
      </c>
      <c r="FN133" s="80"/>
      <c r="FO133" s="80" t="s">
        <v>1968</v>
      </c>
      <c r="FP133" s="80">
        <v>12</v>
      </c>
      <c r="FQ133" s="80">
        <v>4</v>
      </c>
      <c r="FR133" s="80">
        <v>0</v>
      </c>
      <c r="FS133" s="80">
        <v>3</v>
      </c>
      <c r="FT133" s="80">
        <v>2</v>
      </c>
      <c r="FU133" s="80">
        <v>21</v>
      </c>
    </row>
    <row r="134" spans="1:179" x14ac:dyDescent="0.3">
      <c r="B134" s="71" t="s">
        <v>154</v>
      </c>
      <c r="C134" s="71" t="s">
        <v>1968</v>
      </c>
      <c r="D134" s="71">
        <v>20</v>
      </c>
      <c r="E134" s="71">
        <v>2</v>
      </c>
      <c r="F134" s="71">
        <v>2</v>
      </c>
      <c r="G134" s="71">
        <v>0</v>
      </c>
      <c r="H134" s="71">
        <v>1</v>
      </c>
      <c r="I134" s="71">
        <v>25</v>
      </c>
      <c r="K134" s="71" t="s">
        <v>1968</v>
      </c>
      <c r="L134" s="71">
        <v>314</v>
      </c>
      <c r="M134" s="71">
        <v>456</v>
      </c>
      <c r="N134" s="71">
        <v>892</v>
      </c>
      <c r="O134" s="71">
        <v>1169</v>
      </c>
      <c r="P134" s="71">
        <v>867</v>
      </c>
      <c r="Q134" s="71">
        <v>3698</v>
      </c>
      <c r="AK134" s="73" t="s">
        <v>642</v>
      </c>
      <c r="AL134" s="73" t="s">
        <v>1968</v>
      </c>
      <c r="AM134" s="73">
        <v>518</v>
      </c>
      <c r="AN134" s="73">
        <v>296</v>
      </c>
      <c r="AO134" s="73">
        <v>429</v>
      </c>
      <c r="AP134" s="73">
        <v>608</v>
      </c>
      <c r="AQ134" s="73">
        <v>573</v>
      </c>
      <c r="AR134" s="73">
        <v>2424</v>
      </c>
      <c r="AS134" s="73"/>
      <c r="AT134" s="73" t="s">
        <v>1968</v>
      </c>
      <c r="AU134" s="73">
        <v>139</v>
      </c>
      <c r="AV134" s="73">
        <v>3</v>
      </c>
      <c r="AW134" s="73">
        <v>0</v>
      </c>
      <c r="AX134" s="73">
        <v>0</v>
      </c>
      <c r="AY134" s="73">
        <v>0</v>
      </c>
      <c r="AZ134" s="73">
        <v>142</v>
      </c>
      <c r="BB134" s="78" t="s">
        <v>790</v>
      </c>
      <c r="BC134" s="78" t="s">
        <v>1968</v>
      </c>
      <c r="BD134" s="78">
        <v>187</v>
      </c>
      <c r="BE134" s="78">
        <v>124</v>
      </c>
      <c r="BF134" s="78">
        <v>144</v>
      </c>
      <c r="BG134" s="78">
        <v>197</v>
      </c>
      <c r="BH134" s="78">
        <v>219</v>
      </c>
      <c r="BI134" s="78">
        <v>871</v>
      </c>
      <c r="BJ134" s="78"/>
      <c r="BK134" s="78" t="s">
        <v>1968</v>
      </c>
      <c r="BL134" s="78">
        <v>25</v>
      </c>
      <c r="BM134" s="78">
        <v>0</v>
      </c>
      <c r="BN134" s="78">
        <v>0</v>
      </c>
      <c r="BO134" s="78">
        <v>0</v>
      </c>
      <c r="BP134" s="78">
        <v>0</v>
      </c>
      <c r="BQ134" s="78">
        <v>25</v>
      </c>
      <c r="CL134" s="267" t="s">
        <v>1173</v>
      </c>
      <c r="CM134" s="267" t="s">
        <v>2840</v>
      </c>
      <c r="CN134" s="267">
        <v>133</v>
      </c>
      <c r="CO134" s="267">
        <v>79</v>
      </c>
      <c r="CP134" s="267">
        <v>125</v>
      </c>
      <c r="CQ134" s="267">
        <v>189</v>
      </c>
      <c r="CR134" s="267">
        <v>189</v>
      </c>
      <c r="CS134" s="267">
        <v>715</v>
      </c>
      <c r="CT134" s="267"/>
      <c r="CU134" s="267" t="s">
        <v>2840</v>
      </c>
      <c r="CV134" s="267">
        <v>38</v>
      </c>
      <c r="CW134" s="267">
        <v>0</v>
      </c>
      <c r="CX134" s="267">
        <v>0</v>
      </c>
      <c r="CY134" s="267">
        <v>0</v>
      </c>
      <c r="CZ134" s="267">
        <v>0</v>
      </c>
      <c r="DA134" s="267">
        <v>38</v>
      </c>
      <c r="DB134" s="16">
        <v>54</v>
      </c>
      <c r="EN134" s="267" t="s">
        <v>1665</v>
      </c>
      <c r="EO134" s="267" t="s">
        <v>2840</v>
      </c>
      <c r="EP134" s="267">
        <v>46</v>
      </c>
      <c r="EQ134" s="267">
        <v>103</v>
      </c>
      <c r="ER134" s="267">
        <v>135</v>
      </c>
      <c r="ES134" s="267">
        <v>176</v>
      </c>
      <c r="ET134" s="267">
        <v>221</v>
      </c>
      <c r="EU134" s="267">
        <v>681</v>
      </c>
      <c r="EV134" s="267"/>
      <c r="EW134" s="267" t="s">
        <v>2840</v>
      </c>
      <c r="EX134" s="267">
        <v>13</v>
      </c>
      <c r="EY134" s="267">
        <v>4</v>
      </c>
      <c r="EZ134" s="267">
        <v>1</v>
      </c>
      <c r="FA134" s="267">
        <v>3</v>
      </c>
      <c r="FB134" s="267">
        <v>0</v>
      </c>
      <c r="FC134" s="267">
        <v>21</v>
      </c>
      <c r="FD134" s="16">
        <v>20</v>
      </c>
      <c r="FF134" s="80" t="s">
        <v>1925</v>
      </c>
      <c r="FG134" s="80" t="s">
        <v>1968</v>
      </c>
      <c r="FH134" s="80">
        <v>172</v>
      </c>
      <c r="FI134" s="80">
        <v>285</v>
      </c>
      <c r="FJ134" s="80">
        <v>396</v>
      </c>
      <c r="FK134" s="80">
        <v>461</v>
      </c>
      <c r="FL134" s="80">
        <v>594</v>
      </c>
      <c r="FM134" s="80">
        <v>1908</v>
      </c>
      <c r="FN134" s="80"/>
      <c r="FO134" s="80" t="s">
        <v>1968</v>
      </c>
      <c r="FP134" s="80">
        <v>9</v>
      </c>
      <c r="FQ134" s="80">
        <v>4</v>
      </c>
      <c r="FR134" s="80">
        <v>1</v>
      </c>
      <c r="FS134" s="80">
        <v>1</v>
      </c>
      <c r="FT134" s="80">
        <v>2</v>
      </c>
      <c r="FU134" s="80">
        <v>17</v>
      </c>
    </row>
    <row r="135" spans="1:179" x14ac:dyDescent="0.3">
      <c r="B135" s="71" t="s">
        <v>159</v>
      </c>
      <c r="C135" s="71" t="s">
        <v>1968</v>
      </c>
      <c r="D135" s="71">
        <v>18</v>
      </c>
      <c r="E135" s="71">
        <v>0</v>
      </c>
      <c r="F135" s="71">
        <v>0</v>
      </c>
      <c r="G135" s="71">
        <v>0</v>
      </c>
      <c r="H135" s="71">
        <v>0</v>
      </c>
      <c r="I135" s="71">
        <v>18</v>
      </c>
      <c r="K135" s="71" t="s">
        <v>1968</v>
      </c>
      <c r="L135" s="71">
        <v>359</v>
      </c>
      <c r="M135" s="71">
        <v>526</v>
      </c>
      <c r="N135" s="71">
        <v>1011</v>
      </c>
      <c r="O135" s="71">
        <v>1336</v>
      </c>
      <c r="P135" s="71">
        <v>1102</v>
      </c>
      <c r="Q135" s="71">
        <v>4334</v>
      </c>
      <c r="AK135" s="73" t="s">
        <v>648</v>
      </c>
      <c r="AL135" s="73" t="s">
        <v>1968</v>
      </c>
      <c r="AM135" s="73">
        <v>1154</v>
      </c>
      <c r="AN135" s="73">
        <v>862</v>
      </c>
      <c r="AO135" s="73">
        <v>996</v>
      </c>
      <c r="AP135" s="73">
        <v>1063</v>
      </c>
      <c r="AQ135" s="73">
        <v>789</v>
      </c>
      <c r="AR135" s="73">
        <v>4864</v>
      </c>
      <c r="AS135" s="73"/>
      <c r="AT135" s="73" t="s">
        <v>1968</v>
      </c>
      <c r="AU135" s="73">
        <v>163</v>
      </c>
      <c r="AV135" s="73">
        <v>1</v>
      </c>
      <c r="AW135" s="73">
        <v>1</v>
      </c>
      <c r="AX135" s="73">
        <v>0</v>
      </c>
      <c r="AY135" s="73">
        <v>0</v>
      </c>
      <c r="AZ135" s="73">
        <v>165</v>
      </c>
      <c r="BB135" s="78" t="s">
        <v>795</v>
      </c>
      <c r="BC135" s="78" t="s">
        <v>1968</v>
      </c>
      <c r="BD135" s="78">
        <v>283</v>
      </c>
      <c r="BE135" s="78">
        <v>280</v>
      </c>
      <c r="BF135" s="78">
        <v>482</v>
      </c>
      <c r="BG135" s="78">
        <v>595</v>
      </c>
      <c r="BH135" s="78">
        <v>580</v>
      </c>
      <c r="BI135" s="78">
        <v>2220</v>
      </c>
      <c r="BJ135" s="78"/>
      <c r="BK135" s="78" t="s">
        <v>1968</v>
      </c>
      <c r="BL135" s="78">
        <v>22</v>
      </c>
      <c r="BM135" s="78">
        <v>0</v>
      </c>
      <c r="BN135" s="78">
        <v>0</v>
      </c>
      <c r="BO135" s="78">
        <v>0</v>
      </c>
      <c r="BP135" s="78">
        <v>0</v>
      </c>
      <c r="BQ135" s="78">
        <v>22</v>
      </c>
      <c r="CL135" s="267" t="s">
        <v>1177</v>
      </c>
      <c r="CM135" s="267" t="s">
        <v>2840</v>
      </c>
      <c r="CN135" s="267">
        <v>148</v>
      </c>
      <c r="CO135" s="267">
        <v>61</v>
      </c>
      <c r="CP135" s="267">
        <v>150</v>
      </c>
      <c r="CQ135" s="267">
        <v>213</v>
      </c>
      <c r="CR135" s="267">
        <v>212</v>
      </c>
      <c r="CS135" s="267">
        <v>784</v>
      </c>
      <c r="CT135" s="267"/>
      <c r="CU135" s="267" t="s">
        <v>2840</v>
      </c>
      <c r="CV135" s="267">
        <v>69</v>
      </c>
      <c r="CW135" s="267">
        <v>0</v>
      </c>
      <c r="CX135" s="267">
        <v>0</v>
      </c>
      <c r="CY135" s="267">
        <v>0</v>
      </c>
      <c r="CZ135" s="267">
        <v>0</v>
      </c>
      <c r="DA135" s="267">
        <v>69</v>
      </c>
      <c r="DB135" s="16">
        <v>42</v>
      </c>
      <c r="EN135" s="267" t="s">
        <v>1669</v>
      </c>
      <c r="EO135" s="267" t="s">
        <v>2840</v>
      </c>
      <c r="EP135" s="267">
        <v>95</v>
      </c>
      <c r="EQ135" s="267">
        <v>111</v>
      </c>
      <c r="ER135" s="267">
        <v>167</v>
      </c>
      <c r="ES135" s="267">
        <v>196</v>
      </c>
      <c r="ET135" s="267">
        <v>257</v>
      </c>
      <c r="EU135" s="267">
        <v>826</v>
      </c>
      <c r="EV135" s="267"/>
      <c r="EW135" s="267" t="s">
        <v>2840</v>
      </c>
      <c r="EX135" s="267">
        <v>20</v>
      </c>
      <c r="EY135" s="267">
        <v>5</v>
      </c>
      <c r="EZ135" s="267">
        <v>0</v>
      </c>
      <c r="FA135" s="267">
        <v>0</v>
      </c>
      <c r="FB135" s="267">
        <v>0</v>
      </c>
      <c r="FC135" s="267">
        <v>25</v>
      </c>
      <c r="FD135" s="16">
        <v>35</v>
      </c>
      <c r="FF135" s="80" t="s">
        <v>1929</v>
      </c>
      <c r="FG135" s="80" t="s">
        <v>1968</v>
      </c>
      <c r="FH135" s="80">
        <v>175</v>
      </c>
      <c r="FI135" s="80">
        <v>227</v>
      </c>
      <c r="FJ135" s="80">
        <v>313</v>
      </c>
      <c r="FK135" s="80">
        <v>365</v>
      </c>
      <c r="FL135" s="80">
        <v>501</v>
      </c>
      <c r="FM135" s="80">
        <v>1581</v>
      </c>
      <c r="FN135" s="80"/>
      <c r="FO135" s="80" t="s">
        <v>1968</v>
      </c>
      <c r="FP135" s="80">
        <v>7</v>
      </c>
      <c r="FQ135" s="80">
        <v>1</v>
      </c>
      <c r="FR135" s="80">
        <v>0</v>
      </c>
      <c r="FS135" s="80">
        <v>1</v>
      </c>
      <c r="FT135" s="80">
        <v>0</v>
      </c>
      <c r="FU135" s="80">
        <v>9</v>
      </c>
    </row>
    <row r="136" spans="1:179" s="187" customFormat="1" x14ac:dyDescent="0.3">
      <c r="B136" s="71" t="s">
        <v>2857</v>
      </c>
      <c r="C136" s="71" t="s">
        <v>1968</v>
      </c>
      <c r="D136" s="71">
        <v>45</v>
      </c>
      <c r="E136" s="71">
        <v>0</v>
      </c>
      <c r="F136" s="71">
        <v>0</v>
      </c>
      <c r="G136" s="71">
        <v>0</v>
      </c>
      <c r="H136" s="71">
        <v>0</v>
      </c>
      <c r="I136" s="71">
        <v>45</v>
      </c>
      <c r="J136" s="272"/>
      <c r="K136" s="71" t="s">
        <v>1968</v>
      </c>
      <c r="L136" s="71">
        <v>606</v>
      </c>
      <c r="M136" s="71">
        <v>608</v>
      </c>
      <c r="N136" s="71">
        <v>926</v>
      </c>
      <c r="O136" s="71">
        <v>1161</v>
      </c>
      <c r="P136" s="71">
        <v>896</v>
      </c>
      <c r="Q136" s="71">
        <v>4197</v>
      </c>
      <c r="R136" s="186"/>
      <c r="S136" s="186"/>
      <c r="AK136" s="73"/>
      <c r="AL136" s="73"/>
      <c r="AM136" s="73"/>
      <c r="AN136" s="73"/>
      <c r="AO136" s="73"/>
      <c r="AP136" s="73"/>
      <c r="AQ136" s="73"/>
      <c r="AR136" s="73"/>
      <c r="AS136" s="73"/>
      <c r="AT136" s="73"/>
      <c r="AU136" s="73"/>
      <c r="AV136" s="73"/>
      <c r="AW136" s="73"/>
      <c r="AX136" s="73"/>
      <c r="AY136" s="73"/>
      <c r="AZ136" s="73"/>
      <c r="BB136" s="78"/>
      <c r="BC136" s="78"/>
      <c r="BD136" s="78"/>
      <c r="BE136" s="78"/>
      <c r="BF136" s="78"/>
      <c r="BG136" s="78"/>
      <c r="BH136" s="78"/>
      <c r="BI136" s="78"/>
      <c r="BJ136" s="78"/>
      <c r="BK136" s="78"/>
      <c r="BL136" s="78"/>
      <c r="BM136" s="78"/>
      <c r="BN136" s="78"/>
      <c r="BO136" s="78"/>
      <c r="BP136" s="78"/>
      <c r="BQ136" s="78"/>
      <c r="CJ136" s="257"/>
      <c r="CK136" s="257"/>
      <c r="CL136" s="267" t="s">
        <v>1181</v>
      </c>
      <c r="CM136" s="267" t="s">
        <v>2840</v>
      </c>
      <c r="CN136" s="267">
        <v>31</v>
      </c>
      <c r="CO136" s="267">
        <v>39</v>
      </c>
      <c r="CP136" s="267">
        <v>68</v>
      </c>
      <c r="CQ136" s="267">
        <v>128</v>
      </c>
      <c r="CR136" s="267">
        <v>148</v>
      </c>
      <c r="CS136" s="267">
        <v>414</v>
      </c>
      <c r="CT136" s="267"/>
      <c r="CU136" s="267" t="s">
        <v>2840</v>
      </c>
      <c r="CV136" s="267">
        <v>7</v>
      </c>
      <c r="CW136" s="267">
        <v>0</v>
      </c>
      <c r="CX136" s="267">
        <v>0</v>
      </c>
      <c r="CY136" s="267">
        <v>0</v>
      </c>
      <c r="CZ136" s="267">
        <v>0</v>
      </c>
      <c r="DA136" s="267">
        <v>7</v>
      </c>
      <c r="DB136" s="187">
        <v>12</v>
      </c>
      <c r="DC136" s="355"/>
      <c r="DU136" s="257"/>
      <c r="EM136" s="257"/>
      <c r="EN136" s="267" t="s">
        <v>1673</v>
      </c>
      <c r="EO136" s="267" t="s">
        <v>2840</v>
      </c>
      <c r="EP136" s="267">
        <v>48</v>
      </c>
      <c r="EQ136" s="267">
        <v>106</v>
      </c>
      <c r="ER136" s="267">
        <v>116</v>
      </c>
      <c r="ES136" s="267">
        <v>161</v>
      </c>
      <c r="ET136" s="267">
        <v>204</v>
      </c>
      <c r="EU136" s="267">
        <v>635</v>
      </c>
      <c r="EV136" s="267"/>
      <c r="EW136" s="267" t="s">
        <v>2840</v>
      </c>
      <c r="EX136" s="267">
        <v>9</v>
      </c>
      <c r="EY136" s="267">
        <v>3</v>
      </c>
      <c r="EZ136" s="267">
        <v>2</v>
      </c>
      <c r="FA136" s="267">
        <v>0</v>
      </c>
      <c r="FB136" s="267">
        <v>0</v>
      </c>
      <c r="FC136" s="267">
        <v>14</v>
      </c>
      <c r="FD136" s="187">
        <v>15</v>
      </c>
      <c r="FE136" s="257"/>
      <c r="FF136" s="80"/>
      <c r="FG136" s="80"/>
      <c r="FH136" s="80"/>
      <c r="FI136" s="80"/>
      <c r="FJ136" s="80"/>
      <c r="FK136" s="80"/>
      <c r="FL136" s="80"/>
      <c r="FM136" s="80"/>
      <c r="FN136" s="80"/>
      <c r="FO136" s="80"/>
      <c r="FP136" s="80"/>
      <c r="FQ136" s="80"/>
      <c r="FR136" s="80"/>
      <c r="FS136" s="80"/>
      <c r="FT136" s="80"/>
      <c r="FU136" s="80"/>
      <c r="FW136" s="259"/>
    </row>
    <row r="137" spans="1:179" x14ac:dyDescent="0.3">
      <c r="B137" s="71" t="s">
        <v>177</v>
      </c>
      <c r="C137" s="71" t="s">
        <v>1968</v>
      </c>
      <c r="D137" s="71" t="s">
        <v>1970</v>
      </c>
      <c r="E137" s="71" t="s">
        <v>1970</v>
      </c>
      <c r="F137" s="71" t="s">
        <v>1970</v>
      </c>
      <c r="G137" s="71" t="s">
        <v>1970</v>
      </c>
      <c r="H137" s="71" t="s">
        <v>1970</v>
      </c>
      <c r="I137" s="71" t="s">
        <v>1970</v>
      </c>
      <c r="K137" s="71" t="s">
        <v>1968</v>
      </c>
      <c r="L137" s="71" t="s">
        <v>1970</v>
      </c>
      <c r="M137" s="71" t="s">
        <v>1970</v>
      </c>
      <c r="N137" s="71" t="s">
        <v>1970</v>
      </c>
      <c r="O137" s="71" t="s">
        <v>1970</v>
      </c>
      <c r="P137" s="71" t="s">
        <v>1970</v>
      </c>
      <c r="Q137" s="71" t="s">
        <v>1970</v>
      </c>
      <c r="AK137" s="73" t="s">
        <v>654</v>
      </c>
      <c r="AL137" s="73" t="s">
        <v>1968</v>
      </c>
      <c r="AM137" s="73">
        <v>264</v>
      </c>
      <c r="AN137" s="73">
        <v>231</v>
      </c>
      <c r="AO137" s="73">
        <v>378</v>
      </c>
      <c r="AP137" s="73">
        <v>466</v>
      </c>
      <c r="AQ137" s="73">
        <v>471</v>
      </c>
      <c r="AR137" s="73">
        <v>1810</v>
      </c>
      <c r="AS137" s="73"/>
      <c r="AT137" s="73" t="s">
        <v>1968</v>
      </c>
      <c r="AU137" s="73">
        <v>46</v>
      </c>
      <c r="AV137" s="73">
        <v>5</v>
      </c>
      <c r="AW137" s="73">
        <v>0</v>
      </c>
      <c r="AX137" s="73">
        <v>0</v>
      </c>
      <c r="AY137" s="73">
        <v>0</v>
      </c>
      <c r="AZ137" s="73">
        <v>51</v>
      </c>
      <c r="BB137" s="78" t="s">
        <v>800</v>
      </c>
      <c r="BC137" s="78" t="s">
        <v>1968</v>
      </c>
      <c r="BD137" s="78">
        <v>135</v>
      </c>
      <c r="BE137" s="78">
        <v>119</v>
      </c>
      <c r="BF137" s="78">
        <v>155</v>
      </c>
      <c r="BG137" s="78">
        <v>206</v>
      </c>
      <c r="BH137" s="78">
        <v>250</v>
      </c>
      <c r="BI137" s="78">
        <v>865</v>
      </c>
      <c r="BJ137" s="78"/>
      <c r="BK137" s="78" t="s">
        <v>1968</v>
      </c>
      <c r="BL137" s="78">
        <v>19</v>
      </c>
      <c r="BM137" s="78">
        <v>0</v>
      </c>
      <c r="BN137" s="78">
        <v>0</v>
      </c>
      <c r="BO137" s="78">
        <v>0</v>
      </c>
      <c r="BP137" s="78">
        <v>0</v>
      </c>
      <c r="BQ137" s="78">
        <v>19</v>
      </c>
      <c r="CL137" s="267" t="s">
        <v>1186</v>
      </c>
      <c r="CM137" s="267" t="s">
        <v>2840</v>
      </c>
      <c r="CN137" s="267">
        <v>66</v>
      </c>
      <c r="CO137" s="267">
        <v>69</v>
      </c>
      <c r="CP137" s="267">
        <v>129</v>
      </c>
      <c r="CQ137" s="267">
        <v>188</v>
      </c>
      <c r="CR137" s="267">
        <v>191</v>
      </c>
      <c r="CS137" s="267">
        <v>643</v>
      </c>
      <c r="CT137" s="267"/>
      <c r="CU137" s="267" t="s">
        <v>2840</v>
      </c>
      <c r="CV137" s="267">
        <v>24</v>
      </c>
      <c r="CW137" s="267">
        <v>0</v>
      </c>
      <c r="CX137" s="267">
        <v>0</v>
      </c>
      <c r="CY137" s="267">
        <v>0</v>
      </c>
      <c r="CZ137" s="267">
        <v>0</v>
      </c>
      <c r="DA137" s="267">
        <v>24</v>
      </c>
      <c r="DB137" s="16">
        <v>17</v>
      </c>
      <c r="EN137" s="267" t="s">
        <v>1677</v>
      </c>
      <c r="EO137" s="267" t="s">
        <v>2840</v>
      </c>
      <c r="EP137" s="267">
        <v>709</v>
      </c>
      <c r="EQ137" s="267">
        <v>653</v>
      </c>
      <c r="ER137" s="267">
        <v>531</v>
      </c>
      <c r="ES137" s="267">
        <v>551</v>
      </c>
      <c r="ET137" s="267">
        <v>636</v>
      </c>
      <c r="EU137" s="267">
        <v>3080</v>
      </c>
      <c r="EV137" s="267"/>
      <c r="EW137" s="267" t="s">
        <v>2840</v>
      </c>
      <c r="EX137" s="267">
        <v>80</v>
      </c>
      <c r="EY137" s="267">
        <v>9</v>
      </c>
      <c r="EZ137" s="267">
        <v>3</v>
      </c>
      <c r="FA137" s="267">
        <v>1</v>
      </c>
      <c r="FB137" s="267">
        <v>0</v>
      </c>
      <c r="FC137" s="267">
        <v>93</v>
      </c>
      <c r="FD137" s="16">
        <v>40</v>
      </c>
      <c r="FF137" s="80" t="s">
        <v>1933</v>
      </c>
      <c r="FG137" s="80" t="s">
        <v>1968</v>
      </c>
      <c r="FH137" s="80" t="s">
        <v>1970</v>
      </c>
      <c r="FI137" s="80" t="s">
        <v>1970</v>
      </c>
      <c r="FJ137" s="80" t="s">
        <v>1970</v>
      </c>
      <c r="FK137" s="80" t="s">
        <v>1970</v>
      </c>
      <c r="FL137" s="80" t="s">
        <v>1970</v>
      </c>
      <c r="FM137" s="80" t="s">
        <v>1970</v>
      </c>
      <c r="FN137" s="80"/>
      <c r="FO137" s="80" t="s">
        <v>1968</v>
      </c>
      <c r="FP137" s="80" t="s">
        <v>1970</v>
      </c>
      <c r="FQ137" s="80" t="s">
        <v>1970</v>
      </c>
      <c r="FR137" s="80" t="s">
        <v>1970</v>
      </c>
      <c r="FS137" s="80" t="s">
        <v>1970</v>
      </c>
      <c r="FT137" s="80" t="s">
        <v>1970</v>
      </c>
      <c r="FU137" s="80" t="s">
        <v>1970</v>
      </c>
    </row>
    <row r="138" spans="1:179" x14ac:dyDescent="0.3">
      <c r="B138" s="71" t="s">
        <v>182</v>
      </c>
      <c r="C138" s="71" t="s">
        <v>1968</v>
      </c>
      <c r="D138" s="71" t="s">
        <v>1970</v>
      </c>
      <c r="E138" s="71" t="s">
        <v>1970</v>
      </c>
      <c r="F138" s="71" t="s">
        <v>1970</v>
      </c>
      <c r="G138" s="71" t="s">
        <v>1970</v>
      </c>
      <c r="H138" s="71" t="s">
        <v>1970</v>
      </c>
      <c r="I138" s="71" t="s">
        <v>1970</v>
      </c>
      <c r="K138" s="71" t="s">
        <v>1968</v>
      </c>
      <c r="L138" s="71" t="s">
        <v>1970</v>
      </c>
      <c r="M138" s="71" t="s">
        <v>1970</v>
      </c>
      <c r="N138" s="71" t="s">
        <v>1970</v>
      </c>
      <c r="O138" s="71" t="s">
        <v>1970</v>
      </c>
      <c r="P138" s="71" t="s">
        <v>1970</v>
      </c>
      <c r="Q138" s="71" t="s">
        <v>1970</v>
      </c>
      <c r="AK138" s="73" t="s">
        <v>657</v>
      </c>
      <c r="AL138" s="73" t="s">
        <v>1968</v>
      </c>
      <c r="AM138" s="73">
        <v>546</v>
      </c>
      <c r="AN138" s="73">
        <v>493</v>
      </c>
      <c r="AO138" s="73">
        <v>822</v>
      </c>
      <c r="AP138" s="73">
        <v>1202</v>
      </c>
      <c r="AQ138" s="73">
        <v>1027</v>
      </c>
      <c r="AR138" s="73">
        <v>4090</v>
      </c>
      <c r="AS138" s="73"/>
      <c r="AT138" s="73" t="s">
        <v>1968</v>
      </c>
      <c r="AU138" s="73">
        <v>35</v>
      </c>
      <c r="AV138" s="73">
        <v>0</v>
      </c>
      <c r="AW138" s="73">
        <v>0</v>
      </c>
      <c r="AX138" s="73">
        <v>0</v>
      </c>
      <c r="AY138" s="73">
        <v>0</v>
      </c>
      <c r="AZ138" s="73">
        <v>35</v>
      </c>
      <c r="BB138" s="78" t="s">
        <v>805</v>
      </c>
      <c r="BC138" s="78" t="s">
        <v>1968</v>
      </c>
      <c r="BD138" s="78">
        <v>26</v>
      </c>
      <c r="BE138" s="78">
        <v>38</v>
      </c>
      <c r="BF138" s="78">
        <v>73</v>
      </c>
      <c r="BG138" s="78">
        <v>98</v>
      </c>
      <c r="BH138" s="78">
        <v>163</v>
      </c>
      <c r="BI138" s="78">
        <v>398</v>
      </c>
      <c r="BJ138" s="78"/>
      <c r="BK138" s="78" t="s">
        <v>1968</v>
      </c>
      <c r="BL138" s="78">
        <v>0</v>
      </c>
      <c r="BM138" s="78">
        <v>0</v>
      </c>
      <c r="BN138" s="78">
        <v>0</v>
      </c>
      <c r="BO138" s="78">
        <v>0</v>
      </c>
      <c r="BP138" s="78">
        <v>0</v>
      </c>
      <c r="BQ138" s="78">
        <v>0</v>
      </c>
      <c r="CL138" s="267" t="s">
        <v>1190</v>
      </c>
      <c r="CM138" s="267" t="s">
        <v>2840</v>
      </c>
      <c r="CN138" s="267">
        <v>1253</v>
      </c>
      <c r="CO138" s="267">
        <v>531</v>
      </c>
      <c r="CP138" s="267">
        <v>571</v>
      </c>
      <c r="CQ138" s="267">
        <v>648</v>
      </c>
      <c r="CR138" s="267">
        <v>551</v>
      </c>
      <c r="CS138" s="267">
        <v>3554</v>
      </c>
      <c r="CT138" s="267"/>
      <c r="CU138" s="267" t="s">
        <v>2840</v>
      </c>
      <c r="CV138" s="267">
        <v>328</v>
      </c>
      <c r="CW138" s="267">
        <v>0</v>
      </c>
      <c r="CX138" s="267">
        <v>0</v>
      </c>
      <c r="CY138" s="267">
        <v>0</v>
      </c>
      <c r="CZ138" s="267">
        <v>0</v>
      </c>
      <c r="DA138" s="267">
        <v>328</v>
      </c>
      <c r="DB138" s="16">
        <v>289</v>
      </c>
      <c r="EN138" s="267" t="s">
        <v>1681</v>
      </c>
      <c r="EO138" s="267" t="s">
        <v>2840</v>
      </c>
      <c r="EP138" s="267">
        <v>112</v>
      </c>
      <c r="EQ138" s="267">
        <v>182</v>
      </c>
      <c r="ER138" s="267">
        <v>222</v>
      </c>
      <c r="ES138" s="267">
        <v>304</v>
      </c>
      <c r="ET138" s="267">
        <v>346</v>
      </c>
      <c r="EU138" s="267">
        <v>1166</v>
      </c>
      <c r="EV138" s="267"/>
      <c r="EW138" s="267" t="s">
        <v>2840</v>
      </c>
      <c r="EX138" s="267">
        <v>13</v>
      </c>
      <c r="EY138" s="267">
        <v>3</v>
      </c>
      <c r="EZ138" s="267">
        <v>0</v>
      </c>
      <c r="FA138" s="267">
        <v>2</v>
      </c>
      <c r="FB138" s="267">
        <v>4</v>
      </c>
      <c r="FC138" s="267">
        <v>22</v>
      </c>
      <c r="FD138" s="16">
        <v>35</v>
      </c>
      <c r="FF138" s="80" t="s">
        <v>1938</v>
      </c>
      <c r="FG138" s="80" t="s">
        <v>1968</v>
      </c>
      <c r="FH138" s="80" t="s">
        <v>1970</v>
      </c>
      <c r="FI138" s="80" t="s">
        <v>1970</v>
      </c>
      <c r="FJ138" s="80" t="s">
        <v>1970</v>
      </c>
      <c r="FK138" s="80" t="s">
        <v>1970</v>
      </c>
      <c r="FL138" s="80" t="s">
        <v>1970</v>
      </c>
      <c r="FM138" s="80" t="s">
        <v>1970</v>
      </c>
      <c r="FN138" s="80"/>
      <c r="FO138" s="80" t="s">
        <v>1968</v>
      </c>
      <c r="FP138" s="80" t="s">
        <v>1970</v>
      </c>
      <c r="FQ138" s="80" t="s">
        <v>1970</v>
      </c>
      <c r="FR138" s="80" t="s">
        <v>1970</v>
      </c>
      <c r="FS138" s="80" t="s">
        <v>1970</v>
      </c>
      <c r="FT138" s="80" t="s">
        <v>1970</v>
      </c>
      <c r="FU138" s="80" t="s">
        <v>1970</v>
      </c>
    </row>
    <row r="139" spans="1:179" x14ac:dyDescent="0.3">
      <c r="B139" s="71" t="s">
        <v>187</v>
      </c>
      <c r="C139" s="71" t="s">
        <v>1968</v>
      </c>
      <c r="D139" s="71">
        <v>40</v>
      </c>
      <c r="E139" s="71">
        <v>4</v>
      </c>
      <c r="F139" s="71">
        <v>3</v>
      </c>
      <c r="G139" s="71">
        <v>0</v>
      </c>
      <c r="H139" s="71">
        <v>0</v>
      </c>
      <c r="I139" s="71">
        <v>47</v>
      </c>
      <c r="K139" s="71" t="s">
        <v>1968</v>
      </c>
      <c r="L139" s="71">
        <v>224</v>
      </c>
      <c r="M139" s="71">
        <v>346</v>
      </c>
      <c r="N139" s="71">
        <v>448</v>
      </c>
      <c r="O139" s="71">
        <v>497</v>
      </c>
      <c r="P139" s="71">
        <v>332</v>
      </c>
      <c r="Q139" s="71">
        <v>1847</v>
      </c>
      <c r="AK139" s="73" t="s">
        <v>661</v>
      </c>
      <c r="AL139" s="73" t="s">
        <v>1968</v>
      </c>
      <c r="AM139" s="73">
        <v>199</v>
      </c>
      <c r="AN139" s="73">
        <v>334</v>
      </c>
      <c r="AO139" s="73">
        <v>619</v>
      </c>
      <c r="AP139" s="73">
        <v>714</v>
      </c>
      <c r="AQ139" s="73">
        <v>587</v>
      </c>
      <c r="AR139" s="73">
        <v>2453</v>
      </c>
      <c r="AS139" s="73"/>
      <c r="AT139" s="73" t="s">
        <v>1968</v>
      </c>
      <c r="AU139" s="73">
        <v>19</v>
      </c>
      <c r="AV139" s="73">
        <v>5</v>
      </c>
      <c r="AW139" s="73">
        <v>6</v>
      </c>
      <c r="AX139" s="73">
        <v>2</v>
      </c>
      <c r="AY139" s="73">
        <v>2</v>
      </c>
      <c r="AZ139" s="73">
        <v>34</v>
      </c>
      <c r="BB139" s="78" t="s">
        <v>810</v>
      </c>
      <c r="BC139" s="78" t="s">
        <v>1968</v>
      </c>
      <c r="BD139" s="78">
        <v>118</v>
      </c>
      <c r="BE139" s="78">
        <v>157</v>
      </c>
      <c r="BF139" s="78">
        <v>285</v>
      </c>
      <c r="BG139" s="78">
        <v>449</v>
      </c>
      <c r="BH139" s="78">
        <v>527</v>
      </c>
      <c r="BI139" s="78">
        <v>1536</v>
      </c>
      <c r="BJ139" s="78"/>
      <c r="BK139" s="78" t="s">
        <v>1968</v>
      </c>
      <c r="BL139" s="78">
        <v>19</v>
      </c>
      <c r="BM139" s="78">
        <v>1</v>
      </c>
      <c r="BN139" s="78">
        <v>1</v>
      </c>
      <c r="BO139" s="78">
        <v>0</v>
      </c>
      <c r="BP139" s="78">
        <v>0</v>
      </c>
      <c r="BQ139" s="78">
        <v>21</v>
      </c>
      <c r="CL139" s="267" t="s">
        <v>1191</v>
      </c>
      <c r="CM139" s="267" t="s">
        <v>2840</v>
      </c>
      <c r="CN139" s="267">
        <v>215</v>
      </c>
      <c r="CO139" s="267">
        <v>139</v>
      </c>
      <c r="CP139" s="267">
        <v>231</v>
      </c>
      <c r="CQ139" s="267">
        <v>267</v>
      </c>
      <c r="CR139" s="267">
        <v>217</v>
      </c>
      <c r="CS139" s="267">
        <v>1069</v>
      </c>
      <c r="CT139" s="267"/>
      <c r="CU139" s="267" t="s">
        <v>2840</v>
      </c>
      <c r="CV139" s="267">
        <v>27</v>
      </c>
      <c r="CW139" s="267">
        <v>0</v>
      </c>
      <c r="CX139" s="267">
        <v>0</v>
      </c>
      <c r="CY139" s="267">
        <v>0</v>
      </c>
      <c r="CZ139" s="267">
        <v>0</v>
      </c>
      <c r="DA139" s="267">
        <v>27</v>
      </c>
      <c r="DB139" s="16">
        <v>17</v>
      </c>
      <c r="EN139" s="267" t="s">
        <v>1685</v>
      </c>
      <c r="EO139" s="267" t="s">
        <v>2840</v>
      </c>
      <c r="EP139" s="267">
        <v>77</v>
      </c>
      <c r="EQ139" s="267">
        <v>142</v>
      </c>
      <c r="ER139" s="267">
        <v>205</v>
      </c>
      <c r="ES139" s="267">
        <v>254</v>
      </c>
      <c r="ET139" s="267">
        <v>287</v>
      </c>
      <c r="EU139" s="267">
        <v>965</v>
      </c>
      <c r="EV139" s="267"/>
      <c r="EW139" s="267" t="s">
        <v>2840</v>
      </c>
      <c r="EX139" s="267">
        <v>4</v>
      </c>
      <c r="EY139" s="267">
        <v>1</v>
      </c>
      <c r="EZ139" s="267">
        <v>0</v>
      </c>
      <c r="FA139" s="267">
        <v>0</v>
      </c>
      <c r="FB139" s="267">
        <v>2</v>
      </c>
      <c r="FC139" s="267">
        <v>7</v>
      </c>
      <c r="FD139" s="16">
        <v>30</v>
      </c>
    </row>
    <row r="140" spans="1:179" x14ac:dyDescent="0.3">
      <c r="B140" s="71" t="s">
        <v>192</v>
      </c>
      <c r="C140" s="71" t="s">
        <v>1968</v>
      </c>
      <c r="D140" s="71">
        <v>81</v>
      </c>
      <c r="E140" s="71">
        <v>0</v>
      </c>
      <c r="F140" s="71">
        <v>0</v>
      </c>
      <c r="G140" s="71">
        <v>0</v>
      </c>
      <c r="H140" s="71">
        <v>0</v>
      </c>
      <c r="I140" s="71">
        <v>81</v>
      </c>
      <c r="K140" s="71" t="s">
        <v>1968</v>
      </c>
      <c r="L140" s="71">
        <v>627</v>
      </c>
      <c r="M140" s="71">
        <v>559</v>
      </c>
      <c r="N140" s="71">
        <v>509</v>
      </c>
      <c r="O140" s="71">
        <v>509</v>
      </c>
      <c r="P140" s="71">
        <v>350</v>
      </c>
      <c r="Q140" s="71">
        <v>2554</v>
      </c>
      <c r="AK140" s="73" t="s">
        <v>665</v>
      </c>
      <c r="AL140" s="73" t="s">
        <v>1968</v>
      </c>
      <c r="AM140" s="73">
        <v>456</v>
      </c>
      <c r="AN140" s="73">
        <v>591</v>
      </c>
      <c r="AO140" s="73">
        <v>835</v>
      </c>
      <c r="AP140" s="73">
        <v>836</v>
      </c>
      <c r="AQ140" s="73">
        <v>532</v>
      </c>
      <c r="AR140" s="73">
        <v>3250</v>
      </c>
      <c r="AS140" s="73"/>
      <c r="AT140" s="73" t="s">
        <v>1968</v>
      </c>
      <c r="AU140" s="73">
        <v>21</v>
      </c>
      <c r="AV140" s="73">
        <v>2</v>
      </c>
      <c r="AW140" s="73">
        <v>5</v>
      </c>
      <c r="AX140" s="73">
        <v>2</v>
      </c>
      <c r="AY140" s="73">
        <v>0</v>
      </c>
      <c r="AZ140" s="73">
        <v>30</v>
      </c>
      <c r="BB140" s="78" t="s">
        <v>814</v>
      </c>
      <c r="BC140" s="78" t="s">
        <v>1968</v>
      </c>
      <c r="BD140" s="78">
        <v>318</v>
      </c>
      <c r="BE140" s="78">
        <v>217</v>
      </c>
      <c r="BF140" s="78">
        <v>335</v>
      </c>
      <c r="BG140" s="78">
        <v>386</v>
      </c>
      <c r="BH140" s="78">
        <v>329</v>
      </c>
      <c r="BI140" s="78">
        <v>1585</v>
      </c>
      <c r="BJ140" s="78"/>
      <c r="BK140" s="78" t="s">
        <v>1968</v>
      </c>
      <c r="BL140" s="78">
        <v>14</v>
      </c>
      <c r="BM140" s="78">
        <v>0</v>
      </c>
      <c r="BN140" s="78">
        <v>0</v>
      </c>
      <c r="BO140" s="78">
        <v>0</v>
      </c>
      <c r="BP140" s="78">
        <v>0</v>
      </c>
      <c r="BQ140" s="78">
        <v>14</v>
      </c>
      <c r="CL140" s="267" t="s">
        <v>1195</v>
      </c>
      <c r="CM140" s="267" t="s">
        <v>2840</v>
      </c>
      <c r="CN140" s="267">
        <v>31</v>
      </c>
      <c r="CO140" s="267">
        <v>32</v>
      </c>
      <c r="CP140" s="267">
        <v>44</v>
      </c>
      <c r="CQ140" s="267">
        <v>87</v>
      </c>
      <c r="CR140" s="267">
        <v>79</v>
      </c>
      <c r="CS140" s="267">
        <v>273</v>
      </c>
      <c r="CT140" s="267"/>
      <c r="CU140" s="267" t="s">
        <v>2840</v>
      </c>
      <c r="CV140" s="267">
        <v>20</v>
      </c>
      <c r="CW140" s="267">
        <v>0</v>
      </c>
      <c r="CX140" s="267">
        <v>0</v>
      </c>
      <c r="CY140" s="267">
        <v>0</v>
      </c>
      <c r="CZ140" s="267">
        <v>0</v>
      </c>
      <c r="DA140" s="267">
        <v>20</v>
      </c>
      <c r="DB140" s="16">
        <v>20</v>
      </c>
      <c r="EN140" s="267" t="s">
        <v>1689</v>
      </c>
      <c r="EO140" s="267" t="s">
        <v>2840</v>
      </c>
      <c r="EP140" s="267">
        <v>133</v>
      </c>
      <c r="EQ140" s="267">
        <v>195</v>
      </c>
      <c r="ER140" s="267">
        <v>274</v>
      </c>
      <c r="ES140" s="267">
        <v>383</v>
      </c>
      <c r="ET140" s="267">
        <v>408</v>
      </c>
      <c r="EU140" s="267">
        <v>1393</v>
      </c>
      <c r="EV140" s="267"/>
      <c r="EW140" s="267" t="s">
        <v>2840</v>
      </c>
      <c r="EX140" s="267">
        <v>15</v>
      </c>
      <c r="EY140" s="267">
        <v>4</v>
      </c>
      <c r="EZ140" s="267">
        <v>5</v>
      </c>
      <c r="FA140" s="267">
        <v>1</v>
      </c>
      <c r="FB140" s="267">
        <v>0</v>
      </c>
      <c r="FC140" s="267">
        <v>25</v>
      </c>
      <c r="FD140" s="16">
        <v>30</v>
      </c>
      <c r="FF140" s="275" t="s">
        <v>1714</v>
      </c>
      <c r="FG140" s="275" t="s">
        <v>2840</v>
      </c>
      <c r="FH140" s="275">
        <v>2412</v>
      </c>
      <c r="FI140" s="275">
        <v>1193</v>
      </c>
      <c r="FJ140" s="275">
        <v>782</v>
      </c>
      <c r="FK140" s="275">
        <v>733</v>
      </c>
      <c r="FL140" s="275">
        <v>866</v>
      </c>
      <c r="FM140" s="275">
        <v>5986</v>
      </c>
      <c r="FN140" s="275"/>
      <c r="FO140" s="275" t="s">
        <v>2840</v>
      </c>
      <c r="FP140" s="275">
        <v>477</v>
      </c>
      <c r="FQ140" s="275">
        <v>50</v>
      </c>
      <c r="FR140" s="275">
        <v>3</v>
      </c>
      <c r="FS140" s="275">
        <v>0</v>
      </c>
      <c r="FT140" s="275">
        <v>0</v>
      </c>
      <c r="FU140" s="275">
        <v>530</v>
      </c>
      <c r="FV140" s="16">
        <v>520</v>
      </c>
    </row>
    <row r="141" spans="1:179" x14ac:dyDescent="0.3">
      <c r="B141" s="71" t="s">
        <v>198</v>
      </c>
      <c r="C141" s="71" t="s">
        <v>1968</v>
      </c>
      <c r="D141" s="71">
        <v>90</v>
      </c>
      <c r="E141" s="71">
        <v>5</v>
      </c>
      <c r="F141" s="71">
        <v>4</v>
      </c>
      <c r="G141" s="71">
        <v>0</v>
      </c>
      <c r="H141" s="71">
        <v>0</v>
      </c>
      <c r="I141" s="71">
        <v>99</v>
      </c>
      <c r="K141" s="71" t="s">
        <v>1968</v>
      </c>
      <c r="L141" s="71">
        <v>579</v>
      </c>
      <c r="M141" s="71">
        <v>501</v>
      </c>
      <c r="N141" s="71">
        <v>531</v>
      </c>
      <c r="O141" s="71">
        <v>584</v>
      </c>
      <c r="P141" s="71">
        <v>355</v>
      </c>
      <c r="Q141" s="71">
        <v>2550</v>
      </c>
      <c r="AK141" s="73" t="s">
        <v>669</v>
      </c>
      <c r="AL141" s="73" t="s">
        <v>1968</v>
      </c>
      <c r="AM141" s="73">
        <v>282</v>
      </c>
      <c r="AN141" s="73">
        <v>431</v>
      </c>
      <c r="AO141" s="73">
        <v>677</v>
      </c>
      <c r="AP141" s="73">
        <v>791</v>
      </c>
      <c r="AQ141" s="73">
        <v>501</v>
      </c>
      <c r="AR141" s="73">
        <v>2682</v>
      </c>
      <c r="AS141" s="73"/>
      <c r="AT141" s="73" t="s">
        <v>1968</v>
      </c>
      <c r="AU141" s="73">
        <v>38</v>
      </c>
      <c r="AV141" s="73">
        <v>2</v>
      </c>
      <c r="AW141" s="73">
        <v>1</v>
      </c>
      <c r="AX141" s="73">
        <v>0</v>
      </c>
      <c r="AY141" s="73">
        <v>0</v>
      </c>
      <c r="AZ141" s="73">
        <v>41</v>
      </c>
      <c r="BB141" s="78" t="s">
        <v>819</v>
      </c>
      <c r="BC141" s="78" t="s">
        <v>1968</v>
      </c>
      <c r="BD141" s="78">
        <v>1062</v>
      </c>
      <c r="BE141" s="78">
        <v>498</v>
      </c>
      <c r="BF141" s="78">
        <v>774</v>
      </c>
      <c r="BG141" s="78">
        <v>902</v>
      </c>
      <c r="BH141" s="78">
        <v>774</v>
      </c>
      <c r="BI141" s="78">
        <v>4010</v>
      </c>
      <c r="BJ141" s="78"/>
      <c r="BK141" s="78" t="s">
        <v>1968</v>
      </c>
      <c r="BL141" s="78">
        <v>220</v>
      </c>
      <c r="BM141" s="78">
        <v>0</v>
      </c>
      <c r="BN141" s="78">
        <v>0</v>
      </c>
      <c r="BO141" s="78">
        <v>0</v>
      </c>
      <c r="BP141" s="78">
        <v>0</v>
      </c>
      <c r="BQ141" s="78">
        <v>220</v>
      </c>
      <c r="CL141" s="267" t="s">
        <v>1199</v>
      </c>
      <c r="CM141" s="267" t="s">
        <v>2840</v>
      </c>
      <c r="CN141" s="267">
        <v>123</v>
      </c>
      <c r="CO141" s="267">
        <v>90</v>
      </c>
      <c r="CP141" s="267">
        <v>183</v>
      </c>
      <c r="CQ141" s="267">
        <v>239</v>
      </c>
      <c r="CR141" s="267">
        <v>212</v>
      </c>
      <c r="CS141" s="267">
        <v>847</v>
      </c>
      <c r="CT141" s="267"/>
      <c r="CU141" s="267" t="s">
        <v>2840</v>
      </c>
      <c r="CV141" s="267">
        <v>19</v>
      </c>
      <c r="CW141" s="267">
        <v>0</v>
      </c>
      <c r="CX141" s="267">
        <v>0</v>
      </c>
      <c r="CY141" s="267">
        <v>0</v>
      </c>
      <c r="CZ141" s="267">
        <v>0</v>
      </c>
      <c r="DA141" s="267">
        <v>19</v>
      </c>
      <c r="DB141" s="16">
        <v>17</v>
      </c>
      <c r="EN141" s="267" t="s">
        <v>1693</v>
      </c>
      <c r="EO141" s="267" t="s">
        <v>2840</v>
      </c>
      <c r="EP141" s="267">
        <v>33</v>
      </c>
      <c r="EQ141" s="267">
        <v>63</v>
      </c>
      <c r="ER141" s="267">
        <v>96</v>
      </c>
      <c r="ES141" s="267">
        <v>130</v>
      </c>
      <c r="ET141" s="267">
        <v>205</v>
      </c>
      <c r="EU141" s="267">
        <v>527</v>
      </c>
      <c r="EV141" s="267"/>
      <c r="EW141" s="267" t="s">
        <v>2840</v>
      </c>
      <c r="EX141" s="267">
        <v>4</v>
      </c>
      <c r="EY141" s="267">
        <v>0</v>
      </c>
      <c r="EZ141" s="267">
        <v>0</v>
      </c>
      <c r="FA141" s="267">
        <v>0</v>
      </c>
      <c r="FB141" s="267">
        <v>0</v>
      </c>
      <c r="FC141" s="267">
        <v>4</v>
      </c>
      <c r="FD141" s="16">
        <v>30</v>
      </c>
      <c r="FF141" s="275" t="s">
        <v>1718</v>
      </c>
      <c r="FG141" s="275" t="s">
        <v>2840</v>
      </c>
      <c r="FH141" s="275">
        <v>163</v>
      </c>
      <c r="FI141" s="275">
        <v>187</v>
      </c>
      <c r="FJ141" s="275">
        <v>242</v>
      </c>
      <c r="FK141" s="275">
        <v>348</v>
      </c>
      <c r="FL141" s="275">
        <v>429</v>
      </c>
      <c r="FM141" s="275">
        <v>1369</v>
      </c>
      <c r="FN141" s="275"/>
      <c r="FO141" s="275" t="s">
        <v>2840</v>
      </c>
      <c r="FP141" s="275">
        <v>11</v>
      </c>
      <c r="FQ141" s="275">
        <v>1</v>
      </c>
      <c r="FR141" s="275">
        <v>2</v>
      </c>
      <c r="FS141" s="275">
        <v>3</v>
      </c>
      <c r="FT141" s="275">
        <v>2</v>
      </c>
      <c r="FU141" s="275">
        <v>19</v>
      </c>
      <c r="FV141" s="16">
        <v>30</v>
      </c>
    </row>
    <row r="142" spans="1:179" x14ac:dyDescent="0.3">
      <c r="B142" s="71" t="s">
        <v>204</v>
      </c>
      <c r="C142" s="71" t="s">
        <v>1968</v>
      </c>
      <c r="D142" s="71">
        <v>33</v>
      </c>
      <c r="E142" s="71">
        <v>2</v>
      </c>
      <c r="F142" s="71">
        <v>0</v>
      </c>
      <c r="G142" s="71">
        <v>0</v>
      </c>
      <c r="H142" s="71">
        <v>0</v>
      </c>
      <c r="I142" s="71">
        <v>35</v>
      </c>
      <c r="K142" s="71" t="s">
        <v>1968</v>
      </c>
      <c r="L142" s="71">
        <v>214</v>
      </c>
      <c r="M142" s="71">
        <v>224</v>
      </c>
      <c r="N142" s="71">
        <v>291</v>
      </c>
      <c r="O142" s="71">
        <v>360</v>
      </c>
      <c r="P142" s="71">
        <v>248</v>
      </c>
      <c r="Q142" s="71">
        <v>1337</v>
      </c>
      <c r="AK142" s="73" t="s">
        <v>672</v>
      </c>
      <c r="AL142" s="73" t="s">
        <v>1968</v>
      </c>
      <c r="AM142" s="73">
        <v>616</v>
      </c>
      <c r="AN142" s="73">
        <v>628</v>
      </c>
      <c r="AO142" s="73">
        <v>733</v>
      </c>
      <c r="AP142" s="73">
        <v>821</v>
      </c>
      <c r="AQ142" s="73">
        <v>523</v>
      </c>
      <c r="AR142" s="73">
        <v>3321</v>
      </c>
      <c r="AS142" s="73"/>
      <c r="AT142" s="73" t="s">
        <v>1968</v>
      </c>
      <c r="AU142" s="73">
        <v>56</v>
      </c>
      <c r="AV142" s="73">
        <v>2</v>
      </c>
      <c r="AW142" s="73">
        <v>0</v>
      </c>
      <c r="AX142" s="73">
        <v>0</v>
      </c>
      <c r="AY142" s="73">
        <v>0</v>
      </c>
      <c r="AZ142" s="73">
        <v>58</v>
      </c>
      <c r="BB142" s="78" t="s">
        <v>824</v>
      </c>
      <c r="BC142" s="78" t="s">
        <v>1968</v>
      </c>
      <c r="BD142" s="78">
        <v>39</v>
      </c>
      <c r="BE142" s="78">
        <v>52</v>
      </c>
      <c r="BF142" s="78">
        <v>90</v>
      </c>
      <c r="BG142" s="78">
        <v>133</v>
      </c>
      <c r="BH142" s="78">
        <v>196</v>
      </c>
      <c r="BI142" s="78">
        <v>510</v>
      </c>
      <c r="BJ142" s="78"/>
      <c r="BK142" s="78" t="s">
        <v>1968</v>
      </c>
      <c r="BL142" s="78">
        <v>10</v>
      </c>
      <c r="BM142" s="78">
        <v>0</v>
      </c>
      <c r="BN142" s="78">
        <v>0</v>
      </c>
      <c r="BO142" s="78">
        <v>0</v>
      </c>
      <c r="BP142" s="78">
        <v>0</v>
      </c>
      <c r="BQ142" s="78">
        <v>10</v>
      </c>
      <c r="CL142" s="267" t="s">
        <v>1203</v>
      </c>
      <c r="CM142" s="267" t="s">
        <v>2840</v>
      </c>
      <c r="CN142" s="267">
        <v>300</v>
      </c>
      <c r="CO142" s="267">
        <v>462</v>
      </c>
      <c r="CP142" s="267">
        <v>633</v>
      </c>
      <c r="CQ142" s="267">
        <v>889</v>
      </c>
      <c r="CR142" s="267">
        <v>704</v>
      </c>
      <c r="CS142" s="267">
        <v>2988</v>
      </c>
      <c r="CT142" s="267"/>
      <c r="CU142" s="267" t="s">
        <v>2840</v>
      </c>
      <c r="CV142" s="267">
        <v>18</v>
      </c>
      <c r="CW142" s="267">
        <v>0</v>
      </c>
      <c r="CX142" s="267">
        <v>0</v>
      </c>
      <c r="CY142" s="267">
        <v>0</v>
      </c>
      <c r="CZ142" s="267">
        <v>0</v>
      </c>
      <c r="DA142" s="267">
        <v>18</v>
      </c>
      <c r="DB142" s="16">
        <v>18</v>
      </c>
      <c r="EN142" s="267" t="s">
        <v>1697</v>
      </c>
      <c r="EO142" s="267" t="s">
        <v>2840</v>
      </c>
      <c r="EP142" s="267">
        <v>51</v>
      </c>
      <c r="EQ142" s="267">
        <v>103</v>
      </c>
      <c r="ER142" s="267">
        <v>167</v>
      </c>
      <c r="ES142" s="267">
        <v>241</v>
      </c>
      <c r="ET142" s="267">
        <v>288</v>
      </c>
      <c r="EU142" s="267">
        <v>850</v>
      </c>
      <c r="EV142" s="267"/>
      <c r="EW142" s="267" t="s">
        <v>2840</v>
      </c>
      <c r="EX142" s="267">
        <v>11</v>
      </c>
      <c r="EY142" s="267">
        <v>3</v>
      </c>
      <c r="EZ142" s="267">
        <v>3</v>
      </c>
      <c r="FA142" s="267">
        <v>1</v>
      </c>
      <c r="FB142" s="267">
        <v>0</v>
      </c>
      <c r="FC142" s="267">
        <v>18</v>
      </c>
      <c r="FD142" s="16">
        <v>30</v>
      </c>
      <c r="FF142" s="275" t="s">
        <v>1722</v>
      </c>
      <c r="FG142" s="275" t="s">
        <v>2840</v>
      </c>
      <c r="FH142" s="275">
        <v>396</v>
      </c>
      <c r="FI142" s="275">
        <v>423</v>
      </c>
      <c r="FJ142" s="275">
        <v>437</v>
      </c>
      <c r="FK142" s="275">
        <v>426</v>
      </c>
      <c r="FL142" s="275">
        <v>423</v>
      </c>
      <c r="FM142" s="275">
        <v>2105</v>
      </c>
      <c r="FN142" s="275"/>
      <c r="FO142" s="275" t="s">
        <v>2840</v>
      </c>
      <c r="FP142" s="275">
        <v>70</v>
      </c>
      <c r="FQ142" s="275">
        <v>0</v>
      </c>
      <c r="FR142" s="275">
        <v>0</v>
      </c>
      <c r="FS142" s="275">
        <v>0</v>
      </c>
      <c r="FT142" s="275">
        <v>0</v>
      </c>
      <c r="FU142" s="275">
        <v>70</v>
      </c>
      <c r="FV142" s="16">
        <v>50</v>
      </c>
    </row>
    <row r="143" spans="1:179" x14ac:dyDescent="0.3">
      <c r="B143" s="71" t="s">
        <v>208</v>
      </c>
      <c r="C143" s="71" t="s">
        <v>1968</v>
      </c>
      <c r="D143" s="71">
        <v>63</v>
      </c>
      <c r="E143" s="71">
        <v>1</v>
      </c>
      <c r="F143" s="71">
        <v>1</v>
      </c>
      <c r="G143" s="71">
        <v>0</v>
      </c>
      <c r="H143" s="71">
        <v>1</v>
      </c>
      <c r="I143" s="71">
        <v>66</v>
      </c>
      <c r="K143" s="71" t="s">
        <v>1968</v>
      </c>
      <c r="L143" s="71">
        <v>466</v>
      </c>
      <c r="M143" s="71">
        <v>370</v>
      </c>
      <c r="N143" s="71">
        <v>408</v>
      </c>
      <c r="O143" s="71">
        <v>469</v>
      </c>
      <c r="P143" s="71">
        <v>348</v>
      </c>
      <c r="Q143" s="71">
        <v>2061</v>
      </c>
      <c r="AK143" s="73" t="s">
        <v>676</v>
      </c>
      <c r="AL143" s="73" t="s">
        <v>1968</v>
      </c>
      <c r="AM143" s="73">
        <v>407</v>
      </c>
      <c r="AN143" s="73">
        <v>483</v>
      </c>
      <c r="AO143" s="73">
        <v>642</v>
      </c>
      <c r="AP143" s="73">
        <v>831</v>
      </c>
      <c r="AQ143" s="73">
        <v>496</v>
      </c>
      <c r="AR143" s="73">
        <v>2859</v>
      </c>
      <c r="AS143" s="73"/>
      <c r="AT143" s="73" t="s">
        <v>1968</v>
      </c>
      <c r="AU143" s="73">
        <v>45</v>
      </c>
      <c r="AV143" s="73">
        <v>4</v>
      </c>
      <c r="AW143" s="73">
        <v>0</v>
      </c>
      <c r="AX143" s="73">
        <v>1</v>
      </c>
      <c r="AY143" s="73">
        <v>1</v>
      </c>
      <c r="AZ143" s="73">
        <v>51</v>
      </c>
      <c r="BB143" s="78" t="s">
        <v>828</v>
      </c>
      <c r="BC143" s="78" t="s">
        <v>1968</v>
      </c>
      <c r="BD143" s="78">
        <v>665</v>
      </c>
      <c r="BE143" s="78">
        <v>553</v>
      </c>
      <c r="BF143" s="78">
        <v>752</v>
      </c>
      <c r="BG143" s="78">
        <v>1051</v>
      </c>
      <c r="BH143" s="78">
        <v>942</v>
      </c>
      <c r="BI143" s="78">
        <v>3963</v>
      </c>
      <c r="BJ143" s="78"/>
      <c r="BK143" s="78" t="s">
        <v>1968</v>
      </c>
      <c r="BL143" s="78">
        <v>42</v>
      </c>
      <c r="BM143" s="78">
        <v>0</v>
      </c>
      <c r="BN143" s="78">
        <v>0</v>
      </c>
      <c r="BO143" s="78">
        <v>0</v>
      </c>
      <c r="BP143" s="78">
        <v>0</v>
      </c>
      <c r="BQ143" s="78">
        <v>42</v>
      </c>
      <c r="CL143" s="267" t="s">
        <v>1207</v>
      </c>
      <c r="CM143" s="267" t="s">
        <v>2840</v>
      </c>
      <c r="CN143" s="267">
        <v>246</v>
      </c>
      <c r="CO143" s="267">
        <v>110</v>
      </c>
      <c r="CP143" s="267">
        <v>157</v>
      </c>
      <c r="CQ143" s="267">
        <v>188</v>
      </c>
      <c r="CR143" s="267">
        <v>269</v>
      </c>
      <c r="CS143" s="267">
        <v>970</v>
      </c>
      <c r="CT143" s="267"/>
      <c r="CU143" s="267" t="s">
        <v>2840</v>
      </c>
      <c r="CV143" s="267">
        <v>57</v>
      </c>
      <c r="CW143" s="267">
        <v>0</v>
      </c>
      <c r="CX143" s="267">
        <v>0</v>
      </c>
      <c r="CY143" s="267">
        <v>0</v>
      </c>
      <c r="CZ143" s="267">
        <v>0</v>
      </c>
      <c r="DA143" s="267">
        <v>57</v>
      </c>
      <c r="DB143" s="16">
        <v>90</v>
      </c>
      <c r="EN143" s="267" t="s">
        <v>1701</v>
      </c>
      <c r="EO143" s="267" t="s">
        <v>2840</v>
      </c>
      <c r="EP143" s="267">
        <v>129</v>
      </c>
      <c r="EQ143" s="267">
        <v>212</v>
      </c>
      <c r="ER143" s="267">
        <v>305</v>
      </c>
      <c r="ES143" s="267">
        <v>329</v>
      </c>
      <c r="ET143" s="267">
        <v>449</v>
      </c>
      <c r="EU143" s="267">
        <v>1424</v>
      </c>
      <c r="EV143" s="267"/>
      <c r="EW143" s="267" t="s">
        <v>2840</v>
      </c>
      <c r="EX143" s="267">
        <v>20</v>
      </c>
      <c r="EY143" s="267">
        <v>4</v>
      </c>
      <c r="EZ143" s="267">
        <v>2</v>
      </c>
      <c r="FA143" s="267">
        <v>0</v>
      </c>
      <c r="FB143" s="267">
        <v>1</v>
      </c>
      <c r="FC143" s="267">
        <v>27</v>
      </c>
      <c r="FD143" s="16">
        <v>35</v>
      </c>
      <c r="FF143" s="275" t="s">
        <v>1726</v>
      </c>
      <c r="FG143" s="275" t="s">
        <v>2840</v>
      </c>
      <c r="FH143" s="275">
        <v>108</v>
      </c>
      <c r="FI143" s="275">
        <v>132</v>
      </c>
      <c r="FJ143" s="275">
        <v>192</v>
      </c>
      <c r="FK143" s="275">
        <v>256</v>
      </c>
      <c r="FL143" s="275">
        <v>326</v>
      </c>
      <c r="FM143" s="275">
        <v>1014</v>
      </c>
      <c r="FN143" s="275"/>
      <c r="FO143" s="275" t="s">
        <v>2840</v>
      </c>
      <c r="FP143" s="275">
        <v>13</v>
      </c>
      <c r="FQ143" s="275">
        <v>2</v>
      </c>
      <c r="FR143" s="275">
        <v>1</v>
      </c>
      <c r="FS143" s="275">
        <v>2</v>
      </c>
      <c r="FT143" s="275">
        <v>0</v>
      </c>
      <c r="FU143" s="275">
        <v>18</v>
      </c>
      <c r="FV143" s="16">
        <v>30</v>
      </c>
    </row>
    <row r="144" spans="1:179" x14ac:dyDescent="0.3">
      <c r="B144" s="71" t="s">
        <v>214</v>
      </c>
      <c r="C144" s="71" t="s">
        <v>1968</v>
      </c>
      <c r="D144" s="71">
        <v>8</v>
      </c>
      <c r="E144" s="71">
        <v>3</v>
      </c>
      <c r="F144" s="71">
        <v>1</v>
      </c>
      <c r="G144" s="71">
        <v>0</v>
      </c>
      <c r="H144" s="71">
        <v>1</v>
      </c>
      <c r="I144" s="71">
        <v>13</v>
      </c>
      <c r="K144" s="71" t="s">
        <v>1968</v>
      </c>
      <c r="L144" s="71">
        <v>121</v>
      </c>
      <c r="M144" s="71">
        <v>225</v>
      </c>
      <c r="N144" s="71">
        <v>273</v>
      </c>
      <c r="O144" s="71">
        <v>374</v>
      </c>
      <c r="P144" s="71">
        <v>311</v>
      </c>
      <c r="Q144" s="71">
        <v>1304</v>
      </c>
      <c r="AK144" s="73" t="s">
        <v>681</v>
      </c>
      <c r="AL144" s="73" t="s">
        <v>1968</v>
      </c>
      <c r="AM144" s="73">
        <v>135</v>
      </c>
      <c r="AN144" s="73">
        <v>190</v>
      </c>
      <c r="AO144" s="73">
        <v>318</v>
      </c>
      <c r="AP144" s="73">
        <v>420</v>
      </c>
      <c r="AQ144" s="73">
        <v>308</v>
      </c>
      <c r="AR144" s="73">
        <v>1371</v>
      </c>
      <c r="AS144" s="73"/>
      <c r="AT144" s="73" t="s">
        <v>1968</v>
      </c>
      <c r="AU144" s="73">
        <v>22</v>
      </c>
      <c r="AV144" s="73">
        <v>2</v>
      </c>
      <c r="AW144" s="73">
        <v>0</v>
      </c>
      <c r="AX144" s="73">
        <v>0</v>
      </c>
      <c r="AY144" s="73">
        <v>0</v>
      </c>
      <c r="AZ144" s="73">
        <v>24</v>
      </c>
      <c r="BB144" s="78" t="s">
        <v>833</v>
      </c>
      <c r="BC144" s="78" t="s">
        <v>1968</v>
      </c>
      <c r="BD144" s="78">
        <v>104</v>
      </c>
      <c r="BE144" s="78">
        <v>70</v>
      </c>
      <c r="BF144" s="78">
        <v>138</v>
      </c>
      <c r="BG144" s="78">
        <v>206</v>
      </c>
      <c r="BH144" s="78">
        <v>193</v>
      </c>
      <c r="BI144" s="78">
        <v>711</v>
      </c>
      <c r="BJ144" s="78"/>
      <c r="BK144" s="78" t="s">
        <v>1968</v>
      </c>
      <c r="BL144" s="78">
        <v>45</v>
      </c>
      <c r="BM144" s="78">
        <v>0</v>
      </c>
      <c r="BN144" s="78">
        <v>0</v>
      </c>
      <c r="BO144" s="78">
        <v>0</v>
      </c>
      <c r="BP144" s="78">
        <v>0</v>
      </c>
      <c r="BQ144" s="78">
        <v>45</v>
      </c>
      <c r="CL144" s="267" t="s">
        <v>1211</v>
      </c>
      <c r="CM144" s="267" t="s">
        <v>2840</v>
      </c>
      <c r="CN144" s="267">
        <v>88</v>
      </c>
      <c r="CO144" s="267">
        <v>88</v>
      </c>
      <c r="CP144" s="267">
        <v>182</v>
      </c>
      <c r="CQ144" s="267">
        <v>228</v>
      </c>
      <c r="CR144" s="267">
        <v>210</v>
      </c>
      <c r="CS144" s="267">
        <v>796</v>
      </c>
      <c r="CT144" s="267"/>
      <c r="CU144" s="267" t="s">
        <v>2840</v>
      </c>
      <c r="CV144" s="267">
        <v>18</v>
      </c>
      <c r="CW144" s="267">
        <v>0</v>
      </c>
      <c r="CX144" s="267">
        <v>0</v>
      </c>
      <c r="CY144" s="267">
        <v>0</v>
      </c>
      <c r="CZ144" s="267">
        <v>0</v>
      </c>
      <c r="DA144" s="267">
        <v>18</v>
      </c>
      <c r="DB144" s="16">
        <v>16</v>
      </c>
      <c r="EN144" s="267" t="s">
        <v>1705</v>
      </c>
      <c r="EO144" s="267" t="s">
        <v>2840</v>
      </c>
      <c r="EP144" s="267">
        <v>63</v>
      </c>
      <c r="EQ144" s="267">
        <v>127</v>
      </c>
      <c r="ER144" s="267">
        <v>221</v>
      </c>
      <c r="ES144" s="267">
        <v>272</v>
      </c>
      <c r="ET144" s="267">
        <v>361</v>
      </c>
      <c r="EU144" s="267">
        <v>1044</v>
      </c>
      <c r="EV144" s="267"/>
      <c r="EW144" s="267" t="s">
        <v>2840</v>
      </c>
      <c r="EX144" s="267">
        <v>17</v>
      </c>
      <c r="EY144" s="267">
        <v>1</v>
      </c>
      <c r="EZ144" s="267">
        <v>3</v>
      </c>
      <c r="FA144" s="267">
        <v>3</v>
      </c>
      <c r="FB144" s="267">
        <v>1</v>
      </c>
      <c r="FC144" s="267">
        <v>25</v>
      </c>
      <c r="FD144" s="16">
        <v>30</v>
      </c>
      <c r="FF144" s="275" t="s">
        <v>1730</v>
      </c>
      <c r="FG144" s="275" t="s">
        <v>2840</v>
      </c>
      <c r="FH144" s="275">
        <v>64</v>
      </c>
      <c r="FI144" s="275">
        <v>88</v>
      </c>
      <c r="FJ144" s="275">
        <v>164</v>
      </c>
      <c r="FK144" s="275">
        <v>211</v>
      </c>
      <c r="FL144" s="275">
        <v>294</v>
      </c>
      <c r="FM144" s="275">
        <v>821</v>
      </c>
      <c r="FN144" s="275"/>
      <c r="FO144" s="275" t="s">
        <v>2840</v>
      </c>
      <c r="FP144" s="275">
        <v>8</v>
      </c>
      <c r="FQ144" s="275">
        <v>3</v>
      </c>
      <c r="FR144" s="275">
        <v>2</v>
      </c>
      <c r="FS144" s="275">
        <v>1</v>
      </c>
      <c r="FT144" s="275">
        <v>1</v>
      </c>
      <c r="FU144" s="275">
        <v>15</v>
      </c>
      <c r="FV144" s="16">
        <v>60</v>
      </c>
    </row>
    <row r="145" spans="2:179" x14ac:dyDescent="0.3">
      <c r="B145" s="71" t="s">
        <v>219</v>
      </c>
      <c r="C145" s="71" t="s">
        <v>1968</v>
      </c>
      <c r="D145" s="71">
        <v>11</v>
      </c>
      <c r="E145" s="71">
        <v>1</v>
      </c>
      <c r="F145" s="71">
        <v>0</v>
      </c>
      <c r="G145" s="71">
        <v>0</v>
      </c>
      <c r="H145" s="71">
        <v>0</v>
      </c>
      <c r="I145" s="71">
        <v>12</v>
      </c>
      <c r="K145" s="71" t="s">
        <v>1968</v>
      </c>
      <c r="L145" s="71">
        <v>97</v>
      </c>
      <c r="M145" s="71">
        <v>153</v>
      </c>
      <c r="N145" s="71">
        <v>241</v>
      </c>
      <c r="O145" s="71">
        <v>355</v>
      </c>
      <c r="P145" s="71">
        <v>261</v>
      </c>
      <c r="Q145" s="71">
        <v>1107</v>
      </c>
      <c r="AK145" s="73" t="s">
        <v>685</v>
      </c>
      <c r="AL145" s="73" t="s">
        <v>1968</v>
      </c>
      <c r="AM145" s="73">
        <v>246</v>
      </c>
      <c r="AN145" s="73">
        <v>331</v>
      </c>
      <c r="AO145" s="73">
        <v>392</v>
      </c>
      <c r="AP145" s="73">
        <v>467</v>
      </c>
      <c r="AQ145" s="73">
        <v>374</v>
      </c>
      <c r="AR145" s="73">
        <v>1810</v>
      </c>
      <c r="AS145" s="73"/>
      <c r="AT145" s="73" t="s">
        <v>1968</v>
      </c>
      <c r="AU145" s="73">
        <v>18</v>
      </c>
      <c r="AV145" s="73">
        <v>0</v>
      </c>
      <c r="AW145" s="73">
        <v>0</v>
      </c>
      <c r="AX145" s="73">
        <v>0</v>
      </c>
      <c r="AY145" s="73">
        <v>0</v>
      </c>
      <c r="AZ145" s="73">
        <v>18</v>
      </c>
      <c r="BB145" s="78" t="s">
        <v>838</v>
      </c>
      <c r="BC145" s="78" t="s">
        <v>1968</v>
      </c>
      <c r="BD145" s="78">
        <v>339</v>
      </c>
      <c r="BE145" s="78">
        <v>255</v>
      </c>
      <c r="BF145" s="78">
        <v>365</v>
      </c>
      <c r="BG145" s="78">
        <v>411</v>
      </c>
      <c r="BH145" s="78">
        <v>381</v>
      </c>
      <c r="BI145" s="78">
        <v>1751</v>
      </c>
      <c r="BJ145" s="78"/>
      <c r="BK145" s="78" t="s">
        <v>1968</v>
      </c>
      <c r="BL145" s="78">
        <v>122</v>
      </c>
      <c r="BM145" s="78">
        <v>0</v>
      </c>
      <c r="BN145" s="78">
        <v>0</v>
      </c>
      <c r="BO145" s="78">
        <v>0</v>
      </c>
      <c r="BP145" s="78">
        <v>0</v>
      </c>
      <c r="BQ145" s="78">
        <v>122</v>
      </c>
      <c r="CL145" s="267" t="s">
        <v>1216</v>
      </c>
      <c r="CM145" s="267" t="s">
        <v>2840</v>
      </c>
      <c r="CN145" s="267">
        <v>149</v>
      </c>
      <c r="CO145" s="267">
        <v>84</v>
      </c>
      <c r="CP145" s="267">
        <v>137</v>
      </c>
      <c r="CQ145" s="267">
        <v>184</v>
      </c>
      <c r="CR145" s="267">
        <v>189</v>
      </c>
      <c r="CS145" s="267">
        <v>743</v>
      </c>
      <c r="CT145" s="267"/>
      <c r="CU145" s="267" t="s">
        <v>2840</v>
      </c>
      <c r="CV145" s="267">
        <v>54</v>
      </c>
      <c r="CW145" s="267">
        <v>0</v>
      </c>
      <c r="CX145" s="267">
        <v>0</v>
      </c>
      <c r="CY145" s="267">
        <v>0</v>
      </c>
      <c r="CZ145" s="267">
        <v>0</v>
      </c>
      <c r="DA145" s="267">
        <v>54</v>
      </c>
      <c r="DB145" s="16">
        <v>48</v>
      </c>
      <c r="EN145" s="267" t="s">
        <v>1709</v>
      </c>
      <c r="EO145" s="267" t="s">
        <v>2840</v>
      </c>
      <c r="EP145" s="267" t="s">
        <v>1970</v>
      </c>
      <c r="EQ145" s="267" t="s">
        <v>1970</v>
      </c>
      <c r="ER145" s="267" t="s">
        <v>1970</v>
      </c>
      <c r="ES145" s="267" t="s">
        <v>1970</v>
      </c>
      <c r="ET145" s="267" t="s">
        <v>1970</v>
      </c>
      <c r="EU145" s="267" t="s">
        <v>1970</v>
      </c>
      <c r="EV145" s="267"/>
      <c r="EW145" s="267" t="s">
        <v>2840</v>
      </c>
      <c r="EX145" s="267" t="s">
        <v>1970</v>
      </c>
      <c r="EY145" s="267" t="s">
        <v>1970</v>
      </c>
      <c r="EZ145" s="267" t="s">
        <v>1970</v>
      </c>
      <c r="FA145" s="267" t="s">
        <v>1970</v>
      </c>
      <c r="FB145" s="267" t="s">
        <v>1970</v>
      </c>
      <c r="FC145" s="267" t="s">
        <v>1970</v>
      </c>
      <c r="FD145" s="16">
        <v>30</v>
      </c>
      <c r="FF145" s="275" t="s">
        <v>1734</v>
      </c>
      <c r="FG145" s="275" t="s">
        <v>2840</v>
      </c>
      <c r="FH145" s="275">
        <v>96</v>
      </c>
      <c r="FI145" s="275">
        <v>145</v>
      </c>
      <c r="FJ145" s="275">
        <v>219</v>
      </c>
      <c r="FK145" s="275">
        <v>302</v>
      </c>
      <c r="FL145" s="275">
        <v>403</v>
      </c>
      <c r="FM145" s="275">
        <v>1165</v>
      </c>
      <c r="FN145" s="275"/>
      <c r="FO145" s="275" t="s">
        <v>2840</v>
      </c>
      <c r="FP145" s="275">
        <v>2</v>
      </c>
      <c r="FQ145" s="275">
        <v>3</v>
      </c>
      <c r="FR145" s="275">
        <v>0</v>
      </c>
      <c r="FS145" s="275">
        <v>2</v>
      </c>
      <c r="FT145" s="275">
        <v>0</v>
      </c>
      <c r="FU145" s="275">
        <v>7</v>
      </c>
      <c r="FV145" s="16">
        <v>20</v>
      </c>
    </row>
    <row r="146" spans="2:179" x14ac:dyDescent="0.3">
      <c r="B146" s="71" t="s">
        <v>224</v>
      </c>
      <c r="C146" s="71" t="s">
        <v>1968</v>
      </c>
      <c r="D146" s="71">
        <v>47</v>
      </c>
      <c r="E146" s="71">
        <v>5</v>
      </c>
      <c r="F146" s="71">
        <v>2</v>
      </c>
      <c r="G146" s="71">
        <v>1</v>
      </c>
      <c r="H146" s="71">
        <v>0</v>
      </c>
      <c r="I146" s="71">
        <v>55</v>
      </c>
      <c r="K146" s="71" t="s">
        <v>1968</v>
      </c>
      <c r="L146" s="71">
        <v>385</v>
      </c>
      <c r="M146" s="71">
        <v>372</v>
      </c>
      <c r="N146" s="71">
        <v>429</v>
      </c>
      <c r="O146" s="71">
        <v>517</v>
      </c>
      <c r="P146" s="71">
        <v>383</v>
      </c>
      <c r="Q146" s="71">
        <v>2086</v>
      </c>
      <c r="AK146" s="73" t="s">
        <v>689</v>
      </c>
      <c r="AL146" s="73" t="s">
        <v>1968</v>
      </c>
      <c r="AM146" s="73">
        <v>265</v>
      </c>
      <c r="AN146" s="73">
        <v>309</v>
      </c>
      <c r="AO146" s="73">
        <v>348</v>
      </c>
      <c r="AP146" s="73">
        <v>344</v>
      </c>
      <c r="AQ146" s="73">
        <v>325</v>
      </c>
      <c r="AR146" s="73">
        <v>1591</v>
      </c>
      <c r="AS146" s="73"/>
      <c r="AT146" s="73" t="s">
        <v>1968</v>
      </c>
      <c r="AU146" s="73">
        <v>27</v>
      </c>
      <c r="AV146" s="73">
        <v>1</v>
      </c>
      <c r="AW146" s="73">
        <v>0</v>
      </c>
      <c r="AX146" s="73">
        <v>0</v>
      </c>
      <c r="AY146" s="73">
        <v>0</v>
      </c>
      <c r="AZ146" s="73">
        <v>28</v>
      </c>
      <c r="BB146" s="78" t="s">
        <v>842</v>
      </c>
      <c r="BC146" s="78" t="s">
        <v>1968</v>
      </c>
      <c r="BD146" s="78">
        <v>130</v>
      </c>
      <c r="BE146" s="78">
        <v>66</v>
      </c>
      <c r="BF146" s="78">
        <v>119</v>
      </c>
      <c r="BG146" s="78">
        <v>154</v>
      </c>
      <c r="BH146" s="78">
        <v>158</v>
      </c>
      <c r="BI146" s="78">
        <v>627</v>
      </c>
      <c r="BJ146" s="78"/>
      <c r="BK146" s="78" t="s">
        <v>1968</v>
      </c>
      <c r="BL146" s="78">
        <v>33</v>
      </c>
      <c r="BM146" s="78">
        <v>0</v>
      </c>
      <c r="BN146" s="78">
        <v>0</v>
      </c>
      <c r="BO146" s="78">
        <v>0</v>
      </c>
      <c r="BP146" s="78">
        <v>0</v>
      </c>
      <c r="BQ146" s="78">
        <v>33</v>
      </c>
      <c r="CL146" s="267" t="s">
        <v>1225</v>
      </c>
      <c r="CM146" s="267" t="s">
        <v>2840</v>
      </c>
      <c r="CN146" s="267">
        <v>41</v>
      </c>
      <c r="CO146" s="267">
        <v>28</v>
      </c>
      <c r="CP146" s="267">
        <v>60</v>
      </c>
      <c r="CQ146" s="267">
        <v>110</v>
      </c>
      <c r="CR146" s="267">
        <v>113</v>
      </c>
      <c r="CS146" s="267">
        <v>352</v>
      </c>
      <c r="CT146" s="267"/>
      <c r="CU146" s="267" t="s">
        <v>2840</v>
      </c>
      <c r="CV146" s="267">
        <v>15</v>
      </c>
      <c r="CW146" s="267">
        <v>0</v>
      </c>
      <c r="CX146" s="267">
        <v>0</v>
      </c>
      <c r="CY146" s="267">
        <v>0</v>
      </c>
      <c r="CZ146" s="267">
        <v>0</v>
      </c>
      <c r="DA146" s="267">
        <v>15</v>
      </c>
      <c r="DB146" s="16">
        <v>24</v>
      </c>
      <c r="FF146" s="275" t="s">
        <v>1738</v>
      </c>
      <c r="FG146" s="275" t="s">
        <v>2840</v>
      </c>
      <c r="FH146" s="275">
        <v>169</v>
      </c>
      <c r="FI146" s="275">
        <v>263</v>
      </c>
      <c r="FJ146" s="275">
        <v>354</v>
      </c>
      <c r="FK146" s="275">
        <v>448</v>
      </c>
      <c r="FL146" s="275">
        <v>634</v>
      </c>
      <c r="FM146" s="275">
        <v>1868</v>
      </c>
      <c r="FN146" s="275"/>
      <c r="FO146" s="275" t="s">
        <v>2840</v>
      </c>
      <c r="FP146" s="275">
        <v>9</v>
      </c>
      <c r="FQ146" s="275">
        <v>6</v>
      </c>
      <c r="FR146" s="275">
        <v>7</v>
      </c>
      <c r="FS146" s="275">
        <v>4</v>
      </c>
      <c r="FT146" s="275">
        <v>7</v>
      </c>
      <c r="FU146" s="275">
        <v>33</v>
      </c>
      <c r="FV146" s="16">
        <v>20</v>
      </c>
    </row>
    <row r="147" spans="2:179" x14ac:dyDescent="0.3">
      <c r="B147" s="71" t="s">
        <v>229</v>
      </c>
      <c r="C147" s="71" t="s">
        <v>1968</v>
      </c>
      <c r="D147" s="71" t="s">
        <v>1970</v>
      </c>
      <c r="E147" s="71" t="s">
        <v>1970</v>
      </c>
      <c r="F147" s="71" t="s">
        <v>1970</v>
      </c>
      <c r="G147" s="71" t="s">
        <v>1970</v>
      </c>
      <c r="H147" s="71" t="s">
        <v>1970</v>
      </c>
      <c r="I147" s="71" t="s">
        <v>1970</v>
      </c>
      <c r="K147" s="71" t="s">
        <v>1968</v>
      </c>
      <c r="L147" s="71" t="s">
        <v>1970</v>
      </c>
      <c r="M147" s="71" t="s">
        <v>1970</v>
      </c>
      <c r="N147" s="71" t="s">
        <v>1970</v>
      </c>
      <c r="O147" s="71" t="s">
        <v>1970</v>
      </c>
      <c r="P147" s="71" t="s">
        <v>1970</v>
      </c>
      <c r="Q147" s="71" t="s">
        <v>1970</v>
      </c>
      <c r="AK147" s="73" t="s">
        <v>693</v>
      </c>
      <c r="AL147" s="73" t="s">
        <v>1968</v>
      </c>
      <c r="AM147" s="73">
        <v>167</v>
      </c>
      <c r="AN147" s="73">
        <v>139</v>
      </c>
      <c r="AO147" s="73">
        <v>208</v>
      </c>
      <c r="AP147" s="73">
        <v>255</v>
      </c>
      <c r="AQ147" s="73">
        <v>267</v>
      </c>
      <c r="AR147" s="73">
        <v>1036</v>
      </c>
      <c r="AS147" s="73"/>
      <c r="AT147" s="73" t="s">
        <v>1968</v>
      </c>
      <c r="AU147" s="73">
        <v>52</v>
      </c>
      <c r="AV147" s="73">
        <v>1</v>
      </c>
      <c r="AW147" s="73">
        <v>0</v>
      </c>
      <c r="AX147" s="73">
        <v>0</v>
      </c>
      <c r="AY147" s="73">
        <v>0</v>
      </c>
      <c r="AZ147" s="73">
        <v>53</v>
      </c>
      <c r="BB147" s="78" t="s">
        <v>848</v>
      </c>
      <c r="BC147" s="78" t="s">
        <v>1968</v>
      </c>
      <c r="BD147" s="78">
        <v>55</v>
      </c>
      <c r="BE147" s="78">
        <v>51</v>
      </c>
      <c r="BF147" s="78">
        <v>90</v>
      </c>
      <c r="BG147" s="78">
        <v>107</v>
      </c>
      <c r="BH147" s="78">
        <v>125</v>
      </c>
      <c r="BI147" s="78">
        <v>428</v>
      </c>
      <c r="BJ147" s="78"/>
      <c r="BK147" s="78" t="s">
        <v>1968</v>
      </c>
      <c r="BL147" s="78">
        <v>21</v>
      </c>
      <c r="BM147" s="78">
        <v>0</v>
      </c>
      <c r="BN147" s="78">
        <v>0</v>
      </c>
      <c r="BO147" s="78">
        <v>0</v>
      </c>
      <c r="BP147" s="78">
        <v>0</v>
      </c>
      <c r="BQ147" s="78">
        <v>21</v>
      </c>
      <c r="CL147" s="267" t="s">
        <v>1229</v>
      </c>
      <c r="CM147" s="267" t="s">
        <v>2840</v>
      </c>
      <c r="CN147" s="267">
        <v>51</v>
      </c>
      <c r="CO147" s="267">
        <v>58</v>
      </c>
      <c r="CP147" s="267">
        <v>129</v>
      </c>
      <c r="CQ147" s="267">
        <v>187</v>
      </c>
      <c r="CR147" s="267">
        <v>193</v>
      </c>
      <c r="CS147" s="267">
        <v>618</v>
      </c>
      <c r="CT147" s="267"/>
      <c r="CU147" s="267" t="s">
        <v>2840</v>
      </c>
      <c r="CV147" s="267">
        <v>12</v>
      </c>
      <c r="CW147" s="267">
        <v>0</v>
      </c>
      <c r="CX147" s="267">
        <v>0</v>
      </c>
      <c r="CY147" s="267">
        <v>0</v>
      </c>
      <c r="CZ147" s="267">
        <v>0</v>
      </c>
      <c r="DA147" s="267">
        <v>12</v>
      </c>
      <c r="DB147" s="16">
        <v>15</v>
      </c>
      <c r="FF147" s="275" t="s">
        <v>1742</v>
      </c>
      <c r="FG147" s="275" t="s">
        <v>2840</v>
      </c>
      <c r="FH147" s="275">
        <v>599</v>
      </c>
      <c r="FI147" s="275">
        <v>583</v>
      </c>
      <c r="FJ147" s="275">
        <v>506</v>
      </c>
      <c r="FK147" s="275">
        <v>538</v>
      </c>
      <c r="FL147" s="275">
        <v>732</v>
      </c>
      <c r="FM147" s="275">
        <v>2958</v>
      </c>
      <c r="FN147" s="275"/>
      <c r="FO147" s="275" t="s">
        <v>2840</v>
      </c>
      <c r="FP147" s="275">
        <v>184</v>
      </c>
      <c r="FQ147" s="275">
        <v>38</v>
      </c>
      <c r="FR147" s="275">
        <v>9</v>
      </c>
      <c r="FS147" s="275">
        <v>0</v>
      </c>
      <c r="FT147" s="275">
        <v>0</v>
      </c>
      <c r="FU147" s="275">
        <v>231</v>
      </c>
      <c r="FV147" s="16">
        <v>105</v>
      </c>
    </row>
    <row r="148" spans="2:179" x14ac:dyDescent="0.3">
      <c r="B148" s="71" t="s">
        <v>245</v>
      </c>
      <c r="C148" s="71" t="s">
        <v>1968</v>
      </c>
      <c r="D148" s="71">
        <v>16</v>
      </c>
      <c r="E148" s="71">
        <v>0</v>
      </c>
      <c r="F148" s="71">
        <v>0</v>
      </c>
      <c r="G148" s="71">
        <v>0</v>
      </c>
      <c r="H148" s="71">
        <v>0</v>
      </c>
      <c r="I148" s="71">
        <v>16</v>
      </c>
      <c r="K148" s="71" t="s">
        <v>1968</v>
      </c>
      <c r="L148" s="71">
        <v>151</v>
      </c>
      <c r="M148" s="71">
        <v>109</v>
      </c>
      <c r="N148" s="71">
        <v>147</v>
      </c>
      <c r="O148" s="71">
        <v>220</v>
      </c>
      <c r="P148" s="71">
        <v>288</v>
      </c>
      <c r="Q148" s="71">
        <v>915</v>
      </c>
      <c r="AK148" s="73" t="s">
        <v>697</v>
      </c>
      <c r="AL148" s="73" t="s">
        <v>1968</v>
      </c>
      <c r="AM148" s="73">
        <v>135</v>
      </c>
      <c r="AN148" s="73">
        <v>239</v>
      </c>
      <c r="AO148" s="73">
        <v>397</v>
      </c>
      <c r="AP148" s="73">
        <v>564</v>
      </c>
      <c r="AQ148" s="73">
        <v>446</v>
      </c>
      <c r="AR148" s="73">
        <v>1781</v>
      </c>
      <c r="AS148" s="73"/>
      <c r="AT148" s="73" t="s">
        <v>1968</v>
      </c>
      <c r="AU148" s="73">
        <v>15</v>
      </c>
      <c r="AV148" s="73">
        <v>4</v>
      </c>
      <c r="AW148" s="73">
        <v>0</v>
      </c>
      <c r="AX148" s="73">
        <v>1</v>
      </c>
      <c r="AY148" s="73">
        <v>0</v>
      </c>
      <c r="AZ148" s="73">
        <v>20</v>
      </c>
      <c r="BB148" s="78" t="s">
        <v>852</v>
      </c>
      <c r="BC148" s="78" t="s">
        <v>1968</v>
      </c>
      <c r="BD148" s="78">
        <v>73</v>
      </c>
      <c r="BE148" s="78">
        <v>55</v>
      </c>
      <c r="BF148" s="78">
        <v>109</v>
      </c>
      <c r="BG148" s="78">
        <v>161</v>
      </c>
      <c r="BH148" s="78">
        <v>153</v>
      </c>
      <c r="BI148" s="78">
        <v>551</v>
      </c>
      <c r="BJ148" s="78"/>
      <c r="BK148" s="78" t="s">
        <v>1968</v>
      </c>
      <c r="BL148" s="78">
        <v>20</v>
      </c>
      <c r="BM148" s="78">
        <v>0</v>
      </c>
      <c r="BN148" s="78">
        <v>0</v>
      </c>
      <c r="BO148" s="78">
        <v>0</v>
      </c>
      <c r="BP148" s="78">
        <v>0</v>
      </c>
      <c r="BQ148" s="78">
        <v>20</v>
      </c>
      <c r="CL148" s="267" t="s">
        <v>1233</v>
      </c>
      <c r="CM148" s="267" t="s">
        <v>2840</v>
      </c>
      <c r="CN148" s="267">
        <v>58</v>
      </c>
      <c r="CO148" s="267">
        <v>82</v>
      </c>
      <c r="CP148" s="267">
        <v>135</v>
      </c>
      <c r="CQ148" s="267">
        <v>194</v>
      </c>
      <c r="CR148" s="267">
        <v>169</v>
      </c>
      <c r="CS148" s="267">
        <v>638</v>
      </c>
      <c r="CT148" s="267"/>
      <c r="CU148" s="267" t="s">
        <v>2840</v>
      </c>
      <c r="CV148" s="267">
        <v>1</v>
      </c>
      <c r="CW148" s="267">
        <v>0</v>
      </c>
      <c r="CX148" s="267">
        <v>0</v>
      </c>
      <c r="CY148" s="267">
        <v>0</v>
      </c>
      <c r="CZ148" s="267">
        <v>0</v>
      </c>
      <c r="DA148" s="267">
        <v>1</v>
      </c>
      <c r="DB148" s="16">
        <v>13</v>
      </c>
      <c r="FF148" s="275" t="s">
        <v>1746</v>
      </c>
      <c r="FG148" s="275" t="s">
        <v>2840</v>
      </c>
      <c r="FH148" s="275">
        <v>136</v>
      </c>
      <c r="FI148" s="275">
        <v>185</v>
      </c>
      <c r="FJ148" s="275">
        <v>231</v>
      </c>
      <c r="FK148" s="275">
        <v>287</v>
      </c>
      <c r="FL148" s="275">
        <v>371</v>
      </c>
      <c r="FM148" s="275">
        <v>1210</v>
      </c>
      <c r="FN148" s="275"/>
      <c r="FO148" s="275" t="s">
        <v>2840</v>
      </c>
      <c r="FP148" s="275">
        <v>31</v>
      </c>
      <c r="FQ148" s="275">
        <v>7</v>
      </c>
      <c r="FR148" s="275">
        <v>4</v>
      </c>
      <c r="FS148" s="275">
        <v>3</v>
      </c>
      <c r="FT148" s="275">
        <v>1</v>
      </c>
      <c r="FU148" s="275">
        <v>46</v>
      </c>
      <c r="FV148" s="16">
        <v>35</v>
      </c>
    </row>
    <row r="149" spans="2:179" x14ac:dyDescent="0.3">
      <c r="B149" s="71" t="s">
        <v>250</v>
      </c>
      <c r="C149" s="71" t="s">
        <v>1968</v>
      </c>
      <c r="D149" s="71">
        <v>21</v>
      </c>
      <c r="E149" s="71">
        <v>1</v>
      </c>
      <c r="F149" s="71">
        <v>1</v>
      </c>
      <c r="G149" s="71">
        <v>1</v>
      </c>
      <c r="H149" s="71">
        <v>0</v>
      </c>
      <c r="I149" s="71">
        <v>24</v>
      </c>
      <c r="K149" s="71" t="s">
        <v>1968</v>
      </c>
      <c r="L149" s="71">
        <v>181</v>
      </c>
      <c r="M149" s="71">
        <v>267</v>
      </c>
      <c r="N149" s="71">
        <v>384</v>
      </c>
      <c r="O149" s="71">
        <v>513</v>
      </c>
      <c r="P149" s="71">
        <v>345</v>
      </c>
      <c r="Q149" s="71">
        <v>1690</v>
      </c>
      <c r="AK149" s="73" t="s">
        <v>701</v>
      </c>
      <c r="AL149" s="73" t="s">
        <v>1968</v>
      </c>
      <c r="AM149" s="73">
        <v>122</v>
      </c>
      <c r="AN149" s="73">
        <v>152</v>
      </c>
      <c r="AO149" s="73">
        <v>224</v>
      </c>
      <c r="AP149" s="73">
        <v>362</v>
      </c>
      <c r="AQ149" s="73">
        <v>250</v>
      </c>
      <c r="AR149" s="73">
        <v>1110</v>
      </c>
      <c r="AS149" s="73"/>
      <c r="AT149" s="73" t="s">
        <v>1968</v>
      </c>
      <c r="AU149" s="73">
        <v>23</v>
      </c>
      <c r="AV149" s="73">
        <v>2</v>
      </c>
      <c r="AW149" s="73">
        <v>0</v>
      </c>
      <c r="AX149" s="73">
        <v>0</v>
      </c>
      <c r="AY149" s="73">
        <v>0</v>
      </c>
      <c r="AZ149" s="73">
        <v>25</v>
      </c>
      <c r="BB149" s="78" t="s">
        <v>856</v>
      </c>
      <c r="BC149" s="78" t="s">
        <v>1968</v>
      </c>
      <c r="BD149" s="78">
        <v>46</v>
      </c>
      <c r="BE149" s="78">
        <v>42</v>
      </c>
      <c r="BF149" s="78">
        <v>94</v>
      </c>
      <c r="BG149" s="78">
        <v>132</v>
      </c>
      <c r="BH149" s="78">
        <v>145</v>
      </c>
      <c r="BI149" s="78">
        <v>459</v>
      </c>
      <c r="BJ149" s="78"/>
      <c r="BK149" s="78" t="s">
        <v>1968</v>
      </c>
      <c r="BL149" s="78">
        <v>16</v>
      </c>
      <c r="BM149" s="78">
        <v>0</v>
      </c>
      <c r="BN149" s="78">
        <v>0</v>
      </c>
      <c r="BO149" s="78">
        <v>0</v>
      </c>
      <c r="BP149" s="78">
        <v>0</v>
      </c>
      <c r="BQ149" s="78">
        <v>16</v>
      </c>
      <c r="CL149" s="267" t="s">
        <v>1237</v>
      </c>
      <c r="CM149" s="267" t="s">
        <v>2840</v>
      </c>
      <c r="CN149" s="267">
        <v>54</v>
      </c>
      <c r="CO149" s="267">
        <v>46</v>
      </c>
      <c r="CP149" s="267">
        <v>109</v>
      </c>
      <c r="CQ149" s="267">
        <v>124</v>
      </c>
      <c r="CR149" s="267">
        <v>117</v>
      </c>
      <c r="CS149" s="267">
        <v>450</v>
      </c>
      <c r="CT149" s="267"/>
      <c r="CU149" s="267" t="s">
        <v>2840</v>
      </c>
      <c r="CV149" s="267">
        <v>16</v>
      </c>
      <c r="CW149" s="267">
        <v>0</v>
      </c>
      <c r="CX149" s="267">
        <v>0</v>
      </c>
      <c r="CY149" s="267">
        <v>0</v>
      </c>
      <c r="CZ149" s="267">
        <v>0</v>
      </c>
      <c r="DA149" s="267">
        <v>16</v>
      </c>
      <c r="DB149" s="16">
        <v>24</v>
      </c>
      <c r="FF149" s="275" t="s">
        <v>1750</v>
      </c>
      <c r="FG149" s="275" t="s">
        <v>2840</v>
      </c>
      <c r="FH149" s="275">
        <v>203</v>
      </c>
      <c r="FI149" s="275">
        <v>169</v>
      </c>
      <c r="FJ149" s="275">
        <v>149</v>
      </c>
      <c r="FK149" s="275">
        <v>202</v>
      </c>
      <c r="FL149" s="275">
        <v>269</v>
      </c>
      <c r="FM149" s="275">
        <v>992</v>
      </c>
      <c r="FN149" s="275"/>
      <c r="FO149" s="275" t="s">
        <v>2840</v>
      </c>
      <c r="FP149" s="275">
        <v>41</v>
      </c>
      <c r="FQ149" s="275">
        <v>7</v>
      </c>
      <c r="FR149" s="275">
        <v>0</v>
      </c>
      <c r="FS149" s="275">
        <v>0</v>
      </c>
      <c r="FT149" s="275">
        <v>0</v>
      </c>
      <c r="FU149" s="275">
        <v>48</v>
      </c>
      <c r="FV149" s="16">
        <v>60</v>
      </c>
    </row>
    <row r="150" spans="2:179" x14ac:dyDescent="0.3">
      <c r="B150" s="71" t="s">
        <v>255</v>
      </c>
      <c r="C150" s="71" t="s">
        <v>1968</v>
      </c>
      <c r="D150" s="71">
        <v>10</v>
      </c>
      <c r="E150" s="71">
        <v>7</v>
      </c>
      <c r="F150" s="71">
        <v>3</v>
      </c>
      <c r="G150" s="71">
        <v>2</v>
      </c>
      <c r="H150" s="71">
        <v>0</v>
      </c>
      <c r="I150" s="71">
        <v>22</v>
      </c>
      <c r="K150" s="71" t="s">
        <v>1968</v>
      </c>
      <c r="L150" s="71">
        <v>105</v>
      </c>
      <c r="M150" s="71">
        <v>217</v>
      </c>
      <c r="N150" s="71">
        <v>346</v>
      </c>
      <c r="O150" s="71">
        <v>434</v>
      </c>
      <c r="P150" s="71">
        <v>319</v>
      </c>
      <c r="Q150" s="71">
        <v>1421</v>
      </c>
      <c r="AK150" s="73" t="s">
        <v>705</v>
      </c>
      <c r="AL150" s="73" t="s">
        <v>1968</v>
      </c>
      <c r="AM150" s="73">
        <v>314</v>
      </c>
      <c r="AN150" s="73">
        <v>319</v>
      </c>
      <c r="AO150" s="73">
        <v>536</v>
      </c>
      <c r="AP150" s="73">
        <v>633</v>
      </c>
      <c r="AQ150" s="73">
        <v>485</v>
      </c>
      <c r="AR150" s="73">
        <v>2287</v>
      </c>
      <c r="AS150" s="73"/>
      <c r="AT150" s="73" t="s">
        <v>1968</v>
      </c>
      <c r="AU150" s="73">
        <v>34</v>
      </c>
      <c r="AV150" s="73">
        <v>2</v>
      </c>
      <c r="AW150" s="73">
        <v>1</v>
      </c>
      <c r="AX150" s="73">
        <v>0</v>
      </c>
      <c r="AY150" s="73">
        <v>0</v>
      </c>
      <c r="AZ150" s="73">
        <v>37</v>
      </c>
      <c r="BB150" s="78" t="s">
        <v>860</v>
      </c>
      <c r="BC150" s="78" t="s">
        <v>1968</v>
      </c>
      <c r="BD150" s="78">
        <v>529</v>
      </c>
      <c r="BE150" s="78">
        <v>325</v>
      </c>
      <c r="BF150" s="78">
        <v>412</v>
      </c>
      <c r="BG150" s="78">
        <v>422</v>
      </c>
      <c r="BH150" s="78">
        <v>404</v>
      </c>
      <c r="BI150" s="78">
        <v>2092</v>
      </c>
      <c r="BJ150" s="78"/>
      <c r="BK150" s="78" t="s">
        <v>1968</v>
      </c>
      <c r="BL150" s="78">
        <v>21</v>
      </c>
      <c r="BM150" s="78">
        <v>0</v>
      </c>
      <c r="BN150" s="78">
        <v>0</v>
      </c>
      <c r="BO150" s="78">
        <v>0</v>
      </c>
      <c r="BP150" s="78">
        <v>0</v>
      </c>
      <c r="BQ150" s="78">
        <v>21</v>
      </c>
      <c r="CL150" s="267" t="s">
        <v>1241</v>
      </c>
      <c r="CM150" s="267" t="s">
        <v>2840</v>
      </c>
      <c r="CN150" s="267">
        <v>31</v>
      </c>
      <c r="CO150" s="267">
        <v>30</v>
      </c>
      <c r="CP150" s="267">
        <v>71</v>
      </c>
      <c r="CQ150" s="267">
        <v>112</v>
      </c>
      <c r="CR150" s="267">
        <v>99</v>
      </c>
      <c r="CS150" s="267">
        <v>343</v>
      </c>
      <c r="CT150" s="267"/>
      <c r="CU150" s="267" t="s">
        <v>2840</v>
      </c>
      <c r="CV150" s="267">
        <v>14</v>
      </c>
      <c r="CW150" s="267">
        <v>0</v>
      </c>
      <c r="CX150" s="267">
        <v>0</v>
      </c>
      <c r="CY150" s="267">
        <v>0</v>
      </c>
      <c r="CZ150" s="267">
        <v>0</v>
      </c>
      <c r="DA150" s="267">
        <v>14</v>
      </c>
      <c r="DB150" s="16">
        <v>18</v>
      </c>
      <c r="DD150" s="259"/>
      <c r="FF150" s="275" t="s">
        <v>1757</v>
      </c>
      <c r="FG150" s="275" t="s">
        <v>2840</v>
      </c>
      <c r="FH150" s="275">
        <v>261</v>
      </c>
      <c r="FI150" s="275">
        <v>349</v>
      </c>
      <c r="FJ150" s="275">
        <v>280</v>
      </c>
      <c r="FK150" s="275">
        <v>330</v>
      </c>
      <c r="FL150" s="275">
        <v>470</v>
      </c>
      <c r="FM150" s="275">
        <v>1690</v>
      </c>
      <c r="FN150" s="275"/>
      <c r="FO150" s="275" t="s">
        <v>2840</v>
      </c>
      <c r="FP150" s="275">
        <v>61</v>
      </c>
      <c r="FQ150" s="275">
        <v>14</v>
      </c>
      <c r="FR150" s="275">
        <v>1</v>
      </c>
      <c r="FS150" s="275">
        <v>1</v>
      </c>
      <c r="FT150" s="275">
        <v>5</v>
      </c>
      <c r="FU150" s="275">
        <v>82</v>
      </c>
      <c r="FV150" s="16">
        <v>70</v>
      </c>
    </row>
    <row r="151" spans="2:179" x14ac:dyDescent="0.3">
      <c r="B151" s="71" t="s">
        <v>260</v>
      </c>
      <c r="C151" s="71" t="s">
        <v>1968</v>
      </c>
      <c r="D151" s="71">
        <v>24</v>
      </c>
      <c r="E151" s="71">
        <v>0</v>
      </c>
      <c r="F151" s="71">
        <v>1</v>
      </c>
      <c r="G151" s="71">
        <v>0</v>
      </c>
      <c r="H151" s="71">
        <v>0</v>
      </c>
      <c r="I151" s="71">
        <v>25</v>
      </c>
      <c r="K151" s="71" t="s">
        <v>1968</v>
      </c>
      <c r="L151" s="71">
        <v>185</v>
      </c>
      <c r="M151" s="71">
        <v>264</v>
      </c>
      <c r="N151" s="71">
        <v>444</v>
      </c>
      <c r="O151" s="71">
        <v>539</v>
      </c>
      <c r="P151" s="71">
        <v>382</v>
      </c>
      <c r="Q151" s="71">
        <v>1814</v>
      </c>
      <c r="AK151" s="73" t="s">
        <v>708</v>
      </c>
      <c r="AL151" s="73" t="s">
        <v>1968</v>
      </c>
      <c r="AM151" s="73">
        <v>689</v>
      </c>
      <c r="AN151" s="73">
        <v>590</v>
      </c>
      <c r="AO151" s="73">
        <v>966</v>
      </c>
      <c r="AP151" s="73">
        <v>1238</v>
      </c>
      <c r="AQ151" s="73">
        <v>863</v>
      </c>
      <c r="AR151" s="73">
        <v>4346</v>
      </c>
      <c r="AS151" s="73"/>
      <c r="AT151" s="73" t="s">
        <v>1968</v>
      </c>
      <c r="AU151" s="73">
        <v>35</v>
      </c>
      <c r="AV151" s="73">
        <v>0</v>
      </c>
      <c r="AW151" s="73">
        <v>0</v>
      </c>
      <c r="AX151" s="73">
        <v>0</v>
      </c>
      <c r="AY151" s="73">
        <v>0</v>
      </c>
      <c r="AZ151" s="73">
        <v>35</v>
      </c>
      <c r="BB151" s="78" t="s">
        <v>865</v>
      </c>
      <c r="BC151" s="78" t="s">
        <v>1968</v>
      </c>
      <c r="BD151" s="78">
        <v>230</v>
      </c>
      <c r="BE151" s="78">
        <v>186</v>
      </c>
      <c r="BF151" s="78">
        <v>281</v>
      </c>
      <c r="BG151" s="78">
        <v>340</v>
      </c>
      <c r="BH151" s="78">
        <v>329</v>
      </c>
      <c r="BI151" s="78">
        <v>1366</v>
      </c>
      <c r="BJ151" s="78"/>
      <c r="BK151" s="78" t="s">
        <v>1968</v>
      </c>
      <c r="BL151" s="78">
        <v>19</v>
      </c>
      <c r="BM151" s="78">
        <v>0</v>
      </c>
      <c r="BN151" s="78">
        <v>0</v>
      </c>
      <c r="BO151" s="78">
        <v>0</v>
      </c>
      <c r="BP151" s="78">
        <v>0</v>
      </c>
      <c r="BQ151" s="78">
        <v>19</v>
      </c>
      <c r="CL151" s="267" t="s">
        <v>1245</v>
      </c>
      <c r="CM151" s="267" t="s">
        <v>2840</v>
      </c>
      <c r="CN151" s="267" t="s">
        <v>1970</v>
      </c>
      <c r="CO151" s="267" t="s">
        <v>1970</v>
      </c>
      <c r="CP151" s="267" t="s">
        <v>1970</v>
      </c>
      <c r="CQ151" s="267" t="s">
        <v>1970</v>
      </c>
      <c r="CR151" s="267" t="s">
        <v>1970</v>
      </c>
      <c r="CS151" s="267" t="s">
        <v>1970</v>
      </c>
      <c r="CT151" s="267"/>
      <c r="CU151" s="267" t="s">
        <v>2840</v>
      </c>
      <c r="CV151" s="267" t="s">
        <v>1970</v>
      </c>
      <c r="CW151" s="267" t="s">
        <v>1970</v>
      </c>
      <c r="CX151" s="267" t="s">
        <v>1970</v>
      </c>
      <c r="CY151" s="267" t="s">
        <v>1970</v>
      </c>
      <c r="CZ151" s="267" t="s">
        <v>1970</v>
      </c>
      <c r="DA151" s="267" t="s">
        <v>1970</v>
      </c>
      <c r="DB151" s="16">
        <v>30</v>
      </c>
      <c r="DD151" s="259"/>
      <c r="FF151" s="275" t="s">
        <v>1761</v>
      </c>
      <c r="FG151" s="275" t="s">
        <v>2840</v>
      </c>
      <c r="FH151" s="275">
        <v>312</v>
      </c>
      <c r="FI151" s="275">
        <v>425</v>
      </c>
      <c r="FJ151" s="275">
        <v>341</v>
      </c>
      <c r="FK151" s="275">
        <v>423</v>
      </c>
      <c r="FL151" s="275">
        <v>553</v>
      </c>
      <c r="FM151" s="275">
        <v>2054</v>
      </c>
      <c r="FN151" s="275"/>
      <c r="FO151" s="275" t="s">
        <v>2840</v>
      </c>
      <c r="FP151" s="275">
        <v>63</v>
      </c>
      <c r="FQ151" s="275">
        <v>21</v>
      </c>
      <c r="FR151" s="275">
        <v>4</v>
      </c>
      <c r="FS151" s="275">
        <v>5</v>
      </c>
      <c r="FT151" s="275">
        <v>5</v>
      </c>
      <c r="FU151" s="275">
        <v>98</v>
      </c>
      <c r="FV151" s="16">
        <v>65</v>
      </c>
    </row>
    <row r="152" spans="2:179" x14ac:dyDescent="0.3">
      <c r="B152" s="186"/>
      <c r="D152" s="186"/>
      <c r="E152" s="186"/>
      <c r="F152" s="186"/>
      <c r="G152" s="186"/>
      <c r="H152" s="186"/>
      <c r="I152" s="186"/>
      <c r="J152" s="256"/>
      <c r="L152" s="186"/>
      <c r="M152" s="186"/>
      <c r="N152" s="186"/>
      <c r="O152" s="186"/>
      <c r="P152" s="186"/>
      <c r="Q152" s="186"/>
      <c r="AK152" s="73" t="s">
        <v>712</v>
      </c>
      <c r="AL152" s="73" t="s">
        <v>1968</v>
      </c>
      <c r="AM152" s="73">
        <v>108</v>
      </c>
      <c r="AN152" s="73">
        <v>145</v>
      </c>
      <c r="AO152" s="73">
        <v>196</v>
      </c>
      <c r="AP152" s="73">
        <v>243</v>
      </c>
      <c r="AQ152" s="73">
        <v>184</v>
      </c>
      <c r="AR152" s="73">
        <v>876</v>
      </c>
      <c r="AS152" s="73"/>
      <c r="AT152" s="73" t="s">
        <v>1968</v>
      </c>
      <c r="AU152" s="73">
        <v>17</v>
      </c>
      <c r="AV152" s="73">
        <v>3</v>
      </c>
      <c r="AW152" s="73">
        <v>1</v>
      </c>
      <c r="AX152" s="73">
        <v>1</v>
      </c>
      <c r="AY152" s="73">
        <v>0</v>
      </c>
      <c r="AZ152" s="73">
        <v>22</v>
      </c>
      <c r="BB152" s="78" t="s">
        <v>870</v>
      </c>
      <c r="BC152" s="78" t="s">
        <v>1968</v>
      </c>
      <c r="BD152" s="78">
        <v>62</v>
      </c>
      <c r="BE152" s="78">
        <v>109</v>
      </c>
      <c r="BF152" s="78">
        <v>214</v>
      </c>
      <c r="BG152" s="78">
        <v>279</v>
      </c>
      <c r="BH152" s="78">
        <v>232</v>
      </c>
      <c r="BI152" s="78">
        <v>896</v>
      </c>
      <c r="BJ152" s="78"/>
      <c r="BK152" s="78" t="s">
        <v>1968</v>
      </c>
      <c r="BL152" s="78">
        <v>12</v>
      </c>
      <c r="BM152" s="78">
        <v>0</v>
      </c>
      <c r="BN152" s="78">
        <v>0</v>
      </c>
      <c r="BO152" s="78">
        <v>0</v>
      </c>
      <c r="BP152" s="78">
        <v>0</v>
      </c>
      <c r="BQ152" s="78">
        <v>12</v>
      </c>
      <c r="CL152" s="267" t="s">
        <v>2184</v>
      </c>
      <c r="CM152" s="267" t="s">
        <v>2840</v>
      </c>
      <c r="CN152" s="267" t="s">
        <v>1970</v>
      </c>
      <c r="CO152" s="267" t="s">
        <v>1970</v>
      </c>
      <c r="CP152" s="267" t="s">
        <v>1970</v>
      </c>
      <c r="CQ152" s="267" t="s">
        <v>1970</v>
      </c>
      <c r="CR152" s="267" t="s">
        <v>1970</v>
      </c>
      <c r="CS152" s="267" t="s">
        <v>1970</v>
      </c>
      <c r="CT152" s="267"/>
      <c r="CU152" s="267" t="s">
        <v>2840</v>
      </c>
      <c r="CV152" s="267" t="s">
        <v>1970</v>
      </c>
      <c r="CW152" s="267" t="s">
        <v>1970</v>
      </c>
      <c r="CX152" s="267" t="s">
        <v>1970</v>
      </c>
      <c r="CY152" s="267" t="s">
        <v>1970</v>
      </c>
      <c r="CZ152" s="267" t="s">
        <v>1970</v>
      </c>
      <c r="DA152" s="267" t="s">
        <v>1970</v>
      </c>
      <c r="DB152" s="16">
        <v>50</v>
      </c>
      <c r="DD152" s="259"/>
      <c r="FF152" s="275" t="s">
        <v>1765</v>
      </c>
      <c r="FG152" s="275" t="s">
        <v>2840</v>
      </c>
      <c r="FH152" s="275">
        <v>321</v>
      </c>
      <c r="FI152" s="275">
        <v>456</v>
      </c>
      <c r="FJ152" s="275">
        <v>437</v>
      </c>
      <c r="FK152" s="275">
        <v>492</v>
      </c>
      <c r="FL152" s="275">
        <v>464</v>
      </c>
      <c r="FM152" s="275">
        <v>2170</v>
      </c>
      <c r="FN152" s="275"/>
      <c r="FO152" s="275" t="s">
        <v>2840</v>
      </c>
      <c r="FP152" s="275">
        <v>48</v>
      </c>
      <c r="FQ152" s="275">
        <v>13</v>
      </c>
      <c r="FR152" s="275">
        <v>0</v>
      </c>
      <c r="FS152" s="275">
        <v>0</v>
      </c>
      <c r="FT152" s="275">
        <v>0</v>
      </c>
      <c r="FU152" s="275">
        <v>61</v>
      </c>
      <c r="FV152" s="16">
        <v>40</v>
      </c>
    </row>
    <row r="153" spans="2:179" x14ac:dyDescent="0.3">
      <c r="B153" s="71" t="s">
        <v>1</v>
      </c>
      <c r="C153" s="71" t="s">
        <v>2840</v>
      </c>
      <c r="D153" s="71">
        <v>10</v>
      </c>
      <c r="E153" s="71">
        <v>1</v>
      </c>
      <c r="F153" s="71">
        <v>0</v>
      </c>
      <c r="G153" s="71">
        <v>1</v>
      </c>
      <c r="H153" s="71">
        <v>0</v>
      </c>
      <c r="I153" s="71">
        <v>12</v>
      </c>
      <c r="K153" s="71" t="s">
        <v>2840</v>
      </c>
      <c r="L153" s="71">
        <v>115</v>
      </c>
      <c r="M153" s="71">
        <v>178</v>
      </c>
      <c r="N153" s="71">
        <v>279</v>
      </c>
      <c r="O153" s="71">
        <v>351</v>
      </c>
      <c r="P153" s="71">
        <v>297</v>
      </c>
      <c r="Q153" s="71">
        <v>1220</v>
      </c>
      <c r="R153" s="186">
        <v>10</v>
      </c>
      <c r="AK153" s="73" t="s">
        <v>715</v>
      </c>
      <c r="AL153" s="73" t="s">
        <v>1968</v>
      </c>
      <c r="AM153" s="73" t="s">
        <v>1978</v>
      </c>
      <c r="AN153" s="73" t="s">
        <v>1978</v>
      </c>
      <c r="AO153" s="73" t="s">
        <v>1978</v>
      </c>
      <c r="AP153" s="73" t="s">
        <v>1978</v>
      </c>
      <c r="AQ153" s="73" t="s">
        <v>1978</v>
      </c>
      <c r="AR153" s="73" t="s">
        <v>1978</v>
      </c>
      <c r="AS153" s="73"/>
      <c r="AT153" s="73" t="s">
        <v>1968</v>
      </c>
      <c r="AU153" s="73" t="s">
        <v>1978</v>
      </c>
      <c r="AV153" s="73" t="s">
        <v>1978</v>
      </c>
      <c r="AW153" s="73" t="s">
        <v>1978</v>
      </c>
      <c r="AX153" s="73" t="s">
        <v>1978</v>
      </c>
      <c r="AY153" s="73" t="s">
        <v>1978</v>
      </c>
      <c r="AZ153" s="73" t="s">
        <v>1978</v>
      </c>
      <c r="BB153" s="78" t="s">
        <v>875</v>
      </c>
      <c r="BC153" s="78" t="s">
        <v>1968</v>
      </c>
      <c r="BD153" s="78">
        <v>155</v>
      </c>
      <c r="BE153" s="78">
        <v>143</v>
      </c>
      <c r="BF153" s="78">
        <v>219</v>
      </c>
      <c r="BG153" s="78">
        <v>294</v>
      </c>
      <c r="BH153" s="78">
        <v>269</v>
      </c>
      <c r="BI153" s="78">
        <v>1080</v>
      </c>
      <c r="BJ153" s="78"/>
      <c r="BK153" s="78" t="s">
        <v>1968</v>
      </c>
      <c r="BL153" s="78">
        <v>18</v>
      </c>
      <c r="BM153" s="78">
        <v>0</v>
      </c>
      <c r="BN153" s="78">
        <v>0</v>
      </c>
      <c r="BO153" s="78">
        <v>0</v>
      </c>
      <c r="BP153" s="78">
        <v>0</v>
      </c>
      <c r="BQ153" s="78">
        <v>18</v>
      </c>
      <c r="CL153" s="267" t="s">
        <v>1253</v>
      </c>
      <c r="CM153" s="267" t="s">
        <v>2840</v>
      </c>
      <c r="CN153" s="267">
        <v>226</v>
      </c>
      <c r="CO153" s="267">
        <v>93</v>
      </c>
      <c r="CP153" s="267">
        <v>130</v>
      </c>
      <c r="CQ153" s="267">
        <v>169</v>
      </c>
      <c r="CR153" s="267">
        <v>237</v>
      </c>
      <c r="CS153" s="267">
        <v>855</v>
      </c>
      <c r="CT153" s="267"/>
      <c r="CU153" s="267" t="s">
        <v>2840</v>
      </c>
      <c r="CV153" s="267">
        <v>70</v>
      </c>
      <c r="CW153" s="267">
        <v>0</v>
      </c>
      <c r="CX153" s="267">
        <v>0</v>
      </c>
      <c r="CY153" s="267">
        <v>0</v>
      </c>
      <c r="CZ153" s="267">
        <v>0</v>
      </c>
      <c r="DA153" s="267">
        <v>70</v>
      </c>
      <c r="DB153" s="16">
        <v>93</v>
      </c>
      <c r="DD153" s="259"/>
      <c r="FF153" s="275" t="s">
        <v>1769</v>
      </c>
      <c r="FG153" s="275" t="s">
        <v>2840</v>
      </c>
      <c r="FH153" s="275">
        <v>1995</v>
      </c>
      <c r="FI153" s="275">
        <v>1515</v>
      </c>
      <c r="FJ153" s="275">
        <v>818</v>
      </c>
      <c r="FK153" s="275">
        <v>760</v>
      </c>
      <c r="FL153" s="275">
        <v>874</v>
      </c>
      <c r="FM153" s="275">
        <v>5962</v>
      </c>
      <c r="FN153" s="275"/>
      <c r="FO153" s="275" t="s">
        <v>2840</v>
      </c>
      <c r="FP153" s="275">
        <v>477</v>
      </c>
      <c r="FQ153" s="275">
        <v>66</v>
      </c>
      <c r="FR153" s="275">
        <v>7</v>
      </c>
      <c r="FS153" s="275">
        <v>0</v>
      </c>
      <c r="FT153" s="275">
        <v>0</v>
      </c>
      <c r="FU153" s="275">
        <v>550</v>
      </c>
      <c r="FV153" s="16">
        <v>350</v>
      </c>
    </row>
    <row r="154" spans="2:179" x14ac:dyDescent="0.3">
      <c r="B154" s="71" t="s">
        <v>7</v>
      </c>
      <c r="C154" s="71" t="s">
        <v>2840</v>
      </c>
      <c r="D154" s="71">
        <v>7</v>
      </c>
      <c r="E154" s="71">
        <v>2</v>
      </c>
      <c r="F154" s="71">
        <v>2</v>
      </c>
      <c r="G154" s="71">
        <v>1</v>
      </c>
      <c r="H154" s="71">
        <v>0</v>
      </c>
      <c r="I154" s="71">
        <v>12</v>
      </c>
      <c r="K154" s="71" t="s">
        <v>2840</v>
      </c>
      <c r="L154" s="71">
        <v>154</v>
      </c>
      <c r="M154" s="71">
        <v>232</v>
      </c>
      <c r="N154" s="71">
        <v>409</v>
      </c>
      <c r="O154" s="71">
        <v>498</v>
      </c>
      <c r="P154" s="71">
        <v>433</v>
      </c>
      <c r="Q154" s="71">
        <v>1726</v>
      </c>
      <c r="R154" s="186">
        <v>15</v>
      </c>
      <c r="AK154" s="73" t="s">
        <v>719</v>
      </c>
      <c r="AL154" s="73" t="s">
        <v>1968</v>
      </c>
      <c r="AM154" s="73">
        <v>520</v>
      </c>
      <c r="AN154" s="73">
        <v>422</v>
      </c>
      <c r="AO154" s="73">
        <v>467</v>
      </c>
      <c r="AP154" s="73">
        <v>454</v>
      </c>
      <c r="AQ154" s="73">
        <v>292</v>
      </c>
      <c r="AR154" s="73">
        <v>2155</v>
      </c>
      <c r="AS154" s="73"/>
      <c r="AT154" s="73" t="s">
        <v>1968</v>
      </c>
      <c r="AU154" s="73">
        <v>87</v>
      </c>
      <c r="AV154" s="73">
        <v>6</v>
      </c>
      <c r="AW154" s="73">
        <v>1</v>
      </c>
      <c r="AX154" s="73">
        <v>1</v>
      </c>
      <c r="AY154" s="73">
        <v>0</v>
      </c>
      <c r="AZ154" s="73">
        <v>95</v>
      </c>
      <c r="BB154" s="78" t="s">
        <v>880</v>
      </c>
      <c r="BC154" s="78" t="s">
        <v>1968</v>
      </c>
      <c r="BD154" s="78">
        <v>521</v>
      </c>
      <c r="BE154" s="78">
        <v>645</v>
      </c>
      <c r="BF154" s="78">
        <v>999</v>
      </c>
      <c r="BG154" s="78">
        <v>1117</v>
      </c>
      <c r="BH154" s="78">
        <v>908</v>
      </c>
      <c r="BI154" s="78">
        <v>4190</v>
      </c>
      <c r="BJ154" s="78"/>
      <c r="BK154" s="78" t="s">
        <v>1968</v>
      </c>
      <c r="BL154" s="78">
        <v>20</v>
      </c>
      <c r="BM154" s="78">
        <v>0</v>
      </c>
      <c r="BN154" s="78">
        <v>0</v>
      </c>
      <c r="BO154" s="78">
        <v>0</v>
      </c>
      <c r="BP154" s="78">
        <v>0</v>
      </c>
      <c r="BQ154" s="78">
        <v>20</v>
      </c>
      <c r="CL154" s="267" t="s">
        <v>1254</v>
      </c>
      <c r="CM154" s="267" t="s">
        <v>2840</v>
      </c>
      <c r="CN154" s="267">
        <v>50</v>
      </c>
      <c r="CO154" s="267">
        <v>53</v>
      </c>
      <c r="CP154" s="267">
        <v>55</v>
      </c>
      <c r="CQ154" s="267">
        <v>40</v>
      </c>
      <c r="CR154" s="267">
        <v>81</v>
      </c>
      <c r="CS154" s="267">
        <v>279</v>
      </c>
      <c r="CT154" s="267"/>
      <c r="CU154" s="267" t="s">
        <v>2840</v>
      </c>
      <c r="CV154" s="267">
        <v>4</v>
      </c>
      <c r="CW154" s="267">
        <v>0</v>
      </c>
      <c r="CX154" s="267">
        <v>0</v>
      </c>
      <c r="CY154" s="267">
        <v>0</v>
      </c>
      <c r="CZ154" s="267">
        <v>0</v>
      </c>
      <c r="DA154" s="267">
        <v>4</v>
      </c>
      <c r="DB154" s="16" t="s">
        <v>3395</v>
      </c>
      <c r="DD154" s="259" t="s">
        <v>3430</v>
      </c>
      <c r="FF154" s="275" t="s">
        <v>1773</v>
      </c>
      <c r="FG154" s="275" t="s">
        <v>2840</v>
      </c>
      <c r="FH154" s="275">
        <v>246</v>
      </c>
      <c r="FI154" s="275">
        <v>387</v>
      </c>
      <c r="FJ154" s="275">
        <v>493</v>
      </c>
      <c r="FK154" s="275">
        <v>522</v>
      </c>
      <c r="FL154" s="275">
        <v>585</v>
      </c>
      <c r="FM154" s="275">
        <v>2233</v>
      </c>
      <c r="FN154" s="275"/>
      <c r="FO154" s="275" t="s">
        <v>2840</v>
      </c>
      <c r="FP154" s="275">
        <v>51</v>
      </c>
      <c r="FQ154" s="275">
        <v>1</v>
      </c>
      <c r="FR154" s="275">
        <v>0</v>
      </c>
      <c r="FS154" s="275">
        <v>0</v>
      </c>
      <c r="FT154" s="275">
        <v>0</v>
      </c>
      <c r="FU154" s="275">
        <v>52</v>
      </c>
      <c r="FV154" s="16">
        <v>45</v>
      </c>
    </row>
    <row r="155" spans="2:179" x14ac:dyDescent="0.3">
      <c r="B155" s="71" t="s">
        <v>12</v>
      </c>
      <c r="C155" s="71" t="s">
        <v>2840</v>
      </c>
      <c r="D155" s="71">
        <v>152</v>
      </c>
      <c r="E155" s="71">
        <v>5</v>
      </c>
      <c r="F155" s="71">
        <v>1</v>
      </c>
      <c r="G155" s="71">
        <v>1</v>
      </c>
      <c r="H155" s="71">
        <v>0</v>
      </c>
      <c r="I155" s="71">
        <v>159</v>
      </c>
      <c r="K155" s="71" t="s">
        <v>2840</v>
      </c>
      <c r="L155" s="71">
        <v>925</v>
      </c>
      <c r="M155" s="71">
        <v>718</v>
      </c>
      <c r="N155" s="71">
        <v>818</v>
      </c>
      <c r="O155" s="71">
        <v>835</v>
      </c>
      <c r="P155" s="71">
        <v>593</v>
      </c>
      <c r="Q155" s="71">
        <v>3889</v>
      </c>
      <c r="R155" s="186">
        <v>150</v>
      </c>
      <c r="AK155" s="73" t="s">
        <v>726</v>
      </c>
      <c r="AL155" s="73" t="s">
        <v>1968</v>
      </c>
      <c r="AM155" s="73">
        <v>888</v>
      </c>
      <c r="AN155" s="73">
        <v>831</v>
      </c>
      <c r="AO155" s="73">
        <v>1314</v>
      </c>
      <c r="AP155" s="73">
        <v>1774</v>
      </c>
      <c r="AQ155" s="73">
        <v>1352</v>
      </c>
      <c r="AR155" s="73">
        <v>6159</v>
      </c>
      <c r="AS155" s="73"/>
      <c r="AT155" s="73" t="s">
        <v>1968</v>
      </c>
      <c r="AU155" s="73">
        <v>49</v>
      </c>
      <c r="AV155" s="73">
        <v>0</v>
      </c>
      <c r="AW155" s="73">
        <v>0</v>
      </c>
      <c r="AX155" s="73">
        <v>0</v>
      </c>
      <c r="AY155" s="73">
        <v>0</v>
      </c>
      <c r="AZ155" s="73">
        <v>49</v>
      </c>
      <c r="BB155" s="78" t="s">
        <v>884</v>
      </c>
      <c r="BC155" s="78" t="s">
        <v>1968</v>
      </c>
      <c r="BD155" s="78">
        <v>1642</v>
      </c>
      <c r="BE155" s="78">
        <v>1180</v>
      </c>
      <c r="BF155" s="78">
        <v>1104</v>
      </c>
      <c r="BG155" s="78">
        <v>1005</v>
      </c>
      <c r="BH155" s="78">
        <v>723</v>
      </c>
      <c r="BI155" s="78">
        <v>5654</v>
      </c>
      <c r="BJ155" s="78"/>
      <c r="BK155" s="78" t="s">
        <v>1968</v>
      </c>
      <c r="BL155" s="78">
        <v>251</v>
      </c>
      <c r="BM155" s="78">
        <v>3</v>
      </c>
      <c r="BN155" s="78">
        <v>0</v>
      </c>
      <c r="BO155" s="78">
        <v>0</v>
      </c>
      <c r="BP155" s="78">
        <v>0</v>
      </c>
      <c r="BQ155" s="78">
        <v>254</v>
      </c>
      <c r="CL155" s="267" t="s">
        <v>1258</v>
      </c>
      <c r="CM155" s="267" t="s">
        <v>2840</v>
      </c>
      <c r="CN155" s="267">
        <v>400</v>
      </c>
      <c r="CO155" s="267">
        <v>73</v>
      </c>
      <c r="CP155" s="267">
        <v>142</v>
      </c>
      <c r="CQ155" s="267">
        <v>170</v>
      </c>
      <c r="CR155" s="267">
        <v>285</v>
      </c>
      <c r="CS155" s="267">
        <v>1070</v>
      </c>
      <c r="CT155" s="267"/>
      <c r="CU155" s="267" t="s">
        <v>2840</v>
      </c>
      <c r="CV155" s="267">
        <v>135</v>
      </c>
      <c r="CW155" s="267">
        <v>0</v>
      </c>
      <c r="CX155" s="267">
        <v>0</v>
      </c>
      <c r="CY155" s="267">
        <v>0</v>
      </c>
      <c r="CZ155" s="267">
        <v>0</v>
      </c>
      <c r="DA155" s="267">
        <v>135</v>
      </c>
      <c r="DB155" s="16">
        <v>295</v>
      </c>
      <c r="DD155" s="259"/>
      <c r="FF155" s="275" t="s">
        <v>1777</v>
      </c>
      <c r="FG155" s="275" t="s">
        <v>2840</v>
      </c>
      <c r="FH155" s="275">
        <v>203</v>
      </c>
      <c r="FI155" s="275">
        <v>305</v>
      </c>
      <c r="FJ155" s="275">
        <v>489</v>
      </c>
      <c r="FK155" s="275">
        <v>486</v>
      </c>
      <c r="FL155" s="275">
        <v>582</v>
      </c>
      <c r="FM155" s="275">
        <v>2065</v>
      </c>
      <c r="FN155" s="275"/>
      <c r="FO155" s="275" t="s">
        <v>2840</v>
      </c>
      <c r="FP155" s="275">
        <v>17</v>
      </c>
      <c r="FQ155" s="275">
        <v>0</v>
      </c>
      <c r="FR155" s="275">
        <v>0</v>
      </c>
      <c r="FS155" s="275">
        <v>0</v>
      </c>
      <c r="FT155" s="275">
        <v>0</v>
      </c>
      <c r="FU155" s="275">
        <v>17</v>
      </c>
      <c r="FV155" s="16">
        <v>20</v>
      </c>
      <c r="FW155" s="259" t="s">
        <v>2977</v>
      </c>
    </row>
    <row r="156" spans="2:179" x14ac:dyDescent="0.3">
      <c r="B156" s="71" t="s">
        <v>17</v>
      </c>
      <c r="C156" s="71" t="s">
        <v>2840</v>
      </c>
      <c r="D156" s="71">
        <v>56</v>
      </c>
      <c r="E156" s="71">
        <v>5</v>
      </c>
      <c r="F156" s="71">
        <v>0</v>
      </c>
      <c r="G156" s="71">
        <v>0</v>
      </c>
      <c r="H156" s="71">
        <v>0</v>
      </c>
      <c r="I156" s="71">
        <v>61</v>
      </c>
      <c r="K156" s="71" t="s">
        <v>2840</v>
      </c>
      <c r="L156" s="71">
        <v>651</v>
      </c>
      <c r="M156" s="71">
        <v>971</v>
      </c>
      <c r="N156" s="71">
        <v>1325</v>
      </c>
      <c r="O156" s="71">
        <v>1457</v>
      </c>
      <c r="P156" s="71">
        <v>893</v>
      </c>
      <c r="Q156" s="71">
        <v>5297</v>
      </c>
      <c r="R156" s="186">
        <v>60</v>
      </c>
      <c r="AK156" s="73" t="s">
        <v>730</v>
      </c>
      <c r="AL156" s="73" t="s">
        <v>1968</v>
      </c>
      <c r="AM156" s="73">
        <v>825</v>
      </c>
      <c r="AN156" s="73">
        <v>1025</v>
      </c>
      <c r="AO156" s="73">
        <v>1450</v>
      </c>
      <c r="AP156" s="73">
        <v>1625</v>
      </c>
      <c r="AQ156" s="73">
        <v>1073</v>
      </c>
      <c r="AR156" s="73">
        <v>5998</v>
      </c>
      <c r="AS156" s="73"/>
      <c r="AT156" s="73" t="s">
        <v>1968</v>
      </c>
      <c r="AU156" s="73">
        <v>52</v>
      </c>
      <c r="AV156" s="73">
        <v>3</v>
      </c>
      <c r="AW156" s="73">
        <v>0</v>
      </c>
      <c r="AX156" s="73">
        <v>0</v>
      </c>
      <c r="AY156" s="73">
        <v>2</v>
      </c>
      <c r="AZ156" s="73">
        <v>57</v>
      </c>
      <c r="BB156" s="78" t="s">
        <v>904</v>
      </c>
      <c r="BC156" s="78" t="s">
        <v>1968</v>
      </c>
      <c r="BD156" s="78">
        <v>141</v>
      </c>
      <c r="BE156" s="78">
        <v>108</v>
      </c>
      <c r="BF156" s="78">
        <v>181</v>
      </c>
      <c r="BG156" s="78">
        <v>232</v>
      </c>
      <c r="BH156" s="78">
        <v>216</v>
      </c>
      <c r="BI156" s="78">
        <v>878</v>
      </c>
      <c r="BJ156" s="78"/>
      <c r="BK156" s="78" t="s">
        <v>1968</v>
      </c>
      <c r="BL156" s="78">
        <v>26</v>
      </c>
      <c r="BM156" s="78">
        <v>0</v>
      </c>
      <c r="BN156" s="78">
        <v>1</v>
      </c>
      <c r="BO156" s="78">
        <v>0</v>
      </c>
      <c r="BP156" s="78">
        <v>0</v>
      </c>
      <c r="BQ156" s="78">
        <v>27</v>
      </c>
      <c r="CL156" s="267" t="s">
        <v>1262</v>
      </c>
      <c r="CM156" s="267" t="s">
        <v>2840</v>
      </c>
      <c r="CN156" s="267">
        <v>1251</v>
      </c>
      <c r="CO156" s="267">
        <v>768</v>
      </c>
      <c r="CP156" s="267">
        <v>1017</v>
      </c>
      <c r="CQ156" s="267">
        <v>945</v>
      </c>
      <c r="CR156" s="267">
        <v>801</v>
      </c>
      <c r="CS156" s="267">
        <v>4782</v>
      </c>
      <c r="CT156" s="267"/>
      <c r="CU156" s="267" t="s">
        <v>2840</v>
      </c>
      <c r="CV156" s="267">
        <v>165</v>
      </c>
      <c r="CW156" s="267">
        <v>5</v>
      </c>
      <c r="CX156" s="267">
        <v>1</v>
      </c>
      <c r="CY156" s="267">
        <v>0</v>
      </c>
      <c r="CZ156" s="267">
        <v>0</v>
      </c>
      <c r="DA156" s="267">
        <v>171</v>
      </c>
      <c r="DB156" s="16" t="s">
        <v>3395</v>
      </c>
      <c r="DD156" s="259" t="s">
        <v>3430</v>
      </c>
      <c r="FF156" s="275" t="s">
        <v>1781</v>
      </c>
      <c r="FG156" s="275" t="s">
        <v>2840</v>
      </c>
      <c r="FH156" s="275">
        <v>387</v>
      </c>
      <c r="FI156" s="275">
        <v>498</v>
      </c>
      <c r="FJ156" s="275">
        <v>638</v>
      </c>
      <c r="FK156" s="275">
        <v>636</v>
      </c>
      <c r="FL156" s="275">
        <v>656</v>
      </c>
      <c r="FM156" s="275">
        <v>2815</v>
      </c>
      <c r="FN156" s="275"/>
      <c r="FO156" s="275" t="s">
        <v>2840</v>
      </c>
      <c r="FP156" s="275">
        <v>69</v>
      </c>
      <c r="FQ156" s="275">
        <v>0</v>
      </c>
      <c r="FR156" s="275">
        <v>0</v>
      </c>
      <c r="FS156" s="275">
        <v>0</v>
      </c>
      <c r="FT156" s="275">
        <v>0</v>
      </c>
      <c r="FU156" s="275">
        <v>69</v>
      </c>
      <c r="FV156" s="16">
        <v>60</v>
      </c>
    </row>
    <row r="157" spans="2:179" x14ac:dyDescent="0.3">
      <c r="B157" s="71" t="s">
        <v>22</v>
      </c>
      <c r="C157" s="71" t="s">
        <v>2840</v>
      </c>
      <c r="D157" s="71">
        <v>75</v>
      </c>
      <c r="E157" s="71">
        <v>2</v>
      </c>
      <c r="F157" s="71">
        <v>0</v>
      </c>
      <c r="G157" s="71">
        <v>2</v>
      </c>
      <c r="H157" s="71">
        <v>0</v>
      </c>
      <c r="I157" s="71">
        <v>79</v>
      </c>
      <c r="K157" s="71" t="s">
        <v>2840</v>
      </c>
      <c r="L157" s="71">
        <v>601</v>
      </c>
      <c r="M157" s="71">
        <v>725</v>
      </c>
      <c r="N157" s="71">
        <v>1107</v>
      </c>
      <c r="O157" s="71">
        <v>1201</v>
      </c>
      <c r="P157" s="71">
        <v>830</v>
      </c>
      <c r="Q157" s="71">
        <v>4464</v>
      </c>
      <c r="R157" s="186">
        <v>85</v>
      </c>
      <c r="AK157" s="73" t="s">
        <v>734</v>
      </c>
      <c r="AL157" s="73" t="s">
        <v>1968</v>
      </c>
      <c r="AM157" s="73">
        <v>708</v>
      </c>
      <c r="AN157" s="73">
        <v>674</v>
      </c>
      <c r="AO157" s="73">
        <v>750</v>
      </c>
      <c r="AP157" s="73">
        <v>869</v>
      </c>
      <c r="AQ157" s="73">
        <v>607</v>
      </c>
      <c r="AR157" s="73">
        <v>3608</v>
      </c>
      <c r="AS157" s="73"/>
      <c r="AT157" s="73" t="s">
        <v>1968</v>
      </c>
      <c r="AU157" s="73">
        <v>79</v>
      </c>
      <c r="AV157" s="73">
        <v>0</v>
      </c>
      <c r="AW157" s="73">
        <v>0</v>
      </c>
      <c r="AX157" s="73">
        <v>1</v>
      </c>
      <c r="AY157" s="73">
        <v>1</v>
      </c>
      <c r="AZ157" s="73">
        <v>81</v>
      </c>
      <c r="BB157" s="78" t="s">
        <v>909</v>
      </c>
      <c r="BC157" s="78" t="s">
        <v>1968</v>
      </c>
      <c r="BD157" s="78">
        <v>380</v>
      </c>
      <c r="BE157" s="78">
        <v>523</v>
      </c>
      <c r="BF157" s="78">
        <v>726</v>
      </c>
      <c r="BG157" s="78">
        <v>853</v>
      </c>
      <c r="BH157" s="78">
        <v>575</v>
      </c>
      <c r="BI157" s="78">
        <v>3057</v>
      </c>
      <c r="BJ157" s="78"/>
      <c r="BK157" s="78" t="s">
        <v>1968</v>
      </c>
      <c r="BL157" s="78">
        <v>33</v>
      </c>
      <c r="BM157" s="78">
        <v>0</v>
      </c>
      <c r="BN157" s="78">
        <v>0</v>
      </c>
      <c r="BO157" s="78">
        <v>0</v>
      </c>
      <c r="BP157" s="78">
        <v>0</v>
      </c>
      <c r="BQ157" s="78">
        <v>33</v>
      </c>
      <c r="CL157" s="267" t="s">
        <v>2210</v>
      </c>
      <c r="CM157" s="267" t="s">
        <v>2840</v>
      </c>
      <c r="CN157" s="267" t="s">
        <v>1970</v>
      </c>
      <c r="CO157" s="267" t="s">
        <v>1970</v>
      </c>
      <c r="CP157" s="267" t="s">
        <v>1970</v>
      </c>
      <c r="CQ157" s="267" t="s">
        <v>1970</v>
      </c>
      <c r="CR157" s="267" t="s">
        <v>1970</v>
      </c>
      <c r="CS157" s="267" t="s">
        <v>1970</v>
      </c>
      <c r="CT157" s="267"/>
      <c r="CU157" s="267" t="s">
        <v>2840</v>
      </c>
      <c r="CV157" s="267" t="s">
        <v>1970</v>
      </c>
      <c r="CW157" s="267" t="s">
        <v>1970</v>
      </c>
      <c r="CX157" s="267" t="s">
        <v>1970</v>
      </c>
      <c r="CY157" s="267" t="s">
        <v>1970</v>
      </c>
      <c r="CZ157" s="267" t="s">
        <v>1970</v>
      </c>
      <c r="DA157" s="267" t="s">
        <v>1970</v>
      </c>
      <c r="DB157" s="16">
        <v>15</v>
      </c>
      <c r="DD157" s="259"/>
      <c r="FF157" s="275" t="s">
        <v>1785</v>
      </c>
      <c r="FG157" s="275" t="s">
        <v>2840</v>
      </c>
      <c r="FH157" s="275">
        <v>381</v>
      </c>
      <c r="FI157" s="275">
        <v>540</v>
      </c>
      <c r="FJ157" s="275">
        <v>693</v>
      </c>
      <c r="FK157" s="275">
        <v>650</v>
      </c>
      <c r="FL157" s="275">
        <v>764</v>
      </c>
      <c r="FM157" s="275">
        <v>3028</v>
      </c>
      <c r="FN157" s="275"/>
      <c r="FO157" s="275" t="s">
        <v>2840</v>
      </c>
      <c r="FP157" s="275">
        <v>57</v>
      </c>
      <c r="FQ157" s="275">
        <v>1</v>
      </c>
      <c r="FR157" s="275">
        <v>0</v>
      </c>
      <c r="FS157" s="275">
        <v>0</v>
      </c>
      <c r="FT157" s="275">
        <v>0</v>
      </c>
      <c r="FU157" s="275">
        <v>58</v>
      </c>
      <c r="FV157" s="16">
        <v>50</v>
      </c>
    </row>
    <row r="158" spans="2:179" x14ac:dyDescent="0.3">
      <c r="B158" s="71" t="s">
        <v>27</v>
      </c>
      <c r="C158" s="71" t="s">
        <v>2840</v>
      </c>
      <c r="D158" s="71">
        <v>15</v>
      </c>
      <c r="E158" s="71">
        <v>1</v>
      </c>
      <c r="F158" s="71">
        <v>0</v>
      </c>
      <c r="G158" s="71">
        <v>0</v>
      </c>
      <c r="H158" s="71">
        <v>0</v>
      </c>
      <c r="I158" s="71">
        <v>16</v>
      </c>
      <c r="K158" s="71" t="s">
        <v>2840</v>
      </c>
      <c r="L158" s="71">
        <v>318</v>
      </c>
      <c r="M158" s="71">
        <v>516</v>
      </c>
      <c r="N158" s="71">
        <v>685</v>
      </c>
      <c r="O158" s="71">
        <v>876</v>
      </c>
      <c r="P158" s="71">
        <v>547</v>
      </c>
      <c r="Q158" s="71">
        <v>2942</v>
      </c>
      <c r="R158" s="186">
        <v>20</v>
      </c>
      <c r="AK158" s="73" t="s">
        <v>738</v>
      </c>
      <c r="AL158" s="73" t="s">
        <v>1968</v>
      </c>
      <c r="AM158" s="73">
        <v>358</v>
      </c>
      <c r="AN158" s="73">
        <v>485</v>
      </c>
      <c r="AO158" s="73">
        <v>741</v>
      </c>
      <c r="AP158" s="73">
        <v>819</v>
      </c>
      <c r="AQ158" s="73">
        <v>546</v>
      </c>
      <c r="AR158" s="73">
        <v>2949</v>
      </c>
      <c r="AS158" s="73"/>
      <c r="AT158" s="73" t="s">
        <v>1968</v>
      </c>
      <c r="AU158" s="73">
        <v>22</v>
      </c>
      <c r="AV158" s="73">
        <v>2</v>
      </c>
      <c r="AW158" s="73">
        <v>0</v>
      </c>
      <c r="AX158" s="73">
        <v>0</v>
      </c>
      <c r="AY158" s="73">
        <v>1</v>
      </c>
      <c r="AZ158" s="73">
        <v>25</v>
      </c>
      <c r="BB158" s="78" t="s">
        <v>922</v>
      </c>
      <c r="BC158" s="78" t="s">
        <v>1968</v>
      </c>
      <c r="BD158" s="78">
        <v>146</v>
      </c>
      <c r="BE158" s="78">
        <v>162</v>
      </c>
      <c r="BF158" s="78">
        <v>389</v>
      </c>
      <c r="BG158" s="78">
        <v>583</v>
      </c>
      <c r="BH158" s="78">
        <v>445</v>
      </c>
      <c r="BI158" s="78">
        <v>1725</v>
      </c>
      <c r="BJ158" s="78"/>
      <c r="BK158" s="78" t="s">
        <v>1968</v>
      </c>
      <c r="BL158" s="78">
        <v>28</v>
      </c>
      <c r="BM158" s="78">
        <v>0</v>
      </c>
      <c r="BN158" s="78">
        <v>0</v>
      </c>
      <c r="BO158" s="78">
        <v>0</v>
      </c>
      <c r="BP158" s="78">
        <v>0</v>
      </c>
      <c r="BQ158" s="78">
        <v>28</v>
      </c>
      <c r="CL158" s="267" t="s">
        <v>1270</v>
      </c>
      <c r="CM158" s="267" t="s">
        <v>2840</v>
      </c>
      <c r="CN158" s="267">
        <v>111</v>
      </c>
      <c r="CO158" s="267">
        <v>105</v>
      </c>
      <c r="CP158" s="267">
        <v>217</v>
      </c>
      <c r="CQ158" s="267">
        <v>309</v>
      </c>
      <c r="CR158" s="267">
        <v>259</v>
      </c>
      <c r="CS158" s="267">
        <v>1001</v>
      </c>
      <c r="CT158" s="267"/>
      <c r="CU158" s="267" t="s">
        <v>2840</v>
      </c>
      <c r="CV158" s="267">
        <v>18</v>
      </c>
      <c r="CW158" s="267">
        <v>0</v>
      </c>
      <c r="CX158" s="267">
        <v>0</v>
      </c>
      <c r="CY158" s="267">
        <v>0</v>
      </c>
      <c r="CZ158" s="267">
        <v>0</v>
      </c>
      <c r="DA158" s="267">
        <v>18</v>
      </c>
      <c r="DB158" s="16">
        <v>24</v>
      </c>
      <c r="DD158" s="259"/>
      <c r="FF158" s="275" t="s">
        <v>1789</v>
      </c>
      <c r="FG158" s="275" t="s">
        <v>2840</v>
      </c>
      <c r="FH158" s="275" t="s">
        <v>1970</v>
      </c>
      <c r="FI158" s="275" t="s">
        <v>1970</v>
      </c>
      <c r="FJ158" s="275" t="s">
        <v>1970</v>
      </c>
      <c r="FK158" s="275" t="s">
        <v>1970</v>
      </c>
      <c r="FL158" s="275" t="s">
        <v>1970</v>
      </c>
      <c r="FM158" s="275" t="s">
        <v>1970</v>
      </c>
      <c r="FN158" s="275"/>
      <c r="FO158" s="275" t="s">
        <v>2840</v>
      </c>
      <c r="FP158" s="275" t="s">
        <v>1970</v>
      </c>
      <c r="FQ158" s="275" t="s">
        <v>1970</v>
      </c>
      <c r="FR158" s="275" t="s">
        <v>1970</v>
      </c>
      <c r="FS158" s="275" t="s">
        <v>1970</v>
      </c>
      <c r="FT158" s="275" t="s">
        <v>1970</v>
      </c>
      <c r="FU158" s="275" t="s">
        <v>1970</v>
      </c>
      <c r="FV158" s="16">
        <v>50</v>
      </c>
    </row>
    <row r="159" spans="2:179" x14ac:dyDescent="0.3">
      <c r="B159" s="71" t="s">
        <v>31</v>
      </c>
      <c r="C159" s="71" t="s">
        <v>2840</v>
      </c>
      <c r="D159" s="71">
        <v>44</v>
      </c>
      <c r="E159" s="71">
        <v>1</v>
      </c>
      <c r="F159" s="71">
        <v>0</v>
      </c>
      <c r="G159" s="71">
        <v>0</v>
      </c>
      <c r="H159" s="71">
        <v>0</v>
      </c>
      <c r="I159" s="71">
        <v>45</v>
      </c>
      <c r="K159" s="71" t="s">
        <v>2840</v>
      </c>
      <c r="L159" s="71">
        <v>415</v>
      </c>
      <c r="M159" s="71">
        <v>664</v>
      </c>
      <c r="N159" s="71">
        <v>887</v>
      </c>
      <c r="O159" s="71">
        <v>1030</v>
      </c>
      <c r="P159" s="71">
        <v>559</v>
      </c>
      <c r="Q159" s="71">
        <v>3555</v>
      </c>
      <c r="R159" s="186">
        <v>36</v>
      </c>
      <c r="AK159" s="73" t="s">
        <v>742</v>
      </c>
      <c r="AL159" s="73" t="s">
        <v>1968</v>
      </c>
      <c r="AM159" s="73">
        <v>228</v>
      </c>
      <c r="AN159" s="73">
        <v>363</v>
      </c>
      <c r="AO159" s="73">
        <v>593</v>
      </c>
      <c r="AP159" s="73">
        <v>745</v>
      </c>
      <c r="AQ159" s="73">
        <v>545</v>
      </c>
      <c r="AR159" s="73">
        <v>2474</v>
      </c>
      <c r="AS159" s="73"/>
      <c r="AT159" s="73" t="s">
        <v>1968</v>
      </c>
      <c r="AU159" s="73">
        <v>22</v>
      </c>
      <c r="AV159" s="73">
        <v>3</v>
      </c>
      <c r="AW159" s="73">
        <v>1</v>
      </c>
      <c r="AX159" s="73">
        <v>1</v>
      </c>
      <c r="AY159" s="73">
        <v>0</v>
      </c>
      <c r="AZ159" s="73">
        <v>27</v>
      </c>
      <c r="BB159" s="78" t="s">
        <v>927</v>
      </c>
      <c r="BC159" s="78" t="s">
        <v>1968</v>
      </c>
      <c r="BD159" s="78">
        <v>184</v>
      </c>
      <c r="BE159" s="78">
        <v>244</v>
      </c>
      <c r="BF159" s="78">
        <v>490</v>
      </c>
      <c r="BG159" s="78">
        <v>700</v>
      </c>
      <c r="BH159" s="78">
        <v>569</v>
      </c>
      <c r="BI159" s="78">
        <v>2187</v>
      </c>
      <c r="BJ159" s="78"/>
      <c r="BK159" s="78" t="s">
        <v>1968</v>
      </c>
      <c r="BL159" s="78">
        <v>31</v>
      </c>
      <c r="BM159" s="78">
        <v>2</v>
      </c>
      <c r="BN159" s="78">
        <v>0</v>
      </c>
      <c r="BO159" s="78">
        <v>0</v>
      </c>
      <c r="BP159" s="78">
        <v>0</v>
      </c>
      <c r="BQ159" s="78">
        <v>33</v>
      </c>
      <c r="CL159" s="267" t="s">
        <v>1274</v>
      </c>
      <c r="CM159" s="267" t="s">
        <v>2840</v>
      </c>
      <c r="CN159" s="267">
        <v>122</v>
      </c>
      <c r="CO159" s="267">
        <v>137</v>
      </c>
      <c r="CP159" s="267">
        <v>268</v>
      </c>
      <c r="CQ159" s="267">
        <v>375</v>
      </c>
      <c r="CR159" s="267">
        <v>318</v>
      </c>
      <c r="CS159" s="267">
        <v>1220</v>
      </c>
      <c r="CT159" s="267"/>
      <c r="CU159" s="267" t="s">
        <v>2840</v>
      </c>
      <c r="CV159" s="267">
        <v>29</v>
      </c>
      <c r="CW159" s="267">
        <v>0</v>
      </c>
      <c r="CX159" s="267">
        <v>0</v>
      </c>
      <c r="CY159" s="267">
        <v>0</v>
      </c>
      <c r="CZ159" s="267">
        <v>0</v>
      </c>
      <c r="DA159" s="267">
        <v>29</v>
      </c>
      <c r="DB159" s="16">
        <v>35</v>
      </c>
      <c r="DD159" s="259"/>
      <c r="FF159" s="275" t="s">
        <v>1793</v>
      </c>
      <c r="FG159" s="275" t="s">
        <v>2840</v>
      </c>
      <c r="FH159" s="275">
        <v>355</v>
      </c>
      <c r="FI159" s="275">
        <v>397</v>
      </c>
      <c r="FJ159" s="275">
        <v>507</v>
      </c>
      <c r="FK159" s="275">
        <v>573</v>
      </c>
      <c r="FL159" s="275">
        <v>657</v>
      </c>
      <c r="FM159" s="275">
        <v>2489</v>
      </c>
      <c r="FN159" s="275"/>
      <c r="FO159" s="275" t="s">
        <v>2840</v>
      </c>
      <c r="FP159" s="275">
        <v>73</v>
      </c>
      <c r="FQ159" s="275">
        <v>21</v>
      </c>
      <c r="FR159" s="275">
        <v>7</v>
      </c>
      <c r="FS159" s="275">
        <v>2</v>
      </c>
      <c r="FT159" s="275">
        <v>10</v>
      </c>
      <c r="FU159" s="275">
        <v>113</v>
      </c>
      <c r="FV159" s="16">
        <v>80</v>
      </c>
    </row>
    <row r="160" spans="2:179" x14ac:dyDescent="0.3">
      <c r="B160" s="71" t="s">
        <v>35</v>
      </c>
      <c r="C160" s="71" t="s">
        <v>2840</v>
      </c>
      <c r="D160" s="71">
        <v>107</v>
      </c>
      <c r="E160" s="71">
        <v>5</v>
      </c>
      <c r="F160" s="71">
        <v>0</v>
      </c>
      <c r="G160" s="71">
        <v>0</v>
      </c>
      <c r="H160" s="71">
        <v>0</v>
      </c>
      <c r="I160" s="71">
        <v>112</v>
      </c>
      <c r="K160" s="71" t="s">
        <v>2840</v>
      </c>
      <c r="L160" s="71">
        <v>1429</v>
      </c>
      <c r="M160" s="71">
        <v>1035</v>
      </c>
      <c r="N160" s="71">
        <v>960</v>
      </c>
      <c r="O160" s="71">
        <v>872</v>
      </c>
      <c r="P160" s="71">
        <v>619</v>
      </c>
      <c r="Q160" s="71">
        <v>4915</v>
      </c>
      <c r="R160" s="186">
        <v>109</v>
      </c>
      <c r="AK160" s="73" t="s">
        <v>743</v>
      </c>
      <c r="AL160" s="73" t="s">
        <v>1968</v>
      </c>
      <c r="AM160" s="73">
        <v>332</v>
      </c>
      <c r="AN160" s="73">
        <v>451</v>
      </c>
      <c r="AO160" s="73">
        <v>587</v>
      </c>
      <c r="AP160" s="73">
        <v>655</v>
      </c>
      <c r="AQ160" s="73">
        <v>487</v>
      </c>
      <c r="AR160" s="73">
        <v>2512</v>
      </c>
      <c r="AS160" s="73"/>
      <c r="AT160" s="73" t="s">
        <v>1968</v>
      </c>
      <c r="AU160" s="73">
        <v>23</v>
      </c>
      <c r="AV160" s="73">
        <v>0</v>
      </c>
      <c r="AW160" s="73">
        <v>0</v>
      </c>
      <c r="AX160" s="73">
        <v>0</v>
      </c>
      <c r="AY160" s="73">
        <v>0</v>
      </c>
      <c r="AZ160" s="73">
        <v>23</v>
      </c>
      <c r="BB160" s="78" t="s">
        <v>932</v>
      </c>
      <c r="BC160" s="78" t="s">
        <v>1968</v>
      </c>
      <c r="BD160" s="78">
        <v>234</v>
      </c>
      <c r="BE160" s="78">
        <v>173</v>
      </c>
      <c r="BF160" s="78">
        <v>277</v>
      </c>
      <c r="BG160" s="78">
        <v>366</v>
      </c>
      <c r="BH160" s="78">
        <v>322</v>
      </c>
      <c r="BI160" s="78">
        <v>1372</v>
      </c>
      <c r="BJ160" s="78"/>
      <c r="BK160" s="78" t="s">
        <v>1968</v>
      </c>
      <c r="BL160" s="78">
        <v>35</v>
      </c>
      <c r="BM160" s="78">
        <v>0</v>
      </c>
      <c r="BN160" s="78">
        <v>0</v>
      </c>
      <c r="BO160" s="78">
        <v>0</v>
      </c>
      <c r="BP160" s="78">
        <v>0</v>
      </c>
      <c r="BQ160" s="78">
        <v>35</v>
      </c>
      <c r="CL160" s="267" t="s">
        <v>1277</v>
      </c>
      <c r="CM160" s="267" t="s">
        <v>2840</v>
      </c>
      <c r="CN160" s="267">
        <v>51</v>
      </c>
      <c r="CO160" s="267">
        <v>41</v>
      </c>
      <c r="CP160" s="267">
        <v>52</v>
      </c>
      <c r="CQ160" s="267">
        <v>55</v>
      </c>
      <c r="CR160" s="267">
        <v>48</v>
      </c>
      <c r="CS160" s="267">
        <v>247</v>
      </c>
      <c r="CT160" s="267"/>
      <c r="CU160" s="267" t="s">
        <v>2840</v>
      </c>
      <c r="CV160" s="267">
        <v>17</v>
      </c>
      <c r="CW160" s="267">
        <v>0</v>
      </c>
      <c r="CX160" s="267">
        <v>0</v>
      </c>
      <c r="CY160" s="267">
        <v>0</v>
      </c>
      <c r="CZ160" s="267">
        <v>0</v>
      </c>
      <c r="DA160" s="267">
        <v>17</v>
      </c>
      <c r="DB160" s="16">
        <v>24</v>
      </c>
      <c r="DD160" s="259"/>
      <c r="FF160" s="275" t="s">
        <v>1799</v>
      </c>
      <c r="FG160" s="275" t="s">
        <v>2840</v>
      </c>
      <c r="FH160" s="275">
        <v>532</v>
      </c>
      <c r="FI160" s="275">
        <v>510</v>
      </c>
      <c r="FJ160" s="275">
        <v>574</v>
      </c>
      <c r="FK160" s="275">
        <v>703</v>
      </c>
      <c r="FL160" s="275">
        <v>671</v>
      </c>
      <c r="FM160" s="275">
        <v>2990</v>
      </c>
      <c r="FN160" s="275"/>
      <c r="FO160" s="275" t="s">
        <v>2840</v>
      </c>
      <c r="FP160" s="275">
        <v>61</v>
      </c>
      <c r="FQ160" s="275">
        <v>14</v>
      </c>
      <c r="FR160" s="275">
        <v>5</v>
      </c>
      <c r="FS160" s="275">
        <v>2</v>
      </c>
      <c r="FT160" s="275">
        <v>4</v>
      </c>
      <c r="FU160" s="275">
        <v>86</v>
      </c>
      <c r="FV160" s="16">
        <v>80</v>
      </c>
    </row>
    <row r="161" spans="1:179" x14ac:dyDescent="0.3">
      <c r="B161" s="71" t="s">
        <v>39</v>
      </c>
      <c r="C161" s="71" t="s">
        <v>2840</v>
      </c>
      <c r="D161" s="71">
        <v>58</v>
      </c>
      <c r="E161" s="71">
        <v>5</v>
      </c>
      <c r="F161" s="71">
        <v>0</v>
      </c>
      <c r="G161" s="71">
        <v>0</v>
      </c>
      <c r="H161" s="71">
        <v>0</v>
      </c>
      <c r="I161" s="71">
        <v>63</v>
      </c>
      <c r="K161" s="71" t="s">
        <v>2840</v>
      </c>
      <c r="L161" s="71">
        <v>306</v>
      </c>
      <c r="M161" s="71">
        <v>283</v>
      </c>
      <c r="N161" s="71">
        <v>375</v>
      </c>
      <c r="O161" s="71">
        <v>450</v>
      </c>
      <c r="P161" s="71">
        <v>325</v>
      </c>
      <c r="Q161" s="71">
        <v>1739</v>
      </c>
      <c r="R161" s="186">
        <v>65</v>
      </c>
      <c r="BB161" s="78" t="s">
        <v>936</v>
      </c>
      <c r="BC161" s="78" t="s">
        <v>1968</v>
      </c>
      <c r="BD161" s="78">
        <v>496</v>
      </c>
      <c r="BE161" s="78">
        <v>71</v>
      </c>
      <c r="BF161" s="78">
        <v>108</v>
      </c>
      <c r="BG161" s="78">
        <v>145</v>
      </c>
      <c r="BH161" s="78">
        <v>251</v>
      </c>
      <c r="BI161" s="78">
        <v>1071</v>
      </c>
      <c r="BJ161" s="78"/>
      <c r="BK161" s="78" t="s">
        <v>1968</v>
      </c>
      <c r="BL161" s="78">
        <v>150</v>
      </c>
      <c r="BM161" s="78">
        <v>0</v>
      </c>
      <c r="BN161" s="78">
        <v>0</v>
      </c>
      <c r="BO161" s="78">
        <v>0</v>
      </c>
      <c r="BP161" s="78">
        <v>0</v>
      </c>
      <c r="BQ161" s="78">
        <v>150</v>
      </c>
      <c r="CL161" s="267" t="s">
        <v>1283</v>
      </c>
      <c r="CM161" s="267" t="s">
        <v>2840</v>
      </c>
      <c r="CN161" s="267" t="s">
        <v>1970</v>
      </c>
      <c r="CO161" s="267" t="s">
        <v>1970</v>
      </c>
      <c r="CP161" s="267" t="s">
        <v>1970</v>
      </c>
      <c r="CQ161" s="267" t="s">
        <v>1970</v>
      </c>
      <c r="CR161" s="267" t="s">
        <v>1970</v>
      </c>
      <c r="CS161" s="267" t="s">
        <v>1970</v>
      </c>
      <c r="CT161" s="267"/>
      <c r="CU161" s="267" t="s">
        <v>2840</v>
      </c>
      <c r="CV161" s="267" t="s">
        <v>1970</v>
      </c>
      <c r="CW161" s="267" t="s">
        <v>1970</v>
      </c>
      <c r="CX161" s="267" t="s">
        <v>1970</v>
      </c>
      <c r="CY161" s="267" t="s">
        <v>1970</v>
      </c>
      <c r="CZ161" s="267" t="s">
        <v>1970</v>
      </c>
      <c r="DA161" s="267" t="s">
        <v>1970</v>
      </c>
      <c r="DB161" s="16">
        <v>70</v>
      </c>
      <c r="DD161" s="259"/>
      <c r="FF161" s="275" t="s">
        <v>1805</v>
      </c>
      <c r="FG161" s="275" t="s">
        <v>2840</v>
      </c>
      <c r="FH161" s="275">
        <v>270</v>
      </c>
      <c r="FI161" s="275">
        <v>428</v>
      </c>
      <c r="FJ161" s="275">
        <v>566</v>
      </c>
      <c r="FK161" s="275">
        <v>584</v>
      </c>
      <c r="FL161" s="275">
        <v>593</v>
      </c>
      <c r="FM161" s="275">
        <v>2441</v>
      </c>
      <c r="FN161" s="275"/>
      <c r="FO161" s="275" t="s">
        <v>2840</v>
      </c>
      <c r="FP161" s="275">
        <v>30</v>
      </c>
      <c r="FQ161" s="275">
        <v>4</v>
      </c>
      <c r="FR161" s="275">
        <v>9</v>
      </c>
      <c r="FS161" s="275">
        <v>3</v>
      </c>
      <c r="FT161" s="275">
        <v>1</v>
      </c>
      <c r="FU161" s="275">
        <v>47</v>
      </c>
      <c r="FV161" s="16">
        <v>80</v>
      </c>
    </row>
    <row r="162" spans="1:179" x14ac:dyDescent="0.3">
      <c r="B162" s="71" t="s">
        <v>43</v>
      </c>
      <c r="C162" s="71" t="s">
        <v>2840</v>
      </c>
      <c r="D162" s="71">
        <v>6</v>
      </c>
      <c r="E162" s="71">
        <v>0</v>
      </c>
      <c r="F162" s="71">
        <v>0</v>
      </c>
      <c r="G162" s="71">
        <v>0</v>
      </c>
      <c r="H162" s="71">
        <v>0</v>
      </c>
      <c r="I162" s="71">
        <v>6</v>
      </c>
      <c r="K162" s="71" t="s">
        <v>2840</v>
      </c>
      <c r="L162" s="71">
        <v>64</v>
      </c>
      <c r="M162" s="71">
        <v>124</v>
      </c>
      <c r="N162" s="71">
        <v>229</v>
      </c>
      <c r="O162" s="71">
        <v>328</v>
      </c>
      <c r="P162" s="71">
        <v>287</v>
      </c>
      <c r="Q162" s="71">
        <v>1032</v>
      </c>
      <c r="R162" s="186">
        <v>10</v>
      </c>
      <c r="AK162" s="73" t="s">
        <v>440</v>
      </c>
      <c r="AL162" s="73" t="s">
        <v>1968</v>
      </c>
      <c r="AM162" s="73">
        <v>384</v>
      </c>
      <c r="AN162" s="73">
        <v>390</v>
      </c>
      <c r="AO162" s="73">
        <v>328</v>
      </c>
      <c r="AP162" s="73">
        <v>288</v>
      </c>
      <c r="AQ162" s="73">
        <v>464</v>
      </c>
      <c r="AR162" s="73">
        <v>1854</v>
      </c>
      <c r="AS162" s="73"/>
      <c r="AT162" s="73" t="s">
        <v>1968</v>
      </c>
      <c r="AU162" s="73">
        <v>139</v>
      </c>
      <c r="AV162" s="73">
        <v>57</v>
      </c>
      <c r="AW162" s="73">
        <v>49</v>
      </c>
      <c r="AX162" s="73">
        <v>51</v>
      </c>
      <c r="AY162" s="73">
        <v>65</v>
      </c>
      <c r="AZ162" s="73">
        <v>361</v>
      </c>
      <c r="BB162" s="78" t="s">
        <v>940</v>
      </c>
      <c r="BC162" s="78" t="s">
        <v>1968</v>
      </c>
      <c r="BD162" s="78">
        <v>70</v>
      </c>
      <c r="BE162" s="78">
        <v>38</v>
      </c>
      <c r="BF162" s="78">
        <v>36</v>
      </c>
      <c r="BG162" s="78">
        <v>42</v>
      </c>
      <c r="BH162" s="78">
        <v>107</v>
      </c>
      <c r="BI162" s="78">
        <v>293</v>
      </c>
      <c r="BJ162" s="78"/>
      <c r="BK162" s="78" t="s">
        <v>1968</v>
      </c>
      <c r="BL162" s="78">
        <v>36</v>
      </c>
      <c r="BM162" s="78">
        <v>0</v>
      </c>
      <c r="BN162" s="78">
        <v>0</v>
      </c>
      <c r="BO162" s="78">
        <v>0</v>
      </c>
      <c r="BP162" s="78">
        <v>0</v>
      </c>
      <c r="BQ162" s="78">
        <v>36</v>
      </c>
      <c r="CL162" s="267" t="s">
        <v>1287</v>
      </c>
      <c r="CM162" s="267" t="s">
        <v>2840</v>
      </c>
      <c r="CN162" s="267">
        <v>521</v>
      </c>
      <c r="CO162" s="267">
        <v>404</v>
      </c>
      <c r="CP162" s="267">
        <v>668</v>
      </c>
      <c r="CQ162" s="267">
        <v>1043</v>
      </c>
      <c r="CR162" s="267">
        <v>989</v>
      </c>
      <c r="CS162" s="267">
        <v>3625</v>
      </c>
      <c r="CT162" s="267"/>
      <c r="CU162" s="267" t="s">
        <v>2840</v>
      </c>
      <c r="CV162" s="267">
        <v>143</v>
      </c>
      <c r="CW162" s="267">
        <v>0</v>
      </c>
      <c r="CX162" s="267">
        <v>0</v>
      </c>
      <c r="CY162" s="267">
        <v>0</v>
      </c>
      <c r="CZ162" s="267">
        <v>0</v>
      </c>
      <c r="DA162" s="267">
        <v>143</v>
      </c>
      <c r="DB162" s="16">
        <v>114</v>
      </c>
      <c r="DD162" s="259"/>
      <c r="FF162" s="275" t="s">
        <v>1811</v>
      </c>
      <c r="FG162" s="275" t="s">
        <v>2840</v>
      </c>
      <c r="FH162" s="275">
        <v>2181</v>
      </c>
      <c r="FI162" s="275">
        <v>983</v>
      </c>
      <c r="FJ162" s="275">
        <v>751</v>
      </c>
      <c r="FK162" s="275">
        <v>649</v>
      </c>
      <c r="FL162" s="275">
        <v>686</v>
      </c>
      <c r="FM162" s="275">
        <v>5250</v>
      </c>
      <c r="FN162" s="275"/>
      <c r="FO162" s="275" t="s">
        <v>2840</v>
      </c>
      <c r="FP162" s="275">
        <v>375</v>
      </c>
      <c r="FQ162" s="275">
        <v>0</v>
      </c>
      <c r="FR162" s="275">
        <v>0</v>
      </c>
      <c r="FS162" s="275">
        <v>0</v>
      </c>
      <c r="FT162" s="275">
        <v>0</v>
      </c>
      <c r="FU162" s="275">
        <v>375</v>
      </c>
      <c r="FV162" s="16">
        <v>385</v>
      </c>
      <c r="FW162" s="259" t="s">
        <v>2978</v>
      </c>
    </row>
    <row r="163" spans="1:179" x14ac:dyDescent="0.3">
      <c r="B163" s="71" t="s">
        <v>47</v>
      </c>
      <c r="C163" s="71" t="s">
        <v>2840</v>
      </c>
      <c r="D163" s="71">
        <v>5</v>
      </c>
      <c r="E163" s="71">
        <v>1</v>
      </c>
      <c r="F163" s="71">
        <v>0</v>
      </c>
      <c r="G163" s="71">
        <v>0</v>
      </c>
      <c r="H163" s="71">
        <v>0</v>
      </c>
      <c r="I163" s="71">
        <v>6</v>
      </c>
      <c r="K163" s="71" t="s">
        <v>2840</v>
      </c>
      <c r="L163" s="71">
        <v>269</v>
      </c>
      <c r="M163" s="71">
        <v>384</v>
      </c>
      <c r="N163" s="71">
        <v>561</v>
      </c>
      <c r="O163" s="71">
        <v>625</v>
      </c>
      <c r="P163" s="71">
        <v>436</v>
      </c>
      <c r="Q163" s="71">
        <v>2275</v>
      </c>
      <c r="R163" s="186">
        <v>10</v>
      </c>
      <c r="AK163" s="73" t="s">
        <v>444</v>
      </c>
      <c r="AL163" s="73" t="s">
        <v>1968</v>
      </c>
      <c r="AM163" s="73">
        <v>537</v>
      </c>
      <c r="AN163" s="73">
        <v>622</v>
      </c>
      <c r="AO163" s="73">
        <v>422</v>
      </c>
      <c r="AP163" s="73">
        <v>371</v>
      </c>
      <c r="AQ163" s="73">
        <v>497</v>
      </c>
      <c r="AR163" s="73">
        <v>2449</v>
      </c>
      <c r="AS163" s="73"/>
      <c r="AT163" s="73" t="s">
        <v>1968</v>
      </c>
      <c r="AU163" s="73">
        <v>153</v>
      </c>
      <c r="AV163" s="73">
        <v>39</v>
      </c>
      <c r="AW163" s="73">
        <v>21</v>
      </c>
      <c r="AX163" s="73">
        <v>26</v>
      </c>
      <c r="AY163" s="73">
        <v>46</v>
      </c>
      <c r="AZ163" s="73">
        <v>285</v>
      </c>
      <c r="BB163" s="78" t="s">
        <v>944</v>
      </c>
      <c r="BC163" s="78" t="s">
        <v>1968</v>
      </c>
      <c r="BD163" s="78">
        <v>805</v>
      </c>
      <c r="BE163" s="78">
        <v>665</v>
      </c>
      <c r="BF163" s="78">
        <v>888</v>
      </c>
      <c r="BG163" s="78">
        <v>845</v>
      </c>
      <c r="BH163" s="78">
        <v>690</v>
      </c>
      <c r="BI163" s="78">
        <v>3893</v>
      </c>
      <c r="BJ163" s="78"/>
      <c r="BK163" s="78" t="s">
        <v>1968</v>
      </c>
      <c r="BL163" s="78">
        <v>204</v>
      </c>
      <c r="BM163" s="78">
        <v>0</v>
      </c>
      <c r="BN163" s="78">
        <v>0</v>
      </c>
      <c r="BO163" s="78">
        <v>0</v>
      </c>
      <c r="BP163" s="78">
        <v>0</v>
      </c>
      <c r="BQ163" s="78">
        <v>204</v>
      </c>
      <c r="CL163" s="267" t="s">
        <v>1291</v>
      </c>
      <c r="CM163" s="267" t="s">
        <v>2840</v>
      </c>
      <c r="CN163" s="267">
        <v>163</v>
      </c>
      <c r="CO163" s="267">
        <v>81</v>
      </c>
      <c r="CP163" s="267">
        <v>127</v>
      </c>
      <c r="CQ163" s="267">
        <v>195</v>
      </c>
      <c r="CR163" s="267">
        <v>151</v>
      </c>
      <c r="CS163" s="267">
        <v>717</v>
      </c>
      <c r="CT163" s="267"/>
      <c r="CU163" s="267" t="s">
        <v>2840</v>
      </c>
      <c r="CV163" s="267">
        <v>62</v>
      </c>
      <c r="CW163" s="267">
        <v>0</v>
      </c>
      <c r="CX163" s="267">
        <v>0</v>
      </c>
      <c r="CY163" s="267">
        <v>0</v>
      </c>
      <c r="CZ163" s="267">
        <v>0</v>
      </c>
      <c r="DA163" s="267">
        <v>62</v>
      </c>
      <c r="DB163" s="16">
        <v>50</v>
      </c>
      <c r="DD163" s="259"/>
      <c r="FF163" s="275" t="s">
        <v>1817</v>
      </c>
      <c r="FG163" s="275" t="s">
        <v>2840</v>
      </c>
      <c r="FH163" s="275">
        <v>817</v>
      </c>
      <c r="FI163" s="275">
        <v>1041</v>
      </c>
      <c r="FJ163" s="275">
        <v>672</v>
      </c>
      <c r="FK163" s="275">
        <v>585</v>
      </c>
      <c r="FL163" s="275">
        <v>579</v>
      </c>
      <c r="FM163" s="275">
        <v>3694</v>
      </c>
      <c r="FN163" s="275"/>
      <c r="FO163" s="275" t="s">
        <v>2840</v>
      </c>
      <c r="FP163" s="275">
        <v>165</v>
      </c>
      <c r="FQ163" s="275">
        <v>5</v>
      </c>
      <c r="FR163" s="275">
        <v>0</v>
      </c>
      <c r="FS163" s="275">
        <v>0</v>
      </c>
      <c r="FT163" s="275">
        <v>0</v>
      </c>
      <c r="FU163" s="275">
        <v>170</v>
      </c>
      <c r="FV163" s="16">
        <v>125</v>
      </c>
    </row>
    <row r="164" spans="1:179" x14ac:dyDescent="0.3">
      <c r="B164" s="71" t="s">
        <v>51</v>
      </c>
      <c r="C164" s="71" t="s">
        <v>2840</v>
      </c>
      <c r="D164" s="71">
        <v>19</v>
      </c>
      <c r="E164" s="71">
        <v>1</v>
      </c>
      <c r="F164" s="71">
        <v>0</v>
      </c>
      <c r="G164" s="71">
        <v>1</v>
      </c>
      <c r="H164" s="71">
        <v>0</v>
      </c>
      <c r="I164" s="71">
        <v>21</v>
      </c>
      <c r="K164" s="71" t="s">
        <v>2840</v>
      </c>
      <c r="L164" s="71">
        <v>95</v>
      </c>
      <c r="M164" s="71">
        <v>221</v>
      </c>
      <c r="N164" s="71">
        <v>380</v>
      </c>
      <c r="O164" s="71">
        <v>501</v>
      </c>
      <c r="P164" s="71">
        <v>344</v>
      </c>
      <c r="Q164" s="71">
        <v>1541</v>
      </c>
      <c r="R164" s="186">
        <v>24</v>
      </c>
      <c r="AK164" s="73" t="s">
        <v>448</v>
      </c>
      <c r="AL164" s="73" t="s">
        <v>1968</v>
      </c>
      <c r="AM164" s="73">
        <v>520</v>
      </c>
      <c r="AN164" s="73">
        <v>729</v>
      </c>
      <c r="AO164" s="73">
        <v>432</v>
      </c>
      <c r="AP164" s="73">
        <v>493</v>
      </c>
      <c r="AQ164" s="73">
        <v>534</v>
      </c>
      <c r="AR164" s="73">
        <v>2708</v>
      </c>
      <c r="AS164" s="73"/>
      <c r="AT164" s="73" t="s">
        <v>1968</v>
      </c>
      <c r="AU164" s="73">
        <v>135</v>
      </c>
      <c r="AV164" s="73">
        <v>40</v>
      </c>
      <c r="AW164" s="73">
        <v>40</v>
      </c>
      <c r="AX164" s="73">
        <v>51</v>
      </c>
      <c r="AY164" s="73">
        <v>41</v>
      </c>
      <c r="AZ164" s="73">
        <v>307</v>
      </c>
      <c r="BB164" s="78" t="s">
        <v>947</v>
      </c>
      <c r="BC164" s="78" t="s">
        <v>1968</v>
      </c>
      <c r="BD164" s="78">
        <v>128</v>
      </c>
      <c r="BE164" s="78">
        <v>157</v>
      </c>
      <c r="BF164" s="78">
        <v>281</v>
      </c>
      <c r="BG164" s="78">
        <v>385</v>
      </c>
      <c r="BH164" s="78">
        <v>373</v>
      </c>
      <c r="BI164" s="78">
        <v>1324</v>
      </c>
      <c r="BJ164" s="78"/>
      <c r="BK164" s="78" t="s">
        <v>1968</v>
      </c>
      <c r="BL164" s="78">
        <v>49</v>
      </c>
      <c r="BM164" s="78">
        <v>0</v>
      </c>
      <c r="BN164" s="78">
        <v>0</v>
      </c>
      <c r="BO164" s="78">
        <v>0</v>
      </c>
      <c r="BP164" s="78">
        <v>0</v>
      </c>
      <c r="BQ164" s="78">
        <v>49</v>
      </c>
      <c r="CL164" s="267" t="s">
        <v>1295</v>
      </c>
      <c r="CM164" s="267" t="s">
        <v>2840</v>
      </c>
      <c r="CN164" s="267">
        <v>212</v>
      </c>
      <c r="CO164" s="267">
        <v>299</v>
      </c>
      <c r="CP164" s="267">
        <v>508</v>
      </c>
      <c r="CQ164" s="267">
        <v>729</v>
      </c>
      <c r="CR164" s="267">
        <v>682</v>
      </c>
      <c r="CS164" s="267">
        <v>2430</v>
      </c>
      <c r="CT164" s="267"/>
      <c r="CU164" s="267" t="s">
        <v>2840</v>
      </c>
      <c r="CV164" s="267">
        <v>22</v>
      </c>
      <c r="CW164" s="267">
        <v>0</v>
      </c>
      <c r="CX164" s="267">
        <v>0</v>
      </c>
      <c r="CY164" s="267">
        <v>0</v>
      </c>
      <c r="CZ164" s="267">
        <v>0</v>
      </c>
      <c r="DA164" s="267">
        <v>22</v>
      </c>
      <c r="DB164" s="16">
        <v>30</v>
      </c>
      <c r="DD164" s="259"/>
      <c r="FE164" s="257" t="s">
        <v>3563</v>
      </c>
      <c r="FF164" s="275" t="s">
        <v>1823</v>
      </c>
      <c r="FG164" s="275" t="s">
        <v>2840</v>
      </c>
      <c r="FH164" s="275">
        <v>288</v>
      </c>
      <c r="FI164" s="275">
        <v>354</v>
      </c>
      <c r="FJ164" s="275">
        <v>481</v>
      </c>
      <c r="FK164" s="275">
        <v>496</v>
      </c>
      <c r="FL164" s="275">
        <v>516</v>
      </c>
      <c r="FM164" s="275">
        <v>2135</v>
      </c>
      <c r="FN164" s="275"/>
      <c r="FO164" s="275" t="s">
        <v>2840</v>
      </c>
      <c r="FP164" s="275">
        <v>54</v>
      </c>
      <c r="FQ164" s="275">
        <v>1</v>
      </c>
      <c r="FR164" s="275">
        <v>0</v>
      </c>
      <c r="FS164" s="275">
        <v>0</v>
      </c>
      <c r="FT164" s="275">
        <v>0</v>
      </c>
      <c r="FU164" s="275">
        <v>55</v>
      </c>
      <c r="FV164" s="16">
        <v>50</v>
      </c>
    </row>
    <row r="165" spans="1:179" x14ac:dyDescent="0.3">
      <c r="B165" s="71" t="s">
        <v>55</v>
      </c>
      <c r="C165" s="71" t="s">
        <v>2840</v>
      </c>
      <c r="D165" s="71">
        <v>22</v>
      </c>
      <c r="E165" s="71">
        <v>2</v>
      </c>
      <c r="F165" s="71">
        <v>1</v>
      </c>
      <c r="G165" s="71">
        <v>0</v>
      </c>
      <c r="H165" s="71">
        <v>0</v>
      </c>
      <c r="I165" s="71">
        <v>25</v>
      </c>
      <c r="K165" s="71" t="s">
        <v>2840</v>
      </c>
      <c r="L165" s="71">
        <v>148</v>
      </c>
      <c r="M165" s="71">
        <v>308</v>
      </c>
      <c r="N165" s="71">
        <v>529</v>
      </c>
      <c r="O165" s="71">
        <v>673</v>
      </c>
      <c r="P165" s="71">
        <v>436</v>
      </c>
      <c r="Q165" s="71">
        <v>2094</v>
      </c>
      <c r="R165" s="186">
        <v>24</v>
      </c>
      <c r="AK165" s="73" t="s">
        <v>452</v>
      </c>
      <c r="AL165" s="73" t="s">
        <v>1968</v>
      </c>
      <c r="AM165" s="73">
        <v>484</v>
      </c>
      <c r="AN165" s="73">
        <v>361</v>
      </c>
      <c r="AO165" s="73">
        <v>368</v>
      </c>
      <c r="AP165" s="73">
        <v>370</v>
      </c>
      <c r="AQ165" s="73">
        <v>486</v>
      </c>
      <c r="AR165" s="73">
        <v>2069</v>
      </c>
      <c r="AS165" s="73"/>
      <c r="AT165" s="73" t="s">
        <v>1968</v>
      </c>
      <c r="AU165" s="73">
        <v>190</v>
      </c>
      <c r="AV165" s="73">
        <v>35</v>
      </c>
      <c r="AW165" s="73">
        <v>33</v>
      </c>
      <c r="AX165" s="73">
        <v>22</v>
      </c>
      <c r="AY165" s="73">
        <v>52</v>
      </c>
      <c r="AZ165" s="73">
        <v>332</v>
      </c>
      <c r="BB165" s="78" t="s">
        <v>952</v>
      </c>
      <c r="BC165" s="78" t="s">
        <v>1968</v>
      </c>
      <c r="BD165" s="78">
        <v>327</v>
      </c>
      <c r="BE165" s="78">
        <v>488</v>
      </c>
      <c r="BF165" s="78">
        <v>710</v>
      </c>
      <c r="BG165" s="78">
        <v>766</v>
      </c>
      <c r="BH165" s="78">
        <v>712</v>
      </c>
      <c r="BI165" s="78">
        <v>3003</v>
      </c>
      <c r="BJ165" s="78"/>
      <c r="BK165" s="78" t="s">
        <v>1968</v>
      </c>
      <c r="BL165" s="78">
        <v>30</v>
      </c>
      <c r="BM165" s="78">
        <v>0</v>
      </c>
      <c r="BN165" s="78">
        <v>0</v>
      </c>
      <c r="BO165" s="78">
        <v>0</v>
      </c>
      <c r="BP165" s="78">
        <v>0</v>
      </c>
      <c r="BQ165" s="78">
        <v>30</v>
      </c>
      <c r="CL165" s="267" t="s">
        <v>1298</v>
      </c>
      <c r="CM165" s="267" t="s">
        <v>2840</v>
      </c>
      <c r="CN165" s="267">
        <v>433</v>
      </c>
      <c r="CO165" s="267">
        <v>260</v>
      </c>
      <c r="CP165" s="267">
        <v>335</v>
      </c>
      <c r="CQ165" s="267">
        <v>462</v>
      </c>
      <c r="CR165" s="267">
        <v>403</v>
      </c>
      <c r="CS165" s="267">
        <v>1893</v>
      </c>
      <c r="CT165" s="267"/>
      <c r="CU165" s="267" t="s">
        <v>2840</v>
      </c>
      <c r="CV165" s="267">
        <v>90</v>
      </c>
      <c r="CW165" s="267">
        <v>0</v>
      </c>
      <c r="CX165" s="267">
        <v>0</v>
      </c>
      <c r="CY165" s="267">
        <v>0</v>
      </c>
      <c r="CZ165" s="267">
        <v>0</v>
      </c>
      <c r="DA165" s="267">
        <v>90</v>
      </c>
      <c r="DB165" s="16" t="s">
        <v>3397</v>
      </c>
      <c r="DD165" s="259" t="s">
        <v>3431</v>
      </c>
      <c r="FE165" s="257" t="s">
        <v>3562</v>
      </c>
      <c r="FF165" s="275" t="s">
        <v>3561</v>
      </c>
      <c r="FG165" s="275" t="s">
        <v>2840</v>
      </c>
      <c r="FH165" s="275" t="s">
        <v>1978</v>
      </c>
      <c r="FI165" s="275" t="s">
        <v>1978</v>
      </c>
      <c r="FJ165" s="275" t="s">
        <v>1978</v>
      </c>
      <c r="FK165" s="275" t="s">
        <v>1978</v>
      </c>
      <c r="FL165" s="275" t="s">
        <v>1978</v>
      </c>
      <c r="FM165" s="275" t="s">
        <v>1978</v>
      </c>
      <c r="FN165" s="275"/>
      <c r="FO165" s="275" t="s">
        <v>2840</v>
      </c>
      <c r="FP165" s="275" t="s">
        <v>1978</v>
      </c>
      <c r="FQ165" s="275" t="s">
        <v>1978</v>
      </c>
      <c r="FR165" s="275" t="s">
        <v>1978</v>
      </c>
      <c r="FS165" s="275" t="s">
        <v>1978</v>
      </c>
      <c r="FT165" s="275" t="s">
        <v>1978</v>
      </c>
      <c r="FU165" s="275" t="s">
        <v>1978</v>
      </c>
      <c r="FV165" s="16">
        <v>50</v>
      </c>
    </row>
    <row r="166" spans="1:179" x14ac:dyDescent="0.3">
      <c r="B166" s="71" t="s">
        <v>59</v>
      </c>
      <c r="C166" s="71" t="s">
        <v>2840</v>
      </c>
      <c r="D166" s="71">
        <v>22</v>
      </c>
      <c r="E166" s="71">
        <v>11</v>
      </c>
      <c r="F166" s="71">
        <v>0</v>
      </c>
      <c r="G166" s="71">
        <v>0</v>
      </c>
      <c r="H166" s="71">
        <v>0</v>
      </c>
      <c r="I166" s="71">
        <v>33</v>
      </c>
      <c r="K166" s="71" t="s">
        <v>2840</v>
      </c>
      <c r="L166" s="71">
        <v>411</v>
      </c>
      <c r="M166" s="71">
        <v>641</v>
      </c>
      <c r="N166" s="71">
        <v>812</v>
      </c>
      <c r="O166" s="71">
        <v>961</v>
      </c>
      <c r="P166" s="71">
        <v>635</v>
      </c>
      <c r="Q166" s="71">
        <v>3460</v>
      </c>
      <c r="R166" s="186">
        <v>24</v>
      </c>
      <c r="AK166" s="73" t="s">
        <v>456</v>
      </c>
      <c r="AL166" s="73" t="s">
        <v>1968</v>
      </c>
      <c r="AM166" s="73">
        <v>774</v>
      </c>
      <c r="AN166" s="73">
        <v>679</v>
      </c>
      <c r="AO166" s="73">
        <v>549</v>
      </c>
      <c r="AP166" s="73">
        <v>565</v>
      </c>
      <c r="AQ166" s="73">
        <v>772</v>
      </c>
      <c r="AR166" s="73">
        <v>3339</v>
      </c>
      <c r="AS166" s="73"/>
      <c r="AT166" s="73" t="s">
        <v>1968</v>
      </c>
      <c r="AU166" s="73">
        <v>144</v>
      </c>
      <c r="AV166" s="73">
        <v>15</v>
      </c>
      <c r="AW166" s="73">
        <v>12</v>
      </c>
      <c r="AX166" s="73">
        <v>10</v>
      </c>
      <c r="AY166" s="73">
        <v>23</v>
      </c>
      <c r="AZ166" s="73">
        <v>204</v>
      </c>
      <c r="BB166" s="78" t="s">
        <v>957</v>
      </c>
      <c r="BC166" s="78" t="s">
        <v>1968</v>
      </c>
      <c r="BD166" s="78">
        <v>120</v>
      </c>
      <c r="BE166" s="78">
        <v>108</v>
      </c>
      <c r="BF166" s="78">
        <v>243</v>
      </c>
      <c r="BG166" s="78">
        <v>360</v>
      </c>
      <c r="BH166" s="78">
        <v>352</v>
      </c>
      <c r="BI166" s="78">
        <v>1183</v>
      </c>
      <c r="BJ166" s="78"/>
      <c r="BK166" s="78" t="s">
        <v>1968</v>
      </c>
      <c r="BL166" s="78">
        <v>22</v>
      </c>
      <c r="BM166" s="78">
        <v>0</v>
      </c>
      <c r="BN166" s="78">
        <v>0</v>
      </c>
      <c r="BO166" s="78">
        <v>0</v>
      </c>
      <c r="BP166" s="78">
        <v>0</v>
      </c>
      <c r="BQ166" s="78">
        <v>22</v>
      </c>
      <c r="CL166" s="267" t="s">
        <v>1302</v>
      </c>
      <c r="CM166" s="267" t="s">
        <v>2840</v>
      </c>
      <c r="CN166" s="267">
        <v>458</v>
      </c>
      <c r="CO166" s="267">
        <v>267</v>
      </c>
      <c r="CP166" s="267">
        <v>406</v>
      </c>
      <c r="CQ166" s="267">
        <v>500</v>
      </c>
      <c r="CR166" s="267">
        <v>461</v>
      </c>
      <c r="CS166" s="267">
        <v>2092</v>
      </c>
      <c r="CT166" s="267"/>
      <c r="CU166" s="267" t="s">
        <v>2840</v>
      </c>
      <c r="CV166" s="267">
        <v>163</v>
      </c>
      <c r="CW166" s="267">
        <v>0</v>
      </c>
      <c r="CX166" s="267">
        <v>0</v>
      </c>
      <c r="CY166" s="267">
        <v>0</v>
      </c>
      <c r="CZ166" s="267">
        <v>0</v>
      </c>
      <c r="DA166" s="267">
        <v>163</v>
      </c>
      <c r="DB166" s="16" t="s">
        <v>3397</v>
      </c>
      <c r="DD166" s="259" t="s">
        <v>3431</v>
      </c>
      <c r="FF166" s="275" t="s">
        <v>1837</v>
      </c>
      <c r="FG166" s="275" t="s">
        <v>2840</v>
      </c>
      <c r="FH166" s="275">
        <v>117</v>
      </c>
      <c r="FI166" s="275">
        <v>226</v>
      </c>
      <c r="FJ166" s="275">
        <v>258</v>
      </c>
      <c r="FK166" s="275">
        <v>345</v>
      </c>
      <c r="FL166" s="275">
        <v>409</v>
      </c>
      <c r="FM166" s="275">
        <v>1355</v>
      </c>
      <c r="FN166" s="275"/>
      <c r="FO166" s="275" t="s">
        <v>2840</v>
      </c>
      <c r="FP166" s="275">
        <v>13</v>
      </c>
      <c r="FQ166" s="275">
        <v>9</v>
      </c>
      <c r="FR166" s="275">
        <v>0</v>
      </c>
      <c r="FS166" s="275">
        <v>4</v>
      </c>
      <c r="FT166" s="275">
        <v>2</v>
      </c>
      <c r="FU166" s="275">
        <v>28</v>
      </c>
      <c r="FV166" s="16">
        <v>55</v>
      </c>
    </row>
    <row r="167" spans="1:179" x14ac:dyDescent="0.3">
      <c r="B167" s="71" t="s">
        <v>63</v>
      </c>
      <c r="C167" s="71" t="s">
        <v>2840</v>
      </c>
      <c r="D167" s="71">
        <v>35</v>
      </c>
      <c r="E167" s="71">
        <v>0</v>
      </c>
      <c r="F167" s="71">
        <v>0</v>
      </c>
      <c r="G167" s="71">
        <v>0</v>
      </c>
      <c r="H167" s="71">
        <v>0</v>
      </c>
      <c r="I167" s="71">
        <v>35</v>
      </c>
      <c r="K167" s="71" t="s">
        <v>2840</v>
      </c>
      <c r="L167" s="71">
        <v>382</v>
      </c>
      <c r="M167" s="71">
        <v>410</v>
      </c>
      <c r="N167" s="71">
        <v>539</v>
      </c>
      <c r="O167" s="71">
        <v>669</v>
      </c>
      <c r="P167" s="71">
        <v>489</v>
      </c>
      <c r="Q167" s="71">
        <v>2489</v>
      </c>
      <c r="R167" s="186">
        <v>24</v>
      </c>
      <c r="AK167" s="73" t="s">
        <v>460</v>
      </c>
      <c r="AL167" s="73" t="s">
        <v>1968</v>
      </c>
      <c r="AM167" s="73">
        <v>678</v>
      </c>
      <c r="AN167" s="73">
        <v>545</v>
      </c>
      <c r="AO167" s="73">
        <v>530</v>
      </c>
      <c r="AP167" s="73">
        <v>489</v>
      </c>
      <c r="AQ167" s="73">
        <v>687</v>
      </c>
      <c r="AR167" s="73">
        <v>2929</v>
      </c>
      <c r="AS167" s="73"/>
      <c r="AT167" s="73" t="s">
        <v>1968</v>
      </c>
      <c r="AU167" s="73">
        <v>133</v>
      </c>
      <c r="AV167" s="73">
        <v>23</v>
      </c>
      <c r="AW167" s="73">
        <v>19</v>
      </c>
      <c r="AX167" s="73">
        <v>20</v>
      </c>
      <c r="AY167" s="73">
        <v>27</v>
      </c>
      <c r="AZ167" s="73">
        <v>222</v>
      </c>
      <c r="BB167" s="78" t="s">
        <v>962</v>
      </c>
      <c r="BC167" s="78" t="s">
        <v>1968</v>
      </c>
      <c r="BD167" s="78">
        <v>116</v>
      </c>
      <c r="BE167" s="78">
        <v>192</v>
      </c>
      <c r="BF167" s="78">
        <v>366</v>
      </c>
      <c r="BG167" s="78">
        <v>447</v>
      </c>
      <c r="BH167" s="78">
        <v>386</v>
      </c>
      <c r="BI167" s="78">
        <v>1507</v>
      </c>
      <c r="BJ167" s="78"/>
      <c r="BK167" s="78" t="s">
        <v>1968</v>
      </c>
      <c r="BL167" s="78">
        <v>21</v>
      </c>
      <c r="BM167" s="78">
        <v>0</v>
      </c>
      <c r="BN167" s="78">
        <v>0</v>
      </c>
      <c r="BO167" s="78">
        <v>0</v>
      </c>
      <c r="BP167" s="78">
        <v>0</v>
      </c>
      <c r="BQ167" s="78">
        <v>21</v>
      </c>
      <c r="CL167" s="267" t="s">
        <v>1306</v>
      </c>
      <c r="CM167" s="267" t="s">
        <v>2840</v>
      </c>
      <c r="CN167" s="267">
        <v>101</v>
      </c>
      <c r="CO167" s="267">
        <v>105</v>
      </c>
      <c r="CP167" s="267">
        <v>129</v>
      </c>
      <c r="CQ167" s="267">
        <v>214</v>
      </c>
      <c r="CR167" s="267">
        <v>213</v>
      </c>
      <c r="CS167" s="267">
        <v>762</v>
      </c>
      <c r="CT167" s="267"/>
      <c r="CU167" s="267" t="s">
        <v>2840</v>
      </c>
      <c r="CV167" s="267">
        <v>22</v>
      </c>
      <c r="CW167" s="267">
        <v>0</v>
      </c>
      <c r="CX167" s="267">
        <v>0</v>
      </c>
      <c r="CY167" s="267">
        <v>0</v>
      </c>
      <c r="CZ167" s="267">
        <v>0</v>
      </c>
      <c r="DA167" s="267">
        <v>22</v>
      </c>
      <c r="DB167" s="16">
        <v>15</v>
      </c>
      <c r="DD167" s="259"/>
      <c r="FF167" s="275" t="s">
        <v>1843</v>
      </c>
      <c r="FG167" s="275" t="s">
        <v>2840</v>
      </c>
      <c r="FH167" s="275">
        <v>237</v>
      </c>
      <c r="FI167" s="275">
        <v>423</v>
      </c>
      <c r="FJ167" s="275">
        <v>471</v>
      </c>
      <c r="FK167" s="275">
        <v>528</v>
      </c>
      <c r="FL167" s="275">
        <v>641</v>
      </c>
      <c r="FM167" s="275">
        <v>2300</v>
      </c>
      <c r="FN167" s="275"/>
      <c r="FO167" s="275" t="s">
        <v>2840</v>
      </c>
      <c r="FP167" s="275">
        <v>41</v>
      </c>
      <c r="FQ167" s="275">
        <v>11</v>
      </c>
      <c r="FR167" s="275">
        <v>2</v>
      </c>
      <c r="FS167" s="275">
        <v>1</v>
      </c>
      <c r="FT167" s="275">
        <v>2</v>
      </c>
      <c r="FU167" s="275">
        <v>57</v>
      </c>
      <c r="FV167" s="16">
        <v>55</v>
      </c>
    </row>
    <row r="168" spans="1:179" x14ac:dyDescent="0.3">
      <c r="B168" s="71" t="s">
        <v>68</v>
      </c>
      <c r="C168" s="71" t="s">
        <v>2840</v>
      </c>
      <c r="D168" s="71">
        <v>26</v>
      </c>
      <c r="E168" s="71">
        <v>0</v>
      </c>
      <c r="F168" s="71">
        <v>0</v>
      </c>
      <c r="G168" s="71">
        <v>0</v>
      </c>
      <c r="H168" s="71">
        <v>0</v>
      </c>
      <c r="I168" s="71">
        <v>26</v>
      </c>
      <c r="K168" s="71" t="s">
        <v>2840</v>
      </c>
      <c r="L168" s="71">
        <v>277</v>
      </c>
      <c r="M168" s="71">
        <v>343</v>
      </c>
      <c r="N168" s="71">
        <v>539</v>
      </c>
      <c r="O168" s="71">
        <v>612</v>
      </c>
      <c r="P168" s="71">
        <v>463</v>
      </c>
      <c r="Q168" s="71">
        <v>2234</v>
      </c>
      <c r="R168" s="186">
        <v>20</v>
      </c>
      <c r="AK168" s="73" t="s">
        <v>464</v>
      </c>
      <c r="AL168" s="73" t="s">
        <v>1968</v>
      </c>
      <c r="AM168" s="73">
        <v>777</v>
      </c>
      <c r="AN168" s="73">
        <v>602</v>
      </c>
      <c r="AO168" s="73">
        <v>545</v>
      </c>
      <c r="AP168" s="73">
        <v>517</v>
      </c>
      <c r="AQ168" s="73">
        <v>697</v>
      </c>
      <c r="AR168" s="73">
        <v>3138</v>
      </c>
      <c r="AS168" s="73"/>
      <c r="AT168" s="73" t="s">
        <v>1968</v>
      </c>
      <c r="AU168" s="73">
        <v>227</v>
      </c>
      <c r="AV168" s="73">
        <v>57</v>
      </c>
      <c r="AW168" s="73">
        <v>51</v>
      </c>
      <c r="AX168" s="73">
        <v>35</v>
      </c>
      <c r="AY168" s="73">
        <v>53</v>
      </c>
      <c r="AZ168" s="73">
        <v>423</v>
      </c>
      <c r="BB168" s="78" t="s">
        <v>967</v>
      </c>
      <c r="BC168" s="78" t="s">
        <v>1968</v>
      </c>
      <c r="BD168" s="78">
        <v>1526</v>
      </c>
      <c r="BE168" s="78">
        <v>975</v>
      </c>
      <c r="BF168" s="78">
        <v>1228</v>
      </c>
      <c r="BG168" s="78">
        <v>1283</v>
      </c>
      <c r="BH168" s="78">
        <v>865</v>
      </c>
      <c r="BI168" s="78">
        <v>5877</v>
      </c>
      <c r="BJ168" s="78"/>
      <c r="BK168" s="78" t="s">
        <v>1968</v>
      </c>
      <c r="BL168" s="78">
        <v>390</v>
      </c>
      <c r="BM168" s="78">
        <v>0</v>
      </c>
      <c r="BN168" s="78">
        <v>0</v>
      </c>
      <c r="BO168" s="78">
        <v>0</v>
      </c>
      <c r="BP168" s="78">
        <v>0</v>
      </c>
      <c r="BQ168" s="78">
        <v>390</v>
      </c>
      <c r="CL168" s="267" t="s">
        <v>1313</v>
      </c>
      <c r="CM168" s="267" t="s">
        <v>2840</v>
      </c>
      <c r="CN168" s="267">
        <v>129</v>
      </c>
      <c r="CO168" s="267">
        <v>69</v>
      </c>
      <c r="CP168" s="267">
        <v>79</v>
      </c>
      <c r="CQ168" s="267">
        <v>86</v>
      </c>
      <c r="CR168" s="267">
        <v>120</v>
      </c>
      <c r="CS168" s="267">
        <v>483</v>
      </c>
      <c r="CT168" s="267"/>
      <c r="CU168" s="267" t="s">
        <v>2840</v>
      </c>
      <c r="CV168" s="267">
        <v>68</v>
      </c>
      <c r="CW168" s="267">
        <v>0</v>
      </c>
      <c r="CX168" s="267">
        <v>0</v>
      </c>
      <c r="CY168" s="267">
        <v>0</v>
      </c>
      <c r="CZ168" s="267">
        <v>0</v>
      </c>
      <c r="DA168" s="267">
        <v>68</v>
      </c>
      <c r="DB168" s="16">
        <v>80</v>
      </c>
      <c r="DD168" s="259"/>
      <c r="FF168" s="275" t="s">
        <v>1849</v>
      </c>
      <c r="FG168" s="275" t="s">
        <v>2840</v>
      </c>
      <c r="FH168" s="275">
        <v>114</v>
      </c>
      <c r="FI168" s="275">
        <v>214</v>
      </c>
      <c r="FJ168" s="275">
        <v>235</v>
      </c>
      <c r="FK168" s="275">
        <v>295</v>
      </c>
      <c r="FL168" s="275">
        <v>366</v>
      </c>
      <c r="FM168" s="275">
        <v>1224</v>
      </c>
      <c r="FN168" s="275"/>
      <c r="FO168" s="275" t="s">
        <v>2840</v>
      </c>
      <c r="FP168" s="275">
        <v>25</v>
      </c>
      <c r="FQ168" s="275">
        <v>4</v>
      </c>
      <c r="FR168" s="275">
        <v>0</v>
      </c>
      <c r="FS168" s="275">
        <v>0</v>
      </c>
      <c r="FT168" s="275">
        <v>1</v>
      </c>
      <c r="FU168" s="275">
        <v>30</v>
      </c>
      <c r="FV168" s="16">
        <v>25</v>
      </c>
    </row>
    <row r="169" spans="1:179" x14ac:dyDescent="0.3">
      <c r="B169" s="71" t="s">
        <v>73</v>
      </c>
      <c r="C169" s="71" t="s">
        <v>2840</v>
      </c>
      <c r="D169" s="71">
        <v>28</v>
      </c>
      <c r="E169" s="71">
        <v>0</v>
      </c>
      <c r="F169" s="71">
        <v>0</v>
      </c>
      <c r="G169" s="71">
        <v>0</v>
      </c>
      <c r="H169" s="71">
        <v>0</v>
      </c>
      <c r="I169" s="71">
        <v>28</v>
      </c>
      <c r="K169" s="71" t="s">
        <v>2840</v>
      </c>
      <c r="L169" s="71">
        <v>291</v>
      </c>
      <c r="M169" s="71">
        <v>281</v>
      </c>
      <c r="N169" s="71">
        <v>383</v>
      </c>
      <c r="O169" s="71">
        <v>512</v>
      </c>
      <c r="P169" s="71">
        <v>394</v>
      </c>
      <c r="Q169" s="71">
        <v>1861</v>
      </c>
      <c r="R169" s="186">
        <v>27</v>
      </c>
      <c r="AK169" s="73" t="s">
        <v>468</v>
      </c>
      <c r="AL169" s="73" t="s">
        <v>1968</v>
      </c>
      <c r="AM169" s="73">
        <v>592</v>
      </c>
      <c r="AN169" s="73">
        <v>557</v>
      </c>
      <c r="AO169" s="73">
        <v>445</v>
      </c>
      <c r="AP169" s="73">
        <v>470</v>
      </c>
      <c r="AQ169" s="73">
        <v>627</v>
      </c>
      <c r="AR169" s="73">
        <v>2691</v>
      </c>
      <c r="AS169" s="73"/>
      <c r="AT169" s="73" t="s">
        <v>1968</v>
      </c>
      <c r="AU169" s="73">
        <v>205</v>
      </c>
      <c r="AV169" s="73">
        <v>47</v>
      </c>
      <c r="AW169" s="73">
        <v>30</v>
      </c>
      <c r="AX169" s="73">
        <v>24</v>
      </c>
      <c r="AY169" s="73">
        <v>48</v>
      </c>
      <c r="AZ169" s="73">
        <v>354</v>
      </c>
      <c r="BB169" s="78" t="s">
        <v>972</v>
      </c>
      <c r="BC169" s="78" t="s">
        <v>1968</v>
      </c>
      <c r="BD169" s="78">
        <v>59</v>
      </c>
      <c r="BE169" s="78">
        <v>77</v>
      </c>
      <c r="BF169" s="78">
        <v>142</v>
      </c>
      <c r="BG169" s="78">
        <v>225</v>
      </c>
      <c r="BH169" s="78">
        <v>216</v>
      </c>
      <c r="BI169" s="78">
        <v>719</v>
      </c>
      <c r="BJ169" s="78"/>
      <c r="BK169" s="78" t="s">
        <v>1968</v>
      </c>
      <c r="BL169" s="78">
        <v>22</v>
      </c>
      <c r="BM169" s="78">
        <v>0</v>
      </c>
      <c r="BN169" s="78">
        <v>0</v>
      </c>
      <c r="BO169" s="78">
        <v>0</v>
      </c>
      <c r="BP169" s="78">
        <v>0</v>
      </c>
      <c r="BQ169" s="78">
        <v>22</v>
      </c>
      <c r="CL169" s="267" t="s">
        <v>1317</v>
      </c>
      <c r="CM169" s="267" t="s">
        <v>2840</v>
      </c>
      <c r="CN169" s="267">
        <v>80</v>
      </c>
      <c r="CO169" s="267">
        <v>39</v>
      </c>
      <c r="CP169" s="267">
        <v>64</v>
      </c>
      <c r="CQ169" s="267">
        <v>92</v>
      </c>
      <c r="CR169" s="267">
        <v>91</v>
      </c>
      <c r="CS169" s="267">
        <v>366</v>
      </c>
      <c r="CT169" s="267"/>
      <c r="CU169" s="267" t="s">
        <v>2840</v>
      </c>
      <c r="CV169" s="267">
        <v>37</v>
      </c>
      <c r="CW169" s="267">
        <v>0</v>
      </c>
      <c r="CX169" s="267">
        <v>0</v>
      </c>
      <c r="CY169" s="267">
        <v>0</v>
      </c>
      <c r="CZ169" s="267">
        <v>0</v>
      </c>
      <c r="DA169" s="267">
        <v>37</v>
      </c>
      <c r="DB169" s="16">
        <v>50</v>
      </c>
      <c r="DD169" s="259"/>
      <c r="FF169" s="275" t="s">
        <v>1855</v>
      </c>
      <c r="FG169" s="275" t="s">
        <v>2840</v>
      </c>
      <c r="FH169" s="275">
        <v>145</v>
      </c>
      <c r="FI169" s="275">
        <v>209</v>
      </c>
      <c r="FJ169" s="275">
        <v>294</v>
      </c>
      <c r="FK169" s="275">
        <v>340</v>
      </c>
      <c r="FL169" s="275">
        <v>410</v>
      </c>
      <c r="FM169" s="275">
        <v>1398</v>
      </c>
      <c r="FN169" s="275"/>
      <c r="FO169" s="275" t="s">
        <v>2840</v>
      </c>
      <c r="FP169" s="275">
        <v>21</v>
      </c>
      <c r="FQ169" s="275">
        <v>2</v>
      </c>
      <c r="FR169" s="275">
        <v>2</v>
      </c>
      <c r="FS169" s="275">
        <v>0</v>
      </c>
      <c r="FT169" s="275">
        <v>1</v>
      </c>
      <c r="FU169" s="275">
        <v>26</v>
      </c>
      <c r="FV169" s="16">
        <v>60</v>
      </c>
    </row>
    <row r="170" spans="1:179" x14ac:dyDescent="0.3">
      <c r="B170" s="71" t="s">
        <v>78</v>
      </c>
      <c r="C170" s="71" t="s">
        <v>2840</v>
      </c>
      <c r="D170" s="71">
        <v>6</v>
      </c>
      <c r="E170" s="71">
        <v>3</v>
      </c>
      <c r="F170" s="71">
        <v>0</v>
      </c>
      <c r="G170" s="71">
        <v>0</v>
      </c>
      <c r="H170" s="71">
        <v>0</v>
      </c>
      <c r="I170" s="71">
        <v>9</v>
      </c>
      <c r="K170" s="71" t="s">
        <v>2840</v>
      </c>
      <c r="L170" s="71">
        <v>94</v>
      </c>
      <c r="M170" s="71">
        <v>161</v>
      </c>
      <c r="N170" s="71">
        <v>292</v>
      </c>
      <c r="O170" s="71">
        <v>401</v>
      </c>
      <c r="P170" s="71">
        <v>284</v>
      </c>
      <c r="Q170" s="71">
        <v>1232</v>
      </c>
      <c r="R170" s="186">
        <v>19</v>
      </c>
      <c r="AK170" s="73" t="s">
        <v>472</v>
      </c>
      <c r="AL170" s="73" t="s">
        <v>1968</v>
      </c>
      <c r="AM170" s="73">
        <v>363</v>
      </c>
      <c r="AN170" s="73">
        <v>462</v>
      </c>
      <c r="AO170" s="73">
        <v>369</v>
      </c>
      <c r="AP170" s="73">
        <v>374</v>
      </c>
      <c r="AQ170" s="73">
        <v>452</v>
      </c>
      <c r="AR170" s="73">
        <v>2020</v>
      </c>
      <c r="AS170" s="73"/>
      <c r="AT170" s="73" t="s">
        <v>1968</v>
      </c>
      <c r="AU170" s="73">
        <v>124</v>
      </c>
      <c r="AV170" s="73">
        <v>54</v>
      </c>
      <c r="AW170" s="73">
        <v>41</v>
      </c>
      <c r="AX170" s="73">
        <v>46</v>
      </c>
      <c r="AY170" s="73">
        <v>50</v>
      </c>
      <c r="AZ170" s="73">
        <v>315</v>
      </c>
      <c r="BB170" s="78" t="s">
        <v>980</v>
      </c>
      <c r="BC170" s="78" t="s">
        <v>1968</v>
      </c>
      <c r="BD170" s="78">
        <v>137</v>
      </c>
      <c r="BE170" s="78">
        <v>87</v>
      </c>
      <c r="BF170" s="78">
        <v>116</v>
      </c>
      <c r="BG170" s="78">
        <v>147</v>
      </c>
      <c r="BH170" s="78">
        <v>132</v>
      </c>
      <c r="BI170" s="78">
        <v>619</v>
      </c>
      <c r="BJ170" s="78"/>
      <c r="BK170" s="78" t="s">
        <v>1968</v>
      </c>
      <c r="BL170" s="78">
        <v>30</v>
      </c>
      <c r="BM170" s="78">
        <v>0</v>
      </c>
      <c r="BN170" s="78">
        <v>0</v>
      </c>
      <c r="BO170" s="78">
        <v>0</v>
      </c>
      <c r="BP170" s="78">
        <v>0</v>
      </c>
      <c r="BQ170" s="78">
        <v>30</v>
      </c>
      <c r="CL170" s="267" t="s">
        <v>1321</v>
      </c>
      <c r="CM170" s="267" t="s">
        <v>2840</v>
      </c>
      <c r="CN170" s="267">
        <v>77</v>
      </c>
      <c r="CO170" s="267">
        <v>90</v>
      </c>
      <c r="CP170" s="267">
        <v>174</v>
      </c>
      <c r="CQ170" s="267">
        <v>247</v>
      </c>
      <c r="CR170" s="267">
        <v>277</v>
      </c>
      <c r="CS170" s="267">
        <v>865</v>
      </c>
      <c r="CT170" s="267"/>
      <c r="CU170" s="267" t="s">
        <v>2840</v>
      </c>
      <c r="CV170" s="267">
        <v>11</v>
      </c>
      <c r="CW170" s="267">
        <v>0</v>
      </c>
      <c r="CX170" s="267">
        <v>0</v>
      </c>
      <c r="CY170" s="267">
        <v>0</v>
      </c>
      <c r="CZ170" s="267">
        <v>0</v>
      </c>
      <c r="DA170" s="267">
        <v>11</v>
      </c>
      <c r="DB170" s="16">
        <v>19</v>
      </c>
      <c r="DD170" s="259"/>
      <c r="FF170" s="275" t="s">
        <v>1861</v>
      </c>
      <c r="FG170" s="275" t="s">
        <v>2840</v>
      </c>
      <c r="FH170" s="275">
        <v>344</v>
      </c>
      <c r="FI170" s="275">
        <v>485</v>
      </c>
      <c r="FJ170" s="275">
        <v>470</v>
      </c>
      <c r="FK170" s="275">
        <v>559</v>
      </c>
      <c r="FL170" s="275">
        <v>661</v>
      </c>
      <c r="FM170" s="275">
        <v>2519</v>
      </c>
      <c r="FN170" s="275"/>
      <c r="FO170" s="275" t="s">
        <v>2840</v>
      </c>
      <c r="FP170" s="275">
        <v>33</v>
      </c>
      <c r="FQ170" s="275">
        <v>7</v>
      </c>
      <c r="FR170" s="275">
        <v>1</v>
      </c>
      <c r="FS170" s="275">
        <v>6</v>
      </c>
      <c r="FT170" s="275">
        <v>5</v>
      </c>
      <c r="FU170" s="275">
        <v>52</v>
      </c>
      <c r="FV170" s="16">
        <v>80</v>
      </c>
    </row>
    <row r="171" spans="1:179" x14ac:dyDescent="0.3">
      <c r="B171" s="71" t="s">
        <v>83</v>
      </c>
      <c r="C171" s="71" t="s">
        <v>2840</v>
      </c>
      <c r="D171" s="71">
        <v>46</v>
      </c>
      <c r="E171" s="71">
        <v>7</v>
      </c>
      <c r="F171" s="71">
        <v>2</v>
      </c>
      <c r="G171" s="71">
        <v>0</v>
      </c>
      <c r="H171" s="71">
        <v>1</v>
      </c>
      <c r="I171" s="71">
        <v>56</v>
      </c>
      <c r="K171" s="71" t="s">
        <v>2840</v>
      </c>
      <c r="L171" s="71">
        <v>197</v>
      </c>
      <c r="M171" s="71">
        <v>200</v>
      </c>
      <c r="N171" s="71">
        <v>316</v>
      </c>
      <c r="O171" s="71">
        <v>370</v>
      </c>
      <c r="P171" s="71">
        <v>267</v>
      </c>
      <c r="Q171" s="71">
        <v>1350</v>
      </c>
      <c r="R171" s="186">
        <v>60</v>
      </c>
      <c r="AK171" s="73" t="s">
        <v>476</v>
      </c>
      <c r="AL171" s="73" t="s">
        <v>1968</v>
      </c>
      <c r="AM171" s="73">
        <v>511</v>
      </c>
      <c r="AN171" s="73">
        <v>618</v>
      </c>
      <c r="AO171" s="73">
        <v>434</v>
      </c>
      <c r="AP171" s="73">
        <v>431</v>
      </c>
      <c r="AQ171" s="73">
        <v>561</v>
      </c>
      <c r="AR171" s="73">
        <v>2555</v>
      </c>
      <c r="AS171" s="73"/>
      <c r="AT171" s="73" t="s">
        <v>1968</v>
      </c>
      <c r="AU171" s="73">
        <v>142</v>
      </c>
      <c r="AV171" s="73">
        <v>33</v>
      </c>
      <c r="AW171" s="73">
        <v>21</v>
      </c>
      <c r="AX171" s="73">
        <v>19</v>
      </c>
      <c r="AY171" s="73">
        <v>33</v>
      </c>
      <c r="AZ171" s="73">
        <v>248</v>
      </c>
      <c r="BB171" s="78" t="s">
        <v>984</v>
      </c>
      <c r="BC171" s="78" t="s">
        <v>1968</v>
      </c>
      <c r="BD171" s="78">
        <v>75</v>
      </c>
      <c r="BE171" s="78">
        <v>52</v>
      </c>
      <c r="BF171" s="78">
        <v>92</v>
      </c>
      <c r="BG171" s="78">
        <v>96</v>
      </c>
      <c r="BH171" s="78">
        <v>82</v>
      </c>
      <c r="BI171" s="78">
        <v>397</v>
      </c>
      <c r="BJ171" s="78"/>
      <c r="BK171" s="78" t="s">
        <v>1968</v>
      </c>
      <c r="BL171" s="78">
        <v>23</v>
      </c>
      <c r="BM171" s="78">
        <v>0</v>
      </c>
      <c r="BN171" s="78">
        <v>0</v>
      </c>
      <c r="BO171" s="78">
        <v>0</v>
      </c>
      <c r="BP171" s="78">
        <v>0</v>
      </c>
      <c r="BQ171" s="78">
        <v>23</v>
      </c>
      <c r="CL171" s="267" t="s">
        <v>1325</v>
      </c>
      <c r="CM171" s="267" t="s">
        <v>2840</v>
      </c>
      <c r="CN171" s="267" t="s">
        <v>1970</v>
      </c>
      <c r="CO171" s="267" t="s">
        <v>1970</v>
      </c>
      <c r="CP171" s="267" t="s">
        <v>1970</v>
      </c>
      <c r="CQ171" s="267" t="s">
        <v>1970</v>
      </c>
      <c r="CR171" s="267" t="s">
        <v>1970</v>
      </c>
      <c r="CS171" s="267" t="s">
        <v>1970</v>
      </c>
      <c r="CT171" s="267"/>
      <c r="CU171" s="267" t="s">
        <v>2840</v>
      </c>
      <c r="CV171" s="267" t="s">
        <v>1970</v>
      </c>
      <c r="CW171" s="267" t="s">
        <v>1970</v>
      </c>
      <c r="CX171" s="267" t="s">
        <v>1970</v>
      </c>
      <c r="CY171" s="267" t="s">
        <v>1970</v>
      </c>
      <c r="CZ171" s="267" t="s">
        <v>1970</v>
      </c>
      <c r="DA171" s="267" t="s">
        <v>1970</v>
      </c>
      <c r="DB171" s="16">
        <v>25</v>
      </c>
      <c r="DD171" s="259"/>
      <c r="FF171" s="275" t="s">
        <v>1867</v>
      </c>
      <c r="FG171" s="275" t="s">
        <v>2840</v>
      </c>
      <c r="FH171" s="275">
        <v>387</v>
      </c>
      <c r="FI171" s="275">
        <v>388</v>
      </c>
      <c r="FJ171" s="275">
        <v>349</v>
      </c>
      <c r="FK171" s="275">
        <v>383</v>
      </c>
      <c r="FL171" s="275">
        <v>449</v>
      </c>
      <c r="FM171" s="275">
        <v>1956</v>
      </c>
      <c r="FN171" s="275"/>
      <c r="FO171" s="275" t="s">
        <v>2840</v>
      </c>
      <c r="FP171" s="275">
        <v>68</v>
      </c>
      <c r="FQ171" s="275">
        <v>14</v>
      </c>
      <c r="FR171" s="275">
        <v>5</v>
      </c>
      <c r="FS171" s="275">
        <v>0</v>
      </c>
      <c r="FT171" s="275">
        <v>7</v>
      </c>
      <c r="FU171" s="275">
        <v>94</v>
      </c>
      <c r="FV171" s="16">
        <v>40</v>
      </c>
    </row>
    <row r="172" spans="1:179" x14ac:dyDescent="0.3">
      <c r="B172" s="71" t="s">
        <v>88</v>
      </c>
      <c r="C172" s="71" t="s">
        <v>2840</v>
      </c>
      <c r="D172" s="71">
        <v>31</v>
      </c>
      <c r="E172" s="71">
        <v>1</v>
      </c>
      <c r="F172" s="71">
        <v>1</v>
      </c>
      <c r="G172" s="71">
        <v>2</v>
      </c>
      <c r="H172" s="71">
        <v>0</v>
      </c>
      <c r="I172" s="71">
        <v>35</v>
      </c>
      <c r="K172" s="71" t="s">
        <v>2840</v>
      </c>
      <c r="L172" s="71">
        <v>113</v>
      </c>
      <c r="M172" s="71">
        <v>130</v>
      </c>
      <c r="N172" s="71">
        <v>165</v>
      </c>
      <c r="O172" s="71">
        <v>197</v>
      </c>
      <c r="P172" s="71">
        <v>207</v>
      </c>
      <c r="Q172" s="71">
        <v>812</v>
      </c>
      <c r="R172" s="186">
        <v>39</v>
      </c>
      <c r="BB172" s="78" t="s">
        <v>988</v>
      </c>
      <c r="BC172" s="78" t="s">
        <v>1968</v>
      </c>
      <c r="BD172" s="78">
        <v>88</v>
      </c>
      <c r="BE172" s="78">
        <v>69</v>
      </c>
      <c r="BF172" s="78">
        <v>148</v>
      </c>
      <c r="BG172" s="78">
        <v>224</v>
      </c>
      <c r="BH172" s="78">
        <v>222</v>
      </c>
      <c r="BI172" s="78">
        <v>751</v>
      </c>
      <c r="BJ172" s="78"/>
      <c r="BK172" s="78" t="s">
        <v>1968</v>
      </c>
      <c r="BL172" s="78">
        <v>26</v>
      </c>
      <c r="BM172" s="78">
        <v>0</v>
      </c>
      <c r="BN172" s="78">
        <v>0</v>
      </c>
      <c r="BO172" s="78">
        <v>0</v>
      </c>
      <c r="BP172" s="78">
        <v>0</v>
      </c>
      <c r="BQ172" s="78">
        <v>26</v>
      </c>
      <c r="CL172" s="267" t="s">
        <v>1329</v>
      </c>
      <c r="CM172" s="267" t="s">
        <v>2840</v>
      </c>
      <c r="CN172" s="267" t="s">
        <v>1970</v>
      </c>
      <c r="CO172" s="267" t="s">
        <v>1970</v>
      </c>
      <c r="CP172" s="267" t="s">
        <v>1970</v>
      </c>
      <c r="CQ172" s="267" t="s">
        <v>1970</v>
      </c>
      <c r="CR172" s="267" t="s">
        <v>1970</v>
      </c>
      <c r="CS172" s="267" t="s">
        <v>1970</v>
      </c>
      <c r="CT172" s="267"/>
      <c r="CU172" s="267" t="s">
        <v>2840</v>
      </c>
      <c r="CV172" s="267" t="s">
        <v>1970</v>
      </c>
      <c r="CW172" s="267" t="s">
        <v>1970</v>
      </c>
      <c r="CX172" s="267" t="s">
        <v>1970</v>
      </c>
      <c r="CY172" s="267" t="s">
        <v>1970</v>
      </c>
      <c r="CZ172" s="267" t="s">
        <v>1970</v>
      </c>
      <c r="DA172" s="267" t="s">
        <v>1970</v>
      </c>
      <c r="DB172" s="16">
        <v>20</v>
      </c>
      <c r="DD172" s="259"/>
      <c r="FF172" s="275" t="s">
        <v>1873</v>
      </c>
      <c r="FG172" s="275" t="s">
        <v>2840</v>
      </c>
      <c r="FH172" s="275">
        <v>107</v>
      </c>
      <c r="FI172" s="275">
        <v>212</v>
      </c>
      <c r="FJ172" s="275">
        <v>301</v>
      </c>
      <c r="FK172" s="275">
        <v>362</v>
      </c>
      <c r="FL172" s="275">
        <v>498</v>
      </c>
      <c r="FM172" s="275">
        <v>1480</v>
      </c>
      <c r="FN172" s="275"/>
      <c r="FO172" s="275" t="s">
        <v>2840</v>
      </c>
      <c r="FP172" s="275">
        <v>13</v>
      </c>
      <c r="FQ172" s="275">
        <v>6</v>
      </c>
      <c r="FR172" s="275">
        <v>1</v>
      </c>
      <c r="FS172" s="275">
        <v>4</v>
      </c>
      <c r="FT172" s="275">
        <v>3</v>
      </c>
      <c r="FU172" s="275">
        <v>27</v>
      </c>
      <c r="FV172" s="16">
        <v>30</v>
      </c>
    </row>
    <row r="173" spans="1:179" x14ac:dyDescent="0.3">
      <c r="B173" s="71" t="s">
        <v>93</v>
      </c>
      <c r="C173" s="71" t="s">
        <v>2840</v>
      </c>
      <c r="D173" s="71" t="s">
        <v>1970</v>
      </c>
      <c r="E173" s="71" t="s">
        <v>1970</v>
      </c>
      <c r="F173" s="71" t="s">
        <v>1970</v>
      </c>
      <c r="G173" s="71" t="s">
        <v>1970</v>
      </c>
      <c r="H173" s="71" t="s">
        <v>1970</v>
      </c>
      <c r="I173" s="71" t="s">
        <v>1970</v>
      </c>
      <c r="K173" s="71" t="s">
        <v>2840</v>
      </c>
      <c r="L173" s="71" t="s">
        <v>1970</v>
      </c>
      <c r="M173" s="71" t="s">
        <v>1970</v>
      </c>
      <c r="N173" s="71" t="s">
        <v>1970</v>
      </c>
      <c r="O173" s="71" t="s">
        <v>1970</v>
      </c>
      <c r="P173" s="71" t="s">
        <v>1970</v>
      </c>
      <c r="Q173" s="71" t="s">
        <v>1970</v>
      </c>
      <c r="R173" s="186">
        <v>8</v>
      </c>
      <c r="AK173" s="312" t="s">
        <v>480</v>
      </c>
      <c r="AL173" s="312" t="s">
        <v>2840</v>
      </c>
      <c r="AM173" s="16" t="s">
        <v>1978</v>
      </c>
      <c r="AN173" s="312" t="s">
        <v>1978</v>
      </c>
      <c r="AO173" s="312" t="s">
        <v>1978</v>
      </c>
      <c r="AP173" s="312" t="s">
        <v>1978</v>
      </c>
      <c r="AQ173" s="312" t="s">
        <v>1978</v>
      </c>
      <c r="AR173" s="312" t="s">
        <v>1978</v>
      </c>
      <c r="AT173" s="312" t="s">
        <v>2840</v>
      </c>
      <c r="AU173" s="312" t="s">
        <v>1978</v>
      </c>
      <c r="AV173" s="312" t="s">
        <v>1978</v>
      </c>
      <c r="AW173" s="312" t="s">
        <v>1978</v>
      </c>
      <c r="AX173" s="312" t="s">
        <v>1978</v>
      </c>
      <c r="AY173" s="312" t="s">
        <v>1978</v>
      </c>
      <c r="AZ173" s="312" t="s">
        <v>1978</v>
      </c>
      <c r="BB173" s="78" t="s">
        <v>1001</v>
      </c>
      <c r="BC173" s="78" t="s">
        <v>1968</v>
      </c>
      <c r="BD173" s="78">
        <v>410</v>
      </c>
      <c r="BE173" s="78">
        <v>426</v>
      </c>
      <c r="BF173" s="78">
        <v>920</v>
      </c>
      <c r="BG173" s="78">
        <v>1331</v>
      </c>
      <c r="BH173" s="78">
        <v>1149</v>
      </c>
      <c r="BI173" s="78">
        <v>4236</v>
      </c>
      <c r="BJ173" s="78"/>
      <c r="BK173" s="78" t="s">
        <v>1968</v>
      </c>
      <c r="BL173" s="78">
        <v>63</v>
      </c>
      <c r="BM173" s="78">
        <v>0</v>
      </c>
      <c r="BN173" s="78">
        <v>0</v>
      </c>
      <c r="BO173" s="78">
        <v>0</v>
      </c>
      <c r="BP173" s="78">
        <v>0</v>
      </c>
      <c r="BQ173" s="78">
        <v>63</v>
      </c>
      <c r="CL173" s="267" t="s">
        <v>1333</v>
      </c>
      <c r="CM173" s="267" t="s">
        <v>2840</v>
      </c>
      <c r="CN173" s="267">
        <v>109</v>
      </c>
      <c r="CO173" s="267">
        <v>70</v>
      </c>
      <c r="CP173" s="267">
        <v>122</v>
      </c>
      <c r="CQ173" s="267">
        <v>172</v>
      </c>
      <c r="CR173" s="267">
        <v>162</v>
      </c>
      <c r="CS173" s="267">
        <v>635</v>
      </c>
      <c r="CT173" s="267"/>
      <c r="CU173" s="267" t="s">
        <v>2840</v>
      </c>
      <c r="CV173" s="267">
        <v>23</v>
      </c>
      <c r="CW173" s="267">
        <v>0</v>
      </c>
      <c r="CX173" s="267">
        <v>0</v>
      </c>
      <c r="CY173" s="267">
        <v>0</v>
      </c>
      <c r="CZ173" s="267">
        <v>0</v>
      </c>
      <c r="DA173" s="267">
        <v>23</v>
      </c>
      <c r="DB173" s="16">
        <v>30</v>
      </c>
      <c r="DD173" s="259"/>
      <c r="FF173" s="275" t="s">
        <v>1879</v>
      </c>
      <c r="FG173" s="275" t="s">
        <v>2840</v>
      </c>
      <c r="FH173" s="275">
        <v>214</v>
      </c>
      <c r="FI173" s="275">
        <v>372</v>
      </c>
      <c r="FJ173" s="275">
        <v>384</v>
      </c>
      <c r="FK173" s="275">
        <v>464</v>
      </c>
      <c r="FL173" s="275">
        <v>665</v>
      </c>
      <c r="FM173" s="275">
        <v>2099</v>
      </c>
      <c r="FN173" s="275"/>
      <c r="FO173" s="275" t="s">
        <v>2840</v>
      </c>
      <c r="FP173" s="275">
        <v>21</v>
      </c>
      <c r="FQ173" s="275">
        <v>12</v>
      </c>
      <c r="FR173" s="275">
        <v>3</v>
      </c>
      <c r="FS173" s="275">
        <v>2</v>
      </c>
      <c r="FT173" s="275">
        <v>5</v>
      </c>
      <c r="FU173" s="275">
        <v>43</v>
      </c>
      <c r="FV173" s="16">
        <v>40</v>
      </c>
    </row>
    <row r="174" spans="1:179" x14ac:dyDescent="0.3">
      <c r="B174" s="71" t="s">
        <v>97</v>
      </c>
      <c r="C174" s="71" t="s">
        <v>2840</v>
      </c>
      <c r="D174" s="71">
        <v>13</v>
      </c>
      <c r="E174" s="71">
        <v>1</v>
      </c>
      <c r="F174" s="71">
        <v>1</v>
      </c>
      <c r="G174" s="71">
        <v>1</v>
      </c>
      <c r="H174" s="71">
        <v>0</v>
      </c>
      <c r="I174" s="71">
        <v>16</v>
      </c>
      <c r="K174" s="71" t="s">
        <v>2840</v>
      </c>
      <c r="L174" s="71">
        <v>67</v>
      </c>
      <c r="M174" s="71">
        <v>149</v>
      </c>
      <c r="N174" s="71">
        <v>300</v>
      </c>
      <c r="O174" s="71">
        <v>346</v>
      </c>
      <c r="P174" s="71">
        <v>255</v>
      </c>
      <c r="Q174" s="71">
        <v>1117</v>
      </c>
      <c r="R174" s="186">
        <v>20</v>
      </c>
      <c r="AK174" s="312" t="s">
        <v>484</v>
      </c>
      <c r="AL174" s="312" t="s">
        <v>2840</v>
      </c>
      <c r="AM174" s="312" t="s">
        <v>1978</v>
      </c>
      <c r="AN174" s="312" t="s">
        <v>1978</v>
      </c>
      <c r="AO174" s="312" t="s">
        <v>1978</v>
      </c>
      <c r="AP174" s="312" t="s">
        <v>1978</v>
      </c>
      <c r="AQ174" s="312" t="s">
        <v>1978</v>
      </c>
      <c r="AR174" s="312" t="s">
        <v>1978</v>
      </c>
      <c r="AT174" s="312" t="s">
        <v>2840</v>
      </c>
      <c r="AU174" s="312" t="s">
        <v>1978</v>
      </c>
      <c r="AV174" s="312" t="s">
        <v>1978</v>
      </c>
      <c r="AW174" s="312" t="s">
        <v>1978</v>
      </c>
      <c r="AX174" s="312" t="s">
        <v>1978</v>
      </c>
      <c r="AY174" s="312" t="s">
        <v>1978</v>
      </c>
      <c r="AZ174" s="312" t="s">
        <v>1978</v>
      </c>
      <c r="BB174" s="78" t="s">
        <v>1006</v>
      </c>
      <c r="BC174" s="78" t="s">
        <v>1968</v>
      </c>
      <c r="BD174" s="78">
        <v>179</v>
      </c>
      <c r="BE174" s="78">
        <v>97</v>
      </c>
      <c r="BF174" s="78">
        <v>202</v>
      </c>
      <c r="BG174" s="78">
        <v>268</v>
      </c>
      <c r="BH174" s="78">
        <v>282</v>
      </c>
      <c r="BI174" s="78">
        <v>1028</v>
      </c>
      <c r="BJ174" s="78"/>
      <c r="BK174" s="78" t="s">
        <v>1968</v>
      </c>
      <c r="BL174" s="78">
        <v>21</v>
      </c>
      <c r="BM174" s="78">
        <v>0</v>
      </c>
      <c r="BN174" s="78">
        <v>0</v>
      </c>
      <c r="BO174" s="78">
        <v>0</v>
      </c>
      <c r="BP174" s="78">
        <v>0</v>
      </c>
      <c r="BQ174" s="78">
        <v>21</v>
      </c>
      <c r="CL174" s="267" t="s">
        <v>1337</v>
      </c>
      <c r="CM174" s="267" t="s">
        <v>2840</v>
      </c>
      <c r="CN174" s="267">
        <v>100</v>
      </c>
      <c r="CO174" s="267">
        <v>38</v>
      </c>
      <c r="CP174" s="267">
        <v>76</v>
      </c>
      <c r="CQ174" s="267">
        <v>107</v>
      </c>
      <c r="CR174" s="267">
        <v>118</v>
      </c>
      <c r="CS174" s="267">
        <v>439</v>
      </c>
      <c r="CT174" s="267"/>
      <c r="CU174" s="267" t="s">
        <v>2840</v>
      </c>
      <c r="CV174" s="267">
        <v>18</v>
      </c>
      <c r="CW174" s="267">
        <v>0</v>
      </c>
      <c r="CX174" s="267">
        <v>0</v>
      </c>
      <c r="CY174" s="267">
        <v>0</v>
      </c>
      <c r="CZ174" s="267">
        <v>0</v>
      </c>
      <c r="DA174" s="267">
        <v>18</v>
      </c>
      <c r="DB174" s="16">
        <v>25</v>
      </c>
      <c r="DD174" s="259"/>
      <c r="FF174" s="275" t="s">
        <v>1885</v>
      </c>
      <c r="FG174" s="275" t="s">
        <v>2840</v>
      </c>
      <c r="FH174" s="275">
        <v>279</v>
      </c>
      <c r="FI174" s="275">
        <v>281</v>
      </c>
      <c r="FJ174" s="275">
        <v>340</v>
      </c>
      <c r="FK174" s="275">
        <v>393</v>
      </c>
      <c r="FL174" s="275">
        <v>445</v>
      </c>
      <c r="FM174" s="275">
        <v>1738</v>
      </c>
      <c r="FN174" s="275"/>
      <c r="FO174" s="275" t="s">
        <v>2840</v>
      </c>
      <c r="FP174" s="275">
        <v>28</v>
      </c>
      <c r="FQ174" s="275">
        <v>7</v>
      </c>
      <c r="FR174" s="275">
        <v>3</v>
      </c>
      <c r="FS174" s="275">
        <v>4</v>
      </c>
      <c r="FT174" s="275">
        <v>3</v>
      </c>
      <c r="FU174" s="275">
        <v>45</v>
      </c>
      <c r="FV174" s="16">
        <v>40</v>
      </c>
      <c r="FW174" s="259" t="s">
        <v>2979</v>
      </c>
    </row>
    <row r="175" spans="1:179" x14ac:dyDescent="0.3">
      <c r="B175" s="71" t="s">
        <v>103</v>
      </c>
      <c r="C175" s="71" t="s">
        <v>2840</v>
      </c>
      <c r="D175" s="71">
        <v>17</v>
      </c>
      <c r="E175" s="71">
        <v>1</v>
      </c>
      <c r="F175" s="71">
        <v>2</v>
      </c>
      <c r="G175" s="71">
        <v>2</v>
      </c>
      <c r="H175" s="71">
        <v>1</v>
      </c>
      <c r="I175" s="71">
        <v>23</v>
      </c>
      <c r="K175" s="71" t="s">
        <v>2840</v>
      </c>
      <c r="L175" s="71">
        <v>102</v>
      </c>
      <c r="M175" s="71">
        <v>213</v>
      </c>
      <c r="N175" s="71">
        <v>374</v>
      </c>
      <c r="O175" s="71">
        <v>420</v>
      </c>
      <c r="P175" s="71">
        <v>282</v>
      </c>
      <c r="Q175" s="71">
        <v>1391</v>
      </c>
      <c r="R175" s="186">
        <v>30</v>
      </c>
      <c r="AK175" s="312" t="s">
        <v>488</v>
      </c>
      <c r="AL175" s="312" t="s">
        <v>2840</v>
      </c>
      <c r="AM175" s="312" t="s">
        <v>1978</v>
      </c>
      <c r="AN175" s="312" t="s">
        <v>1978</v>
      </c>
      <c r="AO175" s="312" t="s">
        <v>1978</v>
      </c>
      <c r="AP175" s="312" t="s">
        <v>1978</v>
      </c>
      <c r="AQ175" s="312" t="s">
        <v>1978</v>
      </c>
      <c r="AR175" s="312" t="s">
        <v>1978</v>
      </c>
      <c r="AT175" s="312" t="s">
        <v>2840</v>
      </c>
      <c r="AU175" s="312" t="s">
        <v>1978</v>
      </c>
      <c r="AV175" s="312" t="s">
        <v>1978</v>
      </c>
      <c r="AW175" s="312" t="s">
        <v>1978</v>
      </c>
      <c r="AX175" s="312" t="s">
        <v>1978</v>
      </c>
      <c r="AY175" s="312" t="s">
        <v>1978</v>
      </c>
      <c r="AZ175" s="312" t="s">
        <v>1978</v>
      </c>
      <c r="BB175" s="78" t="s">
        <v>1011</v>
      </c>
      <c r="BC175" s="78" t="s">
        <v>1968</v>
      </c>
      <c r="BD175" s="78">
        <v>482</v>
      </c>
      <c r="BE175" s="78">
        <v>313</v>
      </c>
      <c r="BF175" s="78">
        <v>538</v>
      </c>
      <c r="BG175" s="78">
        <v>687</v>
      </c>
      <c r="BH175" s="78">
        <v>566</v>
      </c>
      <c r="BI175" s="78">
        <v>2586</v>
      </c>
      <c r="BJ175" s="78"/>
      <c r="BK175" s="78" t="s">
        <v>1968</v>
      </c>
      <c r="BL175" s="78">
        <v>60</v>
      </c>
      <c r="BM175" s="78">
        <v>0</v>
      </c>
      <c r="BN175" s="78">
        <v>0</v>
      </c>
      <c r="BO175" s="78">
        <v>0</v>
      </c>
      <c r="BP175" s="78">
        <v>0</v>
      </c>
      <c r="BQ175" s="78">
        <v>60</v>
      </c>
      <c r="CL175" s="267" t="s">
        <v>1341</v>
      </c>
      <c r="CM175" s="267" t="s">
        <v>2840</v>
      </c>
      <c r="CN175" s="267">
        <v>63</v>
      </c>
      <c r="CO175" s="267">
        <v>45</v>
      </c>
      <c r="CP175" s="267">
        <v>93</v>
      </c>
      <c r="CQ175" s="267">
        <v>113</v>
      </c>
      <c r="CR175" s="267">
        <v>166</v>
      </c>
      <c r="CS175" s="267">
        <v>480</v>
      </c>
      <c r="CT175" s="267"/>
      <c r="CU175" s="267" t="s">
        <v>2840</v>
      </c>
      <c r="CV175" s="267">
        <v>10</v>
      </c>
      <c r="CW175" s="267">
        <v>0</v>
      </c>
      <c r="CX175" s="267">
        <v>0</v>
      </c>
      <c r="CY175" s="267">
        <v>0</v>
      </c>
      <c r="CZ175" s="267">
        <v>0</v>
      </c>
      <c r="DA175" s="267">
        <v>10</v>
      </c>
      <c r="DB175" s="16">
        <v>31</v>
      </c>
      <c r="DD175" s="259"/>
      <c r="FF175" s="275" t="s">
        <v>1890</v>
      </c>
      <c r="FG175" s="275" t="s">
        <v>2840</v>
      </c>
      <c r="FH175" s="275">
        <v>221</v>
      </c>
      <c r="FI175" s="275">
        <v>316</v>
      </c>
      <c r="FJ175" s="275">
        <v>380</v>
      </c>
      <c r="FK175" s="275">
        <v>428</v>
      </c>
      <c r="FL175" s="275">
        <v>534</v>
      </c>
      <c r="FM175" s="275">
        <v>1879</v>
      </c>
      <c r="FN175" s="275"/>
      <c r="FO175" s="275" t="s">
        <v>2840</v>
      </c>
      <c r="FP175" s="275">
        <v>17</v>
      </c>
      <c r="FQ175" s="275">
        <v>4</v>
      </c>
      <c r="FR175" s="275">
        <v>2</v>
      </c>
      <c r="FS175" s="275">
        <v>3</v>
      </c>
      <c r="FT175" s="275">
        <v>6</v>
      </c>
      <c r="FU175" s="275">
        <v>32</v>
      </c>
      <c r="FV175" s="16">
        <v>25</v>
      </c>
      <c r="FW175" s="259" t="s">
        <v>2979</v>
      </c>
    </row>
    <row r="176" spans="1:179" x14ac:dyDescent="0.3">
      <c r="A176" s="187" t="s">
        <v>3641</v>
      </c>
      <c r="B176" s="71" t="s">
        <v>3640</v>
      </c>
      <c r="C176" s="71" t="s">
        <v>2840</v>
      </c>
      <c r="D176" s="71">
        <v>7</v>
      </c>
      <c r="E176" s="71">
        <v>1</v>
      </c>
      <c r="F176" s="71">
        <v>3</v>
      </c>
      <c r="G176" s="71">
        <v>0</v>
      </c>
      <c r="H176" s="71">
        <v>0</v>
      </c>
      <c r="I176" s="71">
        <v>11</v>
      </c>
      <c r="K176" s="71" t="s">
        <v>2840</v>
      </c>
      <c r="L176" s="71">
        <v>75</v>
      </c>
      <c r="M176" s="71">
        <v>186</v>
      </c>
      <c r="N176" s="71">
        <v>321</v>
      </c>
      <c r="O176" s="71">
        <v>451</v>
      </c>
      <c r="P176" s="71">
        <v>320</v>
      </c>
      <c r="Q176" s="71">
        <v>1353</v>
      </c>
      <c r="R176" s="186">
        <v>20</v>
      </c>
      <c r="AK176" s="312" t="s">
        <v>492</v>
      </c>
      <c r="AL176" s="312" t="s">
        <v>2840</v>
      </c>
      <c r="AM176" s="312" t="s">
        <v>1978</v>
      </c>
      <c r="AN176" s="312" t="s">
        <v>1978</v>
      </c>
      <c r="AO176" s="312" t="s">
        <v>1978</v>
      </c>
      <c r="AP176" s="312" t="s">
        <v>1978</v>
      </c>
      <c r="AQ176" s="312" t="s">
        <v>1978</v>
      </c>
      <c r="AR176" s="312" t="s">
        <v>1978</v>
      </c>
      <c r="AT176" s="312" t="s">
        <v>2840</v>
      </c>
      <c r="AU176" s="312" t="s">
        <v>1978</v>
      </c>
      <c r="AV176" s="312" t="s">
        <v>1978</v>
      </c>
      <c r="AW176" s="312" t="s">
        <v>1978</v>
      </c>
      <c r="AX176" s="312" t="s">
        <v>1978</v>
      </c>
      <c r="AY176" s="312" t="s">
        <v>1978</v>
      </c>
      <c r="AZ176" s="312" t="s">
        <v>1978</v>
      </c>
      <c r="BB176" s="78" t="s">
        <v>1015</v>
      </c>
      <c r="BC176" s="78" t="s">
        <v>1968</v>
      </c>
      <c r="BD176" s="78">
        <v>208</v>
      </c>
      <c r="BE176" s="78">
        <v>197</v>
      </c>
      <c r="BF176" s="78">
        <v>309</v>
      </c>
      <c r="BG176" s="78">
        <v>429</v>
      </c>
      <c r="BH176" s="78">
        <v>405</v>
      </c>
      <c r="BI176" s="78">
        <v>1548</v>
      </c>
      <c r="BJ176" s="78"/>
      <c r="BK176" s="78" t="s">
        <v>1968</v>
      </c>
      <c r="BL176" s="78">
        <v>40</v>
      </c>
      <c r="BM176" s="78">
        <v>0</v>
      </c>
      <c r="BN176" s="78">
        <v>0</v>
      </c>
      <c r="BO176" s="78">
        <v>0</v>
      </c>
      <c r="BP176" s="78">
        <v>0</v>
      </c>
      <c r="BQ176" s="78">
        <v>40</v>
      </c>
      <c r="CL176" s="267" t="s">
        <v>1345</v>
      </c>
      <c r="CM176" s="267" t="s">
        <v>2840</v>
      </c>
      <c r="CN176" s="267">
        <v>1157</v>
      </c>
      <c r="CO176" s="267">
        <v>1070</v>
      </c>
      <c r="CP176" s="267">
        <v>1043</v>
      </c>
      <c r="CQ176" s="267">
        <v>1120</v>
      </c>
      <c r="CR176" s="267">
        <v>817</v>
      </c>
      <c r="CS176" s="267">
        <v>5207</v>
      </c>
      <c r="CT176" s="267"/>
      <c r="CU176" s="267" t="s">
        <v>2840</v>
      </c>
      <c r="CV176" s="267">
        <v>243</v>
      </c>
      <c r="CW176" s="267">
        <v>0</v>
      </c>
      <c r="CX176" s="267">
        <v>0</v>
      </c>
      <c r="CY176" s="267">
        <v>0</v>
      </c>
      <c r="CZ176" s="267">
        <v>0</v>
      </c>
      <c r="DA176" s="267">
        <v>243</v>
      </c>
      <c r="DB176" s="16">
        <v>305</v>
      </c>
      <c r="DD176" s="259"/>
      <c r="FF176" s="275" t="s">
        <v>1895</v>
      </c>
      <c r="FG176" s="275" t="s">
        <v>2840</v>
      </c>
      <c r="FH176" s="275">
        <v>67</v>
      </c>
      <c r="FI176" s="275">
        <v>115</v>
      </c>
      <c r="FJ176" s="275">
        <v>153</v>
      </c>
      <c r="FK176" s="275">
        <v>217</v>
      </c>
      <c r="FL176" s="275">
        <v>250</v>
      </c>
      <c r="FM176" s="275">
        <v>802</v>
      </c>
      <c r="FN176" s="275"/>
      <c r="FO176" s="275" t="s">
        <v>2840</v>
      </c>
      <c r="FP176" s="275">
        <v>6</v>
      </c>
      <c r="FQ176" s="275">
        <v>2</v>
      </c>
      <c r="FR176" s="275">
        <v>0</v>
      </c>
      <c r="FS176" s="275">
        <v>1</v>
      </c>
      <c r="FT176" s="275">
        <v>1</v>
      </c>
      <c r="FU176" s="275">
        <v>10</v>
      </c>
      <c r="FV176" s="16">
        <v>25</v>
      </c>
      <c r="FW176" s="259" t="s">
        <v>2979</v>
      </c>
    </row>
    <row r="177" spans="1:179" x14ac:dyDescent="0.3">
      <c r="B177" s="71" t="s">
        <v>116</v>
      </c>
      <c r="C177" s="71" t="s">
        <v>2840</v>
      </c>
      <c r="D177" s="71">
        <v>12</v>
      </c>
      <c r="E177" s="71">
        <v>3</v>
      </c>
      <c r="F177" s="71">
        <v>1</v>
      </c>
      <c r="G177" s="71">
        <v>0</v>
      </c>
      <c r="H177" s="71">
        <v>0</v>
      </c>
      <c r="I177" s="71">
        <v>16</v>
      </c>
      <c r="K177" s="71" t="s">
        <v>2840</v>
      </c>
      <c r="L177" s="71">
        <v>110</v>
      </c>
      <c r="M177" s="71">
        <v>185</v>
      </c>
      <c r="N177" s="71">
        <v>386</v>
      </c>
      <c r="O177" s="71">
        <v>536</v>
      </c>
      <c r="P177" s="71">
        <v>419</v>
      </c>
      <c r="Q177" s="71">
        <v>1636</v>
      </c>
      <c r="R177" s="186">
        <v>20</v>
      </c>
      <c r="AK177" s="312" t="s">
        <v>496</v>
      </c>
      <c r="AL177" s="312" t="s">
        <v>2840</v>
      </c>
      <c r="AM177" s="312" t="s">
        <v>1978</v>
      </c>
      <c r="AN177" s="312" t="s">
        <v>1978</v>
      </c>
      <c r="AO177" s="312" t="s">
        <v>1978</v>
      </c>
      <c r="AP177" s="312" t="s">
        <v>1978</v>
      </c>
      <c r="AQ177" s="312" t="s">
        <v>1978</v>
      </c>
      <c r="AR177" s="312" t="s">
        <v>1978</v>
      </c>
      <c r="AT177" s="312" t="s">
        <v>2840</v>
      </c>
      <c r="AU177" s="312" t="s">
        <v>1978</v>
      </c>
      <c r="AV177" s="312" t="s">
        <v>1978</v>
      </c>
      <c r="AW177" s="312" t="s">
        <v>1978</v>
      </c>
      <c r="AX177" s="312" t="s">
        <v>1978</v>
      </c>
      <c r="AY177" s="312" t="s">
        <v>1978</v>
      </c>
      <c r="AZ177" s="312" t="s">
        <v>1978</v>
      </c>
      <c r="BB177" s="78" t="s">
        <v>1020</v>
      </c>
      <c r="BC177" s="78" t="s">
        <v>1968</v>
      </c>
      <c r="BD177" s="78">
        <v>165</v>
      </c>
      <c r="BE177" s="78">
        <v>154</v>
      </c>
      <c r="BF177" s="78">
        <v>293</v>
      </c>
      <c r="BG177" s="78">
        <v>448</v>
      </c>
      <c r="BH177" s="78">
        <v>434</v>
      </c>
      <c r="BI177" s="78">
        <v>1494</v>
      </c>
      <c r="BJ177" s="78"/>
      <c r="BK177" s="78" t="s">
        <v>1968</v>
      </c>
      <c r="BL177" s="78">
        <v>22</v>
      </c>
      <c r="BM177" s="78">
        <v>0</v>
      </c>
      <c r="BN177" s="78">
        <v>0</v>
      </c>
      <c r="BO177" s="78">
        <v>0</v>
      </c>
      <c r="BP177" s="78">
        <v>0</v>
      </c>
      <c r="BQ177" s="78">
        <v>22</v>
      </c>
      <c r="CL177" s="267" t="s">
        <v>1348</v>
      </c>
      <c r="CM177" s="267" t="s">
        <v>2840</v>
      </c>
      <c r="CN177" s="267">
        <v>77</v>
      </c>
      <c r="CO177" s="267">
        <v>91</v>
      </c>
      <c r="CP177" s="267">
        <v>197</v>
      </c>
      <c r="CQ177" s="267">
        <v>337</v>
      </c>
      <c r="CR177" s="267">
        <v>270</v>
      </c>
      <c r="CS177" s="267">
        <v>972</v>
      </c>
      <c r="CT177" s="267"/>
      <c r="CU177" s="267" t="s">
        <v>2840</v>
      </c>
      <c r="CV177" s="267">
        <v>18</v>
      </c>
      <c r="CW177" s="267">
        <v>0</v>
      </c>
      <c r="CX177" s="267">
        <v>0</v>
      </c>
      <c r="CY177" s="267">
        <v>0</v>
      </c>
      <c r="CZ177" s="267">
        <v>0</v>
      </c>
      <c r="DA177" s="267">
        <v>18</v>
      </c>
      <c r="DB177" s="16">
        <v>35</v>
      </c>
      <c r="DD177" s="259"/>
      <c r="FF177" s="275" t="s">
        <v>1900</v>
      </c>
      <c r="FG177" s="275" t="s">
        <v>2840</v>
      </c>
      <c r="FH177" s="275">
        <v>305</v>
      </c>
      <c r="FI177" s="275">
        <v>267</v>
      </c>
      <c r="FJ177" s="275">
        <v>317</v>
      </c>
      <c r="FK177" s="275">
        <v>381</v>
      </c>
      <c r="FL177" s="275">
        <v>521</v>
      </c>
      <c r="FM177" s="275">
        <v>1791</v>
      </c>
      <c r="FN177" s="275"/>
      <c r="FO177" s="275" t="s">
        <v>2840</v>
      </c>
      <c r="FP177" s="275">
        <v>19</v>
      </c>
      <c r="FQ177" s="275">
        <v>4</v>
      </c>
      <c r="FR177" s="275">
        <v>1</v>
      </c>
      <c r="FS177" s="275">
        <v>2</v>
      </c>
      <c r="FT177" s="275">
        <v>3</v>
      </c>
      <c r="FU177" s="275">
        <v>29</v>
      </c>
      <c r="FV177" s="16">
        <v>25</v>
      </c>
      <c r="FW177" s="259" t="s">
        <v>2979</v>
      </c>
    </row>
    <row r="178" spans="1:179" x14ac:dyDescent="0.3">
      <c r="B178" s="71" t="s">
        <v>121</v>
      </c>
      <c r="C178" s="71" t="s">
        <v>2840</v>
      </c>
      <c r="D178" s="71">
        <v>50</v>
      </c>
      <c r="E178" s="71">
        <v>5</v>
      </c>
      <c r="F178" s="71">
        <v>1</v>
      </c>
      <c r="G178" s="71">
        <v>0</v>
      </c>
      <c r="H178" s="71">
        <v>0</v>
      </c>
      <c r="I178" s="71">
        <v>56</v>
      </c>
      <c r="K178" s="71" t="s">
        <v>2840</v>
      </c>
      <c r="L178" s="71">
        <v>592</v>
      </c>
      <c r="M178" s="71">
        <v>531</v>
      </c>
      <c r="N178" s="71">
        <v>557</v>
      </c>
      <c r="O178" s="71">
        <v>577</v>
      </c>
      <c r="P178" s="71">
        <v>397</v>
      </c>
      <c r="Q178" s="71">
        <v>2654</v>
      </c>
      <c r="R178" s="186">
        <v>45</v>
      </c>
      <c r="AK178" s="312" t="s">
        <v>500</v>
      </c>
      <c r="AL178" s="312" t="s">
        <v>2840</v>
      </c>
      <c r="AM178" s="312" t="s">
        <v>1978</v>
      </c>
      <c r="AN178" s="312" t="s">
        <v>1978</v>
      </c>
      <c r="AO178" s="312" t="s">
        <v>1978</v>
      </c>
      <c r="AP178" s="312" t="s">
        <v>1978</v>
      </c>
      <c r="AQ178" s="312" t="s">
        <v>1978</v>
      </c>
      <c r="AR178" s="312" t="s">
        <v>1978</v>
      </c>
      <c r="AT178" s="312" t="s">
        <v>2840</v>
      </c>
      <c r="AU178" s="312" t="s">
        <v>1978</v>
      </c>
      <c r="AV178" s="312" t="s">
        <v>1978</v>
      </c>
      <c r="AW178" s="312" t="s">
        <v>1978</v>
      </c>
      <c r="AX178" s="312" t="s">
        <v>1978</v>
      </c>
      <c r="AY178" s="312" t="s">
        <v>1978</v>
      </c>
      <c r="AZ178" s="312" t="s">
        <v>1978</v>
      </c>
      <c r="BB178" s="78" t="s">
        <v>1025</v>
      </c>
      <c r="BC178" s="78" t="s">
        <v>1968</v>
      </c>
      <c r="BD178" s="78">
        <v>125</v>
      </c>
      <c r="BE178" s="78">
        <v>125</v>
      </c>
      <c r="BF178" s="78">
        <v>227</v>
      </c>
      <c r="BG178" s="78">
        <v>373</v>
      </c>
      <c r="BH178" s="78">
        <v>308</v>
      </c>
      <c r="BI178" s="78">
        <v>1158</v>
      </c>
      <c r="BJ178" s="78"/>
      <c r="BK178" s="78" t="s">
        <v>1968</v>
      </c>
      <c r="BL178" s="78">
        <v>37</v>
      </c>
      <c r="BM178" s="78">
        <v>0</v>
      </c>
      <c r="BN178" s="78">
        <v>0</v>
      </c>
      <c r="BO178" s="78">
        <v>0</v>
      </c>
      <c r="BP178" s="78">
        <v>0</v>
      </c>
      <c r="BQ178" s="78">
        <v>37</v>
      </c>
      <c r="CL178" s="267" t="s">
        <v>1352</v>
      </c>
      <c r="CM178" s="267" t="s">
        <v>2840</v>
      </c>
      <c r="CN178" s="267">
        <v>41</v>
      </c>
      <c r="CO178" s="267">
        <v>40</v>
      </c>
      <c r="CP178" s="267">
        <v>58</v>
      </c>
      <c r="CQ178" s="267">
        <v>89</v>
      </c>
      <c r="CR178" s="267">
        <v>101</v>
      </c>
      <c r="CS178" s="267">
        <v>329</v>
      </c>
      <c r="CT178" s="267"/>
      <c r="CU178" s="267" t="s">
        <v>2840</v>
      </c>
      <c r="CV178" s="267">
        <v>18</v>
      </c>
      <c r="CW178" s="267">
        <v>0</v>
      </c>
      <c r="CX178" s="267">
        <v>0</v>
      </c>
      <c r="CY178" s="267">
        <v>0</v>
      </c>
      <c r="CZ178" s="267">
        <v>0</v>
      </c>
      <c r="DA178" s="267">
        <v>18</v>
      </c>
      <c r="DB178" s="16" t="s">
        <v>3396</v>
      </c>
      <c r="DD178" s="259" t="s">
        <v>3432</v>
      </c>
      <c r="FF178" s="275" t="s">
        <v>1905</v>
      </c>
      <c r="FG178" s="275" t="s">
        <v>2840</v>
      </c>
      <c r="FH178" s="275">
        <v>86</v>
      </c>
      <c r="FI178" s="275">
        <v>141</v>
      </c>
      <c r="FJ178" s="275">
        <v>179</v>
      </c>
      <c r="FK178" s="275">
        <v>253</v>
      </c>
      <c r="FL178" s="275">
        <v>394</v>
      </c>
      <c r="FM178" s="275">
        <v>1053</v>
      </c>
      <c r="FN178" s="275"/>
      <c r="FO178" s="275" t="s">
        <v>2840</v>
      </c>
      <c r="FP178" s="275">
        <v>17</v>
      </c>
      <c r="FQ178" s="275">
        <v>2</v>
      </c>
      <c r="FR178" s="275">
        <v>0</v>
      </c>
      <c r="FS178" s="275">
        <v>0</v>
      </c>
      <c r="FT178" s="275">
        <v>0</v>
      </c>
      <c r="FU178" s="275">
        <v>19</v>
      </c>
      <c r="FV178" s="16">
        <v>30</v>
      </c>
      <c r="FW178" s="259" t="s">
        <v>2979</v>
      </c>
    </row>
    <row r="179" spans="1:179" x14ac:dyDescent="0.3">
      <c r="B179" s="71" t="s">
        <v>126</v>
      </c>
      <c r="C179" s="71" t="s">
        <v>2840</v>
      </c>
      <c r="D179" s="71">
        <v>20</v>
      </c>
      <c r="E179" s="71">
        <v>1</v>
      </c>
      <c r="F179" s="71">
        <v>2</v>
      </c>
      <c r="G179" s="71">
        <v>2</v>
      </c>
      <c r="H179" s="71">
        <v>1</v>
      </c>
      <c r="I179" s="71">
        <v>26</v>
      </c>
      <c r="K179" s="71" t="s">
        <v>2840</v>
      </c>
      <c r="L179" s="71">
        <v>163</v>
      </c>
      <c r="M179" s="71">
        <v>207</v>
      </c>
      <c r="N179" s="71">
        <v>277</v>
      </c>
      <c r="O179" s="71">
        <v>342</v>
      </c>
      <c r="P179" s="71">
        <v>221</v>
      </c>
      <c r="Q179" s="71">
        <v>1210</v>
      </c>
      <c r="R179" s="186">
        <v>25</v>
      </c>
      <c r="AK179" s="312" t="s">
        <v>504</v>
      </c>
      <c r="AL179" s="312" t="s">
        <v>2840</v>
      </c>
      <c r="AM179" s="312" t="s">
        <v>1978</v>
      </c>
      <c r="AN179" s="312" t="s">
        <v>1978</v>
      </c>
      <c r="AO179" s="312" t="s">
        <v>1978</v>
      </c>
      <c r="AP179" s="312" t="s">
        <v>1978</v>
      </c>
      <c r="AQ179" s="312" t="s">
        <v>1978</v>
      </c>
      <c r="AR179" s="312" t="s">
        <v>1978</v>
      </c>
      <c r="AT179" s="312" t="s">
        <v>2840</v>
      </c>
      <c r="AU179" s="312" t="s">
        <v>1978</v>
      </c>
      <c r="AV179" s="312" t="s">
        <v>1978</v>
      </c>
      <c r="AW179" s="312" t="s">
        <v>1978</v>
      </c>
      <c r="AX179" s="312" t="s">
        <v>1978</v>
      </c>
      <c r="AY179" s="312" t="s">
        <v>1978</v>
      </c>
      <c r="AZ179" s="312" t="s">
        <v>1978</v>
      </c>
      <c r="BB179" s="78" t="s">
        <v>1030</v>
      </c>
      <c r="BC179" s="78" t="s">
        <v>1968</v>
      </c>
      <c r="BD179" s="78">
        <v>150</v>
      </c>
      <c r="BE179" s="78">
        <v>196</v>
      </c>
      <c r="BF179" s="78">
        <v>349</v>
      </c>
      <c r="BG179" s="78">
        <v>602</v>
      </c>
      <c r="BH179" s="78">
        <v>535</v>
      </c>
      <c r="BI179" s="78">
        <v>1832</v>
      </c>
      <c r="BJ179" s="78"/>
      <c r="BK179" s="78" t="s">
        <v>1968</v>
      </c>
      <c r="BL179" s="78">
        <v>41</v>
      </c>
      <c r="BM179" s="78">
        <v>0</v>
      </c>
      <c r="BN179" s="78">
        <v>0</v>
      </c>
      <c r="BO179" s="78">
        <v>0</v>
      </c>
      <c r="BP179" s="78">
        <v>0</v>
      </c>
      <c r="BQ179" s="78">
        <v>41</v>
      </c>
      <c r="CL179" s="267" t="s">
        <v>1358</v>
      </c>
      <c r="CM179" s="267" t="s">
        <v>2840</v>
      </c>
      <c r="CN179" s="267">
        <v>183</v>
      </c>
      <c r="CO179" s="267">
        <v>181</v>
      </c>
      <c r="CP179" s="267">
        <v>310</v>
      </c>
      <c r="CQ179" s="267">
        <v>404</v>
      </c>
      <c r="CR179" s="267">
        <v>349</v>
      </c>
      <c r="CS179" s="267">
        <v>1427</v>
      </c>
      <c r="CT179" s="267"/>
      <c r="CU179" s="267" t="s">
        <v>2840</v>
      </c>
      <c r="CV179" s="267">
        <v>28</v>
      </c>
      <c r="CW179" s="267">
        <v>0</v>
      </c>
      <c r="CX179" s="267">
        <v>0</v>
      </c>
      <c r="CY179" s="267">
        <v>0</v>
      </c>
      <c r="CZ179" s="267">
        <v>0</v>
      </c>
      <c r="DA179" s="267">
        <v>28</v>
      </c>
      <c r="DB179" s="16">
        <v>38</v>
      </c>
      <c r="DD179" s="259"/>
      <c r="FF179" s="275" t="s">
        <v>1910</v>
      </c>
      <c r="FG179" s="275" t="s">
        <v>2840</v>
      </c>
      <c r="FH179" s="275">
        <v>82</v>
      </c>
      <c r="FI179" s="275">
        <v>115</v>
      </c>
      <c r="FJ179" s="275">
        <v>156</v>
      </c>
      <c r="FK179" s="275">
        <v>226</v>
      </c>
      <c r="FL179" s="275">
        <v>284</v>
      </c>
      <c r="FM179" s="275">
        <v>863</v>
      </c>
      <c r="FN179" s="275"/>
      <c r="FO179" s="275" t="s">
        <v>2840</v>
      </c>
      <c r="FP179" s="275">
        <v>9</v>
      </c>
      <c r="FQ179" s="275">
        <v>1</v>
      </c>
      <c r="FR179" s="275">
        <v>1</v>
      </c>
      <c r="FS179" s="275">
        <v>1</v>
      </c>
      <c r="FT179" s="275">
        <v>1</v>
      </c>
      <c r="FU179" s="275">
        <v>13</v>
      </c>
      <c r="FV179" s="16">
        <v>25</v>
      </c>
      <c r="FW179" s="259" t="s">
        <v>2979</v>
      </c>
    </row>
    <row r="180" spans="1:179" x14ac:dyDescent="0.3">
      <c r="B180" s="71" t="s">
        <v>135</v>
      </c>
      <c r="C180" s="71" t="s">
        <v>2840</v>
      </c>
      <c r="D180" s="71">
        <v>48</v>
      </c>
      <c r="E180" s="71">
        <v>4</v>
      </c>
      <c r="F180" s="71">
        <v>1</v>
      </c>
      <c r="G180" s="71">
        <v>1</v>
      </c>
      <c r="H180" s="71">
        <v>0</v>
      </c>
      <c r="I180" s="71">
        <v>54</v>
      </c>
      <c r="K180" s="71" t="s">
        <v>2840</v>
      </c>
      <c r="L180" s="71">
        <v>583</v>
      </c>
      <c r="M180" s="71">
        <v>606</v>
      </c>
      <c r="N180" s="71">
        <v>893</v>
      </c>
      <c r="O180" s="71">
        <v>1007</v>
      </c>
      <c r="P180" s="71">
        <v>710</v>
      </c>
      <c r="Q180" s="71">
        <v>3799</v>
      </c>
      <c r="R180" s="186">
        <v>45</v>
      </c>
      <c r="AK180" s="312" t="s">
        <v>508</v>
      </c>
      <c r="AL180" s="312" t="s">
        <v>2840</v>
      </c>
      <c r="AM180" s="312" t="s">
        <v>1978</v>
      </c>
      <c r="AN180" s="312" t="s">
        <v>1978</v>
      </c>
      <c r="AO180" s="312" t="s">
        <v>1978</v>
      </c>
      <c r="AP180" s="312" t="s">
        <v>1978</v>
      </c>
      <c r="AQ180" s="312" t="s">
        <v>1978</v>
      </c>
      <c r="AR180" s="312" t="s">
        <v>1978</v>
      </c>
      <c r="AT180" s="312" t="s">
        <v>2840</v>
      </c>
      <c r="AU180" s="312" t="s">
        <v>1978</v>
      </c>
      <c r="AV180" s="312" t="s">
        <v>1978</v>
      </c>
      <c r="AW180" s="312" t="s">
        <v>1978</v>
      </c>
      <c r="AX180" s="312" t="s">
        <v>1978</v>
      </c>
      <c r="AY180" s="312" t="s">
        <v>1978</v>
      </c>
      <c r="AZ180" s="312" t="s">
        <v>1978</v>
      </c>
      <c r="BB180" s="78" t="s">
        <v>1034</v>
      </c>
      <c r="BC180" s="78" t="s">
        <v>1968</v>
      </c>
      <c r="BD180" s="78">
        <v>51</v>
      </c>
      <c r="BE180" s="78">
        <v>63</v>
      </c>
      <c r="BF180" s="78">
        <v>132</v>
      </c>
      <c r="BG180" s="78">
        <v>205</v>
      </c>
      <c r="BH180" s="78">
        <v>192</v>
      </c>
      <c r="BI180" s="78">
        <v>643</v>
      </c>
      <c r="BJ180" s="78"/>
      <c r="BK180" s="78" t="s">
        <v>1968</v>
      </c>
      <c r="BL180" s="78">
        <v>12</v>
      </c>
      <c r="BM180" s="78">
        <v>0</v>
      </c>
      <c r="BN180" s="78">
        <v>0</v>
      </c>
      <c r="BO180" s="78">
        <v>0</v>
      </c>
      <c r="BP180" s="78">
        <v>0</v>
      </c>
      <c r="BQ180" s="78">
        <v>12</v>
      </c>
      <c r="CL180" s="267" t="s">
        <v>1362</v>
      </c>
      <c r="CM180" s="267" t="s">
        <v>2840</v>
      </c>
      <c r="CN180" s="267">
        <v>67</v>
      </c>
      <c r="CO180" s="267">
        <v>117</v>
      </c>
      <c r="CP180" s="267">
        <v>273</v>
      </c>
      <c r="CQ180" s="267">
        <v>414</v>
      </c>
      <c r="CR180" s="267">
        <v>329</v>
      </c>
      <c r="CS180" s="267">
        <v>1200</v>
      </c>
      <c r="CT180" s="267"/>
      <c r="CU180" s="267" t="s">
        <v>2840</v>
      </c>
      <c r="CV180" s="267">
        <v>12</v>
      </c>
      <c r="CW180" s="267">
        <v>0</v>
      </c>
      <c r="CX180" s="267">
        <v>0</v>
      </c>
      <c r="CY180" s="267">
        <v>0</v>
      </c>
      <c r="CZ180" s="267">
        <v>0</v>
      </c>
      <c r="DA180" s="267">
        <v>12</v>
      </c>
      <c r="DB180" s="16">
        <v>18</v>
      </c>
      <c r="DD180" s="259"/>
      <c r="FF180" s="275" t="s">
        <v>1915</v>
      </c>
      <c r="FG180" s="275" t="s">
        <v>2840</v>
      </c>
      <c r="FH180" s="275">
        <v>65</v>
      </c>
      <c r="FI180" s="275">
        <v>102</v>
      </c>
      <c r="FJ180" s="275">
        <v>141</v>
      </c>
      <c r="FK180" s="275">
        <v>191</v>
      </c>
      <c r="FL180" s="275">
        <v>262</v>
      </c>
      <c r="FM180" s="275">
        <v>761</v>
      </c>
      <c r="FN180" s="275"/>
      <c r="FO180" s="275" t="s">
        <v>2840</v>
      </c>
      <c r="FP180" s="275">
        <v>13</v>
      </c>
      <c r="FQ180" s="275">
        <v>5</v>
      </c>
      <c r="FR180" s="275">
        <v>2</v>
      </c>
      <c r="FS180" s="275">
        <v>1</v>
      </c>
      <c r="FT180" s="275">
        <v>0</v>
      </c>
      <c r="FU180" s="275">
        <v>21</v>
      </c>
      <c r="FV180" s="16">
        <v>25</v>
      </c>
      <c r="FW180" s="259" t="s">
        <v>2979</v>
      </c>
    </row>
    <row r="181" spans="1:179" x14ac:dyDescent="0.3">
      <c r="B181" s="71" t="s">
        <v>140</v>
      </c>
      <c r="C181" s="71" t="s">
        <v>2840</v>
      </c>
      <c r="D181" s="71">
        <v>41</v>
      </c>
      <c r="E181" s="71">
        <v>8</v>
      </c>
      <c r="F181" s="71">
        <v>3</v>
      </c>
      <c r="G181" s="71">
        <v>1</v>
      </c>
      <c r="H181" s="71">
        <v>1</v>
      </c>
      <c r="I181" s="71">
        <v>54</v>
      </c>
      <c r="K181" s="71" t="s">
        <v>2840</v>
      </c>
      <c r="L181" s="71">
        <v>143</v>
      </c>
      <c r="M181" s="71">
        <v>274</v>
      </c>
      <c r="N181" s="71">
        <v>330</v>
      </c>
      <c r="O181" s="71">
        <v>491</v>
      </c>
      <c r="P181" s="71">
        <v>362</v>
      </c>
      <c r="Q181" s="71">
        <v>1600</v>
      </c>
      <c r="R181" s="186">
        <v>64</v>
      </c>
      <c r="AK181" s="312" t="s">
        <v>512</v>
      </c>
      <c r="AL181" s="312" t="s">
        <v>2840</v>
      </c>
      <c r="AM181" s="312" t="s">
        <v>1978</v>
      </c>
      <c r="AN181" s="312" t="s">
        <v>1978</v>
      </c>
      <c r="AO181" s="312" t="s">
        <v>1978</v>
      </c>
      <c r="AP181" s="312" t="s">
        <v>1978</v>
      </c>
      <c r="AQ181" s="312" t="s">
        <v>1978</v>
      </c>
      <c r="AR181" s="312" t="s">
        <v>1978</v>
      </c>
      <c r="AT181" s="312" t="s">
        <v>2840</v>
      </c>
      <c r="AU181" s="312" t="s">
        <v>1978</v>
      </c>
      <c r="AV181" s="312" t="s">
        <v>1978</v>
      </c>
      <c r="AW181" s="312" t="s">
        <v>1978</v>
      </c>
      <c r="AX181" s="312" t="s">
        <v>1978</v>
      </c>
      <c r="AY181" s="312" t="s">
        <v>1978</v>
      </c>
      <c r="AZ181" s="312" t="s">
        <v>1978</v>
      </c>
      <c r="BB181" s="78" t="s">
        <v>1038</v>
      </c>
      <c r="BC181" s="78" t="s">
        <v>1968</v>
      </c>
      <c r="BD181" s="78">
        <v>369</v>
      </c>
      <c r="BE181" s="78">
        <v>506</v>
      </c>
      <c r="BF181" s="78">
        <v>884</v>
      </c>
      <c r="BG181" s="78">
        <v>1305</v>
      </c>
      <c r="BH181" s="78">
        <v>1220</v>
      </c>
      <c r="BI181" s="78">
        <v>4284</v>
      </c>
      <c r="BJ181" s="78"/>
      <c r="BK181" s="78" t="s">
        <v>1968</v>
      </c>
      <c r="BL181" s="78">
        <v>55</v>
      </c>
      <c r="BM181" s="78">
        <v>2</v>
      </c>
      <c r="BN181" s="78">
        <v>0</v>
      </c>
      <c r="BO181" s="78">
        <v>0</v>
      </c>
      <c r="BP181" s="78">
        <v>0</v>
      </c>
      <c r="BQ181" s="78">
        <v>57</v>
      </c>
      <c r="CL181" s="267" t="s">
        <v>1367</v>
      </c>
      <c r="CM181" s="267" t="s">
        <v>2840</v>
      </c>
      <c r="CN181" s="267">
        <v>831</v>
      </c>
      <c r="CO181" s="267">
        <v>567</v>
      </c>
      <c r="CP181" s="267">
        <v>639</v>
      </c>
      <c r="CQ181" s="267">
        <v>603</v>
      </c>
      <c r="CR181" s="267">
        <v>501</v>
      </c>
      <c r="CS181" s="267">
        <v>3141</v>
      </c>
      <c r="CT181" s="267"/>
      <c r="CU181" s="267" t="s">
        <v>2840</v>
      </c>
      <c r="CV181" s="267">
        <v>258</v>
      </c>
      <c r="CW181" s="267">
        <v>2</v>
      </c>
      <c r="CX181" s="267">
        <v>0</v>
      </c>
      <c r="CY181" s="267">
        <v>0</v>
      </c>
      <c r="CZ181" s="267">
        <v>0</v>
      </c>
      <c r="DA181" s="267">
        <v>260</v>
      </c>
      <c r="DB181" s="16" t="s">
        <v>3396</v>
      </c>
      <c r="DD181" s="259" t="s">
        <v>3432</v>
      </c>
      <c r="FF181" s="275" t="s">
        <v>1920</v>
      </c>
      <c r="FG181" s="275" t="s">
        <v>2840</v>
      </c>
      <c r="FH181" s="275">
        <v>264</v>
      </c>
      <c r="FI181" s="275">
        <v>342</v>
      </c>
      <c r="FJ181" s="275">
        <v>267</v>
      </c>
      <c r="FK181" s="275">
        <v>291</v>
      </c>
      <c r="FL181" s="275">
        <v>353</v>
      </c>
      <c r="FM181" s="275">
        <v>1517</v>
      </c>
      <c r="FN181" s="275"/>
      <c r="FO181" s="275" t="s">
        <v>2840</v>
      </c>
      <c r="FP181" s="275">
        <v>28</v>
      </c>
      <c r="FQ181" s="275">
        <v>6</v>
      </c>
      <c r="FR181" s="275">
        <v>6</v>
      </c>
      <c r="FS181" s="275">
        <v>1</v>
      </c>
      <c r="FT181" s="275">
        <v>1</v>
      </c>
      <c r="FU181" s="275">
        <v>42</v>
      </c>
      <c r="FV181" s="16">
        <v>30</v>
      </c>
      <c r="FW181" s="259" t="s">
        <v>2979</v>
      </c>
    </row>
    <row r="182" spans="1:179" x14ac:dyDescent="0.3">
      <c r="A182" s="358" t="s">
        <v>2858</v>
      </c>
      <c r="B182" s="71" t="s">
        <v>1974</v>
      </c>
      <c r="C182" s="71" t="s">
        <v>2840</v>
      </c>
      <c r="D182" s="71" t="s">
        <v>1970</v>
      </c>
      <c r="E182" s="71" t="s">
        <v>1970</v>
      </c>
      <c r="F182" s="71" t="s">
        <v>1970</v>
      </c>
      <c r="G182" s="71" t="s">
        <v>1970</v>
      </c>
      <c r="H182" s="71" t="s">
        <v>1970</v>
      </c>
      <c r="I182" s="71" t="s">
        <v>1970</v>
      </c>
      <c r="K182" s="71" t="s">
        <v>2840</v>
      </c>
      <c r="L182" s="71" t="s">
        <v>1970</v>
      </c>
      <c r="M182" s="71" t="s">
        <v>1970</v>
      </c>
      <c r="N182" s="71" t="s">
        <v>1970</v>
      </c>
      <c r="O182" s="71" t="s">
        <v>1970</v>
      </c>
      <c r="P182" s="71" t="s">
        <v>1970</v>
      </c>
      <c r="Q182" s="71" t="s">
        <v>1970</v>
      </c>
      <c r="R182" s="186">
        <v>25</v>
      </c>
      <c r="AK182" s="312" t="s">
        <v>516</v>
      </c>
      <c r="AL182" s="312" t="s">
        <v>2840</v>
      </c>
      <c r="AM182" s="312" t="s">
        <v>1978</v>
      </c>
      <c r="AN182" s="312" t="s">
        <v>1978</v>
      </c>
      <c r="AO182" s="312" t="s">
        <v>1978</v>
      </c>
      <c r="AP182" s="312" t="s">
        <v>1978</v>
      </c>
      <c r="AQ182" s="312" t="s">
        <v>1978</v>
      </c>
      <c r="AR182" s="312" t="s">
        <v>1978</v>
      </c>
      <c r="AT182" s="312" t="s">
        <v>2840</v>
      </c>
      <c r="AU182" s="312" t="s">
        <v>1978</v>
      </c>
      <c r="AV182" s="312" t="s">
        <v>1978</v>
      </c>
      <c r="AW182" s="312" t="s">
        <v>1978</v>
      </c>
      <c r="AX182" s="312" t="s">
        <v>1978</v>
      </c>
      <c r="AY182" s="312" t="s">
        <v>1978</v>
      </c>
      <c r="AZ182" s="312" t="s">
        <v>1978</v>
      </c>
      <c r="BB182" s="78" t="s">
        <v>1043</v>
      </c>
      <c r="BC182" s="78" t="s">
        <v>1968</v>
      </c>
      <c r="BD182" s="78">
        <v>370</v>
      </c>
      <c r="BE182" s="78">
        <v>378</v>
      </c>
      <c r="BF182" s="78">
        <v>712</v>
      </c>
      <c r="BG182" s="78">
        <v>1042</v>
      </c>
      <c r="BH182" s="78">
        <v>894</v>
      </c>
      <c r="BI182" s="78">
        <v>3396</v>
      </c>
      <c r="BJ182" s="78"/>
      <c r="BK182" s="78" t="s">
        <v>1968</v>
      </c>
      <c r="BL182" s="78">
        <v>39</v>
      </c>
      <c r="BM182" s="78">
        <v>0</v>
      </c>
      <c r="BN182" s="78">
        <v>0</v>
      </c>
      <c r="BO182" s="78">
        <v>0</v>
      </c>
      <c r="BP182" s="78">
        <v>0</v>
      </c>
      <c r="BQ182" s="78">
        <v>39</v>
      </c>
      <c r="DD182" s="259"/>
      <c r="FF182" s="275" t="s">
        <v>1933</v>
      </c>
      <c r="FG182" s="275" t="s">
        <v>2840</v>
      </c>
      <c r="FH182" s="275">
        <v>124</v>
      </c>
      <c r="FI182" s="275">
        <v>148</v>
      </c>
      <c r="FJ182" s="275">
        <v>160</v>
      </c>
      <c r="FK182" s="275">
        <v>232</v>
      </c>
      <c r="FL182" s="275">
        <v>299</v>
      </c>
      <c r="FM182" s="275">
        <v>963</v>
      </c>
      <c r="FN182" s="275"/>
      <c r="FO182" s="275" t="s">
        <v>2840</v>
      </c>
      <c r="FP182" s="275">
        <v>11</v>
      </c>
      <c r="FQ182" s="275">
        <v>2</v>
      </c>
      <c r="FR182" s="275">
        <v>0</v>
      </c>
      <c r="FS182" s="275">
        <v>0</v>
      </c>
      <c r="FT182" s="275">
        <v>0</v>
      </c>
      <c r="FU182" s="275">
        <v>13</v>
      </c>
      <c r="FV182" s="16">
        <v>25</v>
      </c>
    </row>
    <row r="183" spans="1:179" x14ac:dyDescent="0.3">
      <c r="B183" s="71" t="s">
        <v>149</v>
      </c>
      <c r="C183" s="71" t="s">
        <v>2840</v>
      </c>
      <c r="D183" s="71">
        <v>18</v>
      </c>
      <c r="E183" s="71">
        <v>2</v>
      </c>
      <c r="F183" s="71">
        <v>2</v>
      </c>
      <c r="G183" s="71">
        <v>0</v>
      </c>
      <c r="H183" s="71">
        <v>0</v>
      </c>
      <c r="I183" s="71">
        <v>22</v>
      </c>
      <c r="K183" s="71" t="s">
        <v>2840</v>
      </c>
      <c r="L183" s="71">
        <v>272</v>
      </c>
      <c r="M183" s="71">
        <v>534</v>
      </c>
      <c r="N183" s="71">
        <v>812</v>
      </c>
      <c r="O183" s="71">
        <v>1079</v>
      </c>
      <c r="P183" s="71">
        <v>878</v>
      </c>
      <c r="Q183" s="71">
        <v>3575</v>
      </c>
      <c r="R183" s="186">
        <v>10</v>
      </c>
      <c r="AK183" s="312" t="s">
        <v>520</v>
      </c>
      <c r="AL183" s="312" t="s">
        <v>2840</v>
      </c>
      <c r="AM183" s="312" t="s">
        <v>1978</v>
      </c>
      <c r="AN183" s="312" t="s">
        <v>1978</v>
      </c>
      <c r="AO183" s="312" t="s">
        <v>1978</v>
      </c>
      <c r="AP183" s="312" t="s">
        <v>1978</v>
      </c>
      <c r="AQ183" s="312" t="s">
        <v>1978</v>
      </c>
      <c r="AR183" s="312" t="s">
        <v>1978</v>
      </c>
      <c r="AT183" s="312" t="s">
        <v>2840</v>
      </c>
      <c r="AU183" s="312" t="s">
        <v>1978</v>
      </c>
      <c r="AV183" s="312" t="s">
        <v>1978</v>
      </c>
      <c r="AW183" s="312" t="s">
        <v>1978</v>
      </c>
      <c r="AX183" s="312" t="s">
        <v>1978</v>
      </c>
      <c r="AY183" s="312" t="s">
        <v>1978</v>
      </c>
      <c r="AZ183" s="312" t="s">
        <v>1978</v>
      </c>
      <c r="BB183" s="78" t="s">
        <v>1047</v>
      </c>
      <c r="BC183" s="78" t="s">
        <v>1968</v>
      </c>
      <c r="BD183" s="78">
        <v>256</v>
      </c>
      <c r="BE183" s="78">
        <v>257</v>
      </c>
      <c r="BF183" s="78">
        <v>513</v>
      </c>
      <c r="BG183" s="78">
        <v>841</v>
      </c>
      <c r="BH183" s="78">
        <v>816</v>
      </c>
      <c r="BI183" s="78">
        <v>2683</v>
      </c>
      <c r="BJ183" s="78"/>
      <c r="BK183" s="78" t="s">
        <v>1968</v>
      </c>
      <c r="BL183" s="78">
        <v>32</v>
      </c>
      <c r="BM183" s="78">
        <v>1</v>
      </c>
      <c r="BN183" s="78">
        <v>0</v>
      </c>
      <c r="BO183" s="78">
        <v>0</v>
      </c>
      <c r="BP183" s="78">
        <v>0</v>
      </c>
      <c r="BQ183" s="78">
        <v>33</v>
      </c>
      <c r="DD183" s="259"/>
      <c r="FF183" s="275" t="s">
        <v>1938</v>
      </c>
      <c r="FG183" s="275" t="s">
        <v>2840</v>
      </c>
      <c r="FH183" s="275">
        <v>96</v>
      </c>
      <c r="FI183" s="275">
        <v>151</v>
      </c>
      <c r="FJ183" s="275">
        <v>183</v>
      </c>
      <c r="FK183" s="275">
        <v>220</v>
      </c>
      <c r="FL183" s="275">
        <v>334</v>
      </c>
      <c r="FM183" s="275">
        <v>984</v>
      </c>
      <c r="FN183" s="275"/>
      <c r="FO183" s="275" t="s">
        <v>2840</v>
      </c>
      <c r="FP183" s="275">
        <v>14</v>
      </c>
      <c r="FQ183" s="275">
        <v>4</v>
      </c>
      <c r="FR183" s="275">
        <v>2</v>
      </c>
      <c r="FS183" s="275">
        <v>2</v>
      </c>
      <c r="FT183" s="275">
        <v>0</v>
      </c>
      <c r="FU183" s="275">
        <v>22</v>
      </c>
      <c r="FV183" s="16">
        <v>30</v>
      </c>
    </row>
    <row r="184" spans="1:179" x14ac:dyDescent="0.3">
      <c r="B184" s="71" t="s">
        <v>154</v>
      </c>
      <c r="C184" s="71" t="s">
        <v>2840</v>
      </c>
      <c r="D184" s="71">
        <v>27</v>
      </c>
      <c r="E184" s="71">
        <v>1</v>
      </c>
      <c r="F184" s="71">
        <v>2</v>
      </c>
      <c r="G184" s="71">
        <v>1</v>
      </c>
      <c r="H184" s="71">
        <v>0</v>
      </c>
      <c r="I184" s="71">
        <v>31</v>
      </c>
      <c r="K184" s="71" t="s">
        <v>2840</v>
      </c>
      <c r="L184" s="71">
        <v>335</v>
      </c>
      <c r="M184" s="71">
        <v>555</v>
      </c>
      <c r="N184" s="71">
        <v>936</v>
      </c>
      <c r="O184" s="71">
        <v>1098</v>
      </c>
      <c r="P184" s="71">
        <v>914</v>
      </c>
      <c r="Q184" s="71">
        <v>3838</v>
      </c>
      <c r="R184" s="186">
        <v>20</v>
      </c>
      <c r="AK184" s="312" t="s">
        <v>524</v>
      </c>
      <c r="AL184" s="312" t="s">
        <v>2840</v>
      </c>
      <c r="AM184" s="312" t="s">
        <v>1978</v>
      </c>
      <c r="AN184" s="312" t="s">
        <v>1978</v>
      </c>
      <c r="AO184" s="312" t="s">
        <v>1978</v>
      </c>
      <c r="AP184" s="312" t="s">
        <v>1978</v>
      </c>
      <c r="AQ184" s="312" t="s">
        <v>1978</v>
      </c>
      <c r="AR184" s="312" t="s">
        <v>1978</v>
      </c>
      <c r="AT184" s="312" t="s">
        <v>2840</v>
      </c>
      <c r="AU184" s="312" t="s">
        <v>1978</v>
      </c>
      <c r="AV184" s="312" t="s">
        <v>1978</v>
      </c>
      <c r="AW184" s="312" t="s">
        <v>1978</v>
      </c>
      <c r="AX184" s="312" t="s">
        <v>1978</v>
      </c>
      <c r="AY184" s="312" t="s">
        <v>1978</v>
      </c>
      <c r="AZ184" s="312" t="s">
        <v>1978</v>
      </c>
      <c r="BB184" s="78" t="s">
        <v>1052</v>
      </c>
      <c r="BC184" s="78" t="s">
        <v>1968</v>
      </c>
      <c r="BD184" s="78">
        <v>88</v>
      </c>
      <c r="BE184" s="78">
        <v>122</v>
      </c>
      <c r="BF184" s="78">
        <v>218</v>
      </c>
      <c r="BG184" s="78">
        <v>316</v>
      </c>
      <c r="BH184" s="78">
        <v>310</v>
      </c>
      <c r="BI184" s="78">
        <v>1054</v>
      </c>
      <c r="BJ184" s="78"/>
      <c r="BK184" s="78" t="s">
        <v>1968</v>
      </c>
      <c r="BL184" s="78">
        <v>18</v>
      </c>
      <c r="BM184" s="78">
        <v>0</v>
      </c>
      <c r="BN184" s="78">
        <v>0</v>
      </c>
      <c r="BO184" s="78">
        <v>0</v>
      </c>
      <c r="BP184" s="78">
        <v>0</v>
      </c>
      <c r="BQ184" s="78">
        <v>18</v>
      </c>
    </row>
    <row r="185" spans="1:179" x14ac:dyDescent="0.3">
      <c r="B185" s="71" t="s">
        <v>159</v>
      </c>
      <c r="C185" s="71" t="s">
        <v>2840</v>
      </c>
      <c r="D185" s="71">
        <v>21</v>
      </c>
      <c r="E185" s="71">
        <v>1</v>
      </c>
      <c r="F185" s="71">
        <v>0</v>
      </c>
      <c r="G185" s="71">
        <v>1</v>
      </c>
      <c r="H185" s="71">
        <v>0</v>
      </c>
      <c r="I185" s="71">
        <v>23</v>
      </c>
      <c r="K185" s="71" t="s">
        <v>2840</v>
      </c>
      <c r="L185" s="71">
        <v>414</v>
      </c>
      <c r="M185" s="71">
        <v>536</v>
      </c>
      <c r="N185" s="71">
        <v>972</v>
      </c>
      <c r="O185" s="71">
        <v>1394</v>
      </c>
      <c r="P185" s="71">
        <v>1166</v>
      </c>
      <c r="Q185" s="71">
        <v>4482</v>
      </c>
      <c r="R185" s="186">
        <v>26</v>
      </c>
      <c r="AK185" s="312" t="s">
        <v>528</v>
      </c>
      <c r="AL185" s="312" t="s">
        <v>2840</v>
      </c>
      <c r="AM185" s="312" t="s">
        <v>1978</v>
      </c>
      <c r="AN185" s="312" t="s">
        <v>1978</v>
      </c>
      <c r="AO185" s="312" t="s">
        <v>1978</v>
      </c>
      <c r="AP185" s="312" t="s">
        <v>1978</v>
      </c>
      <c r="AQ185" s="312" t="s">
        <v>1978</v>
      </c>
      <c r="AR185" s="312" t="s">
        <v>1978</v>
      </c>
      <c r="AT185" s="312" t="s">
        <v>2840</v>
      </c>
      <c r="AU185" s="312" t="s">
        <v>1978</v>
      </c>
      <c r="AV185" s="312" t="s">
        <v>1978</v>
      </c>
      <c r="AW185" s="312" t="s">
        <v>1978</v>
      </c>
      <c r="AX185" s="312" t="s">
        <v>1978</v>
      </c>
      <c r="AY185" s="312" t="s">
        <v>1978</v>
      </c>
      <c r="AZ185" s="312" t="s">
        <v>1978</v>
      </c>
      <c r="BB185" s="78" t="s">
        <v>1057</v>
      </c>
      <c r="BC185" s="78" t="s">
        <v>1968</v>
      </c>
      <c r="BD185" s="78">
        <v>80</v>
      </c>
      <c r="BE185" s="78">
        <v>84</v>
      </c>
      <c r="BF185" s="78">
        <v>184</v>
      </c>
      <c r="BG185" s="78">
        <v>207</v>
      </c>
      <c r="BH185" s="78">
        <v>235</v>
      </c>
      <c r="BI185" s="78">
        <v>790</v>
      </c>
      <c r="BJ185" s="78"/>
      <c r="BK185" s="78" t="s">
        <v>1968</v>
      </c>
      <c r="BL185" s="78">
        <v>19</v>
      </c>
      <c r="BM185" s="78">
        <v>0</v>
      </c>
      <c r="BN185" s="78">
        <v>0</v>
      </c>
      <c r="BO185" s="78">
        <v>0</v>
      </c>
      <c r="BP185" s="78">
        <v>0</v>
      </c>
      <c r="BQ185" s="78">
        <v>19</v>
      </c>
    </row>
    <row r="186" spans="1:179" x14ac:dyDescent="0.3">
      <c r="B186" s="71" t="s">
        <v>164</v>
      </c>
      <c r="C186" s="71" t="s">
        <v>2840</v>
      </c>
      <c r="D186" s="71">
        <v>42</v>
      </c>
      <c r="E186" s="71">
        <v>0</v>
      </c>
      <c r="F186" s="71">
        <v>0</v>
      </c>
      <c r="G186" s="71">
        <v>0</v>
      </c>
      <c r="H186" s="71">
        <v>0</v>
      </c>
      <c r="I186" s="71">
        <v>42</v>
      </c>
      <c r="K186" s="71" t="s">
        <v>2840</v>
      </c>
      <c r="L186" s="71">
        <v>766</v>
      </c>
      <c r="M186" s="71">
        <v>583</v>
      </c>
      <c r="N186" s="71">
        <v>883</v>
      </c>
      <c r="O186" s="71">
        <v>1120</v>
      </c>
      <c r="P186" s="71">
        <v>967</v>
      </c>
      <c r="Q186" s="71">
        <v>4319</v>
      </c>
      <c r="R186" s="186">
        <v>27</v>
      </c>
      <c r="AK186" s="312" t="s">
        <v>532</v>
      </c>
      <c r="AL186" s="312" t="s">
        <v>2840</v>
      </c>
      <c r="AM186" s="312" t="s">
        <v>1978</v>
      </c>
      <c r="AN186" s="312" t="s">
        <v>1978</v>
      </c>
      <c r="AO186" s="312" t="s">
        <v>1978</v>
      </c>
      <c r="AP186" s="312" t="s">
        <v>1978</v>
      </c>
      <c r="AQ186" s="312" t="s">
        <v>1978</v>
      </c>
      <c r="AR186" s="312" t="s">
        <v>1978</v>
      </c>
      <c r="AT186" s="312" t="s">
        <v>2840</v>
      </c>
      <c r="AU186" s="312" t="s">
        <v>1978</v>
      </c>
      <c r="AV186" s="312" t="s">
        <v>1978</v>
      </c>
      <c r="AW186" s="312" t="s">
        <v>1978</v>
      </c>
      <c r="AX186" s="312" t="s">
        <v>1978</v>
      </c>
      <c r="AY186" s="312" t="s">
        <v>1978</v>
      </c>
      <c r="AZ186" s="312" t="s">
        <v>1978</v>
      </c>
      <c r="BB186" s="274" t="s">
        <v>1062</v>
      </c>
      <c r="BC186" s="78" t="s">
        <v>1968</v>
      </c>
      <c r="BD186" s="78">
        <v>182</v>
      </c>
      <c r="BE186" s="78">
        <v>96</v>
      </c>
      <c r="BF186" s="78">
        <v>123</v>
      </c>
      <c r="BG186" s="78">
        <v>161</v>
      </c>
      <c r="BH186" s="78">
        <v>200</v>
      </c>
      <c r="BI186" s="78">
        <v>762</v>
      </c>
      <c r="BJ186" s="78"/>
      <c r="BK186" s="78" t="s">
        <v>1968</v>
      </c>
      <c r="BL186" s="78">
        <v>60</v>
      </c>
      <c r="BM186" s="78">
        <v>0</v>
      </c>
      <c r="BN186" s="78">
        <v>0</v>
      </c>
      <c r="BO186" s="78">
        <v>0</v>
      </c>
      <c r="BP186" s="78">
        <v>0</v>
      </c>
      <c r="BQ186" s="78">
        <v>60</v>
      </c>
    </row>
    <row r="187" spans="1:179" x14ac:dyDescent="0.3">
      <c r="B187" s="71" t="s">
        <v>169</v>
      </c>
      <c r="C187" s="71" t="s">
        <v>2840</v>
      </c>
      <c r="D187" s="71" t="s">
        <v>1970</v>
      </c>
      <c r="E187" s="71" t="s">
        <v>1970</v>
      </c>
      <c r="F187" s="71" t="s">
        <v>1970</v>
      </c>
      <c r="G187" s="71" t="s">
        <v>1970</v>
      </c>
      <c r="H187" s="71" t="s">
        <v>1970</v>
      </c>
      <c r="I187" s="71" t="s">
        <v>1970</v>
      </c>
      <c r="K187" s="71" t="s">
        <v>2840</v>
      </c>
      <c r="L187" s="71" t="s">
        <v>1970</v>
      </c>
      <c r="M187" s="71" t="s">
        <v>1970</v>
      </c>
      <c r="N187" s="71" t="s">
        <v>1970</v>
      </c>
      <c r="O187" s="71" t="s">
        <v>1970</v>
      </c>
      <c r="P187" s="71" t="s">
        <v>1970</v>
      </c>
      <c r="Q187" s="71" t="s">
        <v>1970</v>
      </c>
      <c r="R187" s="186">
        <v>10</v>
      </c>
      <c r="AK187" s="312" t="s">
        <v>536</v>
      </c>
      <c r="AL187" s="312" t="s">
        <v>2840</v>
      </c>
      <c r="AM187" s="312" t="s">
        <v>1978</v>
      </c>
      <c r="AN187" s="312" t="s">
        <v>1978</v>
      </c>
      <c r="AO187" s="312" t="s">
        <v>1978</v>
      </c>
      <c r="AP187" s="312" t="s">
        <v>1978</v>
      </c>
      <c r="AQ187" s="312" t="s">
        <v>1978</v>
      </c>
      <c r="AR187" s="312" t="s">
        <v>1978</v>
      </c>
      <c r="AT187" s="312" t="s">
        <v>2840</v>
      </c>
      <c r="AU187" s="312" t="s">
        <v>1978</v>
      </c>
      <c r="AV187" s="312" t="s">
        <v>1978</v>
      </c>
      <c r="AW187" s="312" t="s">
        <v>1978</v>
      </c>
      <c r="AX187" s="312" t="s">
        <v>1978</v>
      </c>
      <c r="AY187" s="312" t="s">
        <v>1978</v>
      </c>
      <c r="AZ187" s="312" t="s">
        <v>1978</v>
      </c>
    </row>
    <row r="188" spans="1:179" x14ac:dyDescent="0.3">
      <c r="B188" s="71" t="s">
        <v>173</v>
      </c>
      <c r="C188" s="71" t="s">
        <v>2840</v>
      </c>
      <c r="D188" s="71" t="s">
        <v>1970</v>
      </c>
      <c r="E188" s="71" t="s">
        <v>1970</v>
      </c>
      <c r="F188" s="71" t="s">
        <v>1970</v>
      </c>
      <c r="G188" s="71" t="s">
        <v>1970</v>
      </c>
      <c r="H188" s="71" t="s">
        <v>1970</v>
      </c>
      <c r="I188" s="71" t="s">
        <v>1970</v>
      </c>
      <c r="K188" s="71" t="s">
        <v>2840</v>
      </c>
      <c r="L188" s="71" t="s">
        <v>1970</v>
      </c>
      <c r="M188" s="71" t="s">
        <v>1970</v>
      </c>
      <c r="N188" s="71" t="s">
        <v>1970</v>
      </c>
      <c r="O188" s="71" t="s">
        <v>1970</v>
      </c>
      <c r="P188" s="71" t="s">
        <v>1970</v>
      </c>
      <c r="Q188" s="71" t="s">
        <v>1970</v>
      </c>
      <c r="R188" s="186">
        <v>10</v>
      </c>
      <c r="AK188" s="312" t="s">
        <v>540</v>
      </c>
      <c r="AL188" s="312" t="s">
        <v>2840</v>
      </c>
      <c r="AM188" s="312" t="s">
        <v>1978</v>
      </c>
      <c r="AN188" s="312" t="s">
        <v>1978</v>
      </c>
      <c r="AO188" s="312" t="s">
        <v>1978</v>
      </c>
      <c r="AP188" s="312" t="s">
        <v>1978</v>
      </c>
      <c r="AQ188" s="312" t="s">
        <v>1978</v>
      </c>
      <c r="AR188" s="312" t="s">
        <v>1978</v>
      </c>
      <c r="AT188" s="312" t="s">
        <v>2840</v>
      </c>
      <c r="AU188" s="312" t="s">
        <v>1978</v>
      </c>
      <c r="AV188" s="312" t="s">
        <v>1978</v>
      </c>
      <c r="AW188" s="312" t="s">
        <v>1978</v>
      </c>
      <c r="AX188" s="312" t="s">
        <v>1978</v>
      </c>
      <c r="AY188" s="312" t="s">
        <v>1978</v>
      </c>
      <c r="AZ188" s="312" t="s">
        <v>1978</v>
      </c>
      <c r="BB188" s="274" t="s">
        <v>748</v>
      </c>
      <c r="BC188" s="274" t="s">
        <v>2840</v>
      </c>
      <c r="BD188" s="274">
        <v>250</v>
      </c>
      <c r="BE188" s="274">
        <v>235</v>
      </c>
      <c r="BF188" s="274">
        <v>422</v>
      </c>
      <c r="BG188" s="274">
        <v>576</v>
      </c>
      <c r="BH188" s="274">
        <v>566</v>
      </c>
      <c r="BI188" s="274">
        <v>2049</v>
      </c>
      <c r="BJ188" s="274"/>
      <c r="BK188" s="274" t="s">
        <v>2840</v>
      </c>
      <c r="BL188" s="274">
        <v>22</v>
      </c>
      <c r="BM188" s="274">
        <v>0</v>
      </c>
      <c r="BN188" s="274">
        <v>0</v>
      </c>
      <c r="BO188" s="274">
        <v>0</v>
      </c>
      <c r="BP188" s="274">
        <v>0</v>
      </c>
      <c r="BQ188" s="274">
        <v>22</v>
      </c>
      <c r="BR188" s="16">
        <v>18</v>
      </c>
      <c r="BS188" s="259"/>
    </row>
    <row r="189" spans="1:179" x14ac:dyDescent="0.3">
      <c r="B189" s="71" t="s">
        <v>177</v>
      </c>
      <c r="C189" s="71" t="s">
        <v>2840</v>
      </c>
      <c r="D189" s="71">
        <v>3</v>
      </c>
      <c r="E189" s="71">
        <v>0</v>
      </c>
      <c r="F189" s="71">
        <v>0</v>
      </c>
      <c r="G189" s="71">
        <v>0</v>
      </c>
      <c r="H189" s="71">
        <v>0</v>
      </c>
      <c r="I189" s="71">
        <v>3</v>
      </c>
      <c r="K189" s="71" t="s">
        <v>2840</v>
      </c>
      <c r="L189" s="71">
        <v>30</v>
      </c>
      <c r="M189" s="71">
        <v>45</v>
      </c>
      <c r="N189" s="71">
        <v>39</v>
      </c>
      <c r="O189" s="71">
        <v>63</v>
      </c>
      <c r="P189" s="71">
        <v>51</v>
      </c>
      <c r="Q189" s="71">
        <v>228</v>
      </c>
      <c r="R189" s="186">
        <v>9</v>
      </c>
      <c r="AK189" s="312" t="s">
        <v>544</v>
      </c>
      <c r="AL189" s="312" t="s">
        <v>2840</v>
      </c>
      <c r="AM189" s="312" t="s">
        <v>1978</v>
      </c>
      <c r="AN189" s="312" t="s">
        <v>1978</v>
      </c>
      <c r="AO189" s="312" t="s">
        <v>1978</v>
      </c>
      <c r="AP189" s="312" t="s">
        <v>1978</v>
      </c>
      <c r="AQ189" s="312" t="s">
        <v>1978</v>
      </c>
      <c r="AR189" s="312" t="s">
        <v>1978</v>
      </c>
      <c r="AT189" s="312" t="s">
        <v>2840</v>
      </c>
      <c r="AU189" s="312" t="s">
        <v>1978</v>
      </c>
      <c r="AV189" s="312" t="s">
        <v>1978</v>
      </c>
      <c r="AW189" s="312" t="s">
        <v>1978</v>
      </c>
      <c r="AX189" s="312" t="s">
        <v>1978</v>
      </c>
      <c r="AY189" s="312" t="s">
        <v>1978</v>
      </c>
      <c r="AZ189" s="312" t="s">
        <v>1978</v>
      </c>
      <c r="BB189" s="274" t="s">
        <v>753</v>
      </c>
      <c r="BC189" s="274" t="s">
        <v>2840</v>
      </c>
      <c r="BD189" s="274">
        <v>398</v>
      </c>
      <c r="BE189" s="274">
        <v>251</v>
      </c>
      <c r="BF189" s="274">
        <v>376</v>
      </c>
      <c r="BG189" s="274">
        <v>419</v>
      </c>
      <c r="BH189" s="274">
        <v>385</v>
      </c>
      <c r="BI189" s="274">
        <v>1829</v>
      </c>
      <c r="BJ189" s="274"/>
      <c r="BK189" s="274" t="s">
        <v>2840</v>
      </c>
      <c r="BL189" s="274">
        <v>81</v>
      </c>
      <c r="BM189" s="274">
        <v>0</v>
      </c>
      <c r="BN189" s="274">
        <v>0</v>
      </c>
      <c r="BO189" s="274">
        <v>0</v>
      </c>
      <c r="BP189" s="274">
        <v>0</v>
      </c>
      <c r="BQ189" s="274">
        <v>81</v>
      </c>
      <c r="BR189" s="16">
        <v>79</v>
      </c>
      <c r="BS189" s="259"/>
    </row>
    <row r="190" spans="1:179" x14ac:dyDescent="0.3">
      <c r="B190" s="71" t="s">
        <v>182</v>
      </c>
      <c r="C190" s="71" t="s">
        <v>2840</v>
      </c>
      <c r="D190" s="71">
        <v>63</v>
      </c>
      <c r="E190" s="71">
        <v>3</v>
      </c>
      <c r="F190" s="71">
        <v>0</v>
      </c>
      <c r="G190" s="71">
        <v>0</v>
      </c>
      <c r="H190" s="71">
        <v>1</v>
      </c>
      <c r="I190" s="71">
        <v>67</v>
      </c>
      <c r="K190" s="71" t="s">
        <v>2840</v>
      </c>
      <c r="L190" s="71">
        <v>326</v>
      </c>
      <c r="M190" s="71">
        <v>376</v>
      </c>
      <c r="N190" s="71">
        <v>418</v>
      </c>
      <c r="O190" s="71">
        <v>458</v>
      </c>
      <c r="P190" s="71">
        <v>330</v>
      </c>
      <c r="Q190" s="71">
        <v>1908</v>
      </c>
      <c r="R190" s="186">
        <v>97</v>
      </c>
      <c r="AK190" s="312" t="s">
        <v>548</v>
      </c>
      <c r="AL190" s="312" t="s">
        <v>2840</v>
      </c>
      <c r="AM190" s="312" t="s">
        <v>1978</v>
      </c>
      <c r="AN190" s="312" t="s">
        <v>1978</v>
      </c>
      <c r="AO190" s="312" t="s">
        <v>1978</v>
      </c>
      <c r="AP190" s="312" t="s">
        <v>1978</v>
      </c>
      <c r="AQ190" s="312" t="s">
        <v>1978</v>
      </c>
      <c r="AR190" s="312" t="s">
        <v>1978</v>
      </c>
      <c r="AT190" s="312" t="s">
        <v>2840</v>
      </c>
      <c r="AU190" s="312" t="s">
        <v>1978</v>
      </c>
      <c r="AV190" s="312" t="s">
        <v>1978</v>
      </c>
      <c r="AW190" s="312" t="s">
        <v>1978</v>
      </c>
      <c r="AX190" s="312" t="s">
        <v>1978</v>
      </c>
      <c r="AY190" s="312" t="s">
        <v>1978</v>
      </c>
      <c r="AZ190" s="312" t="s">
        <v>1978</v>
      </c>
      <c r="BB190" s="274" t="s">
        <v>758</v>
      </c>
      <c r="BC190" s="274" t="s">
        <v>2840</v>
      </c>
      <c r="BD190" s="274">
        <v>187</v>
      </c>
      <c r="BE190" s="274">
        <v>239</v>
      </c>
      <c r="BF190" s="274">
        <v>466</v>
      </c>
      <c r="BG190" s="274">
        <v>640</v>
      </c>
      <c r="BH190" s="274">
        <v>484</v>
      </c>
      <c r="BI190" s="274">
        <v>2016</v>
      </c>
      <c r="BJ190" s="274"/>
      <c r="BK190" s="274" t="s">
        <v>2840</v>
      </c>
      <c r="BL190" s="274">
        <v>14</v>
      </c>
      <c r="BM190" s="274">
        <v>0</v>
      </c>
      <c r="BN190" s="274">
        <v>0</v>
      </c>
      <c r="BO190" s="274">
        <v>0</v>
      </c>
      <c r="BP190" s="274">
        <v>0</v>
      </c>
      <c r="BQ190" s="274">
        <v>14</v>
      </c>
      <c r="BR190" s="16">
        <v>17</v>
      </c>
      <c r="BS190" s="259"/>
    </row>
    <row r="191" spans="1:179" x14ac:dyDescent="0.3">
      <c r="B191" s="71" t="s">
        <v>187</v>
      </c>
      <c r="C191" s="71" t="s">
        <v>2840</v>
      </c>
      <c r="D191" s="71">
        <v>41</v>
      </c>
      <c r="E191" s="71">
        <v>5</v>
      </c>
      <c r="F191" s="71">
        <v>2</v>
      </c>
      <c r="G191" s="71">
        <v>0</v>
      </c>
      <c r="H191" s="71">
        <v>0</v>
      </c>
      <c r="I191" s="71">
        <v>48</v>
      </c>
      <c r="K191" s="71" t="s">
        <v>2840</v>
      </c>
      <c r="L191" s="71">
        <v>236</v>
      </c>
      <c r="M191" s="71">
        <v>319</v>
      </c>
      <c r="N191" s="71">
        <v>387</v>
      </c>
      <c r="O191" s="71">
        <v>433</v>
      </c>
      <c r="P191" s="71">
        <v>289</v>
      </c>
      <c r="Q191" s="71">
        <v>1664</v>
      </c>
      <c r="R191" s="186">
        <v>46</v>
      </c>
      <c r="AK191" s="312" t="s">
        <v>552</v>
      </c>
      <c r="AL191" s="312" t="s">
        <v>2840</v>
      </c>
      <c r="AM191" s="312" t="s">
        <v>1978</v>
      </c>
      <c r="AN191" s="312" t="s">
        <v>1978</v>
      </c>
      <c r="AO191" s="312" t="s">
        <v>1978</v>
      </c>
      <c r="AP191" s="312" t="s">
        <v>1978</v>
      </c>
      <c r="AQ191" s="312" t="s">
        <v>1978</v>
      </c>
      <c r="AR191" s="312" t="s">
        <v>1978</v>
      </c>
      <c r="AT191" s="312" t="s">
        <v>2840</v>
      </c>
      <c r="AU191" s="312" t="s">
        <v>1978</v>
      </c>
      <c r="AV191" s="312" t="s">
        <v>1978</v>
      </c>
      <c r="AW191" s="312" t="s">
        <v>1978</v>
      </c>
      <c r="AX191" s="312" t="s">
        <v>1978</v>
      </c>
      <c r="AY191" s="312" t="s">
        <v>1978</v>
      </c>
      <c r="AZ191" s="312" t="s">
        <v>1978</v>
      </c>
      <c r="BB191" s="274" t="s">
        <v>762</v>
      </c>
      <c r="BC191" s="274" t="s">
        <v>2840</v>
      </c>
      <c r="BD191" s="274">
        <v>155</v>
      </c>
      <c r="BE191" s="274">
        <v>151</v>
      </c>
      <c r="BF191" s="274">
        <v>295</v>
      </c>
      <c r="BG191" s="274">
        <v>400</v>
      </c>
      <c r="BH191" s="274">
        <v>385</v>
      </c>
      <c r="BI191" s="274">
        <v>1386</v>
      </c>
      <c r="BJ191" s="274"/>
      <c r="BK191" s="274" t="s">
        <v>2840</v>
      </c>
      <c r="BL191" s="274">
        <v>21</v>
      </c>
      <c r="BM191" s="274">
        <v>0</v>
      </c>
      <c r="BN191" s="274">
        <v>0</v>
      </c>
      <c r="BO191" s="274">
        <v>0</v>
      </c>
      <c r="BP191" s="274">
        <v>0</v>
      </c>
      <c r="BQ191" s="274">
        <v>21</v>
      </c>
      <c r="BR191" s="16">
        <v>20</v>
      </c>
      <c r="BS191" s="259"/>
    </row>
    <row r="192" spans="1:179" x14ac:dyDescent="0.3">
      <c r="B192" s="71" t="s">
        <v>192</v>
      </c>
      <c r="C192" s="71" t="s">
        <v>2840</v>
      </c>
      <c r="D192" s="71">
        <v>106</v>
      </c>
      <c r="E192" s="71">
        <v>4</v>
      </c>
      <c r="F192" s="71">
        <v>1</v>
      </c>
      <c r="G192" s="71">
        <v>0</v>
      </c>
      <c r="H192" s="71">
        <v>0</v>
      </c>
      <c r="I192" s="71">
        <v>111</v>
      </c>
      <c r="K192" s="71" t="s">
        <v>2840</v>
      </c>
      <c r="L192" s="71">
        <v>635</v>
      </c>
      <c r="M192" s="71">
        <v>576</v>
      </c>
      <c r="N192" s="71">
        <v>637</v>
      </c>
      <c r="O192" s="71">
        <v>595</v>
      </c>
      <c r="P192" s="71">
        <v>378</v>
      </c>
      <c r="Q192" s="71">
        <v>2821</v>
      </c>
      <c r="R192" s="186">
        <v>97</v>
      </c>
      <c r="AK192" s="16" t="s">
        <v>3056</v>
      </c>
      <c r="AL192" s="16" t="s">
        <v>2840</v>
      </c>
      <c r="AM192" s="16">
        <v>292</v>
      </c>
      <c r="AN192" s="16">
        <v>575</v>
      </c>
      <c r="AO192" s="16">
        <v>776</v>
      </c>
      <c r="AP192" s="16">
        <v>860</v>
      </c>
      <c r="AQ192" s="16">
        <v>626</v>
      </c>
      <c r="AR192" s="16">
        <v>3129</v>
      </c>
      <c r="AT192" s="312" t="s">
        <v>2840</v>
      </c>
      <c r="AU192" s="16">
        <v>67</v>
      </c>
      <c r="AV192" s="16">
        <v>3</v>
      </c>
      <c r="AW192" s="16">
        <v>0</v>
      </c>
      <c r="AX192" s="16">
        <v>1</v>
      </c>
      <c r="AY192" s="16">
        <v>0</v>
      </c>
      <c r="AZ192" s="16">
        <v>71</v>
      </c>
      <c r="BB192" s="274" t="s">
        <v>767</v>
      </c>
      <c r="BC192" s="274" t="s">
        <v>2840</v>
      </c>
      <c r="BD192" s="274">
        <v>247</v>
      </c>
      <c r="BE192" s="274">
        <v>242</v>
      </c>
      <c r="BF192" s="274">
        <v>286</v>
      </c>
      <c r="BG192" s="274">
        <v>316</v>
      </c>
      <c r="BH192" s="274">
        <v>254</v>
      </c>
      <c r="BI192" s="274">
        <v>1345</v>
      </c>
      <c r="BJ192" s="274"/>
      <c r="BK192" s="274" t="s">
        <v>2840</v>
      </c>
      <c r="BL192" s="274">
        <v>52</v>
      </c>
      <c r="BM192" s="274">
        <v>0</v>
      </c>
      <c r="BN192" s="274">
        <v>0</v>
      </c>
      <c r="BO192" s="274">
        <v>0</v>
      </c>
      <c r="BP192" s="274">
        <v>0</v>
      </c>
      <c r="BQ192" s="274">
        <v>52</v>
      </c>
      <c r="BR192" s="16">
        <v>55</v>
      </c>
      <c r="BS192" s="259"/>
    </row>
    <row r="193" spans="2:71" x14ac:dyDescent="0.3">
      <c r="B193" s="71" t="s">
        <v>198</v>
      </c>
      <c r="C193" s="71" t="s">
        <v>2840</v>
      </c>
      <c r="D193" s="71">
        <v>84</v>
      </c>
      <c r="E193" s="71">
        <v>5</v>
      </c>
      <c r="F193" s="71">
        <v>0</v>
      </c>
      <c r="G193" s="71">
        <v>0</v>
      </c>
      <c r="H193" s="71">
        <v>0</v>
      </c>
      <c r="I193" s="71">
        <v>89</v>
      </c>
      <c r="K193" s="71" t="s">
        <v>2840</v>
      </c>
      <c r="L193" s="71">
        <v>481</v>
      </c>
      <c r="M193" s="71">
        <v>459</v>
      </c>
      <c r="N193" s="71">
        <v>547</v>
      </c>
      <c r="O193" s="71">
        <v>620</v>
      </c>
      <c r="P193" s="71">
        <v>380</v>
      </c>
      <c r="Q193" s="71">
        <v>2487</v>
      </c>
      <c r="R193" s="186">
        <v>174</v>
      </c>
      <c r="AK193" s="16" t="s">
        <v>3049</v>
      </c>
      <c r="AL193" s="16" t="s">
        <v>2840</v>
      </c>
      <c r="AM193" s="16">
        <v>217</v>
      </c>
      <c r="AN193" s="16">
        <v>224</v>
      </c>
      <c r="AO193" s="16">
        <v>430</v>
      </c>
      <c r="AP193" s="16">
        <v>495</v>
      </c>
      <c r="AQ193" s="16">
        <v>471</v>
      </c>
      <c r="AR193" s="16">
        <v>1837</v>
      </c>
      <c r="AT193" s="312" t="s">
        <v>2840</v>
      </c>
      <c r="AU193" s="16">
        <v>52</v>
      </c>
      <c r="AV193" s="16">
        <v>2</v>
      </c>
      <c r="AW193" s="16">
        <v>0</v>
      </c>
      <c r="AX193" s="16">
        <v>0</v>
      </c>
      <c r="AY193" s="16">
        <v>0</v>
      </c>
      <c r="AZ193" s="16">
        <v>54</v>
      </c>
      <c r="BB193" s="274" t="s">
        <v>771</v>
      </c>
      <c r="BC193" s="274" t="s">
        <v>2840</v>
      </c>
      <c r="BD193" s="274">
        <v>309</v>
      </c>
      <c r="BE193" s="274">
        <v>226</v>
      </c>
      <c r="BF193" s="274">
        <v>322</v>
      </c>
      <c r="BG193" s="274">
        <v>341</v>
      </c>
      <c r="BH193" s="274">
        <v>270</v>
      </c>
      <c r="BI193" s="274">
        <v>1468</v>
      </c>
      <c r="BJ193" s="274"/>
      <c r="BK193" s="274" t="s">
        <v>2840</v>
      </c>
      <c r="BL193" s="274">
        <v>20</v>
      </c>
      <c r="BM193" s="274">
        <v>0</v>
      </c>
      <c r="BN193" s="274">
        <v>0</v>
      </c>
      <c r="BO193" s="274">
        <v>0</v>
      </c>
      <c r="BP193" s="274">
        <v>0</v>
      </c>
      <c r="BQ193" s="274">
        <v>20</v>
      </c>
      <c r="BR193" s="16">
        <v>19</v>
      </c>
      <c r="BS193" s="259"/>
    </row>
    <row r="194" spans="2:71" x14ac:dyDescent="0.3">
      <c r="B194" s="71" t="s">
        <v>204</v>
      </c>
      <c r="C194" s="71" t="s">
        <v>2840</v>
      </c>
      <c r="D194" s="71">
        <v>17</v>
      </c>
      <c r="E194" s="71">
        <v>2</v>
      </c>
      <c r="F194" s="71">
        <v>3</v>
      </c>
      <c r="G194" s="71">
        <v>0</v>
      </c>
      <c r="H194" s="71">
        <v>0</v>
      </c>
      <c r="I194" s="71">
        <v>22</v>
      </c>
      <c r="K194" s="71" t="s">
        <v>2840</v>
      </c>
      <c r="L194" s="71">
        <v>128</v>
      </c>
      <c r="M194" s="71">
        <v>191</v>
      </c>
      <c r="N194" s="71">
        <v>296</v>
      </c>
      <c r="O194" s="71">
        <v>310</v>
      </c>
      <c r="P194" s="71">
        <v>259</v>
      </c>
      <c r="Q194" s="71">
        <v>1184</v>
      </c>
      <c r="R194" s="186">
        <v>31</v>
      </c>
      <c r="AE194" s="312"/>
      <c r="AK194" s="16" t="s">
        <v>3050</v>
      </c>
      <c r="AL194" s="16" t="s">
        <v>2840</v>
      </c>
      <c r="AM194" s="16">
        <v>562</v>
      </c>
      <c r="AN194" s="16">
        <v>368</v>
      </c>
      <c r="AO194" s="16">
        <v>475</v>
      </c>
      <c r="AP194" s="16">
        <v>502</v>
      </c>
      <c r="AQ194" s="16">
        <v>395</v>
      </c>
      <c r="AR194" s="16">
        <v>2302</v>
      </c>
      <c r="AT194" s="312" t="s">
        <v>2840</v>
      </c>
      <c r="AU194" s="16">
        <v>76</v>
      </c>
      <c r="AV194" s="16">
        <v>4</v>
      </c>
      <c r="AW194" s="16">
        <v>2</v>
      </c>
      <c r="AX194" s="16">
        <v>0</v>
      </c>
      <c r="AY194" s="16">
        <v>0</v>
      </c>
      <c r="AZ194" s="16">
        <v>82</v>
      </c>
      <c r="BB194" s="274" t="s">
        <v>776</v>
      </c>
      <c r="BC194" s="274" t="s">
        <v>2840</v>
      </c>
      <c r="BD194" s="274">
        <v>508</v>
      </c>
      <c r="BE194" s="274">
        <v>347</v>
      </c>
      <c r="BF194" s="274">
        <v>412</v>
      </c>
      <c r="BG194" s="274">
        <v>530</v>
      </c>
      <c r="BH194" s="274">
        <v>396</v>
      </c>
      <c r="BI194" s="274">
        <v>2193</v>
      </c>
      <c r="BJ194" s="274"/>
      <c r="BK194" s="274" t="s">
        <v>2840</v>
      </c>
      <c r="BL194" s="274">
        <v>49</v>
      </c>
      <c r="BM194" s="274">
        <v>0</v>
      </c>
      <c r="BN194" s="274">
        <v>0</v>
      </c>
      <c r="BO194" s="274">
        <v>0</v>
      </c>
      <c r="BP194" s="274">
        <v>0</v>
      </c>
      <c r="BQ194" s="274">
        <v>49</v>
      </c>
      <c r="BR194" s="16">
        <v>48</v>
      </c>
      <c r="BS194" s="259"/>
    </row>
    <row r="195" spans="2:71" x14ac:dyDescent="0.3">
      <c r="B195" s="71" t="s">
        <v>208</v>
      </c>
      <c r="C195" s="71" t="s">
        <v>2840</v>
      </c>
      <c r="D195" s="71">
        <v>29</v>
      </c>
      <c r="E195" s="71">
        <v>1</v>
      </c>
      <c r="F195" s="71">
        <v>1</v>
      </c>
      <c r="G195" s="71">
        <v>0</v>
      </c>
      <c r="H195" s="71">
        <v>0</v>
      </c>
      <c r="I195" s="71">
        <v>31</v>
      </c>
      <c r="K195" s="71" t="s">
        <v>2840</v>
      </c>
      <c r="L195" s="71">
        <v>195</v>
      </c>
      <c r="M195" s="71">
        <v>245</v>
      </c>
      <c r="N195" s="71">
        <v>381</v>
      </c>
      <c r="O195" s="71">
        <v>418</v>
      </c>
      <c r="P195" s="71">
        <v>364</v>
      </c>
      <c r="Q195" s="71">
        <v>1603</v>
      </c>
      <c r="R195" s="186">
        <v>106</v>
      </c>
      <c r="AE195" s="312"/>
      <c r="AK195" s="16" t="s">
        <v>3051</v>
      </c>
      <c r="AL195" s="16" t="s">
        <v>2840</v>
      </c>
      <c r="AM195" s="16">
        <v>260</v>
      </c>
      <c r="AN195" s="16">
        <v>301</v>
      </c>
      <c r="AO195" s="16">
        <v>473</v>
      </c>
      <c r="AP195" s="16">
        <v>582</v>
      </c>
      <c r="AQ195" s="16">
        <v>471</v>
      </c>
      <c r="AR195" s="16">
        <v>2087</v>
      </c>
      <c r="AT195" s="312" t="s">
        <v>2840</v>
      </c>
      <c r="AU195" s="16">
        <v>32</v>
      </c>
      <c r="AV195" s="16">
        <v>7</v>
      </c>
      <c r="AW195" s="16">
        <v>2</v>
      </c>
      <c r="AX195" s="16">
        <v>1</v>
      </c>
      <c r="AY195" s="16">
        <v>0</v>
      </c>
      <c r="AZ195" s="16">
        <v>42</v>
      </c>
      <c r="BB195" s="274" t="s">
        <v>781</v>
      </c>
      <c r="BC195" s="274" t="s">
        <v>2840</v>
      </c>
      <c r="BD195" s="274">
        <v>583</v>
      </c>
      <c r="BE195" s="274">
        <v>398</v>
      </c>
      <c r="BF195" s="274">
        <v>546</v>
      </c>
      <c r="BG195" s="274">
        <v>645</v>
      </c>
      <c r="BH195" s="274">
        <v>543</v>
      </c>
      <c r="BI195" s="274">
        <v>2715</v>
      </c>
      <c r="BJ195" s="274"/>
      <c r="BK195" s="274" t="s">
        <v>2840</v>
      </c>
      <c r="BL195" s="274">
        <v>22</v>
      </c>
      <c r="BM195" s="274">
        <v>0</v>
      </c>
      <c r="BN195" s="274">
        <v>0</v>
      </c>
      <c r="BO195" s="274">
        <v>0</v>
      </c>
      <c r="BP195" s="274">
        <v>0</v>
      </c>
      <c r="BQ195" s="274">
        <v>22</v>
      </c>
      <c r="BR195" s="16">
        <v>22</v>
      </c>
      <c r="BS195" s="259"/>
    </row>
    <row r="196" spans="2:71" x14ac:dyDescent="0.3">
      <c r="B196" s="71" t="s">
        <v>214</v>
      </c>
      <c r="C196" s="71" t="s">
        <v>2840</v>
      </c>
      <c r="D196" s="71">
        <v>10</v>
      </c>
      <c r="E196" s="71">
        <v>2</v>
      </c>
      <c r="F196" s="71">
        <v>1</v>
      </c>
      <c r="G196" s="71">
        <v>0</v>
      </c>
      <c r="H196" s="71">
        <v>0</v>
      </c>
      <c r="I196" s="71">
        <v>13</v>
      </c>
      <c r="K196" s="71" t="s">
        <v>2840</v>
      </c>
      <c r="L196" s="71">
        <v>78</v>
      </c>
      <c r="M196" s="71">
        <v>173</v>
      </c>
      <c r="N196" s="71">
        <v>248</v>
      </c>
      <c r="O196" s="71">
        <v>348</v>
      </c>
      <c r="P196" s="71">
        <v>267</v>
      </c>
      <c r="Q196" s="71">
        <v>1114</v>
      </c>
      <c r="R196" s="186">
        <v>22</v>
      </c>
      <c r="AE196" s="312"/>
      <c r="AK196" s="16" t="s">
        <v>3052</v>
      </c>
      <c r="AL196" s="16" t="s">
        <v>2840</v>
      </c>
      <c r="AM196" s="16">
        <v>1075</v>
      </c>
      <c r="AN196" s="16">
        <v>463</v>
      </c>
      <c r="AO196" s="16">
        <v>486</v>
      </c>
      <c r="AP196" s="16">
        <v>496</v>
      </c>
      <c r="AQ196" s="16">
        <v>456</v>
      </c>
      <c r="AR196" s="16">
        <v>2976</v>
      </c>
      <c r="AT196" s="312" t="s">
        <v>2840</v>
      </c>
      <c r="AU196" s="16">
        <v>72</v>
      </c>
      <c r="AV196" s="16">
        <v>0</v>
      </c>
      <c r="AW196" s="16">
        <v>0</v>
      </c>
      <c r="AX196" s="16">
        <v>0</v>
      </c>
      <c r="AY196" s="16">
        <v>0</v>
      </c>
      <c r="AZ196" s="16">
        <v>72</v>
      </c>
      <c r="BB196" s="274" t="s">
        <v>785</v>
      </c>
      <c r="BC196" s="274" t="s">
        <v>2840</v>
      </c>
      <c r="BD196" s="274">
        <v>135</v>
      </c>
      <c r="BE196" s="274">
        <v>222</v>
      </c>
      <c r="BF196" s="274">
        <v>389</v>
      </c>
      <c r="BG196" s="274">
        <v>559</v>
      </c>
      <c r="BH196" s="274">
        <v>463</v>
      </c>
      <c r="BI196" s="274">
        <v>1768</v>
      </c>
      <c r="BJ196" s="274"/>
      <c r="BK196" s="274" t="s">
        <v>2840</v>
      </c>
      <c r="BL196" s="274">
        <v>20</v>
      </c>
      <c r="BM196" s="274">
        <v>0</v>
      </c>
      <c r="BN196" s="274">
        <v>0</v>
      </c>
      <c r="BO196" s="274">
        <v>0</v>
      </c>
      <c r="BP196" s="274">
        <v>0</v>
      </c>
      <c r="BQ196" s="274">
        <v>20</v>
      </c>
      <c r="BR196" s="16">
        <v>22</v>
      </c>
      <c r="BS196" s="259"/>
    </row>
    <row r="197" spans="2:71" x14ac:dyDescent="0.3">
      <c r="B197" s="71" t="s">
        <v>219</v>
      </c>
      <c r="C197" s="71" t="s">
        <v>2840</v>
      </c>
      <c r="D197" s="71">
        <v>3</v>
      </c>
      <c r="E197" s="71">
        <v>2</v>
      </c>
      <c r="F197" s="71">
        <v>1</v>
      </c>
      <c r="G197" s="71">
        <v>0</v>
      </c>
      <c r="H197" s="71">
        <v>0</v>
      </c>
      <c r="I197" s="71">
        <v>6</v>
      </c>
      <c r="K197" s="71" t="s">
        <v>2840</v>
      </c>
      <c r="L197" s="71">
        <v>51</v>
      </c>
      <c r="M197" s="71">
        <v>118</v>
      </c>
      <c r="N197" s="71">
        <v>166</v>
      </c>
      <c r="O197" s="71">
        <v>305</v>
      </c>
      <c r="P197" s="71">
        <v>254</v>
      </c>
      <c r="Q197" s="71">
        <v>894</v>
      </c>
      <c r="R197" s="186">
        <v>29</v>
      </c>
      <c r="AE197" s="312"/>
      <c r="AK197" s="16" t="s">
        <v>614</v>
      </c>
      <c r="AL197" s="16" t="s">
        <v>2840</v>
      </c>
      <c r="AM197" s="16">
        <v>233</v>
      </c>
      <c r="AN197" s="16">
        <v>354</v>
      </c>
      <c r="AO197" s="16">
        <v>457</v>
      </c>
      <c r="AP197" s="16">
        <v>579</v>
      </c>
      <c r="AQ197" s="16">
        <v>471</v>
      </c>
      <c r="AR197" s="16">
        <v>2094</v>
      </c>
      <c r="AT197" s="312" t="s">
        <v>2840</v>
      </c>
      <c r="AU197" s="16">
        <v>31</v>
      </c>
      <c r="AV197" s="16">
        <v>7</v>
      </c>
      <c r="AW197" s="16">
        <v>0</v>
      </c>
      <c r="AX197" s="16">
        <v>1</v>
      </c>
      <c r="AY197" s="16">
        <v>0</v>
      </c>
      <c r="AZ197" s="16">
        <v>39</v>
      </c>
      <c r="BB197" s="274" t="s">
        <v>790</v>
      </c>
      <c r="BC197" s="274" t="s">
        <v>2840</v>
      </c>
      <c r="BD197" s="274">
        <v>191</v>
      </c>
      <c r="BE197" s="274">
        <v>117</v>
      </c>
      <c r="BF197" s="274">
        <v>145</v>
      </c>
      <c r="BG197" s="274">
        <v>193</v>
      </c>
      <c r="BH197" s="274">
        <v>203</v>
      </c>
      <c r="BI197" s="274">
        <v>849</v>
      </c>
      <c r="BJ197" s="274"/>
      <c r="BK197" s="274" t="s">
        <v>2840</v>
      </c>
      <c r="BL197" s="274">
        <v>31</v>
      </c>
      <c r="BM197" s="274">
        <v>0</v>
      </c>
      <c r="BN197" s="274">
        <v>0</v>
      </c>
      <c r="BO197" s="274">
        <v>0</v>
      </c>
      <c r="BP197" s="274">
        <v>0</v>
      </c>
      <c r="BQ197" s="274">
        <v>31</v>
      </c>
      <c r="BR197" s="16">
        <v>27</v>
      </c>
      <c r="BS197" s="259"/>
    </row>
    <row r="198" spans="2:71" x14ac:dyDescent="0.3">
      <c r="B198" s="71" t="s">
        <v>224</v>
      </c>
      <c r="C198" s="71" t="s">
        <v>2840</v>
      </c>
      <c r="D198" s="71">
        <v>24</v>
      </c>
      <c r="E198" s="71">
        <v>4</v>
      </c>
      <c r="F198" s="71">
        <v>2</v>
      </c>
      <c r="G198" s="71">
        <v>7</v>
      </c>
      <c r="H198" s="71">
        <v>3</v>
      </c>
      <c r="I198" s="71">
        <v>40</v>
      </c>
      <c r="K198" s="71" t="s">
        <v>2840</v>
      </c>
      <c r="L198" s="71">
        <v>153</v>
      </c>
      <c r="M198" s="71">
        <v>249</v>
      </c>
      <c r="N198" s="71">
        <v>380</v>
      </c>
      <c r="O198" s="71">
        <v>445</v>
      </c>
      <c r="P198" s="71">
        <v>392</v>
      </c>
      <c r="Q198" s="71">
        <v>1619</v>
      </c>
      <c r="R198" s="186">
        <v>43</v>
      </c>
      <c r="AE198" s="312"/>
      <c r="AK198" s="16" t="s">
        <v>630</v>
      </c>
      <c r="AL198" s="16" t="s">
        <v>2840</v>
      </c>
      <c r="AM198" s="16">
        <v>602</v>
      </c>
      <c r="AN198" s="16">
        <v>296</v>
      </c>
      <c r="AO198" s="16">
        <v>381</v>
      </c>
      <c r="AP198" s="16">
        <v>493</v>
      </c>
      <c r="AQ198" s="16">
        <v>473</v>
      </c>
      <c r="AR198" s="16">
        <v>2245</v>
      </c>
      <c r="AT198" s="312" t="s">
        <v>2840</v>
      </c>
      <c r="AU198" s="16">
        <v>102</v>
      </c>
      <c r="AV198" s="16">
        <v>2</v>
      </c>
      <c r="AW198" s="16">
        <v>0</v>
      </c>
      <c r="AX198" s="16">
        <v>0</v>
      </c>
      <c r="AY198" s="16">
        <v>0</v>
      </c>
      <c r="AZ198" s="16">
        <v>104</v>
      </c>
      <c r="BB198" s="274" t="s">
        <v>795</v>
      </c>
      <c r="BC198" s="274" t="s">
        <v>2840</v>
      </c>
      <c r="BD198" s="274">
        <v>304</v>
      </c>
      <c r="BE198" s="274">
        <v>328</v>
      </c>
      <c r="BF198" s="274">
        <v>484</v>
      </c>
      <c r="BG198" s="274">
        <v>597</v>
      </c>
      <c r="BH198" s="274">
        <v>620</v>
      </c>
      <c r="BI198" s="274">
        <v>2333</v>
      </c>
      <c r="BJ198" s="274"/>
      <c r="BK198" s="274" t="s">
        <v>2840</v>
      </c>
      <c r="BL198" s="274">
        <v>22</v>
      </c>
      <c r="BM198" s="274">
        <v>0</v>
      </c>
      <c r="BN198" s="274">
        <v>0</v>
      </c>
      <c r="BO198" s="274">
        <v>0</v>
      </c>
      <c r="BP198" s="274">
        <v>0</v>
      </c>
      <c r="BQ198" s="274">
        <v>22</v>
      </c>
      <c r="BR198" s="16">
        <v>19</v>
      </c>
      <c r="BS198" s="259"/>
    </row>
    <row r="199" spans="2:71" x14ac:dyDescent="0.3">
      <c r="B199" s="71" t="s">
        <v>229</v>
      </c>
      <c r="C199" s="71" t="s">
        <v>2840</v>
      </c>
      <c r="D199" s="71">
        <v>7</v>
      </c>
      <c r="E199" s="71">
        <v>0</v>
      </c>
      <c r="F199" s="71">
        <v>0</v>
      </c>
      <c r="G199" s="71">
        <v>0</v>
      </c>
      <c r="H199" s="71">
        <v>0</v>
      </c>
      <c r="I199" s="71">
        <v>7</v>
      </c>
      <c r="K199" s="71" t="s">
        <v>2840</v>
      </c>
      <c r="L199" s="71">
        <v>39</v>
      </c>
      <c r="M199" s="71">
        <v>32</v>
      </c>
      <c r="N199" s="71">
        <v>18</v>
      </c>
      <c r="O199" s="71">
        <v>26</v>
      </c>
      <c r="P199" s="71">
        <v>12</v>
      </c>
      <c r="Q199" s="71">
        <v>127</v>
      </c>
      <c r="R199" s="186">
        <v>24</v>
      </c>
      <c r="AE199" s="312"/>
      <c r="AK199" s="16" t="s">
        <v>636</v>
      </c>
      <c r="AL199" s="16" t="s">
        <v>2840</v>
      </c>
      <c r="AM199" s="16">
        <v>315</v>
      </c>
      <c r="AN199" s="16">
        <v>268</v>
      </c>
      <c r="AO199" s="16">
        <v>411</v>
      </c>
      <c r="AP199" s="16">
        <v>505</v>
      </c>
      <c r="AQ199" s="16">
        <v>457</v>
      </c>
      <c r="AR199" s="16">
        <v>1956</v>
      </c>
      <c r="AT199" s="312" t="s">
        <v>2840</v>
      </c>
      <c r="AU199" s="16">
        <v>96</v>
      </c>
      <c r="AV199" s="16">
        <v>2</v>
      </c>
      <c r="AW199" s="16">
        <v>0</v>
      </c>
      <c r="AX199" s="16">
        <v>0</v>
      </c>
      <c r="AY199" s="16">
        <v>0</v>
      </c>
      <c r="AZ199" s="16">
        <v>98</v>
      </c>
      <c r="BB199" s="274" t="s">
        <v>800</v>
      </c>
      <c r="BC199" s="274" t="s">
        <v>2840</v>
      </c>
      <c r="BD199" s="274">
        <v>156</v>
      </c>
      <c r="BE199" s="274">
        <v>94</v>
      </c>
      <c r="BF199" s="274">
        <v>157</v>
      </c>
      <c r="BG199" s="274">
        <v>206</v>
      </c>
      <c r="BH199" s="274">
        <v>237</v>
      </c>
      <c r="BI199" s="274">
        <v>850</v>
      </c>
      <c r="BJ199" s="274"/>
      <c r="BK199" s="274" t="s">
        <v>2840</v>
      </c>
      <c r="BL199" s="274">
        <v>17</v>
      </c>
      <c r="BM199" s="274">
        <v>0</v>
      </c>
      <c r="BN199" s="274">
        <v>0</v>
      </c>
      <c r="BO199" s="274">
        <v>0</v>
      </c>
      <c r="BP199" s="274">
        <v>0</v>
      </c>
      <c r="BQ199" s="274">
        <v>17</v>
      </c>
      <c r="BR199" s="16">
        <v>18</v>
      </c>
      <c r="BS199" s="259" t="s">
        <v>3433</v>
      </c>
    </row>
    <row r="200" spans="2:71" x14ac:dyDescent="0.3">
      <c r="B200" s="71" t="s">
        <v>233</v>
      </c>
      <c r="C200" s="71" t="s">
        <v>2840</v>
      </c>
      <c r="D200" s="71" t="s">
        <v>1970</v>
      </c>
      <c r="E200" s="71" t="s">
        <v>1970</v>
      </c>
      <c r="F200" s="71" t="s">
        <v>1970</v>
      </c>
      <c r="G200" s="71" t="s">
        <v>1970</v>
      </c>
      <c r="H200" s="71" t="s">
        <v>1970</v>
      </c>
      <c r="I200" s="71" t="s">
        <v>1970</v>
      </c>
      <c r="K200" s="71" t="s">
        <v>2840</v>
      </c>
      <c r="L200" s="71" t="s">
        <v>1970</v>
      </c>
      <c r="M200" s="71" t="s">
        <v>1970</v>
      </c>
      <c r="N200" s="71" t="s">
        <v>1970</v>
      </c>
      <c r="O200" s="71" t="s">
        <v>1970</v>
      </c>
      <c r="P200" s="71" t="s">
        <v>1970</v>
      </c>
      <c r="Q200" s="71" t="s">
        <v>1970</v>
      </c>
      <c r="R200" s="186">
        <v>20</v>
      </c>
      <c r="AE200" s="312"/>
      <c r="AK200" s="16" t="s">
        <v>3053</v>
      </c>
      <c r="AL200" s="16" t="s">
        <v>2840</v>
      </c>
      <c r="AM200" s="16">
        <v>625</v>
      </c>
      <c r="AN200" s="16">
        <v>310</v>
      </c>
      <c r="AO200" s="16">
        <v>449</v>
      </c>
      <c r="AP200" s="16">
        <v>524</v>
      </c>
      <c r="AQ200" s="16">
        <v>495</v>
      </c>
      <c r="AR200" s="16">
        <v>2403</v>
      </c>
      <c r="AT200" s="312" t="s">
        <v>2840</v>
      </c>
      <c r="AU200" s="16">
        <v>154</v>
      </c>
      <c r="AV200" s="16">
        <v>2</v>
      </c>
      <c r="AW200" s="16">
        <v>0</v>
      </c>
      <c r="AX200" s="16">
        <v>0</v>
      </c>
      <c r="AY200" s="16">
        <v>0</v>
      </c>
      <c r="AZ200" s="16">
        <v>156</v>
      </c>
      <c r="BB200" s="274" t="s">
        <v>805</v>
      </c>
      <c r="BC200" s="274" t="s">
        <v>2840</v>
      </c>
      <c r="BD200" s="274">
        <v>37</v>
      </c>
      <c r="BE200" s="274">
        <v>35</v>
      </c>
      <c r="BF200" s="274">
        <v>77</v>
      </c>
      <c r="BG200" s="274">
        <v>130</v>
      </c>
      <c r="BH200" s="274">
        <v>182</v>
      </c>
      <c r="BI200" s="274">
        <v>461</v>
      </c>
      <c r="BJ200" s="274"/>
      <c r="BK200" s="274" t="s">
        <v>2840</v>
      </c>
      <c r="BL200" s="274">
        <v>1</v>
      </c>
      <c r="BM200" s="274">
        <v>0</v>
      </c>
      <c r="BN200" s="274">
        <v>0</v>
      </c>
      <c r="BO200" s="274">
        <v>0</v>
      </c>
      <c r="BP200" s="274">
        <v>0</v>
      </c>
      <c r="BQ200" s="274">
        <v>1</v>
      </c>
      <c r="BR200" s="16">
        <v>18</v>
      </c>
      <c r="BS200" s="259" t="s">
        <v>3433</v>
      </c>
    </row>
    <row r="201" spans="2:71" x14ac:dyDescent="0.3">
      <c r="B201" s="71" t="s">
        <v>237</v>
      </c>
      <c r="C201" s="71" t="s">
        <v>2840</v>
      </c>
      <c r="D201" s="71" t="s">
        <v>1970</v>
      </c>
      <c r="E201" s="71" t="s">
        <v>1970</v>
      </c>
      <c r="F201" s="71" t="s">
        <v>1970</v>
      </c>
      <c r="G201" s="71" t="s">
        <v>1970</v>
      </c>
      <c r="H201" s="71" t="s">
        <v>1970</v>
      </c>
      <c r="I201" s="71" t="s">
        <v>1970</v>
      </c>
      <c r="K201" s="71" t="s">
        <v>2840</v>
      </c>
      <c r="L201" s="71" t="s">
        <v>1970</v>
      </c>
      <c r="M201" s="71" t="s">
        <v>1970</v>
      </c>
      <c r="N201" s="71" t="s">
        <v>1970</v>
      </c>
      <c r="O201" s="71" t="s">
        <v>1970</v>
      </c>
      <c r="P201" s="71" t="s">
        <v>1970</v>
      </c>
      <c r="Q201" s="71" t="s">
        <v>1970</v>
      </c>
      <c r="R201" s="186">
        <v>9</v>
      </c>
      <c r="AK201" s="16" t="s">
        <v>3054</v>
      </c>
      <c r="AL201" s="16" t="s">
        <v>2840</v>
      </c>
      <c r="AM201" s="16">
        <v>987</v>
      </c>
      <c r="AN201" s="16">
        <v>890</v>
      </c>
      <c r="AO201" s="16">
        <v>997</v>
      </c>
      <c r="AP201" s="16">
        <v>978</v>
      </c>
      <c r="AQ201" s="16">
        <v>737</v>
      </c>
      <c r="AR201" s="16">
        <v>4589</v>
      </c>
      <c r="AT201" s="312" t="s">
        <v>2840</v>
      </c>
      <c r="AU201" s="16">
        <v>168</v>
      </c>
      <c r="AV201" s="16">
        <v>1</v>
      </c>
      <c r="AW201" s="16">
        <v>2</v>
      </c>
      <c r="AX201" s="16">
        <v>0</v>
      </c>
      <c r="AY201" s="16">
        <v>1</v>
      </c>
      <c r="AZ201" s="16">
        <v>172</v>
      </c>
      <c r="BB201" s="274" t="s">
        <v>810</v>
      </c>
      <c r="BC201" s="274" t="s">
        <v>2840</v>
      </c>
      <c r="BD201" s="274">
        <v>153</v>
      </c>
      <c r="BE201" s="274">
        <v>222</v>
      </c>
      <c r="BF201" s="274">
        <v>415</v>
      </c>
      <c r="BG201" s="274">
        <v>521</v>
      </c>
      <c r="BH201" s="274">
        <v>530</v>
      </c>
      <c r="BI201" s="274">
        <v>1841</v>
      </c>
      <c r="BJ201" s="274"/>
      <c r="BK201" s="274" t="s">
        <v>2840</v>
      </c>
      <c r="BL201" s="274">
        <v>30</v>
      </c>
      <c r="BM201" s="274">
        <v>0</v>
      </c>
      <c r="BN201" s="274">
        <v>0</v>
      </c>
      <c r="BO201" s="274">
        <v>0</v>
      </c>
      <c r="BP201" s="274">
        <v>0</v>
      </c>
      <c r="BQ201" s="274">
        <v>30</v>
      </c>
      <c r="BR201" s="16">
        <v>32</v>
      </c>
      <c r="BS201" s="259"/>
    </row>
    <row r="202" spans="2:71" x14ac:dyDescent="0.3">
      <c r="B202" s="71" t="s">
        <v>241</v>
      </c>
      <c r="C202" s="71" t="s">
        <v>2840</v>
      </c>
      <c r="D202" s="71" t="s">
        <v>1970</v>
      </c>
      <c r="E202" s="71" t="s">
        <v>1970</v>
      </c>
      <c r="F202" s="71" t="s">
        <v>1970</v>
      </c>
      <c r="G202" s="71" t="s">
        <v>1970</v>
      </c>
      <c r="H202" s="71" t="s">
        <v>1970</v>
      </c>
      <c r="I202" s="71" t="s">
        <v>1970</v>
      </c>
      <c r="K202" s="71" t="s">
        <v>2840</v>
      </c>
      <c r="L202" s="71" t="s">
        <v>1970</v>
      </c>
      <c r="M202" s="71" t="s">
        <v>1970</v>
      </c>
      <c r="N202" s="71" t="s">
        <v>1970</v>
      </c>
      <c r="O202" s="71" t="s">
        <v>1970</v>
      </c>
      <c r="P202" s="71" t="s">
        <v>1970</v>
      </c>
      <c r="Q202" s="71" t="s">
        <v>1970</v>
      </c>
      <c r="R202" s="186">
        <v>10</v>
      </c>
      <c r="AK202" s="16" t="s">
        <v>676</v>
      </c>
      <c r="AL202" s="16" t="s">
        <v>2840</v>
      </c>
      <c r="AM202" s="16">
        <v>436</v>
      </c>
      <c r="AN202" s="16">
        <v>547</v>
      </c>
      <c r="AO202" s="16">
        <v>699</v>
      </c>
      <c r="AP202" s="16">
        <v>813</v>
      </c>
      <c r="AQ202" s="16">
        <v>537</v>
      </c>
      <c r="AR202" s="16">
        <v>3032</v>
      </c>
      <c r="AT202" s="312" t="s">
        <v>2840</v>
      </c>
      <c r="AU202" s="16">
        <v>44</v>
      </c>
      <c r="AV202" s="16">
        <v>4</v>
      </c>
      <c r="AW202" s="16">
        <v>0</v>
      </c>
      <c r="AX202" s="16">
        <v>0</v>
      </c>
      <c r="AY202" s="16">
        <v>0</v>
      </c>
      <c r="AZ202" s="16">
        <v>48</v>
      </c>
      <c r="BB202" s="274" t="s">
        <v>814</v>
      </c>
      <c r="BC202" s="274" t="s">
        <v>2840</v>
      </c>
      <c r="BD202" s="274">
        <v>112</v>
      </c>
      <c r="BE202" s="274">
        <v>148</v>
      </c>
      <c r="BF202" s="274">
        <v>288</v>
      </c>
      <c r="BG202" s="274">
        <v>367</v>
      </c>
      <c r="BH202" s="274">
        <v>303</v>
      </c>
      <c r="BI202" s="274">
        <v>1218</v>
      </c>
      <c r="BJ202" s="274"/>
      <c r="BK202" s="274" t="s">
        <v>2840</v>
      </c>
      <c r="BL202" s="274">
        <v>17</v>
      </c>
      <c r="BM202" s="274">
        <v>0</v>
      </c>
      <c r="BN202" s="274">
        <v>0</v>
      </c>
      <c r="BO202" s="274">
        <v>0</v>
      </c>
      <c r="BP202" s="274">
        <v>0</v>
      </c>
      <c r="BQ202" s="274">
        <v>17</v>
      </c>
      <c r="BR202" s="16">
        <v>10</v>
      </c>
      <c r="BS202" s="259"/>
    </row>
    <row r="203" spans="2:71" x14ac:dyDescent="0.3">
      <c r="B203" s="71" t="s">
        <v>245</v>
      </c>
      <c r="C203" s="71" t="s">
        <v>2840</v>
      </c>
      <c r="D203" s="71">
        <v>10</v>
      </c>
      <c r="E203" s="71">
        <v>0</v>
      </c>
      <c r="F203" s="71">
        <v>0</v>
      </c>
      <c r="G203" s="71">
        <v>0</v>
      </c>
      <c r="H203" s="71">
        <v>0</v>
      </c>
      <c r="I203" s="71">
        <v>10</v>
      </c>
      <c r="K203" s="71" t="s">
        <v>2840</v>
      </c>
      <c r="L203" s="71">
        <v>125</v>
      </c>
      <c r="M203" s="71">
        <v>90</v>
      </c>
      <c r="N203" s="71">
        <v>162</v>
      </c>
      <c r="O203" s="71">
        <v>241</v>
      </c>
      <c r="P203" s="71">
        <v>250</v>
      </c>
      <c r="Q203" s="71">
        <v>868</v>
      </c>
      <c r="R203" s="186">
        <v>30</v>
      </c>
      <c r="AK203" s="16" t="s">
        <v>3055</v>
      </c>
      <c r="AL203" s="16" t="s">
        <v>2840</v>
      </c>
      <c r="AM203" s="16">
        <v>518</v>
      </c>
      <c r="AN203" s="16">
        <v>474</v>
      </c>
      <c r="AO203" s="16">
        <v>538</v>
      </c>
      <c r="AP203" s="16">
        <v>508</v>
      </c>
      <c r="AQ203" s="16">
        <v>325</v>
      </c>
      <c r="AR203" s="16">
        <v>2363</v>
      </c>
      <c r="AT203" s="312" t="s">
        <v>2840</v>
      </c>
      <c r="AU203" s="16">
        <v>82</v>
      </c>
      <c r="AV203" s="16">
        <v>5</v>
      </c>
      <c r="AW203" s="16">
        <v>3</v>
      </c>
      <c r="AX203" s="16">
        <v>2</v>
      </c>
      <c r="AY203" s="16">
        <v>2</v>
      </c>
      <c r="AZ203" s="16">
        <v>94</v>
      </c>
      <c r="BB203" s="274" t="s">
        <v>819</v>
      </c>
      <c r="BC203" s="274" t="s">
        <v>2840</v>
      </c>
      <c r="BD203" s="274">
        <v>1365</v>
      </c>
      <c r="BE203" s="274">
        <v>592</v>
      </c>
      <c r="BF203" s="274">
        <v>827</v>
      </c>
      <c r="BG203" s="274">
        <v>995</v>
      </c>
      <c r="BH203" s="274">
        <v>787</v>
      </c>
      <c r="BI203" s="274">
        <v>4566</v>
      </c>
      <c r="BJ203" s="274"/>
      <c r="BK203" s="274" t="s">
        <v>2840</v>
      </c>
      <c r="BL203" s="274">
        <v>273</v>
      </c>
      <c r="BM203" s="274">
        <v>0</v>
      </c>
      <c r="BN203" s="274">
        <v>0</v>
      </c>
      <c r="BO203" s="274">
        <v>0</v>
      </c>
      <c r="BP203" s="274">
        <v>0</v>
      </c>
      <c r="BQ203" s="274">
        <v>273</v>
      </c>
      <c r="BR203" s="16">
        <v>222</v>
      </c>
      <c r="BS203" s="259"/>
    </row>
    <row r="204" spans="2:71" x14ac:dyDescent="0.3">
      <c r="B204" s="71" t="s">
        <v>250</v>
      </c>
      <c r="C204" s="71" t="s">
        <v>2840</v>
      </c>
      <c r="D204" s="71">
        <v>25</v>
      </c>
      <c r="E204" s="71">
        <v>0</v>
      </c>
      <c r="F204" s="71">
        <v>1</v>
      </c>
      <c r="G204" s="71">
        <v>1</v>
      </c>
      <c r="H204" s="71">
        <v>0</v>
      </c>
      <c r="I204" s="71">
        <v>27</v>
      </c>
      <c r="K204" s="71" t="s">
        <v>2840</v>
      </c>
      <c r="L204" s="71">
        <v>144</v>
      </c>
      <c r="M204" s="71">
        <v>216</v>
      </c>
      <c r="N204" s="71">
        <v>378</v>
      </c>
      <c r="O204" s="71">
        <v>418</v>
      </c>
      <c r="P204" s="71">
        <v>303</v>
      </c>
      <c r="Q204" s="71">
        <v>1459</v>
      </c>
      <c r="R204" s="186">
        <v>24</v>
      </c>
      <c r="BB204" s="274" t="s">
        <v>824</v>
      </c>
      <c r="BC204" s="274" t="s">
        <v>2840</v>
      </c>
      <c r="BD204" s="274">
        <v>42</v>
      </c>
      <c r="BE204" s="274">
        <v>40</v>
      </c>
      <c r="BF204" s="274">
        <v>96</v>
      </c>
      <c r="BG204" s="274">
        <v>129</v>
      </c>
      <c r="BH204" s="274">
        <v>206</v>
      </c>
      <c r="BI204" s="274">
        <v>513</v>
      </c>
      <c r="BJ204" s="274"/>
      <c r="BK204" s="274" t="s">
        <v>2840</v>
      </c>
      <c r="BL204" s="274">
        <v>10</v>
      </c>
      <c r="BM204" s="274">
        <v>0</v>
      </c>
      <c r="BN204" s="274">
        <v>0</v>
      </c>
      <c r="BO204" s="274">
        <v>0</v>
      </c>
      <c r="BP204" s="274">
        <v>0</v>
      </c>
      <c r="BQ204" s="274">
        <v>10</v>
      </c>
      <c r="BR204" s="16">
        <v>15</v>
      </c>
      <c r="BS204" s="259"/>
    </row>
    <row r="205" spans="2:71" x14ac:dyDescent="0.3">
      <c r="B205" s="71" t="s">
        <v>255</v>
      </c>
      <c r="C205" s="71" t="s">
        <v>2840</v>
      </c>
      <c r="D205" s="71">
        <v>29</v>
      </c>
      <c r="E205" s="71">
        <v>3</v>
      </c>
      <c r="F205" s="71">
        <v>1</v>
      </c>
      <c r="G205" s="71">
        <v>0</v>
      </c>
      <c r="H205" s="71">
        <v>0</v>
      </c>
      <c r="I205" s="71">
        <v>33</v>
      </c>
      <c r="K205" s="71" t="s">
        <v>2840</v>
      </c>
      <c r="L205" s="71">
        <v>340</v>
      </c>
      <c r="M205" s="71">
        <v>405</v>
      </c>
      <c r="N205" s="71">
        <v>459</v>
      </c>
      <c r="O205" s="71">
        <v>503</v>
      </c>
      <c r="P205" s="71">
        <v>339</v>
      </c>
      <c r="Q205" s="71">
        <v>2046</v>
      </c>
      <c r="R205" s="186">
        <v>28</v>
      </c>
      <c r="BB205" s="274" t="s">
        <v>828</v>
      </c>
      <c r="BC205" s="274" t="s">
        <v>2840</v>
      </c>
      <c r="BD205" s="274">
        <v>376</v>
      </c>
      <c r="BE205" s="274">
        <v>391</v>
      </c>
      <c r="BF205" s="274">
        <v>637</v>
      </c>
      <c r="BG205" s="274">
        <v>842</v>
      </c>
      <c r="BH205" s="274">
        <v>790</v>
      </c>
      <c r="BI205" s="274">
        <v>3036</v>
      </c>
      <c r="BJ205" s="274"/>
      <c r="BK205" s="274" t="s">
        <v>2840</v>
      </c>
      <c r="BL205" s="274">
        <v>34</v>
      </c>
      <c r="BM205" s="274">
        <v>0</v>
      </c>
      <c r="BN205" s="274">
        <v>0</v>
      </c>
      <c r="BO205" s="274">
        <v>0</v>
      </c>
      <c r="BP205" s="274">
        <v>0</v>
      </c>
      <c r="BQ205" s="274">
        <v>34</v>
      </c>
      <c r="BR205" s="16">
        <v>60</v>
      </c>
      <c r="BS205" s="259"/>
    </row>
    <row r="206" spans="2:71" x14ac:dyDescent="0.3">
      <c r="B206" s="71" t="s">
        <v>260</v>
      </c>
      <c r="C206" s="71" t="s">
        <v>2840</v>
      </c>
      <c r="D206" s="71">
        <v>28</v>
      </c>
      <c r="E206" s="71">
        <v>0</v>
      </c>
      <c r="F206" s="71">
        <v>0</v>
      </c>
      <c r="G206" s="71">
        <v>1</v>
      </c>
      <c r="H206" s="71">
        <v>0</v>
      </c>
      <c r="I206" s="71">
        <v>29</v>
      </c>
      <c r="K206" s="71" t="s">
        <v>2840</v>
      </c>
      <c r="L206" s="71">
        <v>143</v>
      </c>
      <c r="M206" s="71">
        <v>265</v>
      </c>
      <c r="N206" s="71">
        <v>406</v>
      </c>
      <c r="O206" s="71">
        <v>511</v>
      </c>
      <c r="P206" s="71">
        <v>378</v>
      </c>
      <c r="Q206" s="71">
        <v>1703</v>
      </c>
      <c r="R206" s="186">
        <v>28</v>
      </c>
      <c r="BB206" s="274" t="s">
        <v>833</v>
      </c>
      <c r="BC206" s="274" t="s">
        <v>2840</v>
      </c>
      <c r="BD206" s="274">
        <v>139</v>
      </c>
      <c r="BE206" s="274">
        <v>83</v>
      </c>
      <c r="BF206" s="274">
        <v>170</v>
      </c>
      <c r="BG206" s="274">
        <v>246</v>
      </c>
      <c r="BH206" s="274">
        <v>210</v>
      </c>
      <c r="BI206" s="274">
        <v>848</v>
      </c>
      <c r="BJ206" s="274"/>
      <c r="BK206" s="274" t="s">
        <v>2840</v>
      </c>
      <c r="BL206" s="274">
        <v>48</v>
      </c>
      <c r="BM206" s="274">
        <v>0</v>
      </c>
      <c r="BN206" s="274">
        <v>0</v>
      </c>
      <c r="BO206" s="274">
        <v>0</v>
      </c>
      <c r="BP206" s="274">
        <v>0</v>
      </c>
      <c r="BQ206" s="274">
        <v>48</v>
      </c>
      <c r="BR206" s="16">
        <v>45</v>
      </c>
      <c r="BS206" s="259"/>
    </row>
    <row r="207" spans="2:71" x14ac:dyDescent="0.3">
      <c r="BB207" s="274" t="s">
        <v>838</v>
      </c>
      <c r="BC207" s="274" t="s">
        <v>2840</v>
      </c>
      <c r="BD207" s="274">
        <v>477</v>
      </c>
      <c r="BE207" s="274">
        <v>265</v>
      </c>
      <c r="BF207" s="274">
        <v>423</v>
      </c>
      <c r="BG207" s="274">
        <v>542</v>
      </c>
      <c r="BH207" s="274">
        <v>435</v>
      </c>
      <c r="BI207" s="274">
        <v>2142</v>
      </c>
      <c r="BJ207" s="274"/>
      <c r="BK207" s="274" t="s">
        <v>2840</v>
      </c>
      <c r="BL207" s="274">
        <v>141</v>
      </c>
      <c r="BM207" s="274">
        <v>0</v>
      </c>
      <c r="BN207" s="274">
        <v>0</v>
      </c>
      <c r="BO207" s="274">
        <v>0</v>
      </c>
      <c r="BP207" s="274">
        <v>0</v>
      </c>
      <c r="BQ207" s="274">
        <v>141</v>
      </c>
      <c r="BR207" s="16">
        <v>126</v>
      </c>
      <c r="BS207" s="259"/>
    </row>
    <row r="208" spans="2:71" x14ac:dyDescent="0.3">
      <c r="BB208" s="274" t="s">
        <v>842</v>
      </c>
      <c r="BC208" s="274" t="s">
        <v>2840</v>
      </c>
      <c r="BD208" s="274">
        <v>145</v>
      </c>
      <c r="BE208" s="274">
        <v>61</v>
      </c>
      <c r="BF208" s="274">
        <v>142</v>
      </c>
      <c r="BG208" s="274">
        <v>156</v>
      </c>
      <c r="BH208" s="274">
        <v>177</v>
      </c>
      <c r="BI208" s="274">
        <v>681</v>
      </c>
      <c r="BJ208" s="274"/>
      <c r="BK208" s="274" t="s">
        <v>2840</v>
      </c>
      <c r="BL208" s="274">
        <v>33</v>
      </c>
      <c r="BM208" s="274">
        <v>0</v>
      </c>
      <c r="BN208" s="274">
        <v>0</v>
      </c>
      <c r="BO208" s="274">
        <v>0</v>
      </c>
      <c r="BP208" s="274">
        <v>0</v>
      </c>
      <c r="BQ208" s="274">
        <v>33</v>
      </c>
      <c r="BR208" s="16">
        <v>37</v>
      </c>
      <c r="BS208" s="259"/>
    </row>
    <row r="209" spans="54:71" x14ac:dyDescent="0.3">
      <c r="BB209" s="274" t="s">
        <v>848</v>
      </c>
      <c r="BC209" s="274" t="s">
        <v>2840</v>
      </c>
      <c r="BD209" s="274">
        <v>42</v>
      </c>
      <c r="BE209" s="274">
        <v>52</v>
      </c>
      <c r="BF209" s="274">
        <v>104</v>
      </c>
      <c r="BG209" s="274">
        <v>162</v>
      </c>
      <c r="BH209" s="274">
        <v>112</v>
      </c>
      <c r="BI209" s="274">
        <v>472</v>
      </c>
      <c r="BJ209" s="274"/>
      <c r="BK209" s="274" t="s">
        <v>2840</v>
      </c>
      <c r="BL209" s="274">
        <v>17</v>
      </c>
      <c r="BM209" s="274">
        <v>0</v>
      </c>
      <c r="BN209" s="274">
        <v>0</v>
      </c>
      <c r="BO209" s="274">
        <v>0</v>
      </c>
      <c r="BP209" s="274">
        <v>0</v>
      </c>
      <c r="BQ209" s="274">
        <v>17</v>
      </c>
      <c r="BR209" s="16">
        <v>24</v>
      </c>
      <c r="BS209" s="259"/>
    </row>
    <row r="210" spans="54:71" x14ac:dyDescent="0.3">
      <c r="BB210" s="274" t="s">
        <v>852</v>
      </c>
      <c r="BC210" s="274" t="s">
        <v>2840</v>
      </c>
      <c r="BD210" s="274">
        <v>60</v>
      </c>
      <c r="BE210" s="274">
        <v>58</v>
      </c>
      <c r="BF210" s="274">
        <v>109</v>
      </c>
      <c r="BG210" s="274">
        <v>132</v>
      </c>
      <c r="BH210" s="274">
        <v>139</v>
      </c>
      <c r="BI210" s="274">
        <v>498</v>
      </c>
      <c r="BJ210" s="274"/>
      <c r="BK210" s="274" t="s">
        <v>2840</v>
      </c>
      <c r="BL210" s="274">
        <v>19</v>
      </c>
      <c r="BM210" s="274">
        <v>0</v>
      </c>
      <c r="BN210" s="274">
        <v>0</v>
      </c>
      <c r="BO210" s="274">
        <v>0</v>
      </c>
      <c r="BP210" s="274">
        <v>0</v>
      </c>
      <c r="BQ210" s="274">
        <v>19</v>
      </c>
      <c r="BR210" s="16">
        <v>25</v>
      </c>
      <c r="BS210" s="259"/>
    </row>
    <row r="211" spans="54:71" x14ac:dyDescent="0.3">
      <c r="BB211" s="274" t="s">
        <v>856</v>
      </c>
      <c r="BC211" s="274" t="s">
        <v>2840</v>
      </c>
      <c r="BD211" s="274">
        <v>57</v>
      </c>
      <c r="BE211" s="274">
        <v>40</v>
      </c>
      <c r="BF211" s="274">
        <v>83</v>
      </c>
      <c r="BG211" s="274">
        <v>145</v>
      </c>
      <c r="BH211" s="274">
        <v>175</v>
      </c>
      <c r="BI211" s="274">
        <v>500</v>
      </c>
      <c r="BJ211" s="274"/>
      <c r="BK211" s="274" t="s">
        <v>2840</v>
      </c>
      <c r="BL211" s="274">
        <v>15</v>
      </c>
      <c r="BM211" s="274">
        <v>0</v>
      </c>
      <c r="BN211" s="274">
        <v>0</v>
      </c>
      <c r="BO211" s="274">
        <v>0</v>
      </c>
      <c r="BP211" s="274">
        <v>0</v>
      </c>
      <c r="BQ211" s="274">
        <v>15</v>
      </c>
      <c r="BR211" s="16">
        <v>20</v>
      </c>
      <c r="BS211" s="259"/>
    </row>
    <row r="212" spans="54:71" x14ac:dyDescent="0.3">
      <c r="BB212" s="274" t="s">
        <v>860</v>
      </c>
      <c r="BC212" s="274" t="s">
        <v>2840</v>
      </c>
      <c r="BD212" s="274">
        <v>501</v>
      </c>
      <c r="BE212" s="274">
        <v>311</v>
      </c>
      <c r="BF212" s="274">
        <v>370</v>
      </c>
      <c r="BG212" s="274">
        <v>418</v>
      </c>
      <c r="BH212" s="274">
        <v>326</v>
      </c>
      <c r="BI212" s="274">
        <v>1926</v>
      </c>
      <c r="BJ212" s="274"/>
      <c r="BK212" s="274" t="s">
        <v>2840</v>
      </c>
      <c r="BL212" s="274">
        <v>27</v>
      </c>
      <c r="BM212" s="274">
        <v>0</v>
      </c>
      <c r="BN212" s="274">
        <v>0</v>
      </c>
      <c r="BO212" s="274">
        <v>0</v>
      </c>
      <c r="BP212" s="274">
        <v>0</v>
      </c>
      <c r="BQ212" s="274">
        <v>27</v>
      </c>
      <c r="BR212" s="16">
        <v>17</v>
      </c>
      <c r="BS212" s="259"/>
    </row>
    <row r="213" spans="54:71" x14ac:dyDescent="0.3">
      <c r="BB213" s="274" t="s">
        <v>865</v>
      </c>
      <c r="BC213" s="274" t="s">
        <v>2840</v>
      </c>
      <c r="BD213" s="274">
        <v>216</v>
      </c>
      <c r="BE213" s="274">
        <v>178</v>
      </c>
      <c r="BF213" s="274">
        <v>307</v>
      </c>
      <c r="BG213" s="274">
        <v>392</v>
      </c>
      <c r="BH213" s="274">
        <v>306</v>
      </c>
      <c r="BI213" s="274">
        <v>1399</v>
      </c>
      <c r="BJ213" s="274"/>
      <c r="BK213" s="274" t="s">
        <v>2840</v>
      </c>
      <c r="BL213" s="274">
        <v>20</v>
      </c>
      <c r="BM213" s="274">
        <v>0</v>
      </c>
      <c r="BN213" s="274">
        <v>0</v>
      </c>
      <c r="BO213" s="274">
        <v>0</v>
      </c>
      <c r="BP213" s="274">
        <v>0</v>
      </c>
      <c r="BQ213" s="274">
        <v>20</v>
      </c>
      <c r="BR213" s="16">
        <v>12</v>
      </c>
      <c r="BS213" s="259"/>
    </row>
    <row r="214" spans="54:71" x14ac:dyDescent="0.3">
      <c r="BB214" s="274" t="s">
        <v>870</v>
      </c>
      <c r="BC214" s="274" t="s">
        <v>2840</v>
      </c>
      <c r="BD214" s="274">
        <v>110</v>
      </c>
      <c r="BE214" s="274">
        <v>103</v>
      </c>
      <c r="BF214" s="274">
        <v>206</v>
      </c>
      <c r="BG214" s="274">
        <v>250</v>
      </c>
      <c r="BH214" s="274">
        <v>174</v>
      </c>
      <c r="BI214" s="274">
        <v>843</v>
      </c>
      <c r="BJ214" s="274"/>
      <c r="BK214" s="274" t="s">
        <v>2840</v>
      </c>
      <c r="BL214" s="274">
        <v>11</v>
      </c>
      <c r="BM214" s="274">
        <v>0</v>
      </c>
      <c r="BN214" s="274">
        <v>0</v>
      </c>
      <c r="BO214" s="274">
        <v>0</v>
      </c>
      <c r="BP214" s="274">
        <v>0</v>
      </c>
      <c r="BQ214" s="274">
        <v>11</v>
      </c>
      <c r="BR214" s="16">
        <v>12</v>
      </c>
      <c r="BS214" s="259"/>
    </row>
    <row r="215" spans="54:71" x14ac:dyDescent="0.3">
      <c r="BB215" s="274" t="s">
        <v>875</v>
      </c>
      <c r="BC215" s="274" t="s">
        <v>2840</v>
      </c>
      <c r="BD215" s="274">
        <v>119</v>
      </c>
      <c r="BE215" s="274">
        <v>125</v>
      </c>
      <c r="BF215" s="274">
        <v>219</v>
      </c>
      <c r="BG215" s="274">
        <v>241</v>
      </c>
      <c r="BH215" s="274">
        <v>221</v>
      </c>
      <c r="BI215" s="274">
        <v>925</v>
      </c>
      <c r="BJ215" s="274"/>
      <c r="BK215" s="274" t="s">
        <v>2840</v>
      </c>
      <c r="BL215" s="274">
        <v>17</v>
      </c>
      <c r="BM215" s="274">
        <v>0</v>
      </c>
      <c r="BN215" s="274">
        <v>0</v>
      </c>
      <c r="BO215" s="274">
        <v>0</v>
      </c>
      <c r="BP215" s="274">
        <v>0</v>
      </c>
      <c r="BQ215" s="274">
        <v>17</v>
      </c>
      <c r="BR215" s="16">
        <v>12</v>
      </c>
      <c r="BS215" s="259"/>
    </row>
    <row r="216" spans="54:71" x14ac:dyDescent="0.3">
      <c r="BB216" s="274" t="s">
        <v>880</v>
      </c>
      <c r="BC216" s="274" t="s">
        <v>2840</v>
      </c>
      <c r="BD216" s="274">
        <v>444</v>
      </c>
      <c r="BE216" s="274">
        <v>540</v>
      </c>
      <c r="BF216" s="274">
        <v>854</v>
      </c>
      <c r="BG216" s="274">
        <v>1059</v>
      </c>
      <c r="BH216" s="274">
        <v>828</v>
      </c>
      <c r="BI216" s="274">
        <v>3725</v>
      </c>
      <c r="BJ216" s="274"/>
      <c r="BK216" s="274" t="s">
        <v>2840</v>
      </c>
      <c r="BL216" s="274">
        <v>24</v>
      </c>
      <c r="BM216" s="274">
        <v>0</v>
      </c>
      <c r="BN216" s="274">
        <v>0</v>
      </c>
      <c r="BO216" s="274">
        <v>0</v>
      </c>
      <c r="BP216" s="274">
        <v>0</v>
      </c>
      <c r="BQ216" s="274">
        <v>24</v>
      </c>
      <c r="BR216" s="16">
        <v>21</v>
      </c>
      <c r="BS216" s="259"/>
    </row>
    <row r="217" spans="54:71" x14ac:dyDescent="0.3">
      <c r="BB217" s="274" t="s">
        <v>888</v>
      </c>
      <c r="BC217" s="274" t="s">
        <v>2840</v>
      </c>
      <c r="BD217" s="274" t="s">
        <v>1970</v>
      </c>
      <c r="BE217" s="274" t="s">
        <v>1970</v>
      </c>
      <c r="BF217" s="274" t="s">
        <v>1970</v>
      </c>
      <c r="BG217" s="274" t="s">
        <v>1970</v>
      </c>
      <c r="BH217" s="274" t="s">
        <v>1970</v>
      </c>
      <c r="BI217" s="274" t="s">
        <v>1970</v>
      </c>
      <c r="BJ217" s="274"/>
      <c r="BK217" s="274" t="s">
        <v>2840</v>
      </c>
      <c r="BL217" s="274" t="s">
        <v>1970</v>
      </c>
      <c r="BM217" s="274" t="s">
        <v>1970</v>
      </c>
      <c r="BN217" s="274" t="s">
        <v>1970</v>
      </c>
      <c r="BO217" s="274" t="s">
        <v>1970</v>
      </c>
      <c r="BP217" s="274" t="s">
        <v>1970</v>
      </c>
      <c r="BQ217" s="274" t="s">
        <v>1970</v>
      </c>
      <c r="BR217" s="16">
        <v>20</v>
      </c>
      <c r="BS217" s="259"/>
    </row>
    <row r="218" spans="54:71" x14ac:dyDescent="0.3">
      <c r="BB218" s="274" t="s">
        <v>892</v>
      </c>
      <c r="BC218" s="274" t="s">
        <v>2840</v>
      </c>
      <c r="BD218" s="274" t="s">
        <v>1970</v>
      </c>
      <c r="BE218" s="274" t="s">
        <v>1970</v>
      </c>
      <c r="BF218" s="274" t="s">
        <v>1970</v>
      </c>
      <c r="BG218" s="274" t="s">
        <v>1970</v>
      </c>
      <c r="BH218" s="274" t="s">
        <v>1970</v>
      </c>
      <c r="BI218" s="274" t="s">
        <v>1970</v>
      </c>
      <c r="BJ218" s="274"/>
      <c r="BK218" s="274" t="s">
        <v>2840</v>
      </c>
      <c r="BL218" s="274" t="s">
        <v>1970</v>
      </c>
      <c r="BM218" s="274" t="s">
        <v>1970</v>
      </c>
      <c r="BN218" s="274" t="s">
        <v>1970</v>
      </c>
      <c r="BO218" s="274" t="s">
        <v>1970</v>
      </c>
      <c r="BP218" s="274" t="s">
        <v>1970</v>
      </c>
      <c r="BQ218" s="274" t="s">
        <v>1970</v>
      </c>
      <c r="BR218" s="16">
        <v>53</v>
      </c>
      <c r="BS218" s="259"/>
    </row>
    <row r="219" spans="54:71" x14ac:dyDescent="0.3">
      <c r="BB219" s="274" t="s">
        <v>896</v>
      </c>
      <c r="BC219" s="274" t="s">
        <v>2840</v>
      </c>
      <c r="BD219" s="274" t="s">
        <v>1970</v>
      </c>
      <c r="BE219" s="274" t="s">
        <v>1970</v>
      </c>
      <c r="BF219" s="274" t="s">
        <v>1970</v>
      </c>
      <c r="BG219" s="274" t="s">
        <v>1970</v>
      </c>
      <c r="BH219" s="274" t="s">
        <v>1970</v>
      </c>
      <c r="BI219" s="274" t="s">
        <v>1970</v>
      </c>
      <c r="BJ219" s="274"/>
      <c r="BK219" s="274" t="s">
        <v>2840</v>
      </c>
      <c r="BL219" s="274" t="s">
        <v>1970</v>
      </c>
      <c r="BM219" s="274" t="s">
        <v>1970</v>
      </c>
      <c r="BN219" s="274" t="s">
        <v>1970</v>
      </c>
      <c r="BO219" s="274" t="s">
        <v>1970</v>
      </c>
      <c r="BP219" s="274" t="s">
        <v>1970</v>
      </c>
      <c r="BQ219" s="274" t="s">
        <v>1970</v>
      </c>
      <c r="BR219" s="16">
        <v>107</v>
      </c>
      <c r="BS219" s="259"/>
    </row>
    <row r="220" spans="54:71" x14ac:dyDescent="0.3">
      <c r="BB220" s="274" t="s">
        <v>900</v>
      </c>
      <c r="BC220" s="274" t="s">
        <v>2840</v>
      </c>
      <c r="BD220" s="274" t="s">
        <v>1970</v>
      </c>
      <c r="BE220" s="274" t="s">
        <v>1970</v>
      </c>
      <c r="BF220" s="274" t="s">
        <v>1970</v>
      </c>
      <c r="BG220" s="274" t="s">
        <v>1970</v>
      </c>
      <c r="BH220" s="274" t="s">
        <v>1970</v>
      </c>
      <c r="BI220" s="274" t="s">
        <v>1970</v>
      </c>
      <c r="BJ220" s="274"/>
      <c r="BK220" s="274" t="s">
        <v>2840</v>
      </c>
      <c r="BL220" s="274" t="s">
        <v>1970</v>
      </c>
      <c r="BM220" s="274" t="s">
        <v>1970</v>
      </c>
      <c r="BN220" s="274" t="s">
        <v>1970</v>
      </c>
      <c r="BO220" s="274" t="s">
        <v>1970</v>
      </c>
      <c r="BP220" s="274" t="s">
        <v>1970</v>
      </c>
      <c r="BQ220" s="274" t="s">
        <v>1970</v>
      </c>
      <c r="BR220" s="16">
        <v>20</v>
      </c>
      <c r="BS220" s="259"/>
    </row>
    <row r="221" spans="54:71" x14ac:dyDescent="0.3">
      <c r="BB221" s="274" t="s">
        <v>904</v>
      </c>
      <c r="BC221" s="274" t="s">
        <v>2840</v>
      </c>
      <c r="BD221" s="274">
        <v>194</v>
      </c>
      <c r="BE221" s="274">
        <v>137</v>
      </c>
      <c r="BF221" s="274">
        <v>226</v>
      </c>
      <c r="BG221" s="274">
        <v>274</v>
      </c>
      <c r="BH221" s="274">
        <v>214</v>
      </c>
      <c r="BI221" s="274">
        <v>1045</v>
      </c>
      <c r="BJ221" s="274"/>
      <c r="BK221" s="274" t="s">
        <v>2840</v>
      </c>
      <c r="BL221" s="274">
        <v>33</v>
      </c>
      <c r="BM221" s="274">
        <v>0</v>
      </c>
      <c r="BN221" s="274">
        <v>0</v>
      </c>
      <c r="BO221" s="274">
        <v>0</v>
      </c>
      <c r="BP221" s="274">
        <v>0</v>
      </c>
      <c r="BQ221" s="274">
        <v>33</v>
      </c>
      <c r="BR221" s="16">
        <v>35</v>
      </c>
      <c r="BS221" s="259"/>
    </row>
    <row r="222" spans="54:71" x14ac:dyDescent="0.3">
      <c r="BB222" s="274" t="s">
        <v>909</v>
      </c>
      <c r="BC222" s="274" t="s">
        <v>2840</v>
      </c>
      <c r="BD222" s="274">
        <v>275</v>
      </c>
      <c r="BE222" s="274">
        <v>438</v>
      </c>
      <c r="BF222" s="274">
        <v>663</v>
      </c>
      <c r="BG222" s="274">
        <v>792</v>
      </c>
      <c r="BH222" s="274">
        <v>524</v>
      </c>
      <c r="BI222" s="274">
        <v>2692</v>
      </c>
      <c r="BJ222" s="274"/>
      <c r="BK222" s="274" t="s">
        <v>2840</v>
      </c>
      <c r="BL222" s="274">
        <v>32</v>
      </c>
      <c r="BM222" s="274">
        <v>0</v>
      </c>
      <c r="BN222" s="274">
        <v>0</v>
      </c>
      <c r="BO222" s="274">
        <v>0</v>
      </c>
      <c r="BP222" s="274">
        <v>0</v>
      </c>
      <c r="BQ222" s="274">
        <v>32</v>
      </c>
      <c r="BR222" s="16">
        <v>53</v>
      </c>
      <c r="BS222" s="259"/>
    </row>
    <row r="223" spans="54:71" x14ac:dyDescent="0.3">
      <c r="BB223" s="274" t="s">
        <v>914</v>
      </c>
      <c r="BC223" s="274" t="s">
        <v>2840</v>
      </c>
      <c r="BD223" s="274" t="s">
        <v>1970</v>
      </c>
      <c r="BE223" s="274" t="s">
        <v>1970</v>
      </c>
      <c r="BF223" s="274" t="s">
        <v>1970</v>
      </c>
      <c r="BG223" s="274" t="s">
        <v>1970</v>
      </c>
      <c r="BH223" s="274" t="s">
        <v>1970</v>
      </c>
      <c r="BI223" s="274" t="s">
        <v>1970</v>
      </c>
      <c r="BJ223" s="274"/>
      <c r="BK223" s="274" t="s">
        <v>2840</v>
      </c>
      <c r="BL223" s="274" t="s">
        <v>1970</v>
      </c>
      <c r="BM223" s="274" t="s">
        <v>1970</v>
      </c>
      <c r="BN223" s="274" t="s">
        <v>1970</v>
      </c>
      <c r="BO223" s="274" t="s">
        <v>1970</v>
      </c>
      <c r="BP223" s="274" t="s">
        <v>1970</v>
      </c>
      <c r="BQ223" s="274" t="s">
        <v>1970</v>
      </c>
      <c r="BR223" s="16">
        <v>75</v>
      </c>
      <c r="BS223" s="259"/>
    </row>
    <row r="224" spans="54:71" x14ac:dyDescent="0.3">
      <c r="BB224" s="274" t="s">
        <v>918</v>
      </c>
      <c r="BC224" s="274" t="s">
        <v>2840</v>
      </c>
      <c r="BD224" s="274" t="s">
        <v>1970</v>
      </c>
      <c r="BE224" s="274" t="s">
        <v>1970</v>
      </c>
      <c r="BF224" s="274" t="s">
        <v>1970</v>
      </c>
      <c r="BG224" s="274" t="s">
        <v>1970</v>
      </c>
      <c r="BH224" s="274" t="s">
        <v>1970</v>
      </c>
      <c r="BI224" s="274" t="s">
        <v>1970</v>
      </c>
      <c r="BJ224" s="274"/>
      <c r="BK224" s="274" t="s">
        <v>2840</v>
      </c>
      <c r="BL224" s="274" t="s">
        <v>1970</v>
      </c>
      <c r="BM224" s="274" t="s">
        <v>1970</v>
      </c>
      <c r="BN224" s="274" t="s">
        <v>1970</v>
      </c>
      <c r="BO224" s="274" t="s">
        <v>1970</v>
      </c>
      <c r="BP224" s="274" t="s">
        <v>1970</v>
      </c>
      <c r="BQ224" s="274" t="s">
        <v>1970</v>
      </c>
      <c r="BR224" s="16">
        <v>53</v>
      </c>
      <c r="BS224" s="259"/>
    </row>
    <row r="225" spans="54:71" x14ac:dyDescent="0.3">
      <c r="BB225" s="274" t="s">
        <v>922</v>
      </c>
      <c r="BC225" s="274" t="s">
        <v>2840</v>
      </c>
      <c r="BD225" s="274">
        <v>171</v>
      </c>
      <c r="BE225" s="274">
        <v>251</v>
      </c>
      <c r="BF225" s="274">
        <v>417</v>
      </c>
      <c r="BG225" s="274">
        <v>634</v>
      </c>
      <c r="BH225" s="274">
        <v>462</v>
      </c>
      <c r="BI225" s="274">
        <v>1935</v>
      </c>
      <c r="BJ225" s="274"/>
      <c r="BK225" s="274" t="s">
        <v>2840</v>
      </c>
      <c r="BL225" s="274">
        <v>30</v>
      </c>
      <c r="BM225" s="274">
        <v>0</v>
      </c>
      <c r="BN225" s="274">
        <v>0</v>
      </c>
      <c r="BO225" s="274">
        <v>0</v>
      </c>
      <c r="BP225" s="274">
        <v>0</v>
      </c>
      <c r="BQ225" s="274">
        <v>30</v>
      </c>
      <c r="BR225" s="16">
        <v>44</v>
      </c>
      <c r="BS225" s="259"/>
    </row>
    <row r="226" spans="54:71" x14ac:dyDescent="0.3">
      <c r="BB226" s="274" t="s">
        <v>927</v>
      </c>
      <c r="BC226" s="274" t="s">
        <v>2840</v>
      </c>
      <c r="BD226" s="274">
        <v>260</v>
      </c>
      <c r="BE226" s="274">
        <v>335</v>
      </c>
      <c r="BF226" s="274">
        <v>527</v>
      </c>
      <c r="BG226" s="274">
        <v>735</v>
      </c>
      <c r="BH226" s="274">
        <v>567</v>
      </c>
      <c r="BI226" s="274">
        <v>2424</v>
      </c>
      <c r="BJ226" s="274"/>
      <c r="BK226" s="274" t="s">
        <v>2840</v>
      </c>
      <c r="BL226" s="274">
        <v>38</v>
      </c>
      <c r="BM226" s="274">
        <v>0</v>
      </c>
      <c r="BN226" s="274">
        <v>0</v>
      </c>
      <c r="BO226" s="274">
        <v>0</v>
      </c>
      <c r="BP226" s="274">
        <v>0</v>
      </c>
      <c r="BQ226" s="274">
        <v>38</v>
      </c>
      <c r="BR226" s="16">
        <v>28</v>
      </c>
      <c r="BS226" s="259"/>
    </row>
    <row r="227" spans="54:71" x14ac:dyDescent="0.3">
      <c r="BB227" s="274" t="s">
        <v>932</v>
      </c>
      <c r="BC227" s="274" t="s">
        <v>2840</v>
      </c>
      <c r="BD227" s="274">
        <v>186</v>
      </c>
      <c r="BE227" s="274">
        <v>200</v>
      </c>
      <c r="BF227" s="274">
        <v>331</v>
      </c>
      <c r="BG227" s="274">
        <v>413</v>
      </c>
      <c r="BH227" s="274">
        <v>318</v>
      </c>
      <c r="BI227" s="274">
        <v>1448</v>
      </c>
      <c r="BJ227" s="274"/>
      <c r="BK227" s="274" t="s">
        <v>2840</v>
      </c>
      <c r="BL227" s="274">
        <v>34</v>
      </c>
      <c r="BM227" s="274">
        <v>0</v>
      </c>
      <c r="BN227" s="274">
        <v>0</v>
      </c>
      <c r="BO227" s="274">
        <v>0</v>
      </c>
      <c r="BP227" s="274">
        <v>0</v>
      </c>
      <c r="BQ227" s="274">
        <v>34</v>
      </c>
      <c r="BR227" s="16">
        <v>30</v>
      </c>
      <c r="BS227" s="259"/>
    </row>
    <row r="228" spans="54:71" x14ac:dyDescent="0.3">
      <c r="BB228" s="274" t="s">
        <v>936</v>
      </c>
      <c r="BC228" s="274" t="s">
        <v>2840</v>
      </c>
      <c r="BD228" s="274">
        <v>486</v>
      </c>
      <c r="BE228" s="274">
        <v>63</v>
      </c>
      <c r="BF228" s="274">
        <v>125</v>
      </c>
      <c r="BG228" s="274">
        <v>147</v>
      </c>
      <c r="BH228" s="274">
        <v>252</v>
      </c>
      <c r="BI228" s="274">
        <v>1073</v>
      </c>
      <c r="BJ228" s="274"/>
      <c r="BK228" s="274" t="s">
        <v>2840</v>
      </c>
      <c r="BL228" s="274">
        <v>153</v>
      </c>
      <c r="BM228" s="274">
        <v>0</v>
      </c>
      <c r="BN228" s="274">
        <v>0</v>
      </c>
      <c r="BO228" s="274">
        <v>0</v>
      </c>
      <c r="BP228" s="274">
        <v>0</v>
      </c>
      <c r="BQ228" s="274">
        <v>153</v>
      </c>
      <c r="BR228" s="257">
        <v>295</v>
      </c>
      <c r="BS228" s="259" t="s">
        <v>3434</v>
      </c>
    </row>
    <row r="229" spans="54:71" x14ac:dyDescent="0.3">
      <c r="BB229" s="274" t="s">
        <v>940</v>
      </c>
      <c r="BC229" s="274" t="s">
        <v>2840</v>
      </c>
      <c r="BD229" s="274">
        <v>69</v>
      </c>
      <c r="BE229" s="274">
        <v>27</v>
      </c>
      <c r="BF229" s="274">
        <v>36</v>
      </c>
      <c r="BG229" s="274">
        <v>46</v>
      </c>
      <c r="BH229" s="274">
        <v>108</v>
      </c>
      <c r="BI229" s="274">
        <v>286</v>
      </c>
      <c r="BJ229" s="274"/>
      <c r="BK229" s="274" t="s">
        <v>2840</v>
      </c>
      <c r="BL229" s="274">
        <v>33</v>
      </c>
      <c r="BM229" s="274">
        <v>0</v>
      </c>
      <c r="BN229" s="274">
        <v>0</v>
      </c>
      <c r="BO229" s="274">
        <v>0</v>
      </c>
      <c r="BP229" s="274">
        <v>0</v>
      </c>
      <c r="BQ229" s="274">
        <v>33</v>
      </c>
      <c r="BR229" s="16">
        <v>30</v>
      </c>
      <c r="BS229" s="259" t="s">
        <v>3435</v>
      </c>
    </row>
    <row r="230" spans="54:71" x14ac:dyDescent="0.3">
      <c r="BB230" s="274" t="s">
        <v>944</v>
      </c>
      <c r="BC230" s="274" t="s">
        <v>2840</v>
      </c>
      <c r="BD230" s="274">
        <v>934</v>
      </c>
      <c r="BE230" s="274">
        <v>671</v>
      </c>
      <c r="BF230" s="274">
        <v>954</v>
      </c>
      <c r="BG230" s="274">
        <v>859</v>
      </c>
      <c r="BH230" s="274">
        <v>739</v>
      </c>
      <c r="BI230" s="274">
        <v>4157</v>
      </c>
      <c r="BJ230" s="274"/>
      <c r="BK230" s="274" t="s">
        <v>2840</v>
      </c>
      <c r="BL230" s="274">
        <v>208</v>
      </c>
      <c r="BM230" s="274">
        <v>0</v>
      </c>
      <c r="BN230" s="274">
        <v>0</v>
      </c>
      <c r="BO230" s="274">
        <v>0</v>
      </c>
      <c r="BP230" s="274">
        <v>0</v>
      </c>
      <c r="BQ230" s="274">
        <v>208</v>
      </c>
      <c r="BR230" s="16">
        <v>217</v>
      </c>
      <c r="BS230" s="259"/>
    </row>
    <row r="231" spans="54:71" x14ac:dyDescent="0.3">
      <c r="BB231" s="274" t="s">
        <v>947</v>
      </c>
      <c r="BC231" s="274" t="s">
        <v>2840</v>
      </c>
      <c r="BD231" s="274">
        <v>205</v>
      </c>
      <c r="BE231" s="274">
        <v>142</v>
      </c>
      <c r="BF231" s="274">
        <v>338</v>
      </c>
      <c r="BG231" s="274">
        <v>431</v>
      </c>
      <c r="BH231" s="274">
        <v>395</v>
      </c>
      <c r="BI231" s="274">
        <v>1511</v>
      </c>
      <c r="BJ231" s="274"/>
      <c r="BK231" s="274" t="s">
        <v>2840</v>
      </c>
      <c r="BL231" s="274">
        <v>52</v>
      </c>
      <c r="BM231" s="274">
        <v>0</v>
      </c>
      <c r="BN231" s="274">
        <v>0</v>
      </c>
      <c r="BO231" s="274">
        <v>0</v>
      </c>
      <c r="BP231" s="274">
        <v>0</v>
      </c>
      <c r="BQ231" s="274">
        <v>52</v>
      </c>
      <c r="BR231" s="16">
        <v>59</v>
      </c>
      <c r="BS231" s="259"/>
    </row>
    <row r="232" spans="54:71" x14ac:dyDescent="0.3">
      <c r="BB232" s="274" t="s">
        <v>952</v>
      </c>
      <c r="BC232" s="274" t="s">
        <v>2840</v>
      </c>
      <c r="BD232" s="274">
        <v>238</v>
      </c>
      <c r="BE232" s="274">
        <v>394</v>
      </c>
      <c r="BF232" s="274">
        <v>675</v>
      </c>
      <c r="BG232" s="274">
        <v>895</v>
      </c>
      <c r="BH232" s="274">
        <v>800</v>
      </c>
      <c r="BI232" s="274">
        <v>3002</v>
      </c>
      <c r="BJ232" s="274"/>
      <c r="BK232" s="274" t="s">
        <v>2840</v>
      </c>
      <c r="BL232" s="274">
        <v>19</v>
      </c>
      <c r="BM232" s="274">
        <v>0</v>
      </c>
      <c r="BN232" s="274">
        <v>0</v>
      </c>
      <c r="BO232" s="274">
        <v>0</v>
      </c>
      <c r="BP232" s="274">
        <v>0</v>
      </c>
      <c r="BQ232" s="274">
        <v>19</v>
      </c>
      <c r="BR232" s="16">
        <v>31</v>
      </c>
      <c r="BS232" s="259"/>
    </row>
    <row r="233" spans="54:71" x14ac:dyDescent="0.3">
      <c r="BB233" s="274" t="s">
        <v>957</v>
      </c>
      <c r="BC233" s="274" t="s">
        <v>2840</v>
      </c>
      <c r="BD233" s="274">
        <v>154</v>
      </c>
      <c r="BE233" s="274">
        <v>124</v>
      </c>
      <c r="BF233" s="274">
        <v>259</v>
      </c>
      <c r="BG233" s="274">
        <v>304</v>
      </c>
      <c r="BH233" s="274">
        <v>296</v>
      </c>
      <c r="BI233" s="274">
        <v>1137</v>
      </c>
      <c r="BJ233" s="274"/>
      <c r="BK233" s="274" t="s">
        <v>2840</v>
      </c>
      <c r="BL233" s="274">
        <v>23</v>
      </c>
      <c r="BM233" s="274">
        <v>0</v>
      </c>
      <c r="BN233" s="274">
        <v>0</v>
      </c>
      <c r="BO233" s="274">
        <v>0</v>
      </c>
      <c r="BP233" s="274">
        <v>0</v>
      </c>
      <c r="BQ233" s="274">
        <v>23</v>
      </c>
      <c r="BR233" s="16">
        <v>20</v>
      </c>
      <c r="BS233" s="259"/>
    </row>
    <row r="234" spans="54:71" x14ac:dyDescent="0.3">
      <c r="BB234" s="274" t="s">
        <v>962</v>
      </c>
      <c r="BC234" s="274" t="s">
        <v>2840</v>
      </c>
      <c r="BD234" s="274">
        <v>178</v>
      </c>
      <c r="BE234" s="274">
        <v>212</v>
      </c>
      <c r="BF234" s="274">
        <v>374</v>
      </c>
      <c r="BG234" s="274">
        <v>523</v>
      </c>
      <c r="BH234" s="274">
        <v>393</v>
      </c>
      <c r="BI234" s="274">
        <v>1680</v>
      </c>
      <c r="BJ234" s="274"/>
      <c r="BK234" s="274" t="s">
        <v>2840</v>
      </c>
      <c r="BL234" s="274">
        <v>22</v>
      </c>
      <c r="BM234" s="274">
        <v>0</v>
      </c>
      <c r="BN234" s="274">
        <v>0</v>
      </c>
      <c r="BO234" s="274">
        <v>0</v>
      </c>
      <c r="BP234" s="274">
        <v>0</v>
      </c>
      <c r="BQ234" s="274">
        <v>22</v>
      </c>
      <c r="BR234" s="16">
        <v>19</v>
      </c>
      <c r="BS234" s="259"/>
    </row>
    <row r="235" spans="54:71" x14ac:dyDescent="0.3">
      <c r="BB235" s="274" t="s">
        <v>967</v>
      </c>
      <c r="BC235" s="274" t="s">
        <v>2840</v>
      </c>
      <c r="BD235" s="274">
        <v>1527</v>
      </c>
      <c r="BE235" s="274">
        <v>972</v>
      </c>
      <c r="BF235" s="274">
        <v>1014</v>
      </c>
      <c r="BG235" s="274">
        <v>1098</v>
      </c>
      <c r="BH235" s="274">
        <v>768</v>
      </c>
      <c r="BI235" s="274">
        <v>5379</v>
      </c>
      <c r="BJ235" s="274"/>
      <c r="BK235" s="274" t="s">
        <v>2840</v>
      </c>
      <c r="BL235" s="274">
        <v>400</v>
      </c>
      <c r="BM235" s="274">
        <v>0</v>
      </c>
      <c r="BN235" s="274">
        <v>0</v>
      </c>
      <c r="BO235" s="274">
        <v>0</v>
      </c>
      <c r="BP235" s="274">
        <v>0</v>
      </c>
      <c r="BQ235" s="274">
        <v>400</v>
      </c>
      <c r="BR235" s="16">
        <v>352</v>
      </c>
      <c r="BS235" s="259"/>
    </row>
    <row r="236" spans="54:71" x14ac:dyDescent="0.3">
      <c r="BB236" s="274" t="s">
        <v>976</v>
      </c>
      <c r="BC236" s="274" t="s">
        <v>2840</v>
      </c>
      <c r="BD236" s="274" t="s">
        <v>1970</v>
      </c>
      <c r="BE236" s="274" t="s">
        <v>1970</v>
      </c>
      <c r="BF236" s="274" t="s">
        <v>1970</v>
      </c>
      <c r="BG236" s="274" t="s">
        <v>1970</v>
      </c>
      <c r="BH236" s="274" t="s">
        <v>1970</v>
      </c>
      <c r="BI236" s="274" t="s">
        <v>1970</v>
      </c>
      <c r="BJ236" s="274"/>
      <c r="BK236" s="274" t="s">
        <v>2840</v>
      </c>
      <c r="BL236" s="274" t="s">
        <v>1970</v>
      </c>
      <c r="BM236" s="274" t="s">
        <v>1970</v>
      </c>
      <c r="BN236" s="274" t="s">
        <v>1970</v>
      </c>
      <c r="BO236" s="274" t="s">
        <v>1970</v>
      </c>
      <c r="BP236" s="274" t="s">
        <v>1970</v>
      </c>
      <c r="BQ236" s="274" t="s">
        <v>1970</v>
      </c>
      <c r="BR236" s="16">
        <v>35</v>
      </c>
      <c r="BS236" s="259"/>
    </row>
    <row r="237" spans="54:71" x14ac:dyDescent="0.3">
      <c r="BB237" s="274" t="s">
        <v>980</v>
      </c>
      <c r="BC237" s="274" t="s">
        <v>2840</v>
      </c>
      <c r="BD237" s="274">
        <v>101</v>
      </c>
      <c r="BE237" s="274">
        <v>72</v>
      </c>
      <c r="BF237" s="274">
        <v>111</v>
      </c>
      <c r="BG237" s="274">
        <v>149</v>
      </c>
      <c r="BH237" s="274">
        <v>130</v>
      </c>
      <c r="BI237" s="274">
        <v>563</v>
      </c>
      <c r="BJ237" s="274"/>
      <c r="BK237" s="274" t="s">
        <v>2840</v>
      </c>
      <c r="BL237" s="274">
        <v>32</v>
      </c>
      <c r="BM237" s="274">
        <v>0</v>
      </c>
      <c r="BN237" s="274">
        <v>0</v>
      </c>
      <c r="BO237" s="274">
        <v>0</v>
      </c>
      <c r="BP237" s="274">
        <v>0</v>
      </c>
      <c r="BQ237" s="274">
        <v>32</v>
      </c>
      <c r="BR237" s="16">
        <v>27</v>
      </c>
      <c r="BS237" s="259"/>
    </row>
    <row r="238" spans="54:71" x14ac:dyDescent="0.3">
      <c r="BB238" s="274" t="s">
        <v>984</v>
      </c>
      <c r="BC238" s="274" t="s">
        <v>2840</v>
      </c>
      <c r="BD238" s="274">
        <v>80</v>
      </c>
      <c r="BE238" s="274">
        <v>40</v>
      </c>
      <c r="BF238" s="274">
        <v>68</v>
      </c>
      <c r="BG238" s="274">
        <v>88</v>
      </c>
      <c r="BH238" s="274">
        <v>74</v>
      </c>
      <c r="BI238" s="274">
        <v>350</v>
      </c>
      <c r="BJ238" s="274"/>
      <c r="BK238" s="274" t="s">
        <v>2840</v>
      </c>
      <c r="BL238" s="274">
        <v>25</v>
      </c>
      <c r="BM238" s="274">
        <v>0</v>
      </c>
      <c r="BN238" s="274">
        <v>0</v>
      </c>
      <c r="BO238" s="274">
        <v>0</v>
      </c>
      <c r="BP238" s="274">
        <v>0</v>
      </c>
      <c r="BQ238" s="274">
        <v>25</v>
      </c>
      <c r="BR238" s="16">
        <v>20</v>
      </c>
      <c r="BS238" s="259"/>
    </row>
    <row r="239" spans="54:71" x14ac:dyDescent="0.3">
      <c r="BB239" s="274" t="s">
        <v>988</v>
      </c>
      <c r="BC239" s="274" t="s">
        <v>2840</v>
      </c>
      <c r="BD239" s="274">
        <v>97</v>
      </c>
      <c r="BE239" s="274">
        <v>67</v>
      </c>
      <c r="BF239" s="274">
        <v>115</v>
      </c>
      <c r="BG239" s="274">
        <v>230</v>
      </c>
      <c r="BH239" s="274">
        <v>205</v>
      </c>
      <c r="BI239" s="274">
        <v>714</v>
      </c>
      <c r="BJ239" s="274"/>
      <c r="BK239" s="274" t="s">
        <v>2840</v>
      </c>
      <c r="BL239" s="274">
        <v>26</v>
      </c>
      <c r="BM239" s="274">
        <v>0</v>
      </c>
      <c r="BN239" s="274">
        <v>0</v>
      </c>
      <c r="BO239" s="274">
        <v>0</v>
      </c>
      <c r="BP239" s="274">
        <v>0</v>
      </c>
      <c r="BQ239" s="274">
        <v>26</v>
      </c>
      <c r="BR239" s="16">
        <v>25</v>
      </c>
      <c r="BS239" s="259"/>
    </row>
    <row r="240" spans="54:71" x14ac:dyDescent="0.3">
      <c r="BB240" s="274" t="s">
        <v>993</v>
      </c>
      <c r="BC240" s="274" t="s">
        <v>2840</v>
      </c>
      <c r="BD240" s="274" t="s">
        <v>1970</v>
      </c>
      <c r="BE240" s="274" t="s">
        <v>1970</v>
      </c>
      <c r="BF240" s="274" t="s">
        <v>1970</v>
      </c>
      <c r="BG240" s="274" t="s">
        <v>1970</v>
      </c>
      <c r="BH240" s="274" t="s">
        <v>1970</v>
      </c>
      <c r="BI240" s="274" t="s">
        <v>1970</v>
      </c>
      <c r="BJ240" s="274"/>
      <c r="BK240" s="274" t="s">
        <v>2840</v>
      </c>
      <c r="BL240" s="274" t="s">
        <v>1970</v>
      </c>
      <c r="BM240" s="274" t="s">
        <v>1970</v>
      </c>
      <c r="BN240" s="274" t="s">
        <v>1970</v>
      </c>
      <c r="BO240" s="274" t="s">
        <v>1970</v>
      </c>
      <c r="BP240" s="274" t="s">
        <v>1970</v>
      </c>
      <c r="BQ240" s="274" t="s">
        <v>1970</v>
      </c>
      <c r="BR240" s="16">
        <v>15</v>
      </c>
      <c r="BS240" s="259"/>
    </row>
    <row r="241" spans="54:71" x14ac:dyDescent="0.3">
      <c r="BB241" s="274" t="s">
        <v>997</v>
      </c>
      <c r="BC241" s="274" t="s">
        <v>2840</v>
      </c>
      <c r="BD241" s="274" t="s">
        <v>1970</v>
      </c>
      <c r="BE241" s="274" t="s">
        <v>1970</v>
      </c>
      <c r="BF241" s="274" t="s">
        <v>1970</v>
      </c>
      <c r="BG241" s="274" t="s">
        <v>1970</v>
      </c>
      <c r="BH241" s="274" t="s">
        <v>1970</v>
      </c>
      <c r="BI241" s="274" t="s">
        <v>1970</v>
      </c>
      <c r="BJ241" s="274"/>
      <c r="BK241" s="274" t="s">
        <v>2840</v>
      </c>
      <c r="BL241" s="274" t="s">
        <v>1970</v>
      </c>
      <c r="BM241" s="274" t="s">
        <v>1970</v>
      </c>
      <c r="BN241" s="274" t="s">
        <v>1970</v>
      </c>
      <c r="BO241" s="274" t="s">
        <v>1970</v>
      </c>
      <c r="BP241" s="274" t="s">
        <v>1970</v>
      </c>
      <c r="BQ241" s="274" t="s">
        <v>1970</v>
      </c>
      <c r="BR241" s="16">
        <v>13</v>
      </c>
      <c r="BS241" s="259"/>
    </row>
    <row r="242" spans="54:71" x14ac:dyDescent="0.3">
      <c r="BB242" s="274" t="s">
        <v>1001</v>
      </c>
      <c r="BC242" s="274" t="s">
        <v>2840</v>
      </c>
      <c r="BD242" s="274">
        <v>498</v>
      </c>
      <c r="BE242" s="274">
        <v>455</v>
      </c>
      <c r="BF242" s="274">
        <v>844</v>
      </c>
      <c r="BG242" s="274">
        <v>1204</v>
      </c>
      <c r="BH242" s="274">
        <v>1072</v>
      </c>
      <c r="BI242" s="274">
        <v>4073</v>
      </c>
      <c r="BJ242" s="274"/>
      <c r="BK242" s="274" t="s">
        <v>2840</v>
      </c>
      <c r="BL242" s="274">
        <v>66</v>
      </c>
      <c r="BM242" s="274">
        <v>0</v>
      </c>
      <c r="BN242" s="274">
        <v>0</v>
      </c>
      <c r="BO242" s="274">
        <v>0</v>
      </c>
      <c r="BP242" s="274">
        <v>0</v>
      </c>
      <c r="BQ242" s="274">
        <v>66</v>
      </c>
      <c r="BR242" s="16">
        <v>63</v>
      </c>
      <c r="BS242" s="259"/>
    </row>
    <row r="243" spans="54:71" x14ac:dyDescent="0.3">
      <c r="BB243" s="274" t="s">
        <v>1006</v>
      </c>
      <c r="BC243" s="274" t="s">
        <v>2840</v>
      </c>
      <c r="BD243" s="274">
        <v>154</v>
      </c>
      <c r="BE243" s="274">
        <v>88</v>
      </c>
      <c r="BF243" s="274">
        <v>166</v>
      </c>
      <c r="BG243" s="274">
        <v>288</v>
      </c>
      <c r="BH243" s="274">
        <v>273</v>
      </c>
      <c r="BI243" s="274">
        <v>969</v>
      </c>
      <c r="BJ243" s="274"/>
      <c r="BK243" s="274" t="s">
        <v>2840</v>
      </c>
      <c r="BL243" s="274">
        <v>38</v>
      </c>
      <c r="BM243" s="274">
        <v>0</v>
      </c>
      <c r="BN243" s="274">
        <v>0</v>
      </c>
      <c r="BO243" s="274">
        <v>0</v>
      </c>
      <c r="BP243" s="274">
        <v>0</v>
      </c>
      <c r="BQ243" s="274">
        <v>38</v>
      </c>
      <c r="BR243" s="16">
        <v>31</v>
      </c>
      <c r="BS243" s="259"/>
    </row>
    <row r="244" spans="54:71" x14ac:dyDescent="0.3">
      <c r="BB244" s="274" t="s">
        <v>1011</v>
      </c>
      <c r="BC244" s="274" t="s">
        <v>2840</v>
      </c>
      <c r="BD244" s="274">
        <v>442</v>
      </c>
      <c r="BE244" s="274">
        <v>339</v>
      </c>
      <c r="BF244" s="274">
        <v>514</v>
      </c>
      <c r="BG244" s="274">
        <v>689</v>
      </c>
      <c r="BH244" s="274">
        <v>594</v>
      </c>
      <c r="BI244" s="274">
        <v>2578</v>
      </c>
      <c r="BJ244" s="274"/>
      <c r="BK244" s="274" t="s">
        <v>2840</v>
      </c>
      <c r="BL244" s="274">
        <v>59</v>
      </c>
      <c r="BM244" s="274">
        <v>0</v>
      </c>
      <c r="BN244" s="274">
        <v>0</v>
      </c>
      <c r="BO244" s="274">
        <v>0</v>
      </c>
      <c r="BP244" s="274">
        <v>0</v>
      </c>
      <c r="BQ244" s="274">
        <v>59</v>
      </c>
      <c r="BR244" s="16">
        <v>65</v>
      </c>
      <c r="BS244" s="259"/>
    </row>
    <row r="245" spans="54:71" x14ac:dyDescent="0.3">
      <c r="BB245" s="274" t="s">
        <v>1015</v>
      </c>
      <c r="BC245" s="274" t="s">
        <v>2840</v>
      </c>
      <c r="BD245" s="274">
        <v>289</v>
      </c>
      <c r="BE245" s="274">
        <v>215</v>
      </c>
      <c r="BF245" s="274">
        <v>359</v>
      </c>
      <c r="BG245" s="274">
        <v>453</v>
      </c>
      <c r="BH245" s="274">
        <v>412</v>
      </c>
      <c r="BI245" s="274">
        <v>1728</v>
      </c>
      <c r="BJ245" s="274"/>
      <c r="BK245" s="274" t="s">
        <v>2840</v>
      </c>
      <c r="BL245" s="274">
        <v>42</v>
      </c>
      <c r="BM245" s="274">
        <v>0</v>
      </c>
      <c r="BN245" s="274">
        <v>0</v>
      </c>
      <c r="BO245" s="274">
        <v>0</v>
      </c>
      <c r="BP245" s="274">
        <v>0</v>
      </c>
      <c r="BQ245" s="274">
        <v>42</v>
      </c>
      <c r="BR245" s="16">
        <v>39</v>
      </c>
      <c r="BS245" s="259"/>
    </row>
    <row r="246" spans="54:71" x14ac:dyDescent="0.3">
      <c r="BB246" s="274" t="s">
        <v>1020</v>
      </c>
      <c r="BC246" s="274" t="s">
        <v>2840</v>
      </c>
      <c r="BD246" s="274">
        <v>141</v>
      </c>
      <c r="BE246" s="274">
        <v>138</v>
      </c>
      <c r="BF246" s="274">
        <v>267</v>
      </c>
      <c r="BG246" s="274">
        <v>427</v>
      </c>
      <c r="BH246" s="274">
        <v>434</v>
      </c>
      <c r="BI246" s="274">
        <v>1407</v>
      </c>
      <c r="BJ246" s="274"/>
      <c r="BK246" s="274" t="s">
        <v>2840</v>
      </c>
      <c r="BL246" s="274">
        <v>25</v>
      </c>
      <c r="BM246" s="274">
        <v>0</v>
      </c>
      <c r="BN246" s="274">
        <v>0</v>
      </c>
      <c r="BO246" s="274">
        <v>0</v>
      </c>
      <c r="BP246" s="274">
        <v>0</v>
      </c>
      <c r="BQ246" s="274">
        <v>25</v>
      </c>
      <c r="BR246" s="16">
        <v>19</v>
      </c>
      <c r="BS246" s="259"/>
    </row>
    <row r="247" spans="54:71" x14ac:dyDescent="0.3">
      <c r="BB247" s="274" t="s">
        <v>1025</v>
      </c>
      <c r="BC247" s="274" t="s">
        <v>2840</v>
      </c>
      <c r="BD247" s="274">
        <v>89</v>
      </c>
      <c r="BE247" s="274">
        <v>95</v>
      </c>
      <c r="BF247" s="274">
        <v>201</v>
      </c>
      <c r="BG247" s="274">
        <v>261</v>
      </c>
      <c r="BH247" s="274">
        <v>230</v>
      </c>
      <c r="BI247" s="274">
        <v>876</v>
      </c>
      <c r="BJ247" s="274"/>
      <c r="BK247" s="274" t="s">
        <v>2840</v>
      </c>
      <c r="BL247" s="274">
        <v>14</v>
      </c>
      <c r="BM247" s="274">
        <v>6</v>
      </c>
      <c r="BN247" s="274">
        <v>5</v>
      </c>
      <c r="BO247" s="274">
        <v>0</v>
      </c>
      <c r="BP247" s="274">
        <v>0</v>
      </c>
      <c r="BQ247" s="274">
        <v>25</v>
      </c>
      <c r="BR247" s="16">
        <v>37</v>
      </c>
      <c r="BS247" s="259"/>
    </row>
    <row r="248" spans="54:71" x14ac:dyDescent="0.3">
      <c r="BB248" s="274" t="s">
        <v>1030</v>
      </c>
      <c r="BC248" s="274" t="s">
        <v>2840</v>
      </c>
      <c r="BD248" s="274">
        <v>147</v>
      </c>
      <c r="BE248" s="274">
        <v>160</v>
      </c>
      <c r="BF248" s="274">
        <v>299</v>
      </c>
      <c r="BG248" s="274">
        <v>515</v>
      </c>
      <c r="BH248" s="274">
        <v>420</v>
      </c>
      <c r="BI248" s="274">
        <v>1541</v>
      </c>
      <c r="BJ248" s="274"/>
      <c r="BK248" s="274" t="s">
        <v>2840</v>
      </c>
      <c r="BL248" s="274">
        <v>46</v>
      </c>
      <c r="BM248" s="274">
        <v>0</v>
      </c>
      <c r="BN248" s="274">
        <v>0</v>
      </c>
      <c r="BO248" s="274">
        <v>0</v>
      </c>
      <c r="BP248" s="274">
        <v>0</v>
      </c>
      <c r="BQ248" s="274">
        <v>46</v>
      </c>
      <c r="BR248" s="16">
        <v>43</v>
      </c>
      <c r="BS248" s="259"/>
    </row>
    <row r="249" spans="54:71" x14ac:dyDescent="0.3">
      <c r="BB249" s="274" t="s">
        <v>1034</v>
      </c>
      <c r="BC249" s="274" t="s">
        <v>2840</v>
      </c>
      <c r="BD249" s="274">
        <v>45</v>
      </c>
      <c r="BE249" s="274">
        <v>61</v>
      </c>
      <c r="BF249" s="274">
        <v>109</v>
      </c>
      <c r="BG249" s="274">
        <v>183</v>
      </c>
      <c r="BH249" s="274">
        <v>219</v>
      </c>
      <c r="BI249" s="274">
        <v>617</v>
      </c>
      <c r="BJ249" s="274"/>
      <c r="BK249" s="274" t="s">
        <v>2840</v>
      </c>
      <c r="BL249" s="274">
        <v>12</v>
      </c>
      <c r="BM249" s="274">
        <v>0</v>
      </c>
      <c r="BN249" s="274">
        <v>0</v>
      </c>
      <c r="BO249" s="274">
        <v>0</v>
      </c>
      <c r="BP249" s="274">
        <v>0</v>
      </c>
      <c r="BQ249" s="274">
        <v>12</v>
      </c>
      <c r="BR249" s="16">
        <v>9</v>
      </c>
      <c r="BS249" s="259"/>
    </row>
    <row r="250" spans="54:71" x14ac:dyDescent="0.3">
      <c r="BB250" s="274" t="s">
        <v>1038</v>
      </c>
      <c r="BC250" s="274" t="s">
        <v>2840</v>
      </c>
      <c r="BD250" s="274">
        <v>454</v>
      </c>
      <c r="BE250" s="274">
        <v>530</v>
      </c>
      <c r="BF250" s="274">
        <v>987</v>
      </c>
      <c r="BG250" s="274">
        <v>1335</v>
      </c>
      <c r="BH250" s="274">
        <v>1232</v>
      </c>
      <c r="BI250" s="274">
        <v>4538</v>
      </c>
      <c r="BJ250" s="274"/>
      <c r="BK250" s="274" t="s">
        <v>2840</v>
      </c>
      <c r="BL250" s="274">
        <v>62</v>
      </c>
      <c r="BM250" s="274">
        <v>0</v>
      </c>
      <c r="BN250" s="274">
        <v>0</v>
      </c>
      <c r="BO250" s="274">
        <v>0</v>
      </c>
      <c r="BP250" s="274">
        <v>0</v>
      </c>
      <c r="BQ250" s="274">
        <v>62</v>
      </c>
      <c r="BR250" s="16">
        <v>56</v>
      </c>
      <c r="BS250" s="259"/>
    </row>
    <row r="251" spans="54:71" x14ac:dyDescent="0.3">
      <c r="BB251" s="274" t="s">
        <v>1043</v>
      </c>
      <c r="BC251" s="274" t="s">
        <v>2840</v>
      </c>
      <c r="BD251" s="274">
        <v>361</v>
      </c>
      <c r="BE251" s="274">
        <v>378</v>
      </c>
      <c r="BF251" s="274">
        <v>693</v>
      </c>
      <c r="BG251" s="274">
        <v>915</v>
      </c>
      <c r="BH251" s="274">
        <v>828</v>
      </c>
      <c r="BI251" s="274">
        <v>3175</v>
      </c>
      <c r="BJ251" s="274"/>
      <c r="BK251" s="274" t="s">
        <v>2840</v>
      </c>
      <c r="BL251" s="274">
        <v>40</v>
      </c>
      <c r="BM251" s="274">
        <v>0</v>
      </c>
      <c r="BN251" s="274">
        <v>0</v>
      </c>
      <c r="BO251" s="274">
        <v>0</v>
      </c>
      <c r="BP251" s="274">
        <v>0</v>
      </c>
      <c r="BQ251" s="274">
        <v>40</v>
      </c>
      <c r="BR251" s="16">
        <v>45</v>
      </c>
      <c r="BS251" s="259"/>
    </row>
    <row r="252" spans="54:71" x14ac:dyDescent="0.3">
      <c r="BB252" s="274" t="s">
        <v>1047</v>
      </c>
      <c r="BC252" s="274" t="s">
        <v>2840</v>
      </c>
      <c r="BD252" s="274">
        <v>276</v>
      </c>
      <c r="BE252" s="274">
        <v>359</v>
      </c>
      <c r="BF252" s="274">
        <v>574</v>
      </c>
      <c r="BG252" s="274">
        <v>855</v>
      </c>
      <c r="BH252" s="274">
        <v>699</v>
      </c>
      <c r="BI252" s="274">
        <v>2763</v>
      </c>
      <c r="BJ252" s="274"/>
      <c r="BK252" s="274" t="s">
        <v>2840</v>
      </c>
      <c r="BL252" s="274">
        <v>36</v>
      </c>
      <c r="BM252" s="274">
        <v>2</v>
      </c>
      <c r="BN252" s="274">
        <v>0</v>
      </c>
      <c r="BO252" s="274">
        <v>0</v>
      </c>
      <c r="BP252" s="274">
        <v>0</v>
      </c>
      <c r="BQ252" s="274">
        <v>38</v>
      </c>
      <c r="BR252" s="16">
        <v>38</v>
      </c>
      <c r="BS252" s="259"/>
    </row>
    <row r="253" spans="54:71" x14ac:dyDescent="0.3">
      <c r="BB253" s="274" t="s">
        <v>1052</v>
      </c>
      <c r="BC253" s="274" t="s">
        <v>2840</v>
      </c>
      <c r="BD253" s="274">
        <v>58</v>
      </c>
      <c r="BE253" s="274">
        <v>94</v>
      </c>
      <c r="BF253" s="274">
        <v>165</v>
      </c>
      <c r="BG253" s="274">
        <v>308</v>
      </c>
      <c r="BH253" s="274">
        <v>282</v>
      </c>
      <c r="BI253" s="274">
        <v>907</v>
      </c>
      <c r="BJ253" s="274"/>
      <c r="BK253" s="274" t="s">
        <v>2840</v>
      </c>
      <c r="BL253" s="274">
        <v>19</v>
      </c>
      <c r="BM253" s="274">
        <v>0</v>
      </c>
      <c r="BN253" s="274">
        <v>0</v>
      </c>
      <c r="BO253" s="274">
        <v>0</v>
      </c>
      <c r="BP253" s="274">
        <v>0</v>
      </c>
      <c r="BQ253" s="274">
        <v>19</v>
      </c>
      <c r="BR253" s="16">
        <v>19</v>
      </c>
      <c r="BS253" s="259"/>
    </row>
    <row r="254" spans="54:71" x14ac:dyDescent="0.3">
      <c r="BB254" s="274" t="s">
        <v>1057</v>
      </c>
      <c r="BC254" s="274" t="s">
        <v>2840</v>
      </c>
      <c r="BD254" s="274">
        <v>56</v>
      </c>
      <c r="BE254" s="274">
        <v>62</v>
      </c>
      <c r="BF254" s="274">
        <v>150</v>
      </c>
      <c r="BG254" s="274">
        <v>243</v>
      </c>
      <c r="BH254" s="274">
        <v>207</v>
      </c>
      <c r="BI254" s="274">
        <v>718</v>
      </c>
      <c r="BJ254" s="274"/>
      <c r="BK254" s="274" t="s">
        <v>2840</v>
      </c>
      <c r="BL254" s="274">
        <v>18</v>
      </c>
      <c r="BM254" s="274">
        <v>0</v>
      </c>
      <c r="BN254" s="274">
        <v>0</v>
      </c>
      <c r="BO254" s="274">
        <v>0</v>
      </c>
      <c r="BP254" s="274">
        <v>0</v>
      </c>
      <c r="BQ254" s="274">
        <v>18</v>
      </c>
      <c r="BR254" s="16">
        <v>19</v>
      </c>
      <c r="BS254" s="259"/>
    </row>
    <row r="255" spans="54:71" x14ac:dyDescent="0.3">
      <c r="BB255" s="274" t="s">
        <v>1062</v>
      </c>
      <c r="BC255" s="274" t="s">
        <v>2840</v>
      </c>
      <c r="BD255" s="274">
        <v>200</v>
      </c>
      <c r="BE255" s="274">
        <v>101</v>
      </c>
      <c r="BF255" s="274">
        <v>116</v>
      </c>
      <c r="BG255" s="274">
        <v>156</v>
      </c>
      <c r="BH255" s="274">
        <v>209</v>
      </c>
      <c r="BI255" s="274">
        <v>782</v>
      </c>
      <c r="BJ255" s="274"/>
      <c r="BK255" s="274" t="s">
        <v>2840</v>
      </c>
      <c r="BL255" s="274">
        <v>57</v>
      </c>
      <c r="BM255" s="274">
        <v>0</v>
      </c>
      <c r="BN255" s="274">
        <v>0</v>
      </c>
      <c r="BO255" s="274">
        <v>0</v>
      </c>
      <c r="BP255" s="274">
        <v>0</v>
      </c>
      <c r="BQ255" s="274">
        <v>57</v>
      </c>
      <c r="BR255" s="16">
        <v>73</v>
      </c>
      <c r="BS255" s="259"/>
    </row>
    <row r="256" spans="54:71" x14ac:dyDescent="0.3">
      <c r="BS256" s="259"/>
    </row>
  </sheetData>
  <phoneticPr fontId="2"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工作表4"/>
  <dimension ref="A1:BV435"/>
  <sheetViews>
    <sheetView zoomScale="85" zoomScaleNormal="85" workbookViewId="0">
      <pane xSplit="7" ySplit="11" topLeftCell="H397" activePane="bottomRight" state="frozen"/>
      <selection pane="topRight" activeCell="H1" sqref="H1"/>
      <selection pane="bottomLeft" activeCell="A12" sqref="A12"/>
      <selection pane="bottomRight" activeCell="I415" sqref="I415"/>
    </sheetView>
  </sheetViews>
  <sheetFormatPr defaultColWidth="8.88671875" defaultRowHeight="13.8" x14ac:dyDescent="0.3"/>
  <cols>
    <col min="1" max="1" width="9.77734375" style="185" customWidth="1"/>
    <col min="2" max="2" width="17.88671875" style="185" customWidth="1"/>
    <col min="3" max="3" width="7.44140625" style="280" hidden="1" customWidth="1"/>
    <col min="4" max="4" width="11.109375" style="212" customWidth="1"/>
    <col min="5" max="7" width="3.21875" style="185" customWidth="1"/>
    <col min="8" max="8" width="8.88671875" style="185" customWidth="1"/>
    <col min="9" max="18" width="5.77734375" style="185" customWidth="1"/>
    <col min="19" max="19" width="4.77734375" style="185" customWidth="1"/>
    <col min="20" max="29" width="5.77734375" style="185" customWidth="1"/>
    <col min="30" max="30" width="8" style="185" customWidth="1"/>
    <col min="31" max="31" width="7" style="185" customWidth="1"/>
    <col min="32" max="32" width="7.33203125" style="185" customWidth="1"/>
    <col min="33" max="33" width="7" style="185" customWidth="1"/>
    <col min="34" max="34" width="8" style="185" customWidth="1"/>
    <col min="35" max="35" width="8.21875" style="185" customWidth="1"/>
    <col min="36" max="37" width="7.109375" style="185" customWidth="1"/>
    <col min="38" max="39" width="7.33203125" style="185" customWidth="1"/>
    <col min="40" max="40" width="14.21875" style="185" customWidth="1"/>
    <col min="41" max="41" width="9" style="185" bestFit="1" customWidth="1"/>
    <col min="42" max="74" width="4.77734375" style="185" customWidth="1"/>
    <col min="75" max="16384" width="8.88671875" style="185"/>
  </cols>
  <sheetData>
    <row r="1" spans="1:52" s="210" customFormat="1" x14ac:dyDescent="0.3">
      <c r="D1" s="211" t="s">
        <v>2872</v>
      </c>
      <c r="E1" s="192"/>
      <c r="F1" s="192"/>
      <c r="G1" s="192"/>
      <c r="H1" s="192" t="s">
        <v>2301</v>
      </c>
      <c r="I1" s="192" t="s">
        <v>2227</v>
      </c>
      <c r="J1" s="192" t="s">
        <v>2228</v>
      </c>
      <c r="K1" s="192" t="s">
        <v>2229</v>
      </c>
      <c r="L1" s="192" t="s">
        <v>2230</v>
      </c>
      <c r="M1" s="192" t="s">
        <v>2231</v>
      </c>
      <c r="N1" s="192" t="str">
        <f>主頁!B15</f>
        <v>請選擇第一選修科</v>
      </c>
      <c r="O1" s="192" t="str">
        <f>主頁!B16</f>
        <v>請選擇第二選修科</v>
      </c>
      <c r="P1" s="192" t="str">
        <f>主頁!B17</f>
        <v>請選擇第三選修科</v>
      </c>
      <c r="Q1" s="192" t="str">
        <f>主頁!B18</f>
        <v>請選擇第四選修科</v>
      </c>
      <c r="R1" s="192" t="str">
        <f>主頁!B19</f>
        <v>請選擇語言科目</v>
      </c>
      <c r="S1" s="192"/>
      <c r="T1" s="211"/>
      <c r="V1" s="210" t="s">
        <v>2302</v>
      </c>
    </row>
    <row r="2" spans="1:52" x14ac:dyDescent="0.3">
      <c r="F2" s="212"/>
      <c r="G2" s="212"/>
      <c r="H2" s="213" t="s">
        <v>2303</v>
      </c>
      <c r="I2" s="212" t="str">
        <f>IF($D$15=FALSE,主頁!C8,V7)</f>
        <v>請選擇等級</v>
      </c>
      <c r="J2" s="212" t="str">
        <f>IF($D$15=FALSE,主頁!C9,W7)</f>
        <v>請選擇等級</v>
      </c>
      <c r="K2" s="212" t="str">
        <f>IF($D$15=FALSE,主頁!C10,X7)</f>
        <v>請選擇等級</v>
      </c>
      <c r="L2" s="212" t="str">
        <f>IF($D$15=FALSE,主頁!C11,Y7)</f>
        <v>請選擇等級</v>
      </c>
      <c r="M2" s="212" t="str">
        <f>IF($D$15=FALSE,主頁!C12,Z7)</f>
        <v>請選擇等級</v>
      </c>
      <c r="N2" s="212">
        <f>IF($D$15=FALSE,IF(主頁!B15="請選擇第一選修科",0,主頁!C15),AA7)</f>
        <v>0</v>
      </c>
      <c r="O2" s="212">
        <f>IF($D$15=FALSE,IF(主頁!B16="請選擇第二選修科",0,主頁!C16),AB7)</f>
        <v>0</v>
      </c>
      <c r="P2" s="212">
        <f>IF($D$15=FALSE,IF(主頁!B17="請選擇第三選修科",0,主頁!C17),AC7)</f>
        <v>0</v>
      </c>
      <c r="Q2" s="212">
        <f>IF($D$15=FALSE,IF(主頁!B18="請選擇第四選修科",0,主頁!C18),AD7)</f>
        <v>0</v>
      </c>
      <c r="R2" s="212">
        <f>IF($D$15=FALSE,IF(主頁!B19="請選擇語言科目",0,主頁!C19),AE7)</f>
        <v>0</v>
      </c>
      <c r="S2" s="212"/>
      <c r="V2" s="185" t="str">
        <f>INDEX(M$1:R$1,MATCH(LARGE(M13:R13,1),M13:R13,0))</f>
        <v>請選擇語言科目</v>
      </c>
      <c r="W2" s="185" t="str">
        <f>INDEX(M$1:R$1,MATCH(LARGE(M13:R13,2),M13:R13,0))</f>
        <v>請選擇第四選修科</v>
      </c>
    </row>
    <row r="3" spans="1:52" x14ac:dyDescent="0.3">
      <c r="A3" s="213"/>
      <c r="B3" s="213" t="s">
        <v>2318</v>
      </c>
      <c r="C3" s="213"/>
      <c r="D3" s="214">
        <f>LARGE((I13:L13,N13:Q13),1)+LARGE((I13:L13,N13:Q13),2)+LARGE((I13:L13,N13:Q13),3)+LARGE((I13:L13,N13:Q13),4)+LARGE((I13:L13,N13:Q13),5)</f>
        <v>3.3999999999999998E-9</v>
      </c>
      <c r="E3" s="212"/>
      <c r="F3" s="212"/>
      <c r="G3" s="212"/>
      <c r="H3" s="215" t="s">
        <v>2148</v>
      </c>
      <c r="I3" s="212">
        <f>IF(OR(I2="請選擇等級",I2=FALSE,I2=0),0,LOOKUP(I2,{1,2,3,4,5,"5*","5**","U"},{1,2,3,4,5,6,7,0}))+0.0000000001</f>
        <v>1E-10</v>
      </c>
      <c r="J3" s="212">
        <f>IF(OR(J2="請選擇等級",J2=FALSE,J2=0),0,LOOKUP(J2,{1,2,3,4,5,"5*","5**","U"},{1,2,3,4,5,6,7,0}))+0.0000000002</f>
        <v>2.0000000000000001E-10</v>
      </c>
      <c r="K3" s="212">
        <f>IF(OR(K2="請選擇等級",K2=FALSE,K2=0),0,LOOKUP(K2,{1,2,3,4,5,"5*","5**","U"},{1,2,3,4,5,6,7,0}))+0.0000000003</f>
        <v>3E-10</v>
      </c>
      <c r="L3" s="212">
        <f>IF(OR(L2="請選擇等級",L2=FALSE,L2=0),0,LOOKUP(L2,{1,2,3,4,5,"5*","5**","U"},{1,2,3,4,5,6,7,0}))+0.0000000004</f>
        <v>4.0000000000000001E-10</v>
      </c>
      <c r="M3" s="212">
        <f>IF(OR(M2="請選擇等級",M2=FALSE,M2=0),0,LOOKUP(M2,{1,2,3,4,5,"5*","5**","U"},{1,2,3,4,5,6,7,0}))+0.0000000005</f>
        <v>5.0000000000000003E-10</v>
      </c>
      <c r="N3" s="212">
        <f>IF(OR(N2="請選擇等級",N2=FALSE,N2=0),0,LOOKUP(N2,{1,2,3,4,5,"5*","5**","U"},{1,2,3,4,5,6,7,0}))+0.0000000006</f>
        <v>6E-10</v>
      </c>
      <c r="O3" s="212">
        <f>IF(OR(O2="請選擇等級",O2=FALSE,O2=0),0,LOOKUP(O2,{1,2,3,4,5,"5*","5**","U"},{1,2,3,4,5,6,7,0}))+0.0000000007</f>
        <v>6.9999999999999996E-10</v>
      </c>
      <c r="P3" s="212">
        <f>IF(OR(P2="請選擇等級",P2=FALSE,P2=0),0,LOOKUP(P2,{1,2,3,4,5,"5*","5**","U"},{1,2,3,4,5,6,7,0}))+0.0000000008</f>
        <v>8.0000000000000003E-10</v>
      </c>
      <c r="Q3" s="212">
        <f>IF(OR(Q2="請選擇等級",Q2=FALSE,Q2=0),0,LOOKUP(Q2,{1,2,3,4,5,"5*","5**","U"},{1,2,3,4,5,6,7,0}))+0.0000000009</f>
        <v>8.9999999999999999E-10</v>
      </c>
      <c r="R3" s="212">
        <f>IF(OR(R2="請選擇等級",R2=FALSE,R2=0),0,LOOKUP(R2,{"A","B","C","D","E","U"},{5,4,3,2,1,0}))+0.00000000095</f>
        <v>9.5000000000000003E-10</v>
      </c>
      <c r="S3" s="212"/>
    </row>
    <row r="4" spans="1:52" x14ac:dyDescent="0.3">
      <c r="B4" s="213" t="s">
        <v>2153</v>
      </c>
      <c r="C4" s="213"/>
      <c r="D4" s="214">
        <f>LARGE((I13:L13,N13:Q13),1)+LARGE((I13:L13,N13:Q13),2)+LARGE((I13:L13,N13:Q13),3)+LARGE((I13:L13,N13:Q13),4)+LARGE((I13:L13,N13:Q13),5)+LARGE((I13:L13,N13:Q13),6)</f>
        <v>3.7E-9</v>
      </c>
      <c r="E4" s="212"/>
      <c r="F4" s="212"/>
      <c r="G4" s="212"/>
      <c r="H4" s="215" t="s">
        <v>2304</v>
      </c>
      <c r="I4" s="212">
        <f>IF(OR(I2="請選擇等級",I2=FALSE,I2=0),0,LOOKUP(I2,{"U",1,2,3,4,5,"5*","5**"},{0,1,2,3,4,5,6,7}))+0.0000000001</f>
        <v>1E-10</v>
      </c>
      <c r="J4" s="212">
        <f>IF(OR(J2="請選擇等級",J2=FALSE,J2=0),0,LOOKUP(J2,{"U",1,2,3,4,5,"5*","5**"},{0,1,2,3,4,5,6,7}))+0.0000000002</f>
        <v>2.0000000000000001E-10</v>
      </c>
      <c r="K4" s="212">
        <f>IF(OR(K2="請選擇等級",K2=FALSE,K2=0),0,LOOKUP(K2,{"U",1,2,3,4,5,"5*","5**"},{0,1,2,3,4,5,6,7}))+0.0000000003</f>
        <v>3E-10</v>
      </c>
      <c r="L4" s="212">
        <f>IF(OR(L2="請選擇等級",L2=FALSE,L2=0),0,LOOKUP(L2,{"U",1,2,3,4,5,"5*","5**"},{0,1,2,3,4,5,6,7}))+0.0000000004</f>
        <v>4.0000000000000001E-10</v>
      </c>
      <c r="M4" s="212">
        <f>IF(OR(M2="請選擇等級",M2=FALSE,M2=0),0,LOOKUP(M2,{"U",1,2,3,4,5,"5*","5**"},{0,1,2,3,4,5,6,7}))+0.0000000005</f>
        <v>5.0000000000000003E-10</v>
      </c>
      <c r="N4" s="212">
        <f>IF(OR(N2="請選擇等級",N2=FALSE,N2=0),0,LOOKUP(N2,{"U",1,2,3,4,5,"5*","5**"},{0,1,2,3,4,5,6,7}))+0.0000000006</f>
        <v>6E-10</v>
      </c>
      <c r="O4" s="212">
        <f>IF(OR(O2="請選擇等級",O2=FALSE,O2=0),0,LOOKUP(O2,{"U",1,2,3,4,5,"5*","5**"},{0,1,2,3,4,5,6,7}))+0.0000000007</f>
        <v>6.9999999999999996E-10</v>
      </c>
      <c r="P4" s="212">
        <f>IF(OR(P2="請選擇等級",P2=FALSE,P2=0),0,LOOKUP(P2,{"U",1,2,3,4,5,"5*","5**"},{0,1,2,3,4,5,6,7}))+0.0000000008</f>
        <v>8.0000000000000003E-10</v>
      </c>
      <c r="Q4" s="212">
        <f>IF(OR(Q2="請選擇等級",Q2=FALSE,Q2=0),0,LOOKUP(Q2,{"U",1,2,3,4,5,"5*","5**"},{0,1,2,3,4,5,6,7}))+0.0000000009</f>
        <v>8.9999999999999999E-10</v>
      </c>
      <c r="R4" s="212">
        <f>IF(OR(R2="請選擇等級",R2=FALSE,R2=0),0,LOOKUP(R2,{"A","B","C","D","E","U"},{7,6,5,4,3,0}))+0.00000000095</f>
        <v>9.5000000000000003E-10</v>
      </c>
      <c r="S4" s="212"/>
      <c r="T4" s="202" t="s">
        <v>2305</v>
      </c>
      <c r="U4" s="202"/>
      <c r="V4" s="184" t="s">
        <v>2306</v>
      </c>
      <c r="W4" s="184"/>
      <c r="X4" s="184"/>
      <c r="Y4" s="184"/>
      <c r="Z4" s="184"/>
      <c r="AA4" s="184"/>
      <c r="AB4" s="184"/>
      <c r="AC4" s="184"/>
      <c r="AD4" s="184"/>
      <c r="AE4" s="184"/>
      <c r="AF4" s="184"/>
    </row>
    <row r="5" spans="1:52" x14ac:dyDescent="0.3">
      <c r="B5" s="213" t="s">
        <v>2324</v>
      </c>
      <c r="C5" s="213"/>
      <c r="D5" s="214">
        <f>SUM($I$13:$L$13)+LARGE(($N$13:$P$13,$Q$13),1)</f>
        <v>1.9000000000000001E-9</v>
      </c>
      <c r="E5" s="212"/>
      <c r="F5" s="212"/>
      <c r="G5" s="212"/>
      <c r="H5" s="215" t="s">
        <v>2246</v>
      </c>
      <c r="I5" s="212">
        <f>IF(OR(I2="請選擇等級",I2=FALSE,I2=0),0,LOOKUP(I2,{1,2,3,4,5,"5*","5**","U"},{1,2,3,4,5.5,7,8.5,0}))+0.0000000001</f>
        <v>1E-10</v>
      </c>
      <c r="J5" s="212">
        <f>IF(OR(J2="請選擇等級",J2=FALSE,J2=0),0,LOOKUP(J2,{1,2,3,4,5,"5*","5**","U"},{1,2,3,4,5.5,7,8.5,0}))+0.0000000002</f>
        <v>2.0000000000000001E-10</v>
      </c>
      <c r="K5" s="212">
        <f>IF(OR(K2="請選擇等級",K2=FALSE,K2=0),0,LOOKUP(K2,{1,2,3,4,5,"5*","5**","U"},{1,2,3,4,5.5,7,8.5,0}))+0.0000000003</f>
        <v>3E-10</v>
      </c>
      <c r="L5" s="212">
        <f>IF(OR(L2="請選擇等級",L2=FALSE,L2=0),0,LOOKUP(L2,{1,2,3,4,5,"5*","5**","U"},{1,2,3,4,5.5,7,8.5,0}))+0.0000000004</f>
        <v>4.0000000000000001E-10</v>
      </c>
      <c r="M5" s="212">
        <f>IF(OR(M2="請選擇等級",M2=FALSE,M2=0),0,LOOKUP(M2,{1,2,3,4,5,"5*","5**","U"},{1,2,3,4,5.5,7,8.5,0}))+0.0000000005</f>
        <v>5.0000000000000003E-10</v>
      </c>
      <c r="N5" s="212">
        <f>IF(OR(N2="請選擇等級",N2=FALSE,N2=0),0,LOOKUP(N2,{1,2,3,4,5,"5*","5**","U"},{1,2,3,4,5.5,7,8.5,0}))+0.0000000006</f>
        <v>6E-10</v>
      </c>
      <c r="O5" s="212">
        <f>IF(OR(O2="請選擇等級",O2=FALSE,O2=0),0,LOOKUP(O2,{1,2,3,4,5,"5*","5**","U"},{1,2,3,4,5.5,7,8.5,0}))+0.0000000007</f>
        <v>6.9999999999999996E-10</v>
      </c>
      <c r="P5" s="212">
        <f>IF(OR(P2="請選擇等級",P2=FALSE,P2=0),0,LOOKUP(P2,{1,2,3,4,5,"5*","5**","U"},{1,2,3,4,5.5,7,8.5,0}))+0.0000000008</f>
        <v>8.0000000000000003E-10</v>
      </c>
      <c r="Q5" s="212">
        <f>IF(OR(Q2="請選擇等級",Q2=FALSE,Q2=0),0,LOOKUP(Q2,{1,2,3,4,5,"5*","5**","U"},{1,2,3,4,5.5,7,8.5,0}))+0.0000000009</f>
        <v>8.9999999999999999E-10</v>
      </c>
      <c r="R5" s="212">
        <f>IF(OR(R2="請選擇等級",R2=FALSE,R2=0),0,LOOKUP(R2,{"A","B","C","D","E","U"},{5,4,3,2,1,0}))+0.00000000095</f>
        <v>9.5000000000000003E-10</v>
      </c>
      <c r="S5" s="212"/>
      <c r="T5" s="184" t="s">
        <v>2307</v>
      </c>
      <c r="U5" s="184"/>
      <c r="V5" s="216">
        <f>主頁!D8</f>
        <v>0</v>
      </c>
      <c r="W5" s="216">
        <f>主頁!D9</f>
        <v>0</v>
      </c>
      <c r="X5" s="216">
        <f>主頁!D10</f>
        <v>0</v>
      </c>
      <c r="Y5" s="216">
        <f>主頁!D11</f>
        <v>0</v>
      </c>
      <c r="Z5" s="216">
        <f>主頁!D12</f>
        <v>0</v>
      </c>
      <c r="AA5" s="216">
        <f>IF(主頁!B15="請選擇第一選修科",0,主頁!D15)</f>
        <v>0</v>
      </c>
      <c r="AB5" s="216">
        <f>IF(主頁!B16="請選擇第二選修科",0,主頁!D16)</f>
        <v>0</v>
      </c>
      <c r="AC5" s="216">
        <f>IF(主頁!B17="請選擇第三選修科",0,主頁!D17)</f>
        <v>0</v>
      </c>
      <c r="AD5" s="216">
        <f>IF(主頁!B18="請選擇第四選修科",0,主頁!D18)</f>
        <v>0</v>
      </c>
      <c r="AE5" s="216">
        <f>IF(主頁!B19="請選擇語言科目",0,主頁!D19)</f>
        <v>0</v>
      </c>
      <c r="AF5" s="184"/>
    </row>
    <row r="6" spans="1:52" x14ac:dyDescent="0.3">
      <c r="B6" s="213" t="s">
        <v>2325</v>
      </c>
      <c r="C6" s="213"/>
      <c r="D6" s="214">
        <f>SUM($I$13:$L$13)+LARGE(($N$13:$P$13,$Q$13),1)+LARGE(($N$13:$P$13,$Q$13),2)</f>
        <v>2.7000000000000002E-9</v>
      </c>
      <c r="E6" s="212"/>
      <c r="F6" s="212"/>
      <c r="G6" s="212"/>
      <c r="H6" s="215" t="s">
        <v>2247</v>
      </c>
      <c r="I6" s="212">
        <f>IF(OR(I2="請選擇等級",I2=FALSE,I2=0),0,LOOKUP(I2,{1,2,3,4,5,"5*","5**","U"},{1,2,3,4,5.5,7,8.5,0}))+0.0000000001</f>
        <v>1E-10</v>
      </c>
      <c r="J6" s="212">
        <f>IF(OR(J2="請選擇等級",J2=FALSE,J2=0),0,LOOKUP(J2,{1,2,3,4,5,"5*","5**","U"},{1,2,3,4,5.5,7,8.5,0}))+0.0000000002</f>
        <v>2.0000000000000001E-10</v>
      </c>
      <c r="K6" s="212">
        <f>IF(OR(K2="請選擇等級",K2=FALSE,K2=0),0,LOOKUP(K2,{1,2,3,4,5,"5*","5**","U"},{1,2,3,4,5.5,7,8.5,0}))+0.0000000003</f>
        <v>3E-10</v>
      </c>
      <c r="L6" s="212">
        <f>IF(OR(L2="請選擇等級",L2=FALSE,L2=0),0,LOOKUP(L2,{1,2,3,4,5,"5*","5**","U"},{1,2,3,4,5.5,7,8.5,0}))+0.0000000004</f>
        <v>4.0000000000000001E-10</v>
      </c>
      <c r="M6" s="212">
        <f>IF(OR(M2="請選擇等級",M2=FALSE,M2=0),0,LOOKUP(M2,{1,2,3,4,5,"5*","5**","U"},{1,2,3,4,5.5,7,8.5,0}))+0.0000000005</f>
        <v>5.0000000000000003E-10</v>
      </c>
      <c r="N6" s="212">
        <f>IF(OR(N2="請選擇等級",N2=FALSE,N2=0),0,LOOKUP(N2,{1,2,3,4,5,"5*","5**","U"},{1,2,3,4,5.5,7,8.5,0}))+0.0000000006</f>
        <v>6E-10</v>
      </c>
      <c r="O6" s="212">
        <f>IF(OR(O2="請選擇等級",O2=FALSE,O2=0),0,LOOKUP(O2,{1,2,3,4,5,"5*","5**","U"},{1,2,3,4,5.5,7,8.5,0}))+0.0000000007</f>
        <v>6.9999999999999996E-10</v>
      </c>
      <c r="P6" s="212">
        <f>IF(OR(P2="請選擇等級",P2=FALSE,P2=0),0,LOOKUP(P2,{1,2,3,4,5,"5*","5**","U"},{1,2,3,4,5.5,7,8.5,0}))+0.0000000008</f>
        <v>8.0000000000000003E-10</v>
      </c>
      <c r="Q6" s="212">
        <f>IF(OR(Q2="請選擇等級",Q2=FALSE,Q2=0),0,LOOKUP(Q2,{1,2,3,4,5,"5*","5**","U"},{1,2,3,4,5.5,7,8.5,0}))+0.0000000009</f>
        <v>8.9999999999999999E-10</v>
      </c>
      <c r="R6" s="212">
        <f>IF(OR(R2="請選擇等級",R2=FALSE,R2=0),0,LOOKUP(R2,{"A","B","C","D","E","U"},{5.5,4,3,2,1,0}))+0.00000000095</f>
        <v>9.5000000000000003E-10</v>
      </c>
      <c r="S6" s="212"/>
      <c r="T6" s="184" t="s">
        <v>2308</v>
      </c>
      <c r="U6" s="184"/>
      <c r="V6" s="216" t="b">
        <f>ISNUMBER(V5)</f>
        <v>1</v>
      </c>
      <c r="W6" s="216" t="b">
        <f t="shared" ref="W6:Z6" si="0">ISNUMBER(W5)</f>
        <v>1</v>
      </c>
      <c r="X6" s="216" t="b">
        <f t="shared" si="0"/>
        <v>1</v>
      </c>
      <c r="Y6" s="216" t="b">
        <f t="shared" si="0"/>
        <v>1</v>
      </c>
      <c r="Z6" s="216" t="b">
        <f t="shared" si="0"/>
        <v>1</v>
      </c>
      <c r="AA6" s="216" t="b">
        <f t="shared" ref="AA6" si="1">ISNUMBER(AA5)</f>
        <v>1</v>
      </c>
      <c r="AB6" s="216" t="b">
        <f t="shared" ref="AB6" si="2">ISNUMBER(AB5)</f>
        <v>1</v>
      </c>
      <c r="AC6" s="216" t="b">
        <f t="shared" ref="AC6" si="3">ISNUMBER(AC5)</f>
        <v>1</v>
      </c>
      <c r="AD6" s="216" t="b">
        <f t="shared" ref="AD6" si="4">ISNUMBER(AD5)</f>
        <v>1</v>
      </c>
      <c r="AE6" s="216" t="b">
        <f>ISTEXT(AE5)</f>
        <v>0</v>
      </c>
      <c r="AF6" s="184"/>
      <c r="AW6" s="185">
        <f>IF(AY6=AZ6,1,0)</f>
        <v>0</v>
      </c>
      <c r="AY6" s="185" t="s">
        <v>2229</v>
      </c>
      <c r="AZ6" s="185" t="s">
        <v>3289</v>
      </c>
    </row>
    <row r="7" spans="1:52" x14ac:dyDescent="0.3">
      <c r="D7" s="214"/>
      <c r="E7" s="212"/>
      <c r="F7" s="212"/>
      <c r="G7" s="212"/>
      <c r="H7" s="215" t="s">
        <v>3195</v>
      </c>
      <c r="I7" s="212">
        <f>IF(OR(I2="請選擇等級",I2=FALSE,I2=0),0,LOOKUP(I2,{1,2,3,4,5,"5*","5**","U"},{1,2,3,4,5.5,7,8.5,0}))+0.0000000001</f>
        <v>1E-10</v>
      </c>
      <c r="J7" s="212">
        <f>IF(OR(J2="請選擇等級",J2=FALSE,J2=0),0,LOOKUP(J2,{1,2,3,4,5,"5*","5**","U"},{1,2,3,4,5.5,7,8.5,0}))+0.0000000002</f>
        <v>2.0000000000000001E-10</v>
      </c>
      <c r="K7" s="212">
        <f>IF(OR(K2="請選擇等級",K2=FALSE,K2=0),0,LOOKUP(K2,{1,2,3,4,5,"5*","5**","U"},{1,2,3,4,5.5,7,8.5,0}))+0.0000000003</f>
        <v>3E-10</v>
      </c>
      <c r="L7" s="212">
        <f>IF(OR(L2="請選擇等級",L2=FALSE,L2=0),0,LOOKUP(L2,{1,2,3,4,5,"5*","5**","U"},{1,2,3,4,5.5,7,8.5,0}))+0.0000000004</f>
        <v>4.0000000000000001E-10</v>
      </c>
      <c r="M7" s="212">
        <f>IF(OR(M2="請選擇等級",M2=FALSE,M2=0),0,LOOKUP(M2,{1,2,3,4,5,"5*","5**","U"},{1,2,3,4,5.5,7,8.5,0}))+0.0000000005</f>
        <v>5.0000000000000003E-10</v>
      </c>
      <c r="N7" s="212">
        <f>IF(OR(N2="請選擇等級",N2=FALSE,N2=0),0,LOOKUP(N2,{1,2,3,4,5,"5*","5**","U"},{1,2,3,4,5.5,7,8.5,0}))+0.0000000006</f>
        <v>6E-10</v>
      </c>
      <c r="O7" s="212">
        <f>IF(OR(O2="請選擇等級",O2=FALSE,O2=0),0,LOOKUP(O2,{1,2,3,4,5,"5*","5**","U"},{1,2,3,4,5.5,7,8.5,0}))+0.0000000007</f>
        <v>6.9999999999999996E-10</v>
      </c>
      <c r="P7" s="212">
        <f>IF(OR(P2="請選擇等級",P2=FALSE,P2=0),0,LOOKUP(P2,{1,2,3,4,5,"5*","5**","U"},{1,2,3,4,5.5,7,8.5,0}))+0.0000000008</f>
        <v>8.0000000000000003E-10</v>
      </c>
      <c r="Q7" s="212">
        <f>IF(OR(Q2="請選擇等級",Q2=FALSE,Q2=0),0,LOOKUP(Q2,{1,2,3,4,5,"5*","5**","U"},{1,2,3,4,5.5,7,8.5,0}))+0.0000000009</f>
        <v>8.9999999999999999E-10</v>
      </c>
      <c r="R7" s="212">
        <f>IF(OR(R2="請選擇等級",R2=FALSE,R2=0),0,LOOKUP(R2,{"A","B","C","D","E","U"},{7,5.5,4,2.5,1,0}))+0.00000000095</f>
        <v>9.5000000000000003E-10</v>
      </c>
      <c r="S7" s="212"/>
      <c r="T7" s="184" t="s">
        <v>2310</v>
      </c>
      <c r="U7" s="184"/>
      <c r="V7" s="216">
        <f>IF(OR(V5="請選擇等級",V6=FALSE,V5=0),0,LOOKUP(V5,{1,2,3,4,5,6,7,0},{1,2,3,4,5,"5*","5**","U"}))</f>
        <v>0</v>
      </c>
      <c r="W7" s="216">
        <f>IF(OR(W5="請選擇等級",W6=FALSE,W5=0),0,LOOKUP(W5,{1,2,3,4,5,6,7,0},{1,2,3,4,5,"5*","5**","U"}))</f>
        <v>0</v>
      </c>
      <c r="X7" s="216">
        <f>IF(OR(X5="請選擇等級",X6=FALSE,X5=0),0,LOOKUP(X5,{1,2,3,4,5,6,7,0},{1,2,3,4,5,"5*","5**","U"}))</f>
        <v>0</v>
      </c>
      <c r="Y7" s="216">
        <f>IF(OR(Y5="請選擇等級",Y6=FALSE,Y5=0),0,LOOKUP(Y5,{1,2,3,4,5,6,7,0},{1,2,3,4,5,"5*","5**","U"}))</f>
        <v>0</v>
      </c>
      <c r="Z7" s="216">
        <f>IF(OR(Z5="請選擇等級",Z6=FALSE,Z5=0),0,LOOKUP(Z5,{1,2,3,4,5,6,7,0},{1,2,3,4,5,"5*","5**","U"}))</f>
        <v>0</v>
      </c>
      <c r="AA7" s="216">
        <f>IF(OR(AA5="請選擇等級",AA6=FALSE,AA5=0),0,LOOKUP(AA5,{1,2,3,4,5,6,7,0},{1,2,3,4,5,"5*","5**","U"}))</f>
        <v>0</v>
      </c>
      <c r="AB7" s="216">
        <f>IF(OR(AB5="請選擇等級",AB6=FALSE,AB5=0),0,LOOKUP(AB5,{1,2,3,4,5,6,7,0},{1,2,3,4,5,"5*","5**","U"}))</f>
        <v>0</v>
      </c>
      <c r="AC7" s="216">
        <f>IF(OR(AC5="請選擇等級",AC6=FALSE,AC5=0),0,LOOKUP(AC5,{1,2,3,4,5,6,7,0},{1,2,3,4,5,"5*","5**","U"}))</f>
        <v>0</v>
      </c>
      <c r="AD7" s="216">
        <f>IF(OR(AD5="請選擇等級",AD6=FALSE,AD5=0),0,LOOKUP(AD5,{1,2,3,4,5,6,7,0},{1,2,3,4,5,"5*","5**","U"}))</f>
        <v>0</v>
      </c>
      <c r="AE7" s="216">
        <f>IF(AE6=TRUE,AE5,0)</f>
        <v>0</v>
      </c>
      <c r="AF7" s="184"/>
    </row>
    <row r="8" spans="1:52" x14ac:dyDescent="0.3">
      <c r="B8" s="213" t="s">
        <v>2319</v>
      </c>
      <c r="C8" s="213"/>
      <c r="D8" s="214">
        <f>LARGE((I13:Q13),1)+LARGE((I13:Q13),2)+LARGE((I13:Q13),3)+LARGE((I13:Q13),4)+LARGE((I13:Q13),5)</f>
        <v>3.4999999999999999E-9</v>
      </c>
      <c r="H8" s="215" t="s">
        <v>2163</v>
      </c>
      <c r="I8" s="212">
        <f>IF(OR(I2="請選擇等級",I2=FALSE,I2=0),0,LOOKUP(I2,{1,2,3,4,5,"5*","5**","U"},{1,2,3,4,5.5,7,8.5,0}))+0.0000000001</f>
        <v>1E-10</v>
      </c>
      <c r="J8" s="212">
        <f>IF(OR(J2="請選擇等級",J2=FALSE,J2=0),0,LOOKUP(J2,{1,2,3,4,5,"5*","5**","U"},{1,2,3,4,5.5,7,8.5,0}))+0.0000000002</f>
        <v>2.0000000000000001E-10</v>
      </c>
      <c r="K8" s="212">
        <f>IF(OR(K2="請選擇等級",K2=FALSE,K2=0),0,LOOKUP(K2,{1,2,3,4,5,"5*","5**","U"},{1,2,3,4,5.5,7,8.5,0}))+0.0000000003</f>
        <v>3E-10</v>
      </c>
      <c r="L8" s="212">
        <f>IF(OR(L2="請選擇等級",L2=FALSE,L2=0),0,LOOKUP(L2,{1,2,3,4,5,"5*","5**","U"},{1,2,3,4,5.5,7,8.5,0}))+0.0000000004</f>
        <v>4.0000000000000001E-10</v>
      </c>
      <c r="M8" s="212">
        <f>IF(OR(M2="請選擇等級",M2=FALSE,M2=0),0,LOOKUP(M2,{1,2,3,4,5,"5*","5**","U"},{1,2,3,4,5.5,7,8.5,0}))+0.0000000005</f>
        <v>5.0000000000000003E-10</v>
      </c>
      <c r="N8" s="212">
        <f>IF(OR(N2="請選擇等級",N2=FALSE,N2=0),0,LOOKUP(N2,{1,2,3,4,5,"5*","5**","U"},{1,2,3,4,5.5,7,8.5,0}))+0.0000000006</f>
        <v>6E-10</v>
      </c>
      <c r="O8" s="212">
        <f>IF(OR(O2="請選擇等級",O2=FALSE,O2=0),0,LOOKUP(O2,{1,2,3,4,5,"5*","5**","U"},{1,2,3,4,5.5,7,8.5,0}))+0.0000000007</f>
        <v>6.9999999999999996E-10</v>
      </c>
      <c r="P8" s="212">
        <f>IF(OR(P2="請選擇等級",P2=FALSE,P2=0),0,LOOKUP(P2,{1,2,3,4,5,"5*","5**","U"},{1,2,3,4,5.5,7,8.5,0}))+0.0000000008</f>
        <v>8.0000000000000003E-10</v>
      </c>
      <c r="Q8" s="212">
        <f>IF(OR(Q2="請選擇等級",Q2=FALSE,Q2=0),0,LOOKUP(Q2,{1,2,3,4,5,"5*","5**","U"},{1,2,3,4,5.5,7,8.5,0}))+0.0000000009</f>
        <v>8.9999999999999999E-10</v>
      </c>
      <c r="R8" s="212">
        <f>IF(OR(R2="請選擇等級",R2=FALSE,R2=0),0,LOOKUP(R2,{"A","B","C","D","E","U"},{7,5.5,4,2.5,1,0}))+0.00000000095</f>
        <v>9.5000000000000003E-10</v>
      </c>
      <c r="S8" s="212"/>
      <c r="T8" s="184"/>
      <c r="U8" s="184"/>
      <c r="V8" s="184"/>
      <c r="W8" s="184"/>
      <c r="X8" s="184"/>
      <c r="Y8" s="184"/>
      <c r="Z8" s="184"/>
      <c r="AA8" s="184"/>
      <c r="AB8" s="184"/>
      <c r="AC8" s="184"/>
      <c r="AD8" s="184"/>
      <c r="AE8" s="184"/>
      <c r="AF8" s="184"/>
    </row>
    <row r="9" spans="1:52" x14ac:dyDescent="0.3">
      <c r="B9" s="213" t="s">
        <v>2322</v>
      </c>
      <c r="C9" s="213"/>
      <c r="D9" s="214">
        <f>LARGE((I13:Q13),1)+LARGE((I13:Q13),2)+LARGE((I13:Q13),3)+LARGE((I13:Q13),4)+LARGE((I13:Q13),5)+LARGE((I13:Q13),6)</f>
        <v>3.9000000000000002E-9</v>
      </c>
      <c r="H9" s="215" t="s">
        <v>2258</v>
      </c>
      <c r="I9" s="212">
        <f>IF(OR(I2="請選擇等級",I2=FALSE,I2=0),0,LOOKUP(I2,{1,2,3,4,5,"5*","5**","U"},{1,2,3,4,5,6,7,0}))+0.0000000001</f>
        <v>1E-10</v>
      </c>
      <c r="J9" s="212">
        <f>IF(OR(J2="請選擇等級",J2=FALSE,J2=0),0,LOOKUP(J2,{1,2,3,4,5,"5*","5**","U"},{1,2,3,4,5,6,7,0}))+0.0000000002</f>
        <v>2.0000000000000001E-10</v>
      </c>
      <c r="K9" s="212">
        <f>IF(OR(K2="請選擇等級",K2=FALSE,K2=0),0,LOOKUP(K2,{1,2,3,4,5,"5*","5**","U"},{1,2,3,4,5,6,7,0}))+0.0000000003</f>
        <v>3E-10</v>
      </c>
      <c r="L9" s="212">
        <f>IF(OR(L2="請選擇等級",L2=FALSE,L2=0),0,LOOKUP(L2,{1,2,3,4,5,"5*","5**","U"},{1,2,3,4,5,6,7,0}))+0.0000000004</f>
        <v>4.0000000000000001E-10</v>
      </c>
      <c r="M9" s="212">
        <f>IF(OR(M2="請選擇等級",M2=FALSE,M2=0),0,LOOKUP(M2,{1,2,3,4,5,"5*","5**","U"},{1,2,3,4,5,6,7,0}))+0.0000000005</f>
        <v>5.0000000000000003E-10</v>
      </c>
      <c r="N9" s="212">
        <f>IF(OR(N2="請選擇等級",N2=FALSE,N2=0),0,LOOKUP(N2,{1,2,3,4,5,"5*","5**","U"},{1,2,3,4,5,6,7,0}))+0.0000000006</f>
        <v>6E-10</v>
      </c>
      <c r="O9" s="212">
        <f>IF(OR(O2="請選擇等級",O2=FALSE,O2=0),0,LOOKUP(O2,{1,2,3,4,5,"5*","5**","U"},{1,2,3,4,5,6,7,0}))+0.0000000007</f>
        <v>6.9999999999999996E-10</v>
      </c>
      <c r="P9" s="212">
        <f>IF(OR(P2="請選擇等級",P2=FALSE,P2=0),0,LOOKUP(P2,{1,2,3,4,5,"5*","5**","U"},{1,2,3,4,5,6,7,0}))+0.0000000008</f>
        <v>8.0000000000000003E-10</v>
      </c>
      <c r="Q9" s="212">
        <f>IF(OR(Q2="請選擇等級",Q2=FALSE,Q2=0),0,LOOKUP(Q2,{1,2,3,4,5,"5*","5**","U"},{1,2,3,4,5,6,7,0}))+0.0000000009</f>
        <v>8.9999999999999999E-10</v>
      </c>
      <c r="R9" s="212">
        <f>IF(OR(R2="請選擇等級",R2=FALSE,R2=0),0,LOOKUP(R2,{"A","B","C","D","E","U"},{5,4,3,2,1,0}))+0.00000000095</f>
        <v>9.5000000000000003E-10</v>
      </c>
      <c r="S9" s="212"/>
    </row>
    <row r="10" spans="1:52" x14ac:dyDescent="0.3">
      <c r="D10" s="214"/>
      <c r="H10" s="215" t="s">
        <v>2311</v>
      </c>
      <c r="I10" s="212">
        <f>IF(OR(I2="請選擇等級",I2=FALSE,I2=0),0,LOOKUP(I2,{1,2,3,4,5,"5*","5**","U"},{1,2,3,4,5,6,7,0}))+0.0000000001</f>
        <v>1E-10</v>
      </c>
      <c r="J10" s="212">
        <f>IF(OR(J2="請選擇等級",J2=FALSE,J2=0),0,LOOKUP(J2,{1,2,3,4,5,"5*","5**","U"},{1,2,3,4,5,6,7,0}))+0.0000000002</f>
        <v>2.0000000000000001E-10</v>
      </c>
      <c r="K10" s="212">
        <f>IF(OR(K2="請選擇等級",K2=FALSE,K2=0),0,LOOKUP(K2,{1,2,3,4,5,"5*","5**","U"},{1,2,3,4,5,6,7,0}))+0.0000000003</f>
        <v>3E-10</v>
      </c>
      <c r="L10" s="212">
        <f>IF(OR(L2="請選擇等級",L2=FALSE,L2=0),0,LOOKUP(L2,{1,2,3,4,5,"5*","5**","U"},{1,2,3,4,5,6,7,0}))+0.0000000004</f>
        <v>4.0000000000000001E-10</v>
      </c>
      <c r="M10" s="212">
        <f>IF(OR(M2="請選擇等級",M2=FALSE,M2=0),0,LOOKUP(M2,{1,2,3,4,5,"5*","5**","U"},{1,2,3,4,5,6,7,0}))+0.0000000005</f>
        <v>5.0000000000000003E-10</v>
      </c>
      <c r="N10" s="212">
        <f>IF(OR(N2="請選擇等級",N2=FALSE,N2=0),0,LOOKUP(N2,{1,2,3,4,5,"5*","5**","U"},{1,2,3,4,5,6,7,0}))+0.0000000006</f>
        <v>6E-10</v>
      </c>
      <c r="O10" s="212">
        <f>IF(OR(O2="請選擇等級",O2=FALSE,O2=0),0,LOOKUP(O2,{1,2,3,4,5,"5*","5**","U"},{1,2,3,4,5,6,7,0}))+0.0000000007</f>
        <v>6.9999999999999996E-10</v>
      </c>
      <c r="P10" s="212">
        <f>IF(OR(P2="請選擇等級",P2=FALSE,P2=0),0,LOOKUP(P2,{1,2,3,4,5,"5*","5**","U"},{1,2,3,4,5,6,7,0}))+0.0000000008</f>
        <v>8.0000000000000003E-10</v>
      </c>
      <c r="Q10" s="212">
        <f>IF(OR(Q2="請選擇等級",Q2=FALSE,Q2=0),0,LOOKUP(Q2,{1,2,3,4,5,"5*","5**","U"},{1,2,3,4,5,6,7,0}))+0.0000000009</f>
        <v>8.9999999999999999E-10</v>
      </c>
      <c r="R10" s="212">
        <f>IF(OR(R2="請選擇等級",R2=FALSE,R2=0),0,LOOKUP(R2,{"A","B","C","D","E","U"},{7,6,5,4,3,0}))+0.00000000095</f>
        <v>9.5000000000000003E-10</v>
      </c>
      <c r="S10" s="185" t="s">
        <v>2312</v>
      </c>
      <c r="T10" s="185" t="s">
        <v>2313</v>
      </c>
      <c r="U10" s="185" t="s">
        <v>3602</v>
      </c>
    </row>
    <row r="11" spans="1:52" x14ac:dyDescent="0.3">
      <c r="D11" s="214"/>
      <c r="E11" s="212"/>
      <c r="F11" s="212"/>
      <c r="G11" s="212"/>
      <c r="H11" s="215" t="s">
        <v>2314</v>
      </c>
      <c r="I11" s="212">
        <f>IF(OR(I2="請選擇等級",I2=FALSE,I2=0),0,LOOKUP(I2,{1,2,3,4,5,"5*","5**","U"},{1,2,3,4,5,6,7,0}))+0.0000000001</f>
        <v>1E-10</v>
      </c>
      <c r="J11" s="212">
        <f>IF(OR(J2="請選擇等級",J2=FALSE,J2=0),0,LOOKUP(J2,{1,2,3,4,5,"5*","5**","U"},{1,2,3,4,5,6,7,0}))+0.0000000002</f>
        <v>2.0000000000000001E-10</v>
      </c>
      <c r="K11" s="212">
        <f>IF(OR(K2="請選擇等級",K2=FALSE,K2=0),0,LOOKUP(K2,{1,2,3,4,5,"5*","5**","U"},{1,2,3,4,5,6,7,0}))+0.0000000003</f>
        <v>3E-10</v>
      </c>
      <c r="L11" s="212">
        <f>IF(OR(L2="請選擇等級",L2=FALSE,L2=0),0,LOOKUP(L2,{1,2,3,4,5,"5*","5**","U"},{1,2,3,4,5,6,7,0}))+0.0000000004</f>
        <v>4.0000000000000001E-10</v>
      </c>
      <c r="M11" s="212"/>
      <c r="N11" s="212">
        <f>IF(OR(N2="請選擇等級",N2=FALSE,N2=0),0,LOOKUP(N2,{1,2,3,4,5,"5*","5**","U"},{1,2,3,4,5,6,7,0}))+0.0000000006</f>
        <v>6E-10</v>
      </c>
      <c r="O11" s="212">
        <f>IF(OR(O2="請選擇等級",O2=FALSE,O2=0),0,LOOKUP(O2,{1,2,3,4,5,"5*","5**","U"},{1,2,3,4,5,6,7,0}))+0.0000000007</f>
        <v>6.9999999999999996E-10</v>
      </c>
      <c r="P11" s="212">
        <f>IF(OR(P2="請選擇等級",P2=FALSE,P2=0),0,LOOKUP(P2,{1,2,3,4,5,"5*","5**","U"},{1,2,3,4,5,6,7,0}))+0.0000000008</f>
        <v>8.0000000000000003E-10</v>
      </c>
      <c r="Q11" s="212">
        <f>IF(OR(Q2="請選擇等級",Q2=FALSE,Q2=0),0,LOOKUP(Q2,{1,2,3,4,5,"5*","5**","U"},{1,2,3,4,5,6,7,0}))+0.0000000009</f>
        <v>8.9999999999999999E-10</v>
      </c>
      <c r="R11" s="212">
        <f>IF(OR(R2="請選擇等級",R2=FALSE,R2=0),0,LOOKUP(R2,{"A","B","C","D","E","U"},{6,5,4,3,2,0}))+0.00000000095</f>
        <v>9.5000000000000003E-10</v>
      </c>
      <c r="S11" s="185">
        <f>IF(OR(R2="請選擇等級",R2=FALSE,R2=0),0,LOOKUP(R2,{"A","B","C","D","E","U"},{3,3,3,2,2,0}))+0.00000000095</f>
        <v>9.5000000000000003E-10</v>
      </c>
      <c r="T11" s="185">
        <f>IF(OR(R2="請選擇等級",R2=FALSE,R2=0),0,LOOKUP(R2,{"A","B","C","D","E","U"},{5,4,3,2,1,0}))+0.00000000095</f>
        <v>9.5000000000000003E-10</v>
      </c>
    </row>
    <row r="12" spans="1:52" x14ac:dyDescent="0.3">
      <c r="B12" s="213" t="s">
        <v>2320</v>
      </c>
      <c r="C12" s="213"/>
      <c r="D12" s="214">
        <f>SUM($I$13:$L$13)+LARGE(($M$13:$Q$13),1)</f>
        <v>1.9000000000000001E-9</v>
      </c>
      <c r="E12" s="212"/>
      <c r="F12" s="212"/>
      <c r="G12" s="212"/>
      <c r="H12" s="215"/>
      <c r="I12" s="212"/>
      <c r="J12" s="212"/>
      <c r="K12" s="212"/>
      <c r="L12" s="212"/>
      <c r="M12" s="212"/>
      <c r="N12" s="212"/>
      <c r="O12" s="212"/>
      <c r="P12" s="212"/>
      <c r="Q12" s="212"/>
      <c r="R12" s="212"/>
      <c r="S12" s="212"/>
    </row>
    <row r="13" spans="1:52" x14ac:dyDescent="0.3">
      <c r="B13" s="213" t="s">
        <v>2323</v>
      </c>
      <c r="C13" s="213"/>
      <c r="D13" s="214">
        <f>SUM($I$13:$L$13)+LARGE(($M$13:$Q$13),1)+LARGE(($M$13:$Q$13),2)</f>
        <v>2.7000000000000002E-9</v>
      </c>
      <c r="F13" s="212"/>
      <c r="G13" s="212"/>
      <c r="H13" s="215" t="s">
        <v>2315</v>
      </c>
      <c r="I13" s="212">
        <f>IF(OR(I2="請選擇等級",I2=FALSE,I2=0),0,LOOKUP(I2,{1,2,3,4,5,"5*","5**","U"},{1,2,3,4,5,6,7,0}))+0.0000000001</f>
        <v>1E-10</v>
      </c>
      <c r="J13" s="212">
        <f>IF(OR(J2="請選擇等級",J2=FALSE,J2=0),0,LOOKUP(J2,{1,2,3,4,5,"5*","5**","U"},{1,2,3,4,5,6,7,0}))+0.0000000002</f>
        <v>2.0000000000000001E-10</v>
      </c>
      <c r="K13" s="212">
        <f>IF(OR(K2="請選擇等級",K2=FALSE,K2=0),0,LOOKUP(K2,{1,2,3,4,5,"5*","5**","U"},{1,2,3,4,5,6,7,0}))+0.0000000003</f>
        <v>3E-10</v>
      </c>
      <c r="L13" s="212">
        <f>IF(OR(L2="請選擇等級",L2=FALSE,L2=0),0,LOOKUP(L2,{1,2,3,4,5,"5*","5**","U"},{1,2,3,4,5,6,7,0}))+0.0000000004</f>
        <v>4.0000000000000001E-10</v>
      </c>
      <c r="M13" s="212">
        <f>IF(OR(M2="請選擇等級",M2=FALSE,M2=0),0,LOOKUP(M2,{1,2,3,4,5,"5*","5**","U"},{1,2,3,4,5,6,7,0}))+0.0000000005</f>
        <v>5.0000000000000003E-10</v>
      </c>
      <c r="N13" s="212">
        <f>IF(OR(N2="請選擇等級",N2=FALSE,N2=0),0,LOOKUP(N2,{1,2,3,4,5,"5*","5**","U"},{1,2,3,4,5,6,7,0}))+0.0000000006</f>
        <v>6E-10</v>
      </c>
      <c r="O13" s="212">
        <f>IF(OR(O2="請選擇等級",O2=FALSE,O2=0),0,LOOKUP(O2,{1,2,3,4,5,"5*","5**","U"},{1,2,3,4,5,6,7,0}))+0.0000000007</f>
        <v>6.9999999999999996E-10</v>
      </c>
      <c r="P13" s="212">
        <f>IF(OR(P2="請選擇等級",P2=FALSE,P2=0),0,LOOKUP(P2,{1,2,3,4,5,"5*","5**","U"},{1,2,3,4,5,6,7,0}))+0.0000000008</f>
        <v>8.0000000000000003E-10</v>
      </c>
      <c r="Q13" s="212">
        <f>IF(OR(Q2="請選擇等級",Q2=FALSE,Q2=0),0,LOOKUP(Q2,{1,2,3,4,5,"5*","5**","U"},{1,2,3,4,5,6,7,0}))+0.0000000009</f>
        <v>8.9999999999999999E-10</v>
      </c>
      <c r="R13" s="212">
        <f>IF(OR(R2="請選擇等級",R2=FALSE,R2=0),0,LOOKUP(R2,{"A","B","C","D","E","U"},{5,4,3,2,1,0}))+0.00000000095</f>
        <v>9.5000000000000003E-10</v>
      </c>
      <c r="S13" s="212"/>
    </row>
    <row r="14" spans="1:52" x14ac:dyDescent="0.3">
      <c r="B14" s="213" t="s">
        <v>2321</v>
      </c>
      <c r="C14" s="213"/>
      <c r="D14" s="214" t="b">
        <v>0</v>
      </c>
      <c r="F14" s="212"/>
      <c r="G14" s="212"/>
      <c r="H14" s="215" t="s">
        <v>3069</v>
      </c>
      <c r="I14" s="212" t="str">
        <f>IF(OR(I2="請選擇等級",I2=FALSE,I2=0),"無",I2)</f>
        <v>無</v>
      </c>
      <c r="J14" s="212" t="str">
        <f t="shared" ref="J14:R14" si="5">IF(OR(J2="請選擇等級",J2=FALSE,J2=0),"無",J2)</f>
        <v>無</v>
      </c>
      <c r="K14" s="212" t="str">
        <f t="shared" si="5"/>
        <v>無</v>
      </c>
      <c r="L14" s="212" t="str">
        <f t="shared" si="5"/>
        <v>無</v>
      </c>
      <c r="M14" s="212" t="str">
        <f t="shared" si="5"/>
        <v>無</v>
      </c>
      <c r="N14" s="212" t="str">
        <f t="shared" si="5"/>
        <v>無</v>
      </c>
      <c r="O14" s="212" t="str">
        <f t="shared" si="5"/>
        <v>無</v>
      </c>
      <c r="P14" s="212" t="str">
        <f t="shared" si="5"/>
        <v>無</v>
      </c>
      <c r="Q14" s="212" t="str">
        <f t="shared" si="5"/>
        <v>無</v>
      </c>
      <c r="R14" s="212" t="str">
        <f t="shared" si="5"/>
        <v>無</v>
      </c>
      <c r="S14" s="212"/>
      <c r="U14" s="185" t="s">
        <v>2316</v>
      </c>
    </row>
    <row r="15" spans="1:52" x14ac:dyDescent="0.3">
      <c r="B15" s="213" t="s">
        <v>2305</v>
      </c>
      <c r="C15" s="213"/>
      <c r="D15" s="217" t="b">
        <v>0</v>
      </c>
      <c r="E15" s="212"/>
      <c r="F15" s="212"/>
      <c r="G15" s="212"/>
      <c r="H15" s="215" t="s">
        <v>2317</v>
      </c>
      <c r="I15" s="212" t="b">
        <v>0</v>
      </c>
      <c r="J15" s="212" t="b">
        <v>0</v>
      </c>
      <c r="K15" s="212" t="b">
        <v>0</v>
      </c>
      <c r="L15" s="212" t="b">
        <v>0</v>
      </c>
      <c r="M15" s="212" t="b">
        <v>0</v>
      </c>
      <c r="N15" s="212" t="b">
        <v>0</v>
      </c>
      <c r="O15" s="212" t="b">
        <v>0</v>
      </c>
      <c r="P15" s="212" t="b">
        <v>0</v>
      </c>
      <c r="Q15" s="212" t="b">
        <v>0</v>
      </c>
      <c r="R15" s="212" t="b">
        <v>0</v>
      </c>
      <c r="S15" s="212"/>
      <c r="U15" s="185" t="b">
        <f>OR(I15:R15)</f>
        <v>0</v>
      </c>
    </row>
    <row r="16" spans="1:52" x14ac:dyDescent="0.3">
      <c r="E16" s="212"/>
      <c r="F16" s="212"/>
      <c r="G16" s="212"/>
      <c r="H16" s="215"/>
      <c r="I16" s="212"/>
      <c r="J16" s="212"/>
      <c r="K16" s="212"/>
      <c r="L16" s="212"/>
      <c r="M16" s="212"/>
      <c r="N16" s="212"/>
      <c r="O16" s="212"/>
      <c r="P16" s="212"/>
      <c r="Q16" s="212"/>
      <c r="R16" s="212"/>
      <c r="S16" s="212"/>
      <c r="AT16" s="185" t="s">
        <v>2892</v>
      </c>
    </row>
    <row r="17" spans="1:46" x14ac:dyDescent="0.3">
      <c r="D17" s="185"/>
      <c r="E17" s="212"/>
      <c r="F17" s="212"/>
      <c r="G17" s="212"/>
      <c r="H17" s="215"/>
      <c r="I17" s="212"/>
      <c r="J17" s="212"/>
      <c r="K17" s="212"/>
      <c r="L17" s="212"/>
      <c r="M17" s="212"/>
      <c r="N17" s="212"/>
      <c r="O17" s="212"/>
      <c r="P17" s="212"/>
      <c r="Q17" s="212"/>
      <c r="R17" s="212"/>
      <c r="S17" s="212"/>
      <c r="AT17" s="185" t="s">
        <v>2893</v>
      </c>
    </row>
    <row r="18" spans="1:46" x14ac:dyDescent="0.3">
      <c r="D18" s="185"/>
      <c r="E18" s="212"/>
      <c r="F18" s="212"/>
      <c r="G18" s="212"/>
      <c r="H18" s="215"/>
      <c r="I18" s="212"/>
      <c r="J18" s="212"/>
      <c r="K18" s="212"/>
      <c r="L18" s="212"/>
      <c r="M18" s="212"/>
      <c r="N18" s="212"/>
      <c r="O18" s="212"/>
      <c r="P18" s="212"/>
      <c r="Q18" s="212"/>
      <c r="R18" s="212"/>
      <c r="S18" s="212"/>
    </row>
    <row r="19" spans="1:46" x14ac:dyDescent="0.3">
      <c r="B19" s="213"/>
      <c r="C19" s="213"/>
      <c r="H19" s="213"/>
    </row>
    <row r="20" spans="1:46" x14ac:dyDescent="0.3">
      <c r="A20" s="185" t="s">
        <v>2028</v>
      </c>
      <c r="H20" s="185" t="s">
        <v>2331</v>
      </c>
      <c r="I20" s="213" t="s">
        <v>2011</v>
      </c>
      <c r="J20" s="213" t="s">
        <v>2012</v>
      </c>
      <c r="K20" s="213" t="s">
        <v>2013</v>
      </c>
      <c r="L20" s="213" t="s">
        <v>2014</v>
      </c>
      <c r="M20" s="213" t="s">
        <v>2015</v>
      </c>
      <c r="N20" s="213" t="s">
        <v>2016</v>
      </c>
      <c r="O20" s="213" t="s">
        <v>2017</v>
      </c>
      <c r="P20" s="213" t="s">
        <v>2018</v>
      </c>
      <c r="Q20" s="213" t="s">
        <v>2019</v>
      </c>
      <c r="R20" s="213" t="s">
        <v>2871</v>
      </c>
      <c r="T20" s="185" t="str">
        <f>I1</f>
        <v>中國語文</v>
      </c>
      <c r="U20" s="185" t="str">
        <f t="shared" ref="U20:AC20" si="6">J1</f>
        <v>英國語文</v>
      </c>
      <c r="V20" s="185" t="str">
        <f t="shared" si="6"/>
        <v>數學</v>
      </c>
      <c r="W20" s="185" t="str">
        <f t="shared" si="6"/>
        <v>通識教育</v>
      </c>
      <c r="X20" s="185" t="str">
        <f t="shared" si="6"/>
        <v>數學延伸</v>
      </c>
      <c r="Y20" s="185" t="str">
        <f t="shared" si="6"/>
        <v>請選擇第一選修科</v>
      </c>
      <c r="Z20" s="185" t="str">
        <f t="shared" si="6"/>
        <v>請選擇第二選修科</v>
      </c>
      <c r="AA20" s="185" t="str">
        <f t="shared" si="6"/>
        <v>請選擇第三選修科</v>
      </c>
      <c r="AB20" s="185" t="str">
        <f t="shared" si="6"/>
        <v>請選擇第四選修科</v>
      </c>
      <c r="AC20" s="185" t="str">
        <f t="shared" si="6"/>
        <v>請選擇語言科目</v>
      </c>
      <c r="AD20" s="185" t="s">
        <v>2881</v>
      </c>
      <c r="AE20" s="185" t="s">
        <v>2882</v>
      </c>
      <c r="AF20" s="185" t="s">
        <v>2883</v>
      </c>
      <c r="AG20" s="185" t="s">
        <v>2884</v>
      </c>
      <c r="AH20" s="185" t="s">
        <v>2885</v>
      </c>
      <c r="AI20" s="185" t="s">
        <v>2886</v>
      </c>
      <c r="AJ20" s="185" t="s">
        <v>2887</v>
      </c>
      <c r="AK20" s="185" t="s">
        <v>2888</v>
      </c>
      <c r="AL20" s="185" t="s">
        <v>2889</v>
      </c>
      <c r="AM20" s="185" t="s">
        <v>2891</v>
      </c>
    </row>
    <row r="21" spans="1:46" s="391" customFormat="1" x14ac:dyDescent="0.3">
      <c r="D21" s="398"/>
      <c r="H21" s="391">
        <f>IFERROR(INDEX(H$34:H$429,MATCH($A22,$A$34:$A$429,0)),"")</f>
        <v>1.9500000000000001E-9</v>
      </c>
      <c r="I21" s="391">
        <f t="shared" ref="I21:AN21" si="7">IFERROR(INDEX(I$34:I$429,MATCH($A22,$A$34:$A$429,0)),"")</f>
        <v>1</v>
      </c>
      <c r="J21" s="391">
        <f t="shared" si="7"/>
        <v>1</v>
      </c>
      <c r="K21" s="391">
        <f t="shared" si="7"/>
        <v>1</v>
      </c>
      <c r="L21" s="391">
        <f t="shared" si="7"/>
        <v>1</v>
      </c>
      <c r="M21" s="391">
        <f t="shared" si="7"/>
        <v>1</v>
      </c>
      <c r="N21" s="391">
        <f t="shared" si="7"/>
        <v>1</v>
      </c>
      <c r="O21" s="391">
        <f t="shared" si="7"/>
        <v>1</v>
      </c>
      <c r="P21" s="391">
        <f t="shared" si="7"/>
        <v>1</v>
      </c>
      <c r="Q21" s="391">
        <f t="shared" si="7"/>
        <v>1</v>
      </c>
      <c r="R21" s="391">
        <f t="shared" si="7"/>
        <v>1</v>
      </c>
      <c r="S21" s="391">
        <f t="shared" si="7"/>
        <v>0</v>
      </c>
      <c r="T21" s="391">
        <f t="shared" si="7"/>
        <v>1E-10</v>
      </c>
      <c r="U21" s="391">
        <f t="shared" si="7"/>
        <v>2.0000000000000001E-10</v>
      </c>
      <c r="V21" s="391">
        <f t="shared" si="7"/>
        <v>3E-10</v>
      </c>
      <c r="W21" s="391">
        <f t="shared" si="7"/>
        <v>4.0000000000000001E-10</v>
      </c>
      <c r="X21" s="391">
        <f t="shared" si="7"/>
        <v>0</v>
      </c>
      <c r="Y21" s="391">
        <f t="shared" si="7"/>
        <v>6E-10</v>
      </c>
      <c r="Z21" s="391">
        <f t="shared" si="7"/>
        <v>6.9999999999999996E-10</v>
      </c>
      <c r="AA21" s="391">
        <f t="shared" si="7"/>
        <v>8.0000000000000003E-10</v>
      </c>
      <c r="AB21" s="391">
        <f t="shared" si="7"/>
        <v>8.9999999999999999E-10</v>
      </c>
      <c r="AC21" s="391">
        <f t="shared" si="7"/>
        <v>9.5000000000000003E-10</v>
      </c>
      <c r="AD21" s="391" t="b">
        <f t="shared" si="7"/>
        <v>1</v>
      </c>
      <c r="AE21" s="391" t="b">
        <f t="shared" si="7"/>
        <v>1</v>
      </c>
      <c r="AF21" s="391" t="b">
        <f t="shared" si="7"/>
        <v>1</v>
      </c>
      <c r="AG21" s="391" t="b">
        <f t="shared" si="7"/>
        <v>1</v>
      </c>
      <c r="AH21" s="391" t="b">
        <f t="shared" si="7"/>
        <v>0</v>
      </c>
      <c r="AI21" s="391" t="b">
        <f t="shared" si="7"/>
        <v>0</v>
      </c>
      <c r="AJ21" s="391" t="b">
        <f t="shared" si="7"/>
        <v>0</v>
      </c>
      <c r="AK21" s="391" t="b">
        <f t="shared" si="7"/>
        <v>0</v>
      </c>
      <c r="AL21" s="391" t="b">
        <f t="shared" si="7"/>
        <v>0</v>
      </c>
      <c r="AM21" s="391" t="b">
        <f t="shared" si="7"/>
        <v>1</v>
      </c>
      <c r="AN21" s="391">
        <f t="shared" si="7"/>
        <v>0</v>
      </c>
    </row>
    <row r="22" spans="1:46" x14ac:dyDescent="0.3">
      <c r="A22" s="185" t="str">
        <f>'All in One'!B5</f>
        <v>JS9001</v>
      </c>
      <c r="B22" s="185" t="str">
        <f>'All in One'!D5</f>
        <v>HKMU</v>
      </c>
      <c r="H22" s="185">
        <f>ROUND(H21,2)</f>
        <v>0</v>
      </c>
      <c r="I22" s="391">
        <f t="shared" ref="I22:AN22" si="8">ROUND(I21,2)</f>
        <v>1</v>
      </c>
      <c r="J22" s="391">
        <f t="shared" si="8"/>
        <v>1</v>
      </c>
      <c r="K22" s="391">
        <f t="shared" si="8"/>
        <v>1</v>
      </c>
      <c r="L22" s="391">
        <f t="shared" si="8"/>
        <v>1</v>
      </c>
      <c r="M22" s="391">
        <f t="shared" si="8"/>
        <v>1</v>
      </c>
      <c r="N22" s="391">
        <f t="shared" si="8"/>
        <v>1</v>
      </c>
      <c r="O22" s="391">
        <f t="shared" si="8"/>
        <v>1</v>
      </c>
      <c r="P22" s="391">
        <f t="shared" si="8"/>
        <v>1</v>
      </c>
      <c r="Q22" s="391">
        <f t="shared" si="8"/>
        <v>1</v>
      </c>
      <c r="R22" s="391">
        <f t="shared" si="8"/>
        <v>1</v>
      </c>
      <c r="S22" s="391">
        <f t="shared" si="8"/>
        <v>0</v>
      </c>
      <c r="T22" s="391">
        <f t="shared" si="8"/>
        <v>0</v>
      </c>
      <c r="U22" s="391">
        <f t="shared" si="8"/>
        <v>0</v>
      </c>
      <c r="V22" s="391">
        <f t="shared" si="8"/>
        <v>0</v>
      </c>
      <c r="W22" s="391">
        <f t="shared" si="8"/>
        <v>0</v>
      </c>
      <c r="X22" s="391">
        <f t="shared" si="8"/>
        <v>0</v>
      </c>
      <c r="Y22" s="391">
        <f t="shared" si="8"/>
        <v>0</v>
      </c>
      <c r="Z22" s="391">
        <f t="shared" si="8"/>
        <v>0</v>
      </c>
      <c r="AA22" s="391">
        <f t="shared" si="8"/>
        <v>0</v>
      </c>
      <c r="AB22" s="391">
        <f t="shared" si="8"/>
        <v>0</v>
      </c>
      <c r="AC22" s="391">
        <f t="shared" si="8"/>
        <v>0</v>
      </c>
      <c r="AD22" s="391">
        <f t="shared" si="8"/>
        <v>1</v>
      </c>
      <c r="AE22" s="391">
        <f t="shared" si="8"/>
        <v>1</v>
      </c>
      <c r="AF22" s="391">
        <f t="shared" si="8"/>
        <v>1</v>
      </c>
      <c r="AG22" s="391">
        <f t="shared" si="8"/>
        <v>1</v>
      </c>
      <c r="AH22" s="391">
        <f t="shared" si="8"/>
        <v>0</v>
      </c>
      <c r="AI22" s="391">
        <f t="shared" si="8"/>
        <v>0</v>
      </c>
      <c r="AJ22" s="391">
        <f t="shared" si="8"/>
        <v>0</v>
      </c>
      <c r="AK22" s="391">
        <f t="shared" si="8"/>
        <v>0</v>
      </c>
      <c r="AL22" s="391">
        <f t="shared" si="8"/>
        <v>0</v>
      </c>
      <c r="AM22" s="391">
        <f t="shared" si="8"/>
        <v>1</v>
      </c>
      <c r="AN22" s="391">
        <f t="shared" si="8"/>
        <v>0</v>
      </c>
    </row>
    <row r="23" spans="1:46" x14ac:dyDescent="0.3">
      <c r="G23" s="185">
        <v>2</v>
      </c>
      <c r="H23" s="280" t="str">
        <f>IFERROR(INDEX(H$34:H$429,MATCH($A24,$A$34:$A$429,0)),"")</f>
        <v/>
      </c>
      <c r="I23" s="391" t="str">
        <f t="shared" ref="I23:AN23" si="9">IFERROR(INDEX(I$34:I$429,MATCH($A24,$A$34:$A$429,0)),"")</f>
        <v/>
      </c>
      <c r="J23" s="391" t="str">
        <f t="shared" si="9"/>
        <v/>
      </c>
      <c r="K23" s="391" t="str">
        <f t="shared" si="9"/>
        <v/>
      </c>
      <c r="L23" s="391" t="str">
        <f t="shared" si="9"/>
        <v/>
      </c>
      <c r="M23" s="391" t="str">
        <f t="shared" si="9"/>
        <v/>
      </c>
      <c r="N23" s="391" t="str">
        <f t="shared" si="9"/>
        <v/>
      </c>
      <c r="O23" s="391" t="str">
        <f t="shared" si="9"/>
        <v/>
      </c>
      <c r="P23" s="391" t="str">
        <f t="shared" si="9"/>
        <v/>
      </c>
      <c r="Q23" s="391" t="str">
        <f t="shared" si="9"/>
        <v/>
      </c>
      <c r="R23" s="391" t="str">
        <f t="shared" si="9"/>
        <v/>
      </c>
      <c r="S23" s="391" t="str">
        <f t="shared" si="9"/>
        <v/>
      </c>
      <c r="T23" s="391" t="str">
        <f t="shared" si="9"/>
        <v/>
      </c>
      <c r="U23" s="391" t="str">
        <f t="shared" si="9"/>
        <v/>
      </c>
      <c r="V23" s="391" t="str">
        <f t="shared" si="9"/>
        <v/>
      </c>
      <c r="W23" s="391" t="str">
        <f t="shared" si="9"/>
        <v/>
      </c>
      <c r="X23" s="391" t="str">
        <f t="shared" si="9"/>
        <v/>
      </c>
      <c r="Y23" s="391" t="str">
        <f t="shared" si="9"/>
        <v/>
      </c>
      <c r="Z23" s="391" t="str">
        <f t="shared" si="9"/>
        <v/>
      </c>
      <c r="AA23" s="391" t="str">
        <f t="shared" si="9"/>
        <v/>
      </c>
      <c r="AB23" s="391" t="str">
        <f t="shared" si="9"/>
        <v/>
      </c>
      <c r="AC23" s="391" t="str">
        <f t="shared" si="9"/>
        <v/>
      </c>
      <c r="AD23" s="391" t="str">
        <f t="shared" si="9"/>
        <v/>
      </c>
      <c r="AE23" s="391" t="str">
        <f t="shared" si="9"/>
        <v/>
      </c>
      <c r="AF23" s="391" t="str">
        <f t="shared" si="9"/>
        <v/>
      </c>
      <c r="AG23" s="391" t="str">
        <f t="shared" si="9"/>
        <v/>
      </c>
      <c r="AH23" s="391" t="str">
        <f t="shared" si="9"/>
        <v/>
      </c>
      <c r="AI23" s="391" t="str">
        <f t="shared" si="9"/>
        <v/>
      </c>
      <c r="AJ23" s="391" t="str">
        <f t="shared" si="9"/>
        <v/>
      </c>
      <c r="AK23" s="391" t="str">
        <f t="shared" si="9"/>
        <v/>
      </c>
      <c r="AL23" s="391" t="str">
        <f t="shared" si="9"/>
        <v/>
      </c>
      <c r="AM23" s="391" t="str">
        <f t="shared" si="9"/>
        <v/>
      </c>
      <c r="AN23" s="391" t="str">
        <f t="shared" si="9"/>
        <v/>
      </c>
    </row>
    <row r="24" spans="1:46" s="280" customFormat="1" x14ac:dyDescent="0.3">
      <c r="A24" s="185" t="str">
        <f>_xlfn.CONCAT(A22,"-2")</f>
        <v>JS9001-2</v>
      </c>
      <c r="D24" s="212"/>
      <c r="H24" s="391" t="e">
        <f>ROUND(H23,2)</f>
        <v>#VALUE!</v>
      </c>
      <c r="I24" s="391" t="e">
        <f t="shared" ref="I24:AN24" si="10">ROUND(I23,2)</f>
        <v>#VALUE!</v>
      </c>
      <c r="J24" s="391" t="e">
        <f t="shared" si="10"/>
        <v>#VALUE!</v>
      </c>
      <c r="K24" s="391" t="e">
        <f t="shared" si="10"/>
        <v>#VALUE!</v>
      </c>
      <c r="L24" s="391" t="e">
        <f t="shared" si="10"/>
        <v>#VALUE!</v>
      </c>
      <c r="M24" s="391" t="e">
        <f t="shared" si="10"/>
        <v>#VALUE!</v>
      </c>
      <c r="N24" s="391" t="e">
        <f t="shared" si="10"/>
        <v>#VALUE!</v>
      </c>
      <c r="O24" s="391" t="e">
        <f t="shared" si="10"/>
        <v>#VALUE!</v>
      </c>
      <c r="P24" s="391" t="e">
        <f t="shared" si="10"/>
        <v>#VALUE!</v>
      </c>
      <c r="Q24" s="391" t="e">
        <f t="shared" si="10"/>
        <v>#VALUE!</v>
      </c>
      <c r="R24" s="391" t="e">
        <f t="shared" si="10"/>
        <v>#VALUE!</v>
      </c>
      <c r="S24" s="391" t="e">
        <f t="shared" si="10"/>
        <v>#VALUE!</v>
      </c>
      <c r="T24" s="391" t="e">
        <f t="shared" si="10"/>
        <v>#VALUE!</v>
      </c>
      <c r="U24" s="391" t="e">
        <f t="shared" si="10"/>
        <v>#VALUE!</v>
      </c>
      <c r="V24" s="391" t="e">
        <f t="shared" si="10"/>
        <v>#VALUE!</v>
      </c>
      <c r="W24" s="391" t="e">
        <f t="shared" si="10"/>
        <v>#VALUE!</v>
      </c>
      <c r="X24" s="391" t="e">
        <f t="shared" si="10"/>
        <v>#VALUE!</v>
      </c>
      <c r="Y24" s="391" t="e">
        <f t="shared" si="10"/>
        <v>#VALUE!</v>
      </c>
      <c r="Z24" s="391" t="e">
        <f t="shared" si="10"/>
        <v>#VALUE!</v>
      </c>
      <c r="AA24" s="391" t="e">
        <f t="shared" si="10"/>
        <v>#VALUE!</v>
      </c>
      <c r="AB24" s="391" t="e">
        <f t="shared" si="10"/>
        <v>#VALUE!</v>
      </c>
      <c r="AC24" s="391" t="e">
        <f t="shared" si="10"/>
        <v>#VALUE!</v>
      </c>
      <c r="AD24" s="391" t="e">
        <f t="shared" si="10"/>
        <v>#VALUE!</v>
      </c>
      <c r="AE24" s="391" t="e">
        <f t="shared" si="10"/>
        <v>#VALUE!</v>
      </c>
      <c r="AF24" s="391" t="e">
        <f t="shared" si="10"/>
        <v>#VALUE!</v>
      </c>
      <c r="AG24" s="391" t="e">
        <f t="shared" si="10"/>
        <v>#VALUE!</v>
      </c>
      <c r="AH24" s="391" t="e">
        <f t="shared" si="10"/>
        <v>#VALUE!</v>
      </c>
      <c r="AI24" s="391" t="e">
        <f t="shared" si="10"/>
        <v>#VALUE!</v>
      </c>
      <c r="AJ24" s="391" t="e">
        <f t="shared" si="10"/>
        <v>#VALUE!</v>
      </c>
      <c r="AK24" s="391" t="e">
        <f t="shared" si="10"/>
        <v>#VALUE!</v>
      </c>
      <c r="AL24" s="391" t="e">
        <f t="shared" si="10"/>
        <v>#VALUE!</v>
      </c>
      <c r="AM24" s="391" t="e">
        <f t="shared" si="10"/>
        <v>#VALUE!</v>
      </c>
      <c r="AN24" s="391" t="e">
        <f t="shared" si="10"/>
        <v>#VALUE!</v>
      </c>
    </row>
    <row r="25" spans="1:46" s="280" customFormat="1" x14ac:dyDescent="0.3">
      <c r="D25" s="212"/>
      <c r="G25" s="280">
        <v>3</v>
      </c>
      <c r="H25" s="280" t="str">
        <f>IFERROR(INDEX(H$34:H$429,MATCH($A26,$A$34:$A$429,0)),"")</f>
        <v/>
      </c>
      <c r="I25" s="391" t="str">
        <f t="shared" ref="I25:AN25" si="11">IFERROR(INDEX(I$34:I$429,MATCH($A26,$A$34:$A$429,0)),"")</f>
        <v/>
      </c>
      <c r="J25" s="391" t="str">
        <f t="shared" si="11"/>
        <v/>
      </c>
      <c r="K25" s="391" t="str">
        <f t="shared" si="11"/>
        <v/>
      </c>
      <c r="L25" s="391" t="str">
        <f t="shared" si="11"/>
        <v/>
      </c>
      <c r="M25" s="391" t="str">
        <f t="shared" si="11"/>
        <v/>
      </c>
      <c r="N25" s="391" t="str">
        <f t="shared" si="11"/>
        <v/>
      </c>
      <c r="O25" s="391" t="str">
        <f t="shared" si="11"/>
        <v/>
      </c>
      <c r="P25" s="391" t="str">
        <f t="shared" si="11"/>
        <v/>
      </c>
      <c r="Q25" s="391" t="str">
        <f t="shared" si="11"/>
        <v/>
      </c>
      <c r="R25" s="391" t="str">
        <f t="shared" si="11"/>
        <v/>
      </c>
      <c r="S25" s="391" t="str">
        <f t="shared" si="11"/>
        <v/>
      </c>
      <c r="T25" s="391" t="str">
        <f t="shared" si="11"/>
        <v/>
      </c>
      <c r="U25" s="391" t="str">
        <f t="shared" si="11"/>
        <v/>
      </c>
      <c r="V25" s="391" t="str">
        <f t="shared" si="11"/>
        <v/>
      </c>
      <c r="W25" s="391" t="str">
        <f t="shared" si="11"/>
        <v/>
      </c>
      <c r="X25" s="391" t="str">
        <f t="shared" si="11"/>
        <v/>
      </c>
      <c r="Y25" s="391" t="str">
        <f t="shared" si="11"/>
        <v/>
      </c>
      <c r="Z25" s="391" t="str">
        <f t="shared" si="11"/>
        <v/>
      </c>
      <c r="AA25" s="391" t="str">
        <f t="shared" si="11"/>
        <v/>
      </c>
      <c r="AB25" s="391" t="str">
        <f t="shared" si="11"/>
        <v/>
      </c>
      <c r="AC25" s="391" t="str">
        <f t="shared" si="11"/>
        <v/>
      </c>
      <c r="AD25" s="391" t="str">
        <f t="shared" si="11"/>
        <v/>
      </c>
      <c r="AE25" s="391" t="str">
        <f t="shared" si="11"/>
        <v/>
      </c>
      <c r="AF25" s="391" t="str">
        <f t="shared" si="11"/>
        <v/>
      </c>
      <c r="AG25" s="391" t="str">
        <f t="shared" si="11"/>
        <v/>
      </c>
      <c r="AH25" s="391" t="str">
        <f t="shared" si="11"/>
        <v/>
      </c>
      <c r="AI25" s="391" t="str">
        <f t="shared" si="11"/>
        <v/>
      </c>
      <c r="AJ25" s="391" t="str">
        <f t="shared" si="11"/>
        <v/>
      </c>
      <c r="AK25" s="391" t="str">
        <f t="shared" si="11"/>
        <v/>
      </c>
      <c r="AL25" s="391" t="str">
        <f t="shared" si="11"/>
        <v/>
      </c>
      <c r="AM25" s="391" t="str">
        <f t="shared" si="11"/>
        <v/>
      </c>
      <c r="AN25" s="391" t="str">
        <f t="shared" si="11"/>
        <v/>
      </c>
    </row>
    <row r="26" spans="1:46" s="280" customFormat="1" x14ac:dyDescent="0.3">
      <c r="A26" s="280" t="str">
        <f>_xlfn.CONCAT(A22,"-3")</f>
        <v>JS9001-3</v>
      </c>
      <c r="D26" s="212"/>
      <c r="H26" s="391" t="e">
        <f>ROUND(H25,2)</f>
        <v>#VALUE!</v>
      </c>
      <c r="I26" s="391" t="e">
        <f t="shared" ref="I26:AN26" si="12">ROUND(I25,2)</f>
        <v>#VALUE!</v>
      </c>
      <c r="J26" s="391" t="e">
        <f t="shared" si="12"/>
        <v>#VALUE!</v>
      </c>
      <c r="K26" s="391" t="e">
        <f t="shared" si="12"/>
        <v>#VALUE!</v>
      </c>
      <c r="L26" s="391" t="e">
        <f t="shared" si="12"/>
        <v>#VALUE!</v>
      </c>
      <c r="M26" s="391" t="e">
        <f t="shared" si="12"/>
        <v>#VALUE!</v>
      </c>
      <c r="N26" s="391" t="e">
        <f t="shared" si="12"/>
        <v>#VALUE!</v>
      </c>
      <c r="O26" s="391" t="e">
        <f t="shared" si="12"/>
        <v>#VALUE!</v>
      </c>
      <c r="P26" s="391" t="e">
        <f t="shared" si="12"/>
        <v>#VALUE!</v>
      </c>
      <c r="Q26" s="391" t="e">
        <f t="shared" si="12"/>
        <v>#VALUE!</v>
      </c>
      <c r="R26" s="391" t="e">
        <f t="shared" si="12"/>
        <v>#VALUE!</v>
      </c>
      <c r="S26" s="391" t="e">
        <f t="shared" si="12"/>
        <v>#VALUE!</v>
      </c>
      <c r="T26" s="391" t="e">
        <f t="shared" si="12"/>
        <v>#VALUE!</v>
      </c>
      <c r="U26" s="391" t="e">
        <f t="shared" si="12"/>
        <v>#VALUE!</v>
      </c>
      <c r="V26" s="391" t="e">
        <f t="shared" si="12"/>
        <v>#VALUE!</v>
      </c>
      <c r="W26" s="391" t="e">
        <f t="shared" si="12"/>
        <v>#VALUE!</v>
      </c>
      <c r="X26" s="391" t="e">
        <f t="shared" si="12"/>
        <v>#VALUE!</v>
      </c>
      <c r="Y26" s="391" t="e">
        <f t="shared" si="12"/>
        <v>#VALUE!</v>
      </c>
      <c r="Z26" s="391" t="e">
        <f t="shared" si="12"/>
        <v>#VALUE!</v>
      </c>
      <c r="AA26" s="391" t="e">
        <f t="shared" si="12"/>
        <v>#VALUE!</v>
      </c>
      <c r="AB26" s="391" t="e">
        <f t="shared" si="12"/>
        <v>#VALUE!</v>
      </c>
      <c r="AC26" s="391" t="e">
        <f t="shared" si="12"/>
        <v>#VALUE!</v>
      </c>
      <c r="AD26" s="391" t="e">
        <f t="shared" si="12"/>
        <v>#VALUE!</v>
      </c>
      <c r="AE26" s="391" t="e">
        <f t="shared" si="12"/>
        <v>#VALUE!</v>
      </c>
      <c r="AF26" s="391" t="e">
        <f t="shared" si="12"/>
        <v>#VALUE!</v>
      </c>
      <c r="AG26" s="391" t="e">
        <f t="shared" si="12"/>
        <v>#VALUE!</v>
      </c>
      <c r="AH26" s="391" t="e">
        <f t="shared" si="12"/>
        <v>#VALUE!</v>
      </c>
      <c r="AI26" s="391" t="e">
        <f t="shared" si="12"/>
        <v>#VALUE!</v>
      </c>
      <c r="AJ26" s="391" t="e">
        <f t="shared" si="12"/>
        <v>#VALUE!</v>
      </c>
      <c r="AK26" s="391" t="e">
        <f t="shared" si="12"/>
        <v>#VALUE!</v>
      </c>
      <c r="AL26" s="391" t="e">
        <f t="shared" si="12"/>
        <v>#VALUE!</v>
      </c>
      <c r="AM26" s="391" t="e">
        <f t="shared" si="12"/>
        <v>#VALUE!</v>
      </c>
      <c r="AN26" s="391" t="e">
        <f t="shared" si="12"/>
        <v>#VALUE!</v>
      </c>
    </row>
    <row r="27" spans="1:46" s="280" customFormat="1" x14ac:dyDescent="0.3">
      <c r="D27" s="212"/>
      <c r="N27" s="217"/>
      <c r="O27" s="217"/>
    </row>
    <row r="28" spans="1:46" s="280" customFormat="1" x14ac:dyDescent="0.3">
      <c r="D28" s="212"/>
      <c r="H28" s="280" t="s">
        <v>2303</v>
      </c>
      <c r="I28" s="402" t="e">
        <f t="shared" ref="I28:R28" si="13">INDEX(I3:I11,MATCH($B$22,$H3:$H11,0))</f>
        <v>#N/A</v>
      </c>
      <c r="J28" s="402" t="e">
        <f t="shared" si="13"/>
        <v>#N/A</v>
      </c>
      <c r="K28" s="402" t="e">
        <f t="shared" si="13"/>
        <v>#N/A</v>
      </c>
      <c r="L28" s="402" t="e">
        <f t="shared" si="13"/>
        <v>#N/A</v>
      </c>
      <c r="M28" s="402" t="e">
        <f t="shared" si="13"/>
        <v>#N/A</v>
      </c>
      <c r="N28" s="402" t="e">
        <f t="shared" si="13"/>
        <v>#N/A</v>
      </c>
      <c r="O28" s="402" t="e">
        <f t="shared" si="13"/>
        <v>#N/A</v>
      </c>
      <c r="P28" s="402" t="e">
        <f t="shared" si="13"/>
        <v>#N/A</v>
      </c>
      <c r="Q28" s="402" t="e">
        <f t="shared" si="13"/>
        <v>#N/A</v>
      </c>
      <c r="R28" s="402" t="e">
        <f t="shared" si="13"/>
        <v>#N/A</v>
      </c>
    </row>
    <row r="29" spans="1:46" s="280" customFormat="1" x14ac:dyDescent="0.3">
      <c r="D29" s="212"/>
      <c r="I29" s="280" t="e">
        <f>ROUND(I28,2)</f>
        <v>#N/A</v>
      </c>
      <c r="J29" s="391" t="e">
        <f t="shared" ref="J29:R29" si="14">ROUND(J28,2)</f>
        <v>#N/A</v>
      </c>
      <c r="K29" s="391" t="e">
        <f t="shared" si="14"/>
        <v>#N/A</v>
      </c>
      <c r="L29" s="391" t="e">
        <f t="shared" si="14"/>
        <v>#N/A</v>
      </c>
      <c r="M29" s="391" t="e">
        <f t="shared" si="14"/>
        <v>#N/A</v>
      </c>
      <c r="N29" s="391" t="e">
        <f t="shared" si="14"/>
        <v>#N/A</v>
      </c>
      <c r="O29" s="391" t="e">
        <f t="shared" si="14"/>
        <v>#N/A</v>
      </c>
      <c r="P29" s="391" t="e">
        <f t="shared" si="14"/>
        <v>#N/A</v>
      </c>
      <c r="Q29" s="391" t="e">
        <f t="shared" si="14"/>
        <v>#N/A</v>
      </c>
      <c r="R29" s="391" t="e">
        <f t="shared" si="14"/>
        <v>#N/A</v>
      </c>
    </row>
    <row r="30" spans="1:46" x14ac:dyDescent="0.3">
      <c r="H30" s="213"/>
      <c r="J30" s="213"/>
      <c r="N30" s="217"/>
      <c r="O30" s="217"/>
    </row>
    <row r="31" spans="1:46" x14ac:dyDescent="0.3">
      <c r="H31" s="213"/>
      <c r="J31" s="213"/>
      <c r="N31" s="217"/>
    </row>
    <row r="32" spans="1:46" x14ac:dyDescent="0.3">
      <c r="A32" s="218"/>
      <c r="B32" s="218"/>
      <c r="C32" s="315"/>
      <c r="D32" s="219"/>
      <c r="E32" s="218"/>
      <c r="F32" s="218"/>
      <c r="G32" s="218"/>
      <c r="H32" s="218"/>
      <c r="I32" s="218"/>
      <c r="J32" s="218"/>
      <c r="K32" s="218"/>
      <c r="L32" s="218"/>
      <c r="M32" s="218"/>
      <c r="N32" s="218"/>
      <c r="O32" s="218"/>
      <c r="P32" s="218"/>
      <c r="Q32" s="218"/>
      <c r="R32" s="218"/>
      <c r="S32" s="218"/>
    </row>
    <row r="33" spans="1:71" x14ac:dyDescent="0.3">
      <c r="A33" s="250" t="s">
        <v>2148</v>
      </c>
      <c r="B33" s="220"/>
      <c r="C33" s="220"/>
      <c r="D33" s="221"/>
      <c r="E33" s="19" t="s">
        <v>2233</v>
      </c>
      <c r="F33" s="19" t="s">
        <v>2234</v>
      </c>
      <c r="G33" s="19" t="s">
        <v>2235</v>
      </c>
      <c r="H33" s="213" t="s">
        <v>2331</v>
      </c>
      <c r="I33" s="213" t="s">
        <v>2011</v>
      </c>
      <c r="J33" s="213" t="s">
        <v>2012</v>
      </c>
      <c r="K33" s="213" t="s">
        <v>2013</v>
      </c>
      <c r="L33" s="213" t="s">
        <v>2014</v>
      </c>
      <c r="M33" s="213" t="s">
        <v>2015</v>
      </c>
      <c r="N33" s="213" t="s">
        <v>2016</v>
      </c>
      <c r="O33" s="213" t="s">
        <v>2017</v>
      </c>
      <c r="P33" s="213" t="s">
        <v>2018</v>
      </c>
      <c r="Q33" s="213" t="s">
        <v>2019</v>
      </c>
      <c r="R33" s="213" t="s">
        <v>2871</v>
      </c>
      <c r="S33" s="213"/>
      <c r="T33" s="213" t="str">
        <f t="shared" ref="T33:AC33" si="15">I1</f>
        <v>中國語文</v>
      </c>
      <c r="U33" s="213" t="str">
        <f t="shared" si="15"/>
        <v>英國語文</v>
      </c>
      <c r="V33" s="213" t="str">
        <f t="shared" si="15"/>
        <v>數學</v>
      </c>
      <c r="W33" s="213" t="str">
        <f t="shared" si="15"/>
        <v>通識教育</v>
      </c>
      <c r="X33" s="213" t="str">
        <f t="shared" si="15"/>
        <v>數學延伸</v>
      </c>
      <c r="Y33" s="213" t="str">
        <f t="shared" si="15"/>
        <v>請選擇第一選修科</v>
      </c>
      <c r="Z33" s="213" t="str">
        <f t="shared" si="15"/>
        <v>請選擇第二選修科</v>
      </c>
      <c r="AA33" s="213" t="str">
        <f t="shared" si="15"/>
        <v>請選擇第三選修科</v>
      </c>
      <c r="AB33" s="213" t="str">
        <f t="shared" si="15"/>
        <v>請選擇第四選修科</v>
      </c>
      <c r="AC33" s="213" t="str">
        <f t="shared" si="15"/>
        <v>請選擇語言科目</v>
      </c>
      <c r="AD33" s="213" t="s">
        <v>2881</v>
      </c>
      <c r="AE33" s="213" t="s">
        <v>2882</v>
      </c>
      <c r="AF33" s="213" t="s">
        <v>2883</v>
      </c>
      <c r="AG33" s="213" t="s">
        <v>2884</v>
      </c>
      <c r="AH33" s="213" t="s">
        <v>2885</v>
      </c>
      <c r="AI33" s="213" t="s">
        <v>2886</v>
      </c>
      <c r="AJ33" s="213" t="s">
        <v>2887</v>
      </c>
      <c r="AK33" s="213" t="s">
        <v>2888</v>
      </c>
      <c r="AL33" s="213" t="s">
        <v>2889</v>
      </c>
      <c r="AM33" s="213" t="s">
        <v>2891</v>
      </c>
      <c r="AO33" s="121" t="s">
        <v>2148</v>
      </c>
      <c r="AP33" s="121" t="s">
        <v>2894</v>
      </c>
      <c r="AQ33" s="122"/>
      <c r="AR33" s="183"/>
      <c r="AS33" s="183"/>
      <c r="AT33" s="183"/>
      <c r="AU33" s="183"/>
      <c r="AV33" s="183"/>
      <c r="AW33" s="183"/>
      <c r="AX33" s="183"/>
      <c r="AY33" s="183"/>
      <c r="AZ33" s="183"/>
    </row>
    <row r="34" spans="1:71" x14ac:dyDescent="0.3">
      <c r="A34" s="185" t="str">
        <f>'Reference Score Calculation'!A13</f>
        <v>JS1000</v>
      </c>
      <c r="B34" s="185" t="str">
        <f>'Reference Score Calculation'!D13</f>
        <v>理學士(計算金融及金融科技)</v>
      </c>
      <c r="C34" s="236"/>
      <c r="D34" s="190" t="str">
        <f>'Reference Score Calculation'!E13</f>
        <v>4C2X</v>
      </c>
      <c r="E34" s="190" t="str">
        <f>入學要求!T22</f>
        <v>v</v>
      </c>
      <c r="F34" s="190" t="str">
        <f>入學要求!U22</f>
        <v>E</v>
      </c>
      <c r="G34" s="190" t="str">
        <f>入學要求!V22</f>
        <v>NO</v>
      </c>
      <c r="H34" s="185">
        <f t="shared" ref="H34:H65" si="16">SUMIF(AD34:AM34,TRUE,T34:AC34)</f>
        <v>2.8499999999999999E-9</v>
      </c>
      <c r="I34" s="194">
        <v>1</v>
      </c>
      <c r="J34" s="194">
        <v>1</v>
      </c>
      <c r="K34" s="194">
        <v>1</v>
      </c>
      <c r="L34" s="194">
        <v>1</v>
      </c>
      <c r="M34" s="194">
        <v>1</v>
      </c>
      <c r="N34" s="194">
        <v>1</v>
      </c>
      <c r="O34" s="194">
        <v>1</v>
      </c>
      <c r="P34" s="194">
        <v>1</v>
      </c>
      <c r="Q34" s="194">
        <v>1</v>
      </c>
      <c r="R34" s="194">
        <v>1</v>
      </c>
      <c r="T34" s="185">
        <f t="shared" ref="T34:T65" si="17">I$3*I34</f>
        <v>1E-10</v>
      </c>
      <c r="U34" s="185">
        <f t="shared" ref="U34:U65" si="18">J$3*J34</f>
        <v>2.0000000000000001E-10</v>
      </c>
      <c r="V34" s="185">
        <f t="shared" ref="V34:V65" si="19">K$3*K34</f>
        <v>3E-10</v>
      </c>
      <c r="W34" s="185">
        <f t="shared" ref="W34:W65" si="20">L$3*L34</f>
        <v>4.0000000000000001E-10</v>
      </c>
      <c r="X34" s="185">
        <f t="shared" ref="X34:X65" si="21">IF(E34="v",M$3*M34,0)</f>
        <v>5.0000000000000003E-10</v>
      </c>
      <c r="Y34" s="185">
        <f t="shared" ref="Y34:Y65" si="22">N$3*N34</f>
        <v>6E-10</v>
      </c>
      <c r="Z34" s="185">
        <f t="shared" ref="Z34:Z65" si="23">O$3*O34</f>
        <v>6.9999999999999996E-10</v>
      </c>
      <c r="AA34" s="185">
        <f t="shared" ref="AA34:AA65" si="24">P$3*P34</f>
        <v>8.0000000000000003E-10</v>
      </c>
      <c r="AB34" s="185">
        <f t="shared" ref="AB34:AB65" si="25">Q$3*Q34</f>
        <v>8.9999999999999999E-10</v>
      </c>
      <c r="AC34" s="185">
        <f t="shared" ref="AC34:AC65" si="26">IF(F34="E",R$3*R34,0)</f>
        <v>9.5000000000000003E-10</v>
      </c>
      <c r="AD34" s="185" t="b">
        <f>IF(OR($D34="4C2X",$D34="4C1X"),TRUE,IF($D34="Best 5",IF(T34&gt;LARGE($T34:$AC34,6),TRUE),IF($D34="Best 6",IF(T34&gt;LARGE($T34:$AC34,7),TRUE))))</f>
        <v>1</v>
      </c>
      <c r="AE34" s="185" t="b">
        <f t="shared" ref="AD34:AG35" si="27">IF(OR($D34="4C2X",$D34="4C1X"),TRUE,IF($D34="Best 5",IF(U34&gt;LARGE($T34:$AC34,6),TRUE),IF($D34="Best 6",IF(U34&gt;LARGE($T34:$AC34,7),TRUE))))</f>
        <v>1</v>
      </c>
      <c r="AF34" s="185" t="b">
        <f t="shared" si="27"/>
        <v>1</v>
      </c>
      <c r="AG34" s="185" t="b">
        <f t="shared" si="27"/>
        <v>1</v>
      </c>
      <c r="AH34" s="185" t="b">
        <f t="shared" ref="AH34:AM34" si="28">IF($D34="4C2X",IF(X34&gt;LARGE($X34:$AC34,3),TRUE),IF($D34="4C1X",IF(X34&gt;LARGE($X34:$AC34,2),TRUE),IF($D34="Best 5",IF(X34&gt;LARGE($T34:$AC34,6),TRUE),IF($D34="Best 6",IF(X34&gt;LARGE($T34:$AC34,7),TRUE)))))</f>
        <v>0</v>
      </c>
      <c r="AI34" s="185" t="b">
        <f t="shared" si="28"/>
        <v>0</v>
      </c>
      <c r="AJ34" s="185" t="b">
        <f t="shared" si="28"/>
        <v>0</v>
      </c>
      <c r="AK34" s="185" t="b">
        <f t="shared" si="28"/>
        <v>0</v>
      </c>
      <c r="AL34" s="185" t="b">
        <f t="shared" si="28"/>
        <v>1</v>
      </c>
      <c r="AM34" s="185" t="b">
        <f t="shared" si="28"/>
        <v>1</v>
      </c>
      <c r="AO34" s="122"/>
      <c r="AP34" s="121"/>
      <c r="AQ34" s="122"/>
      <c r="AR34" s="183"/>
      <c r="AS34" s="183"/>
      <c r="AT34" s="183"/>
      <c r="AU34" s="183"/>
      <c r="AV34" s="183"/>
      <c r="AW34" s="183"/>
      <c r="AX34" s="183"/>
      <c r="AY34" s="183"/>
      <c r="AZ34" s="183"/>
      <c r="BA34" s="185" t="s">
        <v>1</v>
      </c>
      <c r="BC34" s="185" t="s">
        <v>1970</v>
      </c>
      <c r="BD34" s="185" t="s">
        <v>1970</v>
      </c>
      <c r="BE34" s="185" t="s">
        <v>1970</v>
      </c>
      <c r="BF34" s="185" t="s">
        <v>1970</v>
      </c>
      <c r="BS34" s="185" t="s">
        <v>1970</v>
      </c>
    </row>
    <row r="35" spans="1:71" x14ac:dyDescent="0.3">
      <c r="A35" s="185" t="str">
        <f>'Reference Score Calculation'!A14</f>
        <v>JS1001</v>
      </c>
      <c r="B35" s="185" t="str">
        <f>'Reference Score Calculation'!D14</f>
        <v>工商管理學士(環球商業)</v>
      </c>
      <c r="C35" s="236"/>
      <c r="D35" s="190" t="str">
        <f>'Reference Score Calculation'!E14</f>
        <v>4C2X</v>
      </c>
      <c r="E35" s="190" t="str">
        <f>入學要求!T23</f>
        <v>v</v>
      </c>
      <c r="F35" s="190" t="str">
        <f>入學要求!U23</f>
        <v>E</v>
      </c>
      <c r="G35" s="190" t="str">
        <f>入學要求!V23</f>
        <v>NO</v>
      </c>
      <c r="H35" s="185">
        <f t="shared" si="16"/>
        <v>2.8499999999999999E-9</v>
      </c>
      <c r="I35" s="194">
        <v>1</v>
      </c>
      <c r="J35" s="194">
        <v>1</v>
      </c>
      <c r="K35" s="194">
        <v>1</v>
      </c>
      <c r="L35" s="194">
        <v>1</v>
      </c>
      <c r="M35" s="194">
        <v>1</v>
      </c>
      <c r="N35" s="194">
        <v>1</v>
      </c>
      <c r="O35" s="194">
        <v>1</v>
      </c>
      <c r="P35" s="194">
        <v>1</v>
      </c>
      <c r="Q35" s="194">
        <v>1</v>
      </c>
      <c r="R35" s="194">
        <v>1</v>
      </c>
      <c r="T35" s="185">
        <f t="shared" si="17"/>
        <v>1E-10</v>
      </c>
      <c r="U35" s="185">
        <f t="shared" si="18"/>
        <v>2.0000000000000001E-10</v>
      </c>
      <c r="V35" s="185">
        <f t="shared" si="19"/>
        <v>3E-10</v>
      </c>
      <c r="W35" s="185">
        <f t="shared" si="20"/>
        <v>4.0000000000000001E-10</v>
      </c>
      <c r="X35" s="185">
        <f t="shared" si="21"/>
        <v>5.0000000000000003E-10</v>
      </c>
      <c r="Y35" s="185">
        <f t="shared" si="22"/>
        <v>6E-10</v>
      </c>
      <c r="Z35" s="185">
        <f t="shared" si="23"/>
        <v>6.9999999999999996E-10</v>
      </c>
      <c r="AA35" s="185">
        <f t="shared" si="24"/>
        <v>8.0000000000000003E-10</v>
      </c>
      <c r="AB35" s="185">
        <f t="shared" si="25"/>
        <v>8.9999999999999999E-10</v>
      </c>
      <c r="AC35" s="185">
        <f t="shared" si="26"/>
        <v>9.5000000000000003E-10</v>
      </c>
      <c r="AD35" s="185" t="b">
        <f t="shared" si="27"/>
        <v>1</v>
      </c>
      <c r="AE35" s="185" t="b">
        <f t="shared" si="27"/>
        <v>1</v>
      </c>
      <c r="AF35" s="185" t="b">
        <f t="shared" si="27"/>
        <v>1</v>
      </c>
      <c r="AG35" s="185" t="b">
        <f t="shared" si="27"/>
        <v>1</v>
      </c>
      <c r="AH35" s="185" t="b">
        <f>IF($D35="4C2X",IF(X35&gt;LARGE($X35:$AC35,3),TRUE),IF($D35="4C1X",IF(X35&gt;LARGE($X35:$AC35,2),TRUE),IF($D35="Best 5",IF(X35&gt;LARGE($T35:$AC35,6),TRUE),IF($D35="Best 6",IF(X35&gt;LARGE($T35:$AC35,7),TRUE)))))</f>
        <v>0</v>
      </c>
      <c r="AI35" s="185" t="b">
        <f>IF($D35="4C2X",IF(Y35&gt;LARGE($X35:$AC35,3),TRUE),IF($D35="4C1X",IF(Y35&gt;LARGE($X35:$AC35,2),TRUE),IF($D35="Best 5",IF(Y35&gt;LARGE($T35:$AC35,6),TRUE),IF($D35="Best 6",IF(Y35&gt;LARGE($T35:$AC35,7),TRUE)))))</f>
        <v>0</v>
      </c>
      <c r="AJ35" s="185" t="b">
        <f>IF($D35="4C2X",IF(Z35&gt;LARGE($X35:$AC35,3),TRUE),IF($D35="4C1X",IF(Z35&gt;LARGE($X35:$AC35,2),TRUE),IF($D35="Best 5",IF(Z35&gt;LARGE($T35:$AC35,6),TRUE),IF($D35="Best 6",IF(Z35&gt;LARGE($T35:$AC35,7),TRUE)))))</f>
        <v>0</v>
      </c>
      <c r="AK35" s="185" t="b">
        <f>IF($D35="4C2X",IF(AA35&gt;LARGE($X35:$AC35,3),TRUE),IF($D35="4C1X",IF(AA35&gt;LARGE($X35:$AC35,2),TRUE),IF($D35="Best 5",IF(AA35&gt;LARGE($T35:$AC35,6),TRUE),IF($D35="Best 6",IF(AA35&gt;LARGE($T35:$AC35,7),TRUE)))))</f>
        <v>0</v>
      </c>
      <c r="AL35" s="185" t="b">
        <f>IF($D35="4C2X",IF(AB35&gt;LARGE($X35:$AC35,3),TRUE),IF($D35="4C1X",IF(AB35&gt;LARGE($X35:$AC35,2),TRUE),IF($D35="Best 5",IF(AB35&gt;LARGE($T35:$AC35,6),TRUE),IF($D35="Best 6",IF(AB35&gt;LARGE($T35:$AC35,7),TRUE)))))</f>
        <v>1</v>
      </c>
      <c r="AM35" s="185" t="b">
        <f>IF($F35="E",IF($D35="4C2X",IF(AC35&gt;LARGE($X35:$AC35,3),TRUE),IF($D35="4C1X",IF(AC35&gt;LARGE($X35:$AC35,2),TRUE),IF($D35="Best 5",IF(AC35&gt;LARGE($T35:$AC35,6),TRUE),IF($D35="Best 6",IF(AC35&gt;LARGE($T35:$AC35,7),TRUE))))),FALSE)</f>
        <v>1</v>
      </c>
      <c r="AO35" s="202" t="s">
        <v>2839</v>
      </c>
      <c r="AP35" s="196"/>
      <c r="AQ35" s="196"/>
      <c r="AR35" s="196"/>
      <c r="AS35" s="196"/>
      <c r="AT35" s="196"/>
      <c r="AU35" s="196"/>
      <c r="AV35" s="196"/>
      <c r="AW35" s="196"/>
      <c r="AX35" s="196"/>
      <c r="AY35" s="196"/>
      <c r="AZ35" s="196"/>
      <c r="BA35" s="185" t="s">
        <v>7</v>
      </c>
      <c r="BC35" s="185" t="s">
        <v>1970</v>
      </c>
      <c r="BD35" s="185" t="s">
        <v>1970</v>
      </c>
      <c r="BE35" s="185" t="s">
        <v>1970</v>
      </c>
      <c r="BF35" s="185" t="s">
        <v>1970</v>
      </c>
      <c r="BS35" s="185" t="s">
        <v>1970</v>
      </c>
    </row>
    <row r="36" spans="1:71" x14ac:dyDescent="0.3">
      <c r="A36" s="185" t="str">
        <f>'Reference Score Calculation'!A15</f>
        <v>JS1002</v>
      </c>
      <c r="B36" s="185" t="str">
        <f>'Reference Score Calculation'!D15</f>
        <v>工商管理學士(會計)</v>
      </c>
      <c r="C36" s="236"/>
      <c r="D36" s="190" t="str">
        <f>'Reference Score Calculation'!E15</f>
        <v>Best 6</v>
      </c>
      <c r="E36" s="190" t="str">
        <f>入學要求!T24</f>
        <v>v</v>
      </c>
      <c r="F36" s="190" t="str">
        <f>入學要求!U24</f>
        <v>E</v>
      </c>
      <c r="G36" s="190" t="str">
        <f>入學要求!V24</f>
        <v>NO</v>
      </c>
      <c r="H36" s="185">
        <f t="shared" si="16"/>
        <v>3.8500000000000006E-9</v>
      </c>
      <c r="I36" s="194">
        <v>1</v>
      </c>
      <c r="J36" s="194">
        <v>1</v>
      </c>
      <c r="K36" s="194">
        <v>1</v>
      </c>
      <c r="L36" s="194">
        <v>1</v>
      </c>
      <c r="M36" s="194">
        <v>1</v>
      </c>
      <c r="N36" s="194">
        <v>1</v>
      </c>
      <c r="O36" s="194">
        <v>1</v>
      </c>
      <c r="P36" s="194">
        <v>1</v>
      </c>
      <c r="Q36" s="194">
        <v>1</v>
      </c>
      <c r="R36" s="194">
        <v>1</v>
      </c>
      <c r="T36" s="185">
        <f t="shared" si="17"/>
        <v>1E-10</v>
      </c>
      <c r="U36" s="185">
        <f t="shared" si="18"/>
        <v>2.0000000000000001E-10</v>
      </c>
      <c r="V36" s="185">
        <f t="shared" si="19"/>
        <v>3E-10</v>
      </c>
      <c r="W36" s="185">
        <f t="shared" si="20"/>
        <v>4.0000000000000001E-10</v>
      </c>
      <c r="X36" s="185">
        <f t="shared" si="21"/>
        <v>5.0000000000000003E-10</v>
      </c>
      <c r="Y36" s="185">
        <f t="shared" si="22"/>
        <v>6E-10</v>
      </c>
      <c r="Z36" s="185">
        <f t="shared" si="23"/>
        <v>6.9999999999999996E-10</v>
      </c>
      <c r="AA36" s="185">
        <f t="shared" si="24"/>
        <v>8.0000000000000003E-10</v>
      </c>
      <c r="AB36" s="185">
        <f t="shared" si="25"/>
        <v>8.9999999999999999E-10</v>
      </c>
      <c r="AC36" s="185">
        <f t="shared" si="26"/>
        <v>9.5000000000000003E-10</v>
      </c>
      <c r="AD36" s="185" t="b">
        <f>IF(T36&gt;LARGE(($T36,$W36:$AC36),5),TRUE)</f>
        <v>0</v>
      </c>
      <c r="AE36" s="223" t="b">
        <f>TRUE</f>
        <v>1</v>
      </c>
      <c r="AF36" s="223" t="b">
        <f>TRUE</f>
        <v>1</v>
      </c>
      <c r="AG36" s="185" t="b">
        <f>IF(W36&gt;LARGE(($T36,$W36:$AC36),5),TRUE)</f>
        <v>0</v>
      </c>
      <c r="AH36" s="185" t="b">
        <f>IF(X36&gt;LARGE(($T36,$W36:$AC36),5),TRUE)</f>
        <v>0</v>
      </c>
      <c r="AI36" s="185" t="b">
        <f>IF(Y36&gt;LARGE(($T36,$W36:$AC36),5),TRUE)</f>
        <v>0</v>
      </c>
      <c r="AJ36" s="185" t="b">
        <f>IF(Z36&gt;LARGE(($T36,$W36:$AC36),5),TRUE)</f>
        <v>1</v>
      </c>
      <c r="AK36" s="185" t="b">
        <f>IF(AA36&gt;LARGE(($T36,$W36:$AC36),5),TRUE)</f>
        <v>1</v>
      </c>
      <c r="AL36" s="185" t="b">
        <f>IF(AB36&gt;LARGE(($T36,$W36:$AC36),5),TRUE)</f>
        <v>1</v>
      </c>
      <c r="AM36" s="185" t="b">
        <f>IF(AC36&gt;LARGE(($T36,$W36:$AC36),5),TRUE)</f>
        <v>1</v>
      </c>
      <c r="AO36" s="184"/>
      <c r="AP36" s="196"/>
      <c r="AQ36" s="196"/>
      <c r="AR36" s="196"/>
      <c r="AS36" s="196"/>
      <c r="AT36" s="196"/>
      <c r="AU36" s="196"/>
      <c r="AV36" s="196"/>
      <c r="AW36" s="196"/>
      <c r="AX36" s="196"/>
      <c r="AY36" s="196"/>
      <c r="AZ36" s="196"/>
      <c r="BA36" s="185" t="s">
        <v>12</v>
      </c>
      <c r="BC36" s="185" t="s">
        <v>2863</v>
      </c>
      <c r="BD36" s="185" t="s">
        <v>1970</v>
      </c>
      <c r="BE36" s="185" t="s">
        <v>1970</v>
      </c>
      <c r="BF36" s="185" t="s">
        <v>1970</v>
      </c>
      <c r="BS36" s="185" t="s">
        <v>1970</v>
      </c>
    </row>
    <row r="37" spans="1:71" x14ac:dyDescent="0.3">
      <c r="A37" s="185" t="str">
        <f>'Reference Score Calculation'!A16</f>
        <v>JS1005</v>
      </c>
      <c r="B37" s="185" t="str">
        <f>'Reference Score Calculation'!D16</f>
        <v>工商管理學士(管理學)</v>
      </c>
      <c r="C37" s="236"/>
      <c r="D37" s="115" t="str">
        <f>'Reference Score Calculation'!E16</f>
        <v>Best 6</v>
      </c>
      <c r="E37" s="190" t="str">
        <f>入學要求!T25</f>
        <v>v</v>
      </c>
      <c r="F37" s="190" t="str">
        <f>入學要求!U25</f>
        <v>E</v>
      </c>
      <c r="G37" s="190" t="str">
        <f>入學要求!V25</f>
        <v>NO</v>
      </c>
      <c r="H37" s="185">
        <f t="shared" si="16"/>
        <v>4.1499999999999999E-9</v>
      </c>
      <c r="I37" s="194">
        <v>1</v>
      </c>
      <c r="J37" s="194">
        <v>1</v>
      </c>
      <c r="K37" s="194">
        <v>1</v>
      </c>
      <c r="L37" s="194">
        <v>1</v>
      </c>
      <c r="M37" s="194">
        <v>1</v>
      </c>
      <c r="N37" s="194">
        <v>1</v>
      </c>
      <c r="O37" s="194">
        <v>1</v>
      </c>
      <c r="P37" s="194">
        <v>1</v>
      </c>
      <c r="Q37" s="194">
        <v>1</v>
      </c>
      <c r="R37" s="194">
        <v>1</v>
      </c>
      <c r="T37" s="185">
        <f t="shared" si="17"/>
        <v>1E-10</v>
      </c>
      <c r="U37" s="185">
        <f t="shared" si="18"/>
        <v>2.0000000000000001E-10</v>
      </c>
      <c r="V37" s="185">
        <f t="shared" si="19"/>
        <v>3E-10</v>
      </c>
      <c r="W37" s="185">
        <f t="shared" si="20"/>
        <v>4.0000000000000001E-10</v>
      </c>
      <c r="X37" s="185">
        <f t="shared" si="21"/>
        <v>5.0000000000000003E-10</v>
      </c>
      <c r="Y37" s="185">
        <f t="shared" si="22"/>
        <v>6E-10</v>
      </c>
      <c r="Z37" s="185">
        <f t="shared" si="23"/>
        <v>6.9999999999999996E-10</v>
      </c>
      <c r="AA37" s="185">
        <f t="shared" si="24"/>
        <v>8.0000000000000003E-10</v>
      </c>
      <c r="AB37" s="185">
        <f t="shared" si="25"/>
        <v>8.9999999999999999E-10</v>
      </c>
      <c r="AC37" s="185">
        <f t="shared" si="26"/>
        <v>9.5000000000000003E-10</v>
      </c>
      <c r="AD37" s="185" t="b">
        <f>IF(T37&gt;LARGE(($T37,$V37:$AC37),6),TRUE)</f>
        <v>0</v>
      </c>
      <c r="AE37" s="223" t="b">
        <f>TRUE</f>
        <v>1</v>
      </c>
      <c r="AF37" s="185" t="b">
        <f>IF(V37&gt;LARGE(($T37,$V37:$AC37),6),TRUE)</f>
        <v>0</v>
      </c>
      <c r="AG37" s="185" t="b">
        <f>IF(W37&gt;LARGE(($T37,$V37:$AC37),6),TRUE)</f>
        <v>0</v>
      </c>
      <c r="AH37" s="185" t="b">
        <f>IF(X37&gt;LARGE(($T37,$V37:$AC37),6),TRUE)</f>
        <v>0</v>
      </c>
      <c r="AI37" s="185" t="b">
        <f>IF(Y37&gt;LARGE(($T37,$V37:$AC37),6),TRUE)</f>
        <v>1</v>
      </c>
      <c r="AJ37" s="185" t="b">
        <f>IF(Z37&gt;LARGE(($T37,$V37:$AC37),6),TRUE)</f>
        <v>1</v>
      </c>
      <c r="AK37" s="185" t="b">
        <f>IF(AA37&gt;LARGE(($T37,$V37:$AC37),6),TRUE)</f>
        <v>1</v>
      </c>
      <c r="AL37" s="185" t="b">
        <f>IF(AB37&gt;LARGE(($T37,$V37:$AC37),6),TRUE)</f>
        <v>1</v>
      </c>
      <c r="AM37" s="185" t="b">
        <f>IF(AC37&gt;LARGE(($T37,$V37:$AC37),6),TRUE)</f>
        <v>1</v>
      </c>
      <c r="AO37" s="243" t="s">
        <v>2240</v>
      </c>
      <c r="AP37" s="184" t="str">
        <f>N1</f>
        <v>請選擇第一選修科</v>
      </c>
      <c r="AQ37" s="184" t="str">
        <f>O1</f>
        <v>請選擇第二選修科</v>
      </c>
      <c r="AR37" s="184" t="str">
        <f>P1</f>
        <v>請選擇第三選修科</v>
      </c>
      <c r="AS37" s="184" t="str">
        <f>Q1</f>
        <v>請選擇第四選修科</v>
      </c>
      <c r="AT37" s="196"/>
      <c r="AU37" s="196"/>
      <c r="AV37" s="184" t="s">
        <v>2895</v>
      </c>
      <c r="AW37" s="208" t="s">
        <v>2897</v>
      </c>
      <c r="AX37" s="184"/>
      <c r="AY37" s="184"/>
      <c r="AZ37" s="184"/>
      <c r="BA37" s="185" t="s">
        <v>17</v>
      </c>
      <c r="BC37" s="185" t="s">
        <v>2873</v>
      </c>
      <c r="BD37" s="185" t="s">
        <v>1970</v>
      </c>
      <c r="BE37" s="185" t="s">
        <v>1970</v>
      </c>
      <c r="BF37" s="185" t="s">
        <v>1970</v>
      </c>
      <c r="BS37" s="185" t="s">
        <v>1970</v>
      </c>
    </row>
    <row r="38" spans="1:71" x14ac:dyDescent="0.3">
      <c r="A38" s="185" t="str">
        <f>'Reference Score Calculation'!A17</f>
        <v>JS1007</v>
      </c>
      <c r="B38" s="185" t="str">
        <f>'Reference Score Calculation'!D17</f>
        <v>工商管理學士(市場營銷)</v>
      </c>
      <c r="C38" s="236"/>
      <c r="D38" s="19" t="str">
        <f>'Reference Score Calculation'!E17</f>
        <v>4C2X</v>
      </c>
      <c r="E38" s="190" t="str">
        <f>入學要求!T26</f>
        <v>v</v>
      </c>
      <c r="F38" s="190" t="str">
        <f>入學要求!U26</f>
        <v>E</v>
      </c>
      <c r="G38" s="190" t="str">
        <f>入學要求!V26</f>
        <v>NO</v>
      </c>
      <c r="H38" s="185">
        <f t="shared" si="16"/>
        <v>2.9499999999999999E-9</v>
      </c>
      <c r="I38" s="194">
        <v>1</v>
      </c>
      <c r="J38" s="194">
        <v>1.5</v>
      </c>
      <c r="K38" s="194">
        <v>1</v>
      </c>
      <c r="L38" s="194">
        <v>1</v>
      </c>
      <c r="M38" s="194">
        <v>1</v>
      </c>
      <c r="N38" s="194">
        <v>1</v>
      </c>
      <c r="O38" s="194">
        <v>1</v>
      </c>
      <c r="P38" s="194">
        <v>1</v>
      </c>
      <c r="Q38" s="194">
        <v>1</v>
      </c>
      <c r="R38" s="194">
        <v>1</v>
      </c>
      <c r="T38" s="185">
        <f t="shared" si="17"/>
        <v>1E-10</v>
      </c>
      <c r="U38" s="185">
        <f t="shared" si="18"/>
        <v>3E-10</v>
      </c>
      <c r="V38" s="185">
        <f t="shared" si="19"/>
        <v>3E-10</v>
      </c>
      <c r="W38" s="185">
        <f t="shared" si="20"/>
        <v>4.0000000000000001E-10</v>
      </c>
      <c r="X38" s="185">
        <f t="shared" si="21"/>
        <v>5.0000000000000003E-10</v>
      </c>
      <c r="Y38" s="185">
        <f t="shared" si="22"/>
        <v>6E-10</v>
      </c>
      <c r="Z38" s="185">
        <f t="shared" si="23"/>
        <v>6.9999999999999996E-10</v>
      </c>
      <c r="AA38" s="185">
        <f t="shared" si="24"/>
        <v>8.0000000000000003E-10</v>
      </c>
      <c r="AB38" s="185">
        <f t="shared" si="25"/>
        <v>8.9999999999999999E-10</v>
      </c>
      <c r="AC38" s="185">
        <f t="shared" si="26"/>
        <v>9.5000000000000003E-10</v>
      </c>
      <c r="AD38" s="185" t="b">
        <f t="shared" ref="AD38:AD50" si="29">IF(OR($D38="4C2X",$D38="4C1X"),TRUE,IF($D38="Best 5",IF(T38&gt;LARGE($T38:$AC38,6),TRUE),IF($D38="Best 6",IF(T38&gt;LARGE($T38:$AC38,7),TRUE))))</f>
        <v>1</v>
      </c>
      <c r="AE38" s="185" t="b">
        <f t="shared" ref="AE38:AE50" si="30">IF(OR($D38="4C2X",$D38="4C1X"),TRUE,IF($D38="Best 5",IF(U38&gt;LARGE($T38:$AC38,6),TRUE),IF($D38="Best 6",IF(U38&gt;LARGE($T38:$AC38,7),TRUE))))</f>
        <v>1</v>
      </c>
      <c r="AF38" s="185" t="b">
        <f t="shared" ref="AF38:AF50" si="31">IF(OR($D38="4C2X",$D38="4C1X"),TRUE,IF($D38="Best 5",IF(V38&gt;LARGE($T38:$AC38,6),TRUE),IF($D38="Best 6",IF(V38&gt;LARGE($T38:$AC38,7),TRUE))))</f>
        <v>1</v>
      </c>
      <c r="AG38" s="185" t="b">
        <f t="shared" ref="AG38:AG50" si="32">IF(OR($D38="4C2X",$D38="4C1X"),TRUE,IF($D38="Best 5",IF(W38&gt;LARGE($T38:$AC38,6),TRUE),IF($D38="Best 6",IF(W38&gt;LARGE($T38:$AC38,7),TRUE))))</f>
        <v>1</v>
      </c>
      <c r="AH38" s="185" t="b">
        <f t="shared" ref="AH38:AH50" si="33">IF($D38="4C2X",IF(X38&gt;LARGE($X38:$AC38,3),TRUE),IF($D38="4C1X",IF(X38&gt;LARGE($X38:$AC38,2),TRUE),IF($D38="Best 5",IF(X38&gt;LARGE($T38:$AC38,6),TRUE),IF($D38="Best 6",IF(X38&gt;LARGE($T38:$AC38,7),TRUE)))))</f>
        <v>0</v>
      </c>
      <c r="AI38" s="185" t="b">
        <f t="shared" ref="AI38:AI50" si="34">IF($D38="4C2X",IF(Y38&gt;LARGE($X38:$AC38,3),TRUE),IF($D38="4C1X",IF(Y38&gt;LARGE($X38:$AC38,2),TRUE),IF($D38="Best 5",IF(Y38&gt;LARGE($T38:$AC38,6),TRUE),IF($D38="Best 6",IF(Y38&gt;LARGE($T38:$AC38,7),TRUE)))))</f>
        <v>0</v>
      </c>
      <c r="AJ38" s="185" t="b">
        <f t="shared" ref="AJ38:AJ50" si="35">IF($D38="4C2X",IF(Z38&gt;LARGE($X38:$AC38,3),TRUE),IF($D38="4C1X",IF(Z38&gt;LARGE($X38:$AC38,2),TRUE),IF($D38="Best 5",IF(Z38&gt;LARGE($T38:$AC38,6),TRUE),IF($D38="Best 6",IF(Z38&gt;LARGE($T38:$AC38,7),TRUE)))))</f>
        <v>0</v>
      </c>
      <c r="AK38" s="185" t="b">
        <f t="shared" ref="AK38:AK50" si="36">IF($D38="4C2X",IF(AA38&gt;LARGE($X38:$AC38,3),TRUE),IF($D38="4C1X",IF(AA38&gt;LARGE($X38:$AC38,2),TRUE),IF($D38="Best 5",IF(AA38&gt;LARGE($T38:$AC38,6),TRUE),IF($D38="Best 6",IF(AA38&gt;LARGE($T38:$AC38,7),TRUE)))))</f>
        <v>0</v>
      </c>
      <c r="AL38" s="185" t="b">
        <f t="shared" ref="AL38:AL50" si="37">IF($D38="4C2X",IF(AB38&gt;LARGE($X38:$AC38,3),TRUE),IF($D38="4C1X",IF(AB38&gt;LARGE($X38:$AC38,2),TRUE),IF($D38="Best 5",IF(AB38&gt;LARGE($T38:$AC38,6),TRUE),IF($D38="Best 6",IF(AB38&gt;LARGE($T38:$AC38,7),TRUE)))))</f>
        <v>1</v>
      </c>
      <c r="AM38" s="185" t="b">
        <f t="shared" ref="AM38:AM50" si="38">IF($F38="E",IF($D38="4C2X",IF(AC38&gt;LARGE($X38:$AC38,3),TRUE),IF($D38="4C1X",IF(AC38&gt;LARGE($X38:$AC38,2),TRUE),IF($D38="Best 5",IF(AC38&gt;LARGE($T38:$AC38,6),TRUE),IF($D38="Best 6",IF(AC38&gt;LARGE($T38:$AC38,7),TRUE))))),FALSE)</f>
        <v>1</v>
      </c>
      <c r="AO38" s="184"/>
      <c r="AP38" s="185">
        <f>IF(OR(N1="物理",N1="化學",N1="生物",N1="組合科學(物理、化學)",N1="組合科學(生物、化學)",N1="組合科學(物理、生物)",N1="綜合科學"),N3,0)</f>
        <v>0</v>
      </c>
      <c r="AQ38" s="185">
        <f>IF(OR(O1="物理",O1="化學",O1="生物",O1="組合科學(物理、化學)",O1="組合科學(生物、化學)",O1="組合科學(物理、生物)",O1="綜合科學"),O3,0)</f>
        <v>0</v>
      </c>
      <c r="AR38" s="185">
        <f>IF(OR(P1="物理",P1="化學",P1="生物",P1="組合科學(物理、化學)",P1="組合科學(生物、化學)",P1="組合科學(物理、生物)",P1="綜合科學"),P3,0)</f>
        <v>0</v>
      </c>
      <c r="AS38" s="185">
        <f>IF(OR(Q1="物理",Q1="化學",Q1="生物",Q1="組合科學(物理、化學)",Q1="組合科學(生物、化學)",Q1="組合科學(物理、生物)",Q1="綜合科學"),Q3,0)</f>
        <v>0</v>
      </c>
      <c r="AT38" s="196"/>
      <c r="AU38" s="196"/>
      <c r="AV38" s="185" t="str">
        <f>IF(AW38&gt;0,INDEX(AP37:AS37,MATCH(LARGE(AP38:AS38,1),AP38:AS38,0)),"無")</f>
        <v>無</v>
      </c>
      <c r="AW38" s="185">
        <f>LARGE((AP38:AS38),1)</f>
        <v>0</v>
      </c>
      <c r="AX38" s="196"/>
      <c r="AY38" s="196"/>
      <c r="AZ38" s="196"/>
      <c r="BA38" s="185" t="s">
        <v>22</v>
      </c>
      <c r="BC38" s="185" t="s">
        <v>1970</v>
      </c>
      <c r="BD38" s="185" t="s">
        <v>1970</v>
      </c>
      <c r="BE38" s="185" t="s">
        <v>2738</v>
      </c>
      <c r="BF38" s="185" t="s">
        <v>1970</v>
      </c>
      <c r="BS38" s="185" t="s">
        <v>1970</v>
      </c>
    </row>
    <row r="39" spans="1:71" x14ac:dyDescent="0.3">
      <c r="A39" s="185" t="str">
        <f>'Reference Score Calculation'!A18</f>
        <v>JS1012</v>
      </c>
      <c r="B39" s="185" t="str">
        <f>'Reference Score Calculation'!D18</f>
        <v>經濟及金融系 [選項: 工商管理學士(商業經濟)、工商管理學士(金融)]</v>
      </c>
      <c r="C39" s="236"/>
      <c r="D39" s="190" t="str">
        <f>'Reference Score Calculation'!E18</f>
        <v>4C2X</v>
      </c>
      <c r="E39" s="190" t="str">
        <f>入學要求!T27</f>
        <v>v</v>
      </c>
      <c r="F39" s="190" t="str">
        <f>入學要求!U27</f>
        <v>E</v>
      </c>
      <c r="G39" s="190" t="str">
        <f>入學要求!V27</f>
        <v>NO</v>
      </c>
      <c r="H39" s="185">
        <f t="shared" si="16"/>
        <v>2.8499999999999999E-9</v>
      </c>
      <c r="I39" s="194">
        <v>1</v>
      </c>
      <c r="J39" s="194">
        <v>1</v>
      </c>
      <c r="K39" s="194">
        <v>1</v>
      </c>
      <c r="L39" s="194">
        <v>1</v>
      </c>
      <c r="M39" s="194">
        <v>1</v>
      </c>
      <c r="N39" s="194">
        <v>1</v>
      </c>
      <c r="O39" s="194">
        <v>1</v>
      </c>
      <c r="P39" s="194">
        <v>1</v>
      </c>
      <c r="Q39" s="194">
        <v>1</v>
      </c>
      <c r="R39" s="194">
        <v>1</v>
      </c>
      <c r="T39" s="185">
        <f t="shared" si="17"/>
        <v>1E-10</v>
      </c>
      <c r="U39" s="185">
        <f t="shared" si="18"/>
        <v>2.0000000000000001E-10</v>
      </c>
      <c r="V39" s="185">
        <f t="shared" si="19"/>
        <v>3E-10</v>
      </c>
      <c r="W39" s="185">
        <f t="shared" si="20"/>
        <v>4.0000000000000001E-10</v>
      </c>
      <c r="X39" s="185">
        <f t="shared" si="21"/>
        <v>5.0000000000000003E-10</v>
      </c>
      <c r="Y39" s="185">
        <f t="shared" si="22"/>
        <v>6E-10</v>
      </c>
      <c r="Z39" s="185">
        <f t="shared" si="23"/>
        <v>6.9999999999999996E-10</v>
      </c>
      <c r="AA39" s="185">
        <f t="shared" si="24"/>
        <v>8.0000000000000003E-10</v>
      </c>
      <c r="AB39" s="185">
        <f t="shared" si="25"/>
        <v>8.9999999999999999E-10</v>
      </c>
      <c r="AC39" s="185">
        <f t="shared" si="26"/>
        <v>9.5000000000000003E-10</v>
      </c>
      <c r="AD39" s="185" t="b">
        <f t="shared" si="29"/>
        <v>1</v>
      </c>
      <c r="AE39" s="185" t="b">
        <f t="shared" si="30"/>
        <v>1</v>
      </c>
      <c r="AF39" s="185" t="b">
        <f t="shared" si="31"/>
        <v>1</v>
      </c>
      <c r="AG39" s="185" t="b">
        <f t="shared" si="32"/>
        <v>1</v>
      </c>
      <c r="AH39" s="185" t="b">
        <f t="shared" si="33"/>
        <v>0</v>
      </c>
      <c r="AI39" s="185" t="b">
        <f t="shared" si="34"/>
        <v>0</v>
      </c>
      <c r="AJ39" s="185" t="b">
        <f t="shared" si="35"/>
        <v>0</v>
      </c>
      <c r="AK39" s="185" t="b">
        <f t="shared" si="36"/>
        <v>0</v>
      </c>
      <c r="AL39" s="185" t="b">
        <f t="shared" si="37"/>
        <v>1</v>
      </c>
      <c r="AM39" s="185" t="b">
        <f t="shared" si="38"/>
        <v>1</v>
      </c>
      <c r="AO39" s="184"/>
      <c r="AP39" s="241" t="s">
        <v>2864</v>
      </c>
      <c r="AQ39" s="196"/>
      <c r="AR39" s="196"/>
      <c r="AS39" s="196"/>
      <c r="AT39" s="196"/>
      <c r="AU39" s="196"/>
      <c r="AV39" s="197"/>
      <c r="AW39" s="196"/>
      <c r="AX39" s="184"/>
      <c r="AY39" s="184"/>
      <c r="AZ39" s="184"/>
      <c r="BA39" s="185" t="s">
        <v>27</v>
      </c>
      <c r="BC39" s="185" t="s">
        <v>1970</v>
      </c>
      <c r="BD39" s="185" t="s">
        <v>1970</v>
      </c>
      <c r="BE39" s="185" t="s">
        <v>1970</v>
      </c>
      <c r="BF39" s="185" t="s">
        <v>1970</v>
      </c>
      <c r="BS39" s="185" t="s">
        <v>1970</v>
      </c>
    </row>
    <row r="40" spans="1:71" x14ac:dyDescent="0.3">
      <c r="A40" s="185" t="str">
        <f>'Reference Score Calculation'!A19</f>
        <v>JS1013</v>
      </c>
      <c r="B40" s="185" t="str">
        <f>'Reference Score Calculation'!D19</f>
        <v>工商管理學士(商業經濟)</v>
      </c>
      <c r="C40" s="236"/>
      <c r="D40" s="190" t="str">
        <f>'Reference Score Calculation'!E19</f>
        <v>4C2X</v>
      </c>
      <c r="E40" s="190" t="str">
        <f>入學要求!T28</f>
        <v>v</v>
      </c>
      <c r="F40" s="190" t="str">
        <f>入學要求!U28</f>
        <v>E</v>
      </c>
      <c r="G40" s="190" t="str">
        <f>入學要求!V28</f>
        <v>NO</v>
      </c>
      <c r="H40" s="185">
        <f t="shared" si="16"/>
        <v>2.8499999999999999E-9</v>
      </c>
      <c r="I40" s="194">
        <v>1</v>
      </c>
      <c r="J40" s="194">
        <v>1</v>
      </c>
      <c r="K40" s="194">
        <v>1</v>
      </c>
      <c r="L40" s="194">
        <v>1</v>
      </c>
      <c r="M40" s="194">
        <v>1</v>
      </c>
      <c r="N40" s="194">
        <v>1</v>
      </c>
      <c r="O40" s="194">
        <v>1</v>
      </c>
      <c r="P40" s="194">
        <v>1</v>
      </c>
      <c r="Q40" s="194">
        <v>1</v>
      </c>
      <c r="R40" s="194">
        <v>1</v>
      </c>
      <c r="T40" s="185">
        <f t="shared" si="17"/>
        <v>1E-10</v>
      </c>
      <c r="U40" s="185">
        <f t="shared" si="18"/>
        <v>2.0000000000000001E-10</v>
      </c>
      <c r="V40" s="185">
        <f t="shared" si="19"/>
        <v>3E-10</v>
      </c>
      <c r="W40" s="185">
        <f t="shared" si="20"/>
        <v>4.0000000000000001E-10</v>
      </c>
      <c r="X40" s="185">
        <f t="shared" si="21"/>
        <v>5.0000000000000003E-10</v>
      </c>
      <c r="Y40" s="185">
        <f t="shared" si="22"/>
        <v>6E-10</v>
      </c>
      <c r="Z40" s="185">
        <f t="shared" si="23"/>
        <v>6.9999999999999996E-10</v>
      </c>
      <c r="AA40" s="185">
        <f t="shared" si="24"/>
        <v>8.0000000000000003E-10</v>
      </c>
      <c r="AB40" s="185">
        <f t="shared" si="25"/>
        <v>8.9999999999999999E-10</v>
      </c>
      <c r="AC40" s="185">
        <f t="shared" si="26"/>
        <v>9.5000000000000003E-10</v>
      </c>
      <c r="AD40" s="185" t="b">
        <f t="shared" si="29"/>
        <v>1</v>
      </c>
      <c r="AE40" s="185" t="b">
        <f t="shared" si="30"/>
        <v>1</v>
      </c>
      <c r="AF40" s="185" t="b">
        <f t="shared" si="31"/>
        <v>1</v>
      </c>
      <c r="AG40" s="185" t="b">
        <f t="shared" si="32"/>
        <v>1</v>
      </c>
      <c r="AH40" s="185" t="b">
        <f t="shared" si="33"/>
        <v>0</v>
      </c>
      <c r="AI40" s="185" t="b">
        <f t="shared" si="34"/>
        <v>0</v>
      </c>
      <c r="AJ40" s="185" t="b">
        <f t="shared" si="35"/>
        <v>0</v>
      </c>
      <c r="AK40" s="185" t="b">
        <f t="shared" si="36"/>
        <v>0</v>
      </c>
      <c r="AL40" s="185" t="b">
        <f t="shared" si="37"/>
        <v>1</v>
      </c>
      <c r="AM40" s="185" t="b">
        <f t="shared" si="38"/>
        <v>1</v>
      </c>
      <c r="AO40" s="184"/>
      <c r="AP40" s="184" t="str">
        <f>N1</f>
        <v>請選擇第一選修科</v>
      </c>
      <c r="AQ40" s="184" t="str">
        <f>O1</f>
        <v>請選擇第二選修科</v>
      </c>
      <c r="AR40" s="184" t="str">
        <f>P1</f>
        <v>請選擇第三選修科</v>
      </c>
      <c r="AS40" s="184" t="str">
        <f>Q1</f>
        <v>請選擇第四選修科</v>
      </c>
      <c r="AT40" s="196" t="str">
        <f>M1</f>
        <v>數學延伸</v>
      </c>
      <c r="AU40" s="197"/>
      <c r="AV40" s="184" t="s">
        <v>2896</v>
      </c>
      <c r="AW40" s="209" t="s">
        <v>2898</v>
      </c>
      <c r="AX40" s="196"/>
      <c r="AY40" s="196"/>
      <c r="AZ40" s="196"/>
      <c r="BA40" s="185" t="s">
        <v>31</v>
      </c>
      <c r="BC40" s="185" t="s">
        <v>1970</v>
      </c>
      <c r="BD40" s="185" t="s">
        <v>1970</v>
      </c>
      <c r="BE40" s="185" t="s">
        <v>1970</v>
      </c>
      <c r="BF40" s="185" t="s">
        <v>1970</v>
      </c>
      <c r="BS40" s="185" t="s">
        <v>1970</v>
      </c>
    </row>
    <row r="41" spans="1:71" x14ac:dyDescent="0.3">
      <c r="A41" s="185" t="str">
        <f>'Reference Score Calculation'!A20</f>
        <v>JS1014</v>
      </c>
      <c r="B41" s="185" t="str">
        <f>'Reference Score Calculation'!D20</f>
        <v>工商管理學士(金融)</v>
      </c>
      <c r="C41" s="236"/>
      <c r="D41" s="190" t="str">
        <f>'Reference Score Calculation'!E20</f>
        <v>4C2X</v>
      </c>
      <c r="E41" s="190" t="str">
        <f>入學要求!T29</f>
        <v>v</v>
      </c>
      <c r="F41" s="190" t="str">
        <f>入學要求!U29</f>
        <v>E</v>
      </c>
      <c r="G41" s="190" t="str">
        <f>入學要求!V29</f>
        <v>NO</v>
      </c>
      <c r="H41" s="185">
        <f t="shared" si="16"/>
        <v>2.8499999999999999E-9</v>
      </c>
      <c r="I41" s="194">
        <v>1</v>
      </c>
      <c r="J41" s="194">
        <v>1</v>
      </c>
      <c r="K41" s="194">
        <v>1</v>
      </c>
      <c r="L41" s="194">
        <v>1</v>
      </c>
      <c r="M41" s="194">
        <v>1</v>
      </c>
      <c r="N41" s="194">
        <v>1</v>
      </c>
      <c r="O41" s="194">
        <v>1</v>
      </c>
      <c r="P41" s="194">
        <v>1</v>
      </c>
      <c r="Q41" s="194">
        <v>1</v>
      </c>
      <c r="R41" s="194">
        <v>1</v>
      </c>
      <c r="T41" s="185">
        <f t="shared" si="17"/>
        <v>1E-10</v>
      </c>
      <c r="U41" s="185">
        <f t="shared" si="18"/>
        <v>2.0000000000000001E-10</v>
      </c>
      <c r="V41" s="185">
        <f t="shared" si="19"/>
        <v>3E-10</v>
      </c>
      <c r="W41" s="185">
        <f t="shared" si="20"/>
        <v>4.0000000000000001E-10</v>
      </c>
      <c r="X41" s="185">
        <f t="shared" si="21"/>
        <v>5.0000000000000003E-10</v>
      </c>
      <c r="Y41" s="185">
        <f t="shared" si="22"/>
        <v>6E-10</v>
      </c>
      <c r="Z41" s="185">
        <f t="shared" si="23"/>
        <v>6.9999999999999996E-10</v>
      </c>
      <c r="AA41" s="185">
        <f t="shared" si="24"/>
        <v>8.0000000000000003E-10</v>
      </c>
      <c r="AB41" s="185">
        <f t="shared" si="25"/>
        <v>8.9999999999999999E-10</v>
      </c>
      <c r="AC41" s="185">
        <f t="shared" si="26"/>
        <v>9.5000000000000003E-10</v>
      </c>
      <c r="AD41" s="185" t="b">
        <f t="shared" si="29"/>
        <v>1</v>
      </c>
      <c r="AE41" s="185" t="b">
        <f t="shared" si="30"/>
        <v>1</v>
      </c>
      <c r="AF41" s="185" t="b">
        <f t="shared" si="31"/>
        <v>1</v>
      </c>
      <c r="AG41" s="185" t="b">
        <f t="shared" si="32"/>
        <v>1</v>
      </c>
      <c r="AH41" s="185" t="b">
        <f t="shared" si="33"/>
        <v>0</v>
      </c>
      <c r="AI41" s="185" t="b">
        <f t="shared" si="34"/>
        <v>0</v>
      </c>
      <c r="AJ41" s="185" t="b">
        <f t="shared" si="35"/>
        <v>0</v>
      </c>
      <c r="AK41" s="185" t="b">
        <f t="shared" si="36"/>
        <v>0</v>
      </c>
      <c r="AL41" s="185" t="b">
        <f t="shared" si="37"/>
        <v>1</v>
      </c>
      <c r="AM41" s="185" t="b">
        <f t="shared" si="38"/>
        <v>1</v>
      </c>
      <c r="AO41" s="184"/>
      <c r="AP41" s="185">
        <f>IF(AP40=$AV$38,0,IF(OR(N1="物理",N1="化學",N1="生物",N1="組合科學(物理、化學)",N1="組合科學(生物、化學)",N1="組合科學(物理、生物)",N1="地理"),N6,0))</f>
        <v>0</v>
      </c>
      <c r="AQ41" s="185">
        <f>IF(AQ40=$AV$38,0,IF(OR(O1="物理",O1="化學",O1="生物",O1="組合科學(物理、化學)",O1="組合科學(生物、化學)",O1="組合科學(物理、生物)",O1="地理"),O6,0))</f>
        <v>0</v>
      </c>
      <c r="AR41" s="185">
        <f>IF(AR40=$AV$38,0,IF(OR(P1="物理",P1="化學",P1="生物",P1="組合科學(物理、化學)",P1="組合科學(生物、化學)",P1="組合科學(物理、生物)",P1="地理"),P6,0))</f>
        <v>0</v>
      </c>
      <c r="AS41" s="185">
        <f>IF(AS40=$AV$38,0,IF(OR(Q1="物理",Q1="化學",Q1="生物",Q1="組合科學(物理、化學)",Q1="組合科學(生物、化學)",Q1="組合科學(物理、生物)",Q1="地理"),Q6,0))</f>
        <v>0</v>
      </c>
      <c r="AT41" s="185">
        <f>M3</f>
        <v>5.0000000000000003E-10</v>
      </c>
      <c r="AU41" s="196"/>
      <c r="AV41" s="185" t="str">
        <f>IF(AW41&gt;0,INDEX(AP40:AT40,MATCH(LARGE(AP41:AT41,1),AP41:AT41,0)),"無")</f>
        <v>數學延伸</v>
      </c>
      <c r="AW41" s="185">
        <f>LARGE((AP41:AT41),1)</f>
        <v>5.0000000000000003E-10</v>
      </c>
      <c r="AX41" s="184"/>
      <c r="AY41" s="184"/>
      <c r="AZ41" s="184"/>
      <c r="BA41" s="185" t="s">
        <v>35</v>
      </c>
      <c r="BC41" s="185" t="s">
        <v>1970</v>
      </c>
      <c r="BD41" s="185" t="s">
        <v>1970</v>
      </c>
      <c r="BE41" s="185" t="s">
        <v>1970</v>
      </c>
      <c r="BF41" s="185" t="s">
        <v>1970</v>
      </c>
      <c r="BS41" s="185" t="s">
        <v>1970</v>
      </c>
    </row>
    <row r="42" spans="1:71" x14ac:dyDescent="0.3">
      <c r="A42" s="185" t="str">
        <f>'Reference Score Calculation'!A21</f>
        <v>JS1017</v>
      </c>
      <c r="B42" s="185" t="str">
        <f>'Reference Score Calculation'!D21</f>
        <v>資訊系統學系 [選項: 工商管理學士(環球商業系統管理)、工商管理學士(資訊管理)]</v>
      </c>
      <c r="C42" s="236"/>
      <c r="D42" s="190" t="str">
        <f>'Reference Score Calculation'!E21</f>
        <v>4C2X</v>
      </c>
      <c r="E42" s="190" t="str">
        <f>入學要求!T30</f>
        <v>v</v>
      </c>
      <c r="F42" s="190" t="str">
        <f>入學要求!U30</f>
        <v>E</v>
      </c>
      <c r="G42" s="190" t="str">
        <f>入學要求!V30</f>
        <v>NO</v>
      </c>
      <c r="H42" s="185">
        <f t="shared" si="16"/>
        <v>2.8499999999999999E-9</v>
      </c>
      <c r="I42" s="194">
        <v>1</v>
      </c>
      <c r="J42" s="194">
        <v>1</v>
      </c>
      <c r="K42" s="194">
        <v>1</v>
      </c>
      <c r="L42" s="194">
        <v>1</v>
      </c>
      <c r="M42" s="194">
        <v>1</v>
      </c>
      <c r="N42" s="194">
        <v>1</v>
      </c>
      <c r="O42" s="194">
        <v>1</v>
      </c>
      <c r="P42" s="194">
        <v>1</v>
      </c>
      <c r="Q42" s="194">
        <v>1</v>
      </c>
      <c r="R42" s="194">
        <v>1</v>
      </c>
      <c r="T42" s="185">
        <f t="shared" si="17"/>
        <v>1E-10</v>
      </c>
      <c r="U42" s="185">
        <f t="shared" si="18"/>
        <v>2.0000000000000001E-10</v>
      </c>
      <c r="V42" s="185">
        <f t="shared" si="19"/>
        <v>3E-10</v>
      </c>
      <c r="W42" s="185">
        <f t="shared" si="20"/>
        <v>4.0000000000000001E-10</v>
      </c>
      <c r="X42" s="185">
        <f t="shared" si="21"/>
        <v>5.0000000000000003E-10</v>
      </c>
      <c r="Y42" s="185">
        <f t="shared" si="22"/>
        <v>6E-10</v>
      </c>
      <c r="Z42" s="185">
        <f t="shared" si="23"/>
        <v>6.9999999999999996E-10</v>
      </c>
      <c r="AA42" s="185">
        <f t="shared" si="24"/>
        <v>8.0000000000000003E-10</v>
      </c>
      <c r="AB42" s="185">
        <f t="shared" si="25"/>
        <v>8.9999999999999999E-10</v>
      </c>
      <c r="AC42" s="185">
        <f t="shared" si="26"/>
        <v>9.5000000000000003E-10</v>
      </c>
      <c r="AD42" s="185" t="b">
        <f t="shared" si="29"/>
        <v>1</v>
      </c>
      <c r="AE42" s="185" t="b">
        <f t="shared" si="30"/>
        <v>1</v>
      </c>
      <c r="AF42" s="185" t="b">
        <f t="shared" si="31"/>
        <v>1</v>
      </c>
      <c r="AG42" s="185" t="b">
        <f t="shared" si="32"/>
        <v>1</v>
      </c>
      <c r="AH42" s="185" t="b">
        <f t="shared" si="33"/>
        <v>0</v>
      </c>
      <c r="AI42" s="185" t="b">
        <f t="shared" si="34"/>
        <v>0</v>
      </c>
      <c r="AJ42" s="185" t="b">
        <f t="shared" si="35"/>
        <v>0</v>
      </c>
      <c r="AK42" s="185" t="b">
        <f t="shared" si="36"/>
        <v>0</v>
      </c>
      <c r="AL42" s="185" t="b">
        <f t="shared" si="37"/>
        <v>1</v>
      </c>
      <c r="AM42" s="185" t="b">
        <f t="shared" si="38"/>
        <v>1</v>
      </c>
      <c r="AO42" s="122"/>
      <c r="AP42" s="241" t="s">
        <v>2786</v>
      </c>
      <c r="AQ42" s="196"/>
      <c r="AR42" s="196"/>
      <c r="AS42" s="196"/>
      <c r="AT42" s="196"/>
      <c r="AU42" s="197"/>
      <c r="AV42" s="197"/>
      <c r="AW42" s="197"/>
      <c r="AX42" s="196"/>
      <c r="AY42" s="196"/>
      <c r="AZ42" s="196"/>
      <c r="BA42" s="185" t="s">
        <v>39</v>
      </c>
      <c r="BC42" s="185" t="s">
        <v>1970</v>
      </c>
      <c r="BD42" s="185" t="s">
        <v>1970</v>
      </c>
      <c r="BE42" s="185" t="s">
        <v>1970</v>
      </c>
      <c r="BF42" s="185" t="s">
        <v>1970</v>
      </c>
      <c r="BS42" s="185" t="s">
        <v>1970</v>
      </c>
    </row>
    <row r="43" spans="1:71" x14ac:dyDescent="0.3">
      <c r="A43" s="185" t="str">
        <f>'Reference Score Calculation'!A22</f>
        <v>JS1018</v>
      </c>
      <c r="B43" s="185" t="str">
        <f>'Reference Score Calculation'!D22</f>
        <v>工商管理學士(環球商業系統管理)</v>
      </c>
      <c r="C43" s="236"/>
      <c r="D43" s="190" t="str">
        <f>'Reference Score Calculation'!E22</f>
        <v>4C2X</v>
      </c>
      <c r="E43" s="190" t="str">
        <f>入學要求!T31</f>
        <v>v</v>
      </c>
      <c r="F43" s="190" t="str">
        <f>入學要求!U31</f>
        <v>E</v>
      </c>
      <c r="G43" s="190" t="str">
        <f>入學要求!V31</f>
        <v>NO</v>
      </c>
      <c r="H43" s="185">
        <f t="shared" si="16"/>
        <v>2.8499999999999999E-9</v>
      </c>
      <c r="I43" s="194">
        <v>1</v>
      </c>
      <c r="J43" s="194">
        <v>1</v>
      </c>
      <c r="K43" s="194">
        <v>1</v>
      </c>
      <c r="L43" s="194">
        <v>1</v>
      </c>
      <c r="M43" s="194">
        <v>1</v>
      </c>
      <c r="N43" s="194">
        <v>1</v>
      </c>
      <c r="O43" s="194">
        <v>1</v>
      </c>
      <c r="P43" s="194">
        <v>1</v>
      </c>
      <c r="Q43" s="194">
        <v>1</v>
      </c>
      <c r="R43" s="194">
        <v>1</v>
      </c>
      <c r="T43" s="185">
        <f t="shared" si="17"/>
        <v>1E-10</v>
      </c>
      <c r="U43" s="185">
        <f t="shared" si="18"/>
        <v>2.0000000000000001E-10</v>
      </c>
      <c r="V43" s="185">
        <f t="shared" si="19"/>
        <v>3E-10</v>
      </c>
      <c r="W43" s="185">
        <f t="shared" si="20"/>
        <v>4.0000000000000001E-10</v>
      </c>
      <c r="X43" s="185">
        <f t="shared" si="21"/>
        <v>5.0000000000000003E-10</v>
      </c>
      <c r="Y43" s="185">
        <f t="shared" si="22"/>
        <v>6E-10</v>
      </c>
      <c r="Z43" s="185">
        <f t="shared" si="23"/>
        <v>6.9999999999999996E-10</v>
      </c>
      <c r="AA43" s="185">
        <f t="shared" si="24"/>
        <v>8.0000000000000003E-10</v>
      </c>
      <c r="AB43" s="185">
        <f t="shared" si="25"/>
        <v>8.9999999999999999E-10</v>
      </c>
      <c r="AC43" s="185">
        <f t="shared" si="26"/>
        <v>9.5000000000000003E-10</v>
      </c>
      <c r="AD43" s="185" t="b">
        <f t="shared" si="29"/>
        <v>1</v>
      </c>
      <c r="AE43" s="185" t="b">
        <f t="shared" si="30"/>
        <v>1</v>
      </c>
      <c r="AF43" s="185" t="b">
        <f t="shared" si="31"/>
        <v>1</v>
      </c>
      <c r="AG43" s="185" t="b">
        <f t="shared" si="32"/>
        <v>1</v>
      </c>
      <c r="AH43" s="185" t="b">
        <f t="shared" si="33"/>
        <v>0</v>
      </c>
      <c r="AI43" s="185" t="b">
        <f t="shared" si="34"/>
        <v>0</v>
      </c>
      <c r="AJ43" s="185" t="b">
        <f t="shared" si="35"/>
        <v>0</v>
      </c>
      <c r="AK43" s="185" t="b">
        <f t="shared" si="36"/>
        <v>0</v>
      </c>
      <c r="AL43" s="185" t="b">
        <f t="shared" si="37"/>
        <v>1</v>
      </c>
      <c r="AM43" s="185" t="b">
        <f t="shared" si="38"/>
        <v>1</v>
      </c>
      <c r="AO43" s="184"/>
      <c r="AP43" s="184" t="str">
        <f t="shared" ref="AP43:AY43" si="39">I1</f>
        <v>中國語文</v>
      </c>
      <c r="AQ43" s="184" t="str">
        <f t="shared" si="39"/>
        <v>英國語文</v>
      </c>
      <c r="AR43" s="184" t="str">
        <f t="shared" si="39"/>
        <v>數學</v>
      </c>
      <c r="AS43" s="184" t="str">
        <f t="shared" si="39"/>
        <v>通識教育</v>
      </c>
      <c r="AT43" s="196" t="str">
        <f t="shared" si="39"/>
        <v>數學延伸</v>
      </c>
      <c r="AU43" s="196" t="str">
        <f t="shared" si="39"/>
        <v>請選擇第一選修科</v>
      </c>
      <c r="AV43" s="196" t="str">
        <f t="shared" si="39"/>
        <v>請選擇第二選修科</v>
      </c>
      <c r="AW43" s="196" t="str">
        <f t="shared" si="39"/>
        <v>請選擇第三選修科</v>
      </c>
      <c r="AX43" s="196" t="str">
        <f t="shared" si="39"/>
        <v>請選擇第四選修科</v>
      </c>
      <c r="AY43" s="196" t="str">
        <f t="shared" si="39"/>
        <v>請選擇語言科目</v>
      </c>
      <c r="AZ43" s="184"/>
      <c r="BA43" s="185" t="s">
        <v>43</v>
      </c>
      <c r="BC43" s="185" t="s">
        <v>1970</v>
      </c>
      <c r="BD43" s="185" t="s">
        <v>1970</v>
      </c>
      <c r="BE43" s="185" t="s">
        <v>1970</v>
      </c>
      <c r="BF43" s="185" t="s">
        <v>1970</v>
      </c>
      <c r="BS43" s="185" t="s">
        <v>1970</v>
      </c>
    </row>
    <row r="44" spans="1:71" x14ac:dyDescent="0.3">
      <c r="A44" s="185" t="str">
        <f>'Reference Score Calculation'!A23</f>
        <v>JS1019</v>
      </c>
      <c r="B44" s="185" t="str">
        <f>'Reference Score Calculation'!D23</f>
        <v>工商管理學士(資訊管理)</v>
      </c>
      <c r="C44" s="236"/>
      <c r="D44" s="190" t="str">
        <f>'Reference Score Calculation'!E23</f>
        <v>4C2X</v>
      </c>
      <c r="E44" s="190" t="str">
        <f>入學要求!T32</f>
        <v>v</v>
      </c>
      <c r="F44" s="190" t="str">
        <f>入學要求!U32</f>
        <v>E</v>
      </c>
      <c r="G44" s="190" t="str">
        <f>入學要求!V32</f>
        <v>NO</v>
      </c>
      <c r="H44" s="185">
        <f t="shared" si="16"/>
        <v>2.8499999999999999E-9</v>
      </c>
      <c r="I44" s="194">
        <v>1</v>
      </c>
      <c r="J44" s="194">
        <v>1</v>
      </c>
      <c r="K44" s="194">
        <v>1</v>
      </c>
      <c r="L44" s="194">
        <v>1</v>
      </c>
      <c r="M44" s="194">
        <v>1</v>
      </c>
      <c r="N44" s="194">
        <v>1</v>
      </c>
      <c r="O44" s="194">
        <v>1</v>
      </c>
      <c r="P44" s="194">
        <v>1</v>
      </c>
      <c r="Q44" s="194">
        <v>1</v>
      </c>
      <c r="R44" s="194">
        <v>1</v>
      </c>
      <c r="T44" s="185">
        <f t="shared" si="17"/>
        <v>1E-10</v>
      </c>
      <c r="U44" s="185">
        <f t="shared" si="18"/>
        <v>2.0000000000000001E-10</v>
      </c>
      <c r="V44" s="185">
        <f t="shared" si="19"/>
        <v>3E-10</v>
      </c>
      <c r="W44" s="185">
        <f t="shared" si="20"/>
        <v>4.0000000000000001E-10</v>
      </c>
      <c r="X44" s="185">
        <f t="shared" si="21"/>
        <v>5.0000000000000003E-10</v>
      </c>
      <c r="Y44" s="185">
        <f t="shared" si="22"/>
        <v>6E-10</v>
      </c>
      <c r="Z44" s="185">
        <f t="shared" si="23"/>
        <v>6.9999999999999996E-10</v>
      </c>
      <c r="AA44" s="185">
        <f t="shared" si="24"/>
        <v>8.0000000000000003E-10</v>
      </c>
      <c r="AB44" s="185">
        <f t="shared" si="25"/>
        <v>8.9999999999999999E-10</v>
      </c>
      <c r="AC44" s="185">
        <f t="shared" si="26"/>
        <v>9.5000000000000003E-10</v>
      </c>
      <c r="AD44" s="185" t="b">
        <f t="shared" si="29"/>
        <v>1</v>
      </c>
      <c r="AE44" s="185" t="b">
        <f t="shared" si="30"/>
        <v>1</v>
      </c>
      <c r="AF44" s="185" t="b">
        <f t="shared" si="31"/>
        <v>1</v>
      </c>
      <c r="AG44" s="185" t="b">
        <f t="shared" si="32"/>
        <v>1</v>
      </c>
      <c r="AH44" s="185" t="b">
        <f t="shared" si="33"/>
        <v>0</v>
      </c>
      <c r="AI44" s="185" t="b">
        <f t="shared" si="34"/>
        <v>0</v>
      </c>
      <c r="AJ44" s="185" t="b">
        <f t="shared" si="35"/>
        <v>0</v>
      </c>
      <c r="AK44" s="185" t="b">
        <f t="shared" si="36"/>
        <v>0</v>
      </c>
      <c r="AL44" s="185" t="b">
        <f t="shared" si="37"/>
        <v>1</v>
      </c>
      <c r="AM44" s="185" t="b">
        <f t="shared" si="38"/>
        <v>1</v>
      </c>
      <c r="AO44" s="184"/>
      <c r="AP44" s="199">
        <f>I3</f>
        <v>1E-10</v>
      </c>
      <c r="AQ44" s="196"/>
      <c r="AR44" s="196"/>
      <c r="AS44" s="199">
        <f>L3</f>
        <v>4.0000000000000001E-10</v>
      </c>
      <c r="AT44" s="199">
        <f>IF(AT43=AV41,M3*1.5,M3)</f>
        <v>7.500000000000001E-10</v>
      </c>
      <c r="AU44" s="199">
        <f>IF(AU43=$AV$38,0,IF(AU43=$AV$41,N3*1.5,N3))</f>
        <v>6E-10</v>
      </c>
      <c r="AV44" s="199">
        <f>IF(AV43=$AV$38,0,IF(AV43=$AV$41,O3*1.5,O3))</f>
        <v>6.9999999999999996E-10</v>
      </c>
      <c r="AW44" s="199">
        <f>IF(AW43=$AV$38,0,IF(AW43=$AV$41,P3*1.5,P3))</f>
        <v>8.0000000000000003E-10</v>
      </c>
      <c r="AX44" s="199">
        <f>IF(AX43=$AV$38,0,IF(AX43=$AV$41,Q3*1.5,Q3))</f>
        <v>8.9999999999999999E-10</v>
      </c>
      <c r="AY44" s="199">
        <f>R3</f>
        <v>9.5000000000000003E-10</v>
      </c>
      <c r="AZ44" s="196"/>
      <c r="BA44" s="185" t="s">
        <v>47</v>
      </c>
      <c r="BC44" s="185" t="s">
        <v>1970</v>
      </c>
      <c r="BD44" s="185" t="s">
        <v>1970</v>
      </c>
      <c r="BE44" s="185" t="s">
        <v>1970</v>
      </c>
      <c r="BF44" s="185" t="s">
        <v>1970</v>
      </c>
      <c r="BS44" s="185" t="s">
        <v>1970</v>
      </c>
    </row>
    <row r="45" spans="1:71" x14ac:dyDescent="0.3">
      <c r="A45" s="185" t="str">
        <f>'Reference Score Calculation'!A24</f>
        <v>JS1025</v>
      </c>
      <c r="B45" s="185" t="str">
        <f>'Reference Score Calculation'!D24</f>
        <v>管理科學系 [選項: 工商管理學士(商業分析)、工商管理學士(商業營運管理)]</v>
      </c>
      <c r="C45" s="236"/>
      <c r="D45" s="190" t="str">
        <f>'Reference Score Calculation'!E24</f>
        <v>4C2X</v>
      </c>
      <c r="E45" s="190" t="str">
        <f>入學要求!T33</f>
        <v>v</v>
      </c>
      <c r="F45" s="190" t="str">
        <f>入學要求!U33</f>
        <v>E</v>
      </c>
      <c r="G45" s="190" t="str">
        <f>入學要求!V33</f>
        <v>NO</v>
      </c>
      <c r="H45" s="185">
        <f t="shared" si="16"/>
        <v>2.8499999999999999E-9</v>
      </c>
      <c r="I45" s="194">
        <v>1</v>
      </c>
      <c r="J45" s="194">
        <v>1</v>
      </c>
      <c r="K45" s="194">
        <v>1</v>
      </c>
      <c r="L45" s="194">
        <v>1</v>
      </c>
      <c r="M45" s="194">
        <v>1</v>
      </c>
      <c r="N45" s="194">
        <v>1</v>
      </c>
      <c r="O45" s="194">
        <v>1</v>
      </c>
      <c r="P45" s="194">
        <v>1</v>
      </c>
      <c r="Q45" s="194">
        <v>1</v>
      </c>
      <c r="R45" s="194">
        <v>1</v>
      </c>
      <c r="T45" s="185">
        <f t="shared" si="17"/>
        <v>1E-10</v>
      </c>
      <c r="U45" s="185">
        <f t="shared" si="18"/>
        <v>2.0000000000000001E-10</v>
      </c>
      <c r="V45" s="185">
        <f t="shared" si="19"/>
        <v>3E-10</v>
      </c>
      <c r="W45" s="185">
        <f t="shared" si="20"/>
        <v>4.0000000000000001E-10</v>
      </c>
      <c r="X45" s="185">
        <f t="shared" si="21"/>
        <v>5.0000000000000003E-10</v>
      </c>
      <c r="Y45" s="185">
        <f t="shared" si="22"/>
        <v>6E-10</v>
      </c>
      <c r="Z45" s="185">
        <f t="shared" si="23"/>
        <v>6.9999999999999996E-10</v>
      </c>
      <c r="AA45" s="185">
        <f t="shared" si="24"/>
        <v>8.0000000000000003E-10</v>
      </c>
      <c r="AB45" s="185">
        <f t="shared" si="25"/>
        <v>8.9999999999999999E-10</v>
      </c>
      <c r="AC45" s="185">
        <f t="shared" si="26"/>
        <v>9.5000000000000003E-10</v>
      </c>
      <c r="AD45" s="185" t="b">
        <f t="shared" si="29"/>
        <v>1</v>
      </c>
      <c r="AE45" s="185" t="b">
        <f t="shared" si="30"/>
        <v>1</v>
      </c>
      <c r="AF45" s="185" t="b">
        <f t="shared" si="31"/>
        <v>1</v>
      </c>
      <c r="AG45" s="185" t="b">
        <f t="shared" si="32"/>
        <v>1</v>
      </c>
      <c r="AH45" s="185" t="b">
        <f t="shared" si="33"/>
        <v>0</v>
      </c>
      <c r="AI45" s="185" t="b">
        <f t="shared" si="34"/>
        <v>0</v>
      </c>
      <c r="AJ45" s="185" t="b">
        <f t="shared" si="35"/>
        <v>0</v>
      </c>
      <c r="AK45" s="185" t="b">
        <f t="shared" si="36"/>
        <v>0</v>
      </c>
      <c r="AL45" s="185" t="b">
        <f t="shared" si="37"/>
        <v>1</v>
      </c>
      <c r="AM45" s="185" t="b">
        <f t="shared" si="38"/>
        <v>1</v>
      </c>
      <c r="AO45" s="184"/>
      <c r="AP45" s="197" t="b">
        <f>IF(AP44&gt;LARGE($AP$44:$AY$44,3),TRUE,FALSE)</f>
        <v>0</v>
      </c>
      <c r="AQ45" s="184"/>
      <c r="AR45" s="184"/>
      <c r="AS45" s="197" t="b">
        <f t="shared" ref="AS45:AY45" si="40">IF(AS44&gt;LARGE($AP$44:$AY$44,3),TRUE,FALSE)</f>
        <v>0</v>
      </c>
      <c r="AT45" s="197" t="b">
        <f t="shared" si="40"/>
        <v>0</v>
      </c>
      <c r="AU45" s="197" t="b">
        <f t="shared" si="40"/>
        <v>0</v>
      </c>
      <c r="AV45" s="197" t="b">
        <f t="shared" si="40"/>
        <v>0</v>
      </c>
      <c r="AW45" s="197" t="b">
        <f t="shared" si="40"/>
        <v>0</v>
      </c>
      <c r="AX45" s="197" t="b">
        <f t="shared" si="40"/>
        <v>1</v>
      </c>
      <c r="AY45" s="197" t="b">
        <f t="shared" si="40"/>
        <v>1</v>
      </c>
      <c r="AZ45" s="184"/>
      <c r="BA45" s="185" t="s">
        <v>51</v>
      </c>
      <c r="BC45" s="185" t="s">
        <v>1970</v>
      </c>
      <c r="BD45" s="185" t="s">
        <v>1970</v>
      </c>
      <c r="BE45" s="185" t="s">
        <v>1970</v>
      </c>
      <c r="BF45" s="185" t="s">
        <v>1970</v>
      </c>
      <c r="BS45" s="185" t="s">
        <v>1970</v>
      </c>
    </row>
    <row r="46" spans="1:71" x14ac:dyDescent="0.3">
      <c r="A46" s="185" t="str">
        <f>'Reference Score Calculation'!A25</f>
        <v>JS1026</v>
      </c>
      <c r="B46" s="185" t="str">
        <f>'Reference Score Calculation'!D25</f>
        <v>工商管理學士(商業分析)</v>
      </c>
      <c r="C46" s="236"/>
      <c r="D46" s="190" t="str">
        <f>'Reference Score Calculation'!E25</f>
        <v>4C2X</v>
      </c>
      <c r="E46" s="190" t="str">
        <f>入學要求!T34</f>
        <v>v</v>
      </c>
      <c r="F46" s="190" t="str">
        <f>入學要求!U34</f>
        <v>E</v>
      </c>
      <c r="G46" s="190" t="str">
        <f>入學要求!V34</f>
        <v>NO</v>
      </c>
      <c r="H46" s="185">
        <f t="shared" si="16"/>
        <v>2.8499999999999999E-9</v>
      </c>
      <c r="I46" s="194">
        <v>1</v>
      </c>
      <c r="J46" s="194">
        <v>1</v>
      </c>
      <c r="K46" s="194">
        <v>1</v>
      </c>
      <c r="L46" s="194">
        <v>1</v>
      </c>
      <c r="M46" s="194">
        <v>1</v>
      </c>
      <c r="N46" s="194">
        <v>1</v>
      </c>
      <c r="O46" s="194">
        <v>1</v>
      </c>
      <c r="P46" s="194">
        <v>1</v>
      </c>
      <c r="Q46" s="194">
        <v>1</v>
      </c>
      <c r="R46" s="194">
        <v>1</v>
      </c>
      <c r="T46" s="185">
        <f t="shared" si="17"/>
        <v>1E-10</v>
      </c>
      <c r="U46" s="185">
        <f t="shared" si="18"/>
        <v>2.0000000000000001E-10</v>
      </c>
      <c r="V46" s="185">
        <f t="shared" si="19"/>
        <v>3E-10</v>
      </c>
      <c r="W46" s="185">
        <f t="shared" si="20"/>
        <v>4.0000000000000001E-10</v>
      </c>
      <c r="X46" s="185">
        <f t="shared" si="21"/>
        <v>5.0000000000000003E-10</v>
      </c>
      <c r="Y46" s="185">
        <f t="shared" si="22"/>
        <v>6E-10</v>
      </c>
      <c r="Z46" s="185">
        <f t="shared" si="23"/>
        <v>6.9999999999999996E-10</v>
      </c>
      <c r="AA46" s="185">
        <f t="shared" si="24"/>
        <v>8.0000000000000003E-10</v>
      </c>
      <c r="AB46" s="185">
        <f t="shared" si="25"/>
        <v>8.9999999999999999E-10</v>
      </c>
      <c r="AC46" s="185">
        <f t="shared" si="26"/>
        <v>9.5000000000000003E-10</v>
      </c>
      <c r="AD46" s="185" t="b">
        <f t="shared" si="29"/>
        <v>1</v>
      </c>
      <c r="AE46" s="185" t="b">
        <f t="shared" si="30"/>
        <v>1</v>
      </c>
      <c r="AF46" s="185" t="b">
        <f t="shared" si="31"/>
        <v>1</v>
      </c>
      <c r="AG46" s="185" t="b">
        <f t="shared" si="32"/>
        <v>1</v>
      </c>
      <c r="AH46" s="185" t="b">
        <f t="shared" si="33"/>
        <v>0</v>
      </c>
      <c r="AI46" s="185" t="b">
        <f t="shared" si="34"/>
        <v>0</v>
      </c>
      <c r="AJ46" s="185" t="b">
        <f t="shared" si="35"/>
        <v>0</v>
      </c>
      <c r="AK46" s="185" t="b">
        <f t="shared" si="36"/>
        <v>0</v>
      </c>
      <c r="AL46" s="185" t="b">
        <f t="shared" si="37"/>
        <v>1</v>
      </c>
      <c r="AM46" s="185" t="b">
        <f t="shared" si="38"/>
        <v>1</v>
      </c>
      <c r="AO46" s="122"/>
      <c r="AP46" s="196"/>
      <c r="AQ46" s="196"/>
      <c r="AR46" s="196"/>
      <c r="AS46" s="196"/>
      <c r="AT46" s="196"/>
      <c r="AU46" s="196"/>
      <c r="AV46" s="196"/>
      <c r="AW46" s="196"/>
      <c r="AX46" s="197"/>
      <c r="AY46" s="197"/>
      <c r="AZ46" s="197"/>
      <c r="BA46" s="185" t="s">
        <v>55</v>
      </c>
      <c r="BC46" s="185" t="s">
        <v>1970</v>
      </c>
      <c r="BD46" s="185" t="s">
        <v>1970</v>
      </c>
      <c r="BE46" s="185" t="s">
        <v>1970</v>
      </c>
      <c r="BF46" s="185" t="s">
        <v>1970</v>
      </c>
      <c r="BS46" s="185" t="s">
        <v>1970</v>
      </c>
    </row>
    <row r="47" spans="1:71" x14ac:dyDescent="0.3">
      <c r="A47" s="185" t="str">
        <f>'Reference Score Calculation'!A26</f>
        <v>JS1027</v>
      </c>
      <c r="B47" s="185" t="str">
        <f>'Reference Score Calculation'!D26</f>
        <v>工商管理學士(商業營運管理)</v>
      </c>
      <c r="C47" s="236"/>
      <c r="D47" s="190" t="str">
        <f>'Reference Score Calculation'!E26</f>
        <v>4C2X</v>
      </c>
      <c r="E47" s="190" t="str">
        <f>入學要求!T35</f>
        <v>v</v>
      </c>
      <c r="F47" s="190" t="str">
        <f>入學要求!U35</f>
        <v>E</v>
      </c>
      <c r="G47" s="190" t="str">
        <f>入學要求!V35</f>
        <v>NO</v>
      </c>
      <c r="H47" s="185">
        <f t="shared" si="16"/>
        <v>2.8499999999999999E-9</v>
      </c>
      <c r="I47" s="194">
        <v>1</v>
      </c>
      <c r="J47" s="194">
        <v>1</v>
      </c>
      <c r="K47" s="194">
        <v>1</v>
      </c>
      <c r="L47" s="194">
        <v>1</v>
      </c>
      <c r="M47" s="194">
        <v>1</v>
      </c>
      <c r="N47" s="194">
        <v>1</v>
      </c>
      <c r="O47" s="194">
        <v>1</v>
      </c>
      <c r="P47" s="194">
        <v>1</v>
      </c>
      <c r="Q47" s="194">
        <v>1</v>
      </c>
      <c r="R47" s="194">
        <v>1</v>
      </c>
      <c r="T47" s="185">
        <f t="shared" si="17"/>
        <v>1E-10</v>
      </c>
      <c r="U47" s="185">
        <f t="shared" si="18"/>
        <v>2.0000000000000001E-10</v>
      </c>
      <c r="V47" s="185">
        <f t="shared" si="19"/>
        <v>3E-10</v>
      </c>
      <c r="W47" s="185">
        <f t="shared" si="20"/>
        <v>4.0000000000000001E-10</v>
      </c>
      <c r="X47" s="185">
        <f t="shared" si="21"/>
        <v>5.0000000000000003E-10</v>
      </c>
      <c r="Y47" s="185">
        <f t="shared" si="22"/>
        <v>6E-10</v>
      </c>
      <c r="Z47" s="185">
        <f t="shared" si="23"/>
        <v>6.9999999999999996E-10</v>
      </c>
      <c r="AA47" s="185">
        <f t="shared" si="24"/>
        <v>8.0000000000000003E-10</v>
      </c>
      <c r="AB47" s="185">
        <f t="shared" si="25"/>
        <v>8.9999999999999999E-10</v>
      </c>
      <c r="AC47" s="185">
        <f t="shared" si="26"/>
        <v>9.5000000000000003E-10</v>
      </c>
      <c r="AD47" s="185" t="b">
        <f t="shared" si="29"/>
        <v>1</v>
      </c>
      <c r="AE47" s="185" t="b">
        <f t="shared" si="30"/>
        <v>1</v>
      </c>
      <c r="AF47" s="185" t="b">
        <f t="shared" si="31"/>
        <v>1</v>
      </c>
      <c r="AG47" s="185" t="b">
        <f t="shared" si="32"/>
        <v>1</v>
      </c>
      <c r="AH47" s="185" t="b">
        <f t="shared" si="33"/>
        <v>0</v>
      </c>
      <c r="AI47" s="185" t="b">
        <f t="shared" si="34"/>
        <v>0</v>
      </c>
      <c r="AJ47" s="185" t="b">
        <f t="shared" si="35"/>
        <v>0</v>
      </c>
      <c r="AK47" s="185" t="b">
        <f t="shared" si="36"/>
        <v>0</v>
      </c>
      <c r="AL47" s="185" t="b">
        <f t="shared" si="37"/>
        <v>1</v>
      </c>
      <c r="AM47" s="185" t="b">
        <f t="shared" si="38"/>
        <v>1</v>
      </c>
      <c r="AO47" s="184"/>
      <c r="AP47" s="196"/>
      <c r="AQ47" s="196"/>
      <c r="AR47" s="196"/>
      <c r="AS47" s="196"/>
      <c r="AT47" s="196"/>
      <c r="AU47" s="196"/>
      <c r="AV47" s="196"/>
      <c r="AW47" s="196"/>
      <c r="AX47" s="196"/>
      <c r="AY47" s="196"/>
      <c r="AZ47" s="196"/>
      <c r="BA47" s="185" t="s">
        <v>59</v>
      </c>
      <c r="BC47" s="185" t="s">
        <v>1970</v>
      </c>
      <c r="BD47" s="185" t="s">
        <v>1970</v>
      </c>
      <c r="BE47" s="185" t="s">
        <v>1970</v>
      </c>
      <c r="BF47" s="185" t="s">
        <v>1970</v>
      </c>
      <c r="BS47" s="185" t="s">
        <v>1970</v>
      </c>
    </row>
    <row r="48" spans="1:71" x14ac:dyDescent="0.3">
      <c r="A48" s="185" t="str">
        <f>'Reference Score Calculation'!A27</f>
        <v>JS1041</v>
      </c>
      <c r="B48" s="185" t="str">
        <f>'Reference Score Calculation'!D27</f>
        <v>創意媒體學院 [選項: 文學士(創意媒體)、理學士(創意媒體)、文理學士(新媒體)]</v>
      </c>
      <c r="C48" s="236"/>
      <c r="D48" s="19" t="str">
        <f>'Reference Score Calculation'!E27</f>
        <v>4C2X</v>
      </c>
      <c r="E48" s="190" t="str">
        <f>入學要求!T36</f>
        <v>v</v>
      </c>
      <c r="F48" s="190" t="str">
        <f>入學要求!U36</f>
        <v>E</v>
      </c>
      <c r="G48" s="248" t="str">
        <f>入學要求!V36</f>
        <v>v</v>
      </c>
      <c r="H48" s="185">
        <f t="shared" si="16"/>
        <v>3.05E-9</v>
      </c>
      <c r="I48" s="194">
        <v>1</v>
      </c>
      <c r="J48" s="194">
        <v>2</v>
      </c>
      <c r="K48" s="194">
        <v>1</v>
      </c>
      <c r="L48" s="194">
        <v>1</v>
      </c>
      <c r="M48" s="194">
        <v>1</v>
      </c>
      <c r="N48" s="194">
        <v>1</v>
      </c>
      <c r="O48" s="194">
        <v>1</v>
      </c>
      <c r="P48" s="194">
        <v>1</v>
      </c>
      <c r="Q48" s="194">
        <v>1</v>
      </c>
      <c r="R48" s="194">
        <v>1</v>
      </c>
      <c r="T48" s="185">
        <f t="shared" si="17"/>
        <v>1E-10</v>
      </c>
      <c r="U48" s="185">
        <f t="shared" si="18"/>
        <v>4.0000000000000001E-10</v>
      </c>
      <c r="V48" s="185">
        <f t="shared" si="19"/>
        <v>3E-10</v>
      </c>
      <c r="W48" s="185">
        <f t="shared" si="20"/>
        <v>4.0000000000000001E-10</v>
      </c>
      <c r="X48" s="185">
        <f t="shared" si="21"/>
        <v>5.0000000000000003E-10</v>
      </c>
      <c r="Y48" s="185">
        <f t="shared" si="22"/>
        <v>6E-10</v>
      </c>
      <c r="Z48" s="185">
        <f t="shared" si="23"/>
        <v>6.9999999999999996E-10</v>
      </c>
      <c r="AA48" s="185">
        <f t="shared" si="24"/>
        <v>8.0000000000000003E-10</v>
      </c>
      <c r="AB48" s="185">
        <f t="shared" si="25"/>
        <v>8.9999999999999999E-10</v>
      </c>
      <c r="AC48" s="185">
        <f t="shared" si="26"/>
        <v>9.5000000000000003E-10</v>
      </c>
      <c r="AD48" s="185" t="b">
        <f t="shared" si="29"/>
        <v>1</v>
      </c>
      <c r="AE48" s="185" t="b">
        <f t="shared" si="30"/>
        <v>1</v>
      </c>
      <c r="AF48" s="185" t="b">
        <f t="shared" si="31"/>
        <v>1</v>
      </c>
      <c r="AG48" s="185" t="b">
        <f t="shared" si="32"/>
        <v>1</v>
      </c>
      <c r="AH48" s="185" t="b">
        <f>IF($D48="4C2X",IF(X48&gt;LARGE($X48:$AC48,3),TRUE),IF($D48="4C1X",IF(X48&gt;LARGE($X48:$AC48,2),TRUE),IF($D48="Best 5",IF(X48&gt;LARGE($T48:$AC48,6),TRUE),IF($D48="Best 6",IF(X48&gt;LARGE($T48:$AC48,7),TRUE)))))</f>
        <v>0</v>
      </c>
      <c r="AI48" s="185" t="b">
        <f t="shared" si="34"/>
        <v>0</v>
      </c>
      <c r="AJ48" s="185" t="b">
        <f t="shared" si="35"/>
        <v>0</v>
      </c>
      <c r="AK48" s="185" t="b">
        <f t="shared" si="36"/>
        <v>0</v>
      </c>
      <c r="AL48" s="185" t="b">
        <f t="shared" si="37"/>
        <v>1</v>
      </c>
      <c r="AM48" s="185" t="b">
        <f t="shared" si="38"/>
        <v>1</v>
      </c>
      <c r="AO48" s="201" t="s">
        <v>2836</v>
      </c>
      <c r="AP48" s="122"/>
      <c r="AQ48" s="122"/>
      <c r="AR48" s="122"/>
      <c r="AS48" s="122"/>
      <c r="AT48" s="122"/>
      <c r="AU48" s="122"/>
      <c r="AV48" s="122"/>
      <c r="AW48" s="122"/>
      <c r="AX48" s="122"/>
      <c r="AY48" s="122"/>
      <c r="AZ48" s="122"/>
      <c r="BA48" s="185" t="s">
        <v>63</v>
      </c>
      <c r="BC48" s="185" t="s">
        <v>1970</v>
      </c>
      <c r="BD48" s="185" t="s">
        <v>1970</v>
      </c>
      <c r="BE48" s="185" t="s">
        <v>2739</v>
      </c>
      <c r="BF48" s="185" t="s">
        <v>1970</v>
      </c>
      <c r="BS48" s="185" t="s">
        <v>1970</v>
      </c>
    </row>
    <row r="49" spans="1:71" x14ac:dyDescent="0.3">
      <c r="A49" s="185" t="str">
        <f>'Reference Score Calculation'!A28</f>
        <v>JS1042</v>
      </c>
      <c r="B49" s="185" t="str">
        <f>'Reference Score Calculation'!D28</f>
        <v>文學士(創意媒體)</v>
      </c>
      <c r="C49" s="236"/>
      <c r="D49" s="19" t="str">
        <f>'Reference Score Calculation'!E28</f>
        <v>4C2X</v>
      </c>
      <c r="E49" s="190" t="str">
        <f>入學要求!T37</f>
        <v>v</v>
      </c>
      <c r="F49" s="190" t="str">
        <f>入學要求!U37</f>
        <v>E</v>
      </c>
      <c r="G49" s="248" t="str">
        <f>入學要求!V37</f>
        <v>v</v>
      </c>
      <c r="H49" s="185">
        <f t="shared" si="16"/>
        <v>3.05E-9</v>
      </c>
      <c r="I49" s="194">
        <v>1</v>
      </c>
      <c r="J49" s="194">
        <v>2</v>
      </c>
      <c r="K49" s="194">
        <v>1</v>
      </c>
      <c r="L49" s="194">
        <v>1</v>
      </c>
      <c r="M49" s="194">
        <v>1</v>
      </c>
      <c r="N49" s="194">
        <v>1</v>
      </c>
      <c r="O49" s="194">
        <v>1</v>
      </c>
      <c r="P49" s="194">
        <v>1</v>
      </c>
      <c r="Q49" s="194">
        <v>1</v>
      </c>
      <c r="R49" s="194">
        <v>1</v>
      </c>
      <c r="T49" s="185">
        <f t="shared" si="17"/>
        <v>1E-10</v>
      </c>
      <c r="U49" s="185">
        <f t="shared" si="18"/>
        <v>4.0000000000000001E-10</v>
      </c>
      <c r="V49" s="185">
        <f t="shared" si="19"/>
        <v>3E-10</v>
      </c>
      <c r="W49" s="185">
        <f t="shared" si="20"/>
        <v>4.0000000000000001E-10</v>
      </c>
      <c r="X49" s="185">
        <f t="shared" si="21"/>
        <v>5.0000000000000003E-10</v>
      </c>
      <c r="Y49" s="185">
        <f t="shared" si="22"/>
        <v>6E-10</v>
      </c>
      <c r="Z49" s="185">
        <f t="shared" si="23"/>
        <v>6.9999999999999996E-10</v>
      </c>
      <c r="AA49" s="185">
        <f t="shared" si="24"/>
        <v>8.0000000000000003E-10</v>
      </c>
      <c r="AB49" s="185">
        <f t="shared" si="25"/>
        <v>8.9999999999999999E-10</v>
      </c>
      <c r="AC49" s="185">
        <f t="shared" si="26"/>
        <v>9.5000000000000003E-10</v>
      </c>
      <c r="AD49" s="185" t="b">
        <f t="shared" si="29"/>
        <v>1</v>
      </c>
      <c r="AE49" s="185" t="b">
        <f t="shared" si="30"/>
        <v>1</v>
      </c>
      <c r="AF49" s="185" t="b">
        <f t="shared" si="31"/>
        <v>1</v>
      </c>
      <c r="AG49" s="185" t="b">
        <f t="shared" si="32"/>
        <v>1</v>
      </c>
      <c r="AH49" s="185" t="b">
        <f t="shared" si="33"/>
        <v>0</v>
      </c>
      <c r="AI49" s="185" t="b">
        <f t="shared" si="34"/>
        <v>0</v>
      </c>
      <c r="AJ49" s="185" t="b">
        <f t="shared" si="35"/>
        <v>0</v>
      </c>
      <c r="AK49" s="185" t="b">
        <f t="shared" si="36"/>
        <v>0</v>
      </c>
      <c r="AL49" s="185" t="b">
        <f t="shared" si="37"/>
        <v>1</v>
      </c>
      <c r="AM49" s="185" t="b">
        <f t="shared" si="38"/>
        <v>1</v>
      </c>
      <c r="AO49" s="122"/>
      <c r="AP49" s="122"/>
      <c r="AQ49" s="122"/>
      <c r="AR49" s="122"/>
      <c r="AS49" s="122"/>
      <c r="AT49" s="122"/>
      <c r="AU49" s="122"/>
      <c r="AV49" s="122"/>
      <c r="AW49" s="122"/>
      <c r="AX49" s="122"/>
      <c r="AY49" s="122"/>
      <c r="AZ49" s="122"/>
      <c r="BA49" s="185" t="s">
        <v>68</v>
      </c>
      <c r="BC49" s="185" t="s">
        <v>1970</v>
      </c>
      <c r="BD49" s="185" t="s">
        <v>1970</v>
      </c>
      <c r="BE49" s="185" t="s">
        <v>2739</v>
      </c>
      <c r="BF49" s="185" t="s">
        <v>1970</v>
      </c>
      <c r="BS49" s="185" t="s">
        <v>1970</v>
      </c>
    </row>
    <row r="50" spans="1:71" x14ac:dyDescent="0.3">
      <c r="A50" s="185" t="str">
        <f>'Reference Score Calculation'!A29</f>
        <v>JS1043</v>
      </c>
      <c r="B50" s="185" t="str">
        <f>'Reference Score Calculation'!D29</f>
        <v>理學士(創意媒體)</v>
      </c>
      <c r="C50" s="236"/>
      <c r="D50" s="19" t="str">
        <f>'Reference Score Calculation'!E29</f>
        <v>4C2X</v>
      </c>
      <c r="E50" s="190" t="str">
        <f>入學要求!T38</f>
        <v>v</v>
      </c>
      <c r="F50" s="190" t="str">
        <f>入學要求!U38</f>
        <v>E</v>
      </c>
      <c r="G50" s="248" t="str">
        <f>入學要求!V38</f>
        <v>v</v>
      </c>
      <c r="H50" s="185">
        <f t="shared" si="16"/>
        <v>3.2000000000000005E-9</v>
      </c>
      <c r="I50" s="194">
        <v>1</v>
      </c>
      <c r="J50" s="194">
        <v>2</v>
      </c>
      <c r="K50" s="194">
        <v>1.5</v>
      </c>
      <c r="L50" s="194">
        <v>1</v>
      </c>
      <c r="M50" s="194">
        <v>1</v>
      </c>
      <c r="N50" s="194">
        <v>1</v>
      </c>
      <c r="O50" s="194">
        <v>1</v>
      </c>
      <c r="P50" s="194">
        <v>1</v>
      </c>
      <c r="Q50" s="194">
        <v>1</v>
      </c>
      <c r="R50" s="194">
        <v>1</v>
      </c>
      <c r="T50" s="185">
        <f t="shared" si="17"/>
        <v>1E-10</v>
      </c>
      <c r="U50" s="185">
        <f t="shared" si="18"/>
        <v>4.0000000000000001E-10</v>
      </c>
      <c r="V50" s="185">
        <f t="shared" si="19"/>
        <v>4.5E-10</v>
      </c>
      <c r="W50" s="185">
        <f t="shared" si="20"/>
        <v>4.0000000000000001E-10</v>
      </c>
      <c r="X50" s="185">
        <f t="shared" si="21"/>
        <v>5.0000000000000003E-10</v>
      </c>
      <c r="Y50" s="185">
        <f t="shared" si="22"/>
        <v>6E-10</v>
      </c>
      <c r="Z50" s="185">
        <f t="shared" si="23"/>
        <v>6.9999999999999996E-10</v>
      </c>
      <c r="AA50" s="185">
        <f t="shared" si="24"/>
        <v>8.0000000000000003E-10</v>
      </c>
      <c r="AB50" s="185">
        <f t="shared" si="25"/>
        <v>8.9999999999999999E-10</v>
      </c>
      <c r="AC50" s="185">
        <f t="shared" si="26"/>
        <v>9.5000000000000003E-10</v>
      </c>
      <c r="AD50" s="185" t="b">
        <f t="shared" si="29"/>
        <v>1</v>
      </c>
      <c r="AE50" s="185" t="b">
        <f t="shared" si="30"/>
        <v>1</v>
      </c>
      <c r="AF50" s="185" t="b">
        <f t="shared" si="31"/>
        <v>1</v>
      </c>
      <c r="AG50" s="185" t="b">
        <f t="shared" si="32"/>
        <v>1</v>
      </c>
      <c r="AH50" s="185" t="b">
        <f t="shared" si="33"/>
        <v>0</v>
      </c>
      <c r="AI50" s="185" t="b">
        <f t="shared" si="34"/>
        <v>0</v>
      </c>
      <c r="AJ50" s="185" t="b">
        <f t="shared" si="35"/>
        <v>0</v>
      </c>
      <c r="AK50" s="185" t="b">
        <f t="shared" si="36"/>
        <v>0</v>
      </c>
      <c r="AL50" s="185" t="b">
        <f t="shared" si="37"/>
        <v>1</v>
      </c>
      <c r="AM50" s="185" t="b">
        <f t="shared" si="38"/>
        <v>1</v>
      </c>
      <c r="AO50" s="184"/>
      <c r="AP50" s="184" t="str">
        <f>N1</f>
        <v>請選擇第一選修科</v>
      </c>
      <c r="AQ50" s="184" t="str">
        <f>O1</f>
        <v>請選擇第二選修科</v>
      </c>
      <c r="AR50" s="184" t="str">
        <f>P1</f>
        <v>請選擇第三選修科</v>
      </c>
      <c r="AS50" s="184" t="str">
        <f>Q1</f>
        <v>請選擇第四選修科</v>
      </c>
      <c r="AT50" s="184" t="str">
        <f>M1</f>
        <v>數學延伸</v>
      </c>
      <c r="AU50" s="184"/>
      <c r="AV50" s="184" t="s">
        <v>2899</v>
      </c>
      <c r="AW50" s="184"/>
      <c r="AX50" s="184"/>
      <c r="AY50" s="184"/>
      <c r="AZ50" s="184"/>
      <c r="BA50" s="185" t="s">
        <v>73</v>
      </c>
      <c r="BC50" s="185" t="s">
        <v>1970</v>
      </c>
      <c r="BD50" s="185" t="s">
        <v>1970</v>
      </c>
      <c r="BE50" s="185" t="s">
        <v>2739</v>
      </c>
      <c r="BF50" s="185" t="s">
        <v>2776</v>
      </c>
      <c r="BS50" s="185" t="s">
        <v>1970</v>
      </c>
    </row>
    <row r="51" spans="1:71" x14ac:dyDescent="0.3">
      <c r="A51" s="185" t="str">
        <f>'Reference Score Calculation'!A30</f>
        <v>JS1044</v>
      </c>
      <c r="B51" s="185" t="str">
        <f>'Reference Score Calculation'!D30</f>
        <v>文理學士(新媒體)</v>
      </c>
      <c r="C51" s="236"/>
      <c r="D51" s="115" t="str">
        <f>'Reference Score Calculation'!E30</f>
        <v>Best 5</v>
      </c>
      <c r="E51" s="190" t="str">
        <f>入學要求!T39</f>
        <v>v</v>
      </c>
      <c r="F51" s="190" t="str">
        <f>入學要求!U39</f>
        <v>E</v>
      </c>
      <c r="G51" s="248" t="str">
        <f>入學要求!V39</f>
        <v>v</v>
      </c>
      <c r="H51" s="185">
        <f t="shared" si="16"/>
        <v>3.5500000000000004E-9</v>
      </c>
      <c r="I51" s="194">
        <v>1</v>
      </c>
      <c r="J51" s="194">
        <v>1</v>
      </c>
      <c r="K51" s="194">
        <v>1</v>
      </c>
      <c r="L51" s="194">
        <v>1</v>
      </c>
      <c r="M51" s="194">
        <v>1</v>
      </c>
      <c r="N51" s="194">
        <v>1</v>
      </c>
      <c r="O51" s="194">
        <v>1</v>
      </c>
      <c r="P51" s="194">
        <v>1</v>
      </c>
      <c r="Q51" s="194">
        <v>1</v>
      </c>
      <c r="R51" s="194">
        <v>1</v>
      </c>
      <c r="T51" s="185">
        <f t="shared" si="17"/>
        <v>1E-10</v>
      </c>
      <c r="U51" s="185">
        <f t="shared" si="18"/>
        <v>2.0000000000000001E-10</v>
      </c>
      <c r="V51" s="185">
        <f t="shared" si="19"/>
        <v>3E-10</v>
      </c>
      <c r="W51" s="185">
        <f t="shared" si="20"/>
        <v>4.0000000000000001E-10</v>
      </c>
      <c r="X51" s="185">
        <f t="shared" si="21"/>
        <v>5.0000000000000003E-10</v>
      </c>
      <c r="Y51" s="185">
        <f t="shared" si="22"/>
        <v>6E-10</v>
      </c>
      <c r="Z51" s="185">
        <f t="shared" si="23"/>
        <v>6.9999999999999996E-10</v>
      </c>
      <c r="AA51" s="185">
        <f t="shared" si="24"/>
        <v>8.0000000000000003E-10</v>
      </c>
      <c r="AB51" s="185">
        <f t="shared" si="25"/>
        <v>8.9999999999999999E-10</v>
      </c>
      <c r="AC51" s="185">
        <f t="shared" si="26"/>
        <v>9.5000000000000003E-10</v>
      </c>
      <c r="AD51" s="185" t="b">
        <f>IF(T51&gt;LARGE(($T51,$V51:$AC51),5),TRUE)</f>
        <v>0</v>
      </c>
      <c r="AE51" s="223" t="b">
        <f>TRUE</f>
        <v>1</v>
      </c>
      <c r="AF51" s="185" t="b">
        <f>IF(V51&gt;LARGE(($T51,$V51:$AC51),5),TRUE)</f>
        <v>0</v>
      </c>
      <c r="AG51" s="185" t="b">
        <f>IF(W51&gt;LARGE(($T51,$V51:$AC51),5),TRUE)</f>
        <v>0</v>
      </c>
      <c r="AH51" s="185" t="b">
        <f>IF(X51&gt;LARGE(($T51,$V51:$AC51),5),TRUE)</f>
        <v>0</v>
      </c>
      <c r="AI51" s="185" t="b">
        <f>IF(Y51&gt;LARGE(($T51,$V51:$AC51),5),TRUE)</f>
        <v>0</v>
      </c>
      <c r="AJ51" s="185" t="b">
        <f>IF(Z51&gt;LARGE(($T51,$V51:$AC51),5),TRUE)</f>
        <v>1</v>
      </c>
      <c r="AK51" s="185" t="b">
        <f>IF(AA51&gt;LARGE(($T51,$V51:$AC51),5),TRUE)</f>
        <v>1</v>
      </c>
      <c r="AL51" s="185" t="b">
        <f>IF(AB51&gt;LARGE(($T51,$V51:$AC51),5),TRUE)</f>
        <v>1</v>
      </c>
      <c r="AM51" s="185" t="b">
        <f>IF(AC51&gt;LARGE(($T51,$V51:$AC51),5),TRUE)</f>
        <v>1</v>
      </c>
      <c r="AO51" s="243" t="s">
        <v>2789</v>
      </c>
      <c r="AP51" s="185">
        <f>IF(OR(N1="化學",N1="生物",N1="組合科學(物理、化學)",N1="組合科學(生物、化學)",N1="組合科學(物理、生物)",N1="綜合科學",N1="資訊及通訊科技",N1="物理"),N3,0)</f>
        <v>0</v>
      </c>
      <c r="AQ51" s="185">
        <f>IF(OR(O1="化學",O1="生物",O1="組合科學(物理、化學)",O1="組合科學(生物、化學)",O1="組合科學(物理、生物)",O1="綜合科學",O1="資訊及通訊科技",O1="物理"),O3,0)</f>
        <v>0</v>
      </c>
      <c r="AR51" s="185">
        <f>IF(OR(P1="化學",P1="生物",P1="組合科學(物理、化學)",P1="組合科學(生物、化學)",P1="組合科學(物理、生物)",P1="綜合科學",P1="資訊及通訊科技",P1="物理"),P3,0)</f>
        <v>0</v>
      </c>
      <c r="AS51" s="185">
        <f>IF(OR(Q1="化學",Q1="生物",Q1="組合科學(物理、化學)",Q1="組合科學(生物、化學)",Q1="組合科學(物理、生物)",Q1="綜合科學",Q1="資訊及通訊科技",Q1="物理"),Q3,0)</f>
        <v>0</v>
      </c>
      <c r="AT51" s="185">
        <f>M3</f>
        <v>5.0000000000000003E-10</v>
      </c>
      <c r="AU51" s="184"/>
      <c r="AV51" s="185" t="str">
        <f>IF(AW51&gt;0,INDEX(AP50:AT50,MATCH(LARGE(AP51:AT51,1),AP51:AT51,0)),"無")</f>
        <v>數學延伸</v>
      </c>
      <c r="AW51" s="185">
        <f>LARGE((AP51:AT51),1)</f>
        <v>5.0000000000000003E-10</v>
      </c>
      <c r="AX51" s="184"/>
      <c r="AY51" s="184"/>
      <c r="AZ51" s="184"/>
      <c r="BA51" s="185" t="s">
        <v>78</v>
      </c>
      <c r="BC51" s="185" t="s">
        <v>2734</v>
      </c>
      <c r="BD51" s="185" t="s">
        <v>1970</v>
      </c>
      <c r="BE51" s="185" t="s">
        <v>1970</v>
      </c>
      <c r="BF51" s="185" t="s">
        <v>1970</v>
      </c>
      <c r="BS51" s="185" t="s">
        <v>1970</v>
      </c>
    </row>
    <row r="52" spans="1:71" x14ac:dyDescent="0.3">
      <c r="A52" s="185" t="str">
        <f>'Reference Score Calculation'!A31</f>
        <v>JS1051</v>
      </c>
      <c r="B52" s="185" t="str">
        <f>'Reference Score Calculation'!D31</f>
        <v>能源及環境學院 [選項: 工學士(能源科學及工程學)、工學士(環境科學及工程學)]</v>
      </c>
      <c r="C52" s="236"/>
      <c r="D52" s="82" t="str">
        <f>'Reference Score Calculation'!E31</f>
        <v>Best 5</v>
      </c>
      <c r="E52" s="190" t="str">
        <f>入學要求!T40</f>
        <v>v</v>
      </c>
      <c r="F52" s="190" t="str">
        <f>入學要求!U40</f>
        <v>E</v>
      </c>
      <c r="G52" s="190" t="str">
        <f>入學要求!V40</f>
        <v>NO</v>
      </c>
      <c r="H52" s="185">
        <f t="shared" si="16"/>
        <v>3.0000000000000004E-9</v>
      </c>
      <c r="I52" s="194">
        <v>1</v>
      </c>
      <c r="J52" s="194">
        <v>2</v>
      </c>
      <c r="K52" s="194">
        <v>2.5</v>
      </c>
      <c r="L52" s="194">
        <v>1</v>
      </c>
      <c r="M52" s="194">
        <f>IF(M1=AV41,1.5,1)</f>
        <v>1.5</v>
      </c>
      <c r="N52" s="194">
        <f>IF(N1=$AV$38,2.5,IF(N1=$AV$41,1.5,1))</f>
        <v>1</v>
      </c>
      <c r="O52" s="194">
        <f>IF(O1=$AV$38,2.5,IF(O1=$AV$41,1.5,1))</f>
        <v>1</v>
      </c>
      <c r="P52" s="194">
        <f>IF(P1=$AV$38,2.5,IF(P1=$AV$41,1.5,1))</f>
        <v>1</v>
      </c>
      <c r="Q52" s="194">
        <f>IF(Q1=$AV$38,2.5,IF(Q1=$AV$41,1.5,1))</f>
        <v>1</v>
      </c>
      <c r="R52" s="194">
        <v>1</v>
      </c>
      <c r="T52" s="185">
        <f t="shared" si="17"/>
        <v>1E-10</v>
      </c>
      <c r="U52" s="185">
        <f t="shared" si="18"/>
        <v>4.0000000000000001E-10</v>
      </c>
      <c r="V52" s="185">
        <f t="shared" si="19"/>
        <v>7.5E-10</v>
      </c>
      <c r="W52" s="185">
        <f t="shared" si="20"/>
        <v>4.0000000000000001E-10</v>
      </c>
      <c r="X52" s="185">
        <f t="shared" si="21"/>
        <v>7.500000000000001E-10</v>
      </c>
      <c r="Y52" s="185">
        <f t="shared" si="22"/>
        <v>6E-10</v>
      </c>
      <c r="Z52" s="185">
        <f t="shared" si="23"/>
        <v>6.9999999999999996E-10</v>
      </c>
      <c r="AA52" s="185">
        <f t="shared" si="24"/>
        <v>8.0000000000000003E-10</v>
      </c>
      <c r="AB52" s="185">
        <f t="shared" si="25"/>
        <v>8.9999999999999999E-10</v>
      </c>
      <c r="AC52" s="185">
        <f t="shared" si="26"/>
        <v>9.5000000000000003E-10</v>
      </c>
      <c r="AD52" s="185" t="b">
        <f>AP45</f>
        <v>0</v>
      </c>
      <c r="AE52" s="223" t="b">
        <f>TRUE</f>
        <v>1</v>
      </c>
      <c r="AF52" s="223" t="b">
        <f>TRUE</f>
        <v>1</v>
      </c>
      <c r="AG52" s="185" t="b">
        <f>AS45</f>
        <v>0</v>
      </c>
      <c r="AH52" s="185" t="b">
        <f>AT45</f>
        <v>0</v>
      </c>
      <c r="AI52" s="185" t="b">
        <f>IF(N1=$AV$38,TRUE,AU45)</f>
        <v>0</v>
      </c>
      <c r="AJ52" s="185" t="b">
        <f>IF(O1=$AV$38,TRUE,AV45)</f>
        <v>0</v>
      </c>
      <c r="AK52" s="185" t="b">
        <f>IF(P1=$AV$38,TRUE,AW45)</f>
        <v>0</v>
      </c>
      <c r="AL52" s="185" t="b">
        <f>IF(Q1=$AV$38,TRUE,AX45)</f>
        <v>1</v>
      </c>
      <c r="AM52" s="185" t="b">
        <f>AY45</f>
        <v>1</v>
      </c>
      <c r="AO52" s="184"/>
      <c r="AP52" s="241" t="s">
        <v>2694</v>
      </c>
      <c r="AQ52" s="196"/>
      <c r="AR52" s="196"/>
      <c r="AS52" s="196"/>
      <c r="AT52" s="196"/>
      <c r="AU52" s="196"/>
      <c r="AV52" s="196"/>
      <c r="AW52" s="196"/>
      <c r="AX52" s="196"/>
      <c r="AY52" s="196"/>
      <c r="AZ52" s="196"/>
      <c r="BA52" s="185" t="s">
        <v>83</v>
      </c>
      <c r="BC52" s="185" t="s">
        <v>2874</v>
      </c>
      <c r="BD52" s="185" t="s">
        <v>2780</v>
      </c>
      <c r="BE52" s="185" t="s">
        <v>2782</v>
      </c>
    </row>
    <row r="53" spans="1:71" x14ac:dyDescent="0.3">
      <c r="A53" s="185" t="str">
        <f>'Reference Score Calculation'!A32</f>
        <v>JS1061</v>
      </c>
      <c r="B53" s="185" t="str">
        <f>'Reference Score Calculation'!D32</f>
        <v>法律學學士</v>
      </c>
      <c r="C53" s="236"/>
      <c r="D53" s="190" t="str">
        <f>'Reference Score Calculation'!E32</f>
        <v>Best 6</v>
      </c>
      <c r="E53" s="190" t="str">
        <f>入學要求!T41</f>
        <v>v</v>
      </c>
      <c r="F53" s="190" t="str">
        <f>入學要求!U41</f>
        <v>E</v>
      </c>
      <c r="G53" s="190" t="str">
        <f>入學要求!V41</f>
        <v>NO</v>
      </c>
      <c r="H53" s="185">
        <f t="shared" si="16"/>
        <v>4.1499999999999999E-9</v>
      </c>
      <c r="I53" s="194">
        <v>1</v>
      </c>
      <c r="J53" s="194">
        <v>1</v>
      </c>
      <c r="K53" s="194">
        <v>1</v>
      </c>
      <c r="L53" s="194">
        <v>1</v>
      </c>
      <c r="M53" s="194">
        <v>1</v>
      </c>
      <c r="N53" s="194">
        <v>1</v>
      </c>
      <c r="O53" s="194">
        <v>1</v>
      </c>
      <c r="P53" s="194">
        <v>1</v>
      </c>
      <c r="Q53" s="194">
        <v>1</v>
      </c>
      <c r="R53" s="194">
        <v>1</v>
      </c>
      <c r="T53" s="185">
        <f t="shared" si="17"/>
        <v>1E-10</v>
      </c>
      <c r="U53" s="185">
        <f t="shared" si="18"/>
        <v>2.0000000000000001E-10</v>
      </c>
      <c r="V53" s="185">
        <f t="shared" si="19"/>
        <v>3E-10</v>
      </c>
      <c r="W53" s="185">
        <f t="shared" si="20"/>
        <v>4.0000000000000001E-10</v>
      </c>
      <c r="X53" s="185">
        <f t="shared" si="21"/>
        <v>5.0000000000000003E-10</v>
      </c>
      <c r="Y53" s="185">
        <f t="shared" si="22"/>
        <v>6E-10</v>
      </c>
      <c r="Z53" s="185">
        <f t="shared" si="23"/>
        <v>6.9999999999999996E-10</v>
      </c>
      <c r="AA53" s="185">
        <f t="shared" si="24"/>
        <v>8.0000000000000003E-10</v>
      </c>
      <c r="AB53" s="185">
        <f t="shared" si="25"/>
        <v>8.9999999999999999E-10</v>
      </c>
      <c r="AC53" s="185">
        <f t="shared" si="26"/>
        <v>9.5000000000000003E-10</v>
      </c>
      <c r="AD53" s="185" t="b">
        <f>IF(T53&gt;LARGE(($T53,$V53:$AC53),6),TRUE)</f>
        <v>0</v>
      </c>
      <c r="AE53" s="223" t="b">
        <f>TRUE</f>
        <v>1</v>
      </c>
      <c r="AF53" s="185" t="b">
        <f>IF(V53&gt;LARGE(($T53,$V53:$AC53),6),TRUE)</f>
        <v>0</v>
      </c>
      <c r="AG53" s="185" t="b">
        <f>IF(W53&gt;LARGE(($T53,$V53:$AC53),6),TRUE)</f>
        <v>0</v>
      </c>
      <c r="AH53" s="185" t="b">
        <f>IF(X53&gt;LARGE(($T53,$V53:$AC53),6),TRUE)</f>
        <v>0</v>
      </c>
      <c r="AI53" s="185" t="b">
        <f>IF(Y53&gt;LARGE(($T53,$V53:$AC53),6),TRUE)</f>
        <v>1</v>
      </c>
      <c r="AJ53" s="185" t="b">
        <f>IF(Z53&gt;LARGE(($T53,$V53:$AC53),6),TRUE)</f>
        <v>1</v>
      </c>
      <c r="AK53" s="185" t="b">
        <f>IF(AA53&gt;LARGE(($T53,$V53:$AC53),6),TRUE)</f>
        <v>1</v>
      </c>
      <c r="AL53" s="185" t="b">
        <f>IF(AB53&gt;LARGE(($T53,$V53:$AC53),6),TRUE)</f>
        <v>1</v>
      </c>
      <c r="AM53" s="185" t="b">
        <f>IF(AC53&gt;LARGE(($T53,$V53:$AC53),6),TRUE)</f>
        <v>1</v>
      </c>
      <c r="AO53" s="184"/>
      <c r="AP53" s="184" t="str">
        <f>I1</f>
        <v>中國語文</v>
      </c>
      <c r="AQ53" s="184" t="str">
        <f t="shared" ref="AQ53:AW53" si="41">L1</f>
        <v>通識教育</v>
      </c>
      <c r="AR53" s="184" t="str">
        <f t="shared" si="41"/>
        <v>數學延伸</v>
      </c>
      <c r="AS53" s="184" t="str">
        <f t="shared" si="41"/>
        <v>請選擇第一選修科</v>
      </c>
      <c r="AT53" s="184" t="str">
        <f t="shared" si="41"/>
        <v>請選擇第二選修科</v>
      </c>
      <c r="AU53" s="184" t="str">
        <f t="shared" si="41"/>
        <v>請選擇第三選修科</v>
      </c>
      <c r="AV53" s="184" t="str">
        <f t="shared" si="41"/>
        <v>請選擇第四選修科</v>
      </c>
      <c r="AW53" s="184" t="str">
        <f t="shared" si="41"/>
        <v>請選擇語言科目</v>
      </c>
      <c r="AX53" s="196"/>
      <c r="AY53" s="196"/>
      <c r="AZ53" s="196"/>
      <c r="BA53" s="185" t="s">
        <v>88</v>
      </c>
      <c r="BC53" s="185" t="s">
        <v>2873</v>
      </c>
      <c r="BD53" s="185" t="s">
        <v>1970</v>
      </c>
      <c r="BE53" s="185" t="s">
        <v>1970</v>
      </c>
      <c r="BF53" s="185" t="s">
        <v>1970</v>
      </c>
      <c r="BS53" s="185" t="s">
        <v>1970</v>
      </c>
    </row>
    <row r="54" spans="1:71" x14ac:dyDescent="0.3">
      <c r="A54" s="185" t="str">
        <f>'Reference Score Calculation'!A33</f>
        <v>JS1062</v>
      </c>
      <c r="B54" s="185" t="str">
        <f>'Reference Score Calculation'!D33</f>
        <v>法律學學士與工商管理學士(會計)</v>
      </c>
      <c r="C54" s="236"/>
      <c r="D54" s="115" t="s">
        <v>2153</v>
      </c>
      <c r="E54" s="190" t="str">
        <f>入學要求!T42</f>
        <v>v</v>
      </c>
      <c r="F54" s="190" t="str">
        <f>入學要求!U42</f>
        <v>E</v>
      </c>
      <c r="G54" s="190" t="str">
        <f>入學要求!V42</f>
        <v>NO</v>
      </c>
      <c r="H54" s="185">
        <f t="shared" si="16"/>
        <v>4.25E-9</v>
      </c>
      <c r="I54" s="194">
        <v>1</v>
      </c>
      <c r="J54" s="194">
        <v>1.5</v>
      </c>
      <c r="K54" s="194">
        <v>1</v>
      </c>
      <c r="L54" s="194">
        <v>1</v>
      </c>
      <c r="M54" s="194">
        <v>1</v>
      </c>
      <c r="N54" s="194">
        <v>1</v>
      </c>
      <c r="O54" s="194">
        <v>1</v>
      </c>
      <c r="P54" s="194">
        <v>1</v>
      </c>
      <c r="Q54" s="194">
        <v>1</v>
      </c>
      <c r="R54" s="194">
        <v>1</v>
      </c>
      <c r="T54" s="185">
        <f t="shared" si="17"/>
        <v>1E-10</v>
      </c>
      <c r="U54" s="185">
        <f t="shared" si="18"/>
        <v>3E-10</v>
      </c>
      <c r="V54" s="185">
        <f t="shared" si="19"/>
        <v>3E-10</v>
      </c>
      <c r="W54" s="185">
        <f t="shared" si="20"/>
        <v>4.0000000000000001E-10</v>
      </c>
      <c r="X54" s="185">
        <f t="shared" si="21"/>
        <v>5.0000000000000003E-10</v>
      </c>
      <c r="Y54" s="185">
        <f t="shared" si="22"/>
        <v>6E-10</v>
      </c>
      <c r="Z54" s="185">
        <f t="shared" si="23"/>
        <v>6.9999999999999996E-10</v>
      </c>
      <c r="AA54" s="185">
        <f t="shared" si="24"/>
        <v>8.0000000000000003E-10</v>
      </c>
      <c r="AB54" s="185">
        <f t="shared" si="25"/>
        <v>8.9999999999999999E-10</v>
      </c>
      <c r="AC54" s="185">
        <f t="shared" si="26"/>
        <v>9.5000000000000003E-10</v>
      </c>
      <c r="AD54" s="185" t="b">
        <f>IF(T54&gt;LARGE(($T54,$V54:$AC54),6),TRUE)</f>
        <v>0</v>
      </c>
      <c r="AE54" s="223" t="b">
        <f>TRUE</f>
        <v>1</v>
      </c>
      <c r="AF54" s="185" t="b">
        <f>IF(V54&gt;LARGE(($T54,$V54:$AC54),6),TRUE)</f>
        <v>0</v>
      </c>
      <c r="AG54" s="185" t="b">
        <f>IF(W54&gt;LARGE(($T54,$V54:$AC54),6),TRUE)</f>
        <v>0</v>
      </c>
      <c r="AH54" s="185" t="b">
        <f>IF(X54&gt;LARGE(($T54,$V54:$AC54),6),TRUE)</f>
        <v>0</v>
      </c>
      <c r="AI54" s="185" t="b">
        <f>IF(Y54&gt;LARGE(($T54,$V54:$AC54),6),TRUE)</f>
        <v>1</v>
      </c>
      <c r="AJ54" s="185" t="b">
        <f>IF(Z54&gt;LARGE(($T54,$V54:$AC54),6),TRUE)</f>
        <v>1</v>
      </c>
      <c r="AK54" s="185" t="b">
        <f>IF(AA54&gt;LARGE(($T54,$V54:$AC54),6),TRUE)</f>
        <v>1</v>
      </c>
      <c r="AL54" s="185" t="b">
        <f>IF(AB54&gt;LARGE(($T54,$V54:$AC54),6),TRUE)</f>
        <v>1</v>
      </c>
      <c r="AM54" s="185" t="b">
        <f>IF(AC54&gt;LARGE(($T54,$V54:$AC54),6),TRUE)</f>
        <v>1</v>
      </c>
      <c r="AO54" s="184"/>
      <c r="AP54" s="199">
        <f>I3</f>
        <v>1E-10</v>
      </c>
      <c r="AQ54" s="199">
        <f>L3</f>
        <v>4.0000000000000001E-10</v>
      </c>
      <c r="AR54" s="199">
        <f>IF(AR53=$AV$51,0,M3)</f>
        <v>0</v>
      </c>
      <c r="AS54" s="199">
        <f>IF(AS53=$AV$51,0,N3)</f>
        <v>6E-10</v>
      </c>
      <c r="AT54" s="199">
        <f>IF(AT53=$AV$51,0,O3)</f>
        <v>6.9999999999999996E-10</v>
      </c>
      <c r="AU54" s="199">
        <f>IF(AU53=$AV$51,0,P3)</f>
        <v>8.0000000000000003E-10</v>
      </c>
      <c r="AV54" s="199">
        <f>IF(AV53=$AV$51,0,Q3)</f>
        <v>8.9999999999999999E-10</v>
      </c>
      <c r="AW54" s="199">
        <f>R3</f>
        <v>9.5000000000000003E-10</v>
      </c>
      <c r="AX54" s="196"/>
      <c r="AY54" s="196"/>
      <c r="AZ54" s="196"/>
      <c r="BA54" s="185" t="s">
        <v>93</v>
      </c>
      <c r="BB54" s="2" t="s">
        <v>2153</v>
      </c>
      <c r="BC54" s="2" t="s">
        <v>2682</v>
      </c>
      <c r="BD54" s="2" t="s">
        <v>1970</v>
      </c>
      <c r="BE54" s="2" t="s">
        <v>2685</v>
      </c>
      <c r="BF54" s="2" t="s">
        <v>1978</v>
      </c>
      <c r="BS54" s="2" t="s">
        <v>1978</v>
      </c>
    </row>
    <row r="55" spans="1:71" x14ac:dyDescent="0.3">
      <c r="A55" s="185" t="str">
        <f>'Reference Score Calculation'!A34</f>
        <v>JS1071</v>
      </c>
      <c r="B55" s="185" t="str">
        <f>'Reference Score Calculation'!D34</f>
        <v>數據科學學院 [選項：理學士 (數據科學)、工學士 (數據與系統工程)]</v>
      </c>
      <c r="C55" s="236"/>
      <c r="D55" s="19" t="str">
        <f>'Reference Score Calculation'!E34</f>
        <v>4C2X</v>
      </c>
      <c r="E55" s="190" t="str">
        <f>入學要求!T43</f>
        <v>v</v>
      </c>
      <c r="F55" s="190" t="str">
        <f>入學要求!U43</f>
        <v>E</v>
      </c>
      <c r="G55" s="190" t="str">
        <f>入學要求!V43</f>
        <v>NO</v>
      </c>
      <c r="H55" s="185">
        <f t="shared" si="16"/>
        <v>3.3500000000000002E-9</v>
      </c>
      <c r="I55" s="194">
        <v>1</v>
      </c>
      <c r="J55" s="194">
        <v>2</v>
      </c>
      <c r="K55" s="246">
        <v>2</v>
      </c>
      <c r="L55" s="246">
        <v>1</v>
      </c>
      <c r="M55" s="246">
        <v>1</v>
      </c>
      <c r="N55" s="246">
        <v>1</v>
      </c>
      <c r="O55" s="246">
        <v>1</v>
      </c>
      <c r="P55" s="246">
        <v>1</v>
      </c>
      <c r="Q55" s="246">
        <v>1</v>
      </c>
      <c r="R55" s="246">
        <v>1</v>
      </c>
      <c r="T55" s="185">
        <f t="shared" si="17"/>
        <v>1E-10</v>
      </c>
      <c r="U55" s="185">
        <f t="shared" si="18"/>
        <v>4.0000000000000001E-10</v>
      </c>
      <c r="V55" s="185">
        <f t="shared" si="19"/>
        <v>6E-10</v>
      </c>
      <c r="W55" s="185">
        <f t="shared" si="20"/>
        <v>4.0000000000000001E-10</v>
      </c>
      <c r="X55" s="185">
        <f t="shared" si="21"/>
        <v>5.0000000000000003E-10</v>
      </c>
      <c r="Y55" s="185">
        <f t="shared" si="22"/>
        <v>6E-10</v>
      </c>
      <c r="Z55" s="185">
        <f t="shared" si="23"/>
        <v>6.9999999999999996E-10</v>
      </c>
      <c r="AA55" s="185">
        <f t="shared" si="24"/>
        <v>8.0000000000000003E-10</v>
      </c>
      <c r="AB55" s="185">
        <f t="shared" si="25"/>
        <v>8.9999999999999999E-10</v>
      </c>
      <c r="AC55" s="185">
        <f t="shared" si="26"/>
        <v>9.5000000000000003E-10</v>
      </c>
      <c r="AD55" s="185" t="b">
        <f t="shared" ref="AD55:AG57" si="42">IF(OR($D55="4C2X",$D55="4C1X"),TRUE,IF($D55="Best 5",IF(T55&gt;LARGE($T55:$AC55,6),TRUE),IF($D55="Best 6",IF(T55&gt;LARGE($T55:$AC55,7),TRUE))))</f>
        <v>1</v>
      </c>
      <c r="AE55" s="185" t="b">
        <f t="shared" si="42"/>
        <v>1</v>
      </c>
      <c r="AF55" s="185" t="b">
        <f t="shared" si="42"/>
        <v>1</v>
      </c>
      <c r="AG55" s="185" t="b">
        <f t="shared" si="42"/>
        <v>1</v>
      </c>
      <c r="AH55" s="185" t="b">
        <f t="shared" ref="AH55:AL57" si="43">IF($D55="4C2X",IF(X55&gt;LARGE($X55:$AC55,3),TRUE),IF($D55="4C1X",IF(X55&gt;LARGE($X55:$AC55,2),TRUE),IF($D55="Best 5",IF(X55&gt;LARGE($T55:$AC55,6),TRUE),IF($D55="Best 6",IF(X55&gt;LARGE($T55:$AC55,7),TRUE)))))</f>
        <v>0</v>
      </c>
      <c r="AI55" s="185" t="b">
        <f t="shared" si="43"/>
        <v>0</v>
      </c>
      <c r="AJ55" s="185" t="b">
        <f t="shared" si="43"/>
        <v>0</v>
      </c>
      <c r="AK55" s="185" t="b">
        <f t="shared" si="43"/>
        <v>0</v>
      </c>
      <c r="AL55" s="185" t="b">
        <f t="shared" si="43"/>
        <v>1</v>
      </c>
      <c r="AM55" s="185" t="b">
        <f>IF($F55="E",IF($D55="4C2X",IF(AC55&gt;LARGE($X55:$AC55,3),TRUE),IF($D55="4C1X",IF(AC55&gt;LARGE($X55:$AC55,2),TRUE),IF($D55="Best 5",IF(AC55&gt;LARGE($T55:$AC55,6),TRUE),IF($D55="Best 6",IF(AC55&gt;LARGE($T55:$AC55,7),TRUE))))),FALSE)</f>
        <v>1</v>
      </c>
      <c r="AO55" s="184"/>
      <c r="AP55" s="197" t="b">
        <f t="shared" ref="AP55:AW55" si="44">IF(AP54&gt;LARGE($AP$54:$AW$54,3),TRUE,FALSE)</f>
        <v>0</v>
      </c>
      <c r="AQ55" s="197" t="b">
        <f t="shared" si="44"/>
        <v>0</v>
      </c>
      <c r="AR55" s="197" t="b">
        <f t="shared" si="44"/>
        <v>0</v>
      </c>
      <c r="AS55" s="197" t="b">
        <f t="shared" si="44"/>
        <v>0</v>
      </c>
      <c r="AT55" s="197" t="b">
        <f>IF(AT54&gt;LARGE($AP$54:$AW$54,3),TRUE,FALSE)</f>
        <v>0</v>
      </c>
      <c r="AU55" s="197" t="b">
        <f t="shared" si="44"/>
        <v>0</v>
      </c>
      <c r="AV55" s="197" t="b">
        <f t="shared" si="44"/>
        <v>1</v>
      </c>
      <c r="AW55" s="197" t="b">
        <f t="shared" si="44"/>
        <v>1</v>
      </c>
      <c r="AX55" s="196"/>
      <c r="AY55" s="196"/>
      <c r="AZ55" s="196"/>
      <c r="BA55" s="185" t="s">
        <v>97</v>
      </c>
      <c r="BC55" s="185" t="s">
        <v>1970</v>
      </c>
      <c r="BD55" s="185" t="s">
        <v>1970</v>
      </c>
      <c r="BE55" s="185" t="s">
        <v>2778</v>
      </c>
      <c r="BF55" s="185" t="s">
        <v>1970</v>
      </c>
      <c r="BS55" s="185" t="s">
        <v>1970</v>
      </c>
    </row>
    <row r="56" spans="1:71" x14ac:dyDescent="0.3">
      <c r="A56" s="185" t="str">
        <f>'Reference Score Calculation'!A35</f>
        <v>JS1072</v>
      </c>
      <c r="B56" s="185" t="str">
        <f>'Reference Score Calculation'!D35</f>
        <v>理學士(數據科學)</v>
      </c>
      <c r="C56" s="236"/>
      <c r="D56" s="19" t="str">
        <f>'Reference Score Calculation'!E35</f>
        <v>4C2X</v>
      </c>
      <c r="E56" s="190" t="str">
        <f>入學要求!T44</f>
        <v>v</v>
      </c>
      <c r="F56" s="190" t="str">
        <f>入學要求!U44</f>
        <v>E</v>
      </c>
      <c r="G56" s="190" t="str">
        <f>入學要求!V44</f>
        <v>NO</v>
      </c>
      <c r="H56" s="185">
        <f t="shared" si="16"/>
        <v>3.3500000000000002E-9</v>
      </c>
      <c r="I56" s="194">
        <v>1</v>
      </c>
      <c r="J56" s="194">
        <v>2</v>
      </c>
      <c r="K56" s="246">
        <v>2</v>
      </c>
      <c r="L56" s="246">
        <v>1</v>
      </c>
      <c r="M56" s="246">
        <v>1</v>
      </c>
      <c r="N56" s="246">
        <v>1</v>
      </c>
      <c r="O56" s="246">
        <v>1</v>
      </c>
      <c r="P56" s="246">
        <v>1</v>
      </c>
      <c r="Q56" s="246">
        <v>1</v>
      </c>
      <c r="R56" s="246">
        <v>1</v>
      </c>
      <c r="T56" s="185">
        <f t="shared" si="17"/>
        <v>1E-10</v>
      </c>
      <c r="U56" s="185">
        <f t="shared" si="18"/>
        <v>4.0000000000000001E-10</v>
      </c>
      <c r="V56" s="185">
        <f t="shared" si="19"/>
        <v>6E-10</v>
      </c>
      <c r="W56" s="185">
        <f t="shared" si="20"/>
        <v>4.0000000000000001E-10</v>
      </c>
      <c r="X56" s="185">
        <f t="shared" si="21"/>
        <v>5.0000000000000003E-10</v>
      </c>
      <c r="Y56" s="185">
        <f t="shared" si="22"/>
        <v>6E-10</v>
      </c>
      <c r="Z56" s="185">
        <f t="shared" si="23"/>
        <v>6.9999999999999996E-10</v>
      </c>
      <c r="AA56" s="185">
        <f t="shared" si="24"/>
        <v>8.0000000000000003E-10</v>
      </c>
      <c r="AB56" s="185">
        <f t="shared" si="25"/>
        <v>8.9999999999999999E-10</v>
      </c>
      <c r="AC56" s="185">
        <f t="shared" si="26"/>
        <v>9.5000000000000003E-10</v>
      </c>
      <c r="AD56" s="185" t="b">
        <f t="shared" si="42"/>
        <v>1</v>
      </c>
      <c r="AE56" s="185" t="b">
        <f t="shared" si="42"/>
        <v>1</v>
      </c>
      <c r="AF56" s="185" t="b">
        <f t="shared" si="42"/>
        <v>1</v>
      </c>
      <c r="AG56" s="185" t="b">
        <f t="shared" si="42"/>
        <v>1</v>
      </c>
      <c r="AH56" s="185" t="b">
        <f t="shared" si="43"/>
        <v>0</v>
      </c>
      <c r="AI56" s="185" t="b">
        <f t="shared" si="43"/>
        <v>0</v>
      </c>
      <c r="AJ56" s="185" t="b">
        <f t="shared" si="43"/>
        <v>0</v>
      </c>
      <c r="AK56" s="185" t="b">
        <f t="shared" si="43"/>
        <v>0</v>
      </c>
      <c r="AL56" s="185" t="b">
        <f t="shared" si="43"/>
        <v>1</v>
      </c>
      <c r="AM56" s="185" t="b">
        <f>IF($F56="E",IF($D56="4C2X",IF(AC56&gt;LARGE($X56:$AC56,3),TRUE),IF($D56="4C1X",IF(AC56&gt;LARGE($X56:$AC56,2),TRUE),IF($D56="Best 5",IF(AC56&gt;LARGE($T56:$AC56,6),TRUE),IF($D56="Best 6",IF(AC56&gt;LARGE($T56:$AC56,7),TRUE))))),FALSE)</f>
        <v>1</v>
      </c>
      <c r="AO56" s="184"/>
      <c r="AP56" s="196"/>
      <c r="AQ56" s="196"/>
      <c r="AR56" s="196"/>
      <c r="AS56" s="196"/>
      <c r="AT56" s="196"/>
      <c r="AU56" s="196"/>
      <c r="AV56" s="196"/>
      <c r="AW56" s="196"/>
      <c r="AX56" s="196"/>
      <c r="AY56" s="196"/>
      <c r="AZ56" s="196"/>
      <c r="BA56" s="185" t="s">
        <v>103</v>
      </c>
      <c r="BC56" s="185" t="s">
        <v>1970</v>
      </c>
      <c r="BD56" s="185" t="s">
        <v>1970</v>
      </c>
      <c r="BE56" s="185" t="s">
        <v>2778</v>
      </c>
      <c r="BF56" s="185" t="s">
        <v>1970</v>
      </c>
      <c r="BS56" s="185" t="s">
        <v>1970</v>
      </c>
    </row>
    <row r="57" spans="1:71" x14ac:dyDescent="0.3">
      <c r="A57" s="185" t="str">
        <f>'Reference Score Calculation'!A36</f>
        <v>JS1074</v>
      </c>
      <c r="B57" s="185" t="str">
        <f>'Reference Score Calculation'!D36</f>
        <v>工學士(數據與系統工程)</v>
      </c>
      <c r="C57" s="236"/>
      <c r="D57" s="19" t="str">
        <f>'Reference Score Calculation'!E36</f>
        <v>4C2X</v>
      </c>
      <c r="E57" s="190" t="str">
        <f>入學要求!T45</f>
        <v>v</v>
      </c>
      <c r="F57" s="190" t="str">
        <f>入學要求!U45</f>
        <v>E</v>
      </c>
      <c r="G57" s="190" t="str">
        <f>入學要求!V45</f>
        <v>NO</v>
      </c>
      <c r="H57" s="185">
        <f t="shared" si="16"/>
        <v>3.3500000000000002E-9</v>
      </c>
      <c r="I57" s="194">
        <v>1</v>
      </c>
      <c r="J57" s="194">
        <v>2</v>
      </c>
      <c r="K57" s="246">
        <v>2</v>
      </c>
      <c r="L57" s="246">
        <v>1</v>
      </c>
      <c r="M57" s="246">
        <v>1</v>
      </c>
      <c r="N57" s="246">
        <v>1</v>
      </c>
      <c r="O57" s="246">
        <v>1</v>
      </c>
      <c r="P57" s="246">
        <v>1</v>
      </c>
      <c r="Q57" s="246">
        <v>1</v>
      </c>
      <c r="R57" s="246">
        <v>1</v>
      </c>
      <c r="T57" s="185">
        <f t="shared" si="17"/>
        <v>1E-10</v>
      </c>
      <c r="U57" s="185">
        <f t="shared" si="18"/>
        <v>4.0000000000000001E-10</v>
      </c>
      <c r="V57" s="185">
        <f t="shared" si="19"/>
        <v>6E-10</v>
      </c>
      <c r="W57" s="185">
        <f t="shared" si="20"/>
        <v>4.0000000000000001E-10</v>
      </c>
      <c r="X57" s="185">
        <f t="shared" si="21"/>
        <v>5.0000000000000003E-10</v>
      </c>
      <c r="Y57" s="185">
        <f t="shared" si="22"/>
        <v>6E-10</v>
      </c>
      <c r="Z57" s="185">
        <f t="shared" si="23"/>
        <v>6.9999999999999996E-10</v>
      </c>
      <c r="AA57" s="185">
        <f t="shared" si="24"/>
        <v>8.0000000000000003E-10</v>
      </c>
      <c r="AB57" s="185">
        <f t="shared" si="25"/>
        <v>8.9999999999999999E-10</v>
      </c>
      <c r="AC57" s="185">
        <f t="shared" si="26"/>
        <v>9.5000000000000003E-10</v>
      </c>
      <c r="AD57" s="185" t="b">
        <f t="shared" si="42"/>
        <v>1</v>
      </c>
      <c r="AE57" s="185" t="b">
        <f t="shared" si="42"/>
        <v>1</v>
      </c>
      <c r="AF57" s="185" t="b">
        <f t="shared" si="42"/>
        <v>1</v>
      </c>
      <c r="AG57" s="185" t="b">
        <f t="shared" si="42"/>
        <v>1</v>
      </c>
      <c r="AH57" s="185" t="b">
        <f t="shared" si="43"/>
        <v>0</v>
      </c>
      <c r="AI57" s="185" t="b">
        <f t="shared" si="43"/>
        <v>0</v>
      </c>
      <c r="AJ57" s="185" t="b">
        <f t="shared" si="43"/>
        <v>0</v>
      </c>
      <c r="AK57" s="185" t="b">
        <f t="shared" si="43"/>
        <v>0</v>
      </c>
      <c r="AL57" s="185" t="b">
        <f t="shared" si="43"/>
        <v>1</v>
      </c>
      <c r="AM57" s="185" t="b">
        <f>IF($F57="E",IF($D57="4C2X",IF(AC57&gt;LARGE($X57:$AC57,3),TRUE),IF($D57="4C1X",IF(AC57&gt;LARGE($X57:$AC57,2),TRUE),IF($D57="Best 5",IF(AC57&gt;LARGE($T57:$AC57,6),TRUE),IF($D57="Best 6",IF(AC57&gt;LARGE($T57:$AC57,7),TRUE))))),FALSE)</f>
        <v>1</v>
      </c>
      <c r="AO57" s="184"/>
      <c r="AP57" s="184" t="str">
        <f>N1</f>
        <v>請選擇第一選修科</v>
      </c>
      <c r="AQ57" s="184" t="str">
        <f>O1</f>
        <v>請選擇第二選修科</v>
      </c>
      <c r="AR57" s="184" t="str">
        <f>P1</f>
        <v>請選擇第三選修科</v>
      </c>
      <c r="AS57" s="184" t="str">
        <f>Q1</f>
        <v>請選擇第四選修科</v>
      </c>
      <c r="AT57" s="184" t="str">
        <f>M1</f>
        <v>數學延伸</v>
      </c>
      <c r="AU57" s="184"/>
      <c r="AV57" s="184" t="s">
        <v>2899</v>
      </c>
      <c r="AW57" s="184"/>
      <c r="AX57" s="196"/>
      <c r="AY57" s="196"/>
      <c r="AZ57" s="196"/>
      <c r="BA57" s="185" t="s">
        <v>108</v>
      </c>
      <c r="BC57" s="185" t="s">
        <v>1970</v>
      </c>
      <c r="BD57" s="185" t="s">
        <v>1970</v>
      </c>
      <c r="BE57" s="185" t="s">
        <v>2778</v>
      </c>
      <c r="BF57" s="185" t="s">
        <v>1970</v>
      </c>
      <c r="BS57" s="185" t="s">
        <v>1970</v>
      </c>
    </row>
    <row r="58" spans="1:71" x14ac:dyDescent="0.3">
      <c r="A58" s="185" t="str">
        <f>'Reference Score Calculation'!A37</f>
        <v>JS1102</v>
      </c>
      <c r="B58" s="185" t="str">
        <f>'Reference Score Calculation'!D37</f>
        <v>社會科學學士(亞洲及國際研究)</v>
      </c>
      <c r="C58" s="236"/>
      <c r="D58" s="190" t="str">
        <f>'Reference Score Calculation'!E37</f>
        <v>Best 5</v>
      </c>
      <c r="E58" s="190" t="str">
        <f>入學要求!T46</f>
        <v>v</v>
      </c>
      <c r="F58" s="190" t="str">
        <f>入學要求!U46</f>
        <v>E</v>
      </c>
      <c r="G58" s="190" t="str">
        <f>入學要求!V46</f>
        <v>NO</v>
      </c>
      <c r="H58" s="185">
        <f t="shared" si="16"/>
        <v>3.2500000000000002E-9</v>
      </c>
      <c r="I58" s="194">
        <v>1</v>
      </c>
      <c r="J58" s="194">
        <v>1</v>
      </c>
      <c r="K58" s="194">
        <v>1</v>
      </c>
      <c r="L58" s="194">
        <v>1</v>
      </c>
      <c r="M58" s="194">
        <v>1</v>
      </c>
      <c r="N58" s="194">
        <v>1</v>
      </c>
      <c r="O58" s="194">
        <v>1</v>
      </c>
      <c r="P58" s="194">
        <v>1</v>
      </c>
      <c r="Q58" s="194">
        <v>1</v>
      </c>
      <c r="R58" s="194">
        <v>1</v>
      </c>
      <c r="T58" s="185">
        <f t="shared" si="17"/>
        <v>1E-10</v>
      </c>
      <c r="U58" s="185">
        <f t="shared" si="18"/>
        <v>2.0000000000000001E-10</v>
      </c>
      <c r="V58" s="185">
        <f t="shared" si="19"/>
        <v>3E-10</v>
      </c>
      <c r="W58" s="185">
        <f t="shared" si="20"/>
        <v>4.0000000000000001E-10</v>
      </c>
      <c r="X58" s="185">
        <f t="shared" si="21"/>
        <v>5.0000000000000003E-10</v>
      </c>
      <c r="Y58" s="185">
        <f t="shared" si="22"/>
        <v>6E-10</v>
      </c>
      <c r="Z58" s="185">
        <f t="shared" si="23"/>
        <v>6.9999999999999996E-10</v>
      </c>
      <c r="AA58" s="185">
        <f t="shared" si="24"/>
        <v>8.0000000000000003E-10</v>
      </c>
      <c r="AB58" s="185">
        <f t="shared" si="25"/>
        <v>8.9999999999999999E-10</v>
      </c>
      <c r="AC58" s="185">
        <f t="shared" si="26"/>
        <v>9.5000000000000003E-10</v>
      </c>
      <c r="AD58" s="185" t="b">
        <f>IF(T58&gt;LARGE(($T58,$V58,$X58:$AC58),4),TRUE)</f>
        <v>0</v>
      </c>
      <c r="AE58" s="223" t="b">
        <f>TRUE</f>
        <v>1</v>
      </c>
      <c r="AF58" s="185" t="b">
        <f>IF(V58&gt;LARGE(($T58,$V58,$X58:$AC58),4),TRUE)</f>
        <v>0</v>
      </c>
      <c r="AG58" s="223" t="b">
        <f>TRUE</f>
        <v>1</v>
      </c>
      <c r="AH58" s="185" t="b">
        <f>IF(X58&gt;LARGE(($T58,$V58,$X58:$AC58),4),TRUE)</f>
        <v>0</v>
      </c>
      <c r="AI58" s="185" t="b">
        <f>IF(Y58&gt;LARGE(($T58,$V58,$X58:$AC58),4),TRUE)</f>
        <v>0</v>
      </c>
      <c r="AJ58" s="185" t="b">
        <f>IF(Z58&gt;LARGE(($T58,$V58,$X58:$AC58),4),TRUE)</f>
        <v>0</v>
      </c>
      <c r="AK58" s="185" t="b">
        <f>IF(AA58&gt;LARGE(($T58,$V58,$X58:$AC58),4),TRUE)</f>
        <v>1</v>
      </c>
      <c r="AL58" s="185" t="b">
        <f>IF(AB58&gt;LARGE(($T58,$V58,$X58:$AC58),4),TRUE)</f>
        <v>1</v>
      </c>
      <c r="AM58" s="185" t="b">
        <f>IF(AC58&gt;LARGE(($T58,$V58,$X58:$AC58),4),TRUE)</f>
        <v>1</v>
      </c>
      <c r="AO58" s="243" t="s">
        <v>2326</v>
      </c>
      <c r="AP58" s="185">
        <f>IF(OR(N1="化學",N1="生物",N1="組合科學(物理、化學)",N1="組合科學(物理、生物)",N1="綜合科學",N1="資訊及通訊科技",N1="設計與應用科技",N1="物理"),N3,0)</f>
        <v>0</v>
      </c>
      <c r="AQ58" s="185">
        <f>IF(OR(O1="化學",O1="生物",O1="組合科學(物理、化學)",O1="組合科學(物理、生物)",O1="綜合科學",O1="資訊及通訊科技",O1="設計與應用科技",O1="物理"),O3,0)</f>
        <v>0</v>
      </c>
      <c r="AR58" s="185">
        <f>IF(OR(P1="化學",P1="生物",P1="組合科學(物理、化學)",P1="組合科學(物理、生物)",P1="綜合科學",P1="資訊及通訊科技",P1="設計與應用科技",P1="物理"),P3,0)</f>
        <v>0</v>
      </c>
      <c r="AS58" s="185">
        <f>IF(OR(Q1="化學",Q1="生物",Q1="組合科學(物理、化學)",Q1="組合科學(物理、生物)",Q1="綜合科學",Q1="資訊及通訊科技",Q1="設計與應用科技",Q1="物理"),Q3,0)</f>
        <v>0</v>
      </c>
      <c r="AT58" s="185">
        <f>M3</f>
        <v>5.0000000000000003E-10</v>
      </c>
      <c r="AU58" s="184"/>
      <c r="AV58" s="185" t="str">
        <f>IF(AW58&gt;0,INDEX(AP57:AT57,MATCH(LARGE(AP58:AT58,1),AP58:AT58,0)),"無")</f>
        <v>數學延伸</v>
      </c>
      <c r="AW58" s="185">
        <f>LARGE((AP58:AT58),1)</f>
        <v>5.0000000000000003E-10</v>
      </c>
      <c r="AX58" s="197"/>
      <c r="AY58" s="197"/>
      <c r="AZ58" s="197"/>
      <c r="BA58" s="185" t="s">
        <v>116</v>
      </c>
      <c r="BC58" s="185" t="s">
        <v>2721</v>
      </c>
      <c r="BD58" s="185" t="s">
        <v>1970</v>
      </c>
      <c r="BE58" s="185" t="s">
        <v>1970</v>
      </c>
      <c r="BF58" s="185" t="s">
        <v>1970</v>
      </c>
      <c r="BS58" s="185" t="s">
        <v>1970</v>
      </c>
    </row>
    <row r="59" spans="1:71" x14ac:dyDescent="0.3">
      <c r="A59" s="185" t="str">
        <f>'Reference Score Calculation'!A38</f>
        <v>JS1103</v>
      </c>
      <c r="B59" s="185" t="str">
        <f>'Reference Score Calculation'!D38</f>
        <v>文學士(中文及歷史)</v>
      </c>
      <c r="C59" s="236"/>
      <c r="D59" s="19" t="str">
        <f>'Reference Score Calculation'!E38</f>
        <v>4C2X</v>
      </c>
      <c r="E59" s="190" t="str">
        <f>入學要求!T47</f>
        <v>v</v>
      </c>
      <c r="F59" s="190" t="str">
        <f>入學要求!U47</f>
        <v>E</v>
      </c>
      <c r="G59" s="190" t="str">
        <f>入學要求!V47</f>
        <v>NO</v>
      </c>
      <c r="H59" s="185">
        <f t="shared" si="16"/>
        <v>3.3500000000000002E-9</v>
      </c>
      <c r="I59" s="194">
        <v>2</v>
      </c>
      <c r="J59" s="194">
        <v>2</v>
      </c>
      <c r="K59" s="246">
        <v>1</v>
      </c>
      <c r="L59" s="246">
        <v>1.5</v>
      </c>
      <c r="M59" s="246">
        <v>1</v>
      </c>
      <c r="N59" s="246">
        <f>IF(OR(N1="中國歷史",N1="中國文學",N1="歷史",N1="視覺藝術"),1.5,1)</f>
        <v>1</v>
      </c>
      <c r="O59" s="246">
        <f>IF(OR(O1="中國歷史",O1="中國文學",O1="歷史",O1="視覺藝術"),1.5,1)</f>
        <v>1</v>
      </c>
      <c r="P59" s="246">
        <f>IF(OR(P1="中國歷史",P1="中國文學",P1="歷史",P1="視覺藝術"),1.5,1)</f>
        <v>1</v>
      </c>
      <c r="Q59" s="246">
        <f>IF(OR(Q1="中國歷史",Q1="中國文學",Q1="歷史",Q1="視覺藝術"),1.5,1)</f>
        <v>1</v>
      </c>
      <c r="R59" s="194">
        <v>1</v>
      </c>
      <c r="T59" s="185">
        <f t="shared" si="17"/>
        <v>2.0000000000000001E-10</v>
      </c>
      <c r="U59" s="185">
        <f t="shared" si="18"/>
        <v>4.0000000000000001E-10</v>
      </c>
      <c r="V59" s="185">
        <f t="shared" si="19"/>
        <v>3E-10</v>
      </c>
      <c r="W59" s="185">
        <f t="shared" si="20"/>
        <v>6E-10</v>
      </c>
      <c r="X59" s="185">
        <f t="shared" si="21"/>
        <v>5.0000000000000003E-10</v>
      </c>
      <c r="Y59" s="185">
        <f t="shared" si="22"/>
        <v>6E-10</v>
      </c>
      <c r="Z59" s="185">
        <f t="shared" si="23"/>
        <v>6.9999999999999996E-10</v>
      </c>
      <c r="AA59" s="185">
        <f t="shared" si="24"/>
        <v>8.0000000000000003E-10</v>
      </c>
      <c r="AB59" s="185">
        <f t="shared" si="25"/>
        <v>8.9999999999999999E-10</v>
      </c>
      <c r="AC59" s="185">
        <f t="shared" si="26"/>
        <v>9.5000000000000003E-10</v>
      </c>
      <c r="AD59" s="185" t="b">
        <f>IF(OR($D59="4C2X",$D59="4C1X"),TRUE,IF($D59="Best 5",IF(T59&gt;LARGE($T59:$AC59,6),TRUE),IF($D59="Best 6",IF(T59&gt;LARGE($T59:$AC59,7),TRUE))))</f>
        <v>1</v>
      </c>
      <c r="AE59" s="185" t="b">
        <f>IF(OR($D59="4C2X",$D59="4C1X"),TRUE,IF($D59="Best 5",IF(U59&gt;LARGE($T59:$AC59,6),TRUE),IF($D59="Best 6",IF(U59&gt;LARGE($T59:$AC59,7),TRUE))))</f>
        <v>1</v>
      </c>
      <c r="AF59" s="185" t="b">
        <f>IF(OR($D59="4C2X",$D59="4C1X"),TRUE,IF($D59="Best 5",IF(V59&gt;LARGE($T59:$AC59,6),TRUE),IF($D59="Best 6",IF(V59&gt;LARGE($T59:$AC59,7),TRUE))))</f>
        <v>1</v>
      </c>
      <c r="AG59" s="185" t="b">
        <f>IF(OR($D59="4C2X",$D59="4C1X"),TRUE,IF($D59="Best 5",IF(W59&gt;LARGE($T59:$AC59,6),TRUE),IF($D59="Best 6",IF(W59&gt;LARGE($T59:$AC59,7),TRUE))))</f>
        <v>1</v>
      </c>
      <c r="AH59" s="185" t="b">
        <f>IF($D59="4C2X",IF(X59&gt;LARGE($X59:$AC59,3),TRUE),IF($D59="4C1X",IF(X59&gt;LARGE($X59:$AC59,2),TRUE),IF($D59="Best 5",IF(X59&gt;LARGE($T59:$AC59,6),TRUE),IF($D59="Best 6",IF(X59&gt;LARGE($T59:$AC59,7),TRUE)))))</f>
        <v>0</v>
      </c>
      <c r="AI59" s="185" t="b">
        <f>IF($D59="4C2X",IF(Y59&gt;LARGE($X59:$AC59,3),TRUE),IF($D59="4C1X",IF(Y59&gt;LARGE($X59:$AC59,2),TRUE),IF($D59="Best 5",IF(Y59&gt;LARGE($T59:$AC59,6),TRUE),IF($D59="Best 6",IF(Y59&gt;LARGE($T59:$AC59,7),TRUE)))))</f>
        <v>0</v>
      </c>
      <c r="AJ59" s="185" t="b">
        <f>IF($D59="4C2X",IF(Z59&gt;LARGE($X59:$AC59,3),TRUE),IF($D59="4C1X",IF(Z59&gt;LARGE($X59:$AC59,2),TRUE),IF($D59="Best 5",IF(Z59&gt;LARGE($T59:$AC59,6),TRUE),IF($D59="Best 6",IF(Z59&gt;LARGE($T59:$AC59,7),TRUE)))))</f>
        <v>0</v>
      </c>
      <c r="AK59" s="185" t="b">
        <f>IF($D59="4C2X",IF(AA59&gt;LARGE($X59:$AC59,3),TRUE),IF($D59="4C1X",IF(AA59&gt;LARGE($X59:$AC59,2),TRUE),IF($D59="Best 5",IF(AA59&gt;LARGE($T59:$AC59,6),TRUE),IF($D59="Best 6",IF(AA59&gt;LARGE($T59:$AC59,7),TRUE)))))</f>
        <v>0</v>
      </c>
      <c r="AL59" s="185" t="b">
        <f>IF($D59="4C2X",IF(AB59&gt;LARGE($X59:$AC59,3),TRUE),IF($D59="4C1X",IF(AB59&gt;LARGE($X59:$AC59,2),TRUE),IF($D59="Best 5",IF(AB59&gt;LARGE($T59:$AC59,6),TRUE),IF($D59="Best 6",IF(AB59&gt;LARGE($T59:$AC59,7),TRUE)))))</f>
        <v>1</v>
      </c>
      <c r="AM59" s="185" t="b">
        <f>IF($F59="E",IF($D59="4C2X",IF(AC59&gt;LARGE($X59:$AC59,3),TRUE),IF($D59="4C1X",IF(AC59&gt;LARGE($X59:$AC59,2),TRUE),IF($D59="Best 5",IF(AC59&gt;LARGE($T59:$AC59,6),TRUE),IF($D59="Best 6",IF(AC59&gt;LARGE($T59:$AC59,7),TRUE))))),FALSE)</f>
        <v>1</v>
      </c>
      <c r="AO59" s="184"/>
      <c r="AP59" s="241" t="s">
        <v>2900</v>
      </c>
      <c r="AQ59" s="196"/>
      <c r="AR59" s="196"/>
      <c r="AS59" s="196"/>
      <c r="AT59" s="196"/>
      <c r="AU59" s="196"/>
      <c r="AV59" s="196"/>
      <c r="AW59" s="196"/>
      <c r="AX59" s="196"/>
      <c r="AY59" s="196"/>
      <c r="AZ59" s="196"/>
      <c r="BA59" s="185" t="s">
        <v>121</v>
      </c>
      <c r="BC59" s="185" t="s">
        <v>1970</v>
      </c>
      <c r="BD59" s="185" t="s">
        <v>1970</v>
      </c>
      <c r="BE59" s="185" t="s">
        <v>2725</v>
      </c>
      <c r="BF59" s="185" t="s">
        <v>2727</v>
      </c>
      <c r="BS59" s="185" t="s">
        <v>1970</v>
      </c>
    </row>
    <row r="60" spans="1:71" x14ac:dyDescent="0.3">
      <c r="A60" s="185" t="str">
        <f>'Reference Score Calculation'!A39</f>
        <v>JS1104</v>
      </c>
      <c r="B60" s="185" t="str">
        <f>'Reference Score Calculation'!D39</f>
        <v>文學士(英語語言)</v>
      </c>
      <c r="C60" s="236"/>
      <c r="D60" s="19" t="str">
        <f>'Reference Score Calculation'!E39</f>
        <v>Best 6</v>
      </c>
      <c r="E60" s="190" t="str">
        <f>入學要求!T48</f>
        <v>v</v>
      </c>
      <c r="F60" s="190" t="str">
        <f>入學要求!U48</f>
        <v>E</v>
      </c>
      <c r="G60" s="190" t="str">
        <f>入學要求!V48</f>
        <v>NO</v>
      </c>
      <c r="H60" s="185">
        <f t="shared" si="16"/>
        <v>3.8500000000000006E-9</v>
      </c>
      <c r="I60" s="194">
        <v>1</v>
      </c>
      <c r="J60" s="194">
        <v>2.5</v>
      </c>
      <c r="K60" s="246">
        <v>1</v>
      </c>
      <c r="L60" s="246">
        <v>1.5</v>
      </c>
      <c r="M60" s="246">
        <v>1</v>
      </c>
      <c r="N60" s="246">
        <f>IF(N1="英國文學",1.5,1)</f>
        <v>1</v>
      </c>
      <c r="O60" s="246">
        <f>IF(O1="英國文學",1.5,1)</f>
        <v>1</v>
      </c>
      <c r="P60" s="246">
        <f>IF(P1="英國文學",1.5,1)</f>
        <v>1</v>
      </c>
      <c r="Q60" s="246">
        <f>IF(Q1="英國文學",1.5,1)</f>
        <v>1</v>
      </c>
      <c r="R60" s="194">
        <v>1</v>
      </c>
      <c r="T60" s="185">
        <f t="shared" si="17"/>
        <v>1E-10</v>
      </c>
      <c r="U60" s="185">
        <f t="shared" si="18"/>
        <v>5.0000000000000003E-10</v>
      </c>
      <c r="V60" s="185">
        <f t="shared" si="19"/>
        <v>3E-10</v>
      </c>
      <c r="W60" s="185">
        <f t="shared" si="20"/>
        <v>6E-10</v>
      </c>
      <c r="X60" s="185">
        <f t="shared" si="21"/>
        <v>5.0000000000000003E-10</v>
      </c>
      <c r="Y60" s="185">
        <f t="shared" si="22"/>
        <v>6E-10</v>
      </c>
      <c r="Z60" s="185">
        <f t="shared" si="23"/>
        <v>6.9999999999999996E-10</v>
      </c>
      <c r="AA60" s="185">
        <f t="shared" si="24"/>
        <v>8.0000000000000003E-10</v>
      </c>
      <c r="AB60" s="185">
        <f t="shared" si="25"/>
        <v>8.9999999999999999E-10</v>
      </c>
      <c r="AC60" s="185">
        <f t="shared" si="26"/>
        <v>9.5000000000000003E-10</v>
      </c>
      <c r="AD60" s="185" t="b">
        <f>IF(T60&gt;LARGE(($T60,$V60:$AC60),6),TRUE)</f>
        <v>0</v>
      </c>
      <c r="AE60" s="223" t="b">
        <f>TRUE</f>
        <v>1</v>
      </c>
      <c r="AF60" s="185" t="b">
        <f>IF(V60&gt;LARGE(($T60,$V60:$AC60),6),TRUE)</f>
        <v>0</v>
      </c>
      <c r="AG60" s="185" t="b">
        <f>IF(W60&gt;LARGE(($T60,$V60:$AC60),6),TRUE)</f>
        <v>0</v>
      </c>
      <c r="AH60" s="185" t="b">
        <f>IF(X60&gt;LARGE(($T60,$V60:$AC60),6),TRUE)</f>
        <v>0</v>
      </c>
      <c r="AI60" s="185" t="b">
        <f>IF(Y60&gt;LARGE(($T60,$V60:$AC60),6),TRUE)</f>
        <v>0</v>
      </c>
      <c r="AJ60" s="185" t="b">
        <f>IF(Z60&gt;LARGE(($T60,$V60:$AC60),6),TRUE)</f>
        <v>1</v>
      </c>
      <c r="AK60" s="185" t="b">
        <f>IF(AA60&gt;LARGE(($T60,$V60:$AC60),6),TRUE)</f>
        <v>1</v>
      </c>
      <c r="AL60" s="185" t="b">
        <f>IF(AB60&gt;LARGE(($T60,$V60:$AC60),6),TRUE)</f>
        <v>1</v>
      </c>
      <c r="AM60" s="185" t="b">
        <f>IF(AC60&gt;LARGE(($T60,$V60:$AC60),6),TRUE)</f>
        <v>1</v>
      </c>
      <c r="AO60" s="184"/>
      <c r="AP60" s="184" t="str">
        <f t="shared" ref="AP60:AY60" si="45">I1</f>
        <v>中國語文</v>
      </c>
      <c r="AQ60" s="184" t="str">
        <f t="shared" si="45"/>
        <v>英國語文</v>
      </c>
      <c r="AR60" s="184" t="str">
        <f t="shared" si="45"/>
        <v>數學</v>
      </c>
      <c r="AS60" s="184" t="str">
        <f t="shared" si="45"/>
        <v>通識教育</v>
      </c>
      <c r="AT60" s="184" t="str">
        <f t="shared" si="45"/>
        <v>數學延伸</v>
      </c>
      <c r="AU60" s="184" t="str">
        <f t="shared" si="45"/>
        <v>請選擇第一選修科</v>
      </c>
      <c r="AV60" s="184" t="str">
        <f t="shared" si="45"/>
        <v>請選擇第二選修科</v>
      </c>
      <c r="AW60" s="184" t="str">
        <f t="shared" si="45"/>
        <v>請選擇第三選修科</v>
      </c>
      <c r="AX60" s="184" t="str">
        <f t="shared" si="45"/>
        <v>請選擇第四選修科</v>
      </c>
      <c r="AY60" s="184" t="str">
        <f t="shared" si="45"/>
        <v>請選擇語言科目</v>
      </c>
      <c r="AZ60" s="196"/>
      <c r="BA60" s="185" t="s">
        <v>126</v>
      </c>
      <c r="BC60" s="185" t="s">
        <v>2873</v>
      </c>
      <c r="BD60" s="185" t="s">
        <v>1970</v>
      </c>
      <c r="BE60" s="185" t="s">
        <v>2730</v>
      </c>
      <c r="BF60" s="185" t="s">
        <v>2732</v>
      </c>
      <c r="BS60" s="185" t="s">
        <v>1970</v>
      </c>
    </row>
    <row r="61" spans="1:71" x14ac:dyDescent="0.3">
      <c r="A61" s="185" t="str">
        <f>'Reference Score Calculation'!A40</f>
        <v>JS1106</v>
      </c>
      <c r="B61" s="185" t="str">
        <f>'Reference Score Calculation'!D40</f>
        <v>媒體與傳播系 [選項: 文學士(數碼電視與廣播)、文學士(媒體與傳播)]</v>
      </c>
      <c r="C61" s="236"/>
      <c r="D61" s="19" t="str">
        <f>'Reference Score Calculation'!E40</f>
        <v>Best 5</v>
      </c>
      <c r="E61" s="190" t="str">
        <f>入學要求!T49</f>
        <v>v</v>
      </c>
      <c r="F61" s="190" t="str">
        <f>入學要求!U49</f>
        <v>E</v>
      </c>
      <c r="G61" s="190" t="str">
        <f>入學要求!V49</f>
        <v>NO</v>
      </c>
      <c r="H61" s="185">
        <f t="shared" si="16"/>
        <v>3.6E-9</v>
      </c>
      <c r="I61" s="194">
        <v>1.25</v>
      </c>
      <c r="J61" s="194">
        <v>1.25</v>
      </c>
      <c r="K61" s="246">
        <v>1</v>
      </c>
      <c r="L61" s="246">
        <v>1</v>
      </c>
      <c r="M61" s="246">
        <v>1</v>
      </c>
      <c r="N61" s="246">
        <v>1</v>
      </c>
      <c r="O61" s="246">
        <v>1</v>
      </c>
      <c r="P61" s="246">
        <v>1</v>
      </c>
      <c r="Q61" s="246">
        <v>1</v>
      </c>
      <c r="R61" s="246">
        <v>1</v>
      </c>
      <c r="T61" s="185">
        <f t="shared" si="17"/>
        <v>1.2500000000000001E-10</v>
      </c>
      <c r="U61" s="185">
        <f t="shared" si="18"/>
        <v>2.5000000000000002E-10</v>
      </c>
      <c r="V61" s="185">
        <f t="shared" si="19"/>
        <v>3E-10</v>
      </c>
      <c r="W61" s="185">
        <f t="shared" si="20"/>
        <v>4.0000000000000001E-10</v>
      </c>
      <c r="X61" s="185">
        <f t="shared" si="21"/>
        <v>5.0000000000000003E-10</v>
      </c>
      <c r="Y61" s="185">
        <f t="shared" si="22"/>
        <v>6E-10</v>
      </c>
      <c r="Z61" s="185">
        <f t="shared" si="23"/>
        <v>6.9999999999999996E-10</v>
      </c>
      <c r="AA61" s="185">
        <f t="shared" si="24"/>
        <v>8.0000000000000003E-10</v>
      </c>
      <c r="AB61" s="185">
        <f t="shared" si="25"/>
        <v>8.9999999999999999E-10</v>
      </c>
      <c r="AC61" s="185">
        <f t="shared" si="26"/>
        <v>9.5000000000000003E-10</v>
      </c>
      <c r="AD61" s="185" t="b">
        <f>IF(T61&gt;LARGE(($T61,$V61:$AC61),5),TRUE)</f>
        <v>0</v>
      </c>
      <c r="AE61" s="223" t="b">
        <f>TRUE</f>
        <v>1</v>
      </c>
      <c r="AF61" s="185" t="b">
        <f>IF(V61&gt;LARGE(($T61,$V61:$AC61),5),TRUE)</f>
        <v>0</v>
      </c>
      <c r="AG61" s="185" t="b">
        <f>IF(W61&gt;LARGE(($T61,$V61:$AC61),5),TRUE)</f>
        <v>0</v>
      </c>
      <c r="AH61" s="185" t="b">
        <f>IF(X61&gt;LARGE(($T61,$V61:$AC61),5),TRUE)</f>
        <v>0</v>
      </c>
      <c r="AI61" s="185" t="b">
        <f>IF(Y61&gt;LARGE(($T61,$V61:$AC61),5),TRUE)</f>
        <v>0</v>
      </c>
      <c r="AJ61" s="185" t="b">
        <f>IF(Z61&gt;LARGE(($T61,$V61:$AC61),5),TRUE)</f>
        <v>1</v>
      </c>
      <c r="AK61" s="185" t="b">
        <f>IF(AA61&gt;LARGE(($T61,$V61:$AC61),5),TRUE)</f>
        <v>1</v>
      </c>
      <c r="AL61" s="185" t="b">
        <f>IF(AB61&gt;LARGE(($T61,$V61:$AC61),5),TRUE)</f>
        <v>1</v>
      </c>
      <c r="AM61" s="185" t="b">
        <f>IF(AC61&gt;LARGE(($T61,$V61:$AC61),5),TRUE)</f>
        <v>1</v>
      </c>
      <c r="AO61" s="184"/>
      <c r="AP61" s="199">
        <f>I3</f>
        <v>1E-10</v>
      </c>
      <c r="AQ61" s="196"/>
      <c r="AR61" s="196"/>
      <c r="AS61" s="199">
        <f>L3</f>
        <v>4.0000000000000001E-10</v>
      </c>
      <c r="AT61" s="199">
        <f>IF(AR53=$AV$51,0,M3)</f>
        <v>0</v>
      </c>
      <c r="AU61" s="199">
        <f>IF(AS53=$AV$51,0,N3)</f>
        <v>6E-10</v>
      </c>
      <c r="AV61" s="199">
        <f>IF(AT53=$AV$51,0,O3)</f>
        <v>6.9999999999999996E-10</v>
      </c>
      <c r="AW61" s="199">
        <f>IF(AU53=$AV$51,0,P3)</f>
        <v>8.0000000000000003E-10</v>
      </c>
      <c r="AX61" s="199">
        <f>IF(AV53=$AV$51,0,Q3)</f>
        <v>8.9999999999999999E-10</v>
      </c>
      <c r="AY61" s="199">
        <f>R3</f>
        <v>9.5000000000000003E-10</v>
      </c>
      <c r="AZ61" s="196"/>
      <c r="BA61" s="185" t="s">
        <v>135</v>
      </c>
      <c r="BC61" s="185" t="s">
        <v>2734</v>
      </c>
      <c r="BD61" s="185" t="s">
        <v>1970</v>
      </c>
      <c r="BE61" s="185" t="s">
        <v>2735</v>
      </c>
      <c r="BF61" s="185" t="s">
        <v>1970</v>
      </c>
      <c r="BS61" s="185" t="s">
        <v>1970</v>
      </c>
    </row>
    <row r="62" spans="1:71" x14ac:dyDescent="0.3">
      <c r="A62" s="185" t="str">
        <f>'Reference Score Calculation'!A41</f>
        <v>JS1108</v>
      </c>
      <c r="B62" s="185" t="str">
        <f>'Reference Score Calculation'!D41</f>
        <v>社會科學學士(公共政策與政治)</v>
      </c>
      <c r="C62" s="236"/>
      <c r="D62" s="82" t="str">
        <f>'Reference Score Calculation'!E41</f>
        <v>4C1X</v>
      </c>
      <c r="E62" s="190" t="str">
        <f>入學要求!T50</f>
        <v>v</v>
      </c>
      <c r="F62" s="190" t="str">
        <f>入學要求!U50</f>
        <v>E</v>
      </c>
      <c r="G62" s="190" t="str">
        <f>入學要求!V50</f>
        <v>NO</v>
      </c>
      <c r="H62" s="185">
        <f t="shared" si="16"/>
        <v>2.3500000000000004E-9</v>
      </c>
      <c r="I62" s="194">
        <v>1</v>
      </c>
      <c r="J62" s="194">
        <v>2</v>
      </c>
      <c r="K62" s="194">
        <v>1</v>
      </c>
      <c r="L62" s="194">
        <v>1.5</v>
      </c>
      <c r="M62" s="194">
        <v>1</v>
      </c>
      <c r="N62" s="194">
        <v>1</v>
      </c>
      <c r="O62" s="194">
        <v>1</v>
      </c>
      <c r="P62" s="194">
        <v>1</v>
      </c>
      <c r="Q62" s="194">
        <v>1</v>
      </c>
      <c r="R62" s="194">
        <v>1</v>
      </c>
      <c r="T62" s="185">
        <f t="shared" si="17"/>
        <v>1E-10</v>
      </c>
      <c r="U62" s="185">
        <f t="shared" si="18"/>
        <v>4.0000000000000001E-10</v>
      </c>
      <c r="V62" s="185">
        <f t="shared" si="19"/>
        <v>3E-10</v>
      </c>
      <c r="W62" s="185">
        <f t="shared" si="20"/>
        <v>6E-10</v>
      </c>
      <c r="X62" s="185">
        <f t="shared" si="21"/>
        <v>5.0000000000000003E-10</v>
      </c>
      <c r="Y62" s="185">
        <f t="shared" si="22"/>
        <v>6E-10</v>
      </c>
      <c r="Z62" s="185">
        <f t="shared" si="23"/>
        <v>6.9999999999999996E-10</v>
      </c>
      <c r="AA62" s="185">
        <f t="shared" si="24"/>
        <v>8.0000000000000003E-10</v>
      </c>
      <c r="AB62" s="185">
        <f t="shared" si="25"/>
        <v>8.9999999999999999E-10</v>
      </c>
      <c r="AC62" s="185">
        <f t="shared" si="26"/>
        <v>9.5000000000000003E-10</v>
      </c>
      <c r="AD62" s="185" t="b">
        <f t="shared" ref="AD62:AG68" si="46">IF(OR($D62="4C2X",$D62="4C1X"),TRUE,IF($D62="Best 5",IF(T62&gt;LARGE($T62:$AC62,6),TRUE),IF($D62="Best 6",IF(T62&gt;LARGE($T62:$AC62,7),TRUE))))</f>
        <v>1</v>
      </c>
      <c r="AE62" s="185" t="b">
        <f t="shared" si="46"/>
        <v>1</v>
      </c>
      <c r="AF62" s="185" t="b">
        <f t="shared" si="46"/>
        <v>1</v>
      </c>
      <c r="AG62" s="185" t="b">
        <f t="shared" si="46"/>
        <v>1</v>
      </c>
      <c r="AH62" s="185" t="b">
        <f t="shared" ref="AH62:AL68" si="47">IF($D62="4C2X",IF(X62&gt;LARGE($X62:$AC62,3),TRUE),IF($D62="4C1X",IF(X62&gt;LARGE($X62:$AC62,2),TRUE),IF($D62="Best 5",IF(X62&gt;LARGE($T62:$AC62,6),TRUE),IF($D62="Best 6",IF(X62&gt;LARGE($T62:$AC62,7),TRUE)))))</f>
        <v>0</v>
      </c>
      <c r="AI62" s="185" t="b">
        <f t="shared" si="47"/>
        <v>0</v>
      </c>
      <c r="AJ62" s="185" t="b">
        <f t="shared" si="47"/>
        <v>0</v>
      </c>
      <c r="AK62" s="185" t="b">
        <f t="shared" si="47"/>
        <v>0</v>
      </c>
      <c r="AL62" s="185" t="b">
        <f t="shared" si="47"/>
        <v>0</v>
      </c>
      <c r="AM62" s="185" t="b">
        <f t="shared" ref="AM62:AM68" si="48">IF($F62="E",IF($D62="4C2X",IF(AC62&gt;LARGE($X62:$AC62,3),TRUE),IF($D62="4C1X",IF(AC62&gt;LARGE($X62:$AC62,2),TRUE),IF($D62="Best 5",IF(AC62&gt;LARGE($T62:$AC62,6),TRUE),IF($D62="Best 6",IF(AC62&gt;LARGE($T62:$AC62,7),TRUE))))),FALSE)</f>
        <v>1</v>
      </c>
      <c r="AO62" s="184"/>
      <c r="AP62" s="197" t="b">
        <f>IF(AP61&gt;LARGE($AP$61:$AY$61,4),TRUE,FALSE)</f>
        <v>0</v>
      </c>
      <c r="AQ62" s="197"/>
      <c r="AR62" s="197"/>
      <c r="AS62" s="197" t="b">
        <f t="shared" ref="AS62:AY62" si="49">IF(AS61&gt;LARGE($AP$61:$AY$61,4),TRUE,FALSE)</f>
        <v>0</v>
      </c>
      <c r="AT62" s="197" t="b">
        <f t="shared" si="49"/>
        <v>0</v>
      </c>
      <c r="AU62" s="197" t="b">
        <f t="shared" si="49"/>
        <v>0</v>
      </c>
      <c r="AV62" s="197" t="b">
        <f t="shared" si="49"/>
        <v>0</v>
      </c>
      <c r="AW62" s="197" t="b">
        <f t="shared" si="49"/>
        <v>1</v>
      </c>
      <c r="AX62" s="197" t="b">
        <f t="shared" si="49"/>
        <v>1</v>
      </c>
      <c r="AY62" s="197" t="b">
        <f t="shared" si="49"/>
        <v>1</v>
      </c>
      <c r="AZ62" s="197"/>
      <c r="BA62" s="185" t="s">
        <v>140</v>
      </c>
      <c r="BC62" s="185" t="s">
        <v>1970</v>
      </c>
      <c r="BD62" s="185" t="s">
        <v>1970</v>
      </c>
      <c r="BE62" s="185" t="s">
        <v>2739</v>
      </c>
      <c r="BF62" s="185" t="s">
        <v>2866</v>
      </c>
      <c r="BS62" s="185" t="s">
        <v>1970</v>
      </c>
    </row>
    <row r="63" spans="1:71" x14ac:dyDescent="0.3">
      <c r="A63" s="185" t="str">
        <f>'Reference Score Calculation'!A42</f>
        <v>JS1109</v>
      </c>
      <c r="B63" s="185" t="str">
        <f>'Reference Score Calculation'!D42</f>
        <v>文學士(語言學及語言應用)</v>
      </c>
      <c r="C63" s="236"/>
      <c r="D63" s="190" t="str">
        <f>'Reference Score Calculation'!E42</f>
        <v>4C2X</v>
      </c>
      <c r="E63" s="190" t="str">
        <f>入學要求!T51</f>
        <v>v</v>
      </c>
      <c r="F63" s="190" t="str">
        <f>入學要求!U51</f>
        <v>E</v>
      </c>
      <c r="G63" s="190" t="str">
        <f>入學要求!V51</f>
        <v>NO</v>
      </c>
      <c r="H63" s="185">
        <f t="shared" si="16"/>
        <v>3.2500000000000002E-9</v>
      </c>
      <c r="I63" s="194">
        <v>1.5</v>
      </c>
      <c r="J63" s="194">
        <v>2</v>
      </c>
      <c r="K63" s="194">
        <v>1.5</v>
      </c>
      <c r="L63" s="194">
        <v>1</v>
      </c>
      <c r="M63" s="194">
        <v>1</v>
      </c>
      <c r="N63" s="194">
        <v>1</v>
      </c>
      <c r="O63" s="194">
        <v>1</v>
      </c>
      <c r="P63" s="194">
        <v>1</v>
      </c>
      <c r="Q63" s="194">
        <v>1</v>
      </c>
      <c r="R63" s="194">
        <v>1</v>
      </c>
      <c r="T63" s="185">
        <f t="shared" si="17"/>
        <v>1.5E-10</v>
      </c>
      <c r="U63" s="185">
        <f t="shared" si="18"/>
        <v>4.0000000000000001E-10</v>
      </c>
      <c r="V63" s="185">
        <f t="shared" si="19"/>
        <v>4.5E-10</v>
      </c>
      <c r="W63" s="185">
        <f t="shared" si="20"/>
        <v>4.0000000000000001E-10</v>
      </c>
      <c r="X63" s="185">
        <f t="shared" si="21"/>
        <v>5.0000000000000003E-10</v>
      </c>
      <c r="Y63" s="185">
        <f t="shared" si="22"/>
        <v>6E-10</v>
      </c>
      <c r="Z63" s="185">
        <f t="shared" si="23"/>
        <v>6.9999999999999996E-10</v>
      </c>
      <c r="AA63" s="185">
        <f t="shared" si="24"/>
        <v>8.0000000000000003E-10</v>
      </c>
      <c r="AB63" s="185">
        <f t="shared" si="25"/>
        <v>8.9999999999999999E-10</v>
      </c>
      <c r="AC63" s="185">
        <f t="shared" si="26"/>
        <v>9.5000000000000003E-10</v>
      </c>
      <c r="AD63" s="185" t="b">
        <f t="shared" si="46"/>
        <v>1</v>
      </c>
      <c r="AE63" s="185" t="b">
        <f t="shared" si="46"/>
        <v>1</v>
      </c>
      <c r="AF63" s="185" t="b">
        <f t="shared" si="46"/>
        <v>1</v>
      </c>
      <c r="AG63" s="185" t="b">
        <f t="shared" si="46"/>
        <v>1</v>
      </c>
      <c r="AH63" s="185" t="b">
        <f t="shared" si="47"/>
        <v>0</v>
      </c>
      <c r="AI63" s="185" t="b">
        <f t="shared" si="47"/>
        <v>0</v>
      </c>
      <c r="AJ63" s="185" t="b">
        <f t="shared" si="47"/>
        <v>0</v>
      </c>
      <c r="AK63" s="185" t="b">
        <f t="shared" si="47"/>
        <v>0</v>
      </c>
      <c r="AL63" s="185" t="b">
        <f t="shared" si="47"/>
        <v>1</v>
      </c>
      <c r="AM63" s="185" t="b">
        <f t="shared" si="48"/>
        <v>1</v>
      </c>
      <c r="AO63" s="184"/>
      <c r="AP63" s="196"/>
      <c r="AQ63" s="196"/>
      <c r="AR63" s="196"/>
      <c r="AS63" s="196"/>
      <c r="AT63" s="196"/>
      <c r="AU63" s="196"/>
      <c r="AV63" s="196"/>
      <c r="AW63" s="196"/>
      <c r="AX63" s="196"/>
      <c r="AY63" s="196"/>
      <c r="AZ63" s="196"/>
      <c r="BA63" s="185" t="s">
        <v>1974</v>
      </c>
      <c r="BC63" s="185" t="s">
        <v>1970</v>
      </c>
      <c r="BD63" s="185" t="s">
        <v>1970</v>
      </c>
      <c r="BE63" s="185" t="s">
        <v>2739</v>
      </c>
      <c r="BF63" s="185" t="s">
        <v>2741</v>
      </c>
      <c r="BS63" s="185" t="s">
        <v>1970</v>
      </c>
    </row>
    <row r="64" spans="1:71" x14ac:dyDescent="0.3">
      <c r="A64" s="185" t="str">
        <f>'Reference Score Calculation'!A43</f>
        <v>JS1110</v>
      </c>
      <c r="B64" s="185" t="str">
        <f>'Reference Score Calculation'!D43</f>
        <v>社會及行為科學系 [選項: 社會科學學士(犯罪學及社會學)、社會科學學士(心理學)、社會科學學士(社會工作)]</v>
      </c>
      <c r="C64" s="236"/>
      <c r="D64" s="82" t="str">
        <f>'Reference Score Calculation'!E43</f>
        <v>4C2X</v>
      </c>
      <c r="E64" s="190" t="str">
        <f>入學要求!T52</f>
        <v>v</v>
      </c>
      <c r="F64" s="190" t="str">
        <f>入學要求!U52</f>
        <v>E</v>
      </c>
      <c r="G64" s="190" t="str">
        <f>入學要求!V52</f>
        <v>NO</v>
      </c>
      <c r="H64" s="185">
        <f t="shared" si="16"/>
        <v>3.05E-9</v>
      </c>
      <c r="I64" s="194">
        <v>1</v>
      </c>
      <c r="J64" s="194">
        <v>2</v>
      </c>
      <c r="K64" s="194">
        <v>1</v>
      </c>
      <c r="L64" s="194">
        <v>1</v>
      </c>
      <c r="M64" s="194">
        <v>1</v>
      </c>
      <c r="N64" s="194">
        <v>1</v>
      </c>
      <c r="O64" s="194">
        <v>1</v>
      </c>
      <c r="P64" s="194">
        <v>1</v>
      </c>
      <c r="Q64" s="194">
        <v>1</v>
      </c>
      <c r="R64" s="194">
        <v>1</v>
      </c>
      <c r="T64" s="185">
        <f t="shared" si="17"/>
        <v>1E-10</v>
      </c>
      <c r="U64" s="185">
        <f t="shared" si="18"/>
        <v>4.0000000000000001E-10</v>
      </c>
      <c r="V64" s="185">
        <f t="shared" si="19"/>
        <v>3E-10</v>
      </c>
      <c r="W64" s="185">
        <f t="shared" si="20"/>
        <v>4.0000000000000001E-10</v>
      </c>
      <c r="X64" s="185">
        <f t="shared" si="21"/>
        <v>5.0000000000000003E-10</v>
      </c>
      <c r="Y64" s="185">
        <f t="shared" si="22"/>
        <v>6E-10</v>
      </c>
      <c r="Z64" s="185">
        <f t="shared" si="23"/>
        <v>6.9999999999999996E-10</v>
      </c>
      <c r="AA64" s="185">
        <f t="shared" si="24"/>
        <v>8.0000000000000003E-10</v>
      </c>
      <c r="AB64" s="185">
        <f t="shared" si="25"/>
        <v>8.9999999999999999E-10</v>
      </c>
      <c r="AC64" s="185">
        <f t="shared" si="26"/>
        <v>9.5000000000000003E-10</v>
      </c>
      <c r="AD64" s="185" t="b">
        <f t="shared" si="46"/>
        <v>1</v>
      </c>
      <c r="AE64" s="185" t="b">
        <f t="shared" si="46"/>
        <v>1</v>
      </c>
      <c r="AF64" s="185" t="b">
        <f t="shared" si="46"/>
        <v>1</v>
      </c>
      <c r="AG64" s="185" t="b">
        <f t="shared" si="46"/>
        <v>1</v>
      </c>
      <c r="AH64" s="185" t="b">
        <f t="shared" si="47"/>
        <v>0</v>
      </c>
      <c r="AI64" s="185" t="b">
        <f t="shared" si="47"/>
        <v>0</v>
      </c>
      <c r="AJ64" s="185" t="b">
        <f t="shared" si="47"/>
        <v>0</v>
      </c>
      <c r="AK64" s="185" t="b">
        <f t="shared" si="47"/>
        <v>0</v>
      </c>
      <c r="AL64" s="185" t="b">
        <f t="shared" si="47"/>
        <v>1</v>
      </c>
      <c r="AM64" s="185" t="b">
        <f t="shared" si="48"/>
        <v>1</v>
      </c>
      <c r="AO64" s="184"/>
      <c r="AP64" s="184" t="s">
        <v>2901</v>
      </c>
      <c r="AQ64" s="184"/>
      <c r="AR64" s="241" t="s">
        <v>2714</v>
      </c>
      <c r="AS64" s="184"/>
      <c r="AT64" s="184"/>
      <c r="AU64" s="184"/>
      <c r="AV64" s="196"/>
      <c r="AW64" s="196"/>
      <c r="AX64" s="196"/>
      <c r="AY64" s="196"/>
      <c r="AZ64" s="196"/>
      <c r="BA64" s="185" t="s">
        <v>149</v>
      </c>
      <c r="BC64" s="185" t="s">
        <v>1970</v>
      </c>
      <c r="BD64" s="185" t="s">
        <v>1970</v>
      </c>
      <c r="BE64" s="185" t="s">
        <v>2739</v>
      </c>
      <c r="BF64" s="185" t="s">
        <v>1970</v>
      </c>
      <c r="BS64" s="185" t="s">
        <v>1970</v>
      </c>
    </row>
    <row r="65" spans="1:71" x14ac:dyDescent="0.3">
      <c r="A65" s="185" t="str">
        <f>'Reference Score Calculation'!A44</f>
        <v>JS1111</v>
      </c>
      <c r="B65" s="185" t="str">
        <f>'Reference Score Calculation'!D44</f>
        <v>社會科學學士(犯罪學及社會學)</v>
      </c>
      <c r="C65" s="236"/>
      <c r="D65" s="82" t="str">
        <f>'Reference Score Calculation'!E44</f>
        <v>4C2X</v>
      </c>
      <c r="E65" s="190" t="str">
        <f>入學要求!T53</f>
        <v>v</v>
      </c>
      <c r="F65" s="190" t="str">
        <f>入學要求!U53</f>
        <v>E</v>
      </c>
      <c r="G65" s="190" t="str">
        <f>入學要求!V53</f>
        <v>NO</v>
      </c>
      <c r="H65" s="185">
        <f t="shared" si="16"/>
        <v>3.05E-9</v>
      </c>
      <c r="I65" s="194">
        <v>1</v>
      </c>
      <c r="J65" s="194">
        <v>2</v>
      </c>
      <c r="K65" s="194">
        <v>1</v>
      </c>
      <c r="L65" s="194">
        <v>1</v>
      </c>
      <c r="M65" s="194">
        <v>1</v>
      </c>
      <c r="N65" s="194">
        <v>1</v>
      </c>
      <c r="O65" s="194">
        <v>1</v>
      </c>
      <c r="P65" s="194">
        <v>1</v>
      </c>
      <c r="Q65" s="194">
        <v>1</v>
      </c>
      <c r="R65" s="194">
        <v>1</v>
      </c>
      <c r="T65" s="185">
        <f t="shared" si="17"/>
        <v>1E-10</v>
      </c>
      <c r="U65" s="185">
        <f t="shared" si="18"/>
        <v>4.0000000000000001E-10</v>
      </c>
      <c r="V65" s="185">
        <f t="shared" si="19"/>
        <v>3E-10</v>
      </c>
      <c r="W65" s="185">
        <f t="shared" si="20"/>
        <v>4.0000000000000001E-10</v>
      </c>
      <c r="X65" s="185">
        <f t="shared" si="21"/>
        <v>5.0000000000000003E-10</v>
      </c>
      <c r="Y65" s="185">
        <f t="shared" si="22"/>
        <v>6E-10</v>
      </c>
      <c r="Z65" s="185">
        <f t="shared" si="23"/>
        <v>6.9999999999999996E-10</v>
      </c>
      <c r="AA65" s="185">
        <f t="shared" si="24"/>
        <v>8.0000000000000003E-10</v>
      </c>
      <c r="AB65" s="185">
        <f t="shared" si="25"/>
        <v>8.9999999999999999E-10</v>
      </c>
      <c r="AC65" s="185">
        <f t="shared" si="26"/>
        <v>9.5000000000000003E-10</v>
      </c>
      <c r="AD65" s="185" t="b">
        <f t="shared" si="46"/>
        <v>1</v>
      </c>
      <c r="AE65" s="185" t="b">
        <f t="shared" si="46"/>
        <v>1</v>
      </c>
      <c r="AF65" s="185" t="b">
        <f t="shared" si="46"/>
        <v>1</v>
      </c>
      <c r="AG65" s="185" t="b">
        <f t="shared" si="46"/>
        <v>1</v>
      </c>
      <c r="AH65" s="185" t="b">
        <f t="shared" si="47"/>
        <v>0</v>
      </c>
      <c r="AI65" s="185" t="b">
        <f t="shared" si="47"/>
        <v>0</v>
      </c>
      <c r="AJ65" s="185" t="b">
        <f t="shared" si="47"/>
        <v>0</v>
      </c>
      <c r="AK65" s="185" t="b">
        <f t="shared" si="47"/>
        <v>0</v>
      </c>
      <c r="AL65" s="185" t="b">
        <f t="shared" si="47"/>
        <v>1</v>
      </c>
      <c r="AM65" s="185" t="b">
        <f t="shared" si="48"/>
        <v>1</v>
      </c>
      <c r="AO65" s="122" t="s">
        <v>2799</v>
      </c>
      <c r="AP65" s="185" t="str">
        <f>IF(K3&gt;M3,K1,M1)</f>
        <v>數學延伸</v>
      </c>
      <c r="AQ65" s="184"/>
      <c r="AR65" s="184"/>
      <c r="AS65" s="184"/>
      <c r="AT65" s="184"/>
      <c r="AU65" s="184"/>
      <c r="AV65" s="196"/>
      <c r="AW65" s="196"/>
      <c r="AX65" s="196"/>
      <c r="AY65" s="196"/>
      <c r="AZ65" s="196"/>
      <c r="BA65" s="185" t="s">
        <v>154</v>
      </c>
      <c r="BC65" s="185" t="s">
        <v>1970</v>
      </c>
      <c r="BD65" s="185" t="s">
        <v>1970</v>
      </c>
      <c r="BE65" s="185" t="s">
        <v>2739</v>
      </c>
      <c r="BF65" s="185" t="s">
        <v>1970</v>
      </c>
      <c r="BS65" s="185" t="s">
        <v>1970</v>
      </c>
    </row>
    <row r="66" spans="1:71" x14ac:dyDescent="0.3">
      <c r="A66" s="185" t="str">
        <f>'Reference Score Calculation'!A45</f>
        <v>JS1112</v>
      </c>
      <c r="B66" s="185" t="str">
        <f>'Reference Score Calculation'!D45</f>
        <v>社會科學學士(心理學)</v>
      </c>
      <c r="C66" s="236"/>
      <c r="D66" s="82" t="str">
        <f>'Reference Score Calculation'!E45</f>
        <v>4C2X</v>
      </c>
      <c r="E66" s="190" t="str">
        <f>入學要求!T54</f>
        <v>v</v>
      </c>
      <c r="F66" s="190" t="str">
        <f>入學要求!U54</f>
        <v>E</v>
      </c>
      <c r="G66" s="190" t="str">
        <f>入學要求!V54</f>
        <v>NO</v>
      </c>
      <c r="H66" s="185">
        <f t="shared" ref="H66:H87" si="50">SUMIF(AD66:AM66,TRUE,T66:AC66)</f>
        <v>3.05E-9</v>
      </c>
      <c r="I66" s="194">
        <v>1</v>
      </c>
      <c r="J66" s="194">
        <v>2</v>
      </c>
      <c r="K66" s="194">
        <v>1</v>
      </c>
      <c r="L66" s="194">
        <v>1</v>
      </c>
      <c r="M66" s="194">
        <v>1</v>
      </c>
      <c r="N66" s="194">
        <v>1</v>
      </c>
      <c r="O66" s="194">
        <v>1</v>
      </c>
      <c r="P66" s="194">
        <v>1</v>
      </c>
      <c r="Q66" s="194">
        <v>1</v>
      </c>
      <c r="R66" s="194">
        <v>1</v>
      </c>
      <c r="S66" s="224"/>
      <c r="T66" s="185">
        <f t="shared" ref="T66:T87" si="51">I$3*I66</f>
        <v>1E-10</v>
      </c>
      <c r="U66" s="185">
        <f t="shared" ref="U66:U87" si="52">J$3*J66</f>
        <v>4.0000000000000001E-10</v>
      </c>
      <c r="V66" s="185">
        <f t="shared" ref="V66:V87" si="53">K$3*K66</f>
        <v>3E-10</v>
      </c>
      <c r="W66" s="185">
        <f t="shared" ref="W66:W87" si="54">L$3*L66</f>
        <v>4.0000000000000001E-10</v>
      </c>
      <c r="X66" s="185">
        <f t="shared" ref="X66:X86" si="55">IF(E66="v",M$3*M66,0)</f>
        <v>5.0000000000000003E-10</v>
      </c>
      <c r="Y66" s="185">
        <f t="shared" ref="Y66:Y87" si="56">N$3*N66</f>
        <v>6E-10</v>
      </c>
      <c r="Z66" s="185">
        <f t="shared" ref="Z66:Z87" si="57">O$3*O66</f>
        <v>6.9999999999999996E-10</v>
      </c>
      <c r="AA66" s="185">
        <f t="shared" ref="AA66:AA87" si="58">P$3*P66</f>
        <v>8.0000000000000003E-10</v>
      </c>
      <c r="AB66" s="185">
        <f t="shared" ref="AB66:AB87" si="59">Q$3*Q66</f>
        <v>8.9999999999999999E-10</v>
      </c>
      <c r="AC66" s="185">
        <f t="shared" ref="AC66:AC86" si="60">IF(F66="E",R$3*R66,0)</f>
        <v>9.5000000000000003E-10</v>
      </c>
      <c r="AD66" s="185" t="b">
        <f t="shared" si="46"/>
        <v>1</v>
      </c>
      <c r="AE66" s="185" t="b">
        <f t="shared" si="46"/>
        <v>1</v>
      </c>
      <c r="AF66" s="185" t="b">
        <f t="shared" si="46"/>
        <v>1</v>
      </c>
      <c r="AG66" s="185" t="b">
        <f t="shared" si="46"/>
        <v>1</v>
      </c>
      <c r="AH66" s="185" t="b">
        <f t="shared" si="47"/>
        <v>0</v>
      </c>
      <c r="AI66" s="185" t="b">
        <f t="shared" si="47"/>
        <v>0</v>
      </c>
      <c r="AJ66" s="185" t="b">
        <f t="shared" si="47"/>
        <v>0</v>
      </c>
      <c r="AK66" s="185" t="b">
        <f t="shared" si="47"/>
        <v>0</v>
      </c>
      <c r="AL66" s="185" t="b">
        <f t="shared" si="47"/>
        <v>1</v>
      </c>
      <c r="AM66" s="185" t="b">
        <f t="shared" si="48"/>
        <v>1</v>
      </c>
      <c r="AO66" s="122"/>
      <c r="AP66" s="242" t="s">
        <v>2904</v>
      </c>
      <c r="AQ66" s="196"/>
      <c r="AR66" s="196"/>
      <c r="AS66" s="196"/>
      <c r="AT66" s="196"/>
      <c r="AU66" s="196"/>
      <c r="AV66" s="196"/>
      <c r="AW66" s="196"/>
      <c r="AX66" s="197"/>
      <c r="AY66" s="197"/>
      <c r="AZ66" s="197"/>
      <c r="BA66" s="185" t="s">
        <v>159</v>
      </c>
      <c r="BC66" s="185" t="s">
        <v>1970</v>
      </c>
      <c r="BD66" s="185" t="s">
        <v>1970</v>
      </c>
      <c r="BE66" s="185" t="s">
        <v>2739</v>
      </c>
      <c r="BF66" s="185" t="s">
        <v>1970</v>
      </c>
      <c r="BS66" s="185" t="s">
        <v>1970</v>
      </c>
    </row>
    <row r="67" spans="1:71" x14ac:dyDescent="0.3">
      <c r="A67" s="185" t="str">
        <f>'Reference Score Calculation'!A46</f>
        <v>JS1113</v>
      </c>
      <c r="B67" s="185" t="str">
        <f>'Reference Score Calculation'!D46</f>
        <v>社會科學學士(社會工作)</v>
      </c>
      <c r="C67" s="236"/>
      <c r="D67" s="82" t="str">
        <f>'Reference Score Calculation'!E46</f>
        <v>4C2X</v>
      </c>
      <c r="E67" s="190" t="str">
        <f>入學要求!T55</f>
        <v>v</v>
      </c>
      <c r="F67" s="190" t="str">
        <f>入學要求!U55</f>
        <v>E</v>
      </c>
      <c r="G67" s="190" t="str">
        <f>入學要求!V55</f>
        <v>NO</v>
      </c>
      <c r="H67" s="185">
        <f t="shared" si="50"/>
        <v>3.05E-9</v>
      </c>
      <c r="I67" s="194">
        <v>1</v>
      </c>
      <c r="J67" s="194">
        <v>2</v>
      </c>
      <c r="K67" s="194">
        <v>1</v>
      </c>
      <c r="L67" s="194">
        <v>1</v>
      </c>
      <c r="M67" s="194">
        <v>1</v>
      </c>
      <c r="N67" s="194">
        <v>1</v>
      </c>
      <c r="O67" s="194">
        <v>1</v>
      </c>
      <c r="P67" s="194">
        <v>1</v>
      </c>
      <c r="Q67" s="194">
        <v>1</v>
      </c>
      <c r="R67" s="194">
        <v>1</v>
      </c>
      <c r="S67" s="224"/>
      <c r="T67" s="185">
        <f t="shared" si="51"/>
        <v>1E-10</v>
      </c>
      <c r="U67" s="185">
        <f t="shared" si="52"/>
        <v>4.0000000000000001E-10</v>
      </c>
      <c r="V67" s="185">
        <f t="shared" si="53"/>
        <v>3E-10</v>
      </c>
      <c r="W67" s="185">
        <f t="shared" si="54"/>
        <v>4.0000000000000001E-10</v>
      </c>
      <c r="X67" s="185">
        <f t="shared" si="55"/>
        <v>5.0000000000000003E-10</v>
      </c>
      <c r="Y67" s="185">
        <f t="shared" si="56"/>
        <v>6E-10</v>
      </c>
      <c r="Z67" s="185">
        <f t="shared" si="57"/>
        <v>6.9999999999999996E-10</v>
      </c>
      <c r="AA67" s="185">
        <f t="shared" si="58"/>
        <v>8.0000000000000003E-10</v>
      </c>
      <c r="AB67" s="185">
        <f t="shared" si="59"/>
        <v>8.9999999999999999E-10</v>
      </c>
      <c r="AC67" s="185">
        <f t="shared" si="60"/>
        <v>9.5000000000000003E-10</v>
      </c>
      <c r="AD67" s="185" t="b">
        <f t="shared" si="46"/>
        <v>1</v>
      </c>
      <c r="AE67" s="185" t="b">
        <f t="shared" si="46"/>
        <v>1</v>
      </c>
      <c r="AF67" s="185" t="b">
        <f t="shared" si="46"/>
        <v>1</v>
      </c>
      <c r="AG67" s="185" t="b">
        <f t="shared" si="46"/>
        <v>1</v>
      </c>
      <c r="AH67" s="185" t="b">
        <f t="shared" si="47"/>
        <v>0</v>
      </c>
      <c r="AI67" s="185" t="b">
        <f t="shared" si="47"/>
        <v>0</v>
      </c>
      <c r="AJ67" s="185" t="b">
        <f t="shared" si="47"/>
        <v>0</v>
      </c>
      <c r="AK67" s="185" t="b">
        <f t="shared" si="47"/>
        <v>0</v>
      </c>
      <c r="AL67" s="185" t="b">
        <f t="shared" si="47"/>
        <v>1</v>
      </c>
      <c r="AM67" s="185" t="b">
        <f t="shared" si="48"/>
        <v>1</v>
      </c>
      <c r="AO67" s="184"/>
      <c r="AP67" s="184" t="str">
        <f t="shared" ref="AP67:AY67" si="61">I1</f>
        <v>中國語文</v>
      </c>
      <c r="AQ67" s="184" t="str">
        <f t="shared" si="61"/>
        <v>英國語文</v>
      </c>
      <c r="AR67" s="184" t="str">
        <f t="shared" si="61"/>
        <v>數學</v>
      </c>
      <c r="AS67" s="184" t="str">
        <f t="shared" si="61"/>
        <v>通識教育</v>
      </c>
      <c r="AT67" s="184" t="str">
        <f t="shared" si="61"/>
        <v>數學延伸</v>
      </c>
      <c r="AU67" s="184" t="str">
        <f t="shared" si="61"/>
        <v>請選擇第一選修科</v>
      </c>
      <c r="AV67" s="184" t="str">
        <f t="shared" si="61"/>
        <v>請選擇第二選修科</v>
      </c>
      <c r="AW67" s="184" t="str">
        <f t="shared" si="61"/>
        <v>請選擇第三選修科</v>
      </c>
      <c r="AX67" s="184" t="str">
        <f t="shared" si="61"/>
        <v>請選擇第四選修科</v>
      </c>
      <c r="AY67" s="184" t="str">
        <f t="shared" si="61"/>
        <v>請選擇語言科目</v>
      </c>
      <c r="AZ67" s="196"/>
      <c r="BA67" s="185" t="s">
        <v>164</v>
      </c>
      <c r="BC67" s="185" t="s">
        <v>1970</v>
      </c>
      <c r="BD67" s="185" t="s">
        <v>1970</v>
      </c>
      <c r="BE67" s="185" t="s">
        <v>2739</v>
      </c>
      <c r="BF67" s="185" t="s">
        <v>1970</v>
      </c>
      <c r="BS67" s="185" t="s">
        <v>1970</v>
      </c>
    </row>
    <row r="68" spans="1:71" x14ac:dyDescent="0.3">
      <c r="A68" s="185" t="str">
        <f>'Reference Score Calculation'!A47</f>
        <v>JS1122</v>
      </c>
      <c r="B68" s="185" t="str">
        <f>'Reference Score Calculation'!D47</f>
        <v>社會科學學士(公共政策)與法律學學士</v>
      </c>
      <c r="C68" s="236"/>
      <c r="D68" s="115" t="s">
        <v>1967</v>
      </c>
      <c r="E68" s="190" t="str">
        <f>入學要求!T56</f>
        <v>v</v>
      </c>
      <c r="F68" s="190" t="str">
        <f>入學要求!U56</f>
        <v>E</v>
      </c>
      <c r="G68" s="190" t="str">
        <f>入學要求!V56</f>
        <v>NO</v>
      </c>
      <c r="H68" s="185">
        <f t="shared" si="50"/>
        <v>2.8499999999999999E-9</v>
      </c>
      <c r="I68" s="194">
        <v>1</v>
      </c>
      <c r="J68" s="194">
        <v>1</v>
      </c>
      <c r="K68" s="194">
        <v>1</v>
      </c>
      <c r="L68" s="194">
        <v>1</v>
      </c>
      <c r="M68" s="194">
        <v>1</v>
      </c>
      <c r="N68" s="194">
        <v>1</v>
      </c>
      <c r="O68" s="194">
        <v>1</v>
      </c>
      <c r="P68" s="194">
        <v>1</v>
      </c>
      <c r="Q68" s="194">
        <v>1</v>
      </c>
      <c r="R68" s="194">
        <v>1</v>
      </c>
      <c r="S68" s="2"/>
      <c r="T68" s="185">
        <f t="shared" si="51"/>
        <v>1E-10</v>
      </c>
      <c r="U68" s="185">
        <f t="shared" si="52"/>
        <v>2.0000000000000001E-10</v>
      </c>
      <c r="V68" s="185">
        <f t="shared" si="53"/>
        <v>3E-10</v>
      </c>
      <c r="W68" s="185">
        <f t="shared" si="54"/>
        <v>4.0000000000000001E-10</v>
      </c>
      <c r="X68" s="185">
        <f t="shared" si="55"/>
        <v>5.0000000000000003E-10</v>
      </c>
      <c r="Y68" s="185">
        <f t="shared" si="56"/>
        <v>6E-10</v>
      </c>
      <c r="Z68" s="185">
        <f t="shared" si="57"/>
        <v>6.9999999999999996E-10</v>
      </c>
      <c r="AA68" s="185">
        <f t="shared" si="58"/>
        <v>8.0000000000000003E-10</v>
      </c>
      <c r="AB68" s="185">
        <f t="shared" si="59"/>
        <v>8.9999999999999999E-10</v>
      </c>
      <c r="AC68" s="185">
        <f t="shared" si="60"/>
        <v>9.5000000000000003E-10</v>
      </c>
      <c r="AD68" s="185" t="b">
        <f t="shared" si="46"/>
        <v>1</v>
      </c>
      <c r="AE68" s="185" t="b">
        <f t="shared" si="46"/>
        <v>1</v>
      </c>
      <c r="AF68" s="185" t="b">
        <f t="shared" si="46"/>
        <v>1</v>
      </c>
      <c r="AG68" s="185" t="b">
        <f t="shared" si="46"/>
        <v>1</v>
      </c>
      <c r="AH68" s="185" t="b">
        <f t="shared" si="47"/>
        <v>0</v>
      </c>
      <c r="AI68" s="185" t="b">
        <f t="shared" si="47"/>
        <v>0</v>
      </c>
      <c r="AJ68" s="185" t="b">
        <f t="shared" si="47"/>
        <v>0</v>
      </c>
      <c r="AK68" s="185" t="b">
        <f t="shared" si="47"/>
        <v>0</v>
      </c>
      <c r="AL68" s="185" t="b">
        <f t="shared" si="47"/>
        <v>1</v>
      </c>
      <c r="AM68" s="185" t="b">
        <f t="shared" si="48"/>
        <v>1</v>
      </c>
      <c r="AO68" s="184"/>
      <c r="AP68" s="199">
        <f>I3</f>
        <v>1E-10</v>
      </c>
      <c r="AQ68" s="199">
        <f>J3*2</f>
        <v>4.0000000000000001E-10</v>
      </c>
      <c r="AR68" s="199">
        <f>IF(AR67=$AP$65,K3*2,0)</f>
        <v>0</v>
      </c>
      <c r="AS68" s="199">
        <f>L3</f>
        <v>4.0000000000000001E-10</v>
      </c>
      <c r="AT68" s="199">
        <f>IF(AT67=$AP$65,M3*2,0)</f>
        <v>1.0000000000000001E-9</v>
      </c>
      <c r="AU68" s="199">
        <f>IF(OR(N1="物理",N1="化學",N1="生物",N1="組合科學(物理、化學)",N1="組合科學(生物、化學)",N1="組合科學(物理、生物)"),N3*2,N3)</f>
        <v>6E-10</v>
      </c>
      <c r="AV68" s="199">
        <f>IF(OR(O1="物理",O1="化學",O1="生物",O1="組合科學(物理、化學)",O1="組合科學(生物、化學)",O1="組合科學(物理、生物)"),O3*2,O3)</f>
        <v>6.9999999999999996E-10</v>
      </c>
      <c r="AW68" s="199">
        <f>IF(OR(P1="物理",P1="化學",P1="生物",P1="組合科學(物理、化學)",P1="組合科學(生物、化學)",P1="組合科學(物理、生物)"),P3*2,P3)</f>
        <v>8.0000000000000003E-10</v>
      </c>
      <c r="AX68" s="199">
        <f>IF(OR(Q1="物理",Q1="化學",Q1="生物",Q1="組合科學(物理、化學)",Q1="組合科學(生物、化學)",Q1="組合科學(物理、生物)"),Q3*2,Q3)</f>
        <v>8.9999999999999999E-10</v>
      </c>
      <c r="AY68" s="199">
        <f>R3</f>
        <v>9.5000000000000003E-10</v>
      </c>
      <c r="AZ68" s="196"/>
      <c r="BA68" s="185" t="s">
        <v>169</v>
      </c>
      <c r="BC68" s="2" t="s">
        <v>1970</v>
      </c>
      <c r="BD68" s="2" t="s">
        <v>1970</v>
      </c>
      <c r="BE68" s="2" t="s">
        <v>1970</v>
      </c>
      <c r="BF68" s="2" t="s">
        <v>1970</v>
      </c>
      <c r="BS68" s="2" t="s">
        <v>1970</v>
      </c>
    </row>
    <row r="69" spans="1:71" x14ac:dyDescent="0.3">
      <c r="A69" s="185" t="str">
        <f>'Reference Score Calculation'!A48</f>
        <v>JS1123</v>
      </c>
      <c r="B69" s="185" t="str">
        <f>'Reference Score Calculation'!D48</f>
        <v>社會科學學士(犯罪學)與法律學學士</v>
      </c>
      <c r="C69" s="236"/>
      <c r="D69" s="115" t="s">
        <v>2153</v>
      </c>
      <c r="E69" s="190" t="str">
        <f>入學要求!T57</f>
        <v>v</v>
      </c>
      <c r="F69" s="190" t="str">
        <f>入學要求!U57</f>
        <v>E</v>
      </c>
      <c r="G69" s="190" t="str">
        <f>入學要求!V57</f>
        <v>NO</v>
      </c>
      <c r="H69" s="185">
        <f t="shared" si="50"/>
        <v>4.1499999999999999E-9</v>
      </c>
      <c r="I69" s="194">
        <v>1</v>
      </c>
      <c r="J69" s="194">
        <v>1</v>
      </c>
      <c r="K69" s="194">
        <v>1</v>
      </c>
      <c r="L69" s="194">
        <v>1</v>
      </c>
      <c r="M69" s="194">
        <v>1</v>
      </c>
      <c r="N69" s="194">
        <v>1</v>
      </c>
      <c r="O69" s="194">
        <v>1</v>
      </c>
      <c r="P69" s="194">
        <v>1</v>
      </c>
      <c r="Q69" s="194">
        <v>1</v>
      </c>
      <c r="R69" s="194">
        <v>1</v>
      </c>
      <c r="S69" s="2"/>
      <c r="T69" s="185">
        <f t="shared" si="51"/>
        <v>1E-10</v>
      </c>
      <c r="U69" s="185">
        <f t="shared" si="52"/>
        <v>2.0000000000000001E-10</v>
      </c>
      <c r="V69" s="185">
        <f t="shared" si="53"/>
        <v>3E-10</v>
      </c>
      <c r="W69" s="185">
        <f t="shared" si="54"/>
        <v>4.0000000000000001E-10</v>
      </c>
      <c r="X69" s="185">
        <f t="shared" si="55"/>
        <v>5.0000000000000003E-10</v>
      </c>
      <c r="Y69" s="185">
        <f t="shared" si="56"/>
        <v>6E-10</v>
      </c>
      <c r="Z69" s="185">
        <f t="shared" si="57"/>
        <v>6.9999999999999996E-10</v>
      </c>
      <c r="AA69" s="185">
        <f t="shared" si="58"/>
        <v>8.0000000000000003E-10</v>
      </c>
      <c r="AB69" s="185">
        <f t="shared" si="59"/>
        <v>8.9999999999999999E-10</v>
      </c>
      <c r="AC69" s="185">
        <f t="shared" si="60"/>
        <v>9.5000000000000003E-10</v>
      </c>
      <c r="AD69" s="185" t="b">
        <f>IF(T69&gt;LARGE(($T69,$V69:$AC69),6),TRUE)</f>
        <v>0</v>
      </c>
      <c r="AE69" s="223" t="b">
        <f>TRUE</f>
        <v>1</v>
      </c>
      <c r="AF69" s="185" t="b">
        <f>IF(V69&gt;LARGE(($T69,$V69:$AC69),6),TRUE)</f>
        <v>0</v>
      </c>
      <c r="AG69" s="185" t="b">
        <f>IF(W69&gt;LARGE(($T69,$V69:$AC69),6),TRUE)</f>
        <v>0</v>
      </c>
      <c r="AH69" s="185" t="b">
        <f>IF(X69&gt;LARGE(($T69,$V69:$AC69),6),TRUE)</f>
        <v>0</v>
      </c>
      <c r="AI69" s="185" t="b">
        <f>IF(Y69&gt;LARGE(($T69,$V69:$AC69),6),TRUE)</f>
        <v>1</v>
      </c>
      <c r="AJ69" s="185" t="b">
        <f>IF(Z69&gt;LARGE(($T69,$V69:$AC69),6),TRUE)</f>
        <v>1</v>
      </c>
      <c r="AK69" s="185" t="b">
        <f>IF(AA69&gt;LARGE(($T69,$V69:$AC69),6),TRUE)</f>
        <v>1</v>
      </c>
      <c r="AL69" s="185" t="b">
        <f>IF(AB69&gt;LARGE(($T69,$V69:$AC69),6),TRUE)</f>
        <v>1</v>
      </c>
      <c r="AM69" s="185" t="b">
        <f>IF(AC69&gt;LARGE(($T69,$V69:$AC69),6),TRUE)</f>
        <v>1</v>
      </c>
      <c r="AO69" s="184"/>
      <c r="AP69" s="197" t="b">
        <f t="shared" ref="AP69:AY69" si="62">IF(AP68&gt;LARGE($AP$68:$AY$68,6),TRUE,FALSE)</f>
        <v>0</v>
      </c>
      <c r="AQ69" s="197" t="b">
        <f t="shared" si="62"/>
        <v>0</v>
      </c>
      <c r="AR69" s="197" t="b">
        <f t="shared" si="62"/>
        <v>0</v>
      </c>
      <c r="AS69" s="197" t="b">
        <f t="shared" si="62"/>
        <v>0</v>
      </c>
      <c r="AT69" s="197" t="b">
        <f t="shared" si="62"/>
        <v>1</v>
      </c>
      <c r="AU69" s="197" t="b">
        <f t="shared" si="62"/>
        <v>0</v>
      </c>
      <c r="AV69" s="197" t="b">
        <f t="shared" si="62"/>
        <v>1</v>
      </c>
      <c r="AW69" s="197" t="b">
        <f t="shared" si="62"/>
        <v>1</v>
      </c>
      <c r="AX69" s="197" t="b">
        <f t="shared" si="62"/>
        <v>1</v>
      </c>
      <c r="AY69" s="197" t="b">
        <f t="shared" si="62"/>
        <v>1</v>
      </c>
      <c r="AZ69" s="196"/>
      <c r="BA69" s="185" t="s">
        <v>173</v>
      </c>
      <c r="BC69" s="2" t="s">
        <v>2682</v>
      </c>
      <c r="BD69" s="2" t="s">
        <v>1970</v>
      </c>
      <c r="BE69" s="2" t="s">
        <v>1970</v>
      </c>
      <c r="BF69" s="2" t="s">
        <v>1970</v>
      </c>
      <c r="BS69" s="2" t="s">
        <v>1970</v>
      </c>
    </row>
    <row r="70" spans="1:71" x14ac:dyDescent="0.3">
      <c r="A70" s="185" t="str">
        <f>'Reference Score Calculation'!A49</f>
        <v>JS1200</v>
      </c>
      <c r="B70" s="185" t="str">
        <f>'Reference Score Calculation'!D49</f>
        <v>環球精研與科創課程</v>
      </c>
      <c r="C70" s="236"/>
      <c r="D70" s="19" t="str">
        <f>'Reference Score Calculation'!E49</f>
        <v>Best 5</v>
      </c>
      <c r="E70" s="190" t="str">
        <f>入學要求!T58</f>
        <v>v</v>
      </c>
      <c r="F70" s="190" t="str">
        <f>入學要求!U58</f>
        <v>NO</v>
      </c>
      <c r="G70" s="190" t="str">
        <f>入學要求!V58</f>
        <v>NO</v>
      </c>
      <c r="H70" s="185">
        <f t="shared" si="50"/>
        <v>4.4000000000000005E-9</v>
      </c>
      <c r="I70" s="194">
        <v>1</v>
      </c>
      <c r="J70" s="246">
        <v>2</v>
      </c>
      <c r="K70" s="246">
        <v>2.5</v>
      </c>
      <c r="L70" s="246">
        <v>1</v>
      </c>
      <c r="M70" s="246">
        <v>2.5</v>
      </c>
      <c r="N70" s="246">
        <f>IF(OR(N1="物理",N1="化學",N1="生物",N1="經濟"),2.5,1)</f>
        <v>1</v>
      </c>
      <c r="O70" s="246">
        <f>IF(OR(O1="物理",O1="化學",O1="生物",O1="經濟"),2.5,1)</f>
        <v>1</v>
      </c>
      <c r="P70" s="246">
        <f>IF(OR(P1="物理",P1="化學",P1="生物",P1="經濟"),2.5,1)</f>
        <v>1</v>
      </c>
      <c r="Q70" s="246">
        <f>IF(OR(Q1="物理",Q1="化學",Q1="生物",Q1="經濟"),2.5,1)</f>
        <v>1</v>
      </c>
      <c r="R70" s="246">
        <v>1</v>
      </c>
      <c r="S70" s="224"/>
      <c r="T70" s="185">
        <f t="shared" si="51"/>
        <v>1E-10</v>
      </c>
      <c r="U70" s="185">
        <f t="shared" si="52"/>
        <v>4.0000000000000001E-10</v>
      </c>
      <c r="V70" s="185">
        <f t="shared" si="53"/>
        <v>7.5E-10</v>
      </c>
      <c r="W70" s="185">
        <f t="shared" si="54"/>
        <v>4.0000000000000001E-10</v>
      </c>
      <c r="X70" s="185">
        <f t="shared" si="55"/>
        <v>1.25E-9</v>
      </c>
      <c r="Y70" s="185">
        <f t="shared" si="56"/>
        <v>6E-10</v>
      </c>
      <c r="Z70" s="185">
        <f t="shared" si="57"/>
        <v>6.9999999999999996E-10</v>
      </c>
      <c r="AA70" s="185">
        <f t="shared" si="58"/>
        <v>8.0000000000000003E-10</v>
      </c>
      <c r="AB70" s="185">
        <f t="shared" si="59"/>
        <v>8.9999999999999999E-10</v>
      </c>
      <c r="AC70" s="185">
        <f t="shared" si="60"/>
        <v>0</v>
      </c>
      <c r="AD70" s="185" t="b">
        <f>IF(OR($D70="4C2X",$D70="4C1X"),TRUE,IF($D70="Best 5",IF(T70&gt;LARGE($T70:$AC70,6),TRUE),IF($D70="Best 6",IF(T70&gt;LARGE($T70:$AC70,7),TRUE))))</f>
        <v>0</v>
      </c>
      <c r="AE70" s="185" t="b">
        <f>IF(OR($D70="4C2X",$D70="4C1X"),TRUE,IF($D70="Best 5",IF(U70&gt;LARGE($T70:$AC70,6),TRUE),IF($D70="Best 6",IF(U70&gt;LARGE($T70:$AC70,7),TRUE))))</f>
        <v>0</v>
      </c>
      <c r="AF70" s="185" t="b">
        <f>IF(OR($D70="4C2X",$D70="4C1X"),TRUE,IF($D70="Best 5",IF(V70&gt;LARGE($T70:$AC70,6),TRUE),IF($D70="Best 6",IF(V70&gt;LARGE($T70:$AC70,7),TRUE))))</f>
        <v>1</v>
      </c>
      <c r="AG70" s="185" t="b">
        <f>IF(OR($D70="4C2X",$D70="4C1X"),TRUE,IF($D70="Best 5",IF(W70&gt;LARGE($T70:$AC70,6),TRUE),IF($D70="Best 6",IF(W70&gt;LARGE($T70:$AC70,7),TRUE))))</f>
        <v>0</v>
      </c>
      <c r="AH70" s="185" t="b">
        <f>IF($D70="4C2X",IF(X70&gt;LARGE($X70:$AC70,3),TRUE),IF($D70="4C1X",IF(X70&gt;LARGE($X70:$AC70,2),TRUE),IF($D70="Best 5",IF(X70&gt;LARGE($T70:$AC70,6),TRUE),IF($D70="Best 6",IF(X70&gt;LARGE($T70:$AC70,7),TRUE)))))</f>
        <v>1</v>
      </c>
      <c r="AI70" s="185" t="b">
        <f>IF($D70="4C2X",IF(Y70&gt;LARGE($X70:$AC70,3),TRUE),IF($D70="4C1X",IF(Y70&gt;LARGE($X70:$AC70,2),TRUE),IF($D70="Best 5",IF(Y70&gt;LARGE($T70:$AC70,6),TRUE),IF($D70="Best 6",IF(Y70&gt;LARGE($T70:$AC70,7),TRUE)))))</f>
        <v>0</v>
      </c>
      <c r="AJ70" s="185" t="b">
        <f>IF($D70="4C2X",IF(Z70&gt;LARGE($X70:$AC70,3),TRUE),IF($D70="4C1X",IF(Z70&gt;LARGE($X70:$AC70,2),TRUE),IF($D70="Best 5",IF(Z70&gt;LARGE($T70:$AC70,6),TRUE),IF($D70="Best 6",IF(Z70&gt;LARGE($T70:$AC70,7),TRUE)))))</f>
        <v>1</v>
      </c>
      <c r="AK70" s="185" t="b">
        <f>IF($D70="4C2X",IF(AA70&gt;LARGE($X70:$AC70,3),TRUE),IF($D70="4C1X",IF(AA70&gt;LARGE($X70:$AC70,2),TRUE),IF($D70="Best 5",IF(AA70&gt;LARGE($T70:$AC70,6),TRUE),IF($D70="Best 6",IF(AA70&gt;LARGE($T70:$AC70,7),TRUE)))))</f>
        <v>1</v>
      </c>
      <c r="AL70" s="185" t="b">
        <f>IF($D70="4C2X",IF(AB70&gt;LARGE($X70:$AC70,3),TRUE),IF($D70="4C1X",IF(AB70&gt;LARGE($X70:$AC70,2),TRUE),IF($D70="Best 5",IF(AB70&gt;LARGE($T70:$AC70,6),TRUE),IF($D70="Best 6",IF(AB70&gt;LARGE($T70:$AC70,7),TRUE)))))</f>
        <v>1</v>
      </c>
      <c r="AM70" s="185" t="b">
        <f>IF($F70="E",IF($D70="4C2X",IF(AC70&gt;LARGE($X70:$AC70,3),TRUE),IF($D70="4C1X",IF(AC70&gt;LARGE($X70:$AC70,2),TRUE),IF($D70="Best 5",IF(AC70&gt;LARGE($T70:$AC70,6),TRUE),IF($D70="Best 6",IF(AC70&gt;LARGE($T70:$AC70,7),TRUE))))),FALSE)</f>
        <v>0</v>
      </c>
      <c r="AO70" s="122"/>
      <c r="AP70" s="197"/>
      <c r="AQ70" s="197"/>
      <c r="AR70" s="197"/>
      <c r="AS70" s="197"/>
      <c r="AT70" s="197"/>
      <c r="AU70" s="197"/>
      <c r="AV70" s="197"/>
      <c r="AW70" s="197"/>
      <c r="AX70" s="197"/>
      <c r="AY70" s="197"/>
      <c r="AZ70" s="197"/>
      <c r="BA70" s="185" t="s">
        <v>177</v>
      </c>
      <c r="BC70" s="185" t="s">
        <v>1970</v>
      </c>
      <c r="BD70" s="185" t="s">
        <v>1970</v>
      </c>
      <c r="BE70" s="185" t="s">
        <v>2744</v>
      </c>
      <c r="BF70" s="185" t="s">
        <v>2739</v>
      </c>
      <c r="BS70" s="185" t="s">
        <v>1970</v>
      </c>
    </row>
    <row r="71" spans="1:71" x14ac:dyDescent="0.3">
      <c r="A71" s="185" t="str">
        <f>'Reference Score Calculation'!A50</f>
        <v>JS1201</v>
      </c>
      <c r="B71" s="185" t="str">
        <f>'Reference Score Calculation'!D50</f>
        <v>建築學及土木工程學系 [選項: 工學士(建築工程)、工學士(土木工程)、理學士(測量學)]</v>
      </c>
      <c r="C71" s="236"/>
      <c r="D71" s="19" t="str">
        <f>'Reference Score Calculation'!E50</f>
        <v>Best 6</v>
      </c>
      <c r="E71" s="190" t="str">
        <f>入學要求!T59</f>
        <v>v</v>
      </c>
      <c r="F71" s="190" t="str">
        <f>入學要求!U59</f>
        <v>NO</v>
      </c>
      <c r="G71" s="190" t="str">
        <f>入學要求!V59</f>
        <v>NO</v>
      </c>
      <c r="H71" s="185">
        <f t="shared" si="50"/>
        <v>4.9E-9</v>
      </c>
      <c r="I71" s="194">
        <v>1.5</v>
      </c>
      <c r="J71" s="246">
        <v>2.5</v>
      </c>
      <c r="K71" s="246">
        <v>2.5</v>
      </c>
      <c r="L71" s="246">
        <v>1</v>
      </c>
      <c r="M71" s="246">
        <v>2.5</v>
      </c>
      <c r="N71" s="246">
        <f>IF(OR(N1="物理",N1="組合科學(物理、化學)",N1="組合科學(物理、生物)",N1="綜合科學"),2.5,1)</f>
        <v>1</v>
      </c>
      <c r="O71" s="246">
        <f>IF(OR(O1="物理",O1="組合科學(物理、化學)",O1="組合科學(物理、生物)",O1="綜合科學"),2.5,1)</f>
        <v>1</v>
      </c>
      <c r="P71" s="246">
        <f>IF(OR(P1="物理",P1="組合科學(物理、化學)",P1="組合科學(物理、生物)",P1="綜合科學"),2.5,1)</f>
        <v>1</v>
      </c>
      <c r="Q71" s="246">
        <f>IF(OR(Q1="物理",Q1="組合科學(物理、化學)",Q1="組合科學(物理、生物)",Q1="綜合科學"),2.5,1)</f>
        <v>1</v>
      </c>
      <c r="R71" s="246">
        <v>1</v>
      </c>
      <c r="S71" s="224"/>
      <c r="T71" s="185">
        <f t="shared" si="51"/>
        <v>1.5E-10</v>
      </c>
      <c r="U71" s="185">
        <f t="shared" si="52"/>
        <v>5.0000000000000003E-10</v>
      </c>
      <c r="V71" s="185">
        <f t="shared" si="53"/>
        <v>7.5E-10</v>
      </c>
      <c r="W71" s="185">
        <f t="shared" si="54"/>
        <v>4.0000000000000001E-10</v>
      </c>
      <c r="X71" s="185">
        <f t="shared" si="55"/>
        <v>1.25E-9</v>
      </c>
      <c r="Y71" s="185">
        <f t="shared" si="56"/>
        <v>6E-10</v>
      </c>
      <c r="Z71" s="185">
        <f t="shared" si="57"/>
        <v>6.9999999999999996E-10</v>
      </c>
      <c r="AA71" s="185">
        <f t="shared" si="58"/>
        <v>8.0000000000000003E-10</v>
      </c>
      <c r="AB71" s="185">
        <f t="shared" si="59"/>
        <v>8.9999999999999999E-10</v>
      </c>
      <c r="AC71" s="185">
        <f t="shared" si="60"/>
        <v>0</v>
      </c>
      <c r="AD71" s="185" t="b">
        <f>IF(T71&gt;LARGE(($T71,$V71:$AC71),6),TRUE)</f>
        <v>0</v>
      </c>
      <c r="AE71" s="223" t="b">
        <f>TRUE</f>
        <v>1</v>
      </c>
      <c r="AF71" s="185" t="b">
        <f>IF(V71&gt;LARGE(($T71,$V71:$AC71),6),TRUE)</f>
        <v>1</v>
      </c>
      <c r="AG71" s="185" t="b">
        <f>IF(W71&gt;LARGE(($T71,$V71:$AC71),6),TRUE)</f>
        <v>0</v>
      </c>
      <c r="AH71" s="185" t="b">
        <f>IF(X71&gt;LARGE(($T71,$V71:$AC71),6),TRUE)</f>
        <v>1</v>
      </c>
      <c r="AI71" s="185" t="b">
        <f>IF(Y71&gt;LARGE(($T71,$V71:$AC71),6),TRUE)</f>
        <v>0</v>
      </c>
      <c r="AJ71" s="185" t="b">
        <f>IF(Z71&gt;LARGE(($T71,$V71:$AC71),6),TRUE)</f>
        <v>1</v>
      </c>
      <c r="AK71" s="185" t="b">
        <f>IF(AA71&gt;LARGE(($T71,$V71:$AC71),6),TRUE)</f>
        <v>1</v>
      </c>
      <c r="AL71" s="185" t="b">
        <f>IF(AB71&gt;LARGE(($T71,$V71:$AC71),6),TRUE)</f>
        <v>1</v>
      </c>
      <c r="AM71" s="185" t="b">
        <f>IF(AC71&gt;LARGE(($T71,$V71:$AC71),6),TRUE)</f>
        <v>0</v>
      </c>
      <c r="AO71" s="203" t="s">
        <v>2838</v>
      </c>
      <c r="AP71" s="183"/>
      <c r="AQ71" s="183"/>
      <c r="AR71" s="183"/>
      <c r="AS71" s="183"/>
      <c r="AT71" s="183"/>
      <c r="AU71" s="183"/>
      <c r="AV71" s="183"/>
      <c r="AW71" s="183"/>
      <c r="AX71" s="183"/>
      <c r="AY71" s="183"/>
      <c r="AZ71" s="196"/>
      <c r="BA71" s="185" t="s">
        <v>182</v>
      </c>
      <c r="BC71" s="185" t="s">
        <v>2873</v>
      </c>
      <c r="BD71" s="185" t="s">
        <v>1970</v>
      </c>
      <c r="BE71" s="185" t="s">
        <v>2875</v>
      </c>
      <c r="BF71" s="185" t="s">
        <v>2876</v>
      </c>
      <c r="BS71" s="185" t="s">
        <v>1970</v>
      </c>
    </row>
    <row r="72" spans="1:71" x14ac:dyDescent="0.3">
      <c r="A72" s="185" t="str">
        <f>'Reference Score Calculation'!A51</f>
        <v>JS1202</v>
      </c>
      <c r="B72" s="185" t="str">
        <f>'Reference Score Calculation'!D51</f>
        <v>理學士(化學)</v>
      </c>
      <c r="C72" s="236"/>
      <c r="D72" s="19" t="str">
        <f>'Reference Score Calculation'!E51</f>
        <v>Best 5</v>
      </c>
      <c r="E72" s="190" t="str">
        <f>入學要求!T60</f>
        <v>v</v>
      </c>
      <c r="F72" s="190" t="str">
        <f>入學要求!U60</f>
        <v>E</v>
      </c>
      <c r="G72" s="190" t="str">
        <f>入學要求!V60</f>
        <v>NO</v>
      </c>
      <c r="H72" s="185">
        <f t="shared" si="50"/>
        <v>3.9500000000000006E-9</v>
      </c>
      <c r="I72" s="194">
        <v>1</v>
      </c>
      <c r="J72" s="246">
        <v>2</v>
      </c>
      <c r="K72" s="246">
        <v>1.5</v>
      </c>
      <c r="L72" s="246">
        <v>1</v>
      </c>
      <c r="M72" s="246">
        <v>1</v>
      </c>
      <c r="N72" s="246">
        <f>IF(N1="化學",2,IF(OR(N1="組合科學(物理、化學)",N1="組合科學(生物、化學)"),1.5,1))</f>
        <v>1</v>
      </c>
      <c r="O72" s="246">
        <f>IF(O1="化學",2,IF(OR(O1="組合科學(物理、化學)",O1="組合科學(生物、化學)"),1.5,1))</f>
        <v>1</v>
      </c>
      <c r="P72" s="246">
        <f>IF(P1="化學",2,IF(OR(P1="組合科學(物理、化學)",P1="組合科學(生物、化學)"),1.5,1))</f>
        <v>1</v>
      </c>
      <c r="Q72" s="246">
        <f>IF(Q1="化學",2,IF(OR(Q1="組合科學(物理、化學)",Q1="組合科學(生物、化學)"),1.5,1))</f>
        <v>1</v>
      </c>
      <c r="R72" s="246">
        <v>1</v>
      </c>
      <c r="S72" s="224"/>
      <c r="T72" s="185">
        <f t="shared" si="51"/>
        <v>1E-10</v>
      </c>
      <c r="U72" s="185">
        <f t="shared" si="52"/>
        <v>4.0000000000000001E-10</v>
      </c>
      <c r="V72" s="185">
        <f t="shared" si="53"/>
        <v>4.5E-10</v>
      </c>
      <c r="W72" s="185">
        <f t="shared" si="54"/>
        <v>4.0000000000000001E-10</v>
      </c>
      <c r="X72" s="185">
        <f t="shared" si="55"/>
        <v>5.0000000000000003E-10</v>
      </c>
      <c r="Y72" s="185">
        <f t="shared" si="56"/>
        <v>6E-10</v>
      </c>
      <c r="Z72" s="185">
        <f t="shared" si="57"/>
        <v>6.9999999999999996E-10</v>
      </c>
      <c r="AA72" s="185">
        <f t="shared" si="58"/>
        <v>8.0000000000000003E-10</v>
      </c>
      <c r="AB72" s="185">
        <f t="shared" si="59"/>
        <v>8.9999999999999999E-10</v>
      </c>
      <c r="AC72" s="185">
        <f t="shared" si="60"/>
        <v>9.5000000000000003E-10</v>
      </c>
      <c r="AD72" s="185" t="b">
        <f>IF(OR($D72="4C2X",$D72="4C1X"),TRUE,IF($D72="Best 5",IF(T72&gt;LARGE($T72:$AC72,6),TRUE),IF($D72="Best 6",IF(T72&gt;LARGE($T72:$AC72,7),TRUE))))</f>
        <v>0</v>
      </c>
      <c r="AE72" s="185" t="b">
        <f>IF(OR($D72="4C2X",$D72="4C1X"),TRUE,IF($D72="Best 5",IF(U72&gt;LARGE($T72:$AC72,6),TRUE),IF($D72="Best 6",IF(U72&gt;LARGE($T72:$AC72,7),TRUE))))</f>
        <v>0</v>
      </c>
      <c r="AF72" s="185" t="b">
        <f>IF(OR($D72="4C2X",$D72="4C1X"),TRUE,IF($D72="Best 5",IF(V72&gt;LARGE($T72:$AC72,6),TRUE),IF($D72="Best 6",IF(V72&gt;LARGE($T72:$AC72,7),TRUE))))</f>
        <v>0</v>
      </c>
      <c r="AG72" s="185" t="b">
        <f>IF(OR($D72="4C2X",$D72="4C1X"),TRUE,IF($D72="Best 5",IF(W72&gt;LARGE($T72:$AC72,6),TRUE),IF($D72="Best 6",IF(W72&gt;LARGE($T72:$AC72,7),TRUE))))</f>
        <v>0</v>
      </c>
      <c r="AH72" s="185" t="b">
        <f>IF($D72="4C2X",IF(X72&gt;LARGE($X72:$AC72,3),TRUE),IF($D72="4C1X",IF(X72&gt;LARGE($X72:$AC72,2),TRUE),IF($D72="Best 5",IF(X72&gt;LARGE($T72:$AC72,6),TRUE),IF($D72="Best 6",IF(X72&gt;LARGE($T72:$AC72,7),TRUE)))))</f>
        <v>0</v>
      </c>
      <c r="AI72" s="185" t="b">
        <f>IF($D72="4C2X",IF(Y72&gt;LARGE($X72:$AC72,3),TRUE),IF($D72="4C1X",IF(Y72&gt;LARGE($X72:$AC72,2),TRUE),IF($D72="Best 5",IF(Y72&gt;LARGE($T72:$AC72,6),TRUE),IF($D72="Best 6",IF(Y72&gt;LARGE($T72:$AC72,7),TRUE)))))</f>
        <v>1</v>
      </c>
      <c r="AJ72" s="185" t="b">
        <f>IF($D72="4C2X",IF(Z72&gt;LARGE($X72:$AC72,3),TRUE),IF($D72="4C1X",IF(Z72&gt;LARGE($X72:$AC72,2),TRUE),IF($D72="Best 5",IF(Z72&gt;LARGE($T72:$AC72,6),TRUE),IF($D72="Best 6",IF(Z72&gt;LARGE($T72:$AC72,7),TRUE)))))</f>
        <v>1</v>
      </c>
      <c r="AK72" s="185" t="b">
        <f>IF($D72="4C2X",IF(AA72&gt;LARGE($X72:$AC72,3),TRUE),IF($D72="4C1X",IF(AA72&gt;LARGE($X72:$AC72,2),TRUE),IF($D72="Best 5",IF(AA72&gt;LARGE($T72:$AC72,6),TRUE),IF($D72="Best 6",IF(AA72&gt;LARGE($T72:$AC72,7),TRUE)))))</f>
        <v>1</v>
      </c>
      <c r="AL72" s="185" t="b">
        <f>IF($D72="4C2X",IF(AB72&gt;LARGE($X72:$AC72,3),TRUE),IF($D72="4C1X",IF(AB72&gt;LARGE($X72:$AC72,2),TRUE),IF($D72="Best 5",IF(AB72&gt;LARGE($T72:$AC72,6),TRUE),IF($D72="Best 6",IF(AB72&gt;LARGE($T72:$AC72,7),TRUE)))))</f>
        <v>1</v>
      </c>
      <c r="AM72" s="185" t="b">
        <f>IF($F72="E",IF($D72="4C2X",IF(AC72&gt;LARGE($X72:$AC72,3),TRUE),IF($D72="4C1X",IF(AC72&gt;LARGE($X72:$AC72,2),TRUE),IF($D72="Best 5",IF(AC72&gt;LARGE($T72:$AC72,6),TRUE),IF($D72="Best 6",IF(AC72&gt;LARGE($T72:$AC72,7),TRUE))))),FALSE)</f>
        <v>1</v>
      </c>
      <c r="AO72" s="183"/>
      <c r="AP72" s="183"/>
      <c r="AQ72" s="183"/>
      <c r="AR72" s="183"/>
      <c r="AS72" s="183"/>
      <c r="AT72" s="183"/>
      <c r="AU72" s="183"/>
      <c r="AV72" s="183"/>
      <c r="AW72" s="183"/>
      <c r="AX72" s="183"/>
      <c r="AY72" s="183"/>
      <c r="AZ72" s="196"/>
      <c r="BA72" s="185" t="s">
        <v>187</v>
      </c>
      <c r="BC72" s="185" t="s">
        <v>1970</v>
      </c>
      <c r="BD72" s="185" t="s">
        <v>1970</v>
      </c>
      <c r="BE72" s="185" t="s">
        <v>2746</v>
      </c>
      <c r="BF72" s="185" t="s">
        <v>2748</v>
      </c>
      <c r="BS72" s="185" t="s">
        <v>1970</v>
      </c>
    </row>
    <row r="73" spans="1:71" x14ac:dyDescent="0.3">
      <c r="A73" s="185" t="str">
        <f>'Reference Score Calculation'!A52</f>
        <v>JS1204</v>
      </c>
      <c r="B73" s="185" t="str">
        <f>'Reference Score Calculation'!D52</f>
        <v>理學士(電腦科學)</v>
      </c>
      <c r="C73" s="236"/>
      <c r="D73" s="190" t="str">
        <f>'Reference Score Calculation'!E52</f>
        <v>Best 5</v>
      </c>
      <c r="E73" s="190" t="str">
        <f>入學要求!T61</f>
        <v>v</v>
      </c>
      <c r="F73" s="190" t="str">
        <f>入學要求!U61</f>
        <v>E</v>
      </c>
      <c r="G73" s="190" t="str">
        <f>入學要求!V61</f>
        <v>NO</v>
      </c>
      <c r="H73" s="185">
        <f t="shared" si="50"/>
        <v>2.8499999999999999E-9</v>
      </c>
      <c r="I73" s="194">
        <v>1</v>
      </c>
      <c r="J73" s="194">
        <v>1</v>
      </c>
      <c r="K73" s="194">
        <v>1</v>
      </c>
      <c r="L73" s="194">
        <v>1</v>
      </c>
      <c r="M73" s="194">
        <v>1</v>
      </c>
      <c r="N73" s="194">
        <v>1</v>
      </c>
      <c r="O73" s="194">
        <v>1</v>
      </c>
      <c r="P73" s="194">
        <v>1</v>
      </c>
      <c r="Q73" s="194">
        <v>1</v>
      </c>
      <c r="R73" s="194">
        <v>1</v>
      </c>
      <c r="S73" s="224"/>
      <c r="T73" s="185">
        <f t="shared" si="51"/>
        <v>1E-10</v>
      </c>
      <c r="U73" s="185">
        <f t="shared" si="52"/>
        <v>2.0000000000000001E-10</v>
      </c>
      <c r="V73" s="185">
        <f t="shared" si="53"/>
        <v>3E-10</v>
      </c>
      <c r="W73" s="185">
        <f t="shared" si="54"/>
        <v>4.0000000000000001E-10</v>
      </c>
      <c r="X73" s="185">
        <f t="shared" si="55"/>
        <v>5.0000000000000003E-10</v>
      </c>
      <c r="Y73" s="185">
        <f t="shared" si="56"/>
        <v>6E-10</v>
      </c>
      <c r="Z73" s="185">
        <f t="shared" si="57"/>
        <v>6.9999999999999996E-10</v>
      </c>
      <c r="AA73" s="185">
        <f t="shared" si="58"/>
        <v>8.0000000000000003E-10</v>
      </c>
      <c r="AB73" s="185">
        <f t="shared" si="59"/>
        <v>8.9999999999999999E-10</v>
      </c>
      <c r="AC73" s="185">
        <f t="shared" si="60"/>
        <v>9.5000000000000003E-10</v>
      </c>
      <c r="AD73" s="185" t="b">
        <f>AP55</f>
        <v>0</v>
      </c>
      <c r="AE73" s="223" t="b">
        <f>TRUE</f>
        <v>1</v>
      </c>
      <c r="AF73" s="223" t="b">
        <f>TRUE</f>
        <v>1</v>
      </c>
      <c r="AG73" s="185" t="b">
        <f>AQ55</f>
        <v>0</v>
      </c>
      <c r="AH73" s="185" t="b">
        <f>IF(M1=$AV$51,TRUE,AR55)</f>
        <v>1</v>
      </c>
      <c r="AI73" s="185" t="b">
        <f>IF(N1=$AV$51,TRUE,AS55)</f>
        <v>0</v>
      </c>
      <c r="AJ73" s="185" t="b">
        <f>IF(O1=$AV$51,TRUE,AT55)</f>
        <v>0</v>
      </c>
      <c r="AK73" s="185" t="b">
        <f>IF(P1=$AV$51,TRUE,AU55)</f>
        <v>0</v>
      </c>
      <c r="AL73" s="185" t="b">
        <f>IF(Q1=$AV$51,TRUE,AV55)</f>
        <v>1</v>
      </c>
      <c r="AM73" s="185" t="b">
        <f>IF(S1=$AV$51,TRUE,AW55)</f>
        <v>1</v>
      </c>
      <c r="AO73" s="184"/>
      <c r="AP73" s="184" t="str">
        <f>N1</f>
        <v>請選擇第一選修科</v>
      </c>
      <c r="AQ73" s="184" t="str">
        <f>O1</f>
        <v>請選擇第二選修科</v>
      </c>
      <c r="AR73" s="184" t="str">
        <f>P1</f>
        <v>請選擇第三選修科</v>
      </c>
      <c r="AS73" s="184" t="str">
        <f>Q1</f>
        <v>請選擇第四選修科</v>
      </c>
      <c r="AT73" s="184"/>
      <c r="AU73" s="184" t="s">
        <v>2831</v>
      </c>
      <c r="AV73" s="184"/>
      <c r="AW73" s="184"/>
      <c r="AX73" s="184"/>
      <c r="AY73" s="183"/>
      <c r="AZ73" s="196"/>
      <c r="BA73" s="185" t="s">
        <v>192</v>
      </c>
      <c r="BC73" s="185" t="s">
        <v>2874</v>
      </c>
      <c r="BD73" s="185" t="s">
        <v>2877</v>
      </c>
      <c r="BE73" s="185" t="s">
        <v>1970</v>
      </c>
      <c r="BF73" s="185" t="s">
        <v>1970</v>
      </c>
      <c r="BS73" s="185" t="s">
        <v>1970</v>
      </c>
    </row>
    <row r="74" spans="1:71" x14ac:dyDescent="0.3">
      <c r="A74" s="185" t="str">
        <f>'Reference Score Calculation'!A53</f>
        <v>JS1205</v>
      </c>
      <c r="B74" s="185" t="str">
        <f>'Reference Score Calculation'!D53</f>
        <v>電機工程學系 [選項: 工學士(電子計算機及數據工程學)、工學士(電子及電機工程學)、工學士(資訊工程學)]</v>
      </c>
      <c r="C74" s="236"/>
      <c r="D74" s="19" t="str">
        <f>'Reference Score Calculation'!E53</f>
        <v>Best 5</v>
      </c>
      <c r="E74" s="190" t="str">
        <f>入學要求!T62</f>
        <v>v</v>
      </c>
      <c r="F74" s="190" t="str">
        <f>入學要求!U62</f>
        <v>E</v>
      </c>
      <c r="G74" s="190" t="str">
        <f>入學要求!V62</f>
        <v>NO</v>
      </c>
      <c r="H74" s="185">
        <f t="shared" si="50"/>
        <v>3.8500000000000006E-9</v>
      </c>
      <c r="I74" s="194">
        <v>1</v>
      </c>
      <c r="J74" s="246">
        <v>2</v>
      </c>
      <c r="K74" s="246">
        <v>2</v>
      </c>
      <c r="L74" s="246">
        <v>1</v>
      </c>
      <c r="M74" s="246">
        <v>2</v>
      </c>
      <c r="N74" s="246">
        <f>IF(OR(N1="物理",N1="組合科學(物理、化學)",N1="組合科學(物理、生物)",N1="資訊及通訊科技"),2,IF(OR(N1="生物",N1="化學",N1="組合科學(生物、化學)",N1="綜合科學"),1.5,1))</f>
        <v>1</v>
      </c>
      <c r="O74" s="246">
        <f>IF(OR(O1="物理",O1="組合科學(物理、化學)",O1="組合科學(物理、生物)",O1="資訊及通訊科技"),2,IF(OR(O1="生物",O1="化學",O1="組合科學(生物、化學)",O1="綜合科學"),1.5,1))</f>
        <v>1</v>
      </c>
      <c r="P74" s="246">
        <f>IF(OR(P1="物理",P1="組合科學(物理、化學)",P1="組合科學(物理、生物)",P1="資訊及通訊科技"),2,IF(OR(P1="生物",P1="化學",P1="組合科學(生物、化學)",P1="綜合科學"),1.5,1))</f>
        <v>1</v>
      </c>
      <c r="Q74" s="246">
        <f>IF(OR(Q1="物理",Q1="組合科學(物理、化學)",Q1="組合科學(物理、生物)",Q1="資訊及通訊科技"),2,IF(OR(Q1="生物",Q1="化學",Q1="組合科學(生物、化學)",Q1="綜合科學"),1.5,1))</f>
        <v>1</v>
      </c>
      <c r="R74" s="246">
        <v>1</v>
      </c>
      <c r="S74" s="224"/>
      <c r="T74" s="185">
        <f t="shared" si="51"/>
        <v>1E-10</v>
      </c>
      <c r="U74" s="185">
        <f t="shared" si="52"/>
        <v>4.0000000000000001E-10</v>
      </c>
      <c r="V74" s="185">
        <f t="shared" si="53"/>
        <v>6E-10</v>
      </c>
      <c r="W74" s="185">
        <f t="shared" si="54"/>
        <v>4.0000000000000001E-10</v>
      </c>
      <c r="X74" s="185">
        <f t="shared" si="55"/>
        <v>1.0000000000000001E-9</v>
      </c>
      <c r="Y74" s="185">
        <f t="shared" si="56"/>
        <v>6E-10</v>
      </c>
      <c r="Z74" s="185">
        <f t="shared" si="57"/>
        <v>6.9999999999999996E-10</v>
      </c>
      <c r="AA74" s="185">
        <f t="shared" si="58"/>
        <v>8.0000000000000003E-10</v>
      </c>
      <c r="AB74" s="185">
        <f t="shared" si="59"/>
        <v>8.9999999999999999E-10</v>
      </c>
      <c r="AC74" s="185">
        <f t="shared" si="60"/>
        <v>9.5000000000000003E-10</v>
      </c>
      <c r="AD74" s="185" t="b">
        <f>IF(T74&gt;LARGE(($T74,$W74:$AC74),4),TRUE)</f>
        <v>0</v>
      </c>
      <c r="AE74" s="223" t="b">
        <f>TRUE</f>
        <v>1</v>
      </c>
      <c r="AF74" s="223" t="b">
        <f>TRUE</f>
        <v>1</v>
      </c>
      <c r="AG74" s="185" t="b">
        <f>IF(W74&gt;LARGE(($T74,$W74:$AC74),4),TRUE)</f>
        <v>0</v>
      </c>
      <c r="AH74" s="185" t="b">
        <f>IF(X74&gt;LARGE(($T74,$W74:$AC74),4),TRUE)</f>
        <v>1</v>
      </c>
      <c r="AI74" s="185" t="b">
        <f>IF(Y74&gt;LARGE(($T74,$W74:$AC74),4),TRUE)</f>
        <v>0</v>
      </c>
      <c r="AJ74" s="185" t="b">
        <f>IF(Z74&gt;LARGE(($T74,$W74:$AC74),4),TRUE)</f>
        <v>0</v>
      </c>
      <c r="AK74" s="185" t="b">
        <f>IF(AA74&gt;LARGE(($T74,$W74:$AC74),4),TRUE)</f>
        <v>0</v>
      </c>
      <c r="AL74" s="185" t="b">
        <f>IF(AB74&gt;LARGE(($T74,$W74:$AC74),4),TRUE)</f>
        <v>1</v>
      </c>
      <c r="AM74" s="185" t="b">
        <f>IF(AC74&gt;LARGE(($T74,$W74:$AC74),4),TRUE)</f>
        <v>1</v>
      </c>
      <c r="AO74" s="243" t="s">
        <v>2830</v>
      </c>
      <c r="AP74" s="185">
        <f>IF(OR(N1="化學",N1="生物"),N3,0)</f>
        <v>0</v>
      </c>
      <c r="AQ74" s="185">
        <f>IF(OR(O1="化學",O1="生物"),O3,0)</f>
        <v>0</v>
      </c>
      <c r="AR74" s="185">
        <f>IF(OR(P1="化學",P1="生物"),P3,0)</f>
        <v>0</v>
      </c>
      <c r="AS74" s="185">
        <f>IF(OR(Q1="化學",Q1="生物"),Q3,0)</f>
        <v>0</v>
      </c>
      <c r="AT74" s="184"/>
      <c r="AU74" s="185" t="str">
        <f>IF(AV74&gt;0,INDEX(AP73:AS73,MATCH(LARGE(AP74:AS74,1),AP74:AS74,0)),"無")</f>
        <v>無</v>
      </c>
      <c r="AV74" s="185">
        <f>LARGE((AP74:AS74),1)</f>
        <v>0</v>
      </c>
      <c r="AW74" s="185" t="str">
        <f>IF(AX74&gt;0,INDEX(AP73:AS73,MATCH(LARGE(AP74:AS74,2),AP74:AS74,0)),"無")</f>
        <v>無</v>
      </c>
      <c r="AX74" s="185">
        <f>LARGE((AP74:AS74),2)</f>
        <v>0</v>
      </c>
      <c r="AY74" s="183"/>
      <c r="AZ74" s="197"/>
      <c r="BA74" s="185" t="s">
        <v>198</v>
      </c>
      <c r="BC74" s="185" t="s">
        <v>2878</v>
      </c>
      <c r="BD74" s="185" t="s">
        <v>1970</v>
      </c>
      <c r="BE74" s="185" t="s">
        <v>2879</v>
      </c>
      <c r="BF74" s="185" t="s">
        <v>2880</v>
      </c>
      <c r="BS74" s="185" t="s">
        <v>1970</v>
      </c>
    </row>
    <row r="75" spans="1:71" x14ac:dyDescent="0.3">
      <c r="A75" s="185" t="str">
        <f>'Reference Score Calculation'!A54</f>
        <v>JS1206</v>
      </c>
      <c r="B75" s="185" t="str">
        <f>'Reference Score Calculation'!D54</f>
        <v>理學士(計算數學)</v>
      </c>
      <c r="C75" s="236"/>
      <c r="D75" s="19" t="str">
        <f>'Reference Score Calculation'!E54</f>
        <v>Best 5</v>
      </c>
      <c r="E75" s="190" t="str">
        <f>入學要求!T63</f>
        <v>v</v>
      </c>
      <c r="F75" s="190" t="str">
        <f>入學要求!U63</f>
        <v>E</v>
      </c>
      <c r="G75" s="190" t="str">
        <f>入學要求!V63</f>
        <v>NO</v>
      </c>
      <c r="H75" s="185">
        <f t="shared" si="50"/>
        <v>4.4000000000000005E-9</v>
      </c>
      <c r="I75" s="194">
        <v>1</v>
      </c>
      <c r="J75" s="246">
        <v>2</v>
      </c>
      <c r="K75" s="246">
        <v>2.5</v>
      </c>
      <c r="L75" s="246">
        <v>1</v>
      </c>
      <c r="M75" s="246">
        <v>2</v>
      </c>
      <c r="N75" s="246">
        <f>IF(OR(N1="物理",N1="生物",N1="化學",N1="組合科學(物理、化學)",N1="組合科學(物理、生物)",N1="組合科學(生物、化學)"),1.5,1)</f>
        <v>1</v>
      </c>
      <c r="O75" s="246">
        <f>IF(OR(O1="物理",O1="生物",O1="化學",O1="組合科學(物理、化學)",O1="組合科學(物理、生物)",O1="組合科學(生物、化學)"),1.5,1)</f>
        <v>1</v>
      </c>
      <c r="P75" s="246">
        <f>IF(OR(P1="物理",P1="生物",P1="化學",P1="組合科學(物理、化學)",P1="組合科學(物理、生物)",P1="組合科學(生物、化學)"),1.5,1)</f>
        <v>1</v>
      </c>
      <c r="Q75" s="246">
        <f>IF(OR(Q1="物理",Q1="生物",Q1="化學",Q1="組合科學(物理、化學)",Q1="組合科學(物理、生物)",Q1="組合科學(生物、化學)"),1.5,1)</f>
        <v>1</v>
      </c>
      <c r="R75" s="246">
        <v>1</v>
      </c>
      <c r="S75" s="224"/>
      <c r="T75" s="185">
        <f t="shared" si="51"/>
        <v>1E-10</v>
      </c>
      <c r="U75" s="185">
        <f t="shared" si="52"/>
        <v>4.0000000000000001E-10</v>
      </c>
      <c r="V75" s="185">
        <f t="shared" si="53"/>
        <v>7.5E-10</v>
      </c>
      <c r="W75" s="185">
        <f t="shared" si="54"/>
        <v>4.0000000000000001E-10</v>
      </c>
      <c r="X75" s="185">
        <f t="shared" si="55"/>
        <v>1.0000000000000001E-9</v>
      </c>
      <c r="Y75" s="185">
        <f t="shared" si="56"/>
        <v>6E-10</v>
      </c>
      <c r="Z75" s="185">
        <f t="shared" si="57"/>
        <v>6.9999999999999996E-10</v>
      </c>
      <c r="AA75" s="185">
        <f t="shared" si="58"/>
        <v>8.0000000000000003E-10</v>
      </c>
      <c r="AB75" s="185">
        <f t="shared" si="59"/>
        <v>8.9999999999999999E-10</v>
      </c>
      <c r="AC75" s="185">
        <f t="shared" si="60"/>
        <v>9.5000000000000003E-10</v>
      </c>
      <c r="AD75" s="185" t="b">
        <f>IF(T75&gt;LARGE(($T75:$U75,$W75:$AC75),5),TRUE)</f>
        <v>0</v>
      </c>
      <c r="AE75" s="185" t="b">
        <f>IF(U75&gt;LARGE(($T75:$U75,$W75:$AC75),5),TRUE)</f>
        <v>0</v>
      </c>
      <c r="AF75" s="223" t="b">
        <f>TRUE</f>
        <v>1</v>
      </c>
      <c r="AG75" s="185" t="b">
        <f>IF(W75&gt;LARGE(($T75:$U75,$W75:$AC75),5),TRUE)</f>
        <v>0</v>
      </c>
      <c r="AH75" s="185" t="b">
        <f>IF(X75&gt;LARGE(($T75:$U75,$W75:$AC75),5),TRUE)</f>
        <v>1</v>
      </c>
      <c r="AI75" s="185" t="b">
        <f>IF(Y75&gt;LARGE(($T75:$U75,$W75:$AC75),5),TRUE)</f>
        <v>0</v>
      </c>
      <c r="AJ75" s="185" t="b">
        <f>IF(Z75&gt;LARGE(($T75:$U75,$W75:$AC75),5),TRUE)</f>
        <v>0</v>
      </c>
      <c r="AK75" s="185" t="b">
        <f>IF(AA75&gt;LARGE(($T75:$U75,$W75:$AC75),5),TRUE)</f>
        <v>1</v>
      </c>
      <c r="AL75" s="185" t="b">
        <f>IF(AB75&gt;LARGE(($T75:$U75,$W75:$AC75),5),TRUE)</f>
        <v>1</v>
      </c>
      <c r="AM75" s="185" t="b">
        <f>IF(AC75&gt;LARGE(($T75:$U75,$W75:$AC75),5),TRUE)</f>
        <v>1</v>
      </c>
      <c r="AO75" s="184"/>
      <c r="AP75" s="196"/>
      <c r="AQ75" s="196"/>
      <c r="AR75" s="196"/>
      <c r="AS75" s="196"/>
      <c r="AT75" s="196"/>
      <c r="AU75" s="196"/>
      <c r="AV75" s="196"/>
      <c r="AW75" s="196"/>
      <c r="AX75" s="196"/>
      <c r="AY75" s="183"/>
      <c r="AZ75" s="196"/>
      <c r="BA75" s="185" t="s">
        <v>204</v>
      </c>
      <c r="BC75" s="185" t="s">
        <v>2750</v>
      </c>
      <c r="BD75" s="185" t="s">
        <v>1970</v>
      </c>
      <c r="BE75" s="185" t="s">
        <v>2752</v>
      </c>
      <c r="BF75" s="185" t="s">
        <v>2754</v>
      </c>
      <c r="BS75" s="185" t="s">
        <v>1970</v>
      </c>
    </row>
    <row r="76" spans="1:71" x14ac:dyDescent="0.3">
      <c r="A76" s="185" t="str">
        <f>'Reference Score Calculation'!A55</f>
        <v>JS1207</v>
      </c>
      <c r="B76" s="185" t="str">
        <f>'Reference Score Calculation'!D55</f>
        <v>機械工程學系 [選項: 工學士(機械工程)、工學士(核子及風險工程)]</v>
      </c>
      <c r="C76" s="236"/>
      <c r="D76" s="19" t="str">
        <f>'Reference Score Calculation'!E55</f>
        <v>Best 6</v>
      </c>
      <c r="E76" s="190" t="str">
        <f>入學要求!T64</f>
        <v>v</v>
      </c>
      <c r="F76" s="190" t="str">
        <f>入學要求!U64</f>
        <v>E</v>
      </c>
      <c r="G76" s="190" t="str">
        <f>入學要求!V64</f>
        <v>NO</v>
      </c>
      <c r="H76" s="185">
        <f t="shared" si="50"/>
        <v>4.7000000000000007E-9</v>
      </c>
      <c r="I76" s="194">
        <v>1</v>
      </c>
      <c r="J76" s="246">
        <v>2</v>
      </c>
      <c r="K76" s="246">
        <v>2</v>
      </c>
      <c r="L76" s="246">
        <v>1</v>
      </c>
      <c r="M76" s="246">
        <v>1.5</v>
      </c>
      <c r="N76" s="246">
        <f>IF(N1="物理",2,IF(OR(N1="化學",N1="組合科學(物理、化學)",N1="組合科學(物理、生物)",N1="組合科學(生物、化學)",N1="設計與應用科技"),1.5,1))</f>
        <v>1</v>
      </c>
      <c r="O76" s="246">
        <f>IF(O1="物理",2,IF(OR(O1="化學",O1="組合科學(物理、化學)",O1="組合科學(物理、生物)",O1="組合科學(生物、化學)",O1="設計與應用科技"),1.5,1))</f>
        <v>1</v>
      </c>
      <c r="P76" s="246">
        <f>IF(P1="物理",2,IF(OR(P1="化學",P1="組合科學(物理、化學)",P1="組合科學(物理、生物)",P1="組合科學(生物、化學)",P1="設計與應用科技"),1.5,1))</f>
        <v>1</v>
      </c>
      <c r="Q76" s="246">
        <f>IF(Q1="物理",2,IF(OR(Q1="化學",Q1="組合科學(物理、化學)",Q1="組合科學(物理、生物)",Q1="組合科學(生物、化學)",Q1="設計與應用科技"),1.5,1))</f>
        <v>1</v>
      </c>
      <c r="R76" s="246">
        <v>1</v>
      </c>
      <c r="S76" s="224"/>
      <c r="T76" s="185">
        <f t="shared" si="51"/>
        <v>1E-10</v>
      </c>
      <c r="U76" s="185">
        <f t="shared" si="52"/>
        <v>4.0000000000000001E-10</v>
      </c>
      <c r="V76" s="185">
        <f t="shared" si="53"/>
        <v>6E-10</v>
      </c>
      <c r="W76" s="185">
        <f t="shared" si="54"/>
        <v>4.0000000000000001E-10</v>
      </c>
      <c r="X76" s="185">
        <f t="shared" si="55"/>
        <v>7.500000000000001E-10</v>
      </c>
      <c r="Y76" s="185">
        <f t="shared" si="56"/>
        <v>6E-10</v>
      </c>
      <c r="Z76" s="185">
        <f t="shared" si="57"/>
        <v>6.9999999999999996E-10</v>
      </c>
      <c r="AA76" s="185">
        <f t="shared" si="58"/>
        <v>8.0000000000000003E-10</v>
      </c>
      <c r="AB76" s="185">
        <f t="shared" si="59"/>
        <v>8.9999999999999999E-10</v>
      </c>
      <c r="AC76" s="185">
        <f t="shared" si="60"/>
        <v>9.5000000000000003E-10</v>
      </c>
      <c r="AD76" s="185" t="b">
        <f>IF(T76&gt;LARGE(($T76:$U76,$W76:$AC76),6),TRUE)</f>
        <v>0</v>
      </c>
      <c r="AE76" s="185" t="b">
        <f>IF(U76&gt;LARGE(($T76:$U76,$W76:$AC76),6),TRUE)</f>
        <v>0</v>
      </c>
      <c r="AF76" s="223" t="b">
        <f>TRUE</f>
        <v>1</v>
      </c>
      <c r="AG76" s="185" t="b">
        <f>IF(W76&gt;LARGE(($T76:$U76,$W76:$AC76),6),TRUE)</f>
        <v>0</v>
      </c>
      <c r="AH76" s="185" t="b">
        <f>IF(X76&gt;LARGE(($T76:$U76,$W76:$AC76),6),TRUE)</f>
        <v>1</v>
      </c>
      <c r="AI76" s="185" t="b">
        <f>IF(Y76&gt;LARGE(($T76:$U76,$W76:$AC76),6),TRUE)</f>
        <v>0</v>
      </c>
      <c r="AJ76" s="185" t="b">
        <f>IF(Z76&gt;LARGE(($T76:$U76,$W76:$AC76),6),TRUE)</f>
        <v>1</v>
      </c>
      <c r="AK76" s="185" t="b">
        <f>IF(AA76&gt;LARGE(($T76:$U76,$W76:$AC76),6),TRUE)</f>
        <v>1</v>
      </c>
      <c r="AL76" s="185" t="b">
        <f>IF(AB76&gt;LARGE(($T76:$U76,$W76:$AC76),6),TRUE)</f>
        <v>1</v>
      </c>
      <c r="AM76" s="185" t="b">
        <f>IF(AC76&gt;LARGE(($T76:$U76,$W76:$AC76),6),TRUE)</f>
        <v>1</v>
      </c>
      <c r="AO76" s="184"/>
      <c r="AP76" s="196"/>
      <c r="AQ76" s="196"/>
      <c r="AR76" s="196"/>
      <c r="AS76" s="196"/>
      <c r="AT76" s="196"/>
      <c r="AU76" s="196"/>
      <c r="AV76" s="196"/>
      <c r="AW76" s="196"/>
      <c r="AX76" s="196"/>
      <c r="AY76" s="196"/>
      <c r="AZ76" s="196"/>
      <c r="BA76" s="185" t="s">
        <v>208</v>
      </c>
      <c r="BC76" s="185" t="s">
        <v>2704</v>
      </c>
      <c r="BD76" s="185" t="s">
        <v>1970</v>
      </c>
      <c r="BE76" s="185" t="s">
        <v>2706</v>
      </c>
      <c r="BF76" s="185" t="s">
        <v>2708</v>
      </c>
      <c r="BS76" s="185" t="s">
        <v>1970</v>
      </c>
    </row>
    <row r="77" spans="1:71" x14ac:dyDescent="0.3">
      <c r="A77" s="185" t="str">
        <f>'Reference Score Calculation'!A56</f>
        <v>JS1208</v>
      </c>
      <c r="B77" s="185" t="str">
        <f>'Reference Score Calculation'!D56</f>
        <v>理學士(物理學)</v>
      </c>
      <c r="C77" s="236"/>
      <c r="D77" s="19" t="str">
        <f>'Reference Score Calculation'!E56</f>
        <v>Best 5</v>
      </c>
      <c r="E77" s="190" t="str">
        <f>入學要求!T65</f>
        <v>v</v>
      </c>
      <c r="F77" s="190" t="str">
        <f>入學要求!U65</f>
        <v>E</v>
      </c>
      <c r="G77" s="190" t="str">
        <f>入學要求!V65</f>
        <v>NO</v>
      </c>
      <c r="H77" s="185">
        <f t="shared" si="50"/>
        <v>3.7750000000000007E-9</v>
      </c>
      <c r="I77" s="194">
        <v>1</v>
      </c>
      <c r="J77" s="246">
        <v>2</v>
      </c>
      <c r="K77" s="246">
        <v>1.25</v>
      </c>
      <c r="L77" s="246">
        <v>1</v>
      </c>
      <c r="M77" s="246">
        <v>1.5</v>
      </c>
      <c r="N77" s="246">
        <f>IF(N1="物理",2,1)</f>
        <v>1</v>
      </c>
      <c r="O77" s="246">
        <f>IF(O1="物理",2,1)</f>
        <v>1</v>
      </c>
      <c r="P77" s="246">
        <f>IF(P1="物理",2,1)</f>
        <v>1</v>
      </c>
      <c r="Q77" s="246">
        <f>IF(Q1="物理",2,1)</f>
        <v>1</v>
      </c>
      <c r="R77" s="246">
        <v>1</v>
      </c>
      <c r="S77" s="224"/>
      <c r="T77" s="185">
        <f t="shared" si="51"/>
        <v>1E-10</v>
      </c>
      <c r="U77" s="185">
        <f t="shared" si="52"/>
        <v>4.0000000000000001E-10</v>
      </c>
      <c r="V77" s="185">
        <f t="shared" si="53"/>
        <v>3.75E-10</v>
      </c>
      <c r="W77" s="185">
        <f t="shared" si="54"/>
        <v>4.0000000000000001E-10</v>
      </c>
      <c r="X77" s="185">
        <f t="shared" si="55"/>
        <v>7.500000000000001E-10</v>
      </c>
      <c r="Y77" s="185">
        <f t="shared" si="56"/>
        <v>6E-10</v>
      </c>
      <c r="Z77" s="185">
        <f t="shared" si="57"/>
        <v>6.9999999999999996E-10</v>
      </c>
      <c r="AA77" s="185">
        <f t="shared" si="58"/>
        <v>8.0000000000000003E-10</v>
      </c>
      <c r="AB77" s="185">
        <f t="shared" si="59"/>
        <v>8.9999999999999999E-10</v>
      </c>
      <c r="AC77" s="185">
        <f t="shared" si="60"/>
        <v>9.5000000000000003E-10</v>
      </c>
      <c r="AD77" s="185" t="b">
        <f>IF(T77&gt;LARGE(($T77:$U77,$W77:$AC77),5),TRUE)</f>
        <v>0</v>
      </c>
      <c r="AE77" s="185" t="b">
        <f>IF(U77&gt;LARGE(($T77:$U77,$W77:$AC77),5),TRUE)</f>
        <v>0</v>
      </c>
      <c r="AF77" s="223" t="b">
        <f>TRUE</f>
        <v>1</v>
      </c>
      <c r="AG77" s="185" t="b">
        <f>IF(W77&gt;LARGE(($T77:$U77,$W77:$AC77),5),TRUE)</f>
        <v>0</v>
      </c>
      <c r="AH77" s="185" t="b">
        <f>IF(X77&gt;LARGE(($T77:$U77,$W77:$AC77),5),TRUE)</f>
        <v>1</v>
      </c>
      <c r="AI77" s="185" t="b">
        <f>IF(Y77&gt;LARGE(($T77:$U77,$W77:$AC77),5),TRUE)</f>
        <v>0</v>
      </c>
      <c r="AJ77" s="185" t="b">
        <f>IF(Z77&gt;LARGE(($T77:$U77,$W77:$AC77),5),TRUE)</f>
        <v>0</v>
      </c>
      <c r="AK77" s="185" t="b">
        <f>IF(AA77&gt;LARGE(($T77:$U77,$W77:$AC77),5),TRUE)</f>
        <v>1</v>
      </c>
      <c r="AL77" s="185" t="b">
        <f>IF(AB77&gt;LARGE(($T77:$U77,$W77:$AC77),5),TRUE)</f>
        <v>1</v>
      </c>
      <c r="AM77" s="185" t="b">
        <f>IF(AC77&gt;LARGE(($T77:$U77,$W77:$AC77),5),TRUE)</f>
        <v>1</v>
      </c>
      <c r="AO77" s="184"/>
      <c r="AP77" s="184" t="str">
        <f t="shared" ref="AP77:AY77" si="63">I1</f>
        <v>中國語文</v>
      </c>
      <c r="AQ77" s="184" t="str">
        <f t="shared" si="63"/>
        <v>英國語文</v>
      </c>
      <c r="AR77" s="184" t="str">
        <f t="shared" si="63"/>
        <v>數學</v>
      </c>
      <c r="AS77" s="184" t="str">
        <f t="shared" si="63"/>
        <v>通識教育</v>
      </c>
      <c r="AT77" s="184" t="str">
        <f t="shared" si="63"/>
        <v>數學延伸</v>
      </c>
      <c r="AU77" s="184" t="str">
        <f t="shared" si="63"/>
        <v>請選擇第一選修科</v>
      </c>
      <c r="AV77" s="184" t="str">
        <f t="shared" si="63"/>
        <v>請選擇第二選修科</v>
      </c>
      <c r="AW77" s="184" t="str">
        <f t="shared" si="63"/>
        <v>請選擇第三選修科</v>
      </c>
      <c r="AX77" s="184" t="str">
        <f t="shared" si="63"/>
        <v>請選擇第四選修科</v>
      </c>
      <c r="AY77" s="184" t="str">
        <f t="shared" si="63"/>
        <v>請選擇語言科目</v>
      </c>
      <c r="AZ77" s="196"/>
      <c r="BA77" s="185" t="s">
        <v>214</v>
      </c>
      <c r="BC77" s="185" t="s">
        <v>2750</v>
      </c>
      <c r="BD77" s="185" t="s">
        <v>1970</v>
      </c>
      <c r="BE77" s="185" t="s">
        <v>2759</v>
      </c>
      <c r="BF77" s="185" t="s">
        <v>2761</v>
      </c>
      <c r="BS77" s="185" t="s">
        <v>1970</v>
      </c>
    </row>
    <row r="78" spans="1:71" x14ac:dyDescent="0.3">
      <c r="A78" s="185" t="str">
        <f>'Reference Score Calculation'!A57</f>
        <v>JS1210</v>
      </c>
      <c r="B78" s="185" t="str">
        <f>'Reference Score Calculation'!D57</f>
        <v>工學士(材料科學及工程)</v>
      </c>
      <c r="C78" s="236"/>
      <c r="D78" s="82" t="str">
        <f>'Reference Score Calculation'!E57</f>
        <v>Best 6</v>
      </c>
      <c r="E78" s="190" t="str">
        <f>入學要求!T66</f>
        <v>v</v>
      </c>
      <c r="F78" s="190" t="str">
        <f>入學要求!U66</f>
        <v>E</v>
      </c>
      <c r="G78" s="190" t="str">
        <f>入學要求!V66</f>
        <v>NO</v>
      </c>
      <c r="H78" s="185">
        <f t="shared" si="50"/>
        <v>4.1000000000000003E-9</v>
      </c>
      <c r="I78" s="194">
        <v>1</v>
      </c>
      <c r="J78" s="246">
        <v>2</v>
      </c>
      <c r="K78" s="246">
        <v>1</v>
      </c>
      <c r="L78" s="246">
        <v>1</v>
      </c>
      <c r="M78" s="246">
        <v>1.5</v>
      </c>
      <c r="N78" s="246">
        <f>IF(N1="物理",2,IF(OR(N1="生物",N1="化學"),1.5,1))</f>
        <v>1</v>
      </c>
      <c r="O78" s="246">
        <f>IF(O1="物理",2,IF(OR(O1="生物",O1="化學"),1.5,1))</f>
        <v>1</v>
      </c>
      <c r="P78" s="246">
        <f>IF(P1="物理",2,IF(OR(P1="生物",P1="化學"),1.5,1))</f>
        <v>1</v>
      </c>
      <c r="Q78" s="246">
        <f>IF(Q1="物理",2,IF(OR(Q1="生物",Q1="化學"),1.5,1))</f>
        <v>1</v>
      </c>
      <c r="R78" s="246">
        <v>1</v>
      </c>
      <c r="S78" s="224"/>
      <c r="T78" s="185">
        <f t="shared" si="51"/>
        <v>1E-10</v>
      </c>
      <c r="U78" s="185">
        <f t="shared" si="52"/>
        <v>4.0000000000000001E-10</v>
      </c>
      <c r="V78" s="185">
        <f t="shared" si="53"/>
        <v>3E-10</v>
      </c>
      <c r="W78" s="185">
        <f t="shared" si="54"/>
        <v>4.0000000000000001E-10</v>
      </c>
      <c r="X78" s="185">
        <f t="shared" si="55"/>
        <v>7.500000000000001E-10</v>
      </c>
      <c r="Y78" s="185">
        <f t="shared" si="56"/>
        <v>6E-10</v>
      </c>
      <c r="Z78" s="185">
        <f t="shared" si="57"/>
        <v>6.9999999999999996E-10</v>
      </c>
      <c r="AA78" s="185">
        <f t="shared" si="58"/>
        <v>8.0000000000000003E-10</v>
      </c>
      <c r="AB78" s="185">
        <f t="shared" si="59"/>
        <v>8.9999999999999999E-10</v>
      </c>
      <c r="AC78" s="185">
        <f t="shared" si="60"/>
        <v>9.5000000000000003E-10</v>
      </c>
      <c r="AD78" s="185" t="b">
        <f>AP62</f>
        <v>0</v>
      </c>
      <c r="AE78" s="223" t="b">
        <f>TRUE</f>
        <v>1</v>
      </c>
      <c r="AF78" s="223" t="b">
        <f>TRUE</f>
        <v>1</v>
      </c>
      <c r="AG78" s="185" t="b">
        <f>AS62</f>
        <v>0</v>
      </c>
      <c r="AH78" s="185" t="b">
        <f>IF(M1=$AV$58,TRUE,AT62)</f>
        <v>1</v>
      </c>
      <c r="AI78" s="185" t="b">
        <f>IF(N1=$AV$58,TRUE,AU62)</f>
        <v>0</v>
      </c>
      <c r="AJ78" s="185" t="b">
        <f>IF(O1=$AV$58,TRUE,AV62)</f>
        <v>0</v>
      </c>
      <c r="AK78" s="185" t="b">
        <f>IF(P1=$AV$58,TRUE,AW62)</f>
        <v>1</v>
      </c>
      <c r="AL78" s="185" t="b">
        <f>IF(Q1=$AV$58,TRUE,AX62)</f>
        <v>1</v>
      </c>
      <c r="AM78" s="185" t="b">
        <f>AY62</f>
        <v>1</v>
      </c>
      <c r="AO78" s="122"/>
      <c r="AP78" s="199">
        <f>I3</f>
        <v>1E-10</v>
      </c>
      <c r="AQ78" s="196"/>
      <c r="AR78" s="196"/>
      <c r="AS78" s="199">
        <f>L3</f>
        <v>4.0000000000000001E-10</v>
      </c>
      <c r="AT78" s="196"/>
      <c r="AU78" s="199">
        <f>IF(OR(AU77=$AW$74,AU77=$AU$74),0,N3)</f>
        <v>6E-10</v>
      </c>
      <c r="AV78" s="199">
        <f>IF(OR(AV77=$AW$74,AV77=$AU$74),0,O3)</f>
        <v>6.9999999999999996E-10</v>
      </c>
      <c r="AW78" s="199">
        <f>IF(OR(AW77=$AW$74,AW77=$AU$74),0,P3)</f>
        <v>8.0000000000000003E-10</v>
      </c>
      <c r="AX78" s="199">
        <f>IF(OR(AX77=$AW$74,AX77=$AU$74),0,Q3)</f>
        <v>8.9999999999999999E-10</v>
      </c>
      <c r="AY78" s="196"/>
      <c r="AZ78" s="196"/>
      <c r="BA78" s="185" t="s">
        <v>219</v>
      </c>
      <c r="BC78" s="185" t="s">
        <v>2764</v>
      </c>
      <c r="BD78" s="185" t="s">
        <v>2900</v>
      </c>
      <c r="BE78" s="185" t="s">
        <v>2757</v>
      </c>
      <c r="BF78" s="185" t="s">
        <v>2868</v>
      </c>
      <c r="BS78" s="185" t="s">
        <v>1970</v>
      </c>
    </row>
    <row r="79" spans="1:71" x14ac:dyDescent="0.3">
      <c r="A79" s="185" t="str">
        <f>'Reference Score Calculation'!A58</f>
        <v>JS1211</v>
      </c>
      <c r="B79" s="185" t="str">
        <f>'Reference Score Calculation'!D58</f>
        <v>工學士(生物醫學工程)</v>
      </c>
      <c r="C79" s="236"/>
      <c r="D79" s="190" t="str">
        <f>'Reference Score Calculation'!E58</f>
        <v>Best 5</v>
      </c>
      <c r="E79" s="190" t="str">
        <f>入學要求!T67</f>
        <v>v</v>
      </c>
      <c r="F79" s="190" t="str">
        <f>入學要求!U67</f>
        <v>E</v>
      </c>
      <c r="G79" s="190" t="str">
        <f>入學要求!V67</f>
        <v>NO</v>
      </c>
      <c r="H79" s="185">
        <f t="shared" si="50"/>
        <v>4.3500000000000001E-9</v>
      </c>
      <c r="I79" s="194">
        <v>1</v>
      </c>
      <c r="J79" s="246">
        <v>2</v>
      </c>
      <c r="K79" s="246">
        <v>2</v>
      </c>
      <c r="L79" s="246">
        <v>1</v>
      </c>
      <c r="M79" s="246">
        <v>2</v>
      </c>
      <c r="N79" s="246">
        <f>IF(OR(N1="物理",N1="化學",N1="生物",N1="組合科學(物理、化學)",N1="組合科學(生物、化學)",N1="組合科學(物理、生物)"),2,1)</f>
        <v>1</v>
      </c>
      <c r="O79" s="246">
        <f>IF(OR(O1="物理",O1="化學",O1="生物",O1="組合科學(物理、化學)",O1="組合科學(生物、化學)",O1="組合科學(物理、生物)"),2,1)</f>
        <v>1</v>
      </c>
      <c r="P79" s="246">
        <f>IF(OR(P1="物理",P1="化學",P1="生物",P1="組合科學(物理、化學)",P1="組合科學(生物、化學)",P1="組合科學(物理、生物)"),2,1)</f>
        <v>1</v>
      </c>
      <c r="Q79" s="246">
        <f>IF(OR(Q1="物理",Q1="化學",Q1="生物",Q1="組合科學(物理、化學)",Q1="組合科學(生物、化學)",Q1="組合科學(物理、生物)"),2,1)</f>
        <v>1</v>
      </c>
      <c r="R79" s="246">
        <v>1</v>
      </c>
      <c r="S79" s="224"/>
      <c r="T79" s="185">
        <f t="shared" si="51"/>
        <v>1E-10</v>
      </c>
      <c r="U79" s="185">
        <f t="shared" si="52"/>
        <v>4.0000000000000001E-10</v>
      </c>
      <c r="V79" s="185">
        <f t="shared" si="53"/>
        <v>6E-10</v>
      </c>
      <c r="W79" s="185">
        <f t="shared" si="54"/>
        <v>4.0000000000000001E-10</v>
      </c>
      <c r="X79" s="185">
        <f t="shared" si="55"/>
        <v>1.0000000000000001E-9</v>
      </c>
      <c r="Y79" s="185">
        <f t="shared" si="56"/>
        <v>6E-10</v>
      </c>
      <c r="Z79" s="185">
        <f t="shared" si="57"/>
        <v>6.9999999999999996E-10</v>
      </c>
      <c r="AA79" s="185">
        <f t="shared" si="58"/>
        <v>8.0000000000000003E-10</v>
      </c>
      <c r="AB79" s="185">
        <f t="shared" si="59"/>
        <v>8.9999999999999999E-10</v>
      </c>
      <c r="AC79" s="185">
        <f t="shared" si="60"/>
        <v>9.5000000000000003E-10</v>
      </c>
      <c r="AD79" s="185" t="b">
        <f t="shared" ref="AD79:AM79" si="64">AP69</f>
        <v>0</v>
      </c>
      <c r="AE79" s="185" t="b">
        <f t="shared" si="64"/>
        <v>0</v>
      </c>
      <c r="AF79" s="185" t="b">
        <f t="shared" si="64"/>
        <v>0</v>
      </c>
      <c r="AG79" s="185" t="b">
        <f t="shared" si="64"/>
        <v>0</v>
      </c>
      <c r="AH79" s="185" t="b">
        <f t="shared" si="64"/>
        <v>1</v>
      </c>
      <c r="AI79" s="185" t="b">
        <f t="shared" si="64"/>
        <v>0</v>
      </c>
      <c r="AJ79" s="185" t="b">
        <f t="shared" si="64"/>
        <v>1</v>
      </c>
      <c r="AK79" s="185" t="b">
        <f t="shared" si="64"/>
        <v>1</v>
      </c>
      <c r="AL79" s="185" t="b">
        <f t="shared" si="64"/>
        <v>1</v>
      </c>
      <c r="AM79" s="185" t="b">
        <f t="shared" si="64"/>
        <v>1</v>
      </c>
      <c r="AO79" s="184"/>
      <c r="AP79" s="197" t="b">
        <f>IF(AP78&gt;LARGE($AP$78:$AY$78,3),TRUE,FALSE)</f>
        <v>0</v>
      </c>
      <c r="AQ79" s="197"/>
      <c r="AR79" s="197"/>
      <c r="AS79" s="197" t="b">
        <f t="shared" ref="AS79:AX79" si="65">IF(AS78&gt;LARGE($AP$78:$AY$78,3),TRUE,FALSE)</f>
        <v>0</v>
      </c>
      <c r="AT79" s="197" t="b">
        <f t="shared" si="65"/>
        <v>0</v>
      </c>
      <c r="AU79" s="197" t="b">
        <f t="shared" si="65"/>
        <v>0</v>
      </c>
      <c r="AV79" s="197" t="b">
        <f t="shared" si="65"/>
        <v>0</v>
      </c>
      <c r="AW79" s="197" t="b">
        <f t="shared" si="65"/>
        <v>1</v>
      </c>
      <c r="AX79" s="197" t="b">
        <f t="shared" si="65"/>
        <v>1</v>
      </c>
      <c r="AY79" s="197"/>
      <c r="AZ79" s="196"/>
      <c r="BA79" s="185" t="s">
        <v>2799</v>
      </c>
      <c r="BC79" s="185" t="s">
        <v>2713</v>
      </c>
      <c r="BD79" s="185" t="s">
        <v>1970</v>
      </c>
      <c r="BE79" s="185" t="s">
        <v>2717</v>
      </c>
      <c r="BF79" s="185" t="s">
        <v>1970</v>
      </c>
      <c r="BS79" s="185" t="s">
        <v>1970</v>
      </c>
    </row>
    <row r="80" spans="1:71" x14ac:dyDescent="0.3">
      <c r="A80" s="185" t="str">
        <f>'Reference Score Calculation'!A59</f>
        <v>JS1216</v>
      </c>
      <c r="B80" s="185" t="str">
        <f>'Reference Score Calculation'!D59</f>
        <v>工學士(智能製造工程學)</v>
      </c>
      <c r="C80" s="236"/>
      <c r="D80" s="190" t="str">
        <f>'Reference Score Calculation'!E59</f>
        <v>Best 5</v>
      </c>
      <c r="E80" s="190" t="str">
        <f>入學要求!T68</f>
        <v>v</v>
      </c>
      <c r="F80" s="190" t="str">
        <f>入學要求!U68</f>
        <v>E</v>
      </c>
      <c r="G80" s="190" t="str">
        <f>入學要求!V68</f>
        <v>NO</v>
      </c>
      <c r="H80" s="185">
        <f t="shared" si="50"/>
        <v>3.3500000000000002E-9</v>
      </c>
      <c r="I80" s="194">
        <v>1</v>
      </c>
      <c r="J80" s="246">
        <v>2</v>
      </c>
      <c r="K80" s="246">
        <v>2</v>
      </c>
      <c r="L80" s="246">
        <v>1</v>
      </c>
      <c r="M80" s="246">
        <v>2</v>
      </c>
      <c r="N80" s="246"/>
      <c r="O80" s="246"/>
      <c r="P80" s="246"/>
      <c r="Q80" s="246"/>
      <c r="R80" s="246">
        <v>1</v>
      </c>
      <c r="S80" s="224"/>
      <c r="T80" s="185">
        <f t="shared" si="51"/>
        <v>1E-10</v>
      </c>
      <c r="U80" s="185">
        <f t="shared" si="52"/>
        <v>4.0000000000000001E-10</v>
      </c>
      <c r="V80" s="185">
        <f t="shared" si="53"/>
        <v>6E-10</v>
      </c>
      <c r="W80" s="185">
        <f t="shared" si="54"/>
        <v>4.0000000000000001E-10</v>
      </c>
      <c r="X80" s="185">
        <f t="shared" si="55"/>
        <v>1.0000000000000001E-9</v>
      </c>
      <c r="Y80" s="185">
        <f t="shared" si="56"/>
        <v>0</v>
      </c>
      <c r="Z80" s="185">
        <f t="shared" si="57"/>
        <v>0</v>
      </c>
      <c r="AA80" s="185">
        <f t="shared" si="58"/>
        <v>0</v>
      </c>
      <c r="AB80" s="185">
        <f t="shared" si="59"/>
        <v>0</v>
      </c>
      <c r="AC80" s="185">
        <f t="shared" si="60"/>
        <v>9.5000000000000003E-10</v>
      </c>
      <c r="AD80" s="185" t="b">
        <f>IF(T80&gt;LARGE(($T80,$W80:$AC80),4),TRUE)</f>
        <v>0</v>
      </c>
      <c r="AE80" s="223" t="b">
        <f>TRUE</f>
        <v>1</v>
      </c>
      <c r="AF80" s="223" t="b">
        <f>TRUE</f>
        <v>1</v>
      </c>
      <c r="AG80" s="185" t="b">
        <f>IF(W80&gt;LARGE(($T80,$W80:$AC80),4),TRUE)</f>
        <v>1</v>
      </c>
      <c r="AH80" s="185" t="b">
        <f>IF(X80&gt;LARGE(($T80,$W80:$AC80),4),TRUE)</f>
        <v>1</v>
      </c>
      <c r="AI80" s="185" t="b">
        <f>IF(Y80&gt;LARGE(($T80,$W80:$AC80),4),TRUE)</f>
        <v>0</v>
      </c>
      <c r="AJ80" s="185" t="b">
        <f>IF(Z80&gt;LARGE(($T80,$W80:$AC80),4),TRUE)</f>
        <v>0</v>
      </c>
      <c r="AK80" s="185" t="b">
        <f>IF(AA80&gt;LARGE(($T80,$W80:$AC80),4),TRUE)</f>
        <v>0</v>
      </c>
      <c r="AL80" s="185" t="b">
        <f>IF(AB80&gt;LARGE(($T80,$W80:$AC80),4),TRUE)</f>
        <v>0</v>
      </c>
      <c r="AM80" s="185" t="b">
        <f>IF(AC80&gt;LARGE(($T80,$W80:$AC80),4),TRUE)</f>
        <v>1</v>
      </c>
      <c r="AO80" s="184"/>
      <c r="AP80" s="196"/>
      <c r="AQ80" s="196"/>
      <c r="AR80" s="196"/>
      <c r="AS80" s="196"/>
      <c r="AT80" s="196"/>
      <c r="AU80" s="196"/>
      <c r="AV80" s="196"/>
      <c r="AW80" s="196"/>
      <c r="AX80" s="196"/>
      <c r="AY80" s="196"/>
      <c r="AZ80" s="196"/>
      <c r="BA80" s="185" t="s">
        <v>229</v>
      </c>
      <c r="BC80" s="185" t="s">
        <v>2878</v>
      </c>
      <c r="BD80" s="185" t="s">
        <v>1970</v>
      </c>
      <c r="BE80" s="185" t="s">
        <v>2715</v>
      </c>
      <c r="BF80" s="185" t="s">
        <v>2719</v>
      </c>
      <c r="BS80" s="185" t="s">
        <v>1970</v>
      </c>
    </row>
    <row r="81" spans="1:71" x14ac:dyDescent="0.3">
      <c r="A81" s="185" t="str">
        <f>'Reference Score Calculation'!A60</f>
        <v>JS1217</v>
      </c>
      <c r="B81" s="185" t="str">
        <f>'Reference Score Calculation'!D60</f>
        <v>工學院(選項: 工學院任何一個主修及工程創業副修)</v>
      </c>
      <c r="C81" s="236"/>
      <c r="D81" s="82" t="s">
        <v>2153</v>
      </c>
      <c r="E81" s="190" t="str">
        <f>入學要求!T69</f>
        <v>v</v>
      </c>
      <c r="F81" s="190" t="str">
        <f>入學要求!U69</f>
        <v>NO</v>
      </c>
      <c r="G81" s="190" t="str">
        <f>入學要求!V69</f>
        <v>NO</v>
      </c>
      <c r="H81" s="185">
        <f t="shared" si="50"/>
        <v>3.8000000000000001E-9</v>
      </c>
      <c r="I81" s="194">
        <v>1</v>
      </c>
      <c r="J81" s="194">
        <v>2</v>
      </c>
      <c r="K81" s="194">
        <v>2</v>
      </c>
      <c r="L81" s="194">
        <v>1</v>
      </c>
      <c r="M81" s="194">
        <v>2</v>
      </c>
      <c r="N81" s="194">
        <f>IF(OR(N1="物理",N1="生物",N1="化學",N1="組合科學(物理、化學)",N1="組合科學(物理、生物)",N1="組合科學(生物、化學)",N1="資訊及通訊科技",N1="設計與應用科技",N1="綜合科學"),2,1)</f>
        <v>1</v>
      </c>
      <c r="O81" s="194">
        <f>IF(OR(O1="物理",O1="生物",O1="化學",O1="組合科學(物理、化學)",O1="組合科學(物理、生物)",O1="組合科學(生物、化學)",O1="資訊及通訊科技",O1="設計與應用科技",O1="綜合科學"),2,1)</f>
        <v>1</v>
      </c>
      <c r="P81" s="194">
        <f>IF(OR(P1="物理",P1="生物",P1="化學",P1="組合科學(物理、化學)",P1="組合科學(物理、生物)",P1="組合科學(生物、化學)",P1="資訊及通訊科技",P1="設計與應用科技",P1="綜合科學"),2,1)</f>
        <v>1</v>
      </c>
      <c r="Q81" s="194">
        <f>IF(OR(Q1="物理",Q1="生物",Q1="化學",Q1="組合科學(物理、化學)",Q1="組合科學(物理、生物)",Q1="組合科學(生物、化學)",Q1="資訊及通訊科技",Q1="設計與應用科技",Q1="綜合科學"),2,1)</f>
        <v>1</v>
      </c>
      <c r="R81" s="194">
        <v>1</v>
      </c>
      <c r="S81" s="224"/>
      <c r="T81" s="185">
        <f t="shared" si="51"/>
        <v>1E-10</v>
      </c>
      <c r="U81" s="185">
        <f t="shared" si="52"/>
        <v>4.0000000000000001E-10</v>
      </c>
      <c r="V81" s="185">
        <f t="shared" si="53"/>
        <v>6E-10</v>
      </c>
      <c r="W81" s="185">
        <f t="shared" si="54"/>
        <v>4.0000000000000001E-10</v>
      </c>
      <c r="X81" s="185">
        <f t="shared" si="55"/>
        <v>1.0000000000000001E-9</v>
      </c>
      <c r="Y81" s="185">
        <f t="shared" si="56"/>
        <v>6E-10</v>
      </c>
      <c r="Z81" s="185">
        <f t="shared" si="57"/>
        <v>6.9999999999999996E-10</v>
      </c>
      <c r="AA81" s="185">
        <f t="shared" si="58"/>
        <v>8.0000000000000003E-10</v>
      </c>
      <c r="AB81" s="185">
        <f t="shared" si="59"/>
        <v>8.9999999999999999E-10</v>
      </c>
      <c r="AC81" s="185">
        <f t="shared" si="60"/>
        <v>0</v>
      </c>
      <c r="AD81" s="185" t="b">
        <f>IF(T81&gt;LARGE(($T81,$V81:$AC81),6),TRUE)</f>
        <v>0</v>
      </c>
      <c r="AE81" s="223" t="b">
        <f>TRUE</f>
        <v>1</v>
      </c>
      <c r="AF81" s="185" t="b">
        <f>IF(V81&gt;LARGE(($T81,$V81:$AC81),6),TRUE)</f>
        <v>0</v>
      </c>
      <c r="AG81" s="185" t="b">
        <f>IF(W81&gt;LARGE(($T81,$V81:$AC81),6),TRUE)</f>
        <v>0</v>
      </c>
      <c r="AH81" s="185" t="b">
        <f>IF(X81&gt;LARGE(($T81,$V81:$AC81),6),TRUE)</f>
        <v>1</v>
      </c>
      <c r="AI81" s="185" t="b">
        <f>IF(Y81&gt;LARGE(($T81,$V81:$AC81),6),TRUE)</f>
        <v>0</v>
      </c>
      <c r="AJ81" s="185" t="b">
        <f>IF(Z81&gt;LARGE(($T81,$V81:$AC81),6),TRUE)</f>
        <v>1</v>
      </c>
      <c r="AK81" s="185" t="b">
        <f>IF(AA81&gt;LARGE(($T81,$V81:$AC81),6),TRUE)</f>
        <v>1</v>
      </c>
      <c r="AL81" s="185" t="b">
        <f>IF(AB81&gt;LARGE(($T81,$V81:$AC81),6),TRUE)</f>
        <v>1</v>
      </c>
      <c r="AM81" s="185" t="b">
        <f>IF(AC81&gt;LARGE(($T81,$V81:$AC81),6),TRUE)</f>
        <v>0</v>
      </c>
      <c r="AO81" s="184"/>
      <c r="AP81" s="196"/>
      <c r="AQ81" s="196"/>
      <c r="AR81" s="196"/>
      <c r="AS81" s="196"/>
      <c r="AT81" s="196"/>
      <c r="AU81" s="196"/>
      <c r="AV81" s="196"/>
      <c r="AW81" s="196"/>
      <c r="AX81" s="196"/>
      <c r="AY81" s="196"/>
      <c r="AZ81" s="196"/>
      <c r="BA81" s="185" t="s">
        <v>233</v>
      </c>
      <c r="BB81" s="2" t="s">
        <v>2153</v>
      </c>
      <c r="BC81" s="2" t="s">
        <v>2682</v>
      </c>
      <c r="BD81" s="2" t="s">
        <v>1970</v>
      </c>
      <c r="BE81" s="2" t="s">
        <v>2903</v>
      </c>
    </row>
    <row r="82" spans="1:71" x14ac:dyDescent="0.3">
      <c r="A82" s="185" t="str">
        <f>'Reference Score Calculation'!A61</f>
        <v>JS1220</v>
      </c>
      <c r="B82" s="185" t="str">
        <f>'Reference Score Calculation'!D61</f>
        <v>法律學學士與理學士(計算數學)</v>
      </c>
      <c r="C82" s="236"/>
      <c r="D82" s="82" t="s">
        <v>2171</v>
      </c>
      <c r="E82" s="190" t="str">
        <f>入學要求!T70</f>
        <v>v</v>
      </c>
      <c r="F82" s="190" t="str">
        <f>入學要求!U70</f>
        <v>E</v>
      </c>
      <c r="G82" s="190" t="str">
        <f>入學要求!V70</f>
        <v>NO</v>
      </c>
      <c r="H82" s="185">
        <f t="shared" si="50"/>
        <v>3.2500000000000002E-9</v>
      </c>
      <c r="I82" s="194">
        <v>1</v>
      </c>
      <c r="J82" s="194">
        <v>1.5</v>
      </c>
      <c r="K82" s="194">
        <v>1</v>
      </c>
      <c r="L82" s="194">
        <v>1</v>
      </c>
      <c r="M82" s="194">
        <v>1.5</v>
      </c>
      <c r="N82" s="194">
        <v>1</v>
      </c>
      <c r="O82" s="194">
        <v>1</v>
      </c>
      <c r="P82" s="194">
        <v>1</v>
      </c>
      <c r="Q82" s="194">
        <v>1</v>
      </c>
      <c r="R82" s="194">
        <v>1</v>
      </c>
      <c r="S82" s="224"/>
      <c r="T82" s="185">
        <f t="shared" si="51"/>
        <v>1E-10</v>
      </c>
      <c r="U82" s="185">
        <f t="shared" si="52"/>
        <v>3E-10</v>
      </c>
      <c r="V82" s="185">
        <f t="shared" si="53"/>
        <v>3E-10</v>
      </c>
      <c r="W82" s="185">
        <f t="shared" si="54"/>
        <v>4.0000000000000001E-10</v>
      </c>
      <c r="X82" s="185">
        <f t="shared" si="55"/>
        <v>7.500000000000001E-10</v>
      </c>
      <c r="Y82" s="185">
        <f t="shared" si="56"/>
        <v>6E-10</v>
      </c>
      <c r="Z82" s="185">
        <f t="shared" si="57"/>
        <v>6.9999999999999996E-10</v>
      </c>
      <c r="AA82" s="185">
        <f t="shared" si="58"/>
        <v>8.0000000000000003E-10</v>
      </c>
      <c r="AB82" s="185">
        <f t="shared" si="59"/>
        <v>8.9999999999999999E-10</v>
      </c>
      <c r="AC82" s="185">
        <f t="shared" si="60"/>
        <v>9.5000000000000003E-10</v>
      </c>
      <c r="AD82" s="185" t="b">
        <f>IF(T82&gt;LARGE(($T82,$W82:$AC82),4),TRUE)</f>
        <v>0</v>
      </c>
      <c r="AE82" s="223" t="b">
        <f>TRUE</f>
        <v>1</v>
      </c>
      <c r="AF82" s="223" t="b">
        <f>TRUE</f>
        <v>1</v>
      </c>
      <c r="AG82" s="185" t="b">
        <f>IF(W82&gt;LARGE(($T82,$W82:$AC82),4),TRUE)</f>
        <v>0</v>
      </c>
      <c r="AH82" s="185" t="b">
        <f>IF(X82&gt;LARGE(($T82,$W82:$AC82),4),TRUE)</f>
        <v>0</v>
      </c>
      <c r="AI82" s="185" t="b">
        <f>IF(Y82&gt;LARGE(($T82,$W82:$AC82),4),TRUE)</f>
        <v>0</v>
      </c>
      <c r="AJ82" s="185" t="b">
        <f>IF(Z82&gt;LARGE(($T82,$W82:$AC82),4),TRUE)</f>
        <v>0</v>
      </c>
      <c r="AK82" s="185" t="b">
        <f>IF(AA82&gt;LARGE(($T82,$W82:$AC82),4),TRUE)</f>
        <v>1</v>
      </c>
      <c r="AL82" s="185" t="b">
        <f>IF(AB82&gt;LARGE(($T82,$W82:$AC82),4),TRUE)</f>
        <v>1</v>
      </c>
      <c r="AM82" s="185" t="b">
        <f>IF(AC82&gt;LARGE(($T82,$W82:$AC82),4),TRUE)</f>
        <v>1</v>
      </c>
      <c r="AO82" s="122"/>
      <c r="AP82" s="197"/>
      <c r="AQ82" s="197"/>
      <c r="AR82" s="197"/>
      <c r="AS82" s="197"/>
      <c r="AT82" s="197"/>
      <c r="AU82" s="197"/>
      <c r="AV82" s="197"/>
      <c r="AW82" s="197"/>
      <c r="AX82" s="197"/>
      <c r="AY82" s="197"/>
      <c r="AZ82" s="197"/>
      <c r="BA82" s="185" t="s">
        <v>237</v>
      </c>
      <c r="BB82" s="2" t="s">
        <v>2171</v>
      </c>
      <c r="BC82" s="2" t="s">
        <v>2696</v>
      </c>
      <c r="BD82" s="2" t="s">
        <v>1970</v>
      </c>
      <c r="BE82" s="2" t="s">
        <v>2763</v>
      </c>
    </row>
    <row r="83" spans="1:71" x14ac:dyDescent="0.3">
      <c r="A83" s="185" t="str">
        <f>'Reference Score Calculation'!A62</f>
        <v>JS1221</v>
      </c>
      <c r="B83" s="185" t="str">
        <f>'Reference Score Calculation'!D62</f>
        <v>理學士(電腦科學)與理學士(計算金融及金融科技)</v>
      </c>
      <c r="C83" s="236"/>
      <c r="D83" s="115" t="s">
        <v>1967</v>
      </c>
      <c r="E83" s="190" t="str">
        <f>入學要求!T71</f>
        <v>v</v>
      </c>
      <c r="F83" s="190" t="str">
        <f>入學要求!U71</f>
        <v>E</v>
      </c>
      <c r="G83" s="190" t="str">
        <f>入學要求!V71</f>
        <v>NO</v>
      </c>
      <c r="H83" s="185">
        <f t="shared" si="50"/>
        <v>2.8499999999999999E-9</v>
      </c>
      <c r="I83" s="194">
        <v>1</v>
      </c>
      <c r="J83" s="194">
        <v>1</v>
      </c>
      <c r="K83" s="194">
        <v>1</v>
      </c>
      <c r="L83" s="194">
        <v>1</v>
      </c>
      <c r="M83" s="194">
        <v>1</v>
      </c>
      <c r="N83" s="194">
        <v>1</v>
      </c>
      <c r="O83" s="194">
        <v>1</v>
      </c>
      <c r="P83" s="194">
        <v>1</v>
      </c>
      <c r="Q83" s="194">
        <v>1</v>
      </c>
      <c r="R83" s="194">
        <v>1</v>
      </c>
      <c r="S83" s="224"/>
      <c r="T83" s="185">
        <f t="shared" si="51"/>
        <v>1E-10</v>
      </c>
      <c r="U83" s="185">
        <f t="shared" si="52"/>
        <v>2.0000000000000001E-10</v>
      </c>
      <c r="V83" s="185">
        <f t="shared" si="53"/>
        <v>3E-10</v>
      </c>
      <c r="W83" s="185">
        <f t="shared" si="54"/>
        <v>4.0000000000000001E-10</v>
      </c>
      <c r="X83" s="185">
        <f t="shared" si="55"/>
        <v>5.0000000000000003E-10</v>
      </c>
      <c r="Y83" s="185">
        <f t="shared" si="56"/>
        <v>6E-10</v>
      </c>
      <c r="Z83" s="185">
        <f t="shared" si="57"/>
        <v>6.9999999999999996E-10</v>
      </c>
      <c r="AA83" s="185">
        <f t="shared" si="58"/>
        <v>8.0000000000000003E-10</v>
      </c>
      <c r="AB83" s="185">
        <f t="shared" si="59"/>
        <v>8.9999999999999999E-10</v>
      </c>
      <c r="AC83" s="185">
        <f t="shared" si="60"/>
        <v>9.5000000000000003E-10</v>
      </c>
      <c r="AD83" s="185" t="b">
        <f>IF(OR($D83="4C2X",$D83="4C1X"),TRUE,IF($D83="Best 5",IF(T83&gt;LARGE($T83:$AC83,6),TRUE),IF($D83="Best 6",IF(T83&gt;LARGE($T83:$AC83,7),TRUE))))</f>
        <v>1</v>
      </c>
      <c r="AE83" s="185" t="b">
        <f>IF(OR($D83="4C2X",$D83="4C1X"),TRUE,IF($D83="Best 5",IF(U83&gt;LARGE($T83:$AC83,6),TRUE),IF($D83="Best 6",IF(U83&gt;LARGE($T83:$AC83,7),TRUE))))</f>
        <v>1</v>
      </c>
      <c r="AF83" s="185" t="b">
        <f>IF(OR($D83="4C2X",$D83="4C1X"),TRUE,IF($D83="Best 5",IF(V83&gt;LARGE($T83:$AC83,6),TRUE),IF($D83="Best 6",IF(V83&gt;LARGE($T83:$AC83,7),TRUE))))</f>
        <v>1</v>
      </c>
      <c r="AG83" s="185" t="b">
        <f>IF(OR($D83="4C2X",$D83="4C1X"),TRUE,IF($D83="Best 5",IF(W83&gt;LARGE($T83:$AC83,6),TRUE),IF($D83="Best 6",IF(W83&gt;LARGE($T83:$AC83,7),TRUE))))</f>
        <v>1</v>
      </c>
      <c r="AH83" s="185" t="b">
        <f>IF($D83="4C2X",IF(X83&gt;LARGE($X83:$AC83,3),TRUE),IF($D83="4C1X",IF(X83&gt;LARGE($X83:$AC83,2),TRUE),IF($D83="Best 5",IF(X83&gt;LARGE($T83:$AC83,6),TRUE),IF($D83="Best 6",IF(X83&gt;LARGE($T83:$AC83,7),TRUE)))))</f>
        <v>0</v>
      </c>
      <c r="AI83" s="185" t="b">
        <f>IF($D83="4C2X",IF(Y83&gt;LARGE($X83:$AC83,3),TRUE),IF($D83="4C1X",IF(Y83&gt;LARGE($X83:$AC83,2),TRUE),IF($D83="Best 5",IF(Y83&gt;LARGE($T83:$AC83,6),TRUE),IF($D83="Best 6",IF(Y83&gt;LARGE($T83:$AC83,7),TRUE)))))</f>
        <v>0</v>
      </c>
      <c r="AJ83" s="185" t="b">
        <f>IF($D83="4C2X",IF(Z83&gt;LARGE($X83:$AC83,3),TRUE),IF($D83="4C1X",IF(Z83&gt;LARGE($X83:$AC83,2),TRUE),IF($D83="Best 5",IF(Z83&gt;LARGE($T83:$AC83,6),TRUE),IF($D83="Best 6",IF(Z83&gt;LARGE($T83:$AC83,7),TRUE)))))</f>
        <v>0</v>
      </c>
      <c r="AK83" s="185" t="b">
        <f>IF($D83="4C2X",IF(AA83&gt;LARGE($X83:$AC83,3),TRUE),IF($D83="4C1X",IF(AA83&gt;LARGE($X83:$AC83,2),TRUE),IF($D83="Best 5",IF(AA83&gt;LARGE($T83:$AC83,6),TRUE),IF($D83="Best 6",IF(AA83&gt;LARGE($T83:$AC83,7),TRUE)))))</f>
        <v>0</v>
      </c>
      <c r="AL83" s="185" t="b">
        <f>IF($D83="4C2X",IF(AB83&gt;LARGE($X83:$AC83,3),TRUE),IF($D83="4C1X",IF(AB83&gt;LARGE($X83:$AC83,2),TRUE),IF($D83="Best 5",IF(AB83&gt;LARGE($T83:$AC83,6),TRUE),IF($D83="Best 6",IF(AB83&gt;LARGE($T83:$AC83,7),TRUE)))))</f>
        <v>1</v>
      </c>
      <c r="AM83" s="185" t="b">
        <f>IF($F83="E",IF($D83="4C2X",IF(AC83&gt;LARGE($X83:$AC83,3),TRUE),IF($D83="4C1X",IF(AC83&gt;LARGE($X83:$AC83,2),TRUE),IF($D83="Best 5",IF(AC83&gt;LARGE($T83:$AC83,6),TRUE),IF($D83="Best 6",IF(AC83&gt;LARGE($T83:$AC83,7),TRUE))))),FALSE)</f>
        <v>1</v>
      </c>
      <c r="AO83" s="184"/>
      <c r="AP83" s="196"/>
      <c r="AQ83" s="196"/>
      <c r="AR83" s="196"/>
      <c r="AS83" s="196"/>
      <c r="AT83" s="196"/>
      <c r="AU83" s="196"/>
      <c r="AV83" s="196"/>
      <c r="AW83" s="196"/>
      <c r="AX83" s="196"/>
      <c r="AY83" s="196"/>
      <c r="AZ83" s="196"/>
      <c r="BA83" s="185" t="s">
        <v>241</v>
      </c>
      <c r="BB83" s="2" t="s">
        <v>1967</v>
      </c>
      <c r="BC83" s="2" t="s">
        <v>1978</v>
      </c>
      <c r="BD83" s="2" t="s">
        <v>1978</v>
      </c>
      <c r="BE83" s="2" t="s">
        <v>1978</v>
      </c>
    </row>
    <row r="84" spans="1:71" x14ac:dyDescent="0.3">
      <c r="A84" s="185" t="str">
        <f>'Reference Score Calculation'!A63</f>
        <v>JS1801</v>
      </c>
      <c r="B84" s="185" t="str">
        <f>'Reference Score Calculation'!D63</f>
        <v>獸醫學學士</v>
      </c>
      <c r="C84" s="236"/>
      <c r="D84" s="190" t="str">
        <f>'Reference Score Calculation'!E63</f>
        <v>Best 6</v>
      </c>
      <c r="E84" s="190" t="str">
        <f>入學要求!T72</f>
        <v>NO</v>
      </c>
      <c r="F84" s="190" t="str">
        <f>入學要求!U72</f>
        <v>NO</v>
      </c>
      <c r="G84" s="190" t="str">
        <f>入學要求!V72</f>
        <v>NO</v>
      </c>
      <c r="H84" s="185">
        <f t="shared" si="50"/>
        <v>2.1999999999999998E-9</v>
      </c>
      <c r="I84" s="194">
        <v>1</v>
      </c>
      <c r="J84" s="194">
        <v>1</v>
      </c>
      <c r="K84" s="194">
        <v>1</v>
      </c>
      <c r="L84" s="194">
        <v>1</v>
      </c>
      <c r="M84" s="194">
        <v>1</v>
      </c>
      <c r="N84" s="194">
        <v>1</v>
      </c>
      <c r="O84" s="194">
        <v>1</v>
      </c>
      <c r="P84" s="194">
        <v>1</v>
      </c>
      <c r="Q84" s="194">
        <v>1</v>
      </c>
      <c r="R84" s="194">
        <v>1</v>
      </c>
      <c r="S84" s="224"/>
      <c r="T84" s="185">
        <f t="shared" si="51"/>
        <v>1E-10</v>
      </c>
      <c r="U84" s="185">
        <f t="shared" si="52"/>
        <v>2.0000000000000001E-10</v>
      </c>
      <c r="V84" s="185">
        <f t="shared" si="53"/>
        <v>3E-10</v>
      </c>
      <c r="W84" s="185">
        <f t="shared" si="54"/>
        <v>4.0000000000000001E-10</v>
      </c>
      <c r="X84" s="185">
        <f t="shared" si="55"/>
        <v>0</v>
      </c>
      <c r="Y84" s="185">
        <f t="shared" si="56"/>
        <v>6E-10</v>
      </c>
      <c r="Z84" s="185">
        <f t="shared" si="57"/>
        <v>6.9999999999999996E-10</v>
      </c>
      <c r="AA84" s="185">
        <f t="shared" si="58"/>
        <v>8.0000000000000003E-10</v>
      </c>
      <c r="AB84" s="185">
        <f t="shared" si="59"/>
        <v>8.9999999999999999E-10</v>
      </c>
      <c r="AC84" s="185">
        <f t="shared" si="60"/>
        <v>0</v>
      </c>
      <c r="AD84" s="185" t="b">
        <f>AP79</f>
        <v>0</v>
      </c>
      <c r="AE84" s="223" t="b">
        <f>TRUE</f>
        <v>1</v>
      </c>
      <c r="AF84" s="223" t="b">
        <f>TRUE</f>
        <v>1</v>
      </c>
      <c r="AG84" s="185" t="b">
        <f>AS79</f>
        <v>0</v>
      </c>
      <c r="AH84" s="185" t="b">
        <f>AT79</f>
        <v>0</v>
      </c>
      <c r="AI84" s="185" t="b">
        <f>IF(OR(N1=$AU$74,N1=$AW$74),TRUE,AU79)</f>
        <v>0</v>
      </c>
      <c r="AJ84" s="185" t="b">
        <f>IF(OR(O1=$AU$74,O1=$AW$74),TRUE,AV79)</f>
        <v>0</v>
      </c>
      <c r="AK84" s="185" t="b">
        <f>IF(OR(P1=$AU$74,P1=$AW$74),TRUE,AW79)</f>
        <v>1</v>
      </c>
      <c r="AL84" s="185" t="b">
        <f>IF(OR(Q1=$AU$74,Q1=$AW$74),TRUE,AX79)</f>
        <v>1</v>
      </c>
      <c r="AM84" s="185" t="b">
        <f>FALSE</f>
        <v>0</v>
      </c>
      <c r="AO84" s="184"/>
      <c r="AP84" s="196"/>
      <c r="AQ84" s="196"/>
      <c r="AR84" s="196"/>
      <c r="AS84" s="196"/>
      <c r="AT84" s="196"/>
      <c r="AU84" s="196"/>
      <c r="AV84" s="196"/>
      <c r="AW84" s="196"/>
      <c r="AX84" s="196"/>
      <c r="AY84" s="196"/>
      <c r="AZ84" s="196"/>
      <c r="BA84" s="185" t="s">
        <v>245</v>
      </c>
      <c r="BC84" s="185" t="s">
        <v>2766</v>
      </c>
      <c r="BD84" s="185" t="s">
        <v>1970</v>
      </c>
      <c r="BE84" s="185" t="s">
        <v>1970</v>
      </c>
      <c r="BF84" s="185" t="s">
        <v>1970</v>
      </c>
      <c r="BS84" s="185" t="s">
        <v>1970</v>
      </c>
    </row>
    <row r="85" spans="1:71" x14ac:dyDescent="0.3">
      <c r="A85" s="185" t="str">
        <f>'Reference Score Calculation'!A64</f>
        <v>JS1805</v>
      </c>
      <c r="B85" s="185" t="str">
        <f>'Reference Score Calculation'!D64</f>
        <v>生物醫學系 [選項: 理學士(生物科學)、理學士(生物醫學)]</v>
      </c>
      <c r="C85" s="236"/>
      <c r="D85" s="190" t="str">
        <f>'Reference Score Calculation'!E64</f>
        <v>4C2X</v>
      </c>
      <c r="E85" s="190" t="str">
        <f>入學要求!T73</f>
        <v>v</v>
      </c>
      <c r="F85" s="190" t="str">
        <f>入學要求!U73</f>
        <v>NO</v>
      </c>
      <c r="G85" s="248" t="str">
        <f>入學要求!V73</f>
        <v>v</v>
      </c>
      <c r="H85" s="185">
        <f t="shared" si="50"/>
        <v>3.05E-9</v>
      </c>
      <c r="I85" s="194">
        <v>1</v>
      </c>
      <c r="J85" s="247">
        <v>2</v>
      </c>
      <c r="K85" s="246">
        <v>1.5</v>
      </c>
      <c r="L85" s="246">
        <v>1</v>
      </c>
      <c r="M85" s="246">
        <v>1.5</v>
      </c>
      <c r="N85" s="246">
        <f>IF(OR(N1="物理",N1="生物",N1="化學",N1="組合科學(物理、化學)",N1="組合科學(物理、生物)",N1="組合科學(生物、化學)"),2,IF(OR(N1="企業、會計與財務概論",N1="資訊及通訊科技",N1="設計與應用科技",N1="綜合科學"),1.5,1))</f>
        <v>1</v>
      </c>
      <c r="O85" s="246">
        <f>IF(OR(O1="物理",O1="生物",O1="化學",O1="組合科學(物理、化學)",O1="組合科學(物理、生物)",O1="組合科學(生物、化學)"),2,IF(OR(O1="企業、會計與財務概論",O1="資訊及通訊科技",O1="設計與應用科技",O1="綜合科學"),1.5,1))</f>
        <v>1</v>
      </c>
      <c r="P85" s="246">
        <f>IF(OR(P1="物理",P1="生物",P1="化學",P1="組合科學(物理、化學)",P1="組合科學(物理、生物)",P1="組合科學(生物、化學)"),2,IF(OR(P1="企業、會計與財務概論",P1="資訊及通訊科技",P1="設計與應用科技",P1="綜合科學"),1.5,1))</f>
        <v>1</v>
      </c>
      <c r="Q85" s="246">
        <f>IF(OR(Q1="物理",Q1="生物",Q1="化學",Q1="組合科學(物理、化學)",Q1="組合科學(物理、生物)",Q1="組合科學(生物、化學)"),2,IF(OR(Q1="企業、會計與財務概論",Q1="資訊及通訊科技",Q1="設計與應用科技",Q1="綜合科學"),1.5,1))</f>
        <v>1</v>
      </c>
      <c r="R85" s="246">
        <v>1</v>
      </c>
      <c r="S85" s="224"/>
      <c r="T85" s="185">
        <f t="shared" si="51"/>
        <v>1E-10</v>
      </c>
      <c r="U85" s="185">
        <f t="shared" si="52"/>
        <v>4.0000000000000001E-10</v>
      </c>
      <c r="V85" s="185">
        <f t="shared" si="53"/>
        <v>4.5E-10</v>
      </c>
      <c r="W85" s="185">
        <f t="shared" si="54"/>
        <v>4.0000000000000001E-10</v>
      </c>
      <c r="X85" s="185">
        <f t="shared" si="55"/>
        <v>7.500000000000001E-10</v>
      </c>
      <c r="Y85" s="185">
        <f t="shared" si="56"/>
        <v>6E-10</v>
      </c>
      <c r="Z85" s="185">
        <f t="shared" si="57"/>
        <v>6.9999999999999996E-10</v>
      </c>
      <c r="AA85" s="185">
        <f t="shared" si="58"/>
        <v>8.0000000000000003E-10</v>
      </c>
      <c r="AB85" s="185">
        <f t="shared" si="59"/>
        <v>8.9999999999999999E-10</v>
      </c>
      <c r="AC85" s="185">
        <f t="shared" si="60"/>
        <v>0</v>
      </c>
      <c r="AD85" s="185" t="b">
        <f t="shared" ref="AD85:AG87" si="66">IF(OR($D85="4C2X",$D85="4C1X"),TRUE,IF($D85="Best 5",IF(T85&gt;LARGE($T85:$AC85,6),TRUE),IF($D85="Best 6",IF(T85&gt;LARGE($T85:$AC85,7),TRUE))))</f>
        <v>1</v>
      </c>
      <c r="AE85" s="185" t="b">
        <f t="shared" si="66"/>
        <v>1</v>
      </c>
      <c r="AF85" s="185" t="b">
        <f t="shared" si="66"/>
        <v>1</v>
      </c>
      <c r="AG85" s="185" t="b">
        <f t="shared" si="66"/>
        <v>1</v>
      </c>
      <c r="AH85" s="185" t="b">
        <f t="shared" ref="AH85:AL87" si="67">IF($D85="4C2X",IF(X85&gt;LARGE($X85:$AC85,3),TRUE),IF($D85="4C1X",IF(X85&gt;LARGE($X85:$AC85,2),TRUE),IF($D85="Best 5",IF(X85&gt;LARGE($T85:$AC85,6),TRUE),IF($D85="Best 6",IF(X85&gt;LARGE($T85:$AC85,7),TRUE)))))</f>
        <v>0</v>
      </c>
      <c r="AI85" s="185" t="b">
        <f t="shared" si="67"/>
        <v>0</v>
      </c>
      <c r="AJ85" s="185" t="b">
        <f t="shared" si="67"/>
        <v>0</v>
      </c>
      <c r="AK85" s="185" t="b">
        <f t="shared" si="67"/>
        <v>1</v>
      </c>
      <c r="AL85" s="185" t="b">
        <f t="shared" si="67"/>
        <v>1</v>
      </c>
      <c r="AM85" s="185" t="b">
        <f>IF($F85="E",IF($D85="4C2X",IF(AC85&gt;LARGE($X85:$AC85,3),TRUE),IF($D85="4C1X",IF(AC85&gt;LARGE($X85:$AC85,2),TRUE),IF($D85="Best 5",IF(AC85&gt;LARGE($T85:$AC85,6),TRUE),IF($D85="Best 6",IF(AC85&gt;LARGE($T85:$AC85,7),TRUE))))),FALSE)</f>
        <v>0</v>
      </c>
      <c r="AO85" s="184"/>
      <c r="AP85" s="196"/>
      <c r="AQ85" s="196"/>
      <c r="AR85" s="196"/>
      <c r="AS85" s="196"/>
      <c r="AT85" s="196"/>
      <c r="AU85" s="196"/>
      <c r="AV85" s="196"/>
      <c r="AW85" s="196"/>
      <c r="AX85" s="196"/>
      <c r="AY85" s="196"/>
      <c r="AZ85" s="196"/>
      <c r="BA85" s="185" t="s">
        <v>250</v>
      </c>
      <c r="BC85" s="185" t="s">
        <v>1970</v>
      </c>
      <c r="BD85" s="185" t="s">
        <v>1970</v>
      </c>
      <c r="BE85" s="185" t="s">
        <v>2770</v>
      </c>
      <c r="BF85" s="185" t="s">
        <v>2772</v>
      </c>
      <c r="BS85" s="185" t="s">
        <v>1970</v>
      </c>
    </row>
    <row r="86" spans="1:71" x14ac:dyDescent="0.3">
      <c r="A86" s="185" t="str">
        <f>'Reference Score Calculation'!A65</f>
        <v>JS1806</v>
      </c>
      <c r="B86" s="185" t="str">
        <f>'Reference Score Calculation'!D65</f>
        <v>理學士(生物科學)</v>
      </c>
      <c r="C86" s="236"/>
      <c r="D86" s="190" t="str">
        <f>'Reference Score Calculation'!E65</f>
        <v>4C2X</v>
      </c>
      <c r="E86" s="190" t="str">
        <f>入學要求!T74</f>
        <v>v</v>
      </c>
      <c r="F86" s="190" t="str">
        <f>入學要求!U74</f>
        <v>NO</v>
      </c>
      <c r="G86" s="248" t="str">
        <f>入學要求!V74</f>
        <v>v</v>
      </c>
      <c r="H86" s="185">
        <f t="shared" si="50"/>
        <v>3.05E-9</v>
      </c>
      <c r="I86" s="194">
        <v>1</v>
      </c>
      <c r="J86" s="247">
        <v>2</v>
      </c>
      <c r="K86" s="246">
        <v>1.5</v>
      </c>
      <c r="L86" s="246">
        <v>1</v>
      </c>
      <c r="M86" s="246">
        <v>1.5</v>
      </c>
      <c r="N86" s="246">
        <f>IF(OR(N1="物理",N1="生物",N1="化學",N1="組合科學(物理、化學)",N1="組合科學(物理、生物)",N1="組合科學(生物、化學)"),2,IF(OR(N1="企業、會計與財務概論",N1="資訊及通訊科技",N1="設計與應用科技",N1="綜合科學"),1.5,1))</f>
        <v>1</v>
      </c>
      <c r="O86" s="246">
        <f>IF(OR(O1="物理",O1="生物",O1="化學",O1="組合科學(物理、化學)",O1="組合科學(物理、生物)",O1="組合科學(生物、化學)"),2,IF(OR(O1="企業、會計與財務概論",O1="資訊及通訊科技",O1="設計與應用科技",O1="綜合科學"),1.5,1))</f>
        <v>1</v>
      </c>
      <c r="P86" s="246">
        <f>IF(OR(P1="物理",P1="生物",P1="化學",P1="組合科學(物理、化學)",P1="組合科學(物理、生物)",P1="組合科學(生物、化學)"),2,IF(OR(P1="企業、會計與財務概論",P1="資訊及通訊科技",P1="設計與應用科技",P1="綜合科學"),1.5,1))</f>
        <v>1</v>
      </c>
      <c r="Q86" s="246">
        <f>IF(OR(Q1="物理",Q1="生物",Q1="化學",Q1="組合科學(物理、化學)",Q1="組合科學(物理、生物)",Q1="組合科學(生物、化學)"),2,IF(OR(Q1="企業、會計與財務概論",Q1="資訊及通訊科技",Q1="設計與應用科技",Q1="綜合科學"),1.5,1))</f>
        <v>1</v>
      </c>
      <c r="R86" s="246">
        <v>1</v>
      </c>
      <c r="S86" s="224"/>
      <c r="T86" s="185">
        <f t="shared" si="51"/>
        <v>1E-10</v>
      </c>
      <c r="U86" s="185">
        <f t="shared" si="52"/>
        <v>4.0000000000000001E-10</v>
      </c>
      <c r="V86" s="185">
        <f t="shared" si="53"/>
        <v>4.5E-10</v>
      </c>
      <c r="W86" s="185">
        <f t="shared" si="54"/>
        <v>4.0000000000000001E-10</v>
      </c>
      <c r="X86" s="185">
        <f t="shared" si="55"/>
        <v>7.500000000000001E-10</v>
      </c>
      <c r="Y86" s="185">
        <f t="shared" si="56"/>
        <v>6E-10</v>
      </c>
      <c r="Z86" s="185">
        <f t="shared" si="57"/>
        <v>6.9999999999999996E-10</v>
      </c>
      <c r="AA86" s="185">
        <f t="shared" si="58"/>
        <v>8.0000000000000003E-10</v>
      </c>
      <c r="AB86" s="185">
        <f t="shared" si="59"/>
        <v>8.9999999999999999E-10</v>
      </c>
      <c r="AC86" s="185">
        <f t="shared" si="60"/>
        <v>0</v>
      </c>
      <c r="AD86" s="185" t="b">
        <f t="shared" si="66"/>
        <v>1</v>
      </c>
      <c r="AE86" s="185" t="b">
        <f t="shared" si="66"/>
        <v>1</v>
      </c>
      <c r="AF86" s="185" t="b">
        <f t="shared" si="66"/>
        <v>1</v>
      </c>
      <c r="AG86" s="185" t="b">
        <f t="shared" si="66"/>
        <v>1</v>
      </c>
      <c r="AH86" s="185" t="b">
        <f t="shared" si="67"/>
        <v>0</v>
      </c>
      <c r="AI86" s="185" t="b">
        <f t="shared" si="67"/>
        <v>0</v>
      </c>
      <c r="AJ86" s="185" t="b">
        <f t="shared" si="67"/>
        <v>0</v>
      </c>
      <c r="AK86" s="185" t="b">
        <f t="shared" si="67"/>
        <v>1</v>
      </c>
      <c r="AL86" s="185" t="b">
        <f t="shared" si="67"/>
        <v>1</v>
      </c>
      <c r="AM86" s="185" t="b">
        <f>IF($F86="E",IF($D86="4C2X",IF(AC86&gt;LARGE($X86:$AC86,3),TRUE),IF($D86="4C1X",IF(AC86&gt;LARGE($X86:$AC86,2),TRUE),IF($D86="Best 5",IF(AC86&gt;LARGE($T86:$AC86,6),TRUE),IF($D86="Best 6",IF(AC86&gt;LARGE($T86:$AC86,7),TRUE))))),FALSE)</f>
        <v>0</v>
      </c>
      <c r="AO86" s="122"/>
      <c r="AP86" s="197"/>
      <c r="AQ86" s="197"/>
      <c r="AR86" s="197"/>
      <c r="AS86" s="197"/>
      <c r="AT86" s="197"/>
      <c r="AU86" s="197"/>
      <c r="AV86" s="197"/>
      <c r="AW86" s="197"/>
      <c r="AX86" s="197"/>
      <c r="AY86" s="197"/>
      <c r="AZ86" s="197"/>
      <c r="BA86" s="185" t="s">
        <v>255</v>
      </c>
      <c r="BC86" s="185" t="s">
        <v>1970</v>
      </c>
      <c r="BD86" s="185" t="s">
        <v>1970</v>
      </c>
      <c r="BE86" s="185" t="s">
        <v>2770</v>
      </c>
      <c r="BF86" s="185" t="s">
        <v>2772</v>
      </c>
      <c r="BS86" s="185" t="s">
        <v>1970</v>
      </c>
    </row>
    <row r="87" spans="1:71" x14ac:dyDescent="0.3">
      <c r="A87" s="185" t="str">
        <f>'Reference Score Calculation'!A66</f>
        <v>JS1807</v>
      </c>
      <c r="B87" s="185" t="str">
        <f>'Reference Score Calculation'!D66</f>
        <v>理學士(生物醫學)</v>
      </c>
      <c r="C87" s="236"/>
      <c r="D87" s="190" t="str">
        <f>'Reference Score Calculation'!E66</f>
        <v>4C2X</v>
      </c>
      <c r="E87" s="190" t="str">
        <f>入學要求!T75</f>
        <v>v</v>
      </c>
      <c r="F87" s="190" t="str">
        <f>入學要求!U75</f>
        <v>NO</v>
      </c>
      <c r="G87" s="248" t="str">
        <f>入學要求!V75</f>
        <v>v</v>
      </c>
      <c r="H87" s="185">
        <f t="shared" si="50"/>
        <v>3.05E-9</v>
      </c>
      <c r="I87" s="194">
        <v>1</v>
      </c>
      <c r="J87" s="247">
        <v>2</v>
      </c>
      <c r="K87" s="246">
        <v>1.5</v>
      </c>
      <c r="L87" s="246">
        <v>1</v>
      </c>
      <c r="M87" s="246">
        <v>1.5</v>
      </c>
      <c r="N87" s="246">
        <f>IF(OR(N1="物理",N1="生物",N1="化學",N1="組合科學(物理、化學)",N1="組合科學(物理、生物)",N1="組合科學(生物、化學)"),2,IF(OR(N1="企業、會計與財務概論",N1="資訊及通訊科技",N1="設計與應用科技",N1="綜合科學"),1.5,1))</f>
        <v>1</v>
      </c>
      <c r="O87" s="246">
        <f>IF(OR(O1="物理",O1="生物",O1="化學",O1="組合科學(物理、化學)",O1="組合科學(物理、生物)",O1="組合科學(生物、化學)"),2,IF(OR(O1="企業、會計與財務概論",O1="資訊及通訊科技",O1="設計與應用科技",O1="綜合科學"),1.5,1))</f>
        <v>1</v>
      </c>
      <c r="P87" s="246">
        <f>IF(OR(P1="物理",P1="生物",P1="化學",P1="組合科學(物理、化學)",P1="組合科學(物理、生物)",P1="組合科學(生物、化學)"),2,IF(OR(P1="企業、會計與財務概論",P1="資訊及通訊科技",P1="設計與應用科技",P1="綜合科學"),1.5,1))</f>
        <v>1</v>
      </c>
      <c r="Q87" s="246">
        <f>IF(OR(Q1="物理",Q1="生物",Q1="化學",Q1="組合科學(物理、化學)",Q1="組合科學(物理、生物)",Q1="組合科學(生物、化學)"),2,IF(OR(Q1="企業、會計與財務概論",Q1="資訊及通訊科技",Q1="設計與應用科技",Q1="綜合科學"),1.5,1))</f>
        <v>1</v>
      </c>
      <c r="R87" s="246">
        <v>1</v>
      </c>
      <c r="S87" s="224"/>
      <c r="T87" s="185">
        <f t="shared" si="51"/>
        <v>1E-10</v>
      </c>
      <c r="U87" s="185">
        <f t="shared" si="52"/>
        <v>4.0000000000000001E-10</v>
      </c>
      <c r="V87" s="185">
        <f t="shared" si="53"/>
        <v>4.5E-10</v>
      </c>
      <c r="W87" s="185">
        <f t="shared" si="54"/>
        <v>4.0000000000000001E-10</v>
      </c>
      <c r="X87" s="185">
        <f>IF(E87="v",M$3*M87,0)</f>
        <v>7.500000000000001E-10</v>
      </c>
      <c r="Y87" s="185">
        <f t="shared" si="56"/>
        <v>6E-10</v>
      </c>
      <c r="Z87" s="185">
        <f t="shared" si="57"/>
        <v>6.9999999999999996E-10</v>
      </c>
      <c r="AA87" s="185">
        <f t="shared" si="58"/>
        <v>8.0000000000000003E-10</v>
      </c>
      <c r="AB87" s="185">
        <f t="shared" si="59"/>
        <v>8.9999999999999999E-10</v>
      </c>
      <c r="AC87" s="185">
        <f>IF(F87="E",R$3*R87,0)</f>
        <v>0</v>
      </c>
      <c r="AD87" s="185" t="b">
        <f t="shared" si="66"/>
        <v>1</v>
      </c>
      <c r="AE87" s="185" t="b">
        <f t="shared" si="66"/>
        <v>1</v>
      </c>
      <c r="AF87" s="185" t="b">
        <f t="shared" si="66"/>
        <v>1</v>
      </c>
      <c r="AG87" s="185" t="b">
        <f t="shared" si="66"/>
        <v>1</v>
      </c>
      <c r="AH87" s="185" t="b">
        <f>IF($D87="4C2X",IF(X87&gt;LARGE($X87:$AC87,3),TRUE),IF($D87="4C1X",IF(X87&gt;LARGE($X87:$AC87,2),TRUE),IF($D87="Best 5",IF(X87&gt;LARGE($T87:$AC87,6),TRUE),IF($D87="Best 6",IF(X87&gt;LARGE($T87:$AC87,7),TRUE)))))</f>
        <v>0</v>
      </c>
      <c r="AI87" s="185" t="b">
        <f t="shared" si="67"/>
        <v>0</v>
      </c>
      <c r="AJ87" s="185" t="b">
        <f t="shared" si="67"/>
        <v>0</v>
      </c>
      <c r="AK87" s="185" t="b">
        <f t="shared" si="67"/>
        <v>1</v>
      </c>
      <c r="AL87" s="185" t="b">
        <f t="shared" si="67"/>
        <v>1</v>
      </c>
      <c r="AM87" s="185" t="b">
        <f>IF($F87="E",IF($D87="4C2X",IF(AC87&gt;LARGE($X87:$AC87,3),TRUE),IF($D87="4C1X",IF(AC87&gt;LARGE($X87:$AC87,2),TRUE),IF($D87="Best 5",IF(AC87&gt;LARGE($T87:$AC87,6),TRUE),IF($D87="Best 6",IF(AC87&gt;LARGE($T87:$AC87,7),TRUE))))),FALSE)</f>
        <v>0</v>
      </c>
      <c r="BA87" s="185" t="s">
        <v>260</v>
      </c>
      <c r="BC87" s="185" t="s">
        <v>1970</v>
      </c>
      <c r="BD87" s="185" t="s">
        <v>1970</v>
      </c>
      <c r="BE87" s="185" t="s">
        <v>2770</v>
      </c>
      <c r="BF87" s="185" t="s">
        <v>2772</v>
      </c>
      <c r="BS87" s="185" t="s">
        <v>1970</v>
      </c>
    </row>
    <row r="88" spans="1:71" x14ac:dyDescent="0.3">
      <c r="U88" s="225"/>
      <c r="V88" s="224"/>
      <c r="W88" s="224"/>
      <c r="X88" s="224"/>
      <c r="Y88" s="224"/>
      <c r="Z88" s="224"/>
      <c r="AA88" s="224"/>
      <c r="AB88" s="224"/>
      <c r="AC88" s="224"/>
      <c r="AD88" s="224"/>
      <c r="AE88" s="224"/>
    </row>
    <row r="89" spans="1:71" x14ac:dyDescent="0.3">
      <c r="A89" s="250" t="s">
        <v>2330</v>
      </c>
      <c r="B89" s="227"/>
      <c r="C89" s="227"/>
      <c r="D89" s="228"/>
      <c r="E89" s="19" t="s">
        <v>2233</v>
      </c>
      <c r="F89" s="19" t="s">
        <v>2234</v>
      </c>
      <c r="G89" s="19" t="s">
        <v>2235</v>
      </c>
      <c r="H89" s="213" t="s">
        <v>2301</v>
      </c>
      <c r="I89" s="213" t="s">
        <v>2011</v>
      </c>
      <c r="J89" s="213" t="s">
        <v>2012</v>
      </c>
      <c r="K89" s="213" t="s">
        <v>2013</v>
      </c>
      <c r="L89" s="213" t="s">
        <v>2014</v>
      </c>
      <c r="M89" s="213" t="s">
        <v>2015</v>
      </c>
      <c r="N89" s="213" t="s">
        <v>2016</v>
      </c>
      <c r="O89" s="213" t="s">
        <v>2017</v>
      </c>
      <c r="P89" s="213" t="s">
        <v>2018</v>
      </c>
      <c r="Q89" s="213" t="s">
        <v>2019</v>
      </c>
      <c r="R89" s="213" t="s">
        <v>2958</v>
      </c>
      <c r="S89" s="226"/>
      <c r="T89" s="213" t="str">
        <f t="shared" ref="T89:AC89" si="68">I1</f>
        <v>中國語文</v>
      </c>
      <c r="U89" s="399" t="str">
        <f t="shared" si="68"/>
        <v>英國語文</v>
      </c>
      <c r="V89" s="399" t="str">
        <f t="shared" si="68"/>
        <v>數學</v>
      </c>
      <c r="W89" s="399" t="str">
        <f t="shared" si="68"/>
        <v>通識教育</v>
      </c>
      <c r="X89" s="399" t="str">
        <f t="shared" si="68"/>
        <v>數學延伸</v>
      </c>
      <c r="Y89" s="399" t="str">
        <f t="shared" si="68"/>
        <v>請選擇第一選修科</v>
      </c>
      <c r="Z89" s="399" t="str">
        <f t="shared" si="68"/>
        <v>請選擇第二選修科</v>
      </c>
      <c r="AA89" s="399" t="str">
        <f t="shared" si="68"/>
        <v>請選擇第三選修科</v>
      </c>
      <c r="AB89" s="399" t="str">
        <f t="shared" si="68"/>
        <v>請選擇第四選修科</v>
      </c>
      <c r="AC89" s="399" t="str">
        <f t="shared" si="68"/>
        <v>請選擇語言科目</v>
      </c>
      <c r="AD89" s="213" t="s">
        <v>2881</v>
      </c>
      <c r="AE89" s="213" t="s">
        <v>2882</v>
      </c>
      <c r="AF89" s="213" t="s">
        <v>2883</v>
      </c>
      <c r="AG89" s="213" t="s">
        <v>2884</v>
      </c>
      <c r="AH89" s="213" t="s">
        <v>2885</v>
      </c>
      <c r="AI89" s="213" t="s">
        <v>2886</v>
      </c>
      <c r="AJ89" s="213" t="s">
        <v>2887</v>
      </c>
      <c r="AK89" s="213" t="s">
        <v>2888</v>
      </c>
      <c r="AL89" s="213" t="s">
        <v>2889</v>
      </c>
      <c r="AM89" s="213" t="s">
        <v>2890</v>
      </c>
    </row>
    <row r="90" spans="1:71" x14ac:dyDescent="0.3">
      <c r="A90" s="185" t="str">
        <f>'Reference Score Calculation'!A69</f>
        <v>JS2020</v>
      </c>
      <c r="B90" s="212" t="str">
        <f>'Reference Score Calculation'!D69</f>
        <v>文學士(榮譽) (中國語言文學 / 創意及專業寫作 / 英國語言文學 / 人文學 / 翻譯學)</v>
      </c>
      <c r="C90" s="316"/>
      <c r="D90" s="207" t="str">
        <f>'Reference Score Calculation'!E69</f>
        <v>4C2X</v>
      </c>
      <c r="E90" s="185" t="str">
        <f>入學要求!T78</f>
        <v>v</v>
      </c>
      <c r="F90" s="185" t="str">
        <f>入學要求!U78</f>
        <v>E</v>
      </c>
      <c r="G90" s="185" t="str">
        <f>入學要求!V78</f>
        <v>NO</v>
      </c>
      <c r="H90" s="185">
        <f>SUMIF(AD90:AM90,TRUE,T90:AC90)</f>
        <v>2.8499999999999999E-9</v>
      </c>
      <c r="I90" s="185">
        <v>1</v>
      </c>
      <c r="J90" s="185">
        <v>1</v>
      </c>
      <c r="K90" s="185">
        <v>1</v>
      </c>
      <c r="L90" s="185">
        <v>1</v>
      </c>
      <c r="M90" s="185">
        <v>1</v>
      </c>
      <c r="N90" s="185">
        <v>1</v>
      </c>
      <c r="O90" s="185">
        <v>1</v>
      </c>
      <c r="P90" s="185">
        <v>1</v>
      </c>
      <c r="Q90" s="185">
        <v>1</v>
      </c>
      <c r="R90" s="185">
        <v>1</v>
      </c>
      <c r="T90" s="185">
        <f>I$4*I90</f>
        <v>1E-10</v>
      </c>
      <c r="U90" s="185">
        <f t="shared" ref="U90:W90" si="69">J$4*J90</f>
        <v>2.0000000000000001E-10</v>
      </c>
      <c r="V90" s="185">
        <f t="shared" si="69"/>
        <v>3E-10</v>
      </c>
      <c r="W90" s="185">
        <f t="shared" si="69"/>
        <v>4.0000000000000001E-10</v>
      </c>
      <c r="X90" s="185">
        <f>IF(E90="v",M$4*M90,0)</f>
        <v>5.0000000000000003E-10</v>
      </c>
      <c r="Y90" s="185">
        <f t="shared" ref="Y90" si="70">N$4*N90</f>
        <v>6E-10</v>
      </c>
      <c r="Z90" s="185">
        <f t="shared" ref="Z90" si="71">O$4*O90</f>
        <v>6.9999999999999996E-10</v>
      </c>
      <c r="AA90" s="185">
        <f t="shared" ref="AA90" si="72">P$4*P90</f>
        <v>8.0000000000000003E-10</v>
      </c>
      <c r="AB90" s="185">
        <f t="shared" ref="AB90" si="73">Q$4*Q90</f>
        <v>8.9999999999999999E-10</v>
      </c>
      <c r="AC90" s="391">
        <f t="shared" ref="AC90:AC109" si="74">IF(F90="E",R$4*R90,0)</f>
        <v>9.5000000000000003E-10</v>
      </c>
      <c r="AD90" s="185" t="b">
        <f>IF(OR($D90="4C2X",$D90="4C1X"),TRUE,IF($D90="Best 5",IF(T90&gt;LARGE($T90:$AC90,6),TRUE),IF($D90="Best 6",IF(T90&gt;LARGE($T90:$AC90,7),TRUE))))</f>
        <v>1</v>
      </c>
      <c r="AE90" s="185" t="b">
        <f>IF(OR($D90="4C2X",$D90="4C1X"),TRUE,IF($D90="Best 5",IF(U90&gt;LARGE($T90:$AC90,6),TRUE),IF($D90="Best 6",IF(U90&gt;LARGE($T90:$AC90,7),TRUE))))</f>
        <v>1</v>
      </c>
      <c r="AF90" s="185" t="b">
        <f t="shared" ref="AF90:AG90" si="75">IF(OR($D90="4C2X",$D90="4C1X"),TRUE,IF($D90="Best 5",IF(V90&gt;LARGE($T90:$AC90,6),TRUE),IF($D90="Best 6",IF(V90&gt;LARGE($T90:$AC90,7),TRUE))))</f>
        <v>1</v>
      </c>
      <c r="AG90" s="185" t="b">
        <f t="shared" si="75"/>
        <v>1</v>
      </c>
      <c r="AH90" s="185" t="b">
        <f>IF($D90="4C2X",IF(X90&gt;LARGE($X90:$AC90,3),TRUE),IF($D90="4C1X",IF(X90&gt;LARGE($X90:$AC90,2),TRUE),IF($D90="Best 5",IF(X90&gt;LARGE($T90:$AC90,6),TRUE),IF($D90="Best 6",IF(X90&gt;LARGE($T90:$AC90,7),TRUE)))))</f>
        <v>0</v>
      </c>
      <c r="AI90" s="185" t="b">
        <f t="shared" ref="AI90" si="76">IF($D90="4C2X",IF(Y90&gt;LARGE($X90:$AC90,3),TRUE),IF($D90="4C1X",IF(Y90&gt;LARGE($X90:$AC90,2),TRUE),IF($D90="Best 5",IF(Y90&gt;LARGE($T90:$AC90,6),TRUE),IF($D90="Best 6",IF(Y90&gt;LARGE($T90:$AC90,7),TRUE)))))</f>
        <v>0</v>
      </c>
      <c r="AJ90" s="185" t="b">
        <f t="shared" ref="AJ90" si="77">IF($D90="4C2X",IF(Z90&gt;LARGE($X90:$AC90,3),TRUE),IF($D90="4C1X",IF(Z90&gt;LARGE($X90:$AC90,2),TRUE),IF($D90="Best 5",IF(Z90&gt;LARGE($T90:$AC90,6),TRUE),IF($D90="Best 6",IF(Z90&gt;LARGE($T90:$AC90,7),TRUE)))))</f>
        <v>0</v>
      </c>
      <c r="AK90" s="185" t="b">
        <f t="shared" ref="AK90" si="78">IF($D90="4C2X",IF(AA90&gt;LARGE($X90:$AC90,3),TRUE),IF($D90="4C1X",IF(AA90&gt;LARGE($X90:$AC90,2),TRUE),IF($D90="Best 5",IF(AA90&gt;LARGE($T90:$AC90,6),TRUE),IF($D90="Best 6",IF(AA90&gt;LARGE($T90:$AC90,7),TRUE)))))</f>
        <v>0</v>
      </c>
      <c r="AL90" s="185" t="b">
        <f t="shared" ref="AL90" si="79">IF($D90="4C2X",IF(AB90&gt;LARGE($X90:$AC90,3),TRUE),IF($D90="4C1X",IF(AB90&gt;LARGE($X90:$AC90,2),TRUE),IF($D90="Best 5",IF(AB90&gt;LARGE($T90:$AC90,6),TRUE),IF($D90="Best 6",IF(AB90&gt;LARGE($T90:$AC90,7),TRUE)))))</f>
        <v>1</v>
      </c>
      <c r="AM90" s="185" t="b">
        <f>IF($F90="E",IF($D90="4C2X",IF(AC90&gt;LARGE($X90:$AC90,3),TRUE),IF($D90="4C1X",IF(AC90&gt;LARGE($X90:$AC90,2),TRUE),IF($D90="Best 5",IF(AC90&gt;LARGE($T90:$AC90,6),TRUE),IF($D90="Best 6",IF(AC90&gt;LARGE($T90:$AC90,7),TRUE))))),FALSE)</f>
        <v>1</v>
      </c>
    </row>
    <row r="91" spans="1:71" x14ac:dyDescent="0.3">
      <c r="A91" s="185" t="str">
        <f>'Reference Score Calculation'!A70</f>
        <v>JS2025</v>
      </c>
      <c r="B91" s="212" t="str">
        <f>'Reference Score Calculation'!D70</f>
        <v>宗教、哲學及倫理文學士(榮譽)</v>
      </c>
      <c r="C91" s="316"/>
      <c r="D91" s="207" t="str">
        <f>'Reference Score Calculation'!E70</f>
        <v>4C2X</v>
      </c>
      <c r="E91" s="185" t="str">
        <f>入學要求!T79</f>
        <v>v</v>
      </c>
      <c r="F91" s="185" t="str">
        <f>入學要求!U79</f>
        <v>E</v>
      </c>
      <c r="G91" s="185" t="str">
        <f>入學要求!V79</f>
        <v>NO</v>
      </c>
      <c r="H91" s="185">
        <f t="shared" ref="H91:H110" si="80">SUMIF(AD91:AM91,TRUE,T91:AC91)</f>
        <v>2.8499999999999999E-9</v>
      </c>
      <c r="I91" s="185">
        <v>1</v>
      </c>
      <c r="J91" s="185">
        <v>1</v>
      </c>
      <c r="K91" s="185">
        <v>1</v>
      </c>
      <c r="L91" s="185">
        <v>1</v>
      </c>
      <c r="M91" s="185">
        <v>1</v>
      </c>
      <c r="N91" s="185">
        <v>1</v>
      </c>
      <c r="O91" s="185">
        <v>1</v>
      </c>
      <c r="P91" s="185">
        <v>1</v>
      </c>
      <c r="Q91" s="185">
        <v>1</v>
      </c>
      <c r="R91" s="185">
        <v>1</v>
      </c>
      <c r="T91" s="185">
        <f t="shared" ref="T91:T110" si="81">I$4*I91</f>
        <v>1E-10</v>
      </c>
      <c r="U91" s="185">
        <f t="shared" ref="U91:U110" si="82">J$4*J91</f>
        <v>2.0000000000000001E-10</v>
      </c>
      <c r="V91" s="185">
        <f t="shared" ref="V91:V110" si="83">K$4*K91</f>
        <v>3E-10</v>
      </c>
      <c r="W91" s="185">
        <f t="shared" ref="W91:W110" si="84">L$4*L91</f>
        <v>4.0000000000000001E-10</v>
      </c>
      <c r="X91" s="391">
        <f t="shared" ref="X91:X110" si="85">IF(E91="v",M$4*M91,0)</f>
        <v>5.0000000000000003E-10</v>
      </c>
      <c r="Y91" s="185">
        <f t="shared" ref="Y91:Y110" si="86">N$4*N91</f>
        <v>6E-10</v>
      </c>
      <c r="Z91" s="185">
        <f t="shared" ref="Z91:Z110" si="87">O$4*O91</f>
        <v>6.9999999999999996E-10</v>
      </c>
      <c r="AA91" s="185">
        <f t="shared" ref="AA91:AA110" si="88">P$4*P91</f>
        <v>8.0000000000000003E-10</v>
      </c>
      <c r="AB91" s="185">
        <f t="shared" ref="AB91:AB110" si="89">Q$4*Q91</f>
        <v>8.9999999999999999E-10</v>
      </c>
      <c r="AC91" s="391">
        <f t="shared" si="74"/>
        <v>9.5000000000000003E-10</v>
      </c>
      <c r="AD91" s="185" t="b">
        <f>IF(OR($D91="4C2X",$D91="4C1X"),TRUE,IF($D91="Best 5",IF(T91&gt;LARGE($T91:$AC91,6),TRUE),IF($D91="Best 6",IF(T91&gt;LARGE($T91:$AC91,7),TRUE))))</f>
        <v>1</v>
      </c>
      <c r="AE91" s="185" t="b">
        <f>IF(OR($D91="4C2X",$D91="4C1X"),TRUE,IF($D91="Best 5",IF(U91&gt;LARGE($T91:$AC91,6),TRUE),IF($D91="Best 6",IF(U91&gt;LARGE($T91:$AC91,7),TRUE))))</f>
        <v>1</v>
      </c>
      <c r="AF91" s="185" t="b">
        <f t="shared" ref="AF91:AF92" si="90">IF(OR($D91="4C2X",$D91="4C1X"),TRUE,IF($D91="Best 5",IF(V91&gt;LARGE($T91:$AC91,6),TRUE),IF($D91="Best 6",IF(V91&gt;LARGE($T91:$AC91,7),TRUE))))</f>
        <v>1</v>
      </c>
      <c r="AG91" s="185" t="b">
        <f t="shared" ref="AG91:AG92" si="91">IF(OR($D91="4C2X",$D91="4C1X"),TRUE,IF($D91="Best 5",IF(W91&gt;LARGE($T91:$AC91,6),TRUE),IF($D91="Best 6",IF(W91&gt;LARGE($T91:$AC91,7),TRUE))))</f>
        <v>1</v>
      </c>
      <c r="AH91" s="185" t="b">
        <f>IF($D91="4C2X",IF(X91&gt;LARGE($X91:$AC91,3),TRUE),IF($D91="4C1X",IF(X91&gt;LARGE($X91:$AC91,2),TRUE),IF($D91="Best 5",IF(X91&gt;LARGE($T91:$AC91,6),TRUE),IF($D91="Best 6",IF(X91&gt;LARGE($T91:$AC91,7),TRUE)))))</f>
        <v>0</v>
      </c>
      <c r="AI91" s="185" t="b">
        <f t="shared" ref="AI91:AI92" si="92">IF($D91="4C2X",IF(Y91&gt;LARGE($X91:$AC91,3),TRUE),IF($D91="4C1X",IF(Y91&gt;LARGE($X91:$AC91,2),TRUE),IF($D91="Best 5",IF(Y91&gt;LARGE($T91:$AC91,6),TRUE),IF($D91="Best 6",IF(Y91&gt;LARGE($T91:$AC91,7),TRUE)))))</f>
        <v>0</v>
      </c>
      <c r="AJ91" s="185" t="b">
        <f t="shared" ref="AJ91:AJ92" si="93">IF($D91="4C2X",IF(Z91&gt;LARGE($X91:$AC91,3),TRUE),IF($D91="4C1X",IF(Z91&gt;LARGE($X91:$AC91,2),TRUE),IF($D91="Best 5",IF(Z91&gt;LARGE($T91:$AC91,6),TRUE),IF($D91="Best 6",IF(Z91&gt;LARGE($T91:$AC91,7),TRUE)))))</f>
        <v>0</v>
      </c>
      <c r="AK91" s="185" t="b">
        <f t="shared" ref="AK91:AK92" si="94">IF($D91="4C2X",IF(AA91&gt;LARGE($X91:$AC91,3),TRUE),IF($D91="4C1X",IF(AA91&gt;LARGE($X91:$AC91,2),TRUE),IF($D91="Best 5",IF(AA91&gt;LARGE($T91:$AC91,6),TRUE),IF($D91="Best 6",IF(AA91&gt;LARGE($T91:$AC91,7),TRUE)))))</f>
        <v>0</v>
      </c>
      <c r="AL91" s="185" t="b">
        <f t="shared" ref="AL91:AL92" si="95">IF($D91="4C2X",IF(AB91&gt;LARGE($X91:$AC91,3),TRUE),IF($D91="4C1X",IF(AB91&gt;LARGE($X91:$AC91,2),TRUE),IF($D91="Best 5",IF(AB91&gt;LARGE($T91:$AC91,6),TRUE),IF($D91="Best 6",IF(AB91&gt;LARGE($T91:$AC91,7),TRUE)))))</f>
        <v>1</v>
      </c>
      <c r="AM91" s="185" t="b">
        <f>IF($F91="E",IF($D91="4C2X",IF(AC91&gt;LARGE($X91:$AC91,3),TRUE),IF($D91="4C1X",IF(AC91&gt;LARGE($X91:$AC91,2),TRUE),IF($D91="Best 5",IF(AC91&gt;LARGE($T91:$AC91,6),TRUE),IF($D91="Best 6",IF(AC91&gt;LARGE($T91:$AC91,7),TRUE))))),FALSE)</f>
        <v>1</v>
      </c>
    </row>
    <row r="92" spans="1:71" x14ac:dyDescent="0.3">
      <c r="A92" s="185" t="str">
        <f>'Reference Score Calculation'!A71</f>
        <v>JS2060</v>
      </c>
      <c r="B92" s="212" t="str">
        <f>'Reference Score Calculation'!D71</f>
        <v>文學士(榮譽) / 音樂學士(榮譽) (音樂 / 創意產業)</v>
      </c>
      <c r="C92" s="316"/>
      <c r="D92" s="115" t="str">
        <f>'Reference Score Calculation'!AD71</f>
        <v>4C2X</v>
      </c>
      <c r="E92" s="185" t="str">
        <f>入學要求!T80</f>
        <v>v</v>
      </c>
      <c r="F92" s="185" t="str">
        <f>入學要求!U80</f>
        <v>E</v>
      </c>
      <c r="G92" s="185" t="str">
        <f>入學要求!V80</f>
        <v>v</v>
      </c>
      <c r="H92" s="185">
        <f t="shared" si="80"/>
        <v>2.8499999999999999E-9</v>
      </c>
      <c r="I92" s="185">
        <v>1</v>
      </c>
      <c r="J92" s="185">
        <v>1</v>
      </c>
      <c r="K92" s="185">
        <v>1</v>
      </c>
      <c r="L92" s="185">
        <v>1</v>
      </c>
      <c r="M92" s="185">
        <v>1</v>
      </c>
      <c r="N92" s="185">
        <v>1</v>
      </c>
      <c r="O92" s="185">
        <v>1</v>
      </c>
      <c r="P92" s="185">
        <v>1</v>
      </c>
      <c r="Q92" s="185">
        <v>1</v>
      </c>
      <c r="R92" s="185">
        <v>1</v>
      </c>
      <c r="T92" s="185">
        <f t="shared" si="81"/>
        <v>1E-10</v>
      </c>
      <c r="U92" s="185">
        <f t="shared" si="82"/>
        <v>2.0000000000000001E-10</v>
      </c>
      <c r="V92" s="185">
        <f t="shared" si="83"/>
        <v>3E-10</v>
      </c>
      <c r="W92" s="185">
        <f t="shared" si="84"/>
        <v>4.0000000000000001E-10</v>
      </c>
      <c r="X92" s="391">
        <f t="shared" si="85"/>
        <v>5.0000000000000003E-10</v>
      </c>
      <c r="Y92" s="185">
        <f t="shared" si="86"/>
        <v>6E-10</v>
      </c>
      <c r="Z92" s="185">
        <f t="shared" si="87"/>
        <v>6.9999999999999996E-10</v>
      </c>
      <c r="AA92" s="185">
        <f t="shared" si="88"/>
        <v>8.0000000000000003E-10</v>
      </c>
      <c r="AB92" s="185">
        <f t="shared" si="89"/>
        <v>8.9999999999999999E-10</v>
      </c>
      <c r="AC92" s="391">
        <f t="shared" si="74"/>
        <v>9.5000000000000003E-10</v>
      </c>
      <c r="AD92" s="185" t="b">
        <f t="shared" ref="AD92:AD108" si="96">IF(OR($D92="4C2X",$D92="4C1X"),TRUE,IF($D92="Best 5",IF(T92&gt;LARGE($T92:$AC92,6),TRUE),IF($D92="Best 6",IF(T92&gt;LARGE($T92:$AC92,7),TRUE))))</f>
        <v>1</v>
      </c>
      <c r="AE92" s="185" t="b">
        <f t="shared" ref="AE92:AE110" si="97">IF(OR($D92="4C2X",$D92="4C1X"),TRUE,IF($D92="Best 5",IF(U92&gt;LARGE($T92:$AC92,6),TRUE),IF($D92="Best 6",IF(U92&gt;LARGE($T92:$AC92,7),TRUE))))</f>
        <v>1</v>
      </c>
      <c r="AF92" s="185" t="b">
        <f t="shared" si="90"/>
        <v>1</v>
      </c>
      <c r="AG92" s="185" t="b">
        <f t="shared" si="91"/>
        <v>1</v>
      </c>
      <c r="AH92" s="185" t="b">
        <f t="shared" ref="AH92:AH110" si="98">IF($D92="4C2X",IF(X92&gt;LARGE($X92:$AC92,3),TRUE),IF($D92="4C1X",IF(X92&gt;LARGE($X92:$AC92,2),TRUE),IF($D92="Best 5",IF(X92&gt;LARGE($T92:$AC92,6),TRUE),IF($D92="Best 6",IF(X92&gt;LARGE($T92:$AC92,7),TRUE)))))</f>
        <v>0</v>
      </c>
      <c r="AI92" s="185" t="b">
        <f t="shared" si="92"/>
        <v>0</v>
      </c>
      <c r="AJ92" s="185" t="b">
        <f t="shared" si="93"/>
        <v>0</v>
      </c>
      <c r="AK92" s="185" t="b">
        <f t="shared" si="94"/>
        <v>0</v>
      </c>
      <c r="AL92" s="185" t="b">
        <f t="shared" si="95"/>
        <v>1</v>
      </c>
      <c r="AM92" s="185" t="b">
        <f t="shared" ref="AM92:AM110" si="99">IF($F92="E",IF($D92="4C2X",IF(AC92&gt;LARGE($X92:$AC92,3),TRUE),IF($D92="4C1X",IF(AC92&gt;LARGE($X92:$AC92,2),TRUE),IF($D92="Best 5",IF(AC92&gt;LARGE($T92:$AC92,6),TRUE),IF($D92="Best 6",IF(AC92&gt;LARGE($T92:$AC92,7),TRUE))))),FALSE)</f>
        <v>1</v>
      </c>
    </row>
    <row r="93" spans="1:71" x14ac:dyDescent="0.3">
      <c r="A93" s="185" t="str">
        <f>'Reference Score Calculation'!A72</f>
        <v>JS2110</v>
      </c>
      <c r="B93" s="212" t="str">
        <f>'Reference Score Calculation'!D72</f>
        <v>工商管理學士(榮譽) - 會計學專修</v>
      </c>
      <c r="C93" s="316"/>
      <c r="D93" s="82" t="str">
        <f>'Reference Score Calculation'!E72</f>
        <v>Best 6</v>
      </c>
      <c r="E93" s="185" t="str">
        <f>入學要求!T81</f>
        <v>v</v>
      </c>
      <c r="F93" s="185" t="str">
        <f>入學要求!U81</f>
        <v>NO</v>
      </c>
      <c r="G93" s="185" t="str">
        <f>入學要求!V81</f>
        <v>v</v>
      </c>
      <c r="H93" s="185">
        <f t="shared" si="80"/>
        <v>3.9000000000000002E-9</v>
      </c>
      <c r="I93" s="185">
        <v>1</v>
      </c>
      <c r="J93" s="185">
        <v>1.5</v>
      </c>
      <c r="K93" s="185">
        <v>1</v>
      </c>
      <c r="L93" s="185">
        <v>1</v>
      </c>
      <c r="M93" s="185">
        <v>1</v>
      </c>
      <c r="N93" s="185">
        <v>1</v>
      </c>
      <c r="O93" s="185">
        <v>1</v>
      </c>
      <c r="P93" s="185">
        <v>1</v>
      </c>
      <c r="Q93" s="185">
        <v>1</v>
      </c>
      <c r="R93" s="185">
        <v>1</v>
      </c>
      <c r="T93" s="185">
        <f t="shared" si="81"/>
        <v>1E-10</v>
      </c>
      <c r="U93" s="185">
        <f t="shared" si="82"/>
        <v>3E-10</v>
      </c>
      <c r="V93" s="185">
        <f t="shared" si="83"/>
        <v>3E-10</v>
      </c>
      <c r="W93" s="185">
        <f t="shared" si="84"/>
        <v>4.0000000000000001E-10</v>
      </c>
      <c r="X93" s="391">
        <f t="shared" si="85"/>
        <v>5.0000000000000003E-10</v>
      </c>
      <c r="Y93" s="185">
        <f t="shared" si="86"/>
        <v>6E-10</v>
      </c>
      <c r="Z93" s="185">
        <f t="shared" si="87"/>
        <v>6.9999999999999996E-10</v>
      </c>
      <c r="AA93" s="185">
        <f t="shared" si="88"/>
        <v>8.0000000000000003E-10</v>
      </c>
      <c r="AB93" s="185">
        <f t="shared" si="89"/>
        <v>8.9999999999999999E-10</v>
      </c>
      <c r="AC93" s="391">
        <f t="shared" si="74"/>
        <v>0</v>
      </c>
      <c r="AD93" s="185" t="b">
        <f t="shared" si="96"/>
        <v>0</v>
      </c>
      <c r="AE93" s="185" t="b">
        <f t="shared" si="97"/>
        <v>0</v>
      </c>
      <c r="AF93" s="185" t="b">
        <f t="shared" ref="AF93:AF110" si="100">IF(OR($D93="4C2X",$D93="4C1X"),TRUE,IF($D93="Best 5",IF(V93&gt;LARGE($T93:$AC93,6),TRUE),IF($D93="Best 6",IF(V93&gt;LARGE($T93:$AC93,7),TRUE))))</f>
        <v>0</v>
      </c>
      <c r="AG93" s="185" t="b">
        <f t="shared" ref="AG93:AG110" si="101">IF(OR($D93="4C2X",$D93="4C1X"),TRUE,IF($D93="Best 5",IF(W93&gt;LARGE($T93:$AC93,6),TRUE),IF($D93="Best 6",IF(W93&gt;LARGE($T93:$AC93,7),TRUE))))</f>
        <v>1</v>
      </c>
      <c r="AH93" s="185" t="b">
        <f t="shared" si="98"/>
        <v>1</v>
      </c>
      <c r="AI93" s="185" t="b">
        <f t="shared" ref="AI93:AI110" si="102">IF($D93="4C2X",IF(Y93&gt;LARGE($X93:$AC93,3),TRUE),IF($D93="4C1X",IF(Y93&gt;LARGE($X93:$AC93,2),TRUE),IF($D93="Best 5",IF(Y93&gt;LARGE($T93:$AC93,6),TRUE),IF($D93="Best 6",IF(Y93&gt;LARGE($T93:$AC93,7),TRUE)))))</f>
        <v>1</v>
      </c>
      <c r="AJ93" s="185" t="b">
        <f t="shared" ref="AJ93:AJ110" si="103">IF($D93="4C2X",IF(Z93&gt;LARGE($X93:$AC93,3),TRUE),IF($D93="4C1X",IF(Z93&gt;LARGE($X93:$AC93,2),TRUE),IF($D93="Best 5",IF(Z93&gt;LARGE($T93:$AC93,6),TRUE),IF($D93="Best 6",IF(Z93&gt;LARGE($T93:$AC93,7),TRUE)))))</f>
        <v>1</v>
      </c>
      <c r="AK93" s="185" t="b">
        <f t="shared" ref="AK93:AK110" si="104">IF($D93="4C2X",IF(AA93&gt;LARGE($X93:$AC93,3),TRUE),IF($D93="4C1X",IF(AA93&gt;LARGE($X93:$AC93,2),TRUE),IF($D93="Best 5",IF(AA93&gt;LARGE($T93:$AC93,6),TRUE),IF($D93="Best 6",IF(AA93&gt;LARGE($T93:$AC93,7),TRUE)))))</f>
        <v>1</v>
      </c>
      <c r="AL93" s="185" t="b">
        <f t="shared" ref="AL93:AL110" si="105">IF($D93="4C2X",IF(AB93&gt;LARGE($X93:$AC93,3),TRUE),IF($D93="4C1X",IF(AB93&gt;LARGE($X93:$AC93,2),TRUE),IF($D93="Best 5",IF(AB93&gt;LARGE($T93:$AC93,6),TRUE),IF($D93="Best 6",IF(AB93&gt;LARGE($T93:$AC93,7),TRUE)))))</f>
        <v>1</v>
      </c>
      <c r="AM93" s="185" t="b">
        <f t="shared" si="99"/>
        <v>0</v>
      </c>
    </row>
    <row r="94" spans="1:71" x14ac:dyDescent="0.3">
      <c r="A94" s="185" t="str">
        <f>'Reference Score Calculation'!A73</f>
        <v>JS2120</v>
      </c>
      <c r="B94" s="212" t="str">
        <f>'Reference Score Calculation'!D73</f>
        <v>工商管理學士(榮譽)</v>
      </c>
      <c r="C94" s="316"/>
      <c r="D94" s="82" t="str">
        <f>'Reference Score Calculation'!E73</f>
        <v>Best 6</v>
      </c>
      <c r="E94" s="185" t="str">
        <f>入學要求!T82</f>
        <v>v</v>
      </c>
      <c r="F94" s="185" t="str">
        <f>入學要求!U82</f>
        <v>NO</v>
      </c>
      <c r="G94" s="185" t="str">
        <f>入學要求!V82</f>
        <v>v</v>
      </c>
      <c r="H94" s="185">
        <f t="shared" si="80"/>
        <v>3.9000000000000002E-9</v>
      </c>
      <c r="I94" s="185">
        <v>1</v>
      </c>
      <c r="J94" s="185">
        <v>1.5</v>
      </c>
      <c r="K94" s="185">
        <v>1</v>
      </c>
      <c r="L94" s="185">
        <v>1</v>
      </c>
      <c r="M94" s="185">
        <v>1</v>
      </c>
      <c r="N94" s="185">
        <v>1</v>
      </c>
      <c r="O94" s="185">
        <v>1</v>
      </c>
      <c r="P94" s="185">
        <v>1</v>
      </c>
      <c r="Q94" s="185">
        <v>1</v>
      </c>
      <c r="R94" s="185">
        <v>1</v>
      </c>
      <c r="T94" s="185">
        <f t="shared" si="81"/>
        <v>1E-10</v>
      </c>
      <c r="U94" s="185">
        <f t="shared" si="82"/>
        <v>3E-10</v>
      </c>
      <c r="V94" s="185">
        <f t="shared" si="83"/>
        <v>3E-10</v>
      </c>
      <c r="W94" s="185">
        <f t="shared" si="84"/>
        <v>4.0000000000000001E-10</v>
      </c>
      <c r="X94" s="391">
        <f t="shared" si="85"/>
        <v>5.0000000000000003E-10</v>
      </c>
      <c r="Y94" s="185">
        <f t="shared" si="86"/>
        <v>6E-10</v>
      </c>
      <c r="Z94" s="185">
        <f t="shared" si="87"/>
        <v>6.9999999999999996E-10</v>
      </c>
      <c r="AA94" s="185">
        <f t="shared" si="88"/>
        <v>8.0000000000000003E-10</v>
      </c>
      <c r="AB94" s="185">
        <f t="shared" si="89"/>
        <v>8.9999999999999999E-10</v>
      </c>
      <c r="AC94" s="391">
        <f t="shared" si="74"/>
        <v>0</v>
      </c>
      <c r="AD94" s="185" t="b">
        <f t="shared" si="96"/>
        <v>0</v>
      </c>
      <c r="AE94" s="185" t="b">
        <f t="shared" si="97"/>
        <v>0</v>
      </c>
      <c r="AF94" s="185" t="b">
        <f t="shared" si="100"/>
        <v>0</v>
      </c>
      <c r="AG94" s="185" t="b">
        <f t="shared" si="101"/>
        <v>1</v>
      </c>
      <c r="AH94" s="185" t="b">
        <f t="shared" si="98"/>
        <v>1</v>
      </c>
      <c r="AI94" s="185" t="b">
        <f t="shared" si="102"/>
        <v>1</v>
      </c>
      <c r="AJ94" s="185" t="b">
        <f t="shared" si="103"/>
        <v>1</v>
      </c>
      <c r="AK94" s="185" t="b">
        <f t="shared" si="104"/>
        <v>1</v>
      </c>
      <c r="AL94" s="185" t="b">
        <f t="shared" si="105"/>
        <v>1</v>
      </c>
      <c r="AM94" s="185" t="b">
        <f t="shared" si="99"/>
        <v>0</v>
      </c>
    </row>
    <row r="95" spans="1:71" x14ac:dyDescent="0.3">
      <c r="A95" s="185" t="str">
        <f>'Reference Score Calculation'!A74</f>
        <v>JS2310</v>
      </c>
      <c r="B95" s="212" t="str">
        <f>'Reference Score Calculation'!D74</f>
        <v>傳理學學士(榮譽) (新聞與數碼媒體 / 公關及廣告)</v>
      </c>
      <c r="C95" s="316"/>
      <c r="D95" s="82" t="str">
        <f>'Reference Score Calculation'!AD74</f>
        <v>Best 5</v>
      </c>
      <c r="E95" s="185" t="str">
        <f>入學要求!T83</f>
        <v>v</v>
      </c>
      <c r="F95" s="185" t="str">
        <f>入學要求!U83</f>
        <v>E</v>
      </c>
      <c r="G95" s="185" t="str">
        <f>入學要求!V83</f>
        <v>v</v>
      </c>
      <c r="H95" s="185">
        <f t="shared" si="80"/>
        <v>3.0250000000000006E-9</v>
      </c>
      <c r="I95" s="185">
        <v>1.25</v>
      </c>
      <c r="J95" s="185">
        <v>1.25</v>
      </c>
      <c r="K95" s="185">
        <v>1</v>
      </c>
      <c r="L95" s="185">
        <v>1</v>
      </c>
      <c r="M95" s="185">
        <v>1</v>
      </c>
      <c r="N95" s="185">
        <v>1</v>
      </c>
      <c r="O95" s="185">
        <v>1</v>
      </c>
      <c r="P95" s="185">
        <v>1</v>
      </c>
      <c r="Q95" s="185">
        <v>1</v>
      </c>
      <c r="R95" s="185">
        <v>1</v>
      </c>
      <c r="T95" s="185">
        <f t="shared" si="81"/>
        <v>1.2500000000000001E-10</v>
      </c>
      <c r="U95" s="185">
        <f t="shared" si="82"/>
        <v>2.5000000000000002E-10</v>
      </c>
      <c r="V95" s="185">
        <f t="shared" si="83"/>
        <v>3E-10</v>
      </c>
      <c r="W95" s="185">
        <f t="shared" si="84"/>
        <v>4.0000000000000001E-10</v>
      </c>
      <c r="X95" s="391">
        <f t="shared" si="85"/>
        <v>5.0000000000000003E-10</v>
      </c>
      <c r="Y95" s="185">
        <f t="shared" si="86"/>
        <v>6E-10</v>
      </c>
      <c r="Z95" s="185">
        <f t="shared" si="87"/>
        <v>6.9999999999999996E-10</v>
      </c>
      <c r="AA95" s="185">
        <f t="shared" si="88"/>
        <v>8.0000000000000003E-10</v>
      </c>
      <c r="AB95" s="185">
        <f t="shared" si="89"/>
        <v>8.9999999999999999E-10</v>
      </c>
      <c r="AC95" s="391">
        <f t="shared" si="74"/>
        <v>9.5000000000000003E-10</v>
      </c>
      <c r="AD95" s="185" t="b">
        <f>TRUE</f>
        <v>1</v>
      </c>
      <c r="AE95" s="185" t="b">
        <f>TRUE</f>
        <v>1</v>
      </c>
      <c r="AF95" s="185" t="b">
        <f>IF(V95&gt;LARGE(($V95:$AC95),4),TRUE)</f>
        <v>0</v>
      </c>
      <c r="AG95" s="185" t="b">
        <f t="shared" ref="AG95:AL95" si="106">IF(W95&gt;LARGE(($V95:$AC95),4),TRUE)</f>
        <v>0</v>
      </c>
      <c r="AH95" s="185" t="b">
        <f t="shared" si="106"/>
        <v>0</v>
      </c>
      <c r="AI95" s="185" t="b">
        <f t="shared" si="106"/>
        <v>0</v>
      </c>
      <c r="AJ95" s="185" t="b">
        <f t="shared" si="106"/>
        <v>0</v>
      </c>
      <c r="AK95" s="185" t="b">
        <f t="shared" si="106"/>
        <v>1</v>
      </c>
      <c r="AL95" s="185" t="b">
        <f t="shared" si="106"/>
        <v>1</v>
      </c>
      <c r="AM95" s="185" t="b">
        <f>IF(AC95&gt;LARGE(($V95:$AC95),4),TRUE)</f>
        <v>1</v>
      </c>
    </row>
    <row r="96" spans="1:71" x14ac:dyDescent="0.3">
      <c r="A96" s="185" t="str">
        <f>'Reference Score Calculation'!A75</f>
        <v>JS2330</v>
      </c>
      <c r="B96" s="212" t="str">
        <f>'Reference Score Calculation'!D75</f>
        <v>傳理學學士(榮譽) - 電影主修 - 電影電視專修</v>
      </c>
      <c r="C96" s="316"/>
      <c r="D96" s="19" t="str">
        <f>'Reference Score Calculation'!E75</f>
        <v>Best 5</v>
      </c>
      <c r="E96" s="185" t="str">
        <f>入學要求!T84</f>
        <v>v</v>
      </c>
      <c r="F96" s="185" t="str">
        <f>入學要求!U84</f>
        <v>E</v>
      </c>
      <c r="G96" s="185" t="str">
        <f>入學要求!V84</f>
        <v>v</v>
      </c>
      <c r="H96" s="185">
        <f t="shared" si="80"/>
        <v>3.0250000000000006E-9</v>
      </c>
      <c r="I96" s="185">
        <v>1.25</v>
      </c>
      <c r="J96" s="185">
        <v>1.25</v>
      </c>
      <c r="K96" s="185">
        <v>1</v>
      </c>
      <c r="L96" s="185">
        <v>1</v>
      </c>
      <c r="M96" s="185">
        <v>1</v>
      </c>
      <c r="N96" s="185">
        <v>1</v>
      </c>
      <c r="O96" s="185">
        <v>1</v>
      </c>
      <c r="P96" s="185">
        <v>1</v>
      </c>
      <c r="Q96" s="185">
        <v>1</v>
      </c>
      <c r="R96" s="185">
        <v>1</v>
      </c>
      <c r="T96" s="185">
        <f t="shared" si="81"/>
        <v>1.2500000000000001E-10</v>
      </c>
      <c r="U96" s="185">
        <f t="shared" si="82"/>
        <v>2.5000000000000002E-10</v>
      </c>
      <c r="V96" s="185">
        <f t="shared" si="83"/>
        <v>3E-10</v>
      </c>
      <c r="W96" s="185">
        <f t="shared" si="84"/>
        <v>4.0000000000000001E-10</v>
      </c>
      <c r="X96" s="391">
        <f t="shared" si="85"/>
        <v>5.0000000000000003E-10</v>
      </c>
      <c r="Y96" s="185">
        <f t="shared" si="86"/>
        <v>6E-10</v>
      </c>
      <c r="Z96" s="185">
        <f t="shared" si="87"/>
        <v>6.9999999999999996E-10</v>
      </c>
      <c r="AA96" s="185">
        <f t="shared" si="88"/>
        <v>8.0000000000000003E-10</v>
      </c>
      <c r="AB96" s="185">
        <f t="shared" si="89"/>
        <v>8.9999999999999999E-10</v>
      </c>
      <c r="AC96" s="391">
        <f t="shared" si="74"/>
        <v>9.5000000000000003E-10</v>
      </c>
      <c r="AD96" s="185" t="b">
        <f>TRUE</f>
        <v>1</v>
      </c>
      <c r="AE96" s="185" t="b">
        <f>TRUE</f>
        <v>1</v>
      </c>
      <c r="AF96" s="185" t="b">
        <f>IF(V96&gt;LARGE(($V96:$AC96),4),TRUE)</f>
        <v>0</v>
      </c>
      <c r="AG96" s="185" t="b">
        <f t="shared" ref="AG96" si="107">IF(W96&gt;LARGE(($V96:$AC96),4),TRUE)</f>
        <v>0</v>
      </c>
      <c r="AH96" s="185" t="b">
        <f t="shared" ref="AH96" si="108">IF(X96&gt;LARGE(($V96:$AC96),4),TRUE)</f>
        <v>0</v>
      </c>
      <c r="AI96" s="185" t="b">
        <f t="shared" ref="AI96" si="109">IF(Y96&gt;LARGE(($V96:$AC96),4),TRUE)</f>
        <v>0</v>
      </c>
      <c r="AJ96" s="185" t="b">
        <f t="shared" ref="AJ96" si="110">IF(Z96&gt;LARGE(($V96:$AC96),4),TRUE)</f>
        <v>0</v>
      </c>
      <c r="AK96" s="185" t="b">
        <f t="shared" ref="AK96" si="111">IF(AA96&gt;LARGE(($V96:$AC96),4),TRUE)</f>
        <v>1</v>
      </c>
      <c r="AL96" s="185" t="b">
        <f t="shared" ref="AL96" si="112">IF(AB96&gt;LARGE(($V96:$AC96),4),TRUE)</f>
        <v>1</v>
      </c>
      <c r="AM96" s="185" t="b">
        <f>IF(AC96&gt;LARGE(($V96:$AC96),4),TRUE)</f>
        <v>1</v>
      </c>
    </row>
    <row r="97" spans="1:39" x14ac:dyDescent="0.3">
      <c r="A97" s="185" t="str">
        <f>'Reference Score Calculation'!A76</f>
        <v>JS2340</v>
      </c>
      <c r="B97" s="212" t="str">
        <f>'Reference Score Calculation'!D76</f>
        <v>環球螢幕演技藝術學士(榮譽)</v>
      </c>
      <c r="C97" s="316"/>
      <c r="D97" s="207" t="str">
        <f>'Reference Score Calculation'!E76</f>
        <v>Best 5</v>
      </c>
      <c r="E97" s="185" t="str">
        <f>入學要求!T85</f>
        <v>v</v>
      </c>
      <c r="F97" s="185" t="str">
        <f>入學要求!U85</f>
        <v>E</v>
      </c>
      <c r="G97" s="185" t="str">
        <f>入學要求!V85</f>
        <v>v</v>
      </c>
      <c r="H97" s="185">
        <f t="shared" si="80"/>
        <v>3.5500000000000004E-9</v>
      </c>
      <c r="I97" s="185">
        <v>1</v>
      </c>
      <c r="J97" s="185">
        <v>1</v>
      </c>
      <c r="K97" s="185">
        <v>1</v>
      </c>
      <c r="L97" s="185">
        <v>1</v>
      </c>
      <c r="M97" s="185">
        <v>1</v>
      </c>
      <c r="N97" s="185">
        <v>1</v>
      </c>
      <c r="O97" s="185">
        <v>1</v>
      </c>
      <c r="P97" s="185">
        <v>1</v>
      </c>
      <c r="Q97" s="185">
        <v>1</v>
      </c>
      <c r="R97" s="185">
        <v>1</v>
      </c>
      <c r="T97" s="185">
        <f t="shared" si="81"/>
        <v>1E-10</v>
      </c>
      <c r="U97" s="185">
        <f t="shared" si="82"/>
        <v>2.0000000000000001E-10</v>
      </c>
      <c r="V97" s="185">
        <f t="shared" si="83"/>
        <v>3E-10</v>
      </c>
      <c r="W97" s="185">
        <f t="shared" si="84"/>
        <v>4.0000000000000001E-10</v>
      </c>
      <c r="X97" s="391">
        <f t="shared" si="85"/>
        <v>5.0000000000000003E-10</v>
      </c>
      <c r="Y97" s="185">
        <f t="shared" si="86"/>
        <v>6E-10</v>
      </c>
      <c r="Z97" s="185">
        <f t="shared" si="87"/>
        <v>6.9999999999999996E-10</v>
      </c>
      <c r="AA97" s="185">
        <f t="shared" si="88"/>
        <v>8.0000000000000003E-10</v>
      </c>
      <c r="AB97" s="185">
        <f t="shared" si="89"/>
        <v>8.9999999999999999E-10</v>
      </c>
      <c r="AC97" s="391">
        <f t="shared" si="74"/>
        <v>9.5000000000000003E-10</v>
      </c>
      <c r="AD97" s="185" t="b">
        <f>IF(T97&gt;LARGE(($T97,$V97:$AC97),5),TRUE)</f>
        <v>0</v>
      </c>
      <c r="AE97" s="185" t="b">
        <f>TRUE</f>
        <v>1</v>
      </c>
      <c r="AF97" s="185" t="b">
        <f>IF(V97&gt;LARGE(($T97,$V97:$AC97),5),TRUE)</f>
        <v>0</v>
      </c>
      <c r="AG97" s="185" t="b">
        <f>IF(W97&gt;LARGE(($T97,$V97:$AC97),5),TRUE)</f>
        <v>0</v>
      </c>
      <c r="AH97" s="185" t="b">
        <f>IF(X97&gt;LARGE(($T97,$V97:$AC97),5),TRUE)</f>
        <v>0</v>
      </c>
      <c r="AI97" s="185" t="b">
        <f>IF(Y97&gt;LARGE(($T97,$V97:$AC97),5),TRUE)</f>
        <v>0</v>
      </c>
      <c r="AJ97" s="185" t="b">
        <f>IF(Z97&gt;LARGE(($T97,$V97:$AC97),5),TRUE)</f>
        <v>1</v>
      </c>
      <c r="AK97" s="185" t="b">
        <f>IF(AA97&gt;LARGE(($T97,$V97:$AC97),5),TRUE)</f>
        <v>1</v>
      </c>
      <c r="AL97" s="185" t="b">
        <f>IF(AB97&gt;LARGE(($T97,$V97:$AC97),5),TRUE)</f>
        <v>1</v>
      </c>
      <c r="AM97" s="185" t="b">
        <f>IF(AC97&gt;LARGE(($T97,$V97:$AC97),5),TRUE)</f>
        <v>1</v>
      </c>
    </row>
    <row r="98" spans="1:39" x14ac:dyDescent="0.3">
      <c r="A98" s="185" t="str">
        <f>'Reference Score Calculation'!A77</f>
        <v>JS2370</v>
      </c>
      <c r="B98" s="212" t="str">
        <f>'Reference Score Calculation'!D77</f>
        <v>傳理學學士(榮譽) - 遊戲設計與動畫主修</v>
      </c>
      <c r="C98" s="316"/>
      <c r="D98" s="82" t="str">
        <f>'Reference Score Calculation'!AD77</f>
        <v>Best 5</v>
      </c>
      <c r="E98" s="185" t="str">
        <f>入學要求!T86</f>
        <v>v</v>
      </c>
      <c r="F98" s="185" t="str">
        <f>入學要求!U86</f>
        <v>E</v>
      </c>
      <c r="G98" s="185" t="str">
        <f>入學要求!V86</f>
        <v>v</v>
      </c>
      <c r="H98" s="185">
        <f t="shared" si="80"/>
        <v>3.0250000000000006E-9</v>
      </c>
      <c r="I98" s="185">
        <v>1.25</v>
      </c>
      <c r="J98" s="185">
        <v>1.25</v>
      </c>
      <c r="K98" s="185">
        <v>1</v>
      </c>
      <c r="L98" s="185">
        <v>1</v>
      </c>
      <c r="M98" s="185">
        <v>1</v>
      </c>
      <c r="N98" s="185">
        <v>1</v>
      </c>
      <c r="O98" s="185">
        <v>1</v>
      </c>
      <c r="P98" s="185">
        <v>1</v>
      </c>
      <c r="Q98" s="185">
        <v>1</v>
      </c>
      <c r="R98" s="185">
        <v>1</v>
      </c>
      <c r="T98" s="185">
        <f t="shared" si="81"/>
        <v>1.2500000000000001E-10</v>
      </c>
      <c r="U98" s="185">
        <f t="shared" si="82"/>
        <v>2.5000000000000002E-10</v>
      </c>
      <c r="V98" s="185">
        <f t="shared" si="83"/>
        <v>3E-10</v>
      </c>
      <c r="W98" s="185">
        <f t="shared" si="84"/>
        <v>4.0000000000000001E-10</v>
      </c>
      <c r="X98" s="391">
        <f t="shared" si="85"/>
        <v>5.0000000000000003E-10</v>
      </c>
      <c r="Y98" s="185">
        <f t="shared" si="86"/>
        <v>6E-10</v>
      </c>
      <c r="Z98" s="185">
        <f t="shared" si="87"/>
        <v>6.9999999999999996E-10</v>
      </c>
      <c r="AA98" s="185">
        <f t="shared" si="88"/>
        <v>8.0000000000000003E-10</v>
      </c>
      <c r="AB98" s="185">
        <f t="shared" si="89"/>
        <v>8.9999999999999999E-10</v>
      </c>
      <c r="AC98" s="391">
        <f t="shared" si="74"/>
        <v>9.5000000000000003E-10</v>
      </c>
      <c r="AD98" s="185" t="b">
        <f>TRUE</f>
        <v>1</v>
      </c>
      <c r="AE98" s="185" t="b">
        <f>TRUE</f>
        <v>1</v>
      </c>
      <c r="AF98" s="185" t="b">
        <f>IF(V98&gt;LARGE(($V98:$AC98),4),TRUE)</f>
        <v>0</v>
      </c>
      <c r="AG98" s="185" t="b">
        <f t="shared" ref="AG98" si="113">IF(W98&gt;LARGE(($V98:$AC98),4),TRUE)</f>
        <v>0</v>
      </c>
      <c r="AH98" s="185" t="b">
        <f t="shared" ref="AH98" si="114">IF(X98&gt;LARGE(($V98:$AC98),4),TRUE)</f>
        <v>0</v>
      </c>
      <c r="AI98" s="185" t="b">
        <f t="shared" ref="AI98" si="115">IF(Y98&gt;LARGE(($V98:$AC98),4),TRUE)</f>
        <v>0</v>
      </c>
      <c r="AJ98" s="185" t="b">
        <f t="shared" ref="AJ98" si="116">IF(Z98&gt;LARGE(($V98:$AC98),4),TRUE)</f>
        <v>0</v>
      </c>
      <c r="AK98" s="185" t="b">
        <f t="shared" ref="AK98" si="117">IF(AA98&gt;LARGE(($V98:$AC98),4),TRUE)</f>
        <v>1</v>
      </c>
      <c r="AL98" s="185" t="b">
        <f t="shared" ref="AL98" si="118">IF(AB98&gt;LARGE(($V98:$AC98),4),TRUE)</f>
        <v>1</v>
      </c>
      <c r="AM98" s="185" t="b">
        <f>IF(AC98&gt;LARGE(($V98:$AC98),4),TRUE)</f>
        <v>1</v>
      </c>
    </row>
    <row r="99" spans="1:39" x14ac:dyDescent="0.3">
      <c r="A99" s="185" t="str">
        <f>'Reference Score Calculation'!A78</f>
        <v>JS2410</v>
      </c>
      <c r="B99" s="212" t="str">
        <f>'Reference Score Calculation'!D78</f>
        <v>中醫學學士及生物醫學理學士(榮譽)</v>
      </c>
      <c r="C99" s="316"/>
      <c r="D99" s="249" t="str">
        <f>'Reference Score Calculation'!E78</f>
        <v>Best 5</v>
      </c>
      <c r="E99" s="185" t="str">
        <f>入學要求!T87</f>
        <v>v</v>
      </c>
      <c r="F99" s="185" t="str">
        <f>入學要求!U87</f>
        <v>NO</v>
      </c>
      <c r="G99" s="185" t="str">
        <f>入學要求!V87</f>
        <v>NO</v>
      </c>
      <c r="H99" s="185">
        <f t="shared" si="80"/>
        <v>3.4999999999999999E-9</v>
      </c>
      <c r="I99" s="185">
        <v>1.5</v>
      </c>
      <c r="J99" s="185">
        <v>1.5</v>
      </c>
      <c r="K99" s="185">
        <v>1</v>
      </c>
      <c r="L99" s="185">
        <v>1</v>
      </c>
      <c r="M99" s="185">
        <v>1</v>
      </c>
      <c r="N99" s="185">
        <f>IF(N1="生物",1.5,IF(N1="化學",1.25,1))</f>
        <v>1</v>
      </c>
      <c r="O99" s="185">
        <f>IF(O1="生物",1.5,IF(O1="化學",1.25,1))</f>
        <v>1</v>
      </c>
      <c r="P99" s="185">
        <f>IF(P1="生物",1.5,IF(P1="化學",1.25,1))</f>
        <v>1</v>
      </c>
      <c r="Q99" s="185">
        <f>IF(Q1="生物",1.5,IF(Q1="化學",1.25,1))</f>
        <v>1</v>
      </c>
      <c r="R99" s="185">
        <v>1</v>
      </c>
      <c r="T99" s="185">
        <f t="shared" si="81"/>
        <v>1.5E-10</v>
      </c>
      <c r="U99" s="185">
        <f t="shared" si="82"/>
        <v>3E-10</v>
      </c>
      <c r="V99" s="185">
        <f t="shared" si="83"/>
        <v>3E-10</v>
      </c>
      <c r="W99" s="185">
        <f t="shared" si="84"/>
        <v>4.0000000000000001E-10</v>
      </c>
      <c r="X99" s="391">
        <f t="shared" si="85"/>
        <v>5.0000000000000003E-10</v>
      </c>
      <c r="Y99" s="185">
        <f t="shared" si="86"/>
        <v>6E-10</v>
      </c>
      <c r="Z99" s="185">
        <f t="shared" si="87"/>
        <v>6.9999999999999996E-10</v>
      </c>
      <c r="AA99" s="185">
        <f t="shared" si="88"/>
        <v>8.0000000000000003E-10</v>
      </c>
      <c r="AB99" s="185">
        <f t="shared" si="89"/>
        <v>8.9999999999999999E-10</v>
      </c>
      <c r="AC99" s="391">
        <f t="shared" si="74"/>
        <v>0</v>
      </c>
      <c r="AD99" s="185" t="b">
        <f t="shared" si="96"/>
        <v>0</v>
      </c>
      <c r="AE99" s="185" t="b">
        <f>IF(OR($D99="4C2X",$D99="4C1X"),TRUE,IF($D99="Best 5",IF(U99&gt;LARGE($T99:$AC99,6),TRUE),IF($D99="Best 6",IF(U99&gt;LARGE($T99:$AC99,7),TRUE))))</f>
        <v>0</v>
      </c>
      <c r="AF99" s="185" t="b">
        <f t="shared" si="100"/>
        <v>0</v>
      </c>
      <c r="AG99" s="185" t="b">
        <f t="shared" si="101"/>
        <v>0</v>
      </c>
      <c r="AH99" s="185" t="b">
        <f t="shared" si="98"/>
        <v>1</v>
      </c>
      <c r="AI99" s="185" t="b">
        <f t="shared" si="102"/>
        <v>1</v>
      </c>
      <c r="AJ99" s="185" t="b">
        <f t="shared" si="103"/>
        <v>1</v>
      </c>
      <c r="AK99" s="185" t="b">
        <f t="shared" si="104"/>
        <v>1</v>
      </c>
      <c r="AL99" s="185" t="b">
        <f t="shared" si="105"/>
        <v>1</v>
      </c>
      <c r="AM99" s="185" t="b">
        <f t="shared" si="99"/>
        <v>0</v>
      </c>
    </row>
    <row r="100" spans="1:39" x14ac:dyDescent="0.3">
      <c r="A100" s="185" t="str">
        <f>'Reference Score Calculation'!A79</f>
        <v>JS2420</v>
      </c>
      <c r="B100" s="212" t="str">
        <f>'Reference Score Calculation'!D79</f>
        <v>中藥學學士(榮譽)</v>
      </c>
      <c r="C100" s="316"/>
      <c r="D100" s="249" t="str">
        <f>'Reference Score Calculation'!E79</f>
        <v>Best 5</v>
      </c>
      <c r="E100" s="185" t="str">
        <f>入學要求!T88</f>
        <v>v</v>
      </c>
      <c r="F100" s="185" t="str">
        <f>入學要求!U88</f>
        <v>NO</v>
      </c>
      <c r="G100" s="185" t="str">
        <f>入學要求!V88</f>
        <v>NO</v>
      </c>
      <c r="H100" s="185">
        <f t="shared" si="80"/>
        <v>3.4999999999999999E-9</v>
      </c>
      <c r="I100" s="185">
        <v>1</v>
      </c>
      <c r="J100" s="185">
        <v>1.5</v>
      </c>
      <c r="K100" s="185">
        <v>1.25</v>
      </c>
      <c r="L100" s="185">
        <v>1</v>
      </c>
      <c r="M100" s="185">
        <v>1</v>
      </c>
      <c r="N100" s="185">
        <f>IF(N1="生物",1.5,IF(N1="化學",1.25,1))</f>
        <v>1</v>
      </c>
      <c r="O100" s="185">
        <f>IF(O1="生物",1.5,IF(O1="化學",1.25,1))</f>
        <v>1</v>
      </c>
      <c r="P100" s="185">
        <f>IF(P1="生物",1.5,IF(P1="化學",1.25,1))</f>
        <v>1</v>
      </c>
      <c r="Q100" s="185">
        <f>IF(Q1="生物",1.5,IF(Q1="化學",1.25,1))</f>
        <v>1</v>
      </c>
      <c r="R100" s="185">
        <v>1</v>
      </c>
      <c r="T100" s="185">
        <f t="shared" si="81"/>
        <v>1E-10</v>
      </c>
      <c r="U100" s="185">
        <f t="shared" si="82"/>
        <v>3E-10</v>
      </c>
      <c r="V100" s="185">
        <f t="shared" si="83"/>
        <v>3.75E-10</v>
      </c>
      <c r="W100" s="185">
        <f t="shared" si="84"/>
        <v>4.0000000000000001E-10</v>
      </c>
      <c r="X100" s="391">
        <f t="shared" si="85"/>
        <v>5.0000000000000003E-10</v>
      </c>
      <c r="Y100" s="185">
        <f t="shared" si="86"/>
        <v>6E-10</v>
      </c>
      <c r="Z100" s="185">
        <f t="shared" si="87"/>
        <v>6.9999999999999996E-10</v>
      </c>
      <c r="AA100" s="185">
        <f t="shared" si="88"/>
        <v>8.0000000000000003E-10</v>
      </c>
      <c r="AB100" s="185">
        <f t="shared" si="89"/>
        <v>8.9999999999999999E-10</v>
      </c>
      <c r="AC100" s="391">
        <f t="shared" si="74"/>
        <v>0</v>
      </c>
      <c r="AD100" s="185" t="b">
        <f t="shared" si="96"/>
        <v>0</v>
      </c>
      <c r="AE100" s="185" t="b">
        <f t="shared" si="97"/>
        <v>0</v>
      </c>
      <c r="AF100" s="185" t="b">
        <f t="shared" si="100"/>
        <v>0</v>
      </c>
      <c r="AG100" s="185" t="b">
        <f t="shared" si="101"/>
        <v>0</v>
      </c>
      <c r="AH100" s="185" t="b">
        <f t="shared" si="98"/>
        <v>1</v>
      </c>
      <c r="AI100" s="185" t="b">
        <f t="shared" si="102"/>
        <v>1</v>
      </c>
      <c r="AJ100" s="185" t="b">
        <f t="shared" si="103"/>
        <v>1</v>
      </c>
      <c r="AK100" s="185" t="b">
        <f t="shared" si="104"/>
        <v>1</v>
      </c>
      <c r="AL100" s="185" t="b">
        <f t="shared" si="105"/>
        <v>1</v>
      </c>
      <c r="AM100" s="185" t="b">
        <f t="shared" si="99"/>
        <v>0</v>
      </c>
    </row>
    <row r="101" spans="1:39" x14ac:dyDescent="0.3">
      <c r="A101" s="185" t="str">
        <f>'Reference Score Calculation'!A80</f>
        <v>JS2510</v>
      </c>
      <c r="B101" s="212" t="str">
        <f>'Reference Score Calculation'!D80</f>
        <v>理學士(榮譽)</v>
      </c>
      <c r="C101" s="316"/>
      <c r="D101" s="207" t="str">
        <f>'Reference Score Calculation'!E80</f>
        <v>4C2X</v>
      </c>
      <c r="E101" s="185" t="str">
        <f>入學要求!T89</f>
        <v>v</v>
      </c>
      <c r="F101" s="185" t="str">
        <f>入學要求!U89</f>
        <v>E</v>
      </c>
      <c r="G101" s="185" t="str">
        <f>入學要求!V89</f>
        <v>v</v>
      </c>
      <c r="H101" s="185">
        <f t="shared" si="80"/>
        <v>2.8499999999999999E-9</v>
      </c>
      <c r="I101" s="185">
        <v>1</v>
      </c>
      <c r="J101" s="185">
        <v>1</v>
      </c>
      <c r="K101" s="185">
        <v>1</v>
      </c>
      <c r="L101" s="185">
        <v>1</v>
      </c>
      <c r="M101" s="185">
        <v>1</v>
      </c>
      <c r="N101" s="185">
        <v>1</v>
      </c>
      <c r="O101" s="185">
        <v>1</v>
      </c>
      <c r="P101" s="185">
        <v>1</v>
      </c>
      <c r="Q101" s="185">
        <v>1</v>
      </c>
      <c r="R101" s="185">
        <v>1</v>
      </c>
      <c r="T101" s="185">
        <f t="shared" si="81"/>
        <v>1E-10</v>
      </c>
      <c r="U101" s="185">
        <f t="shared" si="82"/>
        <v>2.0000000000000001E-10</v>
      </c>
      <c r="V101" s="185">
        <f t="shared" si="83"/>
        <v>3E-10</v>
      </c>
      <c r="W101" s="185">
        <f t="shared" si="84"/>
        <v>4.0000000000000001E-10</v>
      </c>
      <c r="X101" s="391">
        <f t="shared" si="85"/>
        <v>5.0000000000000003E-10</v>
      </c>
      <c r="Y101" s="185">
        <f t="shared" si="86"/>
        <v>6E-10</v>
      </c>
      <c r="Z101" s="185">
        <f t="shared" si="87"/>
        <v>6.9999999999999996E-10</v>
      </c>
      <c r="AA101" s="185">
        <f t="shared" si="88"/>
        <v>8.0000000000000003E-10</v>
      </c>
      <c r="AB101" s="185">
        <f t="shared" si="89"/>
        <v>8.9999999999999999E-10</v>
      </c>
      <c r="AC101" s="391">
        <f t="shared" si="74"/>
        <v>9.5000000000000003E-10</v>
      </c>
      <c r="AD101" s="185" t="b">
        <f t="shared" si="96"/>
        <v>1</v>
      </c>
      <c r="AE101" s="185" t="b">
        <f t="shared" si="97"/>
        <v>1</v>
      </c>
      <c r="AF101" s="185" t="b">
        <f t="shared" si="100"/>
        <v>1</v>
      </c>
      <c r="AG101" s="185" t="b">
        <f t="shared" si="101"/>
        <v>1</v>
      </c>
      <c r="AH101" s="185" t="b">
        <f t="shared" si="98"/>
        <v>0</v>
      </c>
      <c r="AI101" s="185" t="b">
        <f t="shared" si="102"/>
        <v>0</v>
      </c>
      <c r="AJ101" s="185" t="b">
        <f t="shared" si="103"/>
        <v>0</v>
      </c>
      <c r="AK101" s="185" t="b">
        <f t="shared" si="104"/>
        <v>0</v>
      </c>
      <c r="AL101" s="185" t="b">
        <f t="shared" si="105"/>
        <v>1</v>
      </c>
      <c r="AM101" s="185" t="b">
        <f t="shared" si="99"/>
        <v>1</v>
      </c>
    </row>
    <row r="102" spans="1:39" x14ac:dyDescent="0.3">
      <c r="A102" s="185" t="str">
        <f>'Reference Score Calculation'!A81</f>
        <v>JS2610</v>
      </c>
      <c r="B102" s="212" t="str">
        <f>'Reference Score Calculation'!D81</f>
        <v>文學士(榮譽) / 社會科學學士(榮譽) (歐洲研究 [法文/德文] / 地理 / 全球及中國研究 / 政治及國際關係學 / 歷史 / 社會學)</v>
      </c>
      <c r="C102" s="316"/>
      <c r="D102" s="19" t="str">
        <f>'Reference Score Calculation'!E81</f>
        <v>4C2X</v>
      </c>
      <c r="E102" s="185" t="str">
        <f>入學要求!T90</f>
        <v>v</v>
      </c>
      <c r="F102" s="185" t="str">
        <f>入學要求!U90</f>
        <v>E</v>
      </c>
      <c r="G102" s="185" t="str">
        <f>入學要求!V90</f>
        <v>NO</v>
      </c>
      <c r="H102" s="185">
        <f t="shared" si="80"/>
        <v>3.05E-9</v>
      </c>
      <c r="I102" s="185">
        <v>1</v>
      </c>
      <c r="J102" s="185">
        <v>2</v>
      </c>
      <c r="K102" s="185">
        <v>1</v>
      </c>
      <c r="L102" s="185">
        <v>1</v>
      </c>
      <c r="M102" s="185">
        <v>1</v>
      </c>
      <c r="N102" s="185">
        <v>1</v>
      </c>
      <c r="O102" s="185">
        <v>1</v>
      </c>
      <c r="P102" s="185">
        <v>1</v>
      </c>
      <c r="Q102" s="185">
        <v>1</v>
      </c>
      <c r="R102" s="185">
        <v>1</v>
      </c>
      <c r="T102" s="185">
        <f t="shared" si="81"/>
        <v>1E-10</v>
      </c>
      <c r="U102" s="185">
        <f t="shared" si="82"/>
        <v>4.0000000000000001E-10</v>
      </c>
      <c r="V102" s="185">
        <f t="shared" si="83"/>
        <v>3E-10</v>
      </c>
      <c r="W102" s="185">
        <f t="shared" si="84"/>
        <v>4.0000000000000001E-10</v>
      </c>
      <c r="X102" s="391">
        <f t="shared" si="85"/>
        <v>5.0000000000000003E-10</v>
      </c>
      <c r="Y102" s="185">
        <f t="shared" si="86"/>
        <v>6E-10</v>
      </c>
      <c r="Z102" s="185">
        <f t="shared" si="87"/>
        <v>6.9999999999999996E-10</v>
      </c>
      <c r="AA102" s="185">
        <f t="shared" si="88"/>
        <v>8.0000000000000003E-10</v>
      </c>
      <c r="AB102" s="185">
        <f t="shared" si="89"/>
        <v>8.9999999999999999E-10</v>
      </c>
      <c r="AC102" s="391">
        <f t="shared" si="74"/>
        <v>9.5000000000000003E-10</v>
      </c>
      <c r="AD102" s="185" t="b">
        <f t="shared" si="96"/>
        <v>1</v>
      </c>
      <c r="AE102" s="185" t="b">
        <f t="shared" si="97"/>
        <v>1</v>
      </c>
      <c r="AF102" s="185" t="b">
        <f t="shared" si="100"/>
        <v>1</v>
      </c>
      <c r="AG102" s="185" t="b">
        <f t="shared" si="101"/>
        <v>1</v>
      </c>
      <c r="AH102" s="185" t="b">
        <f t="shared" si="98"/>
        <v>0</v>
      </c>
      <c r="AI102" s="185" t="b">
        <f t="shared" si="102"/>
        <v>0</v>
      </c>
      <c r="AJ102" s="185" t="b">
        <f t="shared" si="103"/>
        <v>0</v>
      </c>
      <c r="AK102" s="185" t="b">
        <f t="shared" si="104"/>
        <v>0</v>
      </c>
      <c r="AL102" s="185" t="b">
        <f t="shared" si="105"/>
        <v>1</v>
      </c>
      <c r="AM102" s="185" t="b">
        <f t="shared" si="99"/>
        <v>1</v>
      </c>
    </row>
    <row r="103" spans="1:39" x14ac:dyDescent="0.3">
      <c r="A103" s="185" t="str">
        <f>'Reference Score Calculation'!A82</f>
        <v>JS2620</v>
      </c>
      <c r="B103" s="212" t="str">
        <f>'Reference Score Calculation'!D82</f>
        <v>體育及康樂管理文學士(榮譽)</v>
      </c>
      <c r="C103" s="316"/>
      <c r="D103" s="207" t="str">
        <f>'Reference Score Calculation'!E82</f>
        <v>4C2X</v>
      </c>
      <c r="E103" s="185" t="str">
        <f>入學要求!T91</f>
        <v>v</v>
      </c>
      <c r="F103" s="185" t="str">
        <f>入學要求!U91</f>
        <v>E</v>
      </c>
      <c r="G103" s="185" t="str">
        <f>入學要求!V91</f>
        <v>v</v>
      </c>
      <c r="H103" s="185">
        <f t="shared" si="80"/>
        <v>2.8499999999999999E-9</v>
      </c>
      <c r="I103" s="185">
        <v>1</v>
      </c>
      <c r="J103" s="185">
        <v>1</v>
      </c>
      <c r="K103" s="185">
        <v>1</v>
      </c>
      <c r="L103" s="185">
        <v>1</v>
      </c>
      <c r="M103" s="185">
        <v>1</v>
      </c>
      <c r="N103" s="185">
        <v>1</v>
      </c>
      <c r="O103" s="185">
        <v>1</v>
      </c>
      <c r="P103" s="185">
        <v>1</v>
      </c>
      <c r="Q103" s="185">
        <v>1</v>
      </c>
      <c r="R103" s="185">
        <v>1</v>
      </c>
      <c r="T103" s="185">
        <f t="shared" si="81"/>
        <v>1E-10</v>
      </c>
      <c r="U103" s="185">
        <f t="shared" si="82"/>
        <v>2.0000000000000001E-10</v>
      </c>
      <c r="V103" s="185">
        <f t="shared" si="83"/>
        <v>3E-10</v>
      </c>
      <c r="W103" s="185">
        <f t="shared" si="84"/>
        <v>4.0000000000000001E-10</v>
      </c>
      <c r="X103" s="391">
        <f t="shared" si="85"/>
        <v>5.0000000000000003E-10</v>
      </c>
      <c r="Y103" s="185">
        <f t="shared" si="86"/>
        <v>6E-10</v>
      </c>
      <c r="Z103" s="185">
        <f t="shared" si="87"/>
        <v>6.9999999999999996E-10</v>
      </c>
      <c r="AA103" s="185">
        <f t="shared" si="88"/>
        <v>8.0000000000000003E-10</v>
      </c>
      <c r="AB103" s="185">
        <f t="shared" si="89"/>
        <v>8.9999999999999999E-10</v>
      </c>
      <c r="AC103" s="391">
        <f t="shared" si="74"/>
        <v>9.5000000000000003E-10</v>
      </c>
      <c r="AD103" s="185" t="b">
        <f t="shared" si="96"/>
        <v>1</v>
      </c>
      <c r="AE103" s="185" t="b">
        <f t="shared" si="97"/>
        <v>1</v>
      </c>
      <c r="AF103" s="185" t="b">
        <f t="shared" si="100"/>
        <v>1</v>
      </c>
      <c r="AG103" s="185" t="b">
        <f t="shared" si="101"/>
        <v>1</v>
      </c>
      <c r="AH103" s="185" t="b">
        <f t="shared" si="98"/>
        <v>0</v>
      </c>
      <c r="AI103" s="185" t="b">
        <f t="shared" si="102"/>
        <v>0</v>
      </c>
      <c r="AJ103" s="185" t="b">
        <f t="shared" si="103"/>
        <v>0</v>
      </c>
      <c r="AK103" s="185" t="b">
        <f t="shared" si="104"/>
        <v>0</v>
      </c>
      <c r="AL103" s="185" t="b">
        <f t="shared" si="105"/>
        <v>1</v>
      </c>
      <c r="AM103" s="185" t="b">
        <f t="shared" si="99"/>
        <v>1</v>
      </c>
    </row>
    <row r="104" spans="1:39" x14ac:dyDescent="0.3">
      <c r="A104" s="185" t="str">
        <f>'Reference Score Calculation'!A83</f>
        <v>JS2660</v>
      </c>
      <c r="B104" s="212" t="str">
        <f>'Reference Score Calculation'!D83</f>
        <v>社會工作學士(榮譽)</v>
      </c>
      <c r="C104" s="316"/>
      <c r="D104" s="19" t="str">
        <f>'Reference Score Calculation'!E83</f>
        <v>4C2X</v>
      </c>
      <c r="E104" s="185" t="str">
        <f>入學要求!T92</f>
        <v>v</v>
      </c>
      <c r="F104" s="185" t="str">
        <f>入學要求!U92</f>
        <v>E</v>
      </c>
      <c r="G104" s="185" t="str">
        <f>入學要求!V92</f>
        <v>v</v>
      </c>
      <c r="H104" s="185">
        <f t="shared" si="80"/>
        <v>3.2500000000000002E-9</v>
      </c>
      <c r="I104" s="185">
        <v>1</v>
      </c>
      <c r="J104" s="185">
        <v>2</v>
      </c>
      <c r="K104" s="185">
        <v>1</v>
      </c>
      <c r="L104" s="185">
        <v>1.5</v>
      </c>
      <c r="M104" s="185">
        <v>1</v>
      </c>
      <c r="N104" s="185">
        <v>1</v>
      </c>
      <c r="O104" s="185">
        <v>1</v>
      </c>
      <c r="P104" s="185">
        <v>1</v>
      </c>
      <c r="Q104" s="185">
        <v>1</v>
      </c>
      <c r="R104" s="185">
        <v>1</v>
      </c>
      <c r="T104" s="185">
        <f t="shared" si="81"/>
        <v>1E-10</v>
      </c>
      <c r="U104" s="185">
        <f t="shared" si="82"/>
        <v>4.0000000000000001E-10</v>
      </c>
      <c r="V104" s="185">
        <f t="shared" si="83"/>
        <v>3E-10</v>
      </c>
      <c r="W104" s="185">
        <f t="shared" si="84"/>
        <v>6E-10</v>
      </c>
      <c r="X104" s="391">
        <f t="shared" si="85"/>
        <v>5.0000000000000003E-10</v>
      </c>
      <c r="Y104" s="185">
        <f t="shared" si="86"/>
        <v>6E-10</v>
      </c>
      <c r="Z104" s="185">
        <f t="shared" si="87"/>
        <v>6.9999999999999996E-10</v>
      </c>
      <c r="AA104" s="185">
        <f t="shared" si="88"/>
        <v>8.0000000000000003E-10</v>
      </c>
      <c r="AB104" s="185">
        <f t="shared" si="89"/>
        <v>8.9999999999999999E-10</v>
      </c>
      <c r="AC104" s="391">
        <f t="shared" si="74"/>
        <v>9.5000000000000003E-10</v>
      </c>
      <c r="AD104" s="185" t="b">
        <f t="shared" si="96"/>
        <v>1</v>
      </c>
      <c r="AE104" s="185" t="b">
        <f t="shared" si="97"/>
        <v>1</v>
      </c>
      <c r="AF104" s="185" t="b">
        <f t="shared" si="100"/>
        <v>1</v>
      </c>
      <c r="AG104" s="185" t="b">
        <f t="shared" si="101"/>
        <v>1</v>
      </c>
      <c r="AH104" s="185" t="b">
        <f t="shared" si="98"/>
        <v>0</v>
      </c>
      <c r="AI104" s="185" t="b">
        <f t="shared" si="102"/>
        <v>0</v>
      </c>
      <c r="AJ104" s="185" t="b">
        <f t="shared" si="103"/>
        <v>0</v>
      </c>
      <c r="AK104" s="185" t="b">
        <f t="shared" si="104"/>
        <v>0</v>
      </c>
      <c r="AL104" s="185" t="b">
        <f t="shared" si="105"/>
        <v>1</v>
      </c>
      <c r="AM104" s="185" t="b">
        <f t="shared" si="99"/>
        <v>1</v>
      </c>
    </row>
    <row r="105" spans="1:39" x14ac:dyDescent="0.3">
      <c r="A105" s="185" t="str">
        <f>'Reference Score Calculation'!A84</f>
        <v>JS2810</v>
      </c>
      <c r="B105" s="212" t="str">
        <f>'Reference Score Calculation'!D84</f>
        <v>視覺藝術文學士(榮譽)</v>
      </c>
      <c r="C105" s="316"/>
      <c r="D105" s="207" t="str">
        <f>'Reference Score Calculation'!E84</f>
        <v>Best 5</v>
      </c>
      <c r="E105" s="185" t="str">
        <f>入學要求!T93</f>
        <v>v</v>
      </c>
      <c r="F105" s="185" t="str">
        <f>入學要求!U93</f>
        <v>E</v>
      </c>
      <c r="G105" s="185" t="str">
        <f>入學要求!V93</f>
        <v>v</v>
      </c>
      <c r="H105" s="185">
        <f t="shared" si="80"/>
        <v>3.5500000000000004E-9</v>
      </c>
      <c r="I105" s="185">
        <v>1</v>
      </c>
      <c r="J105" s="185">
        <v>1</v>
      </c>
      <c r="K105" s="185">
        <v>1</v>
      </c>
      <c r="L105" s="185">
        <v>1</v>
      </c>
      <c r="M105" s="185">
        <v>1</v>
      </c>
      <c r="N105" s="185">
        <v>1</v>
      </c>
      <c r="O105" s="185">
        <v>1</v>
      </c>
      <c r="P105" s="185">
        <v>1</v>
      </c>
      <c r="Q105" s="185">
        <v>1</v>
      </c>
      <c r="R105" s="185">
        <v>1</v>
      </c>
      <c r="T105" s="185">
        <f t="shared" si="81"/>
        <v>1E-10</v>
      </c>
      <c r="U105" s="185">
        <f t="shared" si="82"/>
        <v>2.0000000000000001E-10</v>
      </c>
      <c r="V105" s="185">
        <f t="shared" si="83"/>
        <v>3E-10</v>
      </c>
      <c r="W105" s="185">
        <f t="shared" si="84"/>
        <v>4.0000000000000001E-10</v>
      </c>
      <c r="X105" s="391">
        <f t="shared" si="85"/>
        <v>5.0000000000000003E-10</v>
      </c>
      <c r="Y105" s="185">
        <f t="shared" si="86"/>
        <v>6E-10</v>
      </c>
      <c r="Z105" s="185">
        <f t="shared" si="87"/>
        <v>6.9999999999999996E-10</v>
      </c>
      <c r="AA105" s="185">
        <f t="shared" si="88"/>
        <v>8.0000000000000003E-10</v>
      </c>
      <c r="AB105" s="185">
        <f t="shared" si="89"/>
        <v>8.9999999999999999E-10</v>
      </c>
      <c r="AC105" s="391">
        <f t="shared" si="74"/>
        <v>9.5000000000000003E-10</v>
      </c>
      <c r="AD105" s="185" t="b">
        <f>IF(T105&gt;LARGE(($T105,$V105:$AC105),5),TRUE)</f>
        <v>0</v>
      </c>
      <c r="AE105" s="185" t="b">
        <f>TRUE</f>
        <v>1</v>
      </c>
      <c r="AF105" s="185" t="b">
        <f>IF(V105&gt;LARGE(($T105,$V105:$AC105),5),TRUE)</f>
        <v>0</v>
      </c>
      <c r="AG105" s="185" t="b">
        <f>IF(W105&gt;LARGE(($T105,$V105:$AC105),5),TRUE)</f>
        <v>0</v>
      </c>
      <c r="AH105" s="185" t="b">
        <f>IF(X105&gt;LARGE(($T105,$V105:$AC105),5),TRUE)</f>
        <v>0</v>
      </c>
      <c r="AI105" s="185" t="b">
        <f>IF(Y105&gt;LARGE(($T105,$V105:$AC105),5),TRUE)</f>
        <v>0</v>
      </c>
      <c r="AJ105" s="185" t="b">
        <f>IF(Z105&gt;LARGE(($T105,$V105:$AC105),5),TRUE)</f>
        <v>1</v>
      </c>
      <c r="AK105" s="185" t="b">
        <f>IF(AA105&gt;LARGE(($T105,$V105:$AC105),5),TRUE)</f>
        <v>1</v>
      </c>
      <c r="AL105" s="185" t="b">
        <f>IF(AB105&gt;LARGE(($T105,$V105:$AC105),5),TRUE)</f>
        <v>1</v>
      </c>
      <c r="AM105" s="185" t="b">
        <f>IF(AC105&gt;LARGE(($T105,$V105:$AC105),5),TRUE)</f>
        <v>1</v>
      </c>
    </row>
    <row r="106" spans="1:39" x14ac:dyDescent="0.3">
      <c r="A106" s="185" t="str">
        <f>'Reference Score Calculation'!A85</f>
        <v>JS2910</v>
      </c>
      <c r="B106" s="212" t="str">
        <f>'Reference Score Calculation'!D85</f>
        <v>商業計算及數據分析理學士(榮譽)</v>
      </c>
      <c r="C106" s="316"/>
      <c r="D106" s="207" t="str">
        <f>'Reference Score Calculation'!E85</f>
        <v>Best 6</v>
      </c>
      <c r="E106" s="185" t="str">
        <f>入學要求!T94</f>
        <v>v</v>
      </c>
      <c r="F106" s="185" t="str">
        <f>入學要求!U94</f>
        <v>NO</v>
      </c>
      <c r="G106" s="185" t="str">
        <f>入學要求!V94</f>
        <v>v</v>
      </c>
      <c r="H106" s="185">
        <f t="shared" si="80"/>
        <v>3.9000000000000002E-9</v>
      </c>
      <c r="I106" s="185">
        <v>1</v>
      </c>
      <c r="J106" s="185">
        <v>1</v>
      </c>
      <c r="K106" s="185">
        <v>1</v>
      </c>
      <c r="L106" s="185">
        <v>1</v>
      </c>
      <c r="M106" s="185">
        <v>1</v>
      </c>
      <c r="N106" s="185">
        <v>1</v>
      </c>
      <c r="O106" s="185">
        <v>1</v>
      </c>
      <c r="P106" s="185">
        <v>1</v>
      </c>
      <c r="Q106" s="185">
        <v>1</v>
      </c>
      <c r="R106" s="185">
        <v>1</v>
      </c>
      <c r="T106" s="185">
        <f t="shared" si="81"/>
        <v>1E-10</v>
      </c>
      <c r="U106" s="185">
        <f t="shared" si="82"/>
        <v>2.0000000000000001E-10</v>
      </c>
      <c r="V106" s="185">
        <f t="shared" si="83"/>
        <v>3E-10</v>
      </c>
      <c r="W106" s="185">
        <f t="shared" si="84"/>
        <v>4.0000000000000001E-10</v>
      </c>
      <c r="X106" s="391">
        <f t="shared" si="85"/>
        <v>5.0000000000000003E-10</v>
      </c>
      <c r="Y106" s="185">
        <f t="shared" si="86"/>
        <v>6E-10</v>
      </c>
      <c r="Z106" s="185">
        <f t="shared" si="87"/>
        <v>6.9999999999999996E-10</v>
      </c>
      <c r="AA106" s="185">
        <f t="shared" si="88"/>
        <v>8.0000000000000003E-10</v>
      </c>
      <c r="AB106" s="185">
        <f t="shared" si="89"/>
        <v>8.9999999999999999E-10</v>
      </c>
      <c r="AC106" s="391">
        <f t="shared" si="74"/>
        <v>0</v>
      </c>
      <c r="AD106" s="185" t="b">
        <f t="shared" si="96"/>
        <v>0</v>
      </c>
      <c r="AE106" s="185" t="b">
        <f t="shared" si="97"/>
        <v>0</v>
      </c>
      <c r="AF106" s="185" t="b">
        <f t="shared" si="100"/>
        <v>0</v>
      </c>
      <c r="AG106" s="185" t="b">
        <f t="shared" si="101"/>
        <v>1</v>
      </c>
      <c r="AH106" s="185" t="b">
        <f t="shared" si="98"/>
        <v>1</v>
      </c>
      <c r="AI106" s="185" t="b">
        <f t="shared" si="102"/>
        <v>1</v>
      </c>
      <c r="AJ106" s="185" t="b">
        <f t="shared" si="103"/>
        <v>1</v>
      </c>
      <c r="AK106" s="185" t="b">
        <f t="shared" si="104"/>
        <v>1</v>
      </c>
      <c r="AL106" s="185" t="b">
        <f t="shared" si="105"/>
        <v>1</v>
      </c>
      <c r="AM106" s="185" t="b">
        <f t="shared" si="99"/>
        <v>0</v>
      </c>
    </row>
    <row r="107" spans="1:39" x14ac:dyDescent="0.3">
      <c r="A107" s="185" t="str">
        <f>'Reference Score Calculation'!A86</f>
        <v>JS2920</v>
      </c>
      <c r="B107" s="212" t="str">
        <f>'Reference Score Calculation'!D86</f>
        <v>藝術及科技文理學士(榮譽)</v>
      </c>
      <c r="C107" s="316"/>
      <c r="D107" s="82" t="str">
        <f>'Reference Score Calculation'!AD86</f>
        <v>4C2X</v>
      </c>
      <c r="E107" s="185" t="str">
        <f>入學要求!T95</f>
        <v>v</v>
      </c>
      <c r="F107" s="185" t="str">
        <f>入學要求!U95</f>
        <v>E</v>
      </c>
      <c r="G107" s="185" t="str">
        <f>入學要求!V95</f>
        <v>v</v>
      </c>
      <c r="H107" s="185">
        <f t="shared" si="80"/>
        <v>2.9100000000000001E-9</v>
      </c>
      <c r="I107" s="185">
        <v>1</v>
      </c>
      <c r="J107" s="185">
        <v>1</v>
      </c>
      <c r="K107" s="185">
        <v>1.2</v>
      </c>
      <c r="L107" s="185">
        <v>1</v>
      </c>
      <c r="M107" s="185">
        <v>1</v>
      </c>
      <c r="N107" s="185">
        <v>1</v>
      </c>
      <c r="O107" s="185">
        <v>1</v>
      </c>
      <c r="P107" s="185">
        <v>1</v>
      </c>
      <c r="Q107" s="185">
        <v>1</v>
      </c>
      <c r="R107" s="185">
        <v>1</v>
      </c>
      <c r="T107" s="185">
        <f t="shared" si="81"/>
        <v>1E-10</v>
      </c>
      <c r="U107" s="185">
        <f t="shared" si="82"/>
        <v>2.0000000000000001E-10</v>
      </c>
      <c r="V107" s="185">
        <f t="shared" si="83"/>
        <v>3.6E-10</v>
      </c>
      <c r="W107" s="185">
        <f t="shared" si="84"/>
        <v>4.0000000000000001E-10</v>
      </c>
      <c r="X107" s="391">
        <f t="shared" si="85"/>
        <v>5.0000000000000003E-10</v>
      </c>
      <c r="Y107" s="185">
        <f t="shared" si="86"/>
        <v>6E-10</v>
      </c>
      <c r="Z107" s="185">
        <f t="shared" si="87"/>
        <v>6.9999999999999996E-10</v>
      </c>
      <c r="AA107" s="185">
        <f t="shared" si="88"/>
        <v>8.0000000000000003E-10</v>
      </c>
      <c r="AB107" s="185">
        <f t="shared" si="89"/>
        <v>8.9999999999999999E-10</v>
      </c>
      <c r="AC107" s="391">
        <f t="shared" si="74"/>
        <v>9.5000000000000003E-10</v>
      </c>
      <c r="AD107" s="185" t="b">
        <f t="shared" si="96"/>
        <v>1</v>
      </c>
      <c r="AE107" s="185" t="b">
        <f t="shared" si="97"/>
        <v>1</v>
      </c>
      <c r="AF107" s="185" t="b">
        <f t="shared" si="100"/>
        <v>1</v>
      </c>
      <c r="AG107" s="185" t="b">
        <f t="shared" si="101"/>
        <v>1</v>
      </c>
      <c r="AH107" s="185" t="b">
        <f t="shared" si="98"/>
        <v>0</v>
      </c>
      <c r="AI107" s="185" t="b">
        <f t="shared" si="102"/>
        <v>0</v>
      </c>
      <c r="AJ107" s="185" t="b">
        <f t="shared" si="103"/>
        <v>0</v>
      </c>
      <c r="AK107" s="185" t="b">
        <f t="shared" si="104"/>
        <v>0</v>
      </c>
      <c r="AL107" s="185" t="b">
        <f t="shared" si="105"/>
        <v>1</v>
      </c>
      <c r="AM107" s="185" t="b">
        <f t="shared" si="99"/>
        <v>1</v>
      </c>
    </row>
    <row r="108" spans="1:39" x14ac:dyDescent="0.3">
      <c r="A108" s="185" t="str">
        <f>'Reference Score Calculation'!A87</f>
        <v>JS2930</v>
      </c>
      <c r="B108" s="212" t="str">
        <f>'Reference Score Calculation'!D87</f>
        <v>工商管理文學士(榮譽)(全球娛樂)</v>
      </c>
      <c r="C108" s="316"/>
      <c r="D108" s="115" t="str">
        <f>'Reference Score Calculation'!AD87</f>
        <v>Best 5</v>
      </c>
      <c r="E108" s="185" t="str">
        <f>入學要求!T96</f>
        <v>v</v>
      </c>
      <c r="F108" s="185" t="str">
        <f>入學要求!U96</f>
        <v>E</v>
      </c>
      <c r="G108" s="185" t="str">
        <f>入學要求!V96</f>
        <v>v</v>
      </c>
      <c r="H108" s="185">
        <f t="shared" si="80"/>
        <v>3.9500000000000006E-9</v>
      </c>
      <c r="I108" s="185">
        <v>1</v>
      </c>
      <c r="J108" s="185">
        <v>1</v>
      </c>
      <c r="K108" s="185">
        <v>1</v>
      </c>
      <c r="L108" s="185">
        <v>1</v>
      </c>
      <c r="M108" s="185">
        <v>1</v>
      </c>
      <c r="N108" s="185">
        <v>1</v>
      </c>
      <c r="O108" s="185">
        <v>1</v>
      </c>
      <c r="P108" s="185">
        <v>1</v>
      </c>
      <c r="Q108" s="185">
        <v>1</v>
      </c>
      <c r="R108" s="185">
        <v>1</v>
      </c>
      <c r="T108" s="185">
        <f t="shared" si="81"/>
        <v>1E-10</v>
      </c>
      <c r="U108" s="185">
        <f t="shared" si="82"/>
        <v>2.0000000000000001E-10</v>
      </c>
      <c r="V108" s="185">
        <f t="shared" si="83"/>
        <v>3E-10</v>
      </c>
      <c r="W108" s="185">
        <f t="shared" si="84"/>
        <v>4.0000000000000001E-10</v>
      </c>
      <c r="X108" s="391">
        <f t="shared" si="85"/>
        <v>5.0000000000000003E-10</v>
      </c>
      <c r="Y108" s="185">
        <f t="shared" si="86"/>
        <v>6E-10</v>
      </c>
      <c r="Z108" s="185">
        <f t="shared" si="87"/>
        <v>6.9999999999999996E-10</v>
      </c>
      <c r="AA108" s="185">
        <f t="shared" si="88"/>
        <v>8.0000000000000003E-10</v>
      </c>
      <c r="AB108" s="185">
        <f t="shared" si="89"/>
        <v>8.9999999999999999E-10</v>
      </c>
      <c r="AC108" s="391">
        <f t="shared" si="74"/>
        <v>9.5000000000000003E-10</v>
      </c>
      <c r="AD108" s="185" t="b">
        <f t="shared" si="96"/>
        <v>0</v>
      </c>
      <c r="AE108" s="185" t="b">
        <f t="shared" si="97"/>
        <v>0</v>
      </c>
      <c r="AF108" s="185" t="b">
        <f t="shared" si="100"/>
        <v>0</v>
      </c>
      <c r="AG108" s="185" t="b">
        <f t="shared" si="101"/>
        <v>0</v>
      </c>
      <c r="AH108" s="185" t="b">
        <f t="shared" si="98"/>
        <v>0</v>
      </c>
      <c r="AI108" s="185" t="b">
        <f t="shared" si="102"/>
        <v>1</v>
      </c>
      <c r="AJ108" s="185" t="b">
        <f t="shared" si="103"/>
        <v>1</v>
      </c>
      <c r="AK108" s="185" t="b">
        <f t="shared" si="104"/>
        <v>1</v>
      </c>
      <c r="AL108" s="185" t="b">
        <f t="shared" si="105"/>
        <v>1</v>
      </c>
      <c r="AM108" s="185" t="b">
        <f t="shared" si="99"/>
        <v>1</v>
      </c>
    </row>
    <row r="109" spans="1:39" x14ac:dyDescent="0.3">
      <c r="A109" s="185" t="str">
        <f>'Reference Score Calculation'!A88</f>
        <v>JS2940</v>
      </c>
      <c r="B109" s="212" t="str">
        <f>'Reference Score Calculation'!D88</f>
        <v>創新醫療及社會健康社會科學學士(榮譽) / 理學士(榮譽)</v>
      </c>
      <c r="C109" s="316"/>
      <c r="D109" s="115" t="str">
        <f>'Reference Score Calculation'!AD88</f>
        <v>Best 5</v>
      </c>
      <c r="E109" s="185" t="str">
        <f>入學要求!T97</f>
        <v>v</v>
      </c>
      <c r="F109" s="185" t="str">
        <f>入學要求!U97</f>
        <v>E</v>
      </c>
      <c r="G109" s="185" t="str">
        <f>入學要求!V97</f>
        <v>v</v>
      </c>
      <c r="H109" s="185">
        <f t="shared" si="80"/>
        <v>3.5500000000000004E-9</v>
      </c>
      <c r="I109" s="185">
        <v>1</v>
      </c>
      <c r="J109" s="185">
        <v>1</v>
      </c>
      <c r="K109" s="185">
        <v>1</v>
      </c>
      <c r="L109" s="185">
        <v>1</v>
      </c>
      <c r="M109" s="185">
        <v>1</v>
      </c>
      <c r="N109" s="185">
        <v>1</v>
      </c>
      <c r="O109" s="185">
        <v>1</v>
      </c>
      <c r="P109" s="185">
        <v>1</v>
      </c>
      <c r="Q109" s="185">
        <v>1</v>
      </c>
      <c r="R109" s="185">
        <v>1</v>
      </c>
      <c r="T109" s="185">
        <f t="shared" si="81"/>
        <v>1E-10</v>
      </c>
      <c r="U109" s="185">
        <f t="shared" si="82"/>
        <v>2.0000000000000001E-10</v>
      </c>
      <c r="V109" s="185">
        <f t="shared" si="83"/>
        <v>3E-10</v>
      </c>
      <c r="W109" s="185">
        <f t="shared" si="84"/>
        <v>4.0000000000000001E-10</v>
      </c>
      <c r="X109" s="391">
        <f t="shared" si="85"/>
        <v>5.0000000000000003E-10</v>
      </c>
      <c r="Y109" s="185">
        <f t="shared" si="86"/>
        <v>6E-10</v>
      </c>
      <c r="Z109" s="185">
        <f t="shared" si="87"/>
        <v>6.9999999999999996E-10</v>
      </c>
      <c r="AA109" s="185">
        <f t="shared" si="88"/>
        <v>8.0000000000000003E-10</v>
      </c>
      <c r="AB109" s="185">
        <f t="shared" si="89"/>
        <v>8.9999999999999999E-10</v>
      </c>
      <c r="AC109" s="391">
        <f t="shared" si="74"/>
        <v>9.5000000000000003E-10</v>
      </c>
      <c r="AD109" s="185" t="b">
        <f>IF(T109&gt;LARGE(($T109,$V109:$AC109),5),TRUE)</f>
        <v>0</v>
      </c>
      <c r="AE109" s="185" t="b">
        <f>TRUE</f>
        <v>1</v>
      </c>
      <c r="AF109" s="185" t="b">
        <f>IF(V109&gt;LARGE(($T109,$V109:$AC109),5),TRUE)</f>
        <v>0</v>
      </c>
      <c r="AG109" s="185" t="b">
        <f>IF(W109&gt;LARGE(($T109,$V109:$AC109),5),TRUE)</f>
        <v>0</v>
      </c>
      <c r="AH109" s="185" t="b">
        <f>IF(X109&gt;LARGE(($T109,$V109:$AC109),5),TRUE)</f>
        <v>0</v>
      </c>
      <c r="AI109" s="185" t="b">
        <f>IF(Y109&gt;LARGE(($T109,$V109:$AC109),5),TRUE)</f>
        <v>0</v>
      </c>
      <c r="AJ109" s="185" t="b">
        <f>IF(Z109&gt;LARGE(($T109,$V109:$AC109),5),TRUE)</f>
        <v>1</v>
      </c>
      <c r="AK109" s="185" t="b">
        <f>IF(AA109&gt;LARGE(($T109,$V109:$AC109),5),TRUE)</f>
        <v>1</v>
      </c>
      <c r="AL109" s="185" t="b">
        <f>IF(AB109&gt;LARGE(($T109,$V109:$AC109),5),TRUE)</f>
        <v>1</v>
      </c>
      <c r="AM109" s="185" t="b">
        <f>IF(AC109&gt;LARGE(($T109,$V109:$AC109),5),TRUE)</f>
        <v>1</v>
      </c>
    </row>
    <row r="110" spans="1:39" x14ac:dyDescent="0.3">
      <c r="A110" s="185" t="str">
        <f>'Reference Score Calculation'!A89</f>
        <v>JS2950</v>
      </c>
      <c r="B110" s="212" t="str">
        <f>'Reference Score Calculation'!D89</f>
        <v>文理及科技學士(榮譽)</v>
      </c>
      <c r="C110" s="316"/>
      <c r="D110" s="115" t="str">
        <f>'Reference Score Calculation'!AD89</f>
        <v>Best 5</v>
      </c>
      <c r="E110" s="185" t="str">
        <f>入學要求!T98</f>
        <v>v</v>
      </c>
      <c r="F110" s="185" t="str">
        <f>入學要求!U98</f>
        <v>E</v>
      </c>
      <c r="G110" s="185" t="str">
        <f>入學要求!V98</f>
        <v>v</v>
      </c>
      <c r="H110" s="185">
        <f t="shared" si="80"/>
        <v>3.9500000000000006E-9</v>
      </c>
      <c r="I110" s="185">
        <v>1</v>
      </c>
      <c r="J110" s="185">
        <v>1</v>
      </c>
      <c r="K110" s="185">
        <v>1</v>
      </c>
      <c r="L110" s="185">
        <v>1</v>
      </c>
      <c r="M110" s="185">
        <v>1</v>
      </c>
      <c r="N110" s="185">
        <v>1</v>
      </c>
      <c r="O110" s="185">
        <v>1</v>
      </c>
      <c r="P110" s="185">
        <v>1</v>
      </c>
      <c r="Q110" s="185">
        <v>1</v>
      </c>
      <c r="R110" s="185">
        <v>1</v>
      </c>
      <c r="T110" s="185">
        <f t="shared" si="81"/>
        <v>1E-10</v>
      </c>
      <c r="U110" s="185">
        <f t="shared" si="82"/>
        <v>2.0000000000000001E-10</v>
      </c>
      <c r="V110" s="185">
        <f t="shared" si="83"/>
        <v>3E-10</v>
      </c>
      <c r="W110" s="185">
        <f t="shared" si="84"/>
        <v>4.0000000000000001E-10</v>
      </c>
      <c r="X110" s="391">
        <f t="shared" si="85"/>
        <v>5.0000000000000003E-10</v>
      </c>
      <c r="Y110" s="185">
        <f t="shared" si="86"/>
        <v>6E-10</v>
      </c>
      <c r="Z110" s="185">
        <f t="shared" si="87"/>
        <v>6.9999999999999996E-10</v>
      </c>
      <c r="AA110" s="185">
        <f t="shared" si="88"/>
        <v>8.0000000000000003E-10</v>
      </c>
      <c r="AB110" s="185">
        <f t="shared" si="89"/>
        <v>8.9999999999999999E-10</v>
      </c>
      <c r="AC110" s="391">
        <f>IF(F110="E",R$4*R110,0)</f>
        <v>9.5000000000000003E-10</v>
      </c>
      <c r="AD110" s="185" t="b">
        <f>IF(OR($D110="4C2X",$D110="4C1X"),TRUE,IF($D110="Best 5",IF(T110&gt;LARGE($T110:$AC110,6),TRUE),IF($D110="Best 6",IF(T110&gt;LARGE($T110:$AC110,7),TRUE))))</f>
        <v>0</v>
      </c>
      <c r="AE110" s="185" t="b">
        <f t="shared" si="97"/>
        <v>0</v>
      </c>
      <c r="AF110" s="185" t="b">
        <f t="shared" si="100"/>
        <v>0</v>
      </c>
      <c r="AG110" s="185" t="b">
        <f t="shared" si="101"/>
        <v>0</v>
      </c>
      <c r="AH110" s="185" t="b">
        <f t="shared" si="98"/>
        <v>0</v>
      </c>
      <c r="AI110" s="185" t="b">
        <f t="shared" si="102"/>
        <v>1</v>
      </c>
      <c r="AJ110" s="185" t="b">
        <f t="shared" si="103"/>
        <v>1</v>
      </c>
      <c r="AK110" s="185" t="b">
        <f t="shared" si="104"/>
        <v>1</v>
      </c>
      <c r="AL110" s="185" t="b">
        <f t="shared" si="105"/>
        <v>1</v>
      </c>
      <c r="AM110" s="185" t="b">
        <f t="shared" si="99"/>
        <v>1</v>
      </c>
    </row>
    <row r="111" spans="1:39" x14ac:dyDescent="0.3">
      <c r="A111" s="229"/>
      <c r="B111" s="229"/>
      <c r="C111" s="229"/>
      <c r="D111" s="230"/>
      <c r="E111" s="229"/>
      <c r="F111" s="229"/>
      <c r="G111" s="229"/>
      <c r="H111" s="229"/>
      <c r="I111" s="229"/>
      <c r="J111" s="229"/>
      <c r="K111" s="229"/>
      <c r="L111" s="229"/>
      <c r="M111" s="229"/>
      <c r="N111" s="229"/>
      <c r="O111" s="229"/>
      <c r="P111" s="229"/>
      <c r="Q111" s="229"/>
      <c r="R111" s="229"/>
      <c r="S111" s="229"/>
    </row>
    <row r="112" spans="1:39" s="227" customFormat="1" x14ac:dyDescent="0.3">
      <c r="A112" s="415" t="s">
        <v>2246</v>
      </c>
      <c r="D112" s="228"/>
      <c r="E112" s="19" t="s">
        <v>2233</v>
      </c>
      <c r="F112" s="19" t="s">
        <v>2234</v>
      </c>
      <c r="G112" s="19" t="s">
        <v>2235</v>
      </c>
      <c r="H112" s="213" t="s">
        <v>2301</v>
      </c>
      <c r="I112" s="213" t="s">
        <v>2011</v>
      </c>
      <c r="J112" s="213" t="s">
        <v>2012</v>
      </c>
      <c r="K112" s="213" t="s">
        <v>2013</v>
      </c>
      <c r="L112" s="213" t="s">
        <v>2014</v>
      </c>
      <c r="M112" s="213" t="s">
        <v>2015</v>
      </c>
      <c r="N112" s="213" t="s">
        <v>2016</v>
      </c>
      <c r="O112" s="213" t="s">
        <v>2017</v>
      </c>
      <c r="P112" s="213" t="s">
        <v>2018</v>
      </c>
      <c r="Q112" s="213" t="s">
        <v>2019</v>
      </c>
      <c r="R112" s="213" t="s">
        <v>2958</v>
      </c>
      <c r="S112" s="226"/>
      <c r="T112" s="213" t="str">
        <f t="shared" ref="T112:AC112" si="119">I1</f>
        <v>中國語文</v>
      </c>
      <c r="U112" s="399" t="str">
        <f t="shared" si="119"/>
        <v>英國語文</v>
      </c>
      <c r="V112" s="399" t="str">
        <f t="shared" si="119"/>
        <v>數學</v>
      </c>
      <c r="W112" s="399" t="str">
        <f t="shared" si="119"/>
        <v>通識教育</v>
      </c>
      <c r="X112" s="399" t="str">
        <f t="shared" si="119"/>
        <v>數學延伸</v>
      </c>
      <c r="Y112" s="399" t="str">
        <f t="shared" si="119"/>
        <v>請選擇第一選修科</v>
      </c>
      <c r="Z112" s="399" t="str">
        <f t="shared" si="119"/>
        <v>請選擇第二選修科</v>
      </c>
      <c r="AA112" s="399" t="str">
        <f t="shared" si="119"/>
        <v>請選擇第三選修科</v>
      </c>
      <c r="AB112" s="399" t="str">
        <f t="shared" si="119"/>
        <v>請選擇第四選修科</v>
      </c>
      <c r="AC112" s="399" t="str">
        <f t="shared" si="119"/>
        <v>請選擇語言科目</v>
      </c>
      <c r="AD112" s="213" t="s">
        <v>2881</v>
      </c>
      <c r="AE112" s="213" t="s">
        <v>2882</v>
      </c>
      <c r="AF112" s="213" t="s">
        <v>2883</v>
      </c>
      <c r="AG112" s="213" t="s">
        <v>2884</v>
      </c>
      <c r="AH112" s="213" t="s">
        <v>2885</v>
      </c>
      <c r="AI112" s="213" t="s">
        <v>2886</v>
      </c>
      <c r="AJ112" s="213" t="s">
        <v>2887</v>
      </c>
      <c r="AK112" s="213" t="s">
        <v>2888</v>
      </c>
      <c r="AL112" s="213" t="s">
        <v>2889</v>
      </c>
      <c r="AM112" s="213" t="s">
        <v>2890</v>
      </c>
    </row>
    <row r="113" spans="1:39" x14ac:dyDescent="0.3">
      <c r="A113" s="185" t="str">
        <f>'Reference Score Calculation'!A92</f>
        <v>JS3010</v>
      </c>
      <c r="B113" s="280" t="str">
        <f>'Reference Score Calculation'!D92</f>
        <v>生物科技、食物安全及化學科技(榮譽)理學士組合課程</v>
      </c>
      <c r="C113" s="236" t="str">
        <f>'Reference Score Calculation'!N92</f>
        <v>JS3349</v>
      </c>
      <c r="D113" s="190" t="str">
        <f>'Reference Score Calculation'!P92</f>
        <v>Best 5</v>
      </c>
      <c r="E113" s="185" t="str">
        <f>入學要求!T101</f>
        <v>v</v>
      </c>
      <c r="F113" s="280" t="str">
        <f>入學要求!U101</f>
        <v>E</v>
      </c>
      <c r="G113" s="280" t="str">
        <f>入學要求!V101</f>
        <v>v</v>
      </c>
      <c r="H113" s="185">
        <f>SUMIF(AD113:AM113,TRUE,T113:AC113)</f>
        <v>2.175E-8</v>
      </c>
      <c r="I113" s="185">
        <v>7</v>
      </c>
      <c r="J113" s="185">
        <v>10</v>
      </c>
      <c r="K113" s="185">
        <v>10</v>
      </c>
      <c r="L113" s="185">
        <v>7</v>
      </c>
      <c r="M113" s="185">
        <v>10</v>
      </c>
      <c r="N113" s="185">
        <f>IF(OR(N1="生物",N1="化學",N1="物理",N1="組合科學(物理、化學)",N1="組合科學(生物、化學)",N1="組合科學(物理、生物)"),10,5)</f>
        <v>5</v>
      </c>
      <c r="O113" s="280">
        <f>IF(OR(O1="生物",O1="化學",O1="物理",O1="組合科學(物理、化學)",O1="組合科學(生物、化學)",O1="組合科學(物理、生物)"),10,5)</f>
        <v>5</v>
      </c>
      <c r="P113" s="280">
        <f>IF(OR(P1="生物",P1="化學",P1="物理",P1="組合科學(物理、化學)",P1="組合科學(生物、化學)",P1="組合科學(物理、生物)"),10,5)</f>
        <v>5</v>
      </c>
      <c r="Q113" s="280">
        <f>IF(OR(Q1="生物",Q1="化學",Q1="物理",Q1="組合科學(物理、化學)",Q1="組合科學(生物、化學)",Q1="組合科學(物理、生物)"),10,5)</f>
        <v>5</v>
      </c>
      <c r="R113" s="280">
        <v>5</v>
      </c>
      <c r="T113" s="280">
        <f>I$5*I113</f>
        <v>7.0000000000000006E-10</v>
      </c>
      <c r="U113" s="280">
        <f t="shared" ref="U113:AB113" si="120">J$5*J113</f>
        <v>2.0000000000000001E-9</v>
      </c>
      <c r="V113" s="280">
        <f t="shared" si="120"/>
        <v>3E-9</v>
      </c>
      <c r="W113" s="280">
        <f t="shared" si="120"/>
        <v>2.8000000000000003E-9</v>
      </c>
      <c r="X113" s="280">
        <f>IF(E113="v",M$5*M113,0)</f>
        <v>5.0000000000000001E-9</v>
      </c>
      <c r="Y113" s="280">
        <f t="shared" si="120"/>
        <v>3E-9</v>
      </c>
      <c r="Z113" s="280">
        <f t="shared" si="120"/>
        <v>3.4999999999999999E-9</v>
      </c>
      <c r="AA113" s="280">
        <f t="shared" si="120"/>
        <v>4.0000000000000002E-9</v>
      </c>
      <c r="AB113" s="280">
        <f t="shared" si="120"/>
        <v>4.4999999999999998E-9</v>
      </c>
      <c r="AC113" s="391">
        <f>IF(F113="E",R$5*R113,0)</f>
        <v>4.7500000000000003E-9</v>
      </c>
      <c r="AD113" s="280" t="b">
        <f>IF($D113="4C2X",TRUE,IF($D113="Best 5",IF(T113&gt;LARGE($T113:$AC113,6),TRUE),IF($D113="Best 6",IF(T113&gt;LARGE($T113:$AC113,7),TRUE))))</f>
        <v>0</v>
      </c>
      <c r="AE113" s="391" t="b">
        <f t="shared" ref="AE113:AG113" si="121">IF($D113="4C2X",TRUE,IF($D113="Best 5",IF(U113&gt;LARGE($T113:$AC113,6),TRUE),IF($D113="Best 6",IF(U113&gt;LARGE($T113:$AC113,7),TRUE))))</f>
        <v>0</v>
      </c>
      <c r="AF113" s="391" t="b">
        <f t="shared" si="121"/>
        <v>0</v>
      </c>
      <c r="AG113" s="391" t="b">
        <f t="shared" si="121"/>
        <v>0</v>
      </c>
      <c r="AH113" s="391" t="b">
        <f>IF($D113="4C2X",IF(X113&gt;LARGE($X113:$AC113,3),TRUE),IF($D113="Best 5",IF(X113&gt;LARGE($T113:$AC113,6),TRUE),IF($D113="Best 6",IF(X113&gt;LARGE($T113:$AC113,7),TRUE))))</f>
        <v>1</v>
      </c>
      <c r="AI113" s="391" t="b">
        <f t="shared" ref="AI113:AM113" si="122">IF($D113="4C2X",IF(Y113&gt;LARGE($X113:$AC113,3),TRUE),IF($D113="Best 5",IF(Y113&gt;LARGE($T113:$AC113,6),TRUE),IF($D113="Best 6",IF(Y113&gt;LARGE($T113:$AC113,7),TRUE))))</f>
        <v>0</v>
      </c>
      <c r="AJ113" s="391" t="b">
        <f t="shared" si="122"/>
        <v>1</v>
      </c>
      <c r="AK113" s="391" t="b">
        <f t="shared" si="122"/>
        <v>1</v>
      </c>
      <c r="AL113" s="391" t="b">
        <f t="shared" si="122"/>
        <v>1</v>
      </c>
      <c r="AM113" s="391" t="b">
        <f t="shared" si="122"/>
        <v>1</v>
      </c>
    </row>
    <row r="114" spans="1:39" x14ac:dyDescent="0.3">
      <c r="A114" s="280" t="str">
        <f>'Reference Score Calculation'!A93</f>
        <v>JS3010-2</v>
      </c>
      <c r="B114" s="280" t="str">
        <f>'Reference Score Calculation'!D93</f>
        <v/>
      </c>
      <c r="C114" s="236" t="str">
        <f>'Reference Score Calculation'!N93</f>
        <v>JS3923</v>
      </c>
      <c r="D114" s="312" t="str">
        <f>'Reference Score Calculation'!P93</f>
        <v>Best 5</v>
      </c>
      <c r="E114" s="280" t="str">
        <f>入學要求!T102</f>
        <v>v</v>
      </c>
      <c r="F114" s="280" t="str">
        <f>入學要求!U102</f>
        <v>E</v>
      </c>
      <c r="G114" s="280" t="str">
        <f>入學要求!V102</f>
        <v>v</v>
      </c>
      <c r="H114" s="280">
        <f t="shared" ref="H114:H156" si="123">SUMIF(AD114:AM114,TRUE,T114:AC114)</f>
        <v>1.6750000000000001E-8</v>
      </c>
      <c r="I114" s="185">
        <v>7</v>
      </c>
      <c r="J114" s="185">
        <v>10</v>
      </c>
      <c r="K114" s="185">
        <v>10</v>
      </c>
      <c r="L114" s="185">
        <v>7</v>
      </c>
      <c r="M114" s="185">
        <v>5</v>
      </c>
      <c r="N114" s="185">
        <f>IF(OR(N1="生物",N1="組合科學(生物、化學)",N1="組合科學(物理、生物)"),10,5)</f>
        <v>5</v>
      </c>
      <c r="O114" s="280">
        <f>IF(OR(O1="生物",O1="組合科學(生物、化學)",O1="組合科學(物理、生物)"),10,5)</f>
        <v>5</v>
      </c>
      <c r="P114" s="280">
        <f>IF(OR(P1="生物",P1="組合科學(生物、化學)",P1="組合科學(物理、生物)"),10,5)</f>
        <v>5</v>
      </c>
      <c r="Q114" s="280">
        <f>IF(OR(Q1="生物",Q1="組合科學(生物、化學)",Q1="組合科學(物理、生物)"),10,5)</f>
        <v>5</v>
      </c>
      <c r="R114" s="280">
        <v>5</v>
      </c>
      <c r="T114" s="280">
        <f t="shared" ref="T114:T156" si="124">I$5*I114</f>
        <v>7.0000000000000006E-10</v>
      </c>
      <c r="U114" s="280">
        <f t="shared" ref="U114:U156" si="125">J$5*J114</f>
        <v>2.0000000000000001E-9</v>
      </c>
      <c r="V114" s="280">
        <f t="shared" ref="V114:V156" si="126">K$5*K114</f>
        <v>3E-9</v>
      </c>
      <c r="W114" s="280">
        <f t="shared" ref="W114:W156" si="127">L$5*L114</f>
        <v>2.8000000000000003E-9</v>
      </c>
      <c r="X114" s="391">
        <f t="shared" ref="X114:X157" si="128">IF(E114="v",M$5*M114,0)</f>
        <v>2.5000000000000001E-9</v>
      </c>
      <c r="Y114" s="280">
        <f t="shared" ref="Y114:Y156" si="129">N$5*N114</f>
        <v>3E-9</v>
      </c>
      <c r="Z114" s="280">
        <f t="shared" ref="Z114:Z156" si="130">O$5*O114</f>
        <v>3.4999999999999999E-9</v>
      </c>
      <c r="AA114" s="280">
        <f t="shared" ref="AA114:AA156" si="131">P$5*P114</f>
        <v>4.0000000000000002E-9</v>
      </c>
      <c r="AB114" s="280">
        <f t="shared" ref="AB114:AB156" si="132">Q$5*Q114</f>
        <v>4.4999999999999998E-9</v>
      </c>
      <c r="AC114" s="391">
        <f t="shared" ref="AC114:AC156" si="133">IF(F114="E",R$5*R114,0)</f>
        <v>4.7500000000000003E-9</v>
      </c>
      <c r="AD114" s="391" t="b">
        <f t="shared" ref="AD114:AD157" si="134">IF($D114="4C2X",TRUE,IF($D114="Best 5",IF(T114&gt;LARGE($T114:$AC114,6),TRUE),IF($D114="Best 6",IF(T114&gt;LARGE($T114:$AC114,7),TRUE))))</f>
        <v>0</v>
      </c>
      <c r="AE114" s="391" t="b">
        <f t="shared" ref="AE114:AE157" si="135">IF($D114="4C2X",TRUE,IF($D114="Best 5",IF(U114&gt;LARGE($T114:$AC114,6),TRUE),IF($D114="Best 6",IF(U114&gt;LARGE($T114:$AC114,7),TRUE))))</f>
        <v>0</v>
      </c>
      <c r="AF114" s="391" t="b">
        <f t="shared" ref="AF114:AF157" si="136">IF($D114="4C2X",TRUE,IF($D114="Best 5",IF(V114&gt;LARGE($T114:$AC114,6),TRUE),IF($D114="Best 6",IF(V114&gt;LARGE($T114:$AC114,7),TRUE))))</f>
        <v>0</v>
      </c>
      <c r="AG114" s="391" t="b">
        <f t="shared" ref="AG114:AG157" si="137">IF($D114="4C2X",TRUE,IF($D114="Best 5",IF(W114&gt;LARGE($T114:$AC114,6),TRUE),IF($D114="Best 6",IF(W114&gt;LARGE($T114:$AC114,7),TRUE))))</f>
        <v>0</v>
      </c>
      <c r="AH114" s="391" t="b">
        <f t="shared" ref="AH114:AH157" si="138">IF($D114="4C2X",IF(X114&gt;LARGE($X114:$AC114,3),TRUE),IF($D114="Best 5",IF(X114&gt;LARGE($T114:$AC114,6),TRUE),IF($D114="Best 6",IF(X114&gt;LARGE($T114:$AC114,7),TRUE))))</f>
        <v>0</v>
      </c>
      <c r="AI114" s="391" t="b">
        <f t="shared" ref="AI114:AI157" si="139">IF($D114="4C2X",IF(Y114&gt;LARGE($X114:$AC114,3),TRUE),IF($D114="Best 5",IF(Y114&gt;LARGE($T114:$AC114,6),TRUE),IF($D114="Best 6",IF(Y114&gt;LARGE($T114:$AC114,7),TRUE))))</f>
        <v>0</v>
      </c>
      <c r="AJ114" s="391" t="b">
        <f t="shared" ref="AJ114:AJ157" si="140">IF($D114="4C2X",IF(Z114&gt;LARGE($X114:$AC114,3),TRUE),IF($D114="Best 5",IF(Z114&gt;LARGE($T114:$AC114,6),TRUE),IF($D114="Best 6",IF(Z114&gt;LARGE($T114:$AC114,7),TRUE))))</f>
        <v>1</v>
      </c>
      <c r="AK114" s="391" t="b">
        <f t="shared" ref="AK114:AK157" si="141">IF($D114="4C2X",IF(AA114&gt;LARGE($X114:$AC114,3),TRUE),IF($D114="Best 5",IF(AA114&gt;LARGE($T114:$AC114,6),TRUE),IF($D114="Best 6",IF(AA114&gt;LARGE($T114:$AC114,7),TRUE))))</f>
        <v>1</v>
      </c>
      <c r="AL114" s="391" t="b">
        <f t="shared" ref="AL114:AL157" si="142">IF($D114="4C2X",IF(AB114&gt;LARGE($X114:$AC114,3),TRUE),IF($D114="Best 5",IF(AB114&gt;LARGE($T114:$AC114,6),TRUE),IF($D114="Best 6",IF(AB114&gt;LARGE($T114:$AC114,7),TRUE))))</f>
        <v>1</v>
      </c>
      <c r="AM114" s="391" t="b">
        <f t="shared" ref="AM114:AM157" si="143">IF($D114="4C2X",IF(AC114&gt;LARGE($X114:$AC114,3),TRUE),IF($D114="Best 5",IF(AC114&gt;LARGE($T114:$AC114,6),TRUE),IF($D114="Best 6",IF(AC114&gt;LARGE($T114:$AC114,7),TRUE))))</f>
        <v>1</v>
      </c>
    </row>
    <row r="115" spans="1:39" x14ac:dyDescent="0.3">
      <c r="A115" s="280" t="str">
        <f>'Reference Score Calculation'!A94</f>
        <v>JS3010-3</v>
      </c>
      <c r="B115" s="280" t="str">
        <f>'Reference Score Calculation'!D94</f>
        <v/>
      </c>
      <c r="C115" s="236" t="str">
        <f>'Reference Score Calculation'!N94</f>
        <v>JS3997</v>
      </c>
      <c r="D115" s="312" t="str">
        <f>'Reference Score Calculation'!P94</f>
        <v>Best 5</v>
      </c>
      <c r="E115" s="280" t="str">
        <f>入學要求!T103</f>
        <v>v</v>
      </c>
      <c r="F115" s="280" t="str">
        <f>入學要求!U103</f>
        <v>E</v>
      </c>
      <c r="G115" s="280" t="str">
        <f>入學要求!V103</f>
        <v>v</v>
      </c>
      <c r="H115" s="280">
        <f t="shared" si="123"/>
        <v>1.6750000000000001E-8</v>
      </c>
      <c r="I115" s="185">
        <v>7</v>
      </c>
      <c r="J115" s="185">
        <v>10</v>
      </c>
      <c r="K115" s="185">
        <v>10</v>
      </c>
      <c r="L115" s="185">
        <v>7</v>
      </c>
      <c r="M115" s="185">
        <v>5</v>
      </c>
      <c r="N115" s="185">
        <f>IF(OR(N1="化學",N1="組合科學(物理、化學)",N1="組合科學(生物、化學)"),10,5)</f>
        <v>5</v>
      </c>
      <c r="O115" s="280">
        <f>IF(OR(O1="化學",O1="組合科學(物理、化學)",O1="組合科學(生物、化學)"),10,5)</f>
        <v>5</v>
      </c>
      <c r="P115" s="280">
        <f>IF(OR(P1="化學",P1="組合科學(物理、化學)",P1="組合科學(生物、化學)"),10,5)</f>
        <v>5</v>
      </c>
      <c r="Q115" s="280">
        <f>IF(OR(Q1="化學",Q1="組合科學(物理、化學)",Q1="組合科學(生物、化學)"),10,5)</f>
        <v>5</v>
      </c>
      <c r="R115" s="280">
        <v>5</v>
      </c>
      <c r="T115" s="280">
        <f t="shared" si="124"/>
        <v>7.0000000000000006E-10</v>
      </c>
      <c r="U115" s="280">
        <f t="shared" si="125"/>
        <v>2.0000000000000001E-9</v>
      </c>
      <c r="V115" s="280">
        <f t="shared" si="126"/>
        <v>3E-9</v>
      </c>
      <c r="W115" s="280">
        <f t="shared" si="127"/>
        <v>2.8000000000000003E-9</v>
      </c>
      <c r="X115" s="391">
        <f t="shared" si="128"/>
        <v>2.5000000000000001E-9</v>
      </c>
      <c r="Y115" s="280">
        <f t="shared" si="129"/>
        <v>3E-9</v>
      </c>
      <c r="Z115" s="280">
        <f t="shared" si="130"/>
        <v>3.4999999999999999E-9</v>
      </c>
      <c r="AA115" s="280">
        <f t="shared" si="131"/>
        <v>4.0000000000000002E-9</v>
      </c>
      <c r="AB115" s="280">
        <f t="shared" si="132"/>
        <v>4.4999999999999998E-9</v>
      </c>
      <c r="AC115" s="391">
        <f t="shared" si="133"/>
        <v>4.7500000000000003E-9</v>
      </c>
      <c r="AD115" s="391" t="b">
        <f t="shared" si="134"/>
        <v>0</v>
      </c>
      <c r="AE115" s="391" t="b">
        <f t="shared" si="135"/>
        <v>0</v>
      </c>
      <c r="AF115" s="391" t="b">
        <f>IF($D115="4C2X",TRUE,IF($D115="Best 5",IF(V115&gt;LARGE($T115:$AC115,6),TRUE),IF($D115="Best 6",IF(V115&gt;LARGE($T115:$AC115,7),TRUE))))</f>
        <v>0</v>
      </c>
      <c r="AG115" s="391" t="b">
        <f t="shared" si="137"/>
        <v>0</v>
      </c>
      <c r="AH115" s="391" t="b">
        <f t="shared" si="138"/>
        <v>0</v>
      </c>
      <c r="AI115" s="391" t="b">
        <f t="shared" si="139"/>
        <v>0</v>
      </c>
      <c r="AJ115" s="391" t="b">
        <f t="shared" si="140"/>
        <v>1</v>
      </c>
      <c r="AK115" s="391" t="b">
        <f t="shared" si="141"/>
        <v>1</v>
      </c>
      <c r="AL115" s="391" t="b">
        <f t="shared" si="142"/>
        <v>1</v>
      </c>
      <c r="AM115" s="391" t="b">
        <f t="shared" si="143"/>
        <v>1</v>
      </c>
    </row>
    <row r="116" spans="1:39" x14ac:dyDescent="0.3">
      <c r="A116" s="280" t="str">
        <f>'Reference Score Calculation'!A95</f>
        <v>JS3020</v>
      </c>
      <c r="B116" s="280" t="str">
        <f>'Reference Score Calculation'!D95</f>
        <v>數據科學(榮譽)理學士組合課程</v>
      </c>
      <c r="C116" s="236" t="str">
        <f>'Reference Score Calculation'!N95</f>
        <v>JS3806</v>
      </c>
      <c r="D116" s="312" t="str">
        <f>'Reference Score Calculation'!P95</f>
        <v>Best 5</v>
      </c>
      <c r="E116" s="280" t="str">
        <f>入學要求!T104</f>
        <v>v</v>
      </c>
      <c r="F116" s="280" t="str">
        <f>入學要求!U104</f>
        <v>E</v>
      </c>
      <c r="G116" s="280" t="str">
        <f>入學要求!V104</f>
        <v>NO</v>
      </c>
      <c r="H116" s="280">
        <f t="shared" si="123"/>
        <v>1.6750000000000001E-8</v>
      </c>
      <c r="I116" s="185">
        <v>7</v>
      </c>
      <c r="J116" s="185">
        <v>10</v>
      </c>
      <c r="K116" s="185">
        <v>10</v>
      </c>
      <c r="L116" s="185">
        <v>7</v>
      </c>
      <c r="M116" s="185">
        <v>5</v>
      </c>
      <c r="N116" s="185">
        <v>5</v>
      </c>
      <c r="O116" s="185">
        <v>5</v>
      </c>
      <c r="P116" s="185">
        <v>5</v>
      </c>
      <c r="Q116" s="280">
        <v>5</v>
      </c>
      <c r="R116" s="280">
        <v>5</v>
      </c>
      <c r="T116" s="280">
        <f t="shared" si="124"/>
        <v>7.0000000000000006E-10</v>
      </c>
      <c r="U116" s="280">
        <f t="shared" si="125"/>
        <v>2.0000000000000001E-9</v>
      </c>
      <c r="V116" s="280">
        <f t="shared" si="126"/>
        <v>3E-9</v>
      </c>
      <c r="W116" s="280">
        <f t="shared" si="127"/>
        <v>2.8000000000000003E-9</v>
      </c>
      <c r="X116" s="391">
        <f t="shared" si="128"/>
        <v>2.5000000000000001E-9</v>
      </c>
      <c r="Y116" s="280">
        <f t="shared" si="129"/>
        <v>3E-9</v>
      </c>
      <c r="Z116" s="280">
        <f t="shared" si="130"/>
        <v>3.4999999999999999E-9</v>
      </c>
      <c r="AA116" s="280">
        <f t="shared" si="131"/>
        <v>4.0000000000000002E-9</v>
      </c>
      <c r="AB116" s="280">
        <f t="shared" si="132"/>
        <v>4.4999999999999998E-9</v>
      </c>
      <c r="AC116" s="391">
        <f t="shared" si="133"/>
        <v>4.7500000000000003E-9</v>
      </c>
      <c r="AD116" s="391" t="b">
        <f t="shared" si="134"/>
        <v>0</v>
      </c>
      <c r="AE116" s="391" t="b">
        <f t="shared" si="135"/>
        <v>0</v>
      </c>
      <c r="AF116" s="391" t="b">
        <f t="shared" si="136"/>
        <v>0</v>
      </c>
      <c r="AG116" s="391" t="b">
        <f t="shared" si="137"/>
        <v>0</v>
      </c>
      <c r="AH116" s="391" t="b">
        <f t="shared" si="138"/>
        <v>0</v>
      </c>
      <c r="AI116" s="391" t="b">
        <f t="shared" si="139"/>
        <v>0</v>
      </c>
      <c r="AJ116" s="391" t="b">
        <f t="shared" si="140"/>
        <v>1</v>
      </c>
      <c r="AK116" s="391" t="b">
        <f t="shared" si="141"/>
        <v>1</v>
      </c>
      <c r="AL116" s="391" t="b">
        <f t="shared" si="142"/>
        <v>1</v>
      </c>
      <c r="AM116" s="391" t="b">
        <f t="shared" si="143"/>
        <v>1</v>
      </c>
    </row>
    <row r="117" spans="1:39" x14ac:dyDescent="0.3">
      <c r="A117" s="280" t="str">
        <f>'Reference Score Calculation'!A96</f>
        <v>JS3030</v>
      </c>
      <c r="B117" s="280" t="str">
        <f>'Reference Score Calculation'!D96</f>
        <v>物理學(榮譽)理學士 副主修人工智能及數據分析 / 創新及創業</v>
      </c>
      <c r="C117" s="236" t="str">
        <f>'Reference Score Calculation'!N96</f>
        <v>/</v>
      </c>
      <c r="D117" s="312" t="str">
        <f>'Reference Score Calculation'!AD96</f>
        <v>Best 5</v>
      </c>
      <c r="E117" s="280" t="str">
        <f>入學要求!T105</f>
        <v>v</v>
      </c>
      <c r="F117" s="280" t="str">
        <f>入學要求!U105</f>
        <v>E</v>
      </c>
      <c r="G117" s="280" t="str">
        <f>入學要求!V105</f>
        <v>NO</v>
      </c>
      <c r="H117" s="280">
        <f>SUMIF(AD117:AM117,TRUE,T117:AC117)</f>
        <v>2.175E-8</v>
      </c>
      <c r="I117" s="185">
        <v>7</v>
      </c>
      <c r="J117" s="185">
        <v>10</v>
      </c>
      <c r="K117" s="185">
        <v>10</v>
      </c>
      <c r="L117" s="185">
        <v>7</v>
      </c>
      <c r="M117" s="185">
        <v>10</v>
      </c>
      <c r="N117" s="185">
        <f>IF(OR(N1="物理",N1="組合科學(物理、化學)",N1="組合科學(物理、生物)"),10,5)</f>
        <v>5</v>
      </c>
      <c r="O117" s="280">
        <f>IF(OR(O1="物理",O1="組合科學(物理、化學)",O1="組合科學(物理、生物)"),10,5)</f>
        <v>5</v>
      </c>
      <c r="P117" s="280">
        <f>IF(OR(P1="物理",P1="組合科學(物理、化學)",P1="組合科學(物理、生物)"),10,5)</f>
        <v>5</v>
      </c>
      <c r="Q117" s="280">
        <f>IF(OR(Q1="物理",Q1="組合科學(物理、化學)",Q1="組合科學(物理、生物)"),10,5)</f>
        <v>5</v>
      </c>
      <c r="R117" s="280">
        <v>5</v>
      </c>
      <c r="T117" s="280">
        <f t="shared" si="124"/>
        <v>7.0000000000000006E-10</v>
      </c>
      <c r="U117" s="280">
        <f t="shared" si="125"/>
        <v>2.0000000000000001E-9</v>
      </c>
      <c r="V117" s="280">
        <f t="shared" si="126"/>
        <v>3E-9</v>
      </c>
      <c r="W117" s="280">
        <f t="shared" si="127"/>
        <v>2.8000000000000003E-9</v>
      </c>
      <c r="X117" s="391">
        <f t="shared" si="128"/>
        <v>5.0000000000000001E-9</v>
      </c>
      <c r="Y117" s="280">
        <f t="shared" si="129"/>
        <v>3E-9</v>
      </c>
      <c r="Z117" s="280">
        <f t="shared" si="130"/>
        <v>3.4999999999999999E-9</v>
      </c>
      <c r="AA117" s="280">
        <f t="shared" si="131"/>
        <v>4.0000000000000002E-9</v>
      </c>
      <c r="AB117" s="280">
        <f t="shared" si="132"/>
        <v>4.4999999999999998E-9</v>
      </c>
      <c r="AC117" s="391">
        <f t="shared" si="133"/>
        <v>4.7500000000000003E-9</v>
      </c>
      <c r="AD117" s="391" t="b">
        <f t="shared" si="134"/>
        <v>0</v>
      </c>
      <c r="AE117" s="391" t="b">
        <f t="shared" si="135"/>
        <v>0</v>
      </c>
      <c r="AF117" s="391" t="b">
        <f t="shared" si="136"/>
        <v>0</v>
      </c>
      <c r="AG117" s="391" t="b">
        <f t="shared" si="137"/>
        <v>0</v>
      </c>
      <c r="AH117" s="391" t="b">
        <f t="shared" si="138"/>
        <v>1</v>
      </c>
      <c r="AI117" s="391" t="b">
        <f t="shared" si="139"/>
        <v>0</v>
      </c>
      <c r="AJ117" s="391" t="b">
        <f t="shared" si="140"/>
        <v>1</v>
      </c>
      <c r="AK117" s="391" t="b">
        <f t="shared" si="141"/>
        <v>1</v>
      </c>
      <c r="AL117" s="391" t="b">
        <f t="shared" si="142"/>
        <v>1</v>
      </c>
      <c r="AM117" s="391" t="b">
        <f t="shared" si="143"/>
        <v>1</v>
      </c>
    </row>
    <row r="118" spans="1:39" x14ac:dyDescent="0.3">
      <c r="A118" s="280" t="str">
        <f>'Reference Score Calculation'!A97</f>
        <v>JS3060</v>
      </c>
      <c r="B118" s="280" t="str">
        <f>'Reference Score Calculation'!D97</f>
        <v>會計及金融(榮譽)工商管理學士組合課程</v>
      </c>
      <c r="C118" s="236" t="str">
        <f>'Reference Score Calculation'!N97</f>
        <v>JS3466</v>
      </c>
      <c r="D118" s="312" t="str">
        <f>'Reference Score Calculation'!P97</f>
        <v>Best 5</v>
      </c>
      <c r="E118" s="280" t="str">
        <f>入學要求!T106</f>
        <v>v</v>
      </c>
      <c r="F118" s="280" t="str">
        <f>入學要求!U106</f>
        <v>E</v>
      </c>
      <c r="G118" s="280" t="str">
        <f>入學要求!V106</f>
        <v>NO</v>
      </c>
      <c r="H118" s="280">
        <f t="shared" si="123"/>
        <v>1.6750000000000001E-8</v>
      </c>
      <c r="I118" s="185">
        <v>7</v>
      </c>
      <c r="J118" s="185">
        <v>10</v>
      </c>
      <c r="K118" s="185">
        <v>10</v>
      </c>
      <c r="L118" s="185">
        <v>7</v>
      </c>
      <c r="M118" s="185">
        <v>5</v>
      </c>
      <c r="N118" s="185">
        <v>5</v>
      </c>
      <c r="O118" s="185">
        <v>5</v>
      </c>
      <c r="P118" s="185">
        <v>5</v>
      </c>
      <c r="Q118" s="280">
        <v>5</v>
      </c>
      <c r="R118" s="280">
        <v>5</v>
      </c>
      <c r="T118" s="280">
        <f t="shared" si="124"/>
        <v>7.0000000000000006E-10</v>
      </c>
      <c r="U118" s="280">
        <f t="shared" si="125"/>
        <v>2.0000000000000001E-9</v>
      </c>
      <c r="V118" s="280">
        <f t="shared" si="126"/>
        <v>3E-9</v>
      </c>
      <c r="W118" s="280">
        <f t="shared" si="127"/>
        <v>2.8000000000000003E-9</v>
      </c>
      <c r="X118" s="391">
        <f t="shared" si="128"/>
        <v>2.5000000000000001E-9</v>
      </c>
      <c r="Y118" s="280">
        <f t="shared" si="129"/>
        <v>3E-9</v>
      </c>
      <c r="Z118" s="280">
        <f t="shared" si="130"/>
        <v>3.4999999999999999E-9</v>
      </c>
      <c r="AA118" s="280">
        <f t="shared" si="131"/>
        <v>4.0000000000000002E-9</v>
      </c>
      <c r="AB118" s="280">
        <f t="shared" si="132"/>
        <v>4.4999999999999998E-9</v>
      </c>
      <c r="AC118" s="391">
        <f t="shared" si="133"/>
        <v>4.7500000000000003E-9</v>
      </c>
      <c r="AD118" s="391" t="b">
        <f t="shared" si="134"/>
        <v>0</v>
      </c>
      <c r="AE118" s="391" t="b">
        <f t="shared" si="135"/>
        <v>0</v>
      </c>
      <c r="AF118" s="391" t="b">
        <f t="shared" si="136"/>
        <v>0</v>
      </c>
      <c r="AG118" s="391" t="b">
        <f t="shared" si="137"/>
        <v>0</v>
      </c>
      <c r="AH118" s="391" t="b">
        <f t="shared" si="138"/>
        <v>0</v>
      </c>
      <c r="AI118" s="391" t="b">
        <f t="shared" si="139"/>
        <v>0</v>
      </c>
      <c r="AJ118" s="391" t="b">
        <f t="shared" si="140"/>
        <v>1</v>
      </c>
      <c r="AK118" s="391" t="b">
        <f t="shared" si="141"/>
        <v>1</v>
      </c>
      <c r="AL118" s="391" t="b">
        <f t="shared" si="142"/>
        <v>1</v>
      </c>
      <c r="AM118" s="391" t="b">
        <f t="shared" si="143"/>
        <v>1</v>
      </c>
    </row>
    <row r="119" spans="1:39" x14ac:dyDescent="0.3">
      <c r="A119" s="280" t="str">
        <f>'Reference Score Calculation'!A98</f>
        <v>JS3060-2</v>
      </c>
      <c r="B119" s="280" t="str">
        <f>'Reference Score Calculation'!D98</f>
        <v/>
      </c>
      <c r="C119" s="236" t="str">
        <f>'Reference Score Calculation'!N98</f>
        <v>JS3595</v>
      </c>
      <c r="D119" s="312" t="str">
        <f>'Reference Score Calculation'!P98</f>
        <v>Best 5</v>
      </c>
      <c r="E119" s="280" t="str">
        <f>入學要求!T107</f>
        <v>v</v>
      </c>
      <c r="F119" s="280" t="str">
        <f>入學要求!U107</f>
        <v>E</v>
      </c>
      <c r="G119" s="280" t="str">
        <f>入學要求!V107</f>
        <v>NO</v>
      </c>
      <c r="H119" s="280">
        <f t="shared" si="123"/>
        <v>1.6750000000000001E-8</v>
      </c>
      <c r="I119" s="185">
        <v>7</v>
      </c>
      <c r="J119" s="185">
        <v>10</v>
      </c>
      <c r="K119" s="185">
        <v>10</v>
      </c>
      <c r="L119" s="185">
        <v>7</v>
      </c>
      <c r="M119" s="185">
        <v>5</v>
      </c>
      <c r="N119" s="185">
        <v>5</v>
      </c>
      <c r="O119" s="185">
        <v>5</v>
      </c>
      <c r="P119" s="185">
        <v>5</v>
      </c>
      <c r="Q119" s="280">
        <v>5</v>
      </c>
      <c r="R119" s="280">
        <v>5</v>
      </c>
      <c r="T119" s="280">
        <f t="shared" si="124"/>
        <v>7.0000000000000006E-10</v>
      </c>
      <c r="U119" s="280">
        <f t="shared" si="125"/>
        <v>2.0000000000000001E-9</v>
      </c>
      <c r="V119" s="280">
        <f t="shared" si="126"/>
        <v>3E-9</v>
      </c>
      <c r="W119" s="280">
        <f t="shared" si="127"/>
        <v>2.8000000000000003E-9</v>
      </c>
      <c r="X119" s="391">
        <f t="shared" si="128"/>
        <v>2.5000000000000001E-9</v>
      </c>
      <c r="Y119" s="280">
        <f t="shared" si="129"/>
        <v>3E-9</v>
      </c>
      <c r="Z119" s="280">
        <f t="shared" si="130"/>
        <v>3.4999999999999999E-9</v>
      </c>
      <c r="AA119" s="280">
        <f t="shared" si="131"/>
        <v>4.0000000000000002E-9</v>
      </c>
      <c r="AB119" s="280">
        <f t="shared" si="132"/>
        <v>4.4999999999999998E-9</v>
      </c>
      <c r="AC119" s="391">
        <f t="shared" si="133"/>
        <v>4.7500000000000003E-9</v>
      </c>
      <c r="AD119" s="391" t="b">
        <f t="shared" si="134"/>
        <v>0</v>
      </c>
      <c r="AE119" s="391" t="b">
        <f t="shared" si="135"/>
        <v>0</v>
      </c>
      <c r="AF119" s="391" t="b">
        <f t="shared" si="136"/>
        <v>0</v>
      </c>
      <c r="AG119" s="391" t="b">
        <f t="shared" si="137"/>
        <v>0</v>
      </c>
      <c r="AH119" s="391" t="b">
        <f t="shared" si="138"/>
        <v>0</v>
      </c>
      <c r="AI119" s="391" t="b">
        <f t="shared" si="139"/>
        <v>0</v>
      </c>
      <c r="AJ119" s="391" t="b">
        <f t="shared" si="140"/>
        <v>1</v>
      </c>
      <c r="AK119" s="391" t="b">
        <f t="shared" si="141"/>
        <v>1</v>
      </c>
      <c r="AL119" s="391" t="b">
        <f t="shared" si="142"/>
        <v>1</v>
      </c>
      <c r="AM119" s="391" t="b">
        <f t="shared" si="143"/>
        <v>1</v>
      </c>
    </row>
    <row r="120" spans="1:39" x14ac:dyDescent="0.3">
      <c r="A120" s="280" t="str">
        <f>'Reference Score Calculation'!A99</f>
        <v>JS3060-3</v>
      </c>
      <c r="B120" s="280" t="str">
        <f>'Reference Score Calculation'!D99</f>
        <v/>
      </c>
      <c r="C120" s="236" t="str">
        <f>'Reference Score Calculation'!N99</f>
        <v>JS3911</v>
      </c>
      <c r="D120" s="312" t="str">
        <f>'Reference Score Calculation'!P99</f>
        <v>Best 5</v>
      </c>
      <c r="E120" s="280" t="str">
        <f>入學要求!T108</f>
        <v>v</v>
      </c>
      <c r="F120" s="280" t="str">
        <f>入學要求!U108</f>
        <v>E</v>
      </c>
      <c r="G120" s="280" t="str">
        <f>入學要求!V108</f>
        <v>NO</v>
      </c>
      <c r="H120" s="280">
        <f t="shared" si="123"/>
        <v>1.6750000000000001E-8</v>
      </c>
      <c r="I120" s="185">
        <v>7</v>
      </c>
      <c r="J120" s="185">
        <v>10</v>
      </c>
      <c r="K120" s="185">
        <v>10</v>
      </c>
      <c r="L120" s="185">
        <v>7</v>
      </c>
      <c r="M120" s="185">
        <v>5</v>
      </c>
      <c r="N120" s="185">
        <v>5</v>
      </c>
      <c r="O120" s="185">
        <v>5</v>
      </c>
      <c r="P120" s="185">
        <v>5</v>
      </c>
      <c r="Q120" s="280">
        <v>5</v>
      </c>
      <c r="R120" s="280">
        <v>5</v>
      </c>
      <c r="T120" s="280">
        <f t="shared" si="124"/>
        <v>7.0000000000000006E-10</v>
      </c>
      <c r="U120" s="280">
        <f t="shared" si="125"/>
        <v>2.0000000000000001E-9</v>
      </c>
      <c r="V120" s="280">
        <f t="shared" si="126"/>
        <v>3E-9</v>
      </c>
      <c r="W120" s="280">
        <f t="shared" si="127"/>
        <v>2.8000000000000003E-9</v>
      </c>
      <c r="X120" s="391">
        <f t="shared" si="128"/>
        <v>2.5000000000000001E-9</v>
      </c>
      <c r="Y120" s="280">
        <f t="shared" si="129"/>
        <v>3E-9</v>
      </c>
      <c r="Z120" s="280">
        <f t="shared" si="130"/>
        <v>3.4999999999999999E-9</v>
      </c>
      <c r="AA120" s="280">
        <f t="shared" si="131"/>
        <v>4.0000000000000002E-9</v>
      </c>
      <c r="AB120" s="280">
        <f t="shared" si="132"/>
        <v>4.4999999999999998E-9</v>
      </c>
      <c r="AC120" s="391">
        <f t="shared" si="133"/>
        <v>4.7500000000000003E-9</v>
      </c>
      <c r="AD120" s="391" t="b">
        <f t="shared" si="134"/>
        <v>0</v>
      </c>
      <c r="AE120" s="391" t="b">
        <f t="shared" si="135"/>
        <v>0</v>
      </c>
      <c r="AF120" s="391" t="b">
        <f t="shared" si="136"/>
        <v>0</v>
      </c>
      <c r="AG120" s="391" t="b">
        <f t="shared" si="137"/>
        <v>0</v>
      </c>
      <c r="AH120" s="391" t="b">
        <f t="shared" si="138"/>
        <v>0</v>
      </c>
      <c r="AI120" s="391" t="b">
        <f t="shared" si="139"/>
        <v>0</v>
      </c>
      <c r="AJ120" s="391" t="b">
        <f t="shared" si="140"/>
        <v>1</v>
      </c>
      <c r="AK120" s="391" t="b">
        <f t="shared" si="141"/>
        <v>1</v>
      </c>
      <c r="AL120" s="391" t="b">
        <f t="shared" si="142"/>
        <v>1</v>
      </c>
      <c r="AM120" s="391" t="b">
        <f t="shared" si="143"/>
        <v>1</v>
      </c>
    </row>
    <row r="121" spans="1:39" x14ac:dyDescent="0.3">
      <c r="A121" s="280" t="str">
        <f>'Reference Score Calculation'!A100</f>
        <v>JS3070</v>
      </c>
      <c r="B121" s="280" t="str">
        <f>'Reference Score Calculation'!D100</f>
        <v>航空、航運及供應鏈管理(榮譽)工商管理學士組合課程</v>
      </c>
      <c r="C121" s="236" t="str">
        <f>'Reference Score Calculation'!N100</f>
        <v>JS3674</v>
      </c>
      <c r="D121" s="312" t="str">
        <f>'Reference Score Calculation'!P100</f>
        <v>Best 5</v>
      </c>
      <c r="E121" s="280" t="str">
        <f>入學要求!T109</f>
        <v>v</v>
      </c>
      <c r="F121" s="280" t="str">
        <f>入學要求!U109</f>
        <v>E</v>
      </c>
      <c r="G121" s="280" t="str">
        <f>入學要求!V109</f>
        <v>NO</v>
      </c>
      <c r="H121" s="280">
        <f t="shared" si="123"/>
        <v>1.6750000000000001E-8</v>
      </c>
      <c r="I121" s="185">
        <v>7</v>
      </c>
      <c r="J121" s="185">
        <v>10</v>
      </c>
      <c r="K121" s="185">
        <v>10</v>
      </c>
      <c r="L121" s="185">
        <v>7</v>
      </c>
      <c r="M121" s="185">
        <v>5</v>
      </c>
      <c r="N121" s="185">
        <v>5</v>
      </c>
      <c r="O121" s="185">
        <v>5</v>
      </c>
      <c r="P121" s="185">
        <v>5</v>
      </c>
      <c r="Q121" s="280">
        <v>5</v>
      </c>
      <c r="R121" s="280">
        <v>5</v>
      </c>
      <c r="T121" s="280">
        <f t="shared" si="124"/>
        <v>7.0000000000000006E-10</v>
      </c>
      <c r="U121" s="280">
        <f t="shared" si="125"/>
        <v>2.0000000000000001E-9</v>
      </c>
      <c r="V121" s="280">
        <f t="shared" si="126"/>
        <v>3E-9</v>
      </c>
      <c r="W121" s="280">
        <f t="shared" si="127"/>
        <v>2.8000000000000003E-9</v>
      </c>
      <c r="X121" s="391">
        <f t="shared" si="128"/>
        <v>2.5000000000000001E-9</v>
      </c>
      <c r="Y121" s="280">
        <f t="shared" si="129"/>
        <v>3E-9</v>
      </c>
      <c r="Z121" s="280">
        <f t="shared" si="130"/>
        <v>3.4999999999999999E-9</v>
      </c>
      <c r="AA121" s="280">
        <f t="shared" si="131"/>
        <v>4.0000000000000002E-9</v>
      </c>
      <c r="AB121" s="280">
        <f t="shared" si="132"/>
        <v>4.4999999999999998E-9</v>
      </c>
      <c r="AC121" s="391">
        <f t="shared" si="133"/>
        <v>4.7500000000000003E-9</v>
      </c>
      <c r="AD121" s="391" t="b">
        <f t="shared" si="134"/>
        <v>0</v>
      </c>
      <c r="AE121" s="391" t="b">
        <f t="shared" si="135"/>
        <v>0</v>
      </c>
      <c r="AF121" s="391" t="b">
        <f t="shared" si="136"/>
        <v>0</v>
      </c>
      <c r="AG121" s="391" t="b">
        <f t="shared" si="137"/>
        <v>0</v>
      </c>
      <c r="AH121" s="391" t="b">
        <f t="shared" si="138"/>
        <v>0</v>
      </c>
      <c r="AI121" s="391" t="b">
        <f t="shared" si="139"/>
        <v>0</v>
      </c>
      <c r="AJ121" s="391" t="b">
        <f t="shared" si="140"/>
        <v>1</v>
      </c>
      <c r="AK121" s="391" t="b">
        <f t="shared" si="141"/>
        <v>1</v>
      </c>
      <c r="AL121" s="391" t="b">
        <f t="shared" si="142"/>
        <v>1</v>
      </c>
      <c r="AM121" s="391" t="b">
        <f t="shared" si="143"/>
        <v>1</v>
      </c>
    </row>
    <row r="122" spans="1:39" x14ac:dyDescent="0.3">
      <c r="A122" s="280" t="str">
        <f>'Reference Score Calculation'!A101</f>
        <v>JS3070-2</v>
      </c>
      <c r="B122" s="280" t="str">
        <f>'Reference Score Calculation'!D101</f>
        <v/>
      </c>
      <c r="C122" s="236" t="str">
        <f>'Reference Score Calculation'!N101</f>
        <v>JS3844</v>
      </c>
      <c r="D122" s="312" t="str">
        <f>'Reference Score Calculation'!P101</f>
        <v>Best 5</v>
      </c>
      <c r="E122" s="280" t="str">
        <f>入學要求!T110</f>
        <v>v</v>
      </c>
      <c r="F122" s="280" t="str">
        <f>入學要求!U110</f>
        <v>E</v>
      </c>
      <c r="G122" s="280" t="str">
        <f>入學要求!V110</f>
        <v>NO</v>
      </c>
      <c r="H122" s="280">
        <f t="shared" si="123"/>
        <v>1.6750000000000001E-8</v>
      </c>
      <c r="I122" s="185">
        <v>7</v>
      </c>
      <c r="J122" s="185">
        <v>10</v>
      </c>
      <c r="K122" s="185">
        <v>10</v>
      </c>
      <c r="L122" s="185">
        <v>7</v>
      </c>
      <c r="M122" s="185">
        <v>5</v>
      </c>
      <c r="N122" s="185">
        <v>5</v>
      </c>
      <c r="O122" s="185">
        <v>5</v>
      </c>
      <c r="P122" s="185">
        <v>5</v>
      </c>
      <c r="Q122" s="280">
        <v>5</v>
      </c>
      <c r="R122" s="280">
        <v>5</v>
      </c>
      <c r="T122" s="280">
        <f t="shared" si="124"/>
        <v>7.0000000000000006E-10</v>
      </c>
      <c r="U122" s="280">
        <f t="shared" si="125"/>
        <v>2.0000000000000001E-9</v>
      </c>
      <c r="V122" s="280">
        <f t="shared" si="126"/>
        <v>3E-9</v>
      </c>
      <c r="W122" s="280">
        <f t="shared" si="127"/>
        <v>2.8000000000000003E-9</v>
      </c>
      <c r="X122" s="391">
        <f t="shared" si="128"/>
        <v>2.5000000000000001E-9</v>
      </c>
      <c r="Y122" s="280">
        <f t="shared" si="129"/>
        <v>3E-9</v>
      </c>
      <c r="Z122" s="280">
        <f t="shared" si="130"/>
        <v>3.4999999999999999E-9</v>
      </c>
      <c r="AA122" s="280">
        <f t="shared" si="131"/>
        <v>4.0000000000000002E-9</v>
      </c>
      <c r="AB122" s="280">
        <f t="shared" si="132"/>
        <v>4.4999999999999998E-9</v>
      </c>
      <c r="AC122" s="391">
        <f t="shared" si="133"/>
        <v>4.7500000000000003E-9</v>
      </c>
      <c r="AD122" s="391" t="b">
        <f t="shared" si="134"/>
        <v>0</v>
      </c>
      <c r="AE122" s="391" t="b">
        <f t="shared" si="135"/>
        <v>0</v>
      </c>
      <c r="AF122" s="391" t="b">
        <f t="shared" si="136"/>
        <v>0</v>
      </c>
      <c r="AG122" s="391" t="b">
        <f t="shared" si="137"/>
        <v>0</v>
      </c>
      <c r="AH122" s="391" t="b">
        <f t="shared" si="138"/>
        <v>0</v>
      </c>
      <c r="AI122" s="391" t="b">
        <f t="shared" si="139"/>
        <v>0</v>
      </c>
      <c r="AJ122" s="391" t="b">
        <f t="shared" si="140"/>
        <v>1</v>
      </c>
      <c r="AK122" s="391" t="b">
        <f t="shared" si="141"/>
        <v>1</v>
      </c>
      <c r="AL122" s="391" t="b">
        <f t="shared" si="142"/>
        <v>1</v>
      </c>
      <c r="AM122" s="391" t="b">
        <f t="shared" si="143"/>
        <v>1</v>
      </c>
    </row>
    <row r="123" spans="1:39" x14ac:dyDescent="0.3">
      <c r="A123" s="280" t="str">
        <f>'Reference Score Calculation'!A102</f>
        <v>JS3080</v>
      </c>
      <c r="B123" s="280" t="str">
        <f>'Reference Score Calculation'!D102</f>
        <v>管理及市場學(榮譽)工商管理學士組合課程</v>
      </c>
      <c r="C123" s="236" t="str">
        <f>'Reference Score Calculation'!N102</f>
        <v>JS3583</v>
      </c>
      <c r="D123" s="312" t="str">
        <f>'Reference Score Calculation'!P102</f>
        <v>Best 5</v>
      </c>
      <c r="E123" s="280" t="str">
        <f>入學要求!T111</f>
        <v>v</v>
      </c>
      <c r="F123" s="280" t="str">
        <f>入學要求!U111</f>
        <v>E</v>
      </c>
      <c r="G123" s="280" t="str">
        <f>入學要求!V111</f>
        <v>NO</v>
      </c>
      <c r="H123" s="280">
        <f t="shared" si="123"/>
        <v>1.6750000000000001E-8</v>
      </c>
      <c r="I123" s="185">
        <v>7</v>
      </c>
      <c r="J123" s="185">
        <v>10</v>
      </c>
      <c r="K123" s="185">
        <v>10</v>
      </c>
      <c r="L123" s="185">
        <v>7</v>
      </c>
      <c r="M123" s="185">
        <v>5</v>
      </c>
      <c r="N123" s="185">
        <v>5</v>
      </c>
      <c r="O123" s="185">
        <v>5</v>
      </c>
      <c r="P123" s="185">
        <v>5</v>
      </c>
      <c r="Q123" s="280">
        <v>5</v>
      </c>
      <c r="R123" s="280">
        <v>5</v>
      </c>
      <c r="T123" s="280">
        <f t="shared" si="124"/>
        <v>7.0000000000000006E-10</v>
      </c>
      <c r="U123" s="280">
        <f t="shared" si="125"/>
        <v>2.0000000000000001E-9</v>
      </c>
      <c r="V123" s="280">
        <f t="shared" si="126"/>
        <v>3E-9</v>
      </c>
      <c r="W123" s="280">
        <f t="shared" si="127"/>
        <v>2.8000000000000003E-9</v>
      </c>
      <c r="X123" s="391">
        <f t="shared" si="128"/>
        <v>2.5000000000000001E-9</v>
      </c>
      <c r="Y123" s="280">
        <f t="shared" si="129"/>
        <v>3E-9</v>
      </c>
      <c r="Z123" s="280">
        <f t="shared" si="130"/>
        <v>3.4999999999999999E-9</v>
      </c>
      <c r="AA123" s="280">
        <f t="shared" si="131"/>
        <v>4.0000000000000002E-9</v>
      </c>
      <c r="AB123" s="280">
        <f t="shared" si="132"/>
        <v>4.4999999999999998E-9</v>
      </c>
      <c r="AC123" s="391">
        <f t="shared" si="133"/>
        <v>4.7500000000000003E-9</v>
      </c>
      <c r="AD123" s="391" t="b">
        <f t="shared" si="134"/>
        <v>0</v>
      </c>
      <c r="AE123" s="391" t="b">
        <f t="shared" si="135"/>
        <v>0</v>
      </c>
      <c r="AF123" s="391" t="b">
        <f t="shared" si="136"/>
        <v>0</v>
      </c>
      <c r="AG123" s="391" t="b">
        <f t="shared" si="137"/>
        <v>0</v>
      </c>
      <c r="AH123" s="391" t="b">
        <f t="shared" si="138"/>
        <v>0</v>
      </c>
      <c r="AI123" s="391" t="b">
        <f t="shared" si="139"/>
        <v>0</v>
      </c>
      <c r="AJ123" s="391" t="b">
        <f t="shared" si="140"/>
        <v>1</v>
      </c>
      <c r="AK123" s="391" t="b">
        <f t="shared" si="141"/>
        <v>1</v>
      </c>
      <c r="AL123" s="391" t="b">
        <f t="shared" si="142"/>
        <v>1</v>
      </c>
      <c r="AM123" s="391" t="b">
        <f t="shared" si="143"/>
        <v>1</v>
      </c>
    </row>
    <row r="124" spans="1:39" x14ac:dyDescent="0.3">
      <c r="A124" s="280" t="str">
        <f>'Reference Score Calculation'!A103</f>
        <v>JS3080-2</v>
      </c>
      <c r="B124" s="280" t="str">
        <f>'Reference Score Calculation'!D103</f>
        <v/>
      </c>
      <c r="C124" s="236" t="str">
        <f>'Reference Score Calculation'!N103</f>
        <v>JS3894</v>
      </c>
      <c r="D124" s="312" t="str">
        <f>'Reference Score Calculation'!P103</f>
        <v>Best 5</v>
      </c>
      <c r="E124" s="280" t="str">
        <f>入學要求!T112</f>
        <v>v</v>
      </c>
      <c r="F124" s="280" t="str">
        <f>入學要求!U112</f>
        <v>E</v>
      </c>
      <c r="G124" s="280" t="str">
        <f>入學要求!V112</f>
        <v>NO</v>
      </c>
      <c r="H124" s="280">
        <f t="shared" si="123"/>
        <v>1.6750000000000001E-8</v>
      </c>
      <c r="I124" s="185">
        <v>7</v>
      </c>
      <c r="J124" s="185">
        <v>10</v>
      </c>
      <c r="K124" s="185">
        <v>10</v>
      </c>
      <c r="L124" s="185">
        <v>7</v>
      </c>
      <c r="M124" s="185">
        <v>5</v>
      </c>
      <c r="N124" s="185">
        <v>5</v>
      </c>
      <c r="O124" s="185">
        <v>5</v>
      </c>
      <c r="P124" s="185">
        <v>5</v>
      </c>
      <c r="Q124" s="280">
        <v>5</v>
      </c>
      <c r="R124" s="280">
        <v>5</v>
      </c>
      <c r="T124" s="280">
        <f t="shared" si="124"/>
        <v>7.0000000000000006E-10</v>
      </c>
      <c r="U124" s="280">
        <f t="shared" si="125"/>
        <v>2.0000000000000001E-9</v>
      </c>
      <c r="V124" s="280">
        <f t="shared" si="126"/>
        <v>3E-9</v>
      </c>
      <c r="W124" s="280">
        <f t="shared" si="127"/>
        <v>2.8000000000000003E-9</v>
      </c>
      <c r="X124" s="391">
        <f t="shared" si="128"/>
        <v>2.5000000000000001E-9</v>
      </c>
      <c r="Y124" s="280">
        <f t="shared" si="129"/>
        <v>3E-9</v>
      </c>
      <c r="Z124" s="280">
        <f t="shared" si="130"/>
        <v>3.4999999999999999E-9</v>
      </c>
      <c r="AA124" s="280">
        <f t="shared" si="131"/>
        <v>4.0000000000000002E-9</v>
      </c>
      <c r="AB124" s="280">
        <f t="shared" si="132"/>
        <v>4.4999999999999998E-9</v>
      </c>
      <c r="AC124" s="391">
        <f t="shared" si="133"/>
        <v>4.7500000000000003E-9</v>
      </c>
      <c r="AD124" s="391" t="b">
        <f t="shared" si="134"/>
        <v>0</v>
      </c>
      <c r="AE124" s="391" t="b">
        <f t="shared" si="135"/>
        <v>0</v>
      </c>
      <c r="AF124" s="391" t="b">
        <f t="shared" si="136"/>
        <v>0</v>
      </c>
      <c r="AG124" s="391" t="b">
        <f t="shared" si="137"/>
        <v>0</v>
      </c>
      <c r="AH124" s="391" t="b">
        <f t="shared" si="138"/>
        <v>0</v>
      </c>
      <c r="AI124" s="391" t="b">
        <f t="shared" si="139"/>
        <v>0</v>
      </c>
      <c r="AJ124" s="391" t="b">
        <f t="shared" si="140"/>
        <v>1</v>
      </c>
      <c r="AK124" s="391" t="b">
        <f t="shared" si="141"/>
        <v>1</v>
      </c>
      <c r="AL124" s="391" t="b">
        <f t="shared" si="142"/>
        <v>1</v>
      </c>
      <c r="AM124" s="391" t="b">
        <f t="shared" si="143"/>
        <v>1</v>
      </c>
    </row>
    <row r="125" spans="1:39" x14ac:dyDescent="0.3">
      <c r="A125" s="280" t="str">
        <f>'Reference Score Calculation'!A104</f>
        <v>JS3100</v>
      </c>
      <c r="B125" s="280" t="str">
        <f>'Reference Score Calculation'!D104</f>
        <v>建築及房地產(榮譽)理學士組合課程</v>
      </c>
      <c r="C125" s="236" t="str">
        <f>'Reference Score Calculation'!N104</f>
        <v>JS3442</v>
      </c>
      <c r="D125" s="312" t="str">
        <f>'Reference Score Calculation'!P104</f>
        <v>Best 5</v>
      </c>
      <c r="E125" s="280" t="str">
        <f>入學要求!T113</f>
        <v>v</v>
      </c>
      <c r="F125" s="280" t="str">
        <f>入學要求!U113</f>
        <v>E</v>
      </c>
      <c r="G125" s="280" t="str">
        <f>入學要求!V113</f>
        <v>NO</v>
      </c>
      <c r="H125" s="280">
        <f t="shared" si="123"/>
        <v>1.9750000000000001E-8</v>
      </c>
      <c r="I125" s="185">
        <v>7</v>
      </c>
      <c r="J125" s="185">
        <v>10</v>
      </c>
      <c r="K125" s="185">
        <v>7</v>
      </c>
      <c r="L125" s="185">
        <v>7</v>
      </c>
      <c r="M125" s="185">
        <v>5</v>
      </c>
      <c r="N125" s="185">
        <v>5</v>
      </c>
      <c r="O125" s="185">
        <v>5</v>
      </c>
      <c r="P125" s="185">
        <v>5</v>
      </c>
      <c r="Q125" s="280">
        <v>5</v>
      </c>
      <c r="R125" s="280">
        <v>5</v>
      </c>
      <c r="T125" s="280">
        <f t="shared" si="124"/>
        <v>7.0000000000000006E-10</v>
      </c>
      <c r="U125" s="280">
        <f t="shared" si="125"/>
        <v>2.0000000000000001E-9</v>
      </c>
      <c r="V125" s="280">
        <f t="shared" si="126"/>
        <v>2.0999999999999998E-9</v>
      </c>
      <c r="W125" s="280">
        <f t="shared" si="127"/>
        <v>2.8000000000000003E-9</v>
      </c>
      <c r="X125" s="391">
        <f t="shared" si="128"/>
        <v>2.5000000000000001E-9</v>
      </c>
      <c r="Y125" s="280">
        <f t="shared" si="129"/>
        <v>3E-9</v>
      </c>
      <c r="Z125" s="280">
        <f t="shared" si="130"/>
        <v>3.4999999999999999E-9</v>
      </c>
      <c r="AA125" s="280">
        <f t="shared" si="131"/>
        <v>4.0000000000000002E-9</v>
      </c>
      <c r="AB125" s="280">
        <f t="shared" si="132"/>
        <v>4.4999999999999998E-9</v>
      </c>
      <c r="AC125" s="391">
        <f t="shared" si="133"/>
        <v>4.7500000000000003E-9</v>
      </c>
      <c r="AD125" s="391" t="b">
        <f t="shared" si="134"/>
        <v>0</v>
      </c>
      <c r="AE125" s="391" t="b">
        <f t="shared" si="135"/>
        <v>0</v>
      </c>
      <c r="AF125" s="391" t="b">
        <f t="shared" si="136"/>
        <v>0</v>
      </c>
      <c r="AG125" s="391" t="b">
        <f t="shared" si="137"/>
        <v>0</v>
      </c>
      <c r="AH125" s="391" t="b">
        <f t="shared" si="138"/>
        <v>0</v>
      </c>
      <c r="AI125" s="391" t="b">
        <f t="shared" si="139"/>
        <v>1</v>
      </c>
      <c r="AJ125" s="391" t="b">
        <f t="shared" si="140"/>
        <v>1</v>
      </c>
      <c r="AK125" s="391" t="b">
        <f t="shared" si="141"/>
        <v>1</v>
      </c>
      <c r="AL125" s="391" t="b">
        <f t="shared" si="142"/>
        <v>1</v>
      </c>
      <c r="AM125" s="391" t="b">
        <f t="shared" si="143"/>
        <v>1</v>
      </c>
    </row>
    <row r="126" spans="1:39" x14ac:dyDescent="0.3">
      <c r="A126" s="280" t="str">
        <f>'Reference Score Calculation'!A105</f>
        <v>JS3100-2</v>
      </c>
      <c r="B126" s="280" t="str">
        <f>'Reference Score Calculation'!D105</f>
        <v/>
      </c>
      <c r="C126" s="236" t="str">
        <f>'Reference Score Calculation'!N105</f>
        <v>JS3789</v>
      </c>
      <c r="D126" s="312" t="str">
        <f>'Reference Score Calculation'!P105</f>
        <v>Best 5</v>
      </c>
      <c r="E126" s="280" t="str">
        <f>入學要求!T114</f>
        <v>v</v>
      </c>
      <c r="F126" s="280" t="str">
        <f>入學要求!U114</f>
        <v>E</v>
      </c>
      <c r="G126" s="280" t="str">
        <f>入學要求!V114</f>
        <v>NO</v>
      </c>
      <c r="H126" s="280">
        <f t="shared" si="123"/>
        <v>1.9750000000000001E-8</v>
      </c>
      <c r="I126" s="185">
        <v>7</v>
      </c>
      <c r="J126" s="185">
        <v>10</v>
      </c>
      <c r="K126" s="185">
        <v>7</v>
      </c>
      <c r="L126" s="185">
        <v>7</v>
      </c>
      <c r="M126" s="185">
        <v>5</v>
      </c>
      <c r="N126" s="185">
        <v>5</v>
      </c>
      <c r="O126" s="185">
        <v>5</v>
      </c>
      <c r="P126" s="185">
        <v>5</v>
      </c>
      <c r="Q126" s="280">
        <v>5</v>
      </c>
      <c r="R126" s="280">
        <v>5</v>
      </c>
      <c r="T126" s="280">
        <f t="shared" si="124"/>
        <v>7.0000000000000006E-10</v>
      </c>
      <c r="U126" s="280">
        <f t="shared" si="125"/>
        <v>2.0000000000000001E-9</v>
      </c>
      <c r="V126" s="280">
        <f t="shared" si="126"/>
        <v>2.0999999999999998E-9</v>
      </c>
      <c r="W126" s="280">
        <f t="shared" si="127"/>
        <v>2.8000000000000003E-9</v>
      </c>
      <c r="X126" s="391">
        <f t="shared" si="128"/>
        <v>2.5000000000000001E-9</v>
      </c>
      <c r="Y126" s="280">
        <f t="shared" si="129"/>
        <v>3E-9</v>
      </c>
      <c r="Z126" s="280">
        <f t="shared" si="130"/>
        <v>3.4999999999999999E-9</v>
      </c>
      <c r="AA126" s="280">
        <f t="shared" si="131"/>
        <v>4.0000000000000002E-9</v>
      </c>
      <c r="AB126" s="280">
        <f t="shared" si="132"/>
        <v>4.4999999999999998E-9</v>
      </c>
      <c r="AC126" s="391">
        <f t="shared" si="133"/>
        <v>4.7500000000000003E-9</v>
      </c>
      <c r="AD126" s="391" t="b">
        <f t="shared" si="134"/>
        <v>0</v>
      </c>
      <c r="AE126" s="391" t="b">
        <f t="shared" si="135"/>
        <v>0</v>
      </c>
      <c r="AF126" s="391" t="b">
        <f t="shared" si="136"/>
        <v>0</v>
      </c>
      <c r="AG126" s="391" t="b">
        <f t="shared" si="137"/>
        <v>0</v>
      </c>
      <c r="AH126" s="391" t="b">
        <f t="shared" si="138"/>
        <v>0</v>
      </c>
      <c r="AI126" s="391" t="b">
        <f t="shared" si="139"/>
        <v>1</v>
      </c>
      <c r="AJ126" s="391" t="b">
        <f t="shared" si="140"/>
        <v>1</v>
      </c>
      <c r="AK126" s="391" t="b">
        <f t="shared" si="141"/>
        <v>1</v>
      </c>
      <c r="AL126" s="391" t="b">
        <f t="shared" si="142"/>
        <v>1</v>
      </c>
      <c r="AM126" s="391" t="b">
        <f t="shared" si="143"/>
        <v>1</v>
      </c>
    </row>
    <row r="127" spans="1:39" x14ac:dyDescent="0.3">
      <c r="A127" s="280" t="str">
        <f>'Reference Score Calculation'!A106</f>
        <v>JS3100-3</v>
      </c>
      <c r="B127" s="280" t="str">
        <f>'Reference Score Calculation'!D106</f>
        <v/>
      </c>
      <c r="C127" s="236" t="str">
        <f>'Reference Score Calculation'!N106</f>
        <v>JS3791</v>
      </c>
      <c r="D127" s="312" t="str">
        <f>'Reference Score Calculation'!P106</f>
        <v>Best 5</v>
      </c>
      <c r="E127" s="280" t="str">
        <f>入學要求!T115</f>
        <v>v</v>
      </c>
      <c r="F127" s="280" t="str">
        <f>入學要求!U115</f>
        <v>E</v>
      </c>
      <c r="G127" s="280" t="str">
        <f>入學要求!V115</f>
        <v>NO</v>
      </c>
      <c r="H127" s="280">
        <f t="shared" si="123"/>
        <v>2.175E-8</v>
      </c>
      <c r="I127" s="185">
        <v>7</v>
      </c>
      <c r="J127" s="185">
        <v>10</v>
      </c>
      <c r="K127" s="185">
        <v>10</v>
      </c>
      <c r="L127" s="185">
        <v>7</v>
      </c>
      <c r="M127" s="185">
        <v>10</v>
      </c>
      <c r="N127" s="185">
        <f>IF(OR(N1="物理",N1="組合科學(物理、化學)",N1="組合科學(物理、生物)"),10,5)</f>
        <v>5</v>
      </c>
      <c r="O127" s="280">
        <f>IF(OR(O1="物理",O1="組合科學(物理、化學)",O1="組合科學(物理、生物)"),10,5)</f>
        <v>5</v>
      </c>
      <c r="P127" s="280">
        <f>IF(OR(P1="物理",P1="組合科學(物理、化學)",P1="組合科學(物理、生物)"),10,5)</f>
        <v>5</v>
      </c>
      <c r="Q127" s="280">
        <f>IF(OR(Q1="物理",Q1="組合科學(物理、化學)",Q1="組合科學(物理、生物)"),10,5)</f>
        <v>5</v>
      </c>
      <c r="R127" s="280">
        <v>5</v>
      </c>
      <c r="T127" s="280">
        <f t="shared" si="124"/>
        <v>7.0000000000000006E-10</v>
      </c>
      <c r="U127" s="280">
        <f t="shared" si="125"/>
        <v>2.0000000000000001E-9</v>
      </c>
      <c r="V127" s="280">
        <f t="shared" si="126"/>
        <v>3E-9</v>
      </c>
      <c r="W127" s="280">
        <f t="shared" si="127"/>
        <v>2.8000000000000003E-9</v>
      </c>
      <c r="X127" s="391">
        <f t="shared" si="128"/>
        <v>5.0000000000000001E-9</v>
      </c>
      <c r="Y127" s="280">
        <f t="shared" si="129"/>
        <v>3E-9</v>
      </c>
      <c r="Z127" s="280">
        <f t="shared" si="130"/>
        <v>3.4999999999999999E-9</v>
      </c>
      <c r="AA127" s="280">
        <f t="shared" si="131"/>
        <v>4.0000000000000002E-9</v>
      </c>
      <c r="AB127" s="280">
        <f t="shared" si="132"/>
        <v>4.4999999999999998E-9</v>
      </c>
      <c r="AC127" s="391">
        <f t="shared" si="133"/>
        <v>4.7500000000000003E-9</v>
      </c>
      <c r="AD127" s="391" t="b">
        <f t="shared" si="134"/>
        <v>0</v>
      </c>
      <c r="AE127" s="391" t="b">
        <f t="shared" si="135"/>
        <v>0</v>
      </c>
      <c r="AF127" s="391" t="b">
        <f t="shared" si="136"/>
        <v>0</v>
      </c>
      <c r="AG127" s="391" t="b">
        <f t="shared" si="137"/>
        <v>0</v>
      </c>
      <c r="AH127" s="391" t="b">
        <f t="shared" si="138"/>
        <v>1</v>
      </c>
      <c r="AI127" s="391" t="b">
        <f t="shared" si="139"/>
        <v>0</v>
      </c>
      <c r="AJ127" s="391" t="b">
        <f t="shared" si="140"/>
        <v>1</v>
      </c>
      <c r="AK127" s="391" t="b">
        <f t="shared" si="141"/>
        <v>1</v>
      </c>
      <c r="AL127" s="391" t="b">
        <f t="shared" si="142"/>
        <v>1</v>
      </c>
      <c r="AM127" s="391" t="b">
        <f t="shared" si="143"/>
        <v>1</v>
      </c>
    </row>
    <row r="128" spans="1:39" x14ac:dyDescent="0.3">
      <c r="A128" s="280" t="str">
        <f>'Reference Score Calculation'!A107</f>
        <v>JS3110</v>
      </c>
      <c r="B128" s="280" t="str">
        <f>'Reference Score Calculation'!D107</f>
        <v>建築科學及工程學(榮譽)工學士組合課程</v>
      </c>
      <c r="C128" s="236" t="str">
        <f>'Reference Score Calculation'!N107</f>
        <v>JS3753</v>
      </c>
      <c r="D128" s="312" t="str">
        <f>'Reference Score Calculation'!P107</f>
        <v>Best 5</v>
      </c>
      <c r="E128" s="280" t="str">
        <f>入學要求!T116</f>
        <v>v</v>
      </c>
      <c r="F128" s="280" t="str">
        <f>入學要求!U116</f>
        <v>E</v>
      </c>
      <c r="G128" s="280" t="str">
        <f>入學要求!V116</f>
        <v>v</v>
      </c>
      <c r="H128" s="280">
        <f t="shared" si="123"/>
        <v>1.6750000000000001E-8</v>
      </c>
      <c r="I128" s="185">
        <v>7</v>
      </c>
      <c r="J128" s="185">
        <v>10</v>
      </c>
      <c r="K128" s="185">
        <v>10</v>
      </c>
      <c r="L128" s="185">
        <v>7</v>
      </c>
      <c r="M128" s="185">
        <v>5</v>
      </c>
      <c r="N128" s="185">
        <f>IF(OR(N1="物理",N1="組合科學(物理、化學)",N1="組合科學(物理、生物)"),10,5)</f>
        <v>5</v>
      </c>
      <c r="O128" s="280">
        <f>IF(OR(O1="物理",O1="組合科學(物理、化學)",O1="組合科學(物理、生物)"),10,5)</f>
        <v>5</v>
      </c>
      <c r="P128" s="280">
        <f>IF(OR(P1="物理",P1="組合科學(物理、化學)",P1="組合科學(物理、生物)"),10,5)</f>
        <v>5</v>
      </c>
      <c r="Q128" s="280">
        <f>IF(OR(Q1="物理",Q1="組合科學(物理、化學)",Q1="組合科學(物理、生物)"),10,5)</f>
        <v>5</v>
      </c>
      <c r="R128" s="280">
        <v>5</v>
      </c>
      <c r="T128" s="280">
        <f t="shared" si="124"/>
        <v>7.0000000000000006E-10</v>
      </c>
      <c r="U128" s="280">
        <f t="shared" si="125"/>
        <v>2.0000000000000001E-9</v>
      </c>
      <c r="V128" s="280">
        <f t="shared" si="126"/>
        <v>3E-9</v>
      </c>
      <c r="W128" s="280">
        <f t="shared" si="127"/>
        <v>2.8000000000000003E-9</v>
      </c>
      <c r="X128" s="391">
        <f t="shared" si="128"/>
        <v>2.5000000000000001E-9</v>
      </c>
      <c r="Y128" s="280">
        <f t="shared" si="129"/>
        <v>3E-9</v>
      </c>
      <c r="Z128" s="280">
        <f t="shared" si="130"/>
        <v>3.4999999999999999E-9</v>
      </c>
      <c r="AA128" s="280">
        <f t="shared" si="131"/>
        <v>4.0000000000000002E-9</v>
      </c>
      <c r="AB128" s="280">
        <f t="shared" si="132"/>
        <v>4.4999999999999998E-9</v>
      </c>
      <c r="AC128" s="391">
        <f t="shared" si="133"/>
        <v>4.7500000000000003E-9</v>
      </c>
      <c r="AD128" s="391" t="b">
        <f t="shared" si="134"/>
        <v>0</v>
      </c>
      <c r="AE128" s="391" t="b">
        <f t="shared" si="135"/>
        <v>0</v>
      </c>
      <c r="AF128" s="391" t="b">
        <f t="shared" si="136"/>
        <v>0</v>
      </c>
      <c r="AG128" s="391" t="b">
        <f t="shared" si="137"/>
        <v>0</v>
      </c>
      <c r="AH128" s="391" t="b">
        <f t="shared" si="138"/>
        <v>0</v>
      </c>
      <c r="AI128" s="391" t="b">
        <f t="shared" si="139"/>
        <v>0</v>
      </c>
      <c r="AJ128" s="391" t="b">
        <f t="shared" si="140"/>
        <v>1</v>
      </c>
      <c r="AK128" s="391" t="b">
        <f t="shared" si="141"/>
        <v>1</v>
      </c>
      <c r="AL128" s="391" t="b">
        <f t="shared" si="142"/>
        <v>1</v>
      </c>
      <c r="AM128" s="391" t="b">
        <f t="shared" si="143"/>
        <v>1</v>
      </c>
    </row>
    <row r="129" spans="1:39" x14ac:dyDescent="0.3">
      <c r="A129" s="280" t="str">
        <f>'Reference Score Calculation'!A108</f>
        <v>JS3120</v>
      </c>
      <c r="B129" s="280" t="str">
        <f>'Reference Score Calculation'!D108</f>
        <v>土木工程及可持續發展學(榮譽)工學士組合課程</v>
      </c>
      <c r="C129" s="236" t="str">
        <f>'Reference Score Calculation'!N108</f>
        <v>JS3375</v>
      </c>
      <c r="D129" s="312" t="str">
        <f>'Reference Score Calculation'!P108</f>
        <v>Best 5</v>
      </c>
      <c r="E129" s="280" t="str">
        <f>入學要求!T117</f>
        <v>v</v>
      </c>
      <c r="F129" s="280" t="str">
        <f>入學要求!U117</f>
        <v>E</v>
      </c>
      <c r="G129" s="280" t="str">
        <f>入學要求!V117</f>
        <v>v</v>
      </c>
      <c r="H129" s="280">
        <f t="shared" si="123"/>
        <v>2.2250000000000001E-8</v>
      </c>
      <c r="I129" s="185">
        <v>10</v>
      </c>
      <c r="J129" s="185">
        <v>10</v>
      </c>
      <c r="K129" s="185">
        <v>10</v>
      </c>
      <c r="L129" s="185">
        <v>10</v>
      </c>
      <c r="M129" s="185">
        <v>10</v>
      </c>
      <c r="N129" s="185">
        <f>IF(OR(N1="生物",N1="化學",N1="物理",N1="組合科學(物理、化學)",N1="組合科學(生物、化學)",N1="組合科學(物理、生物)",N1="經濟",N1="地理",N1="綜合科學"),10,5)</f>
        <v>5</v>
      </c>
      <c r="O129" s="280">
        <f>IF(OR(O1="生物",O1="化學",O1="物理",O1="組合科學(物理、化學)",O1="組合科學(生物、化學)",O1="組合科學(物理、生物)",O1="經濟",O1="地理",O1="綜合科學"),10,5)</f>
        <v>5</v>
      </c>
      <c r="P129" s="280">
        <f>IF(OR(P1="生物",P1="化學",P1="物理",P1="組合科學(物理、化學)",P1="組合科學(生物、化學)",P1="組合科學(物理、生物)",P1="經濟",P1="地理",P1="綜合科學"),10,5)</f>
        <v>5</v>
      </c>
      <c r="Q129" s="280">
        <f>IF(OR(Q1="生物",Q1="化學",Q1="物理",Q1="組合科學(物理、化學)",Q1="組合科學(生物、化學)",Q1="組合科學(物理、生物)",Q1="經濟",Q1="地理",Q1="綜合科學"),10,5)</f>
        <v>5</v>
      </c>
      <c r="R129" s="280">
        <v>5</v>
      </c>
      <c r="T129" s="280">
        <f t="shared" si="124"/>
        <v>1.0000000000000001E-9</v>
      </c>
      <c r="U129" s="280">
        <f t="shared" si="125"/>
        <v>2.0000000000000001E-9</v>
      </c>
      <c r="V129" s="280">
        <f t="shared" si="126"/>
        <v>3E-9</v>
      </c>
      <c r="W129" s="280">
        <f t="shared" si="127"/>
        <v>4.0000000000000002E-9</v>
      </c>
      <c r="X129" s="391">
        <f t="shared" si="128"/>
        <v>5.0000000000000001E-9</v>
      </c>
      <c r="Y129" s="280">
        <f t="shared" si="129"/>
        <v>3E-9</v>
      </c>
      <c r="Z129" s="280">
        <f t="shared" si="130"/>
        <v>3.4999999999999999E-9</v>
      </c>
      <c r="AA129" s="280">
        <f t="shared" si="131"/>
        <v>4.0000000000000002E-9</v>
      </c>
      <c r="AB129" s="280">
        <f t="shared" si="132"/>
        <v>4.4999999999999998E-9</v>
      </c>
      <c r="AC129" s="391">
        <f t="shared" si="133"/>
        <v>4.7500000000000003E-9</v>
      </c>
      <c r="AD129" s="391" t="b">
        <f t="shared" si="134"/>
        <v>0</v>
      </c>
      <c r="AE129" s="391" t="b">
        <f t="shared" si="135"/>
        <v>0</v>
      </c>
      <c r="AF129" s="391" t="b">
        <f t="shared" si="136"/>
        <v>0</v>
      </c>
      <c r="AG129" s="391" t="b">
        <f t="shared" si="137"/>
        <v>1</v>
      </c>
      <c r="AH129" s="391" t="b">
        <f t="shared" si="138"/>
        <v>1</v>
      </c>
      <c r="AI129" s="391" t="b">
        <f t="shared" si="139"/>
        <v>0</v>
      </c>
      <c r="AJ129" s="391" t="b">
        <f t="shared" si="140"/>
        <v>0</v>
      </c>
      <c r="AK129" s="391" t="b">
        <f t="shared" si="141"/>
        <v>1</v>
      </c>
      <c r="AL129" s="391" t="b">
        <f t="shared" si="142"/>
        <v>1</v>
      </c>
      <c r="AM129" s="391" t="b">
        <f t="shared" si="143"/>
        <v>1</v>
      </c>
    </row>
    <row r="130" spans="1:39" x14ac:dyDescent="0.3">
      <c r="A130" s="280" t="str">
        <f>'Reference Score Calculation'!A109</f>
        <v>JS3120-2</v>
      </c>
      <c r="B130" s="280" t="str">
        <f>'Reference Score Calculation'!D109</f>
        <v/>
      </c>
      <c r="C130" s="236" t="str">
        <f>'Reference Score Calculation'!N109</f>
        <v>JS3739</v>
      </c>
      <c r="D130" s="312" t="str">
        <f>'Reference Score Calculation'!P109</f>
        <v>Best 5</v>
      </c>
      <c r="E130" s="280" t="str">
        <f>入學要求!T118</f>
        <v>v</v>
      </c>
      <c r="F130" s="280" t="str">
        <f>入學要求!U118</f>
        <v>E</v>
      </c>
      <c r="G130" s="280" t="str">
        <f>入學要求!V118</f>
        <v>v</v>
      </c>
      <c r="H130" s="280">
        <f t="shared" si="123"/>
        <v>2.175E-8</v>
      </c>
      <c r="I130" s="185">
        <v>7</v>
      </c>
      <c r="J130" s="185">
        <v>10</v>
      </c>
      <c r="K130" s="185">
        <v>10</v>
      </c>
      <c r="L130" s="185">
        <v>7</v>
      </c>
      <c r="M130" s="185">
        <v>10</v>
      </c>
      <c r="N130" s="185">
        <f>IF(OR(N1="物理",N1="組合科學(物理、化學)",N1="組合科學(物理、生物)"),10,5)</f>
        <v>5</v>
      </c>
      <c r="O130" s="280">
        <f>IF(OR(O1="物理",O1="組合科學(物理、化學)",O1="組合科學(物理、生物)"),10,5)</f>
        <v>5</v>
      </c>
      <c r="P130" s="280">
        <f>IF(OR(P1="物理",P1="組合科學(物理、化學)",P1="組合科學(物理、生物)"),10,5)</f>
        <v>5</v>
      </c>
      <c r="Q130" s="280">
        <f>IF(OR(Q1="物理",Q1="組合科學(物理、化學)",Q1="組合科學(物理、生物)"),10,5)</f>
        <v>5</v>
      </c>
      <c r="R130" s="280">
        <v>5</v>
      </c>
      <c r="T130" s="280">
        <f t="shared" si="124"/>
        <v>7.0000000000000006E-10</v>
      </c>
      <c r="U130" s="280">
        <f t="shared" si="125"/>
        <v>2.0000000000000001E-9</v>
      </c>
      <c r="V130" s="280">
        <f t="shared" si="126"/>
        <v>3E-9</v>
      </c>
      <c r="W130" s="280">
        <f t="shared" si="127"/>
        <v>2.8000000000000003E-9</v>
      </c>
      <c r="X130" s="391">
        <f t="shared" si="128"/>
        <v>5.0000000000000001E-9</v>
      </c>
      <c r="Y130" s="280">
        <f t="shared" si="129"/>
        <v>3E-9</v>
      </c>
      <c r="Z130" s="280">
        <f t="shared" si="130"/>
        <v>3.4999999999999999E-9</v>
      </c>
      <c r="AA130" s="280">
        <f t="shared" si="131"/>
        <v>4.0000000000000002E-9</v>
      </c>
      <c r="AB130" s="280">
        <f t="shared" si="132"/>
        <v>4.4999999999999998E-9</v>
      </c>
      <c r="AC130" s="391">
        <f t="shared" si="133"/>
        <v>4.7500000000000003E-9</v>
      </c>
      <c r="AD130" s="391" t="b">
        <f t="shared" si="134"/>
        <v>0</v>
      </c>
      <c r="AE130" s="391" t="b">
        <f t="shared" si="135"/>
        <v>0</v>
      </c>
      <c r="AF130" s="391" t="b">
        <f t="shared" si="136"/>
        <v>0</v>
      </c>
      <c r="AG130" s="391" t="b">
        <f t="shared" si="137"/>
        <v>0</v>
      </c>
      <c r="AH130" s="391" t="b">
        <f t="shared" si="138"/>
        <v>1</v>
      </c>
      <c r="AI130" s="391" t="b">
        <f t="shared" si="139"/>
        <v>0</v>
      </c>
      <c r="AJ130" s="391" t="b">
        <f t="shared" si="140"/>
        <v>1</v>
      </c>
      <c r="AK130" s="391" t="b">
        <f t="shared" si="141"/>
        <v>1</v>
      </c>
      <c r="AL130" s="391" t="b">
        <f t="shared" si="142"/>
        <v>1</v>
      </c>
      <c r="AM130" s="391" t="b">
        <f t="shared" si="143"/>
        <v>1</v>
      </c>
    </row>
    <row r="131" spans="1:39" x14ac:dyDescent="0.3">
      <c r="A131" s="280" t="str">
        <f>'Reference Score Calculation'!A110</f>
        <v>JS3120-3</v>
      </c>
      <c r="B131" s="280" t="str">
        <f>'Reference Score Calculation'!D110</f>
        <v/>
      </c>
      <c r="C131" s="236" t="str">
        <f>'Reference Score Calculation'!N110</f>
        <v>JS3777</v>
      </c>
      <c r="D131" s="312" t="str">
        <f>'Reference Score Calculation'!P110</f>
        <v>Best 5</v>
      </c>
      <c r="E131" s="280" t="str">
        <f>入學要求!T119</f>
        <v>v</v>
      </c>
      <c r="F131" s="280" t="str">
        <f>入學要求!U119</f>
        <v>E</v>
      </c>
      <c r="G131" s="280" t="str">
        <f>入學要求!V119</f>
        <v>v</v>
      </c>
      <c r="H131" s="280">
        <f t="shared" si="123"/>
        <v>2.175E-8</v>
      </c>
      <c r="I131" s="185">
        <v>7</v>
      </c>
      <c r="J131" s="185">
        <v>10</v>
      </c>
      <c r="K131" s="185">
        <v>10</v>
      </c>
      <c r="L131" s="185">
        <v>7</v>
      </c>
      <c r="M131" s="185">
        <v>10</v>
      </c>
      <c r="N131" s="185">
        <f>IF(OR(N1="物理",N1="組合科學(物理、化學)",N1="組合科學(物理、生物)"),10,5)</f>
        <v>5</v>
      </c>
      <c r="O131" s="280">
        <f>IF(OR(O1="物理",O1="組合科學(物理、化學)",O1="組合科學(物理、生物)"),10,5)</f>
        <v>5</v>
      </c>
      <c r="P131" s="280">
        <f>IF(OR(P1="物理",P1="組合科學(物理、化學)",P1="組合科學(物理、生物)"),10,5)</f>
        <v>5</v>
      </c>
      <c r="Q131" s="280">
        <f>IF(OR(Q1="物理",Q1="組合科學(物理、化學)",Q1="組合科學(物理、生物)"),10,5)</f>
        <v>5</v>
      </c>
      <c r="R131" s="280">
        <v>5</v>
      </c>
      <c r="T131" s="280">
        <f t="shared" si="124"/>
        <v>7.0000000000000006E-10</v>
      </c>
      <c r="U131" s="280">
        <f t="shared" si="125"/>
        <v>2.0000000000000001E-9</v>
      </c>
      <c r="V131" s="280">
        <f t="shared" si="126"/>
        <v>3E-9</v>
      </c>
      <c r="W131" s="280">
        <f t="shared" si="127"/>
        <v>2.8000000000000003E-9</v>
      </c>
      <c r="X131" s="391">
        <f t="shared" si="128"/>
        <v>5.0000000000000001E-9</v>
      </c>
      <c r="Y131" s="280">
        <f t="shared" si="129"/>
        <v>3E-9</v>
      </c>
      <c r="Z131" s="280">
        <f t="shared" si="130"/>
        <v>3.4999999999999999E-9</v>
      </c>
      <c r="AA131" s="280">
        <f t="shared" si="131"/>
        <v>4.0000000000000002E-9</v>
      </c>
      <c r="AB131" s="280">
        <f t="shared" si="132"/>
        <v>4.4999999999999998E-9</v>
      </c>
      <c r="AC131" s="391">
        <f t="shared" si="133"/>
        <v>4.7500000000000003E-9</v>
      </c>
      <c r="AD131" s="391" t="b">
        <f t="shared" si="134"/>
        <v>0</v>
      </c>
      <c r="AE131" s="391" t="b">
        <f t="shared" si="135"/>
        <v>0</v>
      </c>
      <c r="AF131" s="391" t="b">
        <f t="shared" si="136"/>
        <v>0</v>
      </c>
      <c r="AG131" s="391" t="b">
        <f t="shared" si="137"/>
        <v>0</v>
      </c>
      <c r="AH131" s="391" t="b">
        <f t="shared" si="138"/>
        <v>1</v>
      </c>
      <c r="AI131" s="391" t="b">
        <f t="shared" si="139"/>
        <v>0</v>
      </c>
      <c r="AJ131" s="391" t="b">
        <f t="shared" si="140"/>
        <v>1</v>
      </c>
      <c r="AK131" s="391" t="b">
        <f t="shared" si="141"/>
        <v>1</v>
      </c>
      <c r="AL131" s="391" t="b">
        <f t="shared" si="142"/>
        <v>1</v>
      </c>
      <c r="AM131" s="391" t="b">
        <f t="shared" si="143"/>
        <v>1</v>
      </c>
    </row>
    <row r="132" spans="1:39" x14ac:dyDescent="0.3">
      <c r="A132" s="280" t="str">
        <f>'Reference Score Calculation'!A111</f>
        <v>JS3130</v>
      </c>
      <c r="B132" s="280" t="str">
        <f>'Reference Score Calculation'!D111</f>
        <v>空間數據科學及智慧城市(榮譽)理學士組合課程 - 土地測量及地理資訊學(榮譽)理學士</v>
      </c>
      <c r="C132" s="236" t="str">
        <f>'Reference Score Calculation'!N111</f>
        <v>JS3387</v>
      </c>
      <c r="D132" s="312" t="str">
        <f>'Reference Score Calculation'!P111</f>
        <v>Best 5</v>
      </c>
      <c r="E132" s="280" t="str">
        <f>入學要求!T120</f>
        <v>v</v>
      </c>
      <c r="F132" s="280" t="str">
        <f>入學要求!U120</f>
        <v>E</v>
      </c>
      <c r="G132" s="280" t="str">
        <f>入學要求!V120</f>
        <v>NO</v>
      </c>
      <c r="H132" s="280">
        <f t="shared" si="123"/>
        <v>2.175E-8</v>
      </c>
      <c r="I132" s="185">
        <v>7</v>
      </c>
      <c r="J132" s="185">
        <v>10</v>
      </c>
      <c r="K132" s="185">
        <v>10</v>
      </c>
      <c r="L132" s="185">
        <v>7</v>
      </c>
      <c r="M132" s="185">
        <v>10</v>
      </c>
      <c r="N132" s="185">
        <f>IF(OR(N1="物理",N1="組合科學(物理、化學)",N1="組合科學(物理、生物)",N1="地理",N1="資訊及通訊科技",N1="綜合科學"),10,5)</f>
        <v>5</v>
      </c>
      <c r="O132" s="280">
        <f>IF(OR(O1="物理",O1="組合科學(物理、化學)",O1="組合科學(物理、生物)",O1="地理",O1="資訊及通訊科技",O1="綜合科學"),10,5)</f>
        <v>5</v>
      </c>
      <c r="P132" s="280">
        <f>IF(OR(P1="物理",P1="組合科學(物理、化學)",P1="組合科學(物理、生物)",P1="地理",P1="資訊及通訊科技",P1="綜合科學"),10,5)</f>
        <v>5</v>
      </c>
      <c r="Q132" s="280">
        <f>IF(OR(Q1="物理",Q1="組合科學(物理、化學)",Q1="組合科學(物理、生物)",Q1="地理",Q1="資訊及通訊科技",Q1="綜合科學"),10,5)</f>
        <v>5</v>
      </c>
      <c r="R132" s="280">
        <v>5</v>
      </c>
      <c r="T132" s="280">
        <f t="shared" si="124"/>
        <v>7.0000000000000006E-10</v>
      </c>
      <c r="U132" s="280">
        <f t="shared" si="125"/>
        <v>2.0000000000000001E-9</v>
      </c>
      <c r="V132" s="280">
        <f t="shared" si="126"/>
        <v>3E-9</v>
      </c>
      <c r="W132" s="280">
        <f t="shared" si="127"/>
        <v>2.8000000000000003E-9</v>
      </c>
      <c r="X132" s="391">
        <f t="shared" si="128"/>
        <v>5.0000000000000001E-9</v>
      </c>
      <c r="Y132" s="280">
        <f t="shared" si="129"/>
        <v>3E-9</v>
      </c>
      <c r="Z132" s="280">
        <f t="shared" si="130"/>
        <v>3.4999999999999999E-9</v>
      </c>
      <c r="AA132" s="280">
        <f t="shared" si="131"/>
        <v>4.0000000000000002E-9</v>
      </c>
      <c r="AB132" s="280">
        <f t="shared" si="132"/>
        <v>4.4999999999999998E-9</v>
      </c>
      <c r="AC132" s="391">
        <f t="shared" si="133"/>
        <v>4.7500000000000003E-9</v>
      </c>
      <c r="AD132" s="391" t="b">
        <f t="shared" si="134"/>
        <v>0</v>
      </c>
      <c r="AE132" s="391" t="b">
        <f t="shared" si="135"/>
        <v>0</v>
      </c>
      <c r="AF132" s="391" t="b">
        <f t="shared" si="136"/>
        <v>0</v>
      </c>
      <c r="AG132" s="391" t="b">
        <f t="shared" si="137"/>
        <v>0</v>
      </c>
      <c r="AH132" s="391" t="b">
        <f t="shared" si="138"/>
        <v>1</v>
      </c>
      <c r="AI132" s="391" t="b">
        <f t="shared" si="139"/>
        <v>0</v>
      </c>
      <c r="AJ132" s="391" t="b">
        <f t="shared" si="140"/>
        <v>1</v>
      </c>
      <c r="AK132" s="391" t="b">
        <f t="shared" si="141"/>
        <v>1</v>
      </c>
      <c r="AL132" s="391" t="b">
        <f t="shared" si="142"/>
        <v>1</v>
      </c>
      <c r="AM132" s="391" t="b">
        <f t="shared" si="143"/>
        <v>1</v>
      </c>
    </row>
    <row r="133" spans="1:39" x14ac:dyDescent="0.3">
      <c r="A133" s="280" t="str">
        <f>'Reference Score Calculation'!A112</f>
        <v>JS3140</v>
      </c>
      <c r="B133" s="280" t="str">
        <f>'Reference Score Calculation'!D112</f>
        <v>航空工程學(榮譽)工學士組合課程</v>
      </c>
      <c r="C133" s="236" t="str">
        <f>'Reference Score Calculation'!N112</f>
        <v>JS3507</v>
      </c>
      <c r="D133" s="312" t="str">
        <f>'Reference Score Calculation'!P112</f>
        <v>Best 5</v>
      </c>
      <c r="E133" s="280" t="str">
        <f>入學要求!T121</f>
        <v>v</v>
      </c>
      <c r="F133" s="280" t="str">
        <f>入學要求!U121</f>
        <v>E</v>
      </c>
      <c r="G133" s="280" t="str">
        <f>入學要求!V121</f>
        <v>NO</v>
      </c>
      <c r="H133" s="280">
        <f t="shared" si="123"/>
        <v>2.175E-8</v>
      </c>
      <c r="I133" s="185">
        <v>7</v>
      </c>
      <c r="J133" s="185">
        <v>10</v>
      </c>
      <c r="K133" s="185">
        <v>10</v>
      </c>
      <c r="L133" s="185">
        <v>7</v>
      </c>
      <c r="M133" s="185">
        <v>10</v>
      </c>
      <c r="N133" s="185">
        <f>IF(OR(N1="生物",N1="化學",N1="物理",N1="組合科學(物理、化學)",N1="組合科學(生物、化學)",N1="組合科學(物理、生物)",N1="資訊及通訊科技"),10,5)</f>
        <v>5</v>
      </c>
      <c r="O133" s="280">
        <f>IF(OR(O1="生物",O1="化學",O1="物理",O1="組合科學(物理、化學)",O1="組合科學(生物、化學)",O1="組合科學(物理、生物)",O1="資訊及通訊科技"),10,5)</f>
        <v>5</v>
      </c>
      <c r="P133" s="280">
        <f>IF(OR(P1="生物",P1="化學",P1="物理",P1="組合科學(物理、化學)",P1="組合科學(生物、化學)",P1="組合科學(物理、生物)",P1="資訊及通訊科技"),10,5)</f>
        <v>5</v>
      </c>
      <c r="Q133" s="280">
        <f>IF(OR(Q1="生物",Q1="化學",Q1="物理",Q1="組合科學(物理、化學)",Q1="組合科學(生物、化學)",Q1="組合科學(物理、生物)",Q1="資訊及通訊科技"),10,5)</f>
        <v>5</v>
      </c>
      <c r="R133" s="280">
        <v>5</v>
      </c>
      <c r="T133" s="280">
        <f t="shared" si="124"/>
        <v>7.0000000000000006E-10</v>
      </c>
      <c r="U133" s="280">
        <f t="shared" si="125"/>
        <v>2.0000000000000001E-9</v>
      </c>
      <c r="V133" s="280">
        <f t="shared" si="126"/>
        <v>3E-9</v>
      </c>
      <c r="W133" s="280">
        <f t="shared" si="127"/>
        <v>2.8000000000000003E-9</v>
      </c>
      <c r="X133" s="391">
        <f t="shared" si="128"/>
        <v>5.0000000000000001E-9</v>
      </c>
      <c r="Y133" s="280">
        <f t="shared" si="129"/>
        <v>3E-9</v>
      </c>
      <c r="Z133" s="280">
        <f t="shared" si="130"/>
        <v>3.4999999999999999E-9</v>
      </c>
      <c r="AA133" s="280">
        <f t="shared" si="131"/>
        <v>4.0000000000000002E-9</v>
      </c>
      <c r="AB133" s="280">
        <f t="shared" si="132"/>
        <v>4.4999999999999998E-9</v>
      </c>
      <c r="AC133" s="391">
        <f t="shared" si="133"/>
        <v>4.7500000000000003E-9</v>
      </c>
      <c r="AD133" s="391" t="b">
        <f t="shared" si="134"/>
        <v>0</v>
      </c>
      <c r="AE133" s="391" t="b">
        <f t="shared" si="135"/>
        <v>0</v>
      </c>
      <c r="AF133" s="391" t="b">
        <f t="shared" si="136"/>
        <v>0</v>
      </c>
      <c r="AG133" s="391" t="b">
        <f t="shared" si="137"/>
        <v>0</v>
      </c>
      <c r="AH133" s="391" t="b">
        <f t="shared" si="138"/>
        <v>1</v>
      </c>
      <c r="AI133" s="391" t="b">
        <f t="shared" si="139"/>
        <v>0</v>
      </c>
      <c r="AJ133" s="391" t="b">
        <f t="shared" si="140"/>
        <v>1</v>
      </c>
      <c r="AK133" s="391" t="b">
        <f t="shared" si="141"/>
        <v>1</v>
      </c>
      <c r="AL133" s="391" t="b">
        <f t="shared" si="142"/>
        <v>1</v>
      </c>
      <c r="AM133" s="391" t="b">
        <f t="shared" si="143"/>
        <v>1</v>
      </c>
    </row>
    <row r="134" spans="1:39" x14ac:dyDescent="0.3">
      <c r="A134" s="280" t="str">
        <f>'Reference Score Calculation'!A113</f>
        <v>JS3150</v>
      </c>
      <c r="B134" s="280" t="str">
        <f>'Reference Score Calculation'!D113</f>
        <v>生物醫學工程(榮譽)理學士組合課程</v>
      </c>
      <c r="C134" s="236" t="str">
        <f>'Reference Score Calculation'!N113</f>
        <v>JS3600</v>
      </c>
      <c r="D134" s="312" t="str">
        <f>'Reference Score Calculation'!P113</f>
        <v>Best 5</v>
      </c>
      <c r="E134" s="280" t="str">
        <f>入學要求!T122</f>
        <v>v</v>
      </c>
      <c r="F134" s="280" t="str">
        <f>入學要求!U122</f>
        <v>E</v>
      </c>
      <c r="G134" s="280" t="str">
        <f>入學要求!V122</f>
        <v>NO</v>
      </c>
      <c r="H134" s="280">
        <f t="shared" si="123"/>
        <v>2.175E-8</v>
      </c>
      <c r="I134" s="185">
        <v>7</v>
      </c>
      <c r="J134" s="185">
        <v>7</v>
      </c>
      <c r="K134" s="185">
        <v>10</v>
      </c>
      <c r="L134" s="185">
        <v>7</v>
      </c>
      <c r="M134" s="185">
        <v>10</v>
      </c>
      <c r="N134" s="185">
        <f>IF(OR(N1="生物",N1="化學",N1="物理",N1="組合科學(物理、化學)",N1="組合科學(生物、化學)",N1="組合科學(物理、生物)"),10,5)</f>
        <v>5</v>
      </c>
      <c r="O134" s="280">
        <f>IF(OR(O1="生物",O1="化學",O1="物理",O1="組合科學(物理、化學)",O1="組合科學(生物、化學)",O1="組合科學(物理、生物)"),10,5)</f>
        <v>5</v>
      </c>
      <c r="P134" s="280">
        <f>IF(OR(P1="生物",P1="化學",P1="物理",P1="組合科學(物理、化學)",P1="組合科學(生物、化學)",P1="組合科學(物理、生物)"),10,5)</f>
        <v>5</v>
      </c>
      <c r="Q134" s="280">
        <f>IF(OR(Q1="生物",Q1="化學",Q1="物理",Q1="組合科學(物理、化學)",Q1="組合科學(生物、化學)",Q1="組合科學(物理、生物)"),10,5)</f>
        <v>5</v>
      </c>
      <c r="R134" s="280">
        <v>5</v>
      </c>
      <c r="T134" s="280">
        <f t="shared" si="124"/>
        <v>7.0000000000000006E-10</v>
      </c>
      <c r="U134" s="280">
        <f t="shared" si="125"/>
        <v>1.4000000000000001E-9</v>
      </c>
      <c r="V134" s="280">
        <f t="shared" si="126"/>
        <v>3E-9</v>
      </c>
      <c r="W134" s="280">
        <f t="shared" si="127"/>
        <v>2.8000000000000003E-9</v>
      </c>
      <c r="X134" s="391">
        <f t="shared" si="128"/>
        <v>5.0000000000000001E-9</v>
      </c>
      <c r="Y134" s="280">
        <f t="shared" si="129"/>
        <v>3E-9</v>
      </c>
      <c r="Z134" s="280">
        <f t="shared" si="130"/>
        <v>3.4999999999999999E-9</v>
      </c>
      <c r="AA134" s="280">
        <f t="shared" si="131"/>
        <v>4.0000000000000002E-9</v>
      </c>
      <c r="AB134" s="280">
        <f t="shared" si="132"/>
        <v>4.4999999999999998E-9</v>
      </c>
      <c r="AC134" s="391">
        <f t="shared" si="133"/>
        <v>4.7500000000000003E-9</v>
      </c>
      <c r="AD134" s="391" t="b">
        <f t="shared" si="134"/>
        <v>0</v>
      </c>
      <c r="AE134" s="391" t="b">
        <f t="shared" si="135"/>
        <v>0</v>
      </c>
      <c r="AF134" s="391" t="b">
        <f t="shared" si="136"/>
        <v>0</v>
      </c>
      <c r="AG134" s="391" t="b">
        <f t="shared" si="137"/>
        <v>0</v>
      </c>
      <c r="AH134" s="391" t="b">
        <f t="shared" si="138"/>
        <v>1</v>
      </c>
      <c r="AI134" s="391" t="b">
        <f t="shared" si="139"/>
        <v>0</v>
      </c>
      <c r="AJ134" s="391" t="b">
        <f t="shared" si="140"/>
        <v>1</v>
      </c>
      <c r="AK134" s="391" t="b">
        <f t="shared" si="141"/>
        <v>1</v>
      </c>
      <c r="AL134" s="391" t="b">
        <f t="shared" si="142"/>
        <v>1</v>
      </c>
      <c r="AM134" s="391" t="b">
        <f t="shared" si="143"/>
        <v>1</v>
      </c>
    </row>
    <row r="135" spans="1:39" x14ac:dyDescent="0.3">
      <c r="A135" s="280" t="str">
        <f>'Reference Score Calculation'!A114</f>
        <v>JS3170</v>
      </c>
      <c r="B135" s="280" t="str">
        <f>'Reference Score Calculation'!D114</f>
        <v>電機工程學(榮譽)工學士組合課程</v>
      </c>
      <c r="C135" s="236" t="str">
        <f>'Reference Score Calculation'!N114</f>
        <v>JS3351</v>
      </c>
      <c r="D135" s="312" t="str">
        <f>'Reference Score Calculation'!P114</f>
        <v>Best 5</v>
      </c>
      <c r="E135" s="280" t="str">
        <f>入學要求!T123</f>
        <v>v</v>
      </c>
      <c r="F135" s="280" t="str">
        <f>入學要求!U123</f>
        <v>E</v>
      </c>
      <c r="G135" s="280" t="str">
        <f>入學要求!V123</f>
        <v>NO</v>
      </c>
      <c r="H135" s="280">
        <f t="shared" si="123"/>
        <v>2.175E-8</v>
      </c>
      <c r="I135" s="185">
        <v>7</v>
      </c>
      <c r="J135" s="185">
        <v>10</v>
      </c>
      <c r="K135" s="185">
        <v>10</v>
      </c>
      <c r="L135" s="185">
        <v>7</v>
      </c>
      <c r="M135" s="185">
        <v>10</v>
      </c>
      <c r="N135" s="185">
        <f>IF(OR(N1="生物",N1="化學",N1="物理",N1="組合科學(物理、化學)",N1="組合科學(生物、化學)",N1="組合科學(物理、生物)",N1="資訊及通訊科技"),10,5)</f>
        <v>5</v>
      </c>
      <c r="O135" s="280">
        <f>IF(OR(O1="生物",O1="化學",O1="物理",O1="組合科學(物理、化學)",O1="組合科學(生物、化學)",O1="組合科學(物理、生物)",O1="資訊及通訊科技"),10,5)</f>
        <v>5</v>
      </c>
      <c r="P135" s="280">
        <f>IF(OR(P1="生物",P1="化學",P1="物理",P1="組合科學(物理、化學)",P1="組合科學(生物、化學)",P1="組合科學(物理、生物)",P1="資訊及通訊科技"),10,5)</f>
        <v>5</v>
      </c>
      <c r="Q135" s="280">
        <f>IF(OR(Q1="生物",Q1="化學",Q1="物理",Q1="組合科學(物理、化學)",Q1="組合科學(生物、化學)",Q1="組合科學(物理、生物)",Q1="資訊及通訊科技"),10,5)</f>
        <v>5</v>
      </c>
      <c r="R135" s="280">
        <v>5</v>
      </c>
      <c r="T135" s="280">
        <f t="shared" si="124"/>
        <v>7.0000000000000006E-10</v>
      </c>
      <c r="U135" s="280">
        <f t="shared" si="125"/>
        <v>2.0000000000000001E-9</v>
      </c>
      <c r="V135" s="280">
        <f t="shared" si="126"/>
        <v>3E-9</v>
      </c>
      <c r="W135" s="280">
        <f t="shared" si="127"/>
        <v>2.8000000000000003E-9</v>
      </c>
      <c r="X135" s="391">
        <f t="shared" si="128"/>
        <v>5.0000000000000001E-9</v>
      </c>
      <c r="Y135" s="280">
        <f t="shared" si="129"/>
        <v>3E-9</v>
      </c>
      <c r="Z135" s="280">
        <f t="shared" si="130"/>
        <v>3.4999999999999999E-9</v>
      </c>
      <c r="AA135" s="280">
        <f t="shared" si="131"/>
        <v>4.0000000000000002E-9</v>
      </c>
      <c r="AB135" s="280">
        <f t="shared" si="132"/>
        <v>4.4999999999999998E-9</v>
      </c>
      <c r="AC135" s="391">
        <f t="shared" si="133"/>
        <v>4.7500000000000003E-9</v>
      </c>
      <c r="AD135" s="391" t="b">
        <f t="shared" si="134"/>
        <v>0</v>
      </c>
      <c r="AE135" s="391" t="b">
        <f t="shared" si="135"/>
        <v>0</v>
      </c>
      <c r="AF135" s="391" t="b">
        <f t="shared" si="136"/>
        <v>0</v>
      </c>
      <c r="AG135" s="391" t="b">
        <f t="shared" si="137"/>
        <v>0</v>
      </c>
      <c r="AH135" s="391" t="b">
        <f t="shared" si="138"/>
        <v>1</v>
      </c>
      <c r="AI135" s="391" t="b">
        <f t="shared" si="139"/>
        <v>0</v>
      </c>
      <c r="AJ135" s="391" t="b">
        <f t="shared" si="140"/>
        <v>1</v>
      </c>
      <c r="AK135" s="391" t="b">
        <f t="shared" si="141"/>
        <v>1</v>
      </c>
      <c r="AL135" s="391" t="b">
        <f t="shared" si="142"/>
        <v>1</v>
      </c>
      <c r="AM135" s="391" t="b">
        <f t="shared" si="143"/>
        <v>1</v>
      </c>
    </row>
    <row r="136" spans="1:39" x14ac:dyDescent="0.3">
      <c r="A136" s="280" t="str">
        <f>'Reference Score Calculation'!A115</f>
        <v>JS3170-2</v>
      </c>
      <c r="B136" s="280" t="str">
        <f>'Reference Score Calculation'!D115</f>
        <v/>
      </c>
      <c r="C136" s="236" t="str">
        <f>'Reference Score Calculation'!N115</f>
        <v>JS3715</v>
      </c>
      <c r="D136" s="312" t="str">
        <f>'Reference Score Calculation'!P115</f>
        <v>Best 5</v>
      </c>
      <c r="E136" s="280" t="str">
        <f>入學要求!T124</f>
        <v>v</v>
      </c>
      <c r="F136" s="280" t="str">
        <f>入學要求!U124</f>
        <v>E</v>
      </c>
      <c r="G136" s="280" t="str">
        <f>入學要求!V124</f>
        <v>NO</v>
      </c>
      <c r="H136" s="280">
        <f t="shared" si="123"/>
        <v>2.175E-8</v>
      </c>
      <c r="I136" s="185">
        <v>7</v>
      </c>
      <c r="J136" s="185">
        <v>10</v>
      </c>
      <c r="K136" s="185">
        <v>10</v>
      </c>
      <c r="L136" s="185">
        <v>7</v>
      </c>
      <c r="M136" s="185">
        <v>10</v>
      </c>
      <c r="N136" s="185">
        <f>IF(OR(N1="生物",N1="化學",N1="物理",N1="組合科學(物理、化學)",N1="組合科學(生物、化學)",N1="組合科學(物理、生物)",N1="資訊及通訊科技"),10,5)</f>
        <v>5</v>
      </c>
      <c r="O136" s="280">
        <f>IF(OR(O1="生物",O1="化學",O1="物理",O1="組合科學(物理、化學)",O1="組合科學(生物、化學)",O1="組合科學(物理、生物)",O1="資訊及通訊科技"),10,5)</f>
        <v>5</v>
      </c>
      <c r="P136" s="280">
        <f>IF(OR(P1="生物",P1="化學",P1="物理",P1="組合科學(物理、化學)",P1="組合科學(生物、化學)",P1="組合科學(物理、生物)",P1="資訊及通訊科技"),10,5)</f>
        <v>5</v>
      </c>
      <c r="Q136" s="280">
        <f>IF(OR(Q1="生物",Q1="化學",Q1="物理",Q1="組合科學(物理、化學)",Q1="組合科學(生物、化學)",Q1="組合科學(物理、生物)",Q1="資訊及通訊科技"),10,5)</f>
        <v>5</v>
      </c>
      <c r="R136" s="280">
        <v>5</v>
      </c>
      <c r="T136" s="280">
        <f t="shared" si="124"/>
        <v>7.0000000000000006E-10</v>
      </c>
      <c r="U136" s="280">
        <f t="shared" si="125"/>
        <v>2.0000000000000001E-9</v>
      </c>
      <c r="V136" s="280">
        <f t="shared" si="126"/>
        <v>3E-9</v>
      </c>
      <c r="W136" s="280">
        <f t="shared" si="127"/>
        <v>2.8000000000000003E-9</v>
      </c>
      <c r="X136" s="391">
        <f t="shared" si="128"/>
        <v>5.0000000000000001E-9</v>
      </c>
      <c r="Y136" s="280">
        <f t="shared" si="129"/>
        <v>3E-9</v>
      </c>
      <c r="Z136" s="280">
        <f t="shared" si="130"/>
        <v>3.4999999999999999E-9</v>
      </c>
      <c r="AA136" s="280">
        <f t="shared" si="131"/>
        <v>4.0000000000000002E-9</v>
      </c>
      <c r="AB136" s="280">
        <f t="shared" si="132"/>
        <v>4.4999999999999998E-9</v>
      </c>
      <c r="AC136" s="391">
        <f t="shared" si="133"/>
        <v>4.7500000000000003E-9</v>
      </c>
      <c r="AD136" s="391" t="b">
        <f t="shared" si="134"/>
        <v>0</v>
      </c>
      <c r="AE136" s="391" t="b">
        <f t="shared" si="135"/>
        <v>0</v>
      </c>
      <c r="AF136" s="391" t="b">
        <f t="shared" si="136"/>
        <v>0</v>
      </c>
      <c r="AG136" s="391" t="b">
        <f t="shared" si="137"/>
        <v>0</v>
      </c>
      <c r="AH136" s="391" t="b">
        <f t="shared" si="138"/>
        <v>1</v>
      </c>
      <c r="AI136" s="391" t="b">
        <f t="shared" si="139"/>
        <v>0</v>
      </c>
      <c r="AJ136" s="391" t="b">
        <f t="shared" si="140"/>
        <v>1</v>
      </c>
      <c r="AK136" s="391" t="b">
        <f t="shared" si="141"/>
        <v>1</v>
      </c>
      <c r="AL136" s="391" t="b">
        <f t="shared" si="142"/>
        <v>1</v>
      </c>
      <c r="AM136" s="391" t="b">
        <f t="shared" si="143"/>
        <v>1</v>
      </c>
    </row>
    <row r="137" spans="1:39" x14ac:dyDescent="0.3">
      <c r="A137" s="280" t="str">
        <f>'Reference Score Calculation'!A116</f>
        <v>JS3180</v>
      </c>
      <c r="B137" s="280" t="str">
        <f>'Reference Score Calculation'!D116</f>
        <v>資訊及人工智能工程學(榮譽)工學士/理學士組合課程</v>
      </c>
      <c r="C137" s="236" t="str">
        <f>'Reference Score Calculation'!N116</f>
        <v>JS3519</v>
      </c>
      <c r="D137" s="312" t="str">
        <f>'Reference Score Calculation'!P116</f>
        <v>Best 5</v>
      </c>
      <c r="E137" s="280" t="str">
        <f>入學要求!T125</f>
        <v>v</v>
      </c>
      <c r="F137" s="280" t="str">
        <f>入學要求!U125</f>
        <v>E</v>
      </c>
      <c r="G137" s="280" t="str">
        <f>入學要求!V125</f>
        <v>v</v>
      </c>
      <c r="H137" s="280">
        <f t="shared" si="123"/>
        <v>2.175E-8</v>
      </c>
      <c r="I137" s="185">
        <v>7</v>
      </c>
      <c r="J137" s="185">
        <v>10</v>
      </c>
      <c r="K137" s="185">
        <v>10</v>
      </c>
      <c r="L137" s="185">
        <v>7</v>
      </c>
      <c r="M137" s="185">
        <v>10</v>
      </c>
      <c r="N137" s="185">
        <f>IF(OR(N1="生物",N1="化學",N1="物理",N1="組合科學(物理、化學)",N1="組合科學(生物、化學)",N1="組合科學(物理、生物)",N1="資訊及通訊科技"),10,5)</f>
        <v>5</v>
      </c>
      <c r="O137" s="280">
        <f>IF(OR(O1="生物",O1="化學",O1="物理",O1="組合科學(物理、化學)",O1="組合科學(生物、化學)",O1="組合科學(物理、生物)",O1="資訊及通訊科技"),10,5)</f>
        <v>5</v>
      </c>
      <c r="P137" s="280">
        <f>IF(OR(P1="生物",P1="化學",P1="物理",P1="組合科學(物理、化學)",P1="組合科學(生物、化學)",P1="組合科學(物理、生物)",P1="資訊及通訊科技"),10,5)</f>
        <v>5</v>
      </c>
      <c r="Q137" s="280">
        <f>IF(OR(Q1="生物",Q1="化學",Q1="物理",Q1="組合科學(物理、化學)",Q1="組合科學(生物、化學)",Q1="組合科學(物理、生物)",Q1="資訊及通訊科技"),10,5)</f>
        <v>5</v>
      </c>
      <c r="R137" s="280">
        <v>5</v>
      </c>
      <c r="T137" s="280">
        <f t="shared" si="124"/>
        <v>7.0000000000000006E-10</v>
      </c>
      <c r="U137" s="280">
        <f t="shared" si="125"/>
        <v>2.0000000000000001E-9</v>
      </c>
      <c r="V137" s="280">
        <f t="shared" si="126"/>
        <v>3E-9</v>
      </c>
      <c r="W137" s="280">
        <f t="shared" si="127"/>
        <v>2.8000000000000003E-9</v>
      </c>
      <c r="X137" s="391">
        <f t="shared" si="128"/>
        <v>5.0000000000000001E-9</v>
      </c>
      <c r="Y137" s="280">
        <f t="shared" si="129"/>
        <v>3E-9</v>
      </c>
      <c r="Z137" s="280">
        <f t="shared" si="130"/>
        <v>3.4999999999999999E-9</v>
      </c>
      <c r="AA137" s="280">
        <f t="shared" si="131"/>
        <v>4.0000000000000002E-9</v>
      </c>
      <c r="AB137" s="280">
        <f t="shared" si="132"/>
        <v>4.4999999999999998E-9</v>
      </c>
      <c r="AC137" s="391">
        <f t="shared" si="133"/>
        <v>4.7500000000000003E-9</v>
      </c>
      <c r="AD137" s="391" t="b">
        <f t="shared" si="134"/>
        <v>0</v>
      </c>
      <c r="AE137" s="391" t="b">
        <f t="shared" si="135"/>
        <v>0</v>
      </c>
      <c r="AF137" s="391" t="b">
        <f t="shared" si="136"/>
        <v>0</v>
      </c>
      <c r="AG137" s="391" t="b">
        <f t="shared" si="137"/>
        <v>0</v>
      </c>
      <c r="AH137" s="391" t="b">
        <f t="shared" si="138"/>
        <v>1</v>
      </c>
      <c r="AI137" s="391" t="b">
        <f t="shared" si="139"/>
        <v>0</v>
      </c>
      <c r="AJ137" s="391" t="b">
        <f t="shared" si="140"/>
        <v>1</v>
      </c>
      <c r="AK137" s="391" t="b">
        <f t="shared" si="141"/>
        <v>1</v>
      </c>
      <c r="AL137" s="391" t="b">
        <f t="shared" si="142"/>
        <v>1</v>
      </c>
      <c r="AM137" s="391" t="b">
        <f t="shared" si="143"/>
        <v>1</v>
      </c>
    </row>
    <row r="138" spans="1:39" x14ac:dyDescent="0.3">
      <c r="A138" s="280" t="str">
        <f>'Reference Score Calculation'!A117</f>
        <v>JS3180-2</v>
      </c>
      <c r="B138" s="280" t="str">
        <f>'Reference Score Calculation'!D117</f>
        <v/>
      </c>
      <c r="C138" s="236" t="str">
        <f>'Reference Score Calculation'!N117</f>
        <v>JS3703</v>
      </c>
      <c r="D138" s="312" t="str">
        <f>'Reference Score Calculation'!P117</f>
        <v>Best 5</v>
      </c>
      <c r="E138" s="280" t="str">
        <f>入學要求!T126</f>
        <v>v</v>
      </c>
      <c r="F138" s="280" t="str">
        <f>入學要求!U126</f>
        <v>E</v>
      </c>
      <c r="G138" s="280" t="str">
        <f>入學要求!V126</f>
        <v>v</v>
      </c>
      <c r="H138" s="280">
        <f t="shared" si="123"/>
        <v>2.175E-8</v>
      </c>
      <c r="I138" s="185">
        <v>7</v>
      </c>
      <c r="J138" s="185">
        <v>10</v>
      </c>
      <c r="K138" s="185">
        <v>10</v>
      </c>
      <c r="L138" s="185">
        <v>7</v>
      </c>
      <c r="M138" s="185">
        <v>10</v>
      </c>
      <c r="N138" s="185">
        <f>IF(OR(N1="生物",N1="化學",N1="物理",N1="組合科學(物理、化學)",N1="組合科學(生物、化學)",N1="組合科學(物理、生物)",N1="資訊及通訊科技"),10,5)</f>
        <v>5</v>
      </c>
      <c r="O138" s="280">
        <f>IF(OR(O1="生物",O1="化學",O1="物理",O1="組合科學(物理、化學)",O1="組合科學(生物、化學)",O1="組合科學(物理、生物)",O1="資訊及通訊科技"),10,5)</f>
        <v>5</v>
      </c>
      <c r="P138" s="280">
        <f>IF(OR(P1="生物",P1="化學",P1="物理",P1="組合科學(物理、化學)",P1="組合科學(生物、化學)",P1="組合科學(物理、生物)",P1="資訊及通訊科技"),10,5)</f>
        <v>5</v>
      </c>
      <c r="Q138" s="280">
        <f>IF(OR(Q1="生物",Q1="化學",Q1="物理",Q1="組合科學(物理、化學)",Q1="組合科學(生物、化學)",Q1="組合科學(物理、生物)",Q1="資訊及通訊科技"),10,5)</f>
        <v>5</v>
      </c>
      <c r="R138" s="280">
        <v>5</v>
      </c>
      <c r="T138" s="280">
        <f t="shared" si="124"/>
        <v>7.0000000000000006E-10</v>
      </c>
      <c r="U138" s="280">
        <f t="shared" si="125"/>
        <v>2.0000000000000001E-9</v>
      </c>
      <c r="V138" s="280">
        <f t="shared" si="126"/>
        <v>3E-9</v>
      </c>
      <c r="W138" s="280">
        <f t="shared" si="127"/>
        <v>2.8000000000000003E-9</v>
      </c>
      <c r="X138" s="391">
        <f t="shared" si="128"/>
        <v>5.0000000000000001E-9</v>
      </c>
      <c r="Y138" s="280">
        <f t="shared" si="129"/>
        <v>3E-9</v>
      </c>
      <c r="Z138" s="280">
        <f t="shared" si="130"/>
        <v>3.4999999999999999E-9</v>
      </c>
      <c r="AA138" s="280">
        <f t="shared" si="131"/>
        <v>4.0000000000000002E-9</v>
      </c>
      <c r="AB138" s="280">
        <f t="shared" si="132"/>
        <v>4.4999999999999998E-9</v>
      </c>
      <c r="AC138" s="391">
        <f t="shared" si="133"/>
        <v>4.7500000000000003E-9</v>
      </c>
      <c r="AD138" s="391" t="b">
        <f t="shared" si="134"/>
        <v>0</v>
      </c>
      <c r="AE138" s="391" t="b">
        <f t="shared" si="135"/>
        <v>0</v>
      </c>
      <c r="AF138" s="391" t="b">
        <f t="shared" si="136"/>
        <v>0</v>
      </c>
      <c r="AG138" s="391" t="b">
        <f t="shared" si="137"/>
        <v>0</v>
      </c>
      <c r="AH138" s="391" t="b">
        <f t="shared" si="138"/>
        <v>1</v>
      </c>
      <c r="AI138" s="391" t="b">
        <f t="shared" si="139"/>
        <v>0</v>
      </c>
      <c r="AJ138" s="391" t="b">
        <f t="shared" si="140"/>
        <v>1</v>
      </c>
      <c r="AK138" s="391" t="b">
        <f t="shared" si="141"/>
        <v>1</v>
      </c>
      <c r="AL138" s="391" t="b">
        <f t="shared" si="142"/>
        <v>1</v>
      </c>
      <c r="AM138" s="391" t="b">
        <f t="shared" si="143"/>
        <v>1</v>
      </c>
    </row>
    <row r="139" spans="1:39" x14ac:dyDescent="0.3">
      <c r="A139" s="280" t="str">
        <f>'Reference Score Calculation'!A118</f>
        <v>JS3868</v>
      </c>
      <c r="B139" s="280" t="str">
        <f>'Reference Score Calculation'!D118</f>
        <v>電子計算及人工智能(榮譽)理學士組合課程</v>
      </c>
      <c r="C139" s="236" t="str">
        <f>'Reference Score Calculation'!N118</f>
        <v>JS3868</v>
      </c>
      <c r="D139" s="312" t="str">
        <f>'Reference Score Calculation'!P118</f>
        <v>Best 5</v>
      </c>
      <c r="E139" s="280" t="str">
        <f>入學要求!T127</f>
        <v>v</v>
      </c>
      <c r="F139" s="280" t="str">
        <f>入學要求!U127</f>
        <v>E</v>
      </c>
      <c r="G139" s="280" t="str">
        <f>入學要求!V127</f>
        <v>NO</v>
      </c>
      <c r="H139" s="280">
        <f t="shared" si="123"/>
        <v>2.175E-8</v>
      </c>
      <c r="I139" s="185">
        <v>7</v>
      </c>
      <c r="J139" s="185">
        <v>10</v>
      </c>
      <c r="K139" s="185">
        <v>10</v>
      </c>
      <c r="L139" s="185">
        <v>7</v>
      </c>
      <c r="M139" s="185">
        <v>10</v>
      </c>
      <c r="N139" s="185">
        <f>IF(OR(N1="生物",N1="化學",N1="物理",N1="企業、會計與財務概論",N1="組合科學(物理、化學)",N1="組合科學(生物、化學)",N1="組合科學(物理、生物)",N1="經濟",N1="資訊及通訊科技"),10,5)</f>
        <v>5</v>
      </c>
      <c r="O139" s="280">
        <f>IF(OR(O1="生物",O1="化學",O1="物理",O1="企業、會計與財務概論",O1="組合科學(物理、化學)",O1="組合科學(生物、化學)",O1="組合科學(物理、生物)",O1="經濟",O1="資訊及通訊科技"),10,5)</f>
        <v>5</v>
      </c>
      <c r="P139" s="280">
        <f>IF(OR(P1="生物",P1="化學",P1="物理",P1="企業、會計與財務概論",P1="組合科學(物理、化學)",P1="組合科學(生物、化學)",P1="組合科學(物理、生物)",P1="經濟",P1="資訊及通訊科技"),10,5)</f>
        <v>5</v>
      </c>
      <c r="Q139" s="280">
        <f>IF(OR(Q1="生物",Q1="化學",Q1="物理",Q1="企業、會計與財務概論",Q1="組合科學(物理、化學)",Q1="組合科學(生物、化學)",Q1="組合科學(物理、生物)",Q1="經濟",Q1="資訊及通訊科技"),10,5)</f>
        <v>5</v>
      </c>
      <c r="R139" s="280">
        <v>5</v>
      </c>
      <c r="T139" s="280">
        <f t="shared" si="124"/>
        <v>7.0000000000000006E-10</v>
      </c>
      <c r="U139" s="280">
        <f t="shared" si="125"/>
        <v>2.0000000000000001E-9</v>
      </c>
      <c r="V139" s="280">
        <f t="shared" si="126"/>
        <v>3E-9</v>
      </c>
      <c r="W139" s="280">
        <f t="shared" si="127"/>
        <v>2.8000000000000003E-9</v>
      </c>
      <c r="X139" s="391">
        <f t="shared" si="128"/>
        <v>5.0000000000000001E-9</v>
      </c>
      <c r="Y139" s="280">
        <f t="shared" si="129"/>
        <v>3E-9</v>
      </c>
      <c r="Z139" s="280">
        <f t="shared" si="130"/>
        <v>3.4999999999999999E-9</v>
      </c>
      <c r="AA139" s="280">
        <f t="shared" si="131"/>
        <v>4.0000000000000002E-9</v>
      </c>
      <c r="AB139" s="280">
        <f t="shared" si="132"/>
        <v>4.4999999999999998E-9</v>
      </c>
      <c r="AC139" s="391">
        <f t="shared" si="133"/>
        <v>4.7500000000000003E-9</v>
      </c>
      <c r="AD139" s="391" t="b">
        <f t="shared" si="134"/>
        <v>0</v>
      </c>
      <c r="AE139" s="391" t="b">
        <f t="shared" si="135"/>
        <v>0</v>
      </c>
      <c r="AF139" s="391" t="b">
        <f t="shared" si="136"/>
        <v>0</v>
      </c>
      <c r="AG139" s="391" t="b">
        <f t="shared" si="137"/>
        <v>0</v>
      </c>
      <c r="AH139" s="391" t="b">
        <f t="shared" si="138"/>
        <v>1</v>
      </c>
      <c r="AI139" s="391" t="b">
        <f t="shared" si="139"/>
        <v>0</v>
      </c>
      <c r="AJ139" s="391" t="b">
        <f t="shared" si="140"/>
        <v>1</v>
      </c>
      <c r="AK139" s="391" t="b">
        <f t="shared" si="141"/>
        <v>1</v>
      </c>
      <c r="AL139" s="391" t="b">
        <f t="shared" si="142"/>
        <v>1</v>
      </c>
      <c r="AM139" s="391" t="b">
        <f t="shared" si="143"/>
        <v>1</v>
      </c>
    </row>
    <row r="140" spans="1:39" x14ac:dyDescent="0.3">
      <c r="A140" s="280" t="str">
        <f>'Reference Score Calculation'!A119</f>
        <v>JS3571</v>
      </c>
      <c r="B140" s="280" t="str">
        <f>'Reference Score Calculation'!D119</f>
        <v>物流及企業工程(榮譽)理學士組合課程</v>
      </c>
      <c r="C140" s="236" t="str">
        <f>'Reference Score Calculation'!N119</f>
        <v>JS3571</v>
      </c>
      <c r="D140" s="312" t="str">
        <f>'Reference Score Calculation'!P119</f>
        <v>Best 5</v>
      </c>
      <c r="E140" s="280" t="str">
        <f>入學要求!T128</f>
        <v>v</v>
      </c>
      <c r="F140" s="280" t="str">
        <f>入學要求!U128</f>
        <v>E</v>
      </c>
      <c r="G140" s="280" t="str">
        <f>入學要求!V128</f>
        <v>v</v>
      </c>
      <c r="H140" s="280">
        <f t="shared" si="123"/>
        <v>1.6750000000000001E-8</v>
      </c>
      <c r="I140" s="185">
        <v>7</v>
      </c>
      <c r="J140" s="185">
        <v>10</v>
      </c>
      <c r="K140" s="185">
        <v>10</v>
      </c>
      <c r="L140" s="185">
        <v>7</v>
      </c>
      <c r="M140" s="185">
        <v>5</v>
      </c>
      <c r="N140" s="185">
        <v>5</v>
      </c>
      <c r="O140" s="185">
        <v>5</v>
      </c>
      <c r="P140" s="185">
        <v>5</v>
      </c>
      <c r="Q140" s="280">
        <v>5</v>
      </c>
      <c r="R140" s="280">
        <v>5</v>
      </c>
      <c r="T140" s="280">
        <f t="shared" si="124"/>
        <v>7.0000000000000006E-10</v>
      </c>
      <c r="U140" s="280">
        <f t="shared" si="125"/>
        <v>2.0000000000000001E-9</v>
      </c>
      <c r="V140" s="280">
        <f t="shared" si="126"/>
        <v>3E-9</v>
      </c>
      <c r="W140" s="280">
        <f t="shared" si="127"/>
        <v>2.8000000000000003E-9</v>
      </c>
      <c r="X140" s="391">
        <f t="shared" si="128"/>
        <v>2.5000000000000001E-9</v>
      </c>
      <c r="Y140" s="280">
        <f t="shared" si="129"/>
        <v>3E-9</v>
      </c>
      <c r="Z140" s="280">
        <f t="shared" si="130"/>
        <v>3.4999999999999999E-9</v>
      </c>
      <c r="AA140" s="280">
        <f t="shared" si="131"/>
        <v>4.0000000000000002E-9</v>
      </c>
      <c r="AB140" s="280">
        <f t="shared" si="132"/>
        <v>4.4999999999999998E-9</v>
      </c>
      <c r="AC140" s="391">
        <f t="shared" si="133"/>
        <v>4.7500000000000003E-9</v>
      </c>
      <c r="AD140" s="391" t="b">
        <f t="shared" si="134"/>
        <v>0</v>
      </c>
      <c r="AE140" s="391" t="b">
        <f t="shared" si="135"/>
        <v>0</v>
      </c>
      <c r="AF140" s="391" t="b">
        <f t="shared" si="136"/>
        <v>0</v>
      </c>
      <c r="AG140" s="391" t="b">
        <f t="shared" si="137"/>
        <v>0</v>
      </c>
      <c r="AH140" s="391" t="b">
        <f t="shared" si="138"/>
        <v>0</v>
      </c>
      <c r="AI140" s="391" t="b">
        <f t="shared" si="139"/>
        <v>0</v>
      </c>
      <c r="AJ140" s="391" t="b">
        <f t="shared" si="140"/>
        <v>1</v>
      </c>
      <c r="AK140" s="391" t="b">
        <f t="shared" si="141"/>
        <v>1</v>
      </c>
      <c r="AL140" s="391" t="b">
        <f t="shared" si="142"/>
        <v>1</v>
      </c>
      <c r="AM140" s="391" t="b">
        <f t="shared" si="143"/>
        <v>1</v>
      </c>
    </row>
    <row r="141" spans="1:39" x14ac:dyDescent="0.3">
      <c r="A141" s="280" t="str">
        <f>'Reference Score Calculation'!A120</f>
        <v>JS3557</v>
      </c>
      <c r="B141" s="280" t="str">
        <f>'Reference Score Calculation'!D120</f>
        <v>產品及工業工程(榮譽)工學士組合課程</v>
      </c>
      <c r="C141" s="236" t="str">
        <f>'Reference Score Calculation'!N120</f>
        <v>JS3557</v>
      </c>
      <c r="D141" s="312" t="str">
        <f>'Reference Score Calculation'!P120</f>
        <v>Best 5</v>
      </c>
      <c r="E141" s="280" t="str">
        <f>入學要求!T129</f>
        <v>v</v>
      </c>
      <c r="F141" s="280" t="str">
        <f>入學要求!U129</f>
        <v>E</v>
      </c>
      <c r="G141" s="280" t="str">
        <f>入學要求!V129</f>
        <v>v</v>
      </c>
      <c r="H141" s="280">
        <f t="shared" si="123"/>
        <v>1.6750000000000001E-8</v>
      </c>
      <c r="I141" s="185">
        <v>7</v>
      </c>
      <c r="J141" s="185">
        <v>10</v>
      </c>
      <c r="K141" s="185">
        <v>10</v>
      </c>
      <c r="L141" s="185">
        <v>7</v>
      </c>
      <c r="M141" s="185">
        <v>5</v>
      </c>
      <c r="N141" s="185">
        <v>5</v>
      </c>
      <c r="O141" s="185">
        <v>5</v>
      </c>
      <c r="P141" s="185">
        <v>5</v>
      </c>
      <c r="Q141" s="280">
        <v>5</v>
      </c>
      <c r="R141" s="280">
        <v>5</v>
      </c>
      <c r="T141" s="280">
        <f t="shared" si="124"/>
        <v>7.0000000000000006E-10</v>
      </c>
      <c r="U141" s="280">
        <f t="shared" si="125"/>
        <v>2.0000000000000001E-9</v>
      </c>
      <c r="V141" s="280">
        <f t="shared" si="126"/>
        <v>3E-9</v>
      </c>
      <c r="W141" s="280">
        <f t="shared" si="127"/>
        <v>2.8000000000000003E-9</v>
      </c>
      <c r="X141" s="391">
        <f t="shared" si="128"/>
        <v>2.5000000000000001E-9</v>
      </c>
      <c r="Y141" s="280">
        <f t="shared" si="129"/>
        <v>3E-9</v>
      </c>
      <c r="Z141" s="280">
        <f t="shared" si="130"/>
        <v>3.4999999999999999E-9</v>
      </c>
      <c r="AA141" s="280">
        <f t="shared" si="131"/>
        <v>4.0000000000000002E-9</v>
      </c>
      <c r="AB141" s="280">
        <f t="shared" si="132"/>
        <v>4.4999999999999998E-9</v>
      </c>
      <c r="AC141" s="391">
        <f t="shared" si="133"/>
        <v>4.7500000000000003E-9</v>
      </c>
      <c r="AD141" s="391" t="b">
        <f t="shared" si="134"/>
        <v>0</v>
      </c>
      <c r="AE141" s="391" t="b">
        <f t="shared" si="135"/>
        <v>0</v>
      </c>
      <c r="AF141" s="391" t="b">
        <f t="shared" si="136"/>
        <v>0</v>
      </c>
      <c r="AG141" s="391" t="b">
        <f t="shared" si="137"/>
        <v>0</v>
      </c>
      <c r="AH141" s="391" t="b">
        <f t="shared" si="138"/>
        <v>0</v>
      </c>
      <c r="AI141" s="391" t="b">
        <f t="shared" si="139"/>
        <v>0</v>
      </c>
      <c r="AJ141" s="391" t="b">
        <f t="shared" si="140"/>
        <v>1</v>
      </c>
      <c r="AK141" s="391" t="b">
        <f t="shared" si="141"/>
        <v>1</v>
      </c>
      <c r="AL141" s="391" t="b">
        <f t="shared" si="142"/>
        <v>1</v>
      </c>
      <c r="AM141" s="391" t="b">
        <f t="shared" si="143"/>
        <v>1</v>
      </c>
    </row>
    <row r="142" spans="1:39" x14ac:dyDescent="0.3">
      <c r="A142" s="280" t="str">
        <f>'Reference Score Calculation'!A121</f>
        <v>JS3741</v>
      </c>
      <c r="B142" s="280" t="str">
        <f>'Reference Score Calculation'!D121</f>
        <v>機械工程學(榮譽)工學士組合課程</v>
      </c>
      <c r="C142" s="236" t="str">
        <f>'Reference Score Calculation'!N121</f>
        <v>JS3741</v>
      </c>
      <c r="D142" s="312" t="str">
        <f>'Reference Score Calculation'!P121</f>
        <v>Best 5</v>
      </c>
      <c r="E142" s="280" t="str">
        <f>入學要求!T130</f>
        <v>v</v>
      </c>
      <c r="F142" s="280" t="str">
        <f>入學要求!U130</f>
        <v>E</v>
      </c>
      <c r="G142" s="280" t="str">
        <f>入學要求!V130</f>
        <v>NO</v>
      </c>
      <c r="H142" s="280">
        <f t="shared" si="123"/>
        <v>2.175E-8</v>
      </c>
      <c r="I142" s="185">
        <v>7</v>
      </c>
      <c r="J142" s="185">
        <v>10</v>
      </c>
      <c r="K142" s="185">
        <v>10</v>
      </c>
      <c r="L142" s="185">
        <v>7</v>
      </c>
      <c r="M142" s="185">
        <v>10</v>
      </c>
      <c r="N142" s="185">
        <f>IF(OR(N1="生物",N1="化學",N1="物理",N1="組合科學(物理、化學)",N1="組合科學(生物、化學)",N1="組合科學(物理、生物)",N1="資訊及通訊科技"),10,5)</f>
        <v>5</v>
      </c>
      <c r="O142" s="280">
        <f>IF(OR(O1="生物",O1="化學",O1="物理",O1="組合科學(物理、化學)",O1="組合科學(生物、化學)",O1="組合科學(物理、生物)",O1="資訊及通訊科技"),10,5)</f>
        <v>5</v>
      </c>
      <c r="P142" s="280">
        <f>IF(OR(P1="生物",P1="化學",P1="物理",P1="組合科學(物理、化學)",P1="組合科學(生物、化學)",P1="組合科學(物理、生物)",P1="資訊及通訊科技"),10,5)</f>
        <v>5</v>
      </c>
      <c r="Q142" s="280">
        <f>IF(OR(Q1="生物",Q1="化學",Q1="物理",Q1="組合科學(物理、化學)",Q1="組合科學(生物、化學)",Q1="組合科學(物理、生物)",Q1="資訊及通訊科技"),10,5)</f>
        <v>5</v>
      </c>
      <c r="R142" s="280">
        <v>5</v>
      </c>
      <c r="T142" s="280">
        <f t="shared" si="124"/>
        <v>7.0000000000000006E-10</v>
      </c>
      <c r="U142" s="280">
        <f t="shared" si="125"/>
        <v>2.0000000000000001E-9</v>
      </c>
      <c r="V142" s="280">
        <f t="shared" si="126"/>
        <v>3E-9</v>
      </c>
      <c r="W142" s="280">
        <f t="shared" si="127"/>
        <v>2.8000000000000003E-9</v>
      </c>
      <c r="X142" s="391">
        <f t="shared" si="128"/>
        <v>5.0000000000000001E-9</v>
      </c>
      <c r="Y142" s="280">
        <f t="shared" si="129"/>
        <v>3E-9</v>
      </c>
      <c r="Z142" s="280">
        <f t="shared" si="130"/>
        <v>3.4999999999999999E-9</v>
      </c>
      <c r="AA142" s="280">
        <f t="shared" si="131"/>
        <v>4.0000000000000002E-9</v>
      </c>
      <c r="AB142" s="280">
        <f t="shared" si="132"/>
        <v>4.4999999999999998E-9</v>
      </c>
      <c r="AC142" s="391">
        <f t="shared" si="133"/>
        <v>4.7500000000000003E-9</v>
      </c>
      <c r="AD142" s="391" t="b">
        <f t="shared" si="134"/>
        <v>0</v>
      </c>
      <c r="AE142" s="391" t="b">
        <f t="shared" si="135"/>
        <v>0</v>
      </c>
      <c r="AF142" s="391" t="b">
        <f t="shared" si="136"/>
        <v>0</v>
      </c>
      <c r="AG142" s="391" t="b">
        <f t="shared" si="137"/>
        <v>0</v>
      </c>
      <c r="AH142" s="391" t="b">
        <f t="shared" si="138"/>
        <v>1</v>
      </c>
      <c r="AI142" s="391" t="b">
        <f t="shared" si="139"/>
        <v>0</v>
      </c>
      <c r="AJ142" s="391" t="b">
        <f t="shared" si="140"/>
        <v>1</v>
      </c>
      <c r="AK142" s="391" t="b">
        <f t="shared" si="141"/>
        <v>1</v>
      </c>
      <c r="AL142" s="391" t="b">
        <f t="shared" si="142"/>
        <v>1</v>
      </c>
      <c r="AM142" s="391" t="b">
        <f t="shared" si="143"/>
        <v>1</v>
      </c>
    </row>
    <row r="143" spans="1:39" x14ac:dyDescent="0.3">
      <c r="A143" s="280" t="str">
        <f>'Reference Score Calculation'!A122</f>
        <v>JS3230</v>
      </c>
      <c r="B143" s="280" t="str">
        <f>'Reference Score Calculation'!D122</f>
        <v>語言學及翻譯學(榮譽)文學士組合課程</v>
      </c>
      <c r="C143" s="236" t="str">
        <f>'Reference Score Calculation'!N122</f>
        <v>JS3818</v>
      </c>
      <c r="D143" s="312" t="str">
        <f>'Reference Score Calculation'!P122</f>
        <v>中英Best3</v>
      </c>
      <c r="E143" s="280" t="str">
        <f>入學要求!T131</f>
        <v>v</v>
      </c>
      <c r="F143" s="280" t="str">
        <f>入學要求!U131</f>
        <v>E</v>
      </c>
      <c r="G143" s="280" t="str">
        <f>入學要求!V131</f>
        <v>NO</v>
      </c>
      <c r="H143" s="280">
        <f t="shared" si="123"/>
        <v>1.625E-8</v>
      </c>
      <c r="I143" s="185">
        <v>10</v>
      </c>
      <c r="J143" s="185">
        <v>10</v>
      </c>
      <c r="K143" s="185">
        <v>7</v>
      </c>
      <c r="L143" s="185">
        <v>7</v>
      </c>
      <c r="M143" s="185">
        <v>5</v>
      </c>
      <c r="N143" s="185">
        <v>5</v>
      </c>
      <c r="O143" s="185">
        <v>5</v>
      </c>
      <c r="P143" s="185">
        <v>5</v>
      </c>
      <c r="Q143" s="280">
        <v>5</v>
      </c>
      <c r="R143" s="280">
        <v>5</v>
      </c>
      <c r="T143" s="280">
        <f t="shared" si="124"/>
        <v>1.0000000000000001E-9</v>
      </c>
      <c r="U143" s="280">
        <f t="shared" si="125"/>
        <v>2.0000000000000001E-9</v>
      </c>
      <c r="V143" s="280">
        <f t="shared" si="126"/>
        <v>2.0999999999999998E-9</v>
      </c>
      <c r="W143" s="280">
        <f t="shared" si="127"/>
        <v>2.8000000000000003E-9</v>
      </c>
      <c r="X143" s="391">
        <f t="shared" si="128"/>
        <v>2.5000000000000001E-9</v>
      </c>
      <c r="Y143" s="280">
        <f t="shared" si="129"/>
        <v>3E-9</v>
      </c>
      <c r="Z143" s="280">
        <f t="shared" si="130"/>
        <v>3.4999999999999999E-9</v>
      </c>
      <c r="AA143" s="280">
        <f t="shared" si="131"/>
        <v>4.0000000000000002E-9</v>
      </c>
      <c r="AB143" s="280">
        <f t="shared" si="132"/>
        <v>4.4999999999999998E-9</v>
      </c>
      <c r="AC143" s="391">
        <f t="shared" si="133"/>
        <v>4.7500000000000003E-9</v>
      </c>
      <c r="AD143" s="391" t="b">
        <v>1</v>
      </c>
      <c r="AE143" s="391" t="b">
        <v>1</v>
      </c>
      <c r="AF143" s="391" t="b">
        <f>IF(V143&gt;LARGE($V143:$AC143,4),TRUE)</f>
        <v>0</v>
      </c>
      <c r="AG143" s="391" t="b">
        <f t="shared" ref="AG143:AM143" si="144">IF(W143&gt;LARGE($V143:$AC143,4),TRUE)</f>
        <v>0</v>
      </c>
      <c r="AH143" s="391" t="b">
        <f t="shared" si="144"/>
        <v>0</v>
      </c>
      <c r="AI143" s="391" t="b">
        <f t="shared" si="144"/>
        <v>0</v>
      </c>
      <c r="AJ143" s="391" t="b">
        <f t="shared" si="144"/>
        <v>0</v>
      </c>
      <c r="AK143" s="391" t="b">
        <f t="shared" si="144"/>
        <v>1</v>
      </c>
      <c r="AL143" s="391" t="b">
        <f t="shared" si="144"/>
        <v>1</v>
      </c>
      <c r="AM143" s="391" t="b">
        <f t="shared" si="144"/>
        <v>1</v>
      </c>
    </row>
    <row r="144" spans="1:39" x14ac:dyDescent="0.3">
      <c r="A144" s="280" t="str">
        <f>'Reference Score Calculation'!A123</f>
        <v>JS3240</v>
      </c>
      <c r="B144" s="280" t="str">
        <f>'Reference Score Calculation'!D123</f>
        <v>英文及應用語言學(榮譽)文學士組合課程</v>
      </c>
      <c r="C144" s="236" t="str">
        <f>'Reference Score Calculation'!N123</f>
        <v>JS3832</v>
      </c>
      <c r="D144" s="312" t="str">
        <f>'Reference Score Calculation'!P123</f>
        <v>中英Best3</v>
      </c>
      <c r="E144" s="280" t="str">
        <f>入學要求!T132</f>
        <v>v</v>
      </c>
      <c r="F144" s="280" t="str">
        <f>入學要求!U132</f>
        <v>E</v>
      </c>
      <c r="G144" s="280" t="str">
        <f>入學要求!V132</f>
        <v>v</v>
      </c>
      <c r="H144" s="280">
        <f t="shared" si="123"/>
        <v>1.625E-8</v>
      </c>
      <c r="I144" s="185">
        <v>10</v>
      </c>
      <c r="J144" s="185">
        <v>10</v>
      </c>
      <c r="K144" s="185">
        <v>7</v>
      </c>
      <c r="L144" s="185">
        <v>7</v>
      </c>
      <c r="M144" s="185">
        <v>5</v>
      </c>
      <c r="N144" s="185">
        <v>5</v>
      </c>
      <c r="O144" s="185">
        <v>5</v>
      </c>
      <c r="P144" s="185">
        <v>5</v>
      </c>
      <c r="Q144" s="280">
        <v>5</v>
      </c>
      <c r="R144" s="280">
        <v>5</v>
      </c>
      <c r="T144" s="280">
        <f t="shared" si="124"/>
        <v>1.0000000000000001E-9</v>
      </c>
      <c r="U144" s="280">
        <f t="shared" si="125"/>
        <v>2.0000000000000001E-9</v>
      </c>
      <c r="V144" s="280">
        <f t="shared" si="126"/>
        <v>2.0999999999999998E-9</v>
      </c>
      <c r="W144" s="280">
        <f t="shared" si="127"/>
        <v>2.8000000000000003E-9</v>
      </c>
      <c r="X144" s="391">
        <f t="shared" si="128"/>
        <v>2.5000000000000001E-9</v>
      </c>
      <c r="Y144" s="280">
        <f t="shared" si="129"/>
        <v>3E-9</v>
      </c>
      <c r="Z144" s="280">
        <f t="shared" si="130"/>
        <v>3.4999999999999999E-9</v>
      </c>
      <c r="AA144" s="280">
        <f t="shared" si="131"/>
        <v>4.0000000000000002E-9</v>
      </c>
      <c r="AB144" s="280">
        <f t="shared" si="132"/>
        <v>4.4999999999999998E-9</v>
      </c>
      <c r="AC144" s="391">
        <f t="shared" si="133"/>
        <v>4.7500000000000003E-9</v>
      </c>
      <c r="AD144" s="391" t="b">
        <v>1</v>
      </c>
      <c r="AE144" s="391" t="b">
        <v>1</v>
      </c>
      <c r="AF144" s="391" t="b">
        <f>IF(V144&gt;LARGE($V144:$AC144,4),TRUE)</f>
        <v>0</v>
      </c>
      <c r="AG144" s="391" t="b">
        <f t="shared" ref="AG144" si="145">IF(W144&gt;LARGE($V144:$AC144,4),TRUE)</f>
        <v>0</v>
      </c>
      <c r="AH144" s="391" t="b">
        <f t="shared" ref="AH144" si="146">IF(X144&gt;LARGE($V144:$AC144,4),TRUE)</f>
        <v>0</v>
      </c>
      <c r="AI144" s="391" t="b">
        <f t="shared" ref="AI144" si="147">IF(Y144&gt;LARGE($V144:$AC144,4),TRUE)</f>
        <v>0</v>
      </c>
      <c r="AJ144" s="391" t="b">
        <f t="shared" ref="AJ144" si="148">IF(Z144&gt;LARGE($V144:$AC144,4),TRUE)</f>
        <v>0</v>
      </c>
      <c r="AK144" s="391" t="b">
        <f t="shared" ref="AK144" si="149">IF(AA144&gt;LARGE($V144:$AC144,4),TRUE)</f>
        <v>1</v>
      </c>
      <c r="AL144" s="391" t="b">
        <f t="shared" ref="AL144" si="150">IF(AB144&gt;LARGE($V144:$AC144,4),TRUE)</f>
        <v>1</v>
      </c>
      <c r="AM144" s="391" t="b">
        <f t="shared" ref="AM144" si="151">IF(AC144&gt;LARGE($V144:$AC144,4),TRUE)</f>
        <v>1</v>
      </c>
    </row>
    <row r="145" spans="1:58" x14ac:dyDescent="0.3">
      <c r="A145" s="280" t="str">
        <f>'Reference Score Calculation'!A124</f>
        <v>JS3310</v>
      </c>
      <c r="B145" s="280" t="str">
        <f>'Reference Score Calculation'!D124</f>
        <v>酒店及旅遊管理(榮譽)理學士組合課程</v>
      </c>
      <c r="C145" s="236" t="str">
        <f>'Reference Score Calculation'!N124</f>
        <v>JS3820</v>
      </c>
      <c r="D145" s="312" t="str">
        <f>'Reference Score Calculation'!P124</f>
        <v>Best 5</v>
      </c>
      <c r="E145" s="280" t="str">
        <f>入學要求!T133</f>
        <v>v</v>
      </c>
      <c r="F145" s="280" t="str">
        <f>入學要求!U133</f>
        <v>E</v>
      </c>
      <c r="G145" s="280" t="str">
        <f>入學要求!V133</f>
        <v>v</v>
      </c>
      <c r="H145" s="280">
        <f t="shared" si="123"/>
        <v>1.9750000000000001E-8</v>
      </c>
      <c r="I145" s="185">
        <v>7</v>
      </c>
      <c r="J145" s="185">
        <v>10</v>
      </c>
      <c r="K145" s="185">
        <v>7</v>
      </c>
      <c r="L145" s="185">
        <v>7</v>
      </c>
      <c r="M145" s="185">
        <v>5</v>
      </c>
      <c r="N145" s="185">
        <v>5</v>
      </c>
      <c r="O145" s="185">
        <v>5</v>
      </c>
      <c r="P145" s="185">
        <v>5</v>
      </c>
      <c r="Q145" s="280">
        <v>5</v>
      </c>
      <c r="R145" s="280">
        <v>5</v>
      </c>
      <c r="T145" s="280">
        <f t="shared" si="124"/>
        <v>7.0000000000000006E-10</v>
      </c>
      <c r="U145" s="280">
        <f t="shared" si="125"/>
        <v>2.0000000000000001E-9</v>
      </c>
      <c r="V145" s="280">
        <f t="shared" si="126"/>
        <v>2.0999999999999998E-9</v>
      </c>
      <c r="W145" s="280">
        <f t="shared" si="127"/>
        <v>2.8000000000000003E-9</v>
      </c>
      <c r="X145" s="391">
        <f t="shared" si="128"/>
        <v>2.5000000000000001E-9</v>
      </c>
      <c r="Y145" s="280">
        <f t="shared" si="129"/>
        <v>3E-9</v>
      </c>
      <c r="Z145" s="280">
        <f t="shared" si="130"/>
        <v>3.4999999999999999E-9</v>
      </c>
      <c r="AA145" s="280">
        <f t="shared" si="131"/>
        <v>4.0000000000000002E-9</v>
      </c>
      <c r="AB145" s="280">
        <f t="shared" si="132"/>
        <v>4.4999999999999998E-9</v>
      </c>
      <c r="AC145" s="391">
        <f t="shared" si="133"/>
        <v>4.7500000000000003E-9</v>
      </c>
      <c r="AD145" s="391" t="b">
        <f t="shared" si="134"/>
        <v>0</v>
      </c>
      <c r="AE145" s="391" t="b">
        <f t="shared" si="135"/>
        <v>0</v>
      </c>
      <c r="AF145" s="391" t="b">
        <f t="shared" si="136"/>
        <v>0</v>
      </c>
      <c r="AG145" s="391" t="b">
        <f t="shared" si="137"/>
        <v>0</v>
      </c>
      <c r="AH145" s="391" t="b">
        <f t="shared" si="138"/>
        <v>0</v>
      </c>
      <c r="AI145" s="391" t="b">
        <f t="shared" si="139"/>
        <v>1</v>
      </c>
      <c r="AJ145" s="391" t="b">
        <f t="shared" si="140"/>
        <v>1</v>
      </c>
      <c r="AK145" s="391" t="b">
        <f t="shared" si="141"/>
        <v>1</v>
      </c>
      <c r="AL145" s="391" t="b">
        <f t="shared" si="142"/>
        <v>1</v>
      </c>
      <c r="AM145" s="391" t="b">
        <f t="shared" si="143"/>
        <v>1</v>
      </c>
    </row>
    <row r="146" spans="1:58" x14ac:dyDescent="0.3">
      <c r="A146" s="280" t="str">
        <f>'Reference Score Calculation'!A125</f>
        <v>JS3310-2</v>
      </c>
      <c r="B146" s="280" t="str">
        <f>'Reference Score Calculation'!D125</f>
        <v/>
      </c>
      <c r="C146" s="236" t="str">
        <f>'Reference Score Calculation'!N125</f>
        <v>JS3882</v>
      </c>
      <c r="D146" s="312" t="str">
        <f>'Reference Score Calculation'!P125</f>
        <v>Best 5</v>
      </c>
      <c r="E146" s="280" t="str">
        <f>入學要求!T134</f>
        <v>v</v>
      </c>
      <c r="F146" s="280" t="str">
        <f>入學要求!U134</f>
        <v>E</v>
      </c>
      <c r="G146" s="280" t="str">
        <f>入學要求!V134</f>
        <v>NO</v>
      </c>
      <c r="H146" s="280">
        <f t="shared" si="123"/>
        <v>1.9750000000000001E-8</v>
      </c>
      <c r="I146" s="185">
        <v>7</v>
      </c>
      <c r="J146" s="185">
        <v>10</v>
      </c>
      <c r="K146" s="185">
        <v>7</v>
      </c>
      <c r="L146" s="185">
        <v>7</v>
      </c>
      <c r="M146" s="185">
        <v>5</v>
      </c>
      <c r="N146" s="185">
        <v>5</v>
      </c>
      <c r="O146" s="185">
        <v>5</v>
      </c>
      <c r="P146" s="185">
        <v>5</v>
      </c>
      <c r="Q146" s="280">
        <v>5</v>
      </c>
      <c r="R146" s="280">
        <v>5</v>
      </c>
      <c r="T146" s="280">
        <f t="shared" si="124"/>
        <v>7.0000000000000006E-10</v>
      </c>
      <c r="U146" s="280">
        <f t="shared" si="125"/>
        <v>2.0000000000000001E-9</v>
      </c>
      <c r="V146" s="280">
        <f t="shared" si="126"/>
        <v>2.0999999999999998E-9</v>
      </c>
      <c r="W146" s="280">
        <f t="shared" si="127"/>
        <v>2.8000000000000003E-9</v>
      </c>
      <c r="X146" s="391">
        <f t="shared" si="128"/>
        <v>2.5000000000000001E-9</v>
      </c>
      <c r="Y146" s="280">
        <f t="shared" si="129"/>
        <v>3E-9</v>
      </c>
      <c r="Z146" s="280">
        <f t="shared" si="130"/>
        <v>3.4999999999999999E-9</v>
      </c>
      <c r="AA146" s="280">
        <f t="shared" si="131"/>
        <v>4.0000000000000002E-9</v>
      </c>
      <c r="AB146" s="280">
        <f t="shared" si="132"/>
        <v>4.4999999999999998E-9</v>
      </c>
      <c r="AC146" s="391">
        <f t="shared" si="133"/>
        <v>4.7500000000000003E-9</v>
      </c>
      <c r="AD146" s="391" t="b">
        <f t="shared" si="134"/>
        <v>0</v>
      </c>
      <c r="AE146" s="391" t="b">
        <f t="shared" si="135"/>
        <v>0</v>
      </c>
      <c r="AF146" s="391" t="b">
        <f t="shared" si="136"/>
        <v>0</v>
      </c>
      <c r="AG146" s="391" t="b">
        <f t="shared" si="137"/>
        <v>0</v>
      </c>
      <c r="AH146" s="391" t="b">
        <f t="shared" si="138"/>
        <v>0</v>
      </c>
      <c r="AI146" s="391" t="b">
        <f t="shared" si="139"/>
        <v>1</v>
      </c>
      <c r="AJ146" s="391" t="b">
        <f t="shared" si="140"/>
        <v>1</v>
      </c>
      <c r="AK146" s="391" t="b">
        <f t="shared" si="141"/>
        <v>1</v>
      </c>
      <c r="AL146" s="391" t="b">
        <f t="shared" si="142"/>
        <v>1</v>
      </c>
      <c r="AM146" s="391" t="b">
        <f t="shared" si="143"/>
        <v>1</v>
      </c>
    </row>
    <row r="147" spans="1:58" x14ac:dyDescent="0.3">
      <c r="A147" s="280" t="str">
        <f>'Reference Score Calculation'!A126</f>
        <v>JS3492</v>
      </c>
      <c r="B147" s="280" t="str">
        <f>'Reference Score Calculation'!D126</f>
        <v>服裝及紡織(榮譽)文學士組合課程</v>
      </c>
      <c r="C147" s="236" t="str">
        <f>'Reference Score Calculation'!N126</f>
        <v>JS3492</v>
      </c>
      <c r="D147" s="312" t="str">
        <f>'Reference Score Calculation'!P126</f>
        <v>Best 5</v>
      </c>
      <c r="E147" s="280" t="str">
        <f>入學要求!T135</f>
        <v>v</v>
      </c>
      <c r="F147" s="280" t="str">
        <f>入學要求!U135</f>
        <v>E</v>
      </c>
      <c r="G147" s="280" t="str">
        <f>入學要求!V135</f>
        <v>v</v>
      </c>
      <c r="H147" s="280">
        <f t="shared" si="123"/>
        <v>1.9750000000000001E-8</v>
      </c>
      <c r="I147" s="185">
        <v>7</v>
      </c>
      <c r="J147" s="185">
        <v>10</v>
      </c>
      <c r="K147" s="185">
        <v>7</v>
      </c>
      <c r="L147" s="185">
        <v>7</v>
      </c>
      <c r="M147" s="185">
        <v>5</v>
      </c>
      <c r="N147" s="185">
        <f>IF(OR(N1="化學",N1="組合科學(物理、化學)",N1="組合科學(生物、化學)",N1="設計與應用科技",N1="視覺藝術"),10,5)</f>
        <v>5</v>
      </c>
      <c r="O147" s="280">
        <f>IF(OR(O1="化學",O1="組合科學(物理、化學)",O1="組合科學(生物、化學)",O1="設計與應用科技",O1="視覺藝術"),10,5)</f>
        <v>5</v>
      </c>
      <c r="P147" s="280">
        <f>IF(OR(P1="化學",P1="組合科學(物理、化學)",P1="組合科學(生物、化學)",P1="設計與應用科技",P1="視覺藝術"),10,5)</f>
        <v>5</v>
      </c>
      <c r="Q147" s="280">
        <f>IF(OR(Q1="化學",Q1="組合科學(物理、化學)",Q1="組合科學(生物、化學)",Q1="設計與應用科技",Q1="視覺藝術"),10,5)</f>
        <v>5</v>
      </c>
      <c r="R147" s="280">
        <v>5</v>
      </c>
      <c r="T147" s="280">
        <f t="shared" si="124"/>
        <v>7.0000000000000006E-10</v>
      </c>
      <c r="U147" s="280">
        <f t="shared" si="125"/>
        <v>2.0000000000000001E-9</v>
      </c>
      <c r="V147" s="280">
        <f t="shared" si="126"/>
        <v>2.0999999999999998E-9</v>
      </c>
      <c r="W147" s="280">
        <f t="shared" si="127"/>
        <v>2.8000000000000003E-9</v>
      </c>
      <c r="X147" s="391">
        <f t="shared" si="128"/>
        <v>2.5000000000000001E-9</v>
      </c>
      <c r="Y147" s="280">
        <f t="shared" si="129"/>
        <v>3E-9</v>
      </c>
      <c r="Z147" s="280">
        <f t="shared" si="130"/>
        <v>3.4999999999999999E-9</v>
      </c>
      <c r="AA147" s="280">
        <f t="shared" si="131"/>
        <v>4.0000000000000002E-9</v>
      </c>
      <c r="AB147" s="280">
        <f t="shared" si="132"/>
        <v>4.4999999999999998E-9</v>
      </c>
      <c r="AC147" s="391">
        <f t="shared" si="133"/>
        <v>4.7500000000000003E-9</v>
      </c>
      <c r="AD147" s="391" t="b">
        <f t="shared" si="134"/>
        <v>0</v>
      </c>
      <c r="AE147" s="391" t="b">
        <f t="shared" si="135"/>
        <v>0</v>
      </c>
      <c r="AF147" s="391" t="b">
        <f t="shared" si="136"/>
        <v>0</v>
      </c>
      <c r="AG147" s="391" t="b">
        <f t="shared" si="137"/>
        <v>0</v>
      </c>
      <c r="AH147" s="391" t="b">
        <f t="shared" si="138"/>
        <v>0</v>
      </c>
      <c r="AI147" s="391" t="b">
        <f t="shared" si="139"/>
        <v>1</v>
      </c>
      <c r="AJ147" s="391" t="b">
        <f t="shared" si="140"/>
        <v>1</v>
      </c>
      <c r="AK147" s="391" t="b">
        <f t="shared" si="141"/>
        <v>1</v>
      </c>
      <c r="AL147" s="391" t="b">
        <f t="shared" si="142"/>
        <v>1</v>
      </c>
      <c r="AM147" s="391" t="b">
        <f t="shared" si="143"/>
        <v>1</v>
      </c>
    </row>
    <row r="148" spans="1:58" x14ac:dyDescent="0.3">
      <c r="A148" s="280" t="str">
        <f>'Reference Score Calculation'!A127</f>
        <v>JS3569</v>
      </c>
      <c r="B148" s="280" t="str">
        <f>'Reference Score Calculation'!D127</f>
        <v>設計學(榮譽)文學士組合課程</v>
      </c>
      <c r="C148" s="236" t="str">
        <f>'Reference Score Calculation'!N127</f>
        <v>JS3569</v>
      </c>
      <c r="D148" s="312" t="str">
        <f>'Reference Score Calculation'!P127</f>
        <v>Best 5</v>
      </c>
      <c r="E148" s="280" t="str">
        <f>入學要求!T136</f>
        <v>v</v>
      </c>
      <c r="F148" s="280" t="str">
        <f>入學要求!U136</f>
        <v>E</v>
      </c>
      <c r="G148" s="280" t="str">
        <f>入學要求!V136</f>
        <v>v</v>
      </c>
      <c r="H148" s="280">
        <f t="shared" si="123"/>
        <v>2.0750000000000001E-8</v>
      </c>
      <c r="I148" s="185">
        <v>10</v>
      </c>
      <c r="J148" s="185">
        <v>10</v>
      </c>
      <c r="K148" s="185">
        <v>10</v>
      </c>
      <c r="L148" s="185">
        <v>10</v>
      </c>
      <c r="M148" s="185">
        <v>5</v>
      </c>
      <c r="N148" s="185">
        <f>IF(OR(N1="設計與應用科技",N1="視覺藝術"),10,5)</f>
        <v>5</v>
      </c>
      <c r="O148" s="280">
        <f>IF(OR(O1="設計與應用科技",O1="視覺藝術"),10,5)</f>
        <v>5</v>
      </c>
      <c r="P148" s="280">
        <f>IF(OR(P1="設計與應用科技",P1="視覺藝術"),10,5)</f>
        <v>5</v>
      </c>
      <c r="Q148" s="280">
        <f>IF(OR(Q1="設計與應用科技",Q1="視覺藝術"),10,5)</f>
        <v>5</v>
      </c>
      <c r="R148" s="280">
        <v>5</v>
      </c>
      <c r="T148" s="280">
        <f t="shared" si="124"/>
        <v>1.0000000000000001E-9</v>
      </c>
      <c r="U148" s="280">
        <f t="shared" si="125"/>
        <v>2.0000000000000001E-9</v>
      </c>
      <c r="V148" s="280">
        <f t="shared" si="126"/>
        <v>3E-9</v>
      </c>
      <c r="W148" s="280">
        <f t="shared" si="127"/>
        <v>4.0000000000000002E-9</v>
      </c>
      <c r="X148" s="391">
        <f t="shared" si="128"/>
        <v>2.5000000000000001E-9</v>
      </c>
      <c r="Y148" s="280">
        <f t="shared" si="129"/>
        <v>3E-9</v>
      </c>
      <c r="Z148" s="280">
        <f t="shared" si="130"/>
        <v>3.4999999999999999E-9</v>
      </c>
      <c r="AA148" s="280">
        <f t="shared" si="131"/>
        <v>4.0000000000000002E-9</v>
      </c>
      <c r="AB148" s="280">
        <f t="shared" si="132"/>
        <v>4.4999999999999998E-9</v>
      </c>
      <c r="AC148" s="391">
        <f t="shared" si="133"/>
        <v>4.7500000000000003E-9</v>
      </c>
      <c r="AD148" s="391" t="b">
        <f t="shared" si="134"/>
        <v>0</v>
      </c>
      <c r="AE148" s="391" t="b">
        <f t="shared" si="135"/>
        <v>0</v>
      </c>
      <c r="AF148" s="391" t="b">
        <f t="shared" si="136"/>
        <v>0</v>
      </c>
      <c r="AG148" s="391" t="b">
        <f t="shared" si="137"/>
        <v>1</v>
      </c>
      <c r="AH148" s="391" t="b">
        <f t="shared" si="138"/>
        <v>0</v>
      </c>
      <c r="AI148" s="391" t="b">
        <f t="shared" si="139"/>
        <v>0</v>
      </c>
      <c r="AJ148" s="391" t="b">
        <f t="shared" si="140"/>
        <v>1</v>
      </c>
      <c r="AK148" s="391" t="b">
        <f t="shared" si="141"/>
        <v>1</v>
      </c>
      <c r="AL148" s="391" t="b">
        <f t="shared" si="142"/>
        <v>1</v>
      </c>
      <c r="AM148" s="391" t="b">
        <f t="shared" si="143"/>
        <v>1</v>
      </c>
    </row>
    <row r="149" spans="1:58" x14ac:dyDescent="0.3">
      <c r="A149" s="280" t="str">
        <f>'Reference Score Calculation'!A128</f>
        <v>JS3250</v>
      </c>
      <c r="B149" s="280" t="str">
        <f>'Reference Score Calculation'!D128</f>
        <v>應用社會科學(榮譽)文學士組合課程</v>
      </c>
      <c r="C149" s="236" t="str">
        <f>'Reference Score Calculation'!N128</f>
        <v>JS3662</v>
      </c>
      <c r="D149" s="312" t="str">
        <f>'Reference Score Calculation'!P128</f>
        <v>4C2X</v>
      </c>
      <c r="E149" s="280" t="str">
        <f>入學要求!T137</f>
        <v>v</v>
      </c>
      <c r="F149" s="280" t="str">
        <f>入學要求!U137</f>
        <v>E</v>
      </c>
      <c r="G149" s="280" t="str">
        <f>入學要求!V137</f>
        <v>NO</v>
      </c>
      <c r="H149" s="280">
        <f t="shared" si="123"/>
        <v>1.625E-8</v>
      </c>
      <c r="I149" s="185">
        <v>7</v>
      </c>
      <c r="J149" s="185">
        <v>7</v>
      </c>
      <c r="K149" s="185">
        <v>7</v>
      </c>
      <c r="L149" s="185">
        <v>7</v>
      </c>
      <c r="M149" s="185">
        <v>5</v>
      </c>
      <c r="N149" s="185">
        <v>5</v>
      </c>
      <c r="O149" s="185">
        <v>5</v>
      </c>
      <c r="P149" s="185">
        <v>5</v>
      </c>
      <c r="Q149" s="280">
        <v>5</v>
      </c>
      <c r="R149" s="280">
        <v>5</v>
      </c>
      <c r="T149" s="280">
        <f t="shared" si="124"/>
        <v>7.0000000000000006E-10</v>
      </c>
      <c r="U149" s="280">
        <f t="shared" si="125"/>
        <v>1.4000000000000001E-9</v>
      </c>
      <c r="V149" s="280">
        <f t="shared" si="126"/>
        <v>2.0999999999999998E-9</v>
      </c>
      <c r="W149" s="280">
        <f t="shared" si="127"/>
        <v>2.8000000000000003E-9</v>
      </c>
      <c r="X149" s="391">
        <f t="shared" si="128"/>
        <v>2.5000000000000001E-9</v>
      </c>
      <c r="Y149" s="280">
        <f t="shared" si="129"/>
        <v>3E-9</v>
      </c>
      <c r="Z149" s="280">
        <f t="shared" si="130"/>
        <v>3.4999999999999999E-9</v>
      </c>
      <c r="AA149" s="280">
        <f t="shared" si="131"/>
        <v>4.0000000000000002E-9</v>
      </c>
      <c r="AB149" s="280">
        <f t="shared" si="132"/>
        <v>4.4999999999999998E-9</v>
      </c>
      <c r="AC149" s="391">
        <f t="shared" si="133"/>
        <v>4.7500000000000003E-9</v>
      </c>
      <c r="AD149" s="391" t="b">
        <f t="shared" si="134"/>
        <v>1</v>
      </c>
      <c r="AE149" s="391" t="b">
        <f t="shared" si="135"/>
        <v>1</v>
      </c>
      <c r="AF149" s="391" t="b">
        <f t="shared" si="136"/>
        <v>1</v>
      </c>
      <c r="AG149" s="391" t="b">
        <f t="shared" si="137"/>
        <v>1</v>
      </c>
      <c r="AH149" s="391" t="b">
        <f t="shared" si="138"/>
        <v>0</v>
      </c>
      <c r="AI149" s="391" t="b">
        <f t="shared" si="139"/>
        <v>0</v>
      </c>
      <c r="AJ149" s="391" t="b">
        <f t="shared" si="140"/>
        <v>0</v>
      </c>
      <c r="AK149" s="391" t="b">
        <f t="shared" si="141"/>
        <v>0</v>
      </c>
      <c r="AL149" s="391" t="b">
        <f t="shared" si="142"/>
        <v>1</v>
      </c>
      <c r="AM149" s="391" t="b">
        <f t="shared" si="143"/>
        <v>1</v>
      </c>
    </row>
    <row r="150" spans="1:58" x14ac:dyDescent="0.3">
      <c r="A150" s="280" t="str">
        <f>'Reference Score Calculation'!A129</f>
        <v>JS3250-2</v>
      </c>
      <c r="B150" s="280" t="str">
        <f>'Reference Score Calculation'!D129</f>
        <v/>
      </c>
      <c r="C150" s="236" t="str">
        <f>'Reference Score Calculation'!N129</f>
        <v>JS3765</v>
      </c>
      <c r="D150" s="312" t="str">
        <f>'Reference Score Calculation'!P129</f>
        <v>4C2X</v>
      </c>
      <c r="E150" s="280" t="str">
        <f>入學要求!T138</f>
        <v>v</v>
      </c>
      <c r="F150" s="280" t="str">
        <f>入學要求!U138</f>
        <v>E</v>
      </c>
      <c r="G150" s="280" t="str">
        <f>入學要求!V138</f>
        <v>NO</v>
      </c>
      <c r="H150" s="280">
        <f t="shared" si="123"/>
        <v>1.625E-8</v>
      </c>
      <c r="I150" s="185">
        <v>7</v>
      </c>
      <c r="J150" s="185">
        <v>7</v>
      </c>
      <c r="K150" s="185">
        <v>7</v>
      </c>
      <c r="L150" s="185">
        <v>7</v>
      </c>
      <c r="M150" s="185">
        <v>5</v>
      </c>
      <c r="N150" s="185">
        <v>5</v>
      </c>
      <c r="O150" s="185">
        <v>5</v>
      </c>
      <c r="P150" s="185">
        <v>5</v>
      </c>
      <c r="Q150" s="280">
        <v>5</v>
      </c>
      <c r="R150" s="280">
        <v>5</v>
      </c>
      <c r="T150" s="280">
        <f t="shared" si="124"/>
        <v>7.0000000000000006E-10</v>
      </c>
      <c r="U150" s="280">
        <f t="shared" si="125"/>
        <v>1.4000000000000001E-9</v>
      </c>
      <c r="V150" s="280">
        <f t="shared" si="126"/>
        <v>2.0999999999999998E-9</v>
      </c>
      <c r="W150" s="280">
        <f t="shared" si="127"/>
        <v>2.8000000000000003E-9</v>
      </c>
      <c r="X150" s="391">
        <f t="shared" si="128"/>
        <v>2.5000000000000001E-9</v>
      </c>
      <c r="Y150" s="280">
        <f t="shared" si="129"/>
        <v>3E-9</v>
      </c>
      <c r="Z150" s="280">
        <f t="shared" si="130"/>
        <v>3.4999999999999999E-9</v>
      </c>
      <c r="AA150" s="280">
        <f t="shared" si="131"/>
        <v>4.0000000000000002E-9</v>
      </c>
      <c r="AB150" s="280">
        <f t="shared" si="132"/>
        <v>4.4999999999999998E-9</v>
      </c>
      <c r="AC150" s="391">
        <f t="shared" si="133"/>
        <v>4.7500000000000003E-9</v>
      </c>
      <c r="AD150" s="391" t="b">
        <f t="shared" si="134"/>
        <v>1</v>
      </c>
      <c r="AE150" s="391" t="b">
        <f t="shared" si="135"/>
        <v>1</v>
      </c>
      <c r="AF150" s="391" t="b">
        <f t="shared" si="136"/>
        <v>1</v>
      </c>
      <c r="AG150" s="391" t="b">
        <f t="shared" si="137"/>
        <v>1</v>
      </c>
      <c r="AH150" s="391" t="b">
        <f t="shared" si="138"/>
        <v>0</v>
      </c>
      <c r="AI150" s="391" t="b">
        <f t="shared" si="139"/>
        <v>0</v>
      </c>
      <c r="AJ150" s="391" t="b">
        <f t="shared" si="140"/>
        <v>0</v>
      </c>
      <c r="AK150" s="391" t="b">
        <f t="shared" si="141"/>
        <v>0</v>
      </c>
      <c r="AL150" s="391" t="b">
        <f t="shared" si="142"/>
        <v>1</v>
      </c>
      <c r="AM150" s="391" t="b">
        <f t="shared" si="143"/>
        <v>1</v>
      </c>
    </row>
    <row r="151" spans="1:58" x14ac:dyDescent="0.3">
      <c r="A151" s="280" t="str">
        <f>'Reference Score Calculation'!A130</f>
        <v>JS3290</v>
      </c>
      <c r="B151" s="280" t="str">
        <f>'Reference Score Calculation'!D130</f>
        <v>眼科視光學(榮譽)理學士組合課程</v>
      </c>
      <c r="C151" s="236" t="str">
        <f>'Reference Score Calculation'!N130</f>
        <v>JS3650</v>
      </c>
      <c r="D151" s="312" t="str">
        <f>'Reference Score Calculation'!P130</f>
        <v>Best 6</v>
      </c>
      <c r="E151" s="280" t="str">
        <f>入學要求!T139</f>
        <v>v</v>
      </c>
      <c r="F151" s="280" t="str">
        <f>入學要求!U139</f>
        <v>E</v>
      </c>
      <c r="G151" s="280" t="str">
        <f>入學要求!V139</f>
        <v>v</v>
      </c>
      <c r="H151" s="280">
        <f t="shared" si="123"/>
        <v>2.175E-8</v>
      </c>
      <c r="I151" s="185">
        <v>7</v>
      </c>
      <c r="J151" s="185">
        <v>10</v>
      </c>
      <c r="K151" s="185">
        <v>10</v>
      </c>
      <c r="L151" s="185">
        <v>7</v>
      </c>
      <c r="M151" s="185">
        <v>10</v>
      </c>
      <c r="N151" s="185">
        <f>IF(OR(N1="生物",N1="化學",N1="物理",N1="組合科學(物理、化學)",N1="組合科學(生物、化學)",N1="組合科學(物理、生物)"),10,5)</f>
        <v>5</v>
      </c>
      <c r="O151" s="280">
        <f>IF(OR(O1="生物",O1="化學",O1="物理",O1="組合科學(物理、化學)",O1="組合科學(生物、化學)",O1="組合科學(物理、生物)"),10,5)</f>
        <v>5</v>
      </c>
      <c r="P151" s="280">
        <f>IF(OR(P1="生物",P1="化學",P1="物理",P1="組合科學(物理、化學)",P1="組合科學(生物、化學)",P1="組合科學(物理、生物)"),10,5)</f>
        <v>5</v>
      </c>
      <c r="Q151" s="280">
        <f>IF(OR(Q1="生物",Q1="化學",Q1="物理",Q1="組合科學(物理、化學)",Q1="組合科學(生物、化學)",Q1="組合科學(物理、生物)"),10,5)</f>
        <v>5</v>
      </c>
      <c r="R151" s="280">
        <v>5</v>
      </c>
      <c r="T151" s="280">
        <f t="shared" si="124"/>
        <v>7.0000000000000006E-10</v>
      </c>
      <c r="U151" s="280">
        <f t="shared" si="125"/>
        <v>2.0000000000000001E-9</v>
      </c>
      <c r="V151" s="280">
        <f t="shared" si="126"/>
        <v>3E-9</v>
      </c>
      <c r="W151" s="280">
        <f t="shared" si="127"/>
        <v>2.8000000000000003E-9</v>
      </c>
      <c r="X151" s="391">
        <f t="shared" si="128"/>
        <v>5.0000000000000001E-9</v>
      </c>
      <c r="Y151" s="280">
        <f t="shared" si="129"/>
        <v>3E-9</v>
      </c>
      <c r="Z151" s="280">
        <f t="shared" si="130"/>
        <v>3.4999999999999999E-9</v>
      </c>
      <c r="AA151" s="280">
        <f t="shared" si="131"/>
        <v>4.0000000000000002E-9</v>
      </c>
      <c r="AB151" s="280">
        <f t="shared" si="132"/>
        <v>4.4999999999999998E-9</v>
      </c>
      <c r="AC151" s="391">
        <f t="shared" si="133"/>
        <v>4.7500000000000003E-9</v>
      </c>
      <c r="AD151" s="391" t="b">
        <f t="shared" si="134"/>
        <v>0</v>
      </c>
      <c r="AE151" s="391" t="b">
        <f t="shared" si="135"/>
        <v>0</v>
      </c>
      <c r="AF151" s="391" t="b">
        <f t="shared" si="136"/>
        <v>0</v>
      </c>
      <c r="AG151" s="391" t="b">
        <f t="shared" si="137"/>
        <v>0</v>
      </c>
      <c r="AH151" s="391" t="b">
        <f t="shared" si="138"/>
        <v>1</v>
      </c>
      <c r="AI151" s="391" t="b">
        <f t="shared" si="139"/>
        <v>0</v>
      </c>
      <c r="AJ151" s="391" t="b">
        <f t="shared" si="140"/>
        <v>1</v>
      </c>
      <c r="AK151" s="391" t="b">
        <f t="shared" si="141"/>
        <v>1</v>
      </c>
      <c r="AL151" s="391" t="b">
        <f t="shared" si="142"/>
        <v>1</v>
      </c>
      <c r="AM151" s="391" t="b">
        <f t="shared" si="143"/>
        <v>1</v>
      </c>
    </row>
    <row r="152" spans="1:58" x14ac:dyDescent="0.3">
      <c r="A152" s="280" t="str">
        <f>'Reference Score Calculation'!A131</f>
        <v>JS3337</v>
      </c>
      <c r="B152" s="280" t="str">
        <f>'Reference Score Calculation'!D131</f>
        <v>護理學(榮譽)理學士組合課程 - 精神健康護理學(榮譽)理學士</v>
      </c>
      <c r="C152" s="236" t="str">
        <f>'Reference Score Calculation'!N131</f>
        <v>JS3337</v>
      </c>
      <c r="D152" s="312" t="str">
        <f>'Reference Score Calculation'!P131</f>
        <v>4C2X</v>
      </c>
      <c r="E152" s="280" t="str">
        <f>入學要求!T140</f>
        <v>v</v>
      </c>
      <c r="F152" s="280" t="str">
        <f>入學要求!U140</f>
        <v>NO</v>
      </c>
      <c r="G152" s="280" t="str">
        <f>入學要求!V140</f>
        <v>NO</v>
      </c>
      <c r="H152" s="280">
        <f t="shared" si="123"/>
        <v>1.85E-8</v>
      </c>
      <c r="I152" s="185">
        <v>10</v>
      </c>
      <c r="J152" s="185">
        <v>10</v>
      </c>
      <c r="K152" s="185">
        <v>10</v>
      </c>
      <c r="L152" s="185">
        <v>10</v>
      </c>
      <c r="M152" s="185">
        <v>5</v>
      </c>
      <c r="N152" s="185">
        <f>IF(OR(N1="生物",N1="組合科學(生物、化學)",N1="組合科學(物理、生物)"),10,5)</f>
        <v>5</v>
      </c>
      <c r="O152" s="280">
        <f>IF(OR(O1="生物",O1="組合科學(生物、化學)",O1="組合科學(物理、生物)"),10,5)</f>
        <v>5</v>
      </c>
      <c r="P152" s="280">
        <f>IF(OR(P1="生物",P1="組合科學(生物、化學)",P1="組合科學(物理、生物)"),10,5)</f>
        <v>5</v>
      </c>
      <c r="Q152" s="280">
        <f>IF(OR(Q1="生物",Q1="組合科學(生物、化學)",Q1="組合科學(物理、生物)"),10,5)</f>
        <v>5</v>
      </c>
      <c r="R152" s="280">
        <v>5</v>
      </c>
      <c r="T152" s="280">
        <f t="shared" si="124"/>
        <v>1.0000000000000001E-9</v>
      </c>
      <c r="U152" s="280">
        <f t="shared" si="125"/>
        <v>2.0000000000000001E-9</v>
      </c>
      <c r="V152" s="280">
        <f t="shared" si="126"/>
        <v>3E-9</v>
      </c>
      <c r="W152" s="280">
        <f t="shared" si="127"/>
        <v>4.0000000000000002E-9</v>
      </c>
      <c r="X152" s="391">
        <f t="shared" si="128"/>
        <v>2.5000000000000001E-9</v>
      </c>
      <c r="Y152" s="280">
        <f t="shared" si="129"/>
        <v>3E-9</v>
      </c>
      <c r="Z152" s="280">
        <f t="shared" si="130"/>
        <v>3.4999999999999999E-9</v>
      </c>
      <c r="AA152" s="280">
        <f t="shared" si="131"/>
        <v>4.0000000000000002E-9</v>
      </c>
      <c r="AB152" s="280">
        <f t="shared" si="132"/>
        <v>4.4999999999999998E-9</v>
      </c>
      <c r="AC152" s="391">
        <f t="shared" si="133"/>
        <v>0</v>
      </c>
      <c r="AD152" s="391" t="b">
        <f t="shared" si="134"/>
        <v>1</v>
      </c>
      <c r="AE152" s="391" t="b">
        <f t="shared" si="135"/>
        <v>1</v>
      </c>
      <c r="AF152" s="391" t="b">
        <f t="shared" si="136"/>
        <v>1</v>
      </c>
      <c r="AG152" s="391" t="b">
        <f t="shared" si="137"/>
        <v>1</v>
      </c>
      <c r="AH152" s="391" t="b">
        <f t="shared" si="138"/>
        <v>0</v>
      </c>
      <c r="AI152" s="391" t="b">
        <f t="shared" si="139"/>
        <v>0</v>
      </c>
      <c r="AJ152" s="391" t="b">
        <f t="shared" si="140"/>
        <v>0</v>
      </c>
      <c r="AK152" s="391" t="b">
        <f t="shared" si="141"/>
        <v>1</v>
      </c>
      <c r="AL152" s="391" t="b">
        <f t="shared" si="142"/>
        <v>1</v>
      </c>
      <c r="AM152" s="391" t="b">
        <f t="shared" si="143"/>
        <v>0</v>
      </c>
    </row>
    <row r="153" spans="1:58" x14ac:dyDescent="0.3">
      <c r="A153" s="280" t="str">
        <f>'Reference Score Calculation'!A132</f>
        <v>JS3478</v>
      </c>
      <c r="B153" s="280" t="str">
        <f>'Reference Score Calculation'!D132</f>
        <v>醫療化驗科學及放射學(榮譽)理學士組合課程 - 醫療化驗科學(榮譽)理學士</v>
      </c>
      <c r="C153" s="236" t="str">
        <f>'Reference Score Calculation'!N132</f>
        <v>JS3478</v>
      </c>
      <c r="D153" s="312" t="str">
        <f>'Reference Score Calculation'!P132</f>
        <v>Best 6</v>
      </c>
      <c r="E153" s="280" t="str">
        <f>入學要求!T141</f>
        <v>v</v>
      </c>
      <c r="F153" s="280" t="str">
        <f>入學要求!U141</f>
        <v>E</v>
      </c>
      <c r="G153" s="280" t="str">
        <f>入學要求!V141</f>
        <v>NO</v>
      </c>
      <c r="H153" s="280">
        <f t="shared" si="123"/>
        <v>2.175E-8</v>
      </c>
      <c r="I153" s="185">
        <v>7</v>
      </c>
      <c r="J153" s="185">
        <v>10</v>
      </c>
      <c r="K153" s="185">
        <v>10</v>
      </c>
      <c r="L153" s="185">
        <v>7</v>
      </c>
      <c r="M153" s="185">
        <v>10</v>
      </c>
      <c r="N153" s="185">
        <f>IF(OR(N1="生物",N1="化學",N1="組合科學(生物、化學)"),10,5)</f>
        <v>5</v>
      </c>
      <c r="O153" s="280">
        <f>IF(OR(O1="生物",O1="化學",O1="組合科學(生物、化學)"),10,5)</f>
        <v>5</v>
      </c>
      <c r="P153" s="280">
        <f>IF(OR(P1="生物",P1="化學",P1="組合科學(生物、化學)"),10,5)</f>
        <v>5</v>
      </c>
      <c r="Q153" s="280">
        <f>IF(OR(Q1="生物",Q1="化學",Q1="組合科學(生物、化學)"),10,5)</f>
        <v>5</v>
      </c>
      <c r="R153" s="280">
        <v>5</v>
      </c>
      <c r="T153" s="280">
        <f t="shared" si="124"/>
        <v>7.0000000000000006E-10</v>
      </c>
      <c r="U153" s="280">
        <f t="shared" si="125"/>
        <v>2.0000000000000001E-9</v>
      </c>
      <c r="V153" s="280">
        <f t="shared" si="126"/>
        <v>3E-9</v>
      </c>
      <c r="W153" s="280">
        <f t="shared" si="127"/>
        <v>2.8000000000000003E-9</v>
      </c>
      <c r="X153" s="391">
        <f t="shared" si="128"/>
        <v>5.0000000000000001E-9</v>
      </c>
      <c r="Y153" s="280">
        <f t="shared" si="129"/>
        <v>3E-9</v>
      </c>
      <c r="Z153" s="280">
        <f t="shared" si="130"/>
        <v>3.4999999999999999E-9</v>
      </c>
      <c r="AA153" s="280">
        <f t="shared" si="131"/>
        <v>4.0000000000000002E-9</v>
      </c>
      <c r="AB153" s="280">
        <f t="shared" si="132"/>
        <v>4.4999999999999998E-9</v>
      </c>
      <c r="AC153" s="391">
        <f t="shared" si="133"/>
        <v>4.7500000000000003E-9</v>
      </c>
      <c r="AD153" s="391" t="b">
        <f t="shared" si="134"/>
        <v>0</v>
      </c>
      <c r="AE153" s="391" t="b">
        <f t="shared" si="135"/>
        <v>0</v>
      </c>
      <c r="AF153" s="391" t="b">
        <f t="shared" si="136"/>
        <v>0</v>
      </c>
      <c r="AG153" s="391" t="b">
        <f t="shared" si="137"/>
        <v>0</v>
      </c>
      <c r="AH153" s="391" t="b">
        <f t="shared" si="138"/>
        <v>1</v>
      </c>
      <c r="AI153" s="391" t="b">
        <f t="shared" si="139"/>
        <v>0</v>
      </c>
      <c r="AJ153" s="391" t="b">
        <f t="shared" si="140"/>
        <v>1</v>
      </c>
      <c r="AK153" s="391" t="b">
        <f t="shared" si="141"/>
        <v>1</v>
      </c>
      <c r="AL153" s="391" t="b">
        <f t="shared" si="142"/>
        <v>1</v>
      </c>
      <c r="AM153" s="391" t="b">
        <f t="shared" si="143"/>
        <v>1</v>
      </c>
    </row>
    <row r="154" spans="1:58" x14ac:dyDescent="0.3">
      <c r="A154" s="280" t="str">
        <f>'Reference Score Calculation'!A133</f>
        <v>JS3612</v>
      </c>
      <c r="B154" s="280" t="str">
        <f>'Reference Score Calculation'!D133</f>
        <v>醫療化驗科學及放射學(榮譽)理學士組合課程 - 放射學(榮譽)理學士</v>
      </c>
      <c r="C154" s="236" t="str">
        <f>'Reference Score Calculation'!N133</f>
        <v>JS3612</v>
      </c>
      <c r="D154" s="312" t="str">
        <f>'Reference Score Calculation'!P133</f>
        <v>Best 6</v>
      </c>
      <c r="E154" s="280" t="str">
        <f>入學要求!T142</f>
        <v>v</v>
      </c>
      <c r="F154" s="280" t="str">
        <f>入學要求!U142</f>
        <v>E</v>
      </c>
      <c r="G154" s="280" t="str">
        <f>入學要求!V142</f>
        <v>NO</v>
      </c>
      <c r="H154" s="280">
        <f t="shared" si="123"/>
        <v>2.2749999999999999E-8</v>
      </c>
      <c r="I154" s="185">
        <v>10</v>
      </c>
      <c r="J154" s="185">
        <v>10</v>
      </c>
      <c r="K154" s="185">
        <v>10</v>
      </c>
      <c r="L154" s="185">
        <v>7</v>
      </c>
      <c r="M154" s="185">
        <v>5</v>
      </c>
      <c r="N154" s="185">
        <f>IF(OR(N1="生物",N1="化學",N1="物理",N1="組合科學(物理、化學)",N1="組合科學(生物、化學)",N1="組合科學(物理、生物)"),10,5)</f>
        <v>5</v>
      </c>
      <c r="O154" s="280">
        <f>IF(OR(O1="生物",O1="化學",O1="物理",O1="組合科學(物理、化學)",O1="組合科學(生物、化學)",O1="組合科學(物理、生物)"),10,5)</f>
        <v>5</v>
      </c>
      <c r="P154" s="280">
        <f>IF(OR(P1="生物",P1="化學",P1="物理",P1="組合科學(物理、化學)",P1="組合科學(生物、化學)",P1="組合科學(物理、生物)"),10,5)</f>
        <v>5</v>
      </c>
      <c r="Q154" s="280">
        <f>IF(OR(Q1="生物",Q1="化學",Q1="物理",Q1="組合科學(物理、化學)",Q1="組合科學(生物、化學)",Q1="組合科學(物理、生物)"),10,5)</f>
        <v>5</v>
      </c>
      <c r="R154" s="280">
        <v>5</v>
      </c>
      <c r="T154" s="280">
        <f t="shared" si="124"/>
        <v>1.0000000000000001E-9</v>
      </c>
      <c r="U154" s="280">
        <f t="shared" si="125"/>
        <v>2.0000000000000001E-9</v>
      </c>
      <c r="V154" s="280">
        <f t="shared" si="126"/>
        <v>3E-9</v>
      </c>
      <c r="W154" s="280">
        <f t="shared" si="127"/>
        <v>2.8000000000000003E-9</v>
      </c>
      <c r="X154" s="391">
        <f t="shared" si="128"/>
        <v>2.5000000000000001E-9</v>
      </c>
      <c r="Y154" s="280">
        <f t="shared" si="129"/>
        <v>3E-9</v>
      </c>
      <c r="Z154" s="280">
        <f t="shared" si="130"/>
        <v>3.4999999999999999E-9</v>
      </c>
      <c r="AA154" s="280">
        <f t="shared" si="131"/>
        <v>4.0000000000000002E-9</v>
      </c>
      <c r="AB154" s="280">
        <f t="shared" si="132"/>
        <v>4.4999999999999998E-9</v>
      </c>
      <c r="AC154" s="391">
        <f t="shared" si="133"/>
        <v>4.7500000000000003E-9</v>
      </c>
      <c r="AD154" s="391" t="b">
        <f t="shared" si="134"/>
        <v>0</v>
      </c>
      <c r="AE154" s="391" t="b">
        <f t="shared" si="135"/>
        <v>0</v>
      </c>
      <c r="AF154" s="391" t="b">
        <f t="shared" si="136"/>
        <v>1</v>
      </c>
      <c r="AG154" s="391" t="b">
        <f t="shared" si="137"/>
        <v>0</v>
      </c>
      <c r="AH154" s="391" t="b">
        <f t="shared" si="138"/>
        <v>0</v>
      </c>
      <c r="AI154" s="391" t="b">
        <f t="shared" si="139"/>
        <v>1</v>
      </c>
      <c r="AJ154" s="391" t="b">
        <f t="shared" si="140"/>
        <v>1</v>
      </c>
      <c r="AK154" s="391" t="b">
        <f t="shared" si="141"/>
        <v>1</v>
      </c>
      <c r="AL154" s="391" t="b">
        <f t="shared" si="142"/>
        <v>1</v>
      </c>
      <c r="AM154" s="391" t="b">
        <f t="shared" si="143"/>
        <v>1</v>
      </c>
    </row>
    <row r="155" spans="1:58" x14ac:dyDescent="0.3">
      <c r="A155" s="280" t="str">
        <f>'Reference Score Calculation'!A134</f>
        <v>JS3624</v>
      </c>
      <c r="B155" s="280" t="str">
        <f>'Reference Score Calculation'!D134</f>
        <v>康復治療科學(榮譽)理學士組合課程 - 職業治療學(榮譽)理學士</v>
      </c>
      <c r="C155" s="236" t="str">
        <f>'Reference Score Calculation'!N134</f>
        <v>JS3624</v>
      </c>
      <c r="D155" s="312" t="str">
        <f>'Reference Score Calculation'!P134</f>
        <v>Best 6</v>
      </c>
      <c r="E155" s="280" t="str">
        <f>入學要求!T143</f>
        <v>v</v>
      </c>
      <c r="F155" s="280" t="str">
        <f>入學要求!U143</f>
        <v>E</v>
      </c>
      <c r="G155" s="280" t="str">
        <f>入學要求!V143</f>
        <v>NO</v>
      </c>
      <c r="H155" s="280">
        <f t="shared" si="123"/>
        <v>2.255E-8</v>
      </c>
      <c r="I155" s="185">
        <v>10</v>
      </c>
      <c r="J155" s="185">
        <v>10</v>
      </c>
      <c r="K155" s="185">
        <v>7</v>
      </c>
      <c r="L155" s="185">
        <v>7</v>
      </c>
      <c r="M155" s="185">
        <v>5</v>
      </c>
      <c r="N155" s="185">
        <f>IF(OR(N1="生物",N1="物理",N1="組合科學(物理、化學)",N1="組合科學(生物、化學)",N1="組合科學(物理、生物)"),10,5)</f>
        <v>5</v>
      </c>
      <c r="O155" s="280">
        <f>IF(OR(O1="生物",O1="物理",O1="組合科學(物理、化學)",O1="組合科學(生物、化學)",O1="組合科學(物理、生物)"),10,5)</f>
        <v>5</v>
      </c>
      <c r="P155" s="280">
        <f>IF(OR(P1="生物",P1="物理",P1="組合科學(物理、化學)",P1="組合科學(生物、化學)",P1="組合科學(物理、生物)"),10,5)</f>
        <v>5</v>
      </c>
      <c r="Q155" s="280">
        <f>IF(OR(Q1="生物",Q1="物理",Q1="組合科學(物理、化學)",Q1="組合科學(生物、化學)",Q1="組合科學(物理、生物)"),10,5)</f>
        <v>5</v>
      </c>
      <c r="R155" s="280">
        <v>5</v>
      </c>
      <c r="T155" s="280">
        <f t="shared" si="124"/>
        <v>1.0000000000000001E-9</v>
      </c>
      <c r="U155" s="280">
        <f t="shared" si="125"/>
        <v>2.0000000000000001E-9</v>
      </c>
      <c r="V155" s="280">
        <f t="shared" si="126"/>
        <v>2.0999999999999998E-9</v>
      </c>
      <c r="W155" s="280">
        <f t="shared" si="127"/>
        <v>2.8000000000000003E-9</v>
      </c>
      <c r="X155" s="391">
        <f t="shared" si="128"/>
        <v>2.5000000000000001E-9</v>
      </c>
      <c r="Y155" s="280">
        <f t="shared" si="129"/>
        <v>3E-9</v>
      </c>
      <c r="Z155" s="280">
        <f t="shared" si="130"/>
        <v>3.4999999999999999E-9</v>
      </c>
      <c r="AA155" s="280">
        <f t="shared" si="131"/>
        <v>4.0000000000000002E-9</v>
      </c>
      <c r="AB155" s="280">
        <f t="shared" si="132"/>
        <v>4.4999999999999998E-9</v>
      </c>
      <c r="AC155" s="391">
        <f t="shared" si="133"/>
        <v>4.7500000000000003E-9</v>
      </c>
      <c r="AD155" s="391" t="b">
        <f t="shared" si="134"/>
        <v>0</v>
      </c>
      <c r="AE155" s="391" t="b">
        <f t="shared" si="135"/>
        <v>0</v>
      </c>
      <c r="AF155" s="391" t="b">
        <f t="shared" si="136"/>
        <v>0</v>
      </c>
      <c r="AG155" s="391" t="b">
        <f t="shared" si="137"/>
        <v>1</v>
      </c>
      <c r="AH155" s="391" t="b">
        <f t="shared" si="138"/>
        <v>0</v>
      </c>
      <c r="AI155" s="391" t="b">
        <f t="shared" si="139"/>
        <v>1</v>
      </c>
      <c r="AJ155" s="391" t="b">
        <f t="shared" si="140"/>
        <v>1</v>
      </c>
      <c r="AK155" s="391" t="b">
        <f t="shared" si="141"/>
        <v>1</v>
      </c>
      <c r="AL155" s="391" t="b">
        <f t="shared" si="142"/>
        <v>1</v>
      </c>
      <c r="AM155" s="391" t="b">
        <f t="shared" si="143"/>
        <v>1</v>
      </c>
    </row>
    <row r="156" spans="1:58" x14ac:dyDescent="0.3">
      <c r="A156" s="280" t="str">
        <f>'Reference Score Calculation'!A135</f>
        <v>JS3636</v>
      </c>
      <c r="B156" s="280" t="str">
        <f>'Reference Score Calculation'!D135</f>
        <v>康復治療科學(榮譽)理學士組合課程 - 物理治療學(榮譽)理學士</v>
      </c>
      <c r="C156" s="236" t="str">
        <f>'Reference Score Calculation'!N135</f>
        <v>JS3636</v>
      </c>
      <c r="D156" s="312" t="str">
        <f>'Reference Score Calculation'!P135</f>
        <v>Best 6</v>
      </c>
      <c r="E156" s="280" t="str">
        <f>入學要求!T144</f>
        <v>v</v>
      </c>
      <c r="F156" s="280" t="str">
        <f>入學要求!U144</f>
        <v>E</v>
      </c>
      <c r="G156" s="280" t="str">
        <f>入學要求!V144</f>
        <v>NO</v>
      </c>
      <c r="H156" s="280">
        <f t="shared" si="123"/>
        <v>2.255E-8</v>
      </c>
      <c r="I156" s="185">
        <v>10</v>
      </c>
      <c r="J156" s="185">
        <v>10</v>
      </c>
      <c r="K156" s="185">
        <v>7</v>
      </c>
      <c r="L156" s="185">
        <v>7</v>
      </c>
      <c r="M156" s="185">
        <v>5</v>
      </c>
      <c r="N156" s="185">
        <f>IF(OR(N1="生物",N1="物理",N1="組合科學(物理、生物)"),10,5)</f>
        <v>5</v>
      </c>
      <c r="O156" s="280">
        <f>IF(OR(O1="生物",O1="物理",O1="組合科學(物理、生物)"),10,5)</f>
        <v>5</v>
      </c>
      <c r="P156" s="280">
        <f>IF(OR(P1="生物",P1="物理",P1="組合科學(物理、生物)"),10,5)</f>
        <v>5</v>
      </c>
      <c r="Q156" s="280">
        <f>IF(OR(Q1="生物",Q1="物理",Q1="組合科學(物理、生物)"),10,5)</f>
        <v>5</v>
      </c>
      <c r="R156" s="280">
        <v>5</v>
      </c>
      <c r="T156" s="280">
        <f t="shared" si="124"/>
        <v>1.0000000000000001E-9</v>
      </c>
      <c r="U156" s="280">
        <f t="shared" si="125"/>
        <v>2.0000000000000001E-9</v>
      </c>
      <c r="V156" s="280">
        <f t="shared" si="126"/>
        <v>2.0999999999999998E-9</v>
      </c>
      <c r="W156" s="280">
        <f t="shared" si="127"/>
        <v>2.8000000000000003E-9</v>
      </c>
      <c r="X156" s="391">
        <f t="shared" si="128"/>
        <v>2.5000000000000001E-9</v>
      </c>
      <c r="Y156" s="280">
        <f t="shared" si="129"/>
        <v>3E-9</v>
      </c>
      <c r="Z156" s="280">
        <f t="shared" si="130"/>
        <v>3.4999999999999999E-9</v>
      </c>
      <c r="AA156" s="280">
        <f t="shared" si="131"/>
        <v>4.0000000000000002E-9</v>
      </c>
      <c r="AB156" s="280">
        <f t="shared" si="132"/>
        <v>4.4999999999999998E-9</v>
      </c>
      <c r="AC156" s="391">
        <f t="shared" si="133"/>
        <v>4.7500000000000003E-9</v>
      </c>
      <c r="AD156" s="391" t="b">
        <f t="shared" si="134"/>
        <v>0</v>
      </c>
      <c r="AE156" s="391" t="b">
        <f t="shared" si="135"/>
        <v>0</v>
      </c>
      <c r="AF156" s="391" t="b">
        <f t="shared" si="136"/>
        <v>0</v>
      </c>
      <c r="AG156" s="391" t="b">
        <f t="shared" si="137"/>
        <v>1</v>
      </c>
      <c r="AH156" s="391" t="b">
        <f t="shared" si="138"/>
        <v>0</v>
      </c>
      <c r="AI156" s="391" t="b">
        <f t="shared" si="139"/>
        <v>1</v>
      </c>
      <c r="AJ156" s="391" t="b">
        <f t="shared" si="140"/>
        <v>1</v>
      </c>
      <c r="AK156" s="391" t="b">
        <f t="shared" si="141"/>
        <v>1</v>
      </c>
      <c r="AL156" s="391" t="b">
        <f t="shared" si="142"/>
        <v>1</v>
      </c>
      <c r="AM156" s="391" t="b">
        <f t="shared" si="143"/>
        <v>1</v>
      </c>
    </row>
    <row r="157" spans="1:58" x14ac:dyDescent="0.3">
      <c r="A157" s="280" t="str">
        <f>'Reference Score Calculation'!A136</f>
        <v>JS3648</v>
      </c>
      <c r="B157" s="280" t="str">
        <f>'Reference Score Calculation'!D136</f>
        <v>護理學(榮譽)理學士組合課程 - 護理學(榮譽)理學士</v>
      </c>
      <c r="C157" s="236" t="str">
        <f>'Reference Score Calculation'!N136</f>
        <v>JS3648</v>
      </c>
      <c r="D157" s="312" t="str">
        <f>'Reference Score Calculation'!P136</f>
        <v>4C2X</v>
      </c>
      <c r="E157" s="280" t="str">
        <f>入學要求!T145</f>
        <v>v</v>
      </c>
      <c r="F157" s="280" t="str">
        <f>入學要求!U145</f>
        <v>NO</v>
      </c>
      <c r="G157" s="280" t="str">
        <f>入學要求!V145</f>
        <v>NO</v>
      </c>
      <c r="H157" s="280">
        <f>SUMIF(AD157:AM157,TRUE,T157:AC157)</f>
        <v>1.85E-8</v>
      </c>
      <c r="I157" s="185">
        <v>10</v>
      </c>
      <c r="J157" s="185">
        <v>10</v>
      </c>
      <c r="K157" s="185">
        <v>10</v>
      </c>
      <c r="L157" s="185">
        <v>10</v>
      </c>
      <c r="M157" s="185">
        <v>5</v>
      </c>
      <c r="N157" s="185">
        <f>IF(OR(N1="生物",N1="組合科學(生物、化學)",N1="組合科學(物理、生物)"),10,5)</f>
        <v>5</v>
      </c>
      <c r="O157" s="280">
        <f>IF(OR(O1="生物",O1="組合科學(生物、化學)",O1="組合科學(物理、生物)"),10,5)</f>
        <v>5</v>
      </c>
      <c r="P157" s="280">
        <f>IF(OR(P1="生物",P1="組合科學(生物、化學)",P1="組合科學(物理、生物)"),10,5)</f>
        <v>5</v>
      </c>
      <c r="Q157" s="280">
        <f>IF(OR(Q1="生物",Q1="組合科學(生物、化學)",Q1="組合科學(物理、生物)"),10,5)</f>
        <v>5</v>
      </c>
      <c r="R157" s="280">
        <v>5</v>
      </c>
      <c r="T157" s="280">
        <f t="shared" ref="T157" si="152">I$5*I157</f>
        <v>1.0000000000000001E-9</v>
      </c>
      <c r="U157" s="280">
        <f t="shared" ref="U157" si="153">J$5*J157</f>
        <v>2.0000000000000001E-9</v>
      </c>
      <c r="V157" s="280">
        <f t="shared" ref="V157" si="154">K$5*K157</f>
        <v>3E-9</v>
      </c>
      <c r="W157" s="280">
        <f t="shared" ref="W157" si="155">L$5*L157</f>
        <v>4.0000000000000002E-9</v>
      </c>
      <c r="X157" s="391">
        <f t="shared" si="128"/>
        <v>2.5000000000000001E-9</v>
      </c>
      <c r="Y157" s="280">
        <f t="shared" ref="Y157" si="156">N$5*N157</f>
        <v>3E-9</v>
      </c>
      <c r="Z157" s="280">
        <f t="shared" ref="Z157" si="157">O$5*O157</f>
        <v>3.4999999999999999E-9</v>
      </c>
      <c r="AA157" s="280">
        <f t="shared" ref="AA157" si="158">P$5*P157</f>
        <v>4.0000000000000002E-9</v>
      </c>
      <c r="AB157" s="280">
        <f t="shared" ref="AB157" si="159">Q$5*Q157</f>
        <v>4.4999999999999998E-9</v>
      </c>
      <c r="AC157" s="391">
        <f>IF(F157="E",R$5*R157,0)</f>
        <v>0</v>
      </c>
      <c r="AD157" s="391" t="b">
        <f t="shared" si="134"/>
        <v>1</v>
      </c>
      <c r="AE157" s="391" t="b">
        <f t="shared" si="135"/>
        <v>1</v>
      </c>
      <c r="AF157" s="391" t="b">
        <f t="shared" si="136"/>
        <v>1</v>
      </c>
      <c r="AG157" s="391" t="b">
        <f t="shared" si="137"/>
        <v>1</v>
      </c>
      <c r="AH157" s="391" t="b">
        <f t="shared" si="138"/>
        <v>0</v>
      </c>
      <c r="AI157" s="391" t="b">
        <f t="shared" si="139"/>
        <v>0</v>
      </c>
      <c r="AJ157" s="391" t="b">
        <f t="shared" si="140"/>
        <v>0</v>
      </c>
      <c r="AK157" s="391" t="b">
        <f t="shared" si="141"/>
        <v>1</v>
      </c>
      <c r="AL157" s="391" t="b">
        <f t="shared" si="142"/>
        <v>1</v>
      </c>
      <c r="AM157" s="391" t="b">
        <f t="shared" si="143"/>
        <v>0</v>
      </c>
    </row>
    <row r="159" spans="1:58" s="227" customFormat="1" x14ac:dyDescent="0.3">
      <c r="A159" s="231" t="s">
        <v>2247</v>
      </c>
      <c r="B159" s="232"/>
      <c r="C159" s="232"/>
      <c r="D159" s="233"/>
      <c r="E159" s="356" t="s">
        <v>2233</v>
      </c>
      <c r="F159" s="356" t="s">
        <v>2234</v>
      </c>
      <c r="G159" s="356" t="s">
        <v>2235</v>
      </c>
      <c r="H159" s="399" t="s">
        <v>2301</v>
      </c>
      <c r="I159" s="399" t="s">
        <v>2011</v>
      </c>
      <c r="J159" s="399" t="s">
        <v>2012</v>
      </c>
      <c r="K159" s="399" t="s">
        <v>2013</v>
      </c>
      <c r="L159" s="399" t="s">
        <v>2014</v>
      </c>
      <c r="M159" s="399" t="s">
        <v>2015</v>
      </c>
      <c r="N159" s="399" t="s">
        <v>2016</v>
      </c>
      <c r="O159" s="399" t="s">
        <v>2017</v>
      </c>
      <c r="P159" s="399" t="s">
        <v>2018</v>
      </c>
      <c r="Q159" s="399" t="s">
        <v>2019</v>
      </c>
      <c r="R159" s="399" t="s">
        <v>2958</v>
      </c>
      <c r="S159" s="404"/>
      <c r="T159" s="399" t="str">
        <f t="shared" ref="T159:AC159" si="160">I1</f>
        <v>中國語文</v>
      </c>
      <c r="U159" s="399" t="str">
        <f t="shared" si="160"/>
        <v>英國語文</v>
      </c>
      <c r="V159" s="399" t="str">
        <f t="shared" si="160"/>
        <v>數學</v>
      </c>
      <c r="W159" s="399" t="str">
        <f t="shared" si="160"/>
        <v>通識教育</v>
      </c>
      <c r="X159" s="399" t="str">
        <f t="shared" si="160"/>
        <v>數學延伸</v>
      </c>
      <c r="Y159" s="399" t="str">
        <f t="shared" si="160"/>
        <v>請選擇第一選修科</v>
      </c>
      <c r="Z159" s="399" t="str">
        <f t="shared" si="160"/>
        <v>請選擇第二選修科</v>
      </c>
      <c r="AA159" s="399" t="str">
        <f t="shared" si="160"/>
        <v>請選擇第三選修科</v>
      </c>
      <c r="AB159" s="399" t="str">
        <f t="shared" si="160"/>
        <v>請選擇第四選修科</v>
      </c>
      <c r="AC159" s="399" t="str">
        <f t="shared" si="160"/>
        <v>請選擇語言科目</v>
      </c>
      <c r="AD159" s="399" t="s">
        <v>2881</v>
      </c>
      <c r="AE159" s="399" t="s">
        <v>2882</v>
      </c>
      <c r="AF159" s="399" t="s">
        <v>2883</v>
      </c>
      <c r="AG159" s="399" t="s">
        <v>2884</v>
      </c>
      <c r="AH159" s="399" t="s">
        <v>2885</v>
      </c>
      <c r="AI159" s="399" t="s">
        <v>2886</v>
      </c>
      <c r="AJ159" s="399" t="s">
        <v>2887</v>
      </c>
      <c r="AK159" s="399" t="s">
        <v>2888</v>
      </c>
      <c r="AL159" s="399" t="s">
        <v>2889</v>
      </c>
      <c r="AM159" s="399" t="s">
        <v>2890</v>
      </c>
    </row>
    <row r="160" spans="1:58" x14ac:dyDescent="0.3">
      <c r="A160" s="235" t="str">
        <f>'Reference Score Calculation'!A139</f>
        <v>JS4006</v>
      </c>
      <c r="B160" s="235" t="str">
        <f>'Reference Score Calculation'!D139</f>
        <v>人類學</v>
      </c>
      <c r="C160" s="235"/>
      <c r="D160" s="235" t="str">
        <f>'Reference Score Calculation'!E139</f>
        <v>Best 5</v>
      </c>
      <c r="E160" s="409" t="str">
        <f>入學要求!T148</f>
        <v>v</v>
      </c>
      <c r="F160" s="409" t="str">
        <f>入學要求!U148</f>
        <v>E</v>
      </c>
      <c r="G160" s="409" t="str">
        <f>入學要求!V148</f>
        <v>NO</v>
      </c>
      <c r="H160" s="235">
        <f>SUMIF(AD160:AM160,TRUE,T160:AC160)</f>
        <v>3.9500000000000006E-9</v>
      </c>
      <c r="I160" s="235">
        <v>1</v>
      </c>
      <c r="J160" s="235">
        <v>1</v>
      </c>
      <c r="K160" s="235">
        <v>1</v>
      </c>
      <c r="L160" s="235">
        <v>1</v>
      </c>
      <c r="M160" s="235">
        <v>1</v>
      </c>
      <c r="N160" s="235">
        <v>1</v>
      </c>
      <c r="O160" s="235">
        <v>1</v>
      </c>
      <c r="P160" s="235">
        <v>1</v>
      </c>
      <c r="Q160" s="408">
        <v>1</v>
      </c>
      <c r="R160" s="408">
        <v>1</v>
      </c>
      <c r="S160" s="236"/>
      <c r="T160" s="185">
        <f>I$6*I160</f>
        <v>1E-10</v>
      </c>
      <c r="U160" s="391">
        <f t="shared" ref="U160:AB160" si="161">J$6*J160</f>
        <v>2.0000000000000001E-10</v>
      </c>
      <c r="V160" s="391">
        <f t="shared" si="161"/>
        <v>3E-10</v>
      </c>
      <c r="W160" s="391">
        <f t="shared" si="161"/>
        <v>4.0000000000000001E-10</v>
      </c>
      <c r="X160" s="391">
        <f>IF(E160="v",M$6*M160,0)</f>
        <v>5.0000000000000003E-10</v>
      </c>
      <c r="Y160" s="391">
        <f t="shared" si="161"/>
        <v>6E-10</v>
      </c>
      <c r="Z160" s="391">
        <f t="shared" si="161"/>
        <v>6.9999999999999996E-10</v>
      </c>
      <c r="AA160" s="391">
        <f t="shared" si="161"/>
        <v>8.0000000000000003E-10</v>
      </c>
      <c r="AB160" s="391">
        <f t="shared" si="161"/>
        <v>8.9999999999999999E-10</v>
      </c>
      <c r="AC160" s="391">
        <f>IF(F160="E",R$6*R160,0)</f>
        <v>9.5000000000000003E-10</v>
      </c>
      <c r="AD160" s="185" t="b">
        <f>IF($D160="4C2X",TRUE,IF($D160="Best 5",IF(T160&gt;LARGE($T160:$AC160,6),TRUE)))</f>
        <v>0</v>
      </c>
      <c r="AE160" s="391" t="b">
        <f t="shared" ref="AE160:AG160" si="162">IF($D160="4C2X",TRUE,IF($D160="Best 5",IF(U160&gt;LARGE($T160:$AC160,6),TRUE)))</f>
        <v>0</v>
      </c>
      <c r="AF160" s="391" t="b">
        <f t="shared" si="162"/>
        <v>0</v>
      </c>
      <c r="AG160" s="391" t="b">
        <f t="shared" si="162"/>
        <v>0</v>
      </c>
      <c r="AH160" s="185" t="b">
        <f>IF($D160="4C2X",IF(X160&gt;LARGE($X160:$AC160,3),TRUE),IF($D160="Best 5",IF(X160&gt;LARGE($T160:$AC160,6),TRUE)))</f>
        <v>0</v>
      </c>
      <c r="AI160" s="391" t="b">
        <f t="shared" ref="AI160:AM160" si="163">IF($D160="4C2X",IF(Y160&gt;LARGE($X160:$AC160,3),TRUE),IF($D160="Best 5",IF(Y160&gt;LARGE($T160:$AC160,6),TRUE)))</f>
        <v>1</v>
      </c>
      <c r="AJ160" s="391" t="b">
        <f t="shared" si="163"/>
        <v>1</v>
      </c>
      <c r="AK160" s="391" t="b">
        <f t="shared" si="163"/>
        <v>1</v>
      </c>
      <c r="AL160" s="391" t="b">
        <f t="shared" si="163"/>
        <v>1</v>
      </c>
      <c r="AM160" s="391" t="b">
        <f t="shared" si="163"/>
        <v>1</v>
      </c>
      <c r="AO160" s="393" t="s">
        <v>2247</v>
      </c>
      <c r="AP160" s="383" t="s">
        <v>2894</v>
      </c>
      <c r="AQ160" s="384"/>
      <c r="AR160" s="389"/>
      <c r="AS160" s="389"/>
      <c r="AT160" s="389"/>
      <c r="AU160" s="389"/>
      <c r="AV160" s="389"/>
      <c r="AW160" s="389"/>
      <c r="AX160" s="389"/>
      <c r="AY160" s="389"/>
      <c r="AZ160" s="389"/>
      <c r="BB160" s="344"/>
      <c r="BC160" s="344"/>
      <c r="BD160" s="344"/>
      <c r="BE160" s="344"/>
      <c r="BF160" s="344"/>
    </row>
    <row r="161" spans="1:58" x14ac:dyDescent="0.3">
      <c r="A161" s="408" t="str">
        <f>'Reference Score Calculation'!A140</f>
        <v>JS4018</v>
      </c>
      <c r="B161" s="408" t="str">
        <f>'Reference Score Calculation'!D140</f>
        <v>中國語言及文學</v>
      </c>
      <c r="C161" s="235"/>
      <c r="D161" s="408" t="str">
        <f>'Reference Score Calculation'!E140</f>
        <v>Best 5</v>
      </c>
      <c r="E161" s="409" t="str">
        <f>入學要求!T149</f>
        <v>v</v>
      </c>
      <c r="F161" s="409" t="str">
        <f>入學要求!U149</f>
        <v>E</v>
      </c>
      <c r="G161" s="409" t="str">
        <f>入學要求!V149</f>
        <v>NO</v>
      </c>
      <c r="H161" s="408">
        <f t="shared" ref="H161:H224" si="164">SUMIF(AD161:AM161,TRUE,T161:AC161)</f>
        <v>3.9500000000000006E-9</v>
      </c>
      <c r="I161" s="235">
        <v>1.5</v>
      </c>
      <c r="J161" s="235">
        <v>1</v>
      </c>
      <c r="K161" s="235">
        <v>1</v>
      </c>
      <c r="L161" s="235">
        <v>1</v>
      </c>
      <c r="M161" s="235">
        <v>1</v>
      </c>
      <c r="N161" s="235">
        <v>1</v>
      </c>
      <c r="O161" s="235">
        <v>1</v>
      </c>
      <c r="P161" s="235">
        <v>1</v>
      </c>
      <c r="Q161" s="408">
        <v>1</v>
      </c>
      <c r="R161" s="408">
        <v>1</v>
      </c>
      <c r="S161" s="236"/>
      <c r="T161" s="391">
        <f t="shared" ref="T161:T224" si="165">I$6*I161</f>
        <v>1.5E-10</v>
      </c>
      <c r="U161" s="391">
        <f t="shared" ref="U161:U224" si="166">J$6*J161</f>
        <v>2.0000000000000001E-10</v>
      </c>
      <c r="V161" s="391">
        <f t="shared" ref="V161:V224" si="167">K$6*K161</f>
        <v>3E-10</v>
      </c>
      <c r="W161" s="391">
        <f t="shared" ref="W161:W224" si="168">L$6*L161</f>
        <v>4.0000000000000001E-10</v>
      </c>
      <c r="X161" s="391">
        <f t="shared" ref="X161:X223" si="169">IF(E161="v",M$6*M161,0)</f>
        <v>5.0000000000000003E-10</v>
      </c>
      <c r="Y161" s="391">
        <f t="shared" ref="Y161:Y224" si="170">N$6*N161</f>
        <v>6E-10</v>
      </c>
      <c r="Z161" s="391">
        <f t="shared" ref="Z161:Z224" si="171">O$6*O161</f>
        <v>6.9999999999999996E-10</v>
      </c>
      <c r="AA161" s="391">
        <f t="shared" ref="AA161:AA224" si="172">P$6*P161</f>
        <v>8.0000000000000003E-10</v>
      </c>
      <c r="AB161" s="391">
        <f t="shared" ref="AB161:AB224" si="173">Q$6*Q161</f>
        <v>8.9999999999999999E-10</v>
      </c>
      <c r="AC161" s="391">
        <f t="shared" ref="AC161:AC224" si="174">IF(F161="E",R$6*R161,0)</f>
        <v>9.5000000000000003E-10</v>
      </c>
      <c r="AD161" s="391" t="b">
        <f t="shared" ref="AD161:AD224" si="175">IF($D161="4C2X",TRUE,IF($D161="Best 5",IF(T161&gt;LARGE($T161:$AC161,6),TRUE)))</f>
        <v>0</v>
      </c>
      <c r="AE161" s="391" t="b">
        <f t="shared" ref="AE161:AE224" si="176">IF($D161="4C2X",TRUE,IF($D161="Best 5",IF(U161&gt;LARGE($T161:$AC161,6),TRUE)))</f>
        <v>0</v>
      </c>
      <c r="AF161" s="391" t="b">
        <f t="shared" ref="AF161:AF224" si="177">IF($D161="4C2X",TRUE,IF($D161="Best 5",IF(V161&gt;LARGE($T161:$AC161,6),TRUE)))</f>
        <v>0</v>
      </c>
      <c r="AG161" s="391" t="b">
        <f t="shared" ref="AG161:AG224" si="178">IF($D161="4C2X",TRUE,IF($D161="Best 5",IF(W161&gt;LARGE($T161:$AC161,6),TRUE)))</f>
        <v>0</v>
      </c>
      <c r="AH161" s="391" t="b">
        <f t="shared" ref="AH161:AH224" si="179">IF($D161="4C2X",IF(X161&gt;LARGE($X161:$AC161,3),TRUE),IF($D161="Best 5",IF(X161&gt;LARGE($T161:$AC161,6),TRUE)))</f>
        <v>0</v>
      </c>
      <c r="AI161" s="391" t="b">
        <f t="shared" ref="AI161:AI224" si="180">IF($D161="4C2X",IF(Y161&gt;LARGE($X161:$AC161,3),TRUE),IF($D161="Best 5",IF(Y161&gt;LARGE($T161:$AC161,6),TRUE)))</f>
        <v>1</v>
      </c>
      <c r="AJ161" s="391" t="b">
        <f t="shared" ref="AJ161:AJ224" si="181">IF($D161="4C2X",IF(Z161&gt;LARGE($X161:$AC161,3),TRUE),IF($D161="Best 5",IF(Z161&gt;LARGE($T161:$AC161,6),TRUE)))</f>
        <v>1</v>
      </c>
      <c r="AK161" s="391" t="b">
        <f t="shared" ref="AK161:AK224" si="182">IF($D161="4C2X",IF(AA161&gt;LARGE($X161:$AC161,3),TRUE),IF($D161="Best 5",IF(AA161&gt;LARGE($T161:$AC161,6),TRUE)))</f>
        <v>1</v>
      </c>
      <c r="AL161" s="391" t="b">
        <f t="shared" ref="AL161:AL224" si="183">IF($D161="4C2X",IF(AB161&gt;LARGE($X161:$AC161,3),TRUE),IF($D161="Best 5",IF(AB161&gt;LARGE($T161:$AC161,6),TRUE)))</f>
        <v>1</v>
      </c>
      <c r="AM161" s="391" t="b">
        <f t="shared" ref="AM161:AM224" si="184">IF($D161="4C2X",IF(AC161&gt;LARGE($X161:$AC161,3),TRUE),IF($D161="Best 5",IF(AC161&gt;LARGE($T161:$AC161,6),TRUE)))</f>
        <v>1</v>
      </c>
      <c r="AN161" s="391"/>
      <c r="AO161" s="548"/>
      <c r="AP161" s="546"/>
      <c r="AQ161" s="556"/>
      <c r="AR161" s="554"/>
      <c r="AS161" s="554"/>
      <c r="AT161" s="554"/>
      <c r="AU161" s="554"/>
      <c r="AV161" s="554"/>
      <c r="AW161" s="554"/>
      <c r="AX161" s="554"/>
      <c r="AY161" s="554"/>
      <c r="AZ161" s="554"/>
      <c r="BA161" s="401"/>
      <c r="BB161" s="344"/>
      <c r="BC161" s="344"/>
      <c r="BD161" s="344"/>
      <c r="BE161" s="344"/>
      <c r="BF161" s="344"/>
    </row>
    <row r="162" spans="1:58" x14ac:dyDescent="0.3">
      <c r="A162" s="408" t="str">
        <f>'Reference Score Calculation'!A141</f>
        <v>JS4020</v>
      </c>
      <c r="B162" s="408" t="str">
        <f>'Reference Score Calculation'!D141</f>
        <v>文化研究</v>
      </c>
      <c r="C162" s="235"/>
      <c r="D162" s="408" t="str">
        <f>'Reference Score Calculation'!E141</f>
        <v>Best 5</v>
      </c>
      <c r="E162" s="409" t="str">
        <f>入學要求!T150</f>
        <v>v</v>
      </c>
      <c r="F162" s="409" t="str">
        <f>入學要求!U150</f>
        <v>E</v>
      </c>
      <c r="G162" s="409" t="str">
        <f>入學要求!V150</f>
        <v>NO</v>
      </c>
      <c r="H162" s="408">
        <f t="shared" si="164"/>
        <v>3.9500000000000006E-9</v>
      </c>
      <c r="I162" s="235">
        <v>1</v>
      </c>
      <c r="J162" s="235">
        <v>1</v>
      </c>
      <c r="K162" s="235">
        <v>1</v>
      </c>
      <c r="L162" s="235">
        <v>1</v>
      </c>
      <c r="M162" s="235">
        <v>1</v>
      </c>
      <c r="N162" s="235">
        <v>1</v>
      </c>
      <c r="O162" s="235">
        <v>1</v>
      </c>
      <c r="P162" s="235">
        <v>1</v>
      </c>
      <c r="Q162" s="408">
        <v>1</v>
      </c>
      <c r="R162" s="408">
        <v>1</v>
      </c>
      <c r="S162" s="236"/>
      <c r="T162" s="391">
        <f t="shared" si="165"/>
        <v>1E-10</v>
      </c>
      <c r="U162" s="391">
        <f t="shared" si="166"/>
        <v>2.0000000000000001E-10</v>
      </c>
      <c r="V162" s="391">
        <f t="shared" si="167"/>
        <v>3E-10</v>
      </c>
      <c r="W162" s="391">
        <f t="shared" si="168"/>
        <v>4.0000000000000001E-10</v>
      </c>
      <c r="X162" s="391">
        <f t="shared" si="169"/>
        <v>5.0000000000000003E-10</v>
      </c>
      <c r="Y162" s="391">
        <f t="shared" si="170"/>
        <v>6E-10</v>
      </c>
      <c r="Z162" s="391">
        <f t="shared" si="171"/>
        <v>6.9999999999999996E-10</v>
      </c>
      <c r="AA162" s="391">
        <f t="shared" si="172"/>
        <v>8.0000000000000003E-10</v>
      </c>
      <c r="AB162" s="391">
        <f t="shared" si="173"/>
        <v>8.9999999999999999E-10</v>
      </c>
      <c r="AC162" s="391">
        <f t="shared" si="174"/>
        <v>9.5000000000000003E-10</v>
      </c>
      <c r="AD162" s="391" t="b">
        <f t="shared" si="175"/>
        <v>0</v>
      </c>
      <c r="AE162" s="391" t="b">
        <f t="shared" si="176"/>
        <v>0</v>
      </c>
      <c r="AF162" s="391" t="b">
        <f t="shared" si="177"/>
        <v>0</v>
      </c>
      <c r="AG162" s="391" t="b">
        <f t="shared" si="178"/>
        <v>0</v>
      </c>
      <c r="AH162" s="391" t="b">
        <f t="shared" si="179"/>
        <v>0</v>
      </c>
      <c r="AI162" s="391" t="b">
        <f t="shared" si="180"/>
        <v>1</v>
      </c>
      <c r="AJ162" s="391" t="b">
        <f t="shared" si="181"/>
        <v>1</v>
      </c>
      <c r="AK162" s="391" t="b">
        <f t="shared" si="182"/>
        <v>1</v>
      </c>
      <c r="AL162" s="391" t="b">
        <f t="shared" si="183"/>
        <v>1</v>
      </c>
      <c r="AM162" s="391" t="b">
        <f t="shared" si="184"/>
        <v>1</v>
      </c>
      <c r="AN162" s="391"/>
      <c r="AO162" s="555" t="s">
        <v>3068</v>
      </c>
      <c r="AP162" s="553" t="s">
        <v>2901</v>
      </c>
      <c r="AQ162" s="553"/>
      <c r="AR162" s="553"/>
      <c r="AS162" s="553"/>
      <c r="AT162" s="547"/>
      <c r="AU162" s="547"/>
      <c r="AV162" s="553"/>
      <c r="AW162" s="553"/>
      <c r="AX162" s="553"/>
      <c r="AY162" s="553"/>
      <c r="AZ162" s="547"/>
      <c r="BA162" s="401"/>
      <c r="BB162" s="344"/>
      <c r="BC162" s="344"/>
      <c r="BD162" s="344"/>
      <c r="BE162" s="344"/>
      <c r="BF162" s="344"/>
    </row>
    <row r="163" spans="1:58" x14ac:dyDescent="0.3">
      <c r="A163" s="408" t="str">
        <f>'Reference Score Calculation'!A142</f>
        <v>JS4022</v>
      </c>
      <c r="B163" s="408" t="str">
        <f>'Reference Score Calculation'!D142</f>
        <v>文化管理</v>
      </c>
      <c r="C163" s="235"/>
      <c r="D163" s="408" t="str">
        <f>'Reference Score Calculation'!E142</f>
        <v>Best 5</v>
      </c>
      <c r="E163" s="409" t="str">
        <f>入學要求!T151</f>
        <v>v</v>
      </c>
      <c r="F163" s="409" t="str">
        <f>入學要求!U151</f>
        <v>E</v>
      </c>
      <c r="G163" s="409" t="str">
        <f>入學要求!V151</f>
        <v>NO</v>
      </c>
      <c r="H163" s="408">
        <f t="shared" si="164"/>
        <v>3.9500000000000006E-9</v>
      </c>
      <c r="I163" s="235">
        <v>1</v>
      </c>
      <c r="J163" s="235">
        <v>1</v>
      </c>
      <c r="K163" s="235">
        <v>1</v>
      </c>
      <c r="L163" s="235">
        <v>1</v>
      </c>
      <c r="M163" s="235">
        <v>1</v>
      </c>
      <c r="N163" s="235">
        <v>1</v>
      </c>
      <c r="O163" s="235">
        <v>1</v>
      </c>
      <c r="P163" s="235">
        <v>1</v>
      </c>
      <c r="Q163" s="408">
        <v>1</v>
      </c>
      <c r="R163" s="408">
        <v>1</v>
      </c>
      <c r="S163" s="236"/>
      <c r="T163" s="391">
        <f t="shared" si="165"/>
        <v>1E-10</v>
      </c>
      <c r="U163" s="391">
        <f t="shared" si="166"/>
        <v>2.0000000000000001E-10</v>
      </c>
      <c r="V163" s="391">
        <f t="shared" si="167"/>
        <v>3E-10</v>
      </c>
      <c r="W163" s="391">
        <f t="shared" si="168"/>
        <v>4.0000000000000001E-10</v>
      </c>
      <c r="X163" s="391">
        <f t="shared" si="169"/>
        <v>5.0000000000000003E-10</v>
      </c>
      <c r="Y163" s="391">
        <f t="shared" si="170"/>
        <v>6E-10</v>
      </c>
      <c r="Z163" s="391">
        <f t="shared" si="171"/>
        <v>6.9999999999999996E-10</v>
      </c>
      <c r="AA163" s="391">
        <f t="shared" si="172"/>
        <v>8.0000000000000003E-10</v>
      </c>
      <c r="AB163" s="391">
        <f t="shared" si="173"/>
        <v>8.9999999999999999E-10</v>
      </c>
      <c r="AC163" s="391">
        <f t="shared" si="174"/>
        <v>9.5000000000000003E-10</v>
      </c>
      <c r="AD163" s="391" t="b">
        <f t="shared" si="175"/>
        <v>0</v>
      </c>
      <c r="AE163" s="391" t="b">
        <f t="shared" si="176"/>
        <v>0</v>
      </c>
      <c r="AF163" s="391" t="b">
        <f t="shared" si="177"/>
        <v>0</v>
      </c>
      <c r="AG163" s="391" t="b">
        <f t="shared" si="178"/>
        <v>0</v>
      </c>
      <c r="AH163" s="391" t="b">
        <f t="shared" si="179"/>
        <v>0</v>
      </c>
      <c r="AI163" s="391" t="b">
        <f t="shared" si="180"/>
        <v>1</v>
      </c>
      <c r="AJ163" s="391" t="b">
        <f t="shared" si="181"/>
        <v>1</v>
      </c>
      <c r="AK163" s="391" t="b">
        <f t="shared" si="182"/>
        <v>1</v>
      </c>
      <c r="AL163" s="391" t="b">
        <f t="shared" si="183"/>
        <v>1</v>
      </c>
      <c r="AM163" s="391" t="b">
        <f t="shared" si="184"/>
        <v>1</v>
      </c>
      <c r="AN163" s="391"/>
      <c r="AO163" s="555" t="s">
        <v>3184</v>
      </c>
      <c r="AP163" s="401" t="str">
        <f>IF(K6&gt;M6,K1,M1)</f>
        <v>數學延伸</v>
      </c>
      <c r="AQ163" s="401">
        <f>IF(K6&gt;M6,K6,M6)</f>
        <v>5.0000000000000003E-10</v>
      </c>
      <c r="AR163" s="547"/>
      <c r="AS163" s="547"/>
      <c r="AT163" s="547"/>
      <c r="AU163" s="547"/>
      <c r="AV163" s="547"/>
      <c r="AW163" s="547"/>
      <c r="AX163" s="547"/>
      <c r="AY163" s="547"/>
      <c r="AZ163" s="547"/>
      <c r="BA163" s="401"/>
      <c r="BB163" s="344"/>
      <c r="BC163" s="344"/>
      <c r="BD163" s="344"/>
      <c r="BE163" s="344"/>
      <c r="BF163" s="344"/>
    </row>
    <row r="164" spans="1:58" x14ac:dyDescent="0.3">
      <c r="A164" s="408" t="str">
        <f>'Reference Score Calculation'!A143</f>
        <v>JS4032</v>
      </c>
      <c r="B164" s="408" t="str">
        <f>'Reference Score Calculation'!D143</f>
        <v>英文</v>
      </c>
      <c r="C164" s="235"/>
      <c r="D164" s="408" t="str">
        <f>'Reference Score Calculation'!E143</f>
        <v>Best 5</v>
      </c>
      <c r="E164" s="409" t="str">
        <f>入學要求!T152</f>
        <v>v</v>
      </c>
      <c r="F164" s="409" t="str">
        <f>入學要求!U152</f>
        <v>E</v>
      </c>
      <c r="G164" s="409" t="str">
        <f>入學要求!V152</f>
        <v>NO</v>
      </c>
      <c r="H164" s="408">
        <f t="shared" si="164"/>
        <v>3.9500000000000006E-9</v>
      </c>
      <c r="I164" s="235">
        <v>1</v>
      </c>
      <c r="J164" s="235">
        <v>1.5</v>
      </c>
      <c r="K164" s="235">
        <v>1</v>
      </c>
      <c r="L164" s="235">
        <v>1</v>
      </c>
      <c r="M164" s="235">
        <v>1</v>
      </c>
      <c r="N164" s="235">
        <v>1</v>
      </c>
      <c r="O164" s="235">
        <v>1</v>
      </c>
      <c r="P164" s="235">
        <v>1</v>
      </c>
      <c r="Q164" s="408">
        <v>1</v>
      </c>
      <c r="R164" s="408">
        <v>1</v>
      </c>
      <c r="S164" s="236"/>
      <c r="T164" s="391">
        <f t="shared" si="165"/>
        <v>1E-10</v>
      </c>
      <c r="U164" s="391">
        <f t="shared" si="166"/>
        <v>3E-10</v>
      </c>
      <c r="V164" s="391">
        <f t="shared" si="167"/>
        <v>3E-10</v>
      </c>
      <c r="W164" s="391">
        <f t="shared" si="168"/>
        <v>4.0000000000000001E-10</v>
      </c>
      <c r="X164" s="391">
        <f t="shared" si="169"/>
        <v>5.0000000000000003E-10</v>
      </c>
      <c r="Y164" s="391">
        <f t="shared" si="170"/>
        <v>6E-10</v>
      </c>
      <c r="Z164" s="391">
        <f t="shared" si="171"/>
        <v>6.9999999999999996E-10</v>
      </c>
      <c r="AA164" s="391">
        <f t="shared" si="172"/>
        <v>8.0000000000000003E-10</v>
      </c>
      <c r="AB164" s="391">
        <f t="shared" si="173"/>
        <v>8.9999999999999999E-10</v>
      </c>
      <c r="AC164" s="391">
        <f t="shared" si="174"/>
        <v>9.5000000000000003E-10</v>
      </c>
      <c r="AD164" s="391" t="b">
        <f t="shared" si="175"/>
        <v>0</v>
      </c>
      <c r="AE164" s="391" t="b">
        <f t="shared" si="176"/>
        <v>0</v>
      </c>
      <c r="AF164" s="391" t="b">
        <f t="shared" si="177"/>
        <v>0</v>
      </c>
      <c r="AG164" s="391" t="b">
        <f t="shared" si="178"/>
        <v>0</v>
      </c>
      <c r="AH164" s="391" t="b">
        <f t="shared" si="179"/>
        <v>0</v>
      </c>
      <c r="AI164" s="391" t="b">
        <f t="shared" si="180"/>
        <v>1</v>
      </c>
      <c r="AJ164" s="391" t="b">
        <f t="shared" si="181"/>
        <v>1</v>
      </c>
      <c r="AK164" s="391" t="b">
        <f t="shared" si="182"/>
        <v>1</v>
      </c>
      <c r="AL164" s="391" t="b">
        <f t="shared" si="183"/>
        <v>1</v>
      </c>
      <c r="AM164" s="391" t="b">
        <f t="shared" si="184"/>
        <v>1</v>
      </c>
      <c r="AN164" s="391"/>
      <c r="AO164" s="555"/>
      <c r="AP164" s="557"/>
      <c r="AQ164" s="547"/>
      <c r="AR164" s="547"/>
      <c r="AS164" s="547"/>
      <c r="AT164" s="547"/>
      <c r="AU164" s="547"/>
      <c r="AV164" s="548"/>
      <c r="AW164" s="547"/>
      <c r="AX164" s="553"/>
      <c r="AY164" s="553"/>
      <c r="AZ164" s="553"/>
      <c r="BA164" s="401"/>
      <c r="BB164" s="344"/>
      <c r="BC164" s="344"/>
      <c r="BD164" s="344"/>
      <c r="BE164" s="344"/>
      <c r="BF164" s="344"/>
    </row>
    <row r="165" spans="1:58" x14ac:dyDescent="0.3">
      <c r="A165" s="408" t="str">
        <f>'Reference Score Calculation'!A144</f>
        <v>JS4044</v>
      </c>
      <c r="B165" s="408" t="str">
        <f>'Reference Score Calculation'!D144</f>
        <v>藝術</v>
      </c>
      <c r="C165" s="235"/>
      <c r="D165" s="408" t="str">
        <f>'Reference Score Calculation'!E144</f>
        <v>Best 5</v>
      </c>
      <c r="E165" s="409" t="str">
        <f>入學要求!T153</f>
        <v>v</v>
      </c>
      <c r="F165" s="409" t="str">
        <f>入學要求!U153</f>
        <v>E</v>
      </c>
      <c r="G165" s="409" t="str">
        <f>入學要求!V153</f>
        <v>NO</v>
      </c>
      <c r="H165" s="408">
        <f t="shared" si="164"/>
        <v>3.9500000000000006E-9</v>
      </c>
      <c r="I165" s="235">
        <v>1</v>
      </c>
      <c r="J165" s="235">
        <v>1</v>
      </c>
      <c r="K165" s="235">
        <v>1</v>
      </c>
      <c r="L165" s="235">
        <v>1</v>
      </c>
      <c r="M165" s="235">
        <v>1</v>
      </c>
      <c r="N165" s="235">
        <v>1</v>
      </c>
      <c r="O165" s="235">
        <v>1</v>
      </c>
      <c r="P165" s="235">
        <v>1</v>
      </c>
      <c r="Q165" s="408">
        <v>1</v>
      </c>
      <c r="R165" s="408">
        <v>1</v>
      </c>
      <c r="S165" s="236"/>
      <c r="T165" s="391">
        <f t="shared" si="165"/>
        <v>1E-10</v>
      </c>
      <c r="U165" s="391">
        <f t="shared" si="166"/>
        <v>2.0000000000000001E-10</v>
      </c>
      <c r="V165" s="391">
        <f t="shared" si="167"/>
        <v>3E-10</v>
      </c>
      <c r="W165" s="391">
        <f t="shared" si="168"/>
        <v>4.0000000000000001E-10</v>
      </c>
      <c r="X165" s="391">
        <f t="shared" si="169"/>
        <v>5.0000000000000003E-10</v>
      </c>
      <c r="Y165" s="391">
        <f t="shared" si="170"/>
        <v>6E-10</v>
      </c>
      <c r="Z165" s="391">
        <f t="shared" si="171"/>
        <v>6.9999999999999996E-10</v>
      </c>
      <c r="AA165" s="391">
        <f t="shared" si="172"/>
        <v>8.0000000000000003E-10</v>
      </c>
      <c r="AB165" s="391">
        <f t="shared" si="173"/>
        <v>8.9999999999999999E-10</v>
      </c>
      <c r="AC165" s="391">
        <f t="shared" si="174"/>
        <v>9.5000000000000003E-10</v>
      </c>
      <c r="AD165" s="391" t="b">
        <f t="shared" si="175"/>
        <v>0</v>
      </c>
      <c r="AE165" s="391" t="b">
        <f t="shared" si="176"/>
        <v>0</v>
      </c>
      <c r="AF165" s="391" t="b">
        <f t="shared" si="177"/>
        <v>0</v>
      </c>
      <c r="AG165" s="391" t="b">
        <f t="shared" si="178"/>
        <v>0</v>
      </c>
      <c r="AH165" s="391" t="b">
        <f t="shared" si="179"/>
        <v>0</v>
      </c>
      <c r="AI165" s="391" t="b">
        <f t="shared" si="180"/>
        <v>1</v>
      </c>
      <c r="AJ165" s="391" t="b">
        <f t="shared" si="181"/>
        <v>1</v>
      </c>
      <c r="AK165" s="391" t="b">
        <f t="shared" si="182"/>
        <v>1</v>
      </c>
      <c r="AL165" s="391" t="b">
        <f t="shared" si="183"/>
        <v>1</v>
      </c>
      <c r="AM165" s="391" t="b">
        <f t="shared" si="184"/>
        <v>1</v>
      </c>
      <c r="AN165" s="391"/>
      <c r="AO165" s="555"/>
      <c r="AP165" s="553" t="str">
        <f t="shared" ref="AP165:AY165" si="185">I1</f>
        <v>中國語文</v>
      </c>
      <c r="AQ165" s="553" t="str">
        <f t="shared" si="185"/>
        <v>英國語文</v>
      </c>
      <c r="AR165" s="553" t="str">
        <f t="shared" si="185"/>
        <v>數學</v>
      </c>
      <c r="AS165" s="553" t="str">
        <f t="shared" si="185"/>
        <v>通識教育</v>
      </c>
      <c r="AT165" s="553" t="str">
        <f t="shared" si="185"/>
        <v>數學延伸</v>
      </c>
      <c r="AU165" s="553" t="str">
        <f t="shared" si="185"/>
        <v>請選擇第一選修科</v>
      </c>
      <c r="AV165" s="553" t="str">
        <f t="shared" si="185"/>
        <v>請選擇第二選修科</v>
      </c>
      <c r="AW165" s="553" t="str">
        <f t="shared" si="185"/>
        <v>請選擇第三選修科</v>
      </c>
      <c r="AX165" s="553" t="str">
        <f t="shared" si="185"/>
        <v>請選擇第四選修科</v>
      </c>
      <c r="AY165" s="553" t="str">
        <f t="shared" si="185"/>
        <v>請選擇語言科目</v>
      </c>
      <c r="AZ165" s="547"/>
      <c r="BA165" s="401"/>
      <c r="BB165" s="344"/>
      <c r="BC165" s="344"/>
      <c r="BD165" s="344"/>
      <c r="BE165" s="344"/>
      <c r="BF165" s="344"/>
    </row>
    <row r="166" spans="1:58" x14ac:dyDescent="0.3">
      <c r="A166" s="408" t="str">
        <f>'Reference Score Calculation'!A145</f>
        <v>JS4056</v>
      </c>
      <c r="B166" s="408" t="str">
        <f>'Reference Score Calculation'!D145</f>
        <v>歷史</v>
      </c>
      <c r="C166" s="235"/>
      <c r="D166" s="408" t="str">
        <f>'Reference Score Calculation'!E145</f>
        <v>Best 5</v>
      </c>
      <c r="E166" s="409" t="str">
        <f>入學要求!T154</f>
        <v>v</v>
      </c>
      <c r="F166" s="409" t="str">
        <f>入學要求!U154</f>
        <v>E</v>
      </c>
      <c r="G166" s="409" t="str">
        <f>入學要求!V154</f>
        <v>NO</v>
      </c>
      <c r="H166" s="408">
        <f t="shared" si="164"/>
        <v>3.9500000000000006E-9</v>
      </c>
      <c r="I166" s="235">
        <v>1</v>
      </c>
      <c r="J166" s="235">
        <v>1</v>
      </c>
      <c r="K166" s="235">
        <v>1</v>
      </c>
      <c r="L166" s="235">
        <v>1</v>
      </c>
      <c r="M166" s="235">
        <v>1</v>
      </c>
      <c r="N166" s="235">
        <v>1</v>
      </c>
      <c r="O166" s="235">
        <v>1</v>
      </c>
      <c r="P166" s="235">
        <v>1</v>
      </c>
      <c r="Q166" s="408">
        <v>1</v>
      </c>
      <c r="R166" s="408">
        <v>1</v>
      </c>
      <c r="S166" s="236"/>
      <c r="T166" s="391">
        <f t="shared" si="165"/>
        <v>1E-10</v>
      </c>
      <c r="U166" s="391">
        <f t="shared" si="166"/>
        <v>2.0000000000000001E-10</v>
      </c>
      <c r="V166" s="391">
        <f t="shared" si="167"/>
        <v>3E-10</v>
      </c>
      <c r="W166" s="391">
        <f t="shared" si="168"/>
        <v>4.0000000000000001E-10</v>
      </c>
      <c r="X166" s="391">
        <f t="shared" si="169"/>
        <v>5.0000000000000003E-10</v>
      </c>
      <c r="Y166" s="391">
        <f t="shared" si="170"/>
        <v>6E-10</v>
      </c>
      <c r="Z166" s="391">
        <f t="shared" si="171"/>
        <v>6.9999999999999996E-10</v>
      </c>
      <c r="AA166" s="391">
        <f t="shared" si="172"/>
        <v>8.0000000000000003E-10</v>
      </c>
      <c r="AB166" s="391">
        <f t="shared" si="173"/>
        <v>8.9999999999999999E-10</v>
      </c>
      <c r="AC166" s="391">
        <f t="shared" si="174"/>
        <v>9.5000000000000003E-10</v>
      </c>
      <c r="AD166" s="391" t="b">
        <f t="shared" si="175"/>
        <v>0</v>
      </c>
      <c r="AE166" s="391" t="b">
        <f t="shared" si="176"/>
        <v>0</v>
      </c>
      <c r="AF166" s="391" t="b">
        <f t="shared" si="177"/>
        <v>0</v>
      </c>
      <c r="AG166" s="391" t="b">
        <f t="shared" si="178"/>
        <v>0</v>
      </c>
      <c r="AH166" s="391" t="b">
        <f t="shared" si="179"/>
        <v>0</v>
      </c>
      <c r="AI166" s="391" t="b">
        <f t="shared" si="180"/>
        <v>1</v>
      </c>
      <c r="AJ166" s="391" t="b">
        <f t="shared" si="181"/>
        <v>1</v>
      </c>
      <c r="AK166" s="391" t="b">
        <f t="shared" si="182"/>
        <v>1</v>
      </c>
      <c r="AL166" s="391" t="b">
        <f t="shared" si="183"/>
        <v>1</v>
      </c>
      <c r="AM166" s="391" t="b">
        <f t="shared" si="184"/>
        <v>1</v>
      </c>
      <c r="AN166" s="391"/>
      <c r="AO166" s="555"/>
      <c r="AP166" s="401">
        <f>I6</f>
        <v>1E-10</v>
      </c>
      <c r="AQ166" s="401">
        <f>0</f>
        <v>0</v>
      </c>
      <c r="AR166" s="401">
        <f>IF(AR165=AP163,0,K6)</f>
        <v>3E-10</v>
      </c>
      <c r="AS166" s="401">
        <f>L6</f>
        <v>4.0000000000000001E-10</v>
      </c>
      <c r="AT166" s="401">
        <f>IF(AT165=AP163,0,M6)</f>
        <v>0</v>
      </c>
      <c r="AU166" s="401">
        <f>N6</f>
        <v>6E-10</v>
      </c>
      <c r="AV166" s="401">
        <f>O6</f>
        <v>6.9999999999999996E-10</v>
      </c>
      <c r="AW166" s="401">
        <f>P6</f>
        <v>8.0000000000000003E-10</v>
      </c>
      <c r="AX166" s="401">
        <f>Q6</f>
        <v>8.9999999999999999E-10</v>
      </c>
      <c r="AY166" s="401">
        <f>R6</f>
        <v>9.5000000000000003E-10</v>
      </c>
      <c r="AZ166" s="553"/>
      <c r="BA166" s="401"/>
      <c r="BB166" s="344"/>
      <c r="BC166" s="344"/>
      <c r="BD166" s="344"/>
      <c r="BE166" s="344"/>
      <c r="BF166" s="344"/>
    </row>
    <row r="167" spans="1:58" x14ac:dyDescent="0.3">
      <c r="A167" s="408" t="str">
        <f>'Reference Score Calculation'!A146</f>
        <v>JS4068</v>
      </c>
      <c r="B167" s="408" t="str">
        <f>'Reference Score Calculation'!D146</f>
        <v>日本研究</v>
      </c>
      <c r="C167" s="235"/>
      <c r="D167" s="408" t="str">
        <f>'Reference Score Calculation'!E146</f>
        <v>Best 5</v>
      </c>
      <c r="E167" s="409" t="str">
        <f>入學要求!T155</f>
        <v>v</v>
      </c>
      <c r="F167" s="409" t="str">
        <f>入學要求!U155</f>
        <v>E</v>
      </c>
      <c r="G167" s="409" t="str">
        <f>入學要求!V155</f>
        <v>NO</v>
      </c>
      <c r="H167" s="408">
        <f t="shared" si="164"/>
        <v>3.9500000000000006E-9</v>
      </c>
      <c r="I167" s="235">
        <v>1</v>
      </c>
      <c r="J167" s="235">
        <v>1</v>
      </c>
      <c r="K167" s="235">
        <v>1</v>
      </c>
      <c r="L167" s="235">
        <v>1</v>
      </c>
      <c r="M167" s="235">
        <v>1</v>
      </c>
      <c r="N167" s="235">
        <v>1</v>
      </c>
      <c r="O167" s="235">
        <v>1</v>
      </c>
      <c r="P167" s="235">
        <v>1</v>
      </c>
      <c r="Q167" s="408">
        <v>1</v>
      </c>
      <c r="R167" s="408">
        <v>1</v>
      </c>
      <c r="S167" s="236"/>
      <c r="T167" s="391">
        <f t="shared" si="165"/>
        <v>1E-10</v>
      </c>
      <c r="U167" s="391">
        <f t="shared" si="166"/>
        <v>2.0000000000000001E-10</v>
      </c>
      <c r="V167" s="391">
        <f t="shared" si="167"/>
        <v>3E-10</v>
      </c>
      <c r="W167" s="391">
        <f t="shared" si="168"/>
        <v>4.0000000000000001E-10</v>
      </c>
      <c r="X167" s="391">
        <f t="shared" si="169"/>
        <v>5.0000000000000003E-10</v>
      </c>
      <c r="Y167" s="391">
        <f t="shared" si="170"/>
        <v>6E-10</v>
      </c>
      <c r="Z167" s="391">
        <f t="shared" si="171"/>
        <v>6.9999999999999996E-10</v>
      </c>
      <c r="AA167" s="391">
        <f t="shared" si="172"/>
        <v>8.0000000000000003E-10</v>
      </c>
      <c r="AB167" s="391">
        <f t="shared" si="173"/>
        <v>8.9999999999999999E-10</v>
      </c>
      <c r="AC167" s="391">
        <f t="shared" si="174"/>
        <v>9.5000000000000003E-10</v>
      </c>
      <c r="AD167" s="391" t="b">
        <f t="shared" si="175"/>
        <v>0</v>
      </c>
      <c r="AE167" s="391" t="b">
        <f t="shared" si="176"/>
        <v>0</v>
      </c>
      <c r="AF167" s="391" t="b">
        <f t="shared" si="177"/>
        <v>0</v>
      </c>
      <c r="AG167" s="391" t="b">
        <f t="shared" si="178"/>
        <v>0</v>
      </c>
      <c r="AH167" s="391" t="b">
        <f t="shared" si="179"/>
        <v>0</v>
      </c>
      <c r="AI167" s="391" t="b">
        <f t="shared" si="180"/>
        <v>1</v>
      </c>
      <c r="AJ167" s="391" t="b">
        <f t="shared" si="181"/>
        <v>1</v>
      </c>
      <c r="AK167" s="391" t="b">
        <f t="shared" si="182"/>
        <v>1</v>
      </c>
      <c r="AL167" s="391" t="b">
        <f t="shared" si="183"/>
        <v>1</v>
      </c>
      <c r="AM167" s="391" t="b">
        <f t="shared" si="184"/>
        <v>1</v>
      </c>
      <c r="AN167" s="391"/>
      <c r="AO167" s="546"/>
      <c r="AP167" s="556" t="b">
        <f>IF(AP166&gt;LARGE($AP166:$AY166,4),TRUE)</f>
        <v>0</v>
      </c>
      <c r="AQ167" s="556" t="b">
        <v>1</v>
      </c>
      <c r="AR167" s="556" t="b">
        <f>IF(AR165=AP163,TRUE,IF(AR166&gt;LARGE($AP166:$AY166,4),TRUE))</f>
        <v>0</v>
      </c>
      <c r="AS167" s="556" t="b">
        <f t="shared" ref="AS167:AY167" si="186">IF(AS166&gt;LARGE($AP166:$AY166,4),TRUE)</f>
        <v>0</v>
      </c>
      <c r="AT167" s="556" t="b">
        <f>IF(AT165=AP163,TRUE,IF(AT166&gt;LARGE($AP166:$AY166,4),TRUE))</f>
        <v>1</v>
      </c>
      <c r="AU167" s="556" t="b">
        <f t="shared" si="186"/>
        <v>0</v>
      </c>
      <c r="AV167" s="556" t="b">
        <f t="shared" si="186"/>
        <v>0</v>
      </c>
      <c r="AW167" s="556" t="b">
        <f t="shared" si="186"/>
        <v>1</v>
      </c>
      <c r="AX167" s="556" t="b">
        <f t="shared" si="186"/>
        <v>1</v>
      </c>
      <c r="AY167" s="556" t="b">
        <f t="shared" si="186"/>
        <v>1</v>
      </c>
      <c r="AZ167" s="547"/>
      <c r="BA167" s="401"/>
      <c r="BB167" s="344"/>
      <c r="BC167" s="344"/>
      <c r="BD167" s="344"/>
      <c r="BE167" s="344"/>
      <c r="BF167" s="344"/>
    </row>
    <row r="168" spans="1:58" x14ac:dyDescent="0.3">
      <c r="A168" s="408" t="str">
        <f>'Reference Score Calculation'!A147</f>
        <v>JS4070</v>
      </c>
      <c r="B168" s="408" t="str">
        <f>'Reference Score Calculation'!D147</f>
        <v>語言學</v>
      </c>
      <c r="C168" s="235"/>
      <c r="D168" s="408" t="str">
        <f>'Reference Score Calculation'!E147</f>
        <v>Best 5</v>
      </c>
      <c r="E168" s="409" t="str">
        <f>入學要求!T156</f>
        <v>v</v>
      </c>
      <c r="F168" s="409" t="str">
        <f>入學要求!U156</f>
        <v>E</v>
      </c>
      <c r="G168" s="409" t="str">
        <f>入學要求!V156</f>
        <v>NO</v>
      </c>
      <c r="H168" s="408">
        <f t="shared" si="164"/>
        <v>3.9500000000000006E-9</v>
      </c>
      <c r="I168" s="235">
        <v>1</v>
      </c>
      <c r="J168" s="235">
        <v>1</v>
      </c>
      <c r="K168" s="235">
        <v>1</v>
      </c>
      <c r="L168" s="235">
        <v>1</v>
      </c>
      <c r="M168" s="235">
        <v>1</v>
      </c>
      <c r="N168" s="235">
        <v>1</v>
      </c>
      <c r="O168" s="235">
        <v>1</v>
      </c>
      <c r="P168" s="235">
        <v>1</v>
      </c>
      <c r="Q168" s="408">
        <v>1</v>
      </c>
      <c r="R168" s="408">
        <v>1</v>
      </c>
      <c r="S168" s="236"/>
      <c r="T168" s="391">
        <f t="shared" si="165"/>
        <v>1E-10</v>
      </c>
      <c r="U168" s="391">
        <f t="shared" si="166"/>
        <v>2.0000000000000001E-10</v>
      </c>
      <c r="V168" s="391">
        <f t="shared" si="167"/>
        <v>3E-10</v>
      </c>
      <c r="W168" s="391">
        <f t="shared" si="168"/>
        <v>4.0000000000000001E-10</v>
      </c>
      <c r="X168" s="391">
        <f t="shared" si="169"/>
        <v>5.0000000000000003E-10</v>
      </c>
      <c r="Y168" s="391">
        <f t="shared" si="170"/>
        <v>6E-10</v>
      </c>
      <c r="Z168" s="391">
        <f t="shared" si="171"/>
        <v>6.9999999999999996E-10</v>
      </c>
      <c r="AA168" s="391">
        <f t="shared" si="172"/>
        <v>8.0000000000000003E-10</v>
      </c>
      <c r="AB168" s="391">
        <f t="shared" si="173"/>
        <v>8.9999999999999999E-10</v>
      </c>
      <c r="AC168" s="391">
        <f t="shared" si="174"/>
        <v>9.5000000000000003E-10</v>
      </c>
      <c r="AD168" s="391" t="b">
        <f t="shared" si="175"/>
        <v>0</v>
      </c>
      <c r="AE168" s="391" t="b">
        <f t="shared" si="176"/>
        <v>0</v>
      </c>
      <c r="AF168" s="391" t="b">
        <f t="shared" si="177"/>
        <v>0</v>
      </c>
      <c r="AG168" s="391" t="b">
        <f t="shared" si="178"/>
        <v>0</v>
      </c>
      <c r="AH168" s="391" t="b">
        <f t="shared" si="179"/>
        <v>0</v>
      </c>
      <c r="AI168" s="391" t="b">
        <f t="shared" si="180"/>
        <v>1</v>
      </c>
      <c r="AJ168" s="391" t="b">
        <f t="shared" si="181"/>
        <v>1</v>
      </c>
      <c r="AK168" s="391" t="b">
        <f t="shared" si="182"/>
        <v>1</v>
      </c>
      <c r="AL168" s="391" t="b">
        <f t="shared" si="183"/>
        <v>1</v>
      </c>
      <c r="AM168" s="391" t="b">
        <f t="shared" si="184"/>
        <v>1</v>
      </c>
      <c r="AN168" s="391"/>
      <c r="AO168" s="555"/>
      <c r="AP168" s="553"/>
      <c r="AQ168" s="553"/>
      <c r="AR168" s="553"/>
      <c r="AS168" s="553"/>
      <c r="AT168" s="553"/>
      <c r="AU168" s="553"/>
      <c r="AV168" s="553"/>
      <c r="AW168" s="553"/>
      <c r="AX168" s="553"/>
      <c r="AY168" s="553"/>
      <c r="AZ168" s="553"/>
      <c r="BA168" s="401"/>
      <c r="BB168" s="344"/>
      <c r="BC168" s="344"/>
      <c r="BD168" s="344"/>
      <c r="BE168" s="344"/>
      <c r="BF168" s="344"/>
    </row>
    <row r="169" spans="1:58" x14ac:dyDescent="0.3">
      <c r="A169" s="408" t="str">
        <f>'Reference Score Calculation'!A148</f>
        <v>JS4082</v>
      </c>
      <c r="B169" s="408" t="str">
        <f>'Reference Score Calculation'!D148</f>
        <v>音樂</v>
      </c>
      <c r="C169" s="235"/>
      <c r="D169" s="408" t="str">
        <f>'Reference Score Calculation'!E148</f>
        <v>Best 5</v>
      </c>
      <c r="E169" s="409" t="str">
        <f>入學要求!T157</f>
        <v>v</v>
      </c>
      <c r="F169" s="409" t="str">
        <f>入學要求!U157</f>
        <v>E</v>
      </c>
      <c r="G169" s="409" t="str">
        <f>入學要求!V157</f>
        <v>NO</v>
      </c>
      <c r="H169" s="408">
        <f t="shared" si="164"/>
        <v>3.9500000000000006E-9</v>
      </c>
      <c r="I169" s="235">
        <v>1</v>
      </c>
      <c r="J169" s="235">
        <v>1</v>
      </c>
      <c r="K169" s="235">
        <v>1</v>
      </c>
      <c r="L169" s="235">
        <v>1</v>
      </c>
      <c r="M169" s="235">
        <v>1</v>
      </c>
      <c r="N169" s="235">
        <v>1</v>
      </c>
      <c r="O169" s="235">
        <v>1</v>
      </c>
      <c r="P169" s="235">
        <v>1</v>
      </c>
      <c r="Q169" s="408">
        <v>1</v>
      </c>
      <c r="R169" s="408">
        <v>1</v>
      </c>
      <c r="S169" s="236"/>
      <c r="T169" s="391">
        <f t="shared" si="165"/>
        <v>1E-10</v>
      </c>
      <c r="U169" s="391">
        <f t="shared" si="166"/>
        <v>2.0000000000000001E-10</v>
      </c>
      <c r="V169" s="391">
        <f t="shared" si="167"/>
        <v>3E-10</v>
      </c>
      <c r="W169" s="391">
        <f t="shared" si="168"/>
        <v>4.0000000000000001E-10</v>
      </c>
      <c r="X169" s="391">
        <f t="shared" si="169"/>
        <v>5.0000000000000003E-10</v>
      </c>
      <c r="Y169" s="391">
        <f t="shared" si="170"/>
        <v>6E-10</v>
      </c>
      <c r="Z169" s="391">
        <f t="shared" si="171"/>
        <v>6.9999999999999996E-10</v>
      </c>
      <c r="AA169" s="391">
        <f t="shared" si="172"/>
        <v>8.0000000000000003E-10</v>
      </c>
      <c r="AB169" s="391">
        <f t="shared" si="173"/>
        <v>8.9999999999999999E-10</v>
      </c>
      <c r="AC169" s="391">
        <f t="shared" si="174"/>
        <v>9.5000000000000003E-10</v>
      </c>
      <c r="AD169" s="391" t="b">
        <f t="shared" si="175"/>
        <v>0</v>
      </c>
      <c r="AE169" s="391" t="b">
        <f t="shared" si="176"/>
        <v>0</v>
      </c>
      <c r="AF169" s="391" t="b">
        <f t="shared" si="177"/>
        <v>0</v>
      </c>
      <c r="AG169" s="391" t="b">
        <f t="shared" si="178"/>
        <v>0</v>
      </c>
      <c r="AH169" s="391" t="b">
        <f t="shared" si="179"/>
        <v>0</v>
      </c>
      <c r="AI169" s="391" t="b">
        <f t="shared" si="180"/>
        <v>1</v>
      </c>
      <c r="AJ169" s="391" t="b">
        <f t="shared" si="181"/>
        <v>1</v>
      </c>
      <c r="AK169" s="391" t="b">
        <f t="shared" si="182"/>
        <v>1</v>
      </c>
      <c r="AL169" s="391" t="b">
        <f t="shared" si="183"/>
        <v>1</v>
      </c>
      <c r="AM169" s="391" t="b">
        <f t="shared" si="184"/>
        <v>1</v>
      </c>
      <c r="AN169" s="391"/>
      <c r="AO169" s="555" t="s">
        <v>3181</v>
      </c>
      <c r="AP169" s="553" t="s">
        <v>3182</v>
      </c>
      <c r="AQ169" s="553"/>
      <c r="AR169" s="553"/>
      <c r="AS169" s="553"/>
      <c r="AT169" s="553"/>
      <c r="AU169" s="553"/>
      <c r="AV169" s="553"/>
      <c r="AW169" s="553"/>
      <c r="AX169" s="553"/>
      <c r="AY169" s="553"/>
      <c r="AZ169" s="547"/>
      <c r="BA169" s="401"/>
      <c r="BB169" s="344"/>
      <c r="BC169" s="344"/>
      <c r="BD169" s="344"/>
      <c r="BE169" s="344"/>
      <c r="BF169" s="344"/>
    </row>
    <row r="170" spans="1:58" x14ac:dyDescent="0.3">
      <c r="A170" s="408" t="str">
        <f>'Reference Score Calculation'!A149</f>
        <v>JS4094</v>
      </c>
      <c r="B170" s="408" t="str">
        <f>'Reference Score Calculation'!D149</f>
        <v>哲學</v>
      </c>
      <c r="C170" s="235"/>
      <c r="D170" s="408" t="str">
        <f>'Reference Score Calculation'!E149</f>
        <v>Best 5</v>
      </c>
      <c r="E170" s="409" t="str">
        <f>入學要求!T158</f>
        <v>v</v>
      </c>
      <c r="F170" s="409" t="str">
        <f>入學要求!U158</f>
        <v>E</v>
      </c>
      <c r="G170" s="409" t="str">
        <f>入學要求!V158</f>
        <v>NO</v>
      </c>
      <c r="H170" s="408">
        <f t="shared" si="164"/>
        <v>2.9499999999999999E-9</v>
      </c>
      <c r="I170" s="235">
        <v>1</v>
      </c>
      <c r="J170" s="235">
        <v>1</v>
      </c>
      <c r="K170" s="235">
        <v>1</v>
      </c>
      <c r="L170" s="235">
        <v>1</v>
      </c>
      <c r="M170" s="235">
        <v>1</v>
      </c>
      <c r="N170" s="235">
        <v>1</v>
      </c>
      <c r="O170" s="235">
        <v>1</v>
      </c>
      <c r="P170" s="235">
        <v>1</v>
      </c>
      <c r="Q170" s="408">
        <v>1</v>
      </c>
      <c r="R170" s="408">
        <v>1</v>
      </c>
      <c r="S170" s="236"/>
      <c r="T170" s="391">
        <f t="shared" si="165"/>
        <v>1E-10</v>
      </c>
      <c r="U170" s="391">
        <f t="shared" si="166"/>
        <v>2.0000000000000001E-10</v>
      </c>
      <c r="V170" s="391">
        <f t="shared" si="167"/>
        <v>3E-10</v>
      </c>
      <c r="W170" s="391">
        <f t="shared" si="168"/>
        <v>4.0000000000000001E-10</v>
      </c>
      <c r="X170" s="391">
        <f t="shared" si="169"/>
        <v>5.0000000000000003E-10</v>
      </c>
      <c r="Y170" s="391">
        <f t="shared" si="170"/>
        <v>6E-10</v>
      </c>
      <c r="Z170" s="391">
        <f t="shared" si="171"/>
        <v>6.9999999999999996E-10</v>
      </c>
      <c r="AA170" s="391">
        <f t="shared" si="172"/>
        <v>8.0000000000000003E-10</v>
      </c>
      <c r="AB170" s="391">
        <f t="shared" si="173"/>
        <v>8.9999999999999999E-10</v>
      </c>
      <c r="AC170" s="391">
        <f t="shared" si="174"/>
        <v>9.5000000000000003E-10</v>
      </c>
      <c r="AD170" s="391" t="b">
        <v>1</v>
      </c>
      <c r="AE170" s="391" t="b">
        <v>1</v>
      </c>
      <c r="AF170" s="391" t="b">
        <f>IF(V170&gt;LARGE($V170:$AC170,4),TRUE)</f>
        <v>0</v>
      </c>
      <c r="AG170" s="391" t="b">
        <f t="shared" ref="AG170:AM170" si="187">IF(W170&gt;LARGE($V170:$AC170,4),TRUE)</f>
        <v>0</v>
      </c>
      <c r="AH170" s="391" t="b">
        <f t="shared" si="187"/>
        <v>0</v>
      </c>
      <c r="AI170" s="391" t="b">
        <f t="shared" si="187"/>
        <v>0</v>
      </c>
      <c r="AJ170" s="391" t="b">
        <f t="shared" si="187"/>
        <v>0</v>
      </c>
      <c r="AK170" s="391" t="b">
        <f t="shared" si="187"/>
        <v>1</v>
      </c>
      <c r="AL170" s="391" t="b">
        <f t="shared" si="187"/>
        <v>1</v>
      </c>
      <c r="AM170" s="391" t="b">
        <f t="shared" si="187"/>
        <v>1</v>
      </c>
      <c r="AN170" s="391"/>
      <c r="AO170" s="555" t="s">
        <v>3185</v>
      </c>
      <c r="AP170" s="553" t="str">
        <f>N1</f>
        <v>請選擇第一選修科</v>
      </c>
      <c r="AQ170" s="553" t="str">
        <f>O1</f>
        <v>請選擇第二選修科</v>
      </c>
      <c r="AR170" s="553" t="str">
        <f>P1</f>
        <v>請選擇第三選修科</v>
      </c>
      <c r="AS170" s="553" t="str">
        <f>Q1</f>
        <v>請選擇第四選修科</v>
      </c>
      <c r="AT170" s="553" t="str">
        <f>M1</f>
        <v>數學延伸</v>
      </c>
      <c r="AU170" s="553"/>
      <c r="AV170" s="553"/>
      <c r="AW170" s="553" t="s">
        <v>3183</v>
      </c>
      <c r="AX170" s="553"/>
      <c r="AY170" s="553"/>
      <c r="AZ170" s="553"/>
      <c r="BA170" s="401"/>
      <c r="BB170" s="344"/>
      <c r="BC170" s="344"/>
      <c r="BD170" s="344"/>
      <c r="BE170" s="344"/>
      <c r="BF170" s="344"/>
    </row>
    <row r="171" spans="1:58" x14ac:dyDescent="0.3">
      <c r="A171" s="408" t="str">
        <f>'Reference Score Calculation'!A150</f>
        <v>JS4109</v>
      </c>
      <c r="B171" s="408" t="str">
        <f>'Reference Score Calculation'!D150</f>
        <v>宗教研究</v>
      </c>
      <c r="C171" s="235"/>
      <c r="D171" s="408" t="str">
        <f>'Reference Score Calculation'!E150</f>
        <v>Best 5</v>
      </c>
      <c r="E171" s="409" t="str">
        <f>入學要求!T159</f>
        <v>v</v>
      </c>
      <c r="F171" s="409" t="str">
        <f>入學要求!U159</f>
        <v>E</v>
      </c>
      <c r="G171" s="409" t="str">
        <f>入學要求!V159</f>
        <v>NO</v>
      </c>
      <c r="H171" s="408">
        <f t="shared" si="164"/>
        <v>3.9500000000000006E-9</v>
      </c>
      <c r="I171" s="235">
        <v>1</v>
      </c>
      <c r="J171" s="235">
        <v>1</v>
      </c>
      <c r="K171" s="235">
        <v>1</v>
      </c>
      <c r="L171" s="235">
        <v>1</v>
      </c>
      <c r="M171" s="235">
        <v>1</v>
      </c>
      <c r="N171" s="235">
        <v>1</v>
      </c>
      <c r="O171" s="235">
        <v>1</v>
      </c>
      <c r="P171" s="235">
        <v>1</v>
      </c>
      <c r="Q171" s="408">
        <v>1</v>
      </c>
      <c r="R171" s="408">
        <v>1</v>
      </c>
      <c r="S171" s="236"/>
      <c r="T171" s="391">
        <f t="shared" si="165"/>
        <v>1E-10</v>
      </c>
      <c r="U171" s="391">
        <f t="shared" si="166"/>
        <v>2.0000000000000001E-10</v>
      </c>
      <c r="V171" s="391">
        <f t="shared" si="167"/>
        <v>3E-10</v>
      </c>
      <c r="W171" s="391">
        <f t="shared" si="168"/>
        <v>4.0000000000000001E-10</v>
      </c>
      <c r="X171" s="391">
        <f t="shared" si="169"/>
        <v>5.0000000000000003E-10</v>
      </c>
      <c r="Y171" s="391">
        <f t="shared" si="170"/>
        <v>6E-10</v>
      </c>
      <c r="Z171" s="391">
        <f t="shared" si="171"/>
        <v>6.9999999999999996E-10</v>
      </c>
      <c r="AA171" s="391">
        <f t="shared" si="172"/>
        <v>8.0000000000000003E-10</v>
      </c>
      <c r="AB171" s="391">
        <f t="shared" si="173"/>
        <v>8.9999999999999999E-10</v>
      </c>
      <c r="AC171" s="391">
        <f t="shared" si="174"/>
        <v>9.5000000000000003E-10</v>
      </c>
      <c r="AD171" s="391" t="b">
        <f t="shared" si="175"/>
        <v>0</v>
      </c>
      <c r="AE171" s="391" t="b">
        <f t="shared" si="176"/>
        <v>0</v>
      </c>
      <c r="AF171" s="391" t="b">
        <f t="shared" si="177"/>
        <v>0</v>
      </c>
      <c r="AG171" s="391" t="b">
        <f t="shared" si="178"/>
        <v>0</v>
      </c>
      <c r="AH171" s="391" t="b">
        <f t="shared" si="179"/>
        <v>0</v>
      </c>
      <c r="AI171" s="391" t="b">
        <f t="shared" si="180"/>
        <v>1</v>
      </c>
      <c r="AJ171" s="391" t="b">
        <f t="shared" si="181"/>
        <v>1</v>
      </c>
      <c r="AK171" s="391" t="b">
        <f t="shared" si="182"/>
        <v>1</v>
      </c>
      <c r="AL171" s="391" t="b">
        <f t="shared" si="183"/>
        <v>1</v>
      </c>
      <c r="AM171" s="391" t="b">
        <f t="shared" si="184"/>
        <v>1</v>
      </c>
      <c r="AN171" s="391"/>
      <c r="AO171" s="546" t="s">
        <v>2337</v>
      </c>
      <c r="AP171" s="401">
        <f>IF(OR(N1="化學",N1="物理",N1="經濟"),N6,0)</f>
        <v>0</v>
      </c>
      <c r="AQ171" s="401">
        <f>IF(OR(O1="化學",O1="物理",O1="經濟"),O6,0)</f>
        <v>0</v>
      </c>
      <c r="AR171" s="401">
        <f>IF(OR(P1="化學",P1="物理",P1="經濟"),P6,0)</f>
        <v>0</v>
      </c>
      <c r="AS171" s="401">
        <f>IF(OR(Q1="化學",Q1="物理",Q1="經濟"),Q6,0)</f>
        <v>0</v>
      </c>
      <c r="AT171" s="401">
        <f>M6</f>
        <v>5.0000000000000003E-10</v>
      </c>
      <c r="AU171" s="547"/>
      <c r="AV171" s="547"/>
      <c r="AW171" s="401" t="str">
        <f>IF(AX171&gt;0,INDEX(AP170:AT170,MATCH(LARGE(AP171:AT171,1),AP171:AT171,0)),"無")</f>
        <v>數學延伸</v>
      </c>
      <c r="AX171" s="401">
        <f>LARGE(AP171:AT171,1)</f>
        <v>5.0000000000000003E-10</v>
      </c>
      <c r="AY171" s="548"/>
      <c r="AZ171" s="548"/>
      <c r="BA171" s="401"/>
      <c r="BB171" s="344"/>
      <c r="BC171" s="344"/>
      <c r="BD171" s="344"/>
      <c r="BE171" s="344"/>
      <c r="BF171" s="344"/>
    </row>
    <row r="172" spans="1:58" x14ac:dyDescent="0.3">
      <c r="A172" s="408" t="str">
        <f>'Reference Score Calculation'!A151</f>
        <v>JS4111</v>
      </c>
      <c r="B172" s="408" t="str">
        <f>'Reference Score Calculation'!D151</f>
        <v>神學</v>
      </c>
      <c r="C172" s="235"/>
      <c r="D172" s="408" t="str">
        <f>'Reference Score Calculation'!E151</f>
        <v>Best 5</v>
      </c>
      <c r="E172" s="409" t="str">
        <f>入學要求!T160</f>
        <v>v</v>
      </c>
      <c r="F172" s="409" t="str">
        <f>入學要求!U160</f>
        <v>E</v>
      </c>
      <c r="G172" s="409" t="str">
        <f>入學要求!V160</f>
        <v>NO</v>
      </c>
      <c r="H172" s="408">
        <f t="shared" si="164"/>
        <v>0</v>
      </c>
      <c r="I172" s="235" t="s">
        <v>1970</v>
      </c>
      <c r="J172" s="235" t="s">
        <v>1970</v>
      </c>
      <c r="K172" s="235" t="s">
        <v>1970</v>
      </c>
      <c r="L172" s="235" t="s">
        <v>1970</v>
      </c>
      <c r="M172" s="235" t="s">
        <v>1970</v>
      </c>
      <c r="N172" s="235" t="s">
        <v>1970</v>
      </c>
      <c r="O172" s="235" t="s">
        <v>1970</v>
      </c>
      <c r="P172" s="235" t="s">
        <v>1970</v>
      </c>
      <c r="Q172" s="408" t="s">
        <v>1970</v>
      </c>
      <c r="R172" s="408" t="s">
        <v>1970</v>
      </c>
      <c r="S172" s="236"/>
      <c r="T172" s="391" t="e">
        <f t="shared" si="165"/>
        <v>#VALUE!</v>
      </c>
      <c r="U172" s="391" t="e">
        <f t="shared" si="166"/>
        <v>#VALUE!</v>
      </c>
      <c r="V172" s="391" t="e">
        <f t="shared" si="167"/>
        <v>#VALUE!</v>
      </c>
      <c r="W172" s="391" t="e">
        <f t="shared" si="168"/>
        <v>#VALUE!</v>
      </c>
      <c r="X172" s="391" t="e">
        <f t="shared" si="169"/>
        <v>#VALUE!</v>
      </c>
      <c r="Y172" s="391" t="e">
        <f t="shared" si="170"/>
        <v>#VALUE!</v>
      </c>
      <c r="Z172" s="391" t="e">
        <f t="shared" si="171"/>
        <v>#VALUE!</v>
      </c>
      <c r="AA172" s="391" t="e">
        <f t="shared" si="172"/>
        <v>#VALUE!</v>
      </c>
      <c r="AB172" s="391" t="e">
        <f t="shared" si="173"/>
        <v>#VALUE!</v>
      </c>
      <c r="AC172" s="391" t="e">
        <f t="shared" si="174"/>
        <v>#VALUE!</v>
      </c>
      <c r="AD172" s="391" t="e">
        <f t="shared" si="175"/>
        <v>#VALUE!</v>
      </c>
      <c r="AE172" s="391" t="e">
        <f t="shared" si="176"/>
        <v>#VALUE!</v>
      </c>
      <c r="AF172" s="391" t="e">
        <f t="shared" si="177"/>
        <v>#VALUE!</v>
      </c>
      <c r="AG172" s="391" t="e">
        <f t="shared" si="178"/>
        <v>#VALUE!</v>
      </c>
      <c r="AH172" s="391" t="e">
        <f t="shared" si="179"/>
        <v>#VALUE!</v>
      </c>
      <c r="AI172" s="391" t="e">
        <f t="shared" si="180"/>
        <v>#VALUE!</v>
      </c>
      <c r="AJ172" s="391" t="e">
        <f t="shared" si="181"/>
        <v>#VALUE!</v>
      </c>
      <c r="AK172" s="391" t="e">
        <f t="shared" si="182"/>
        <v>#VALUE!</v>
      </c>
      <c r="AL172" s="391" t="e">
        <f t="shared" si="183"/>
        <v>#VALUE!</v>
      </c>
      <c r="AM172" s="391" t="e">
        <f t="shared" si="184"/>
        <v>#VALUE!</v>
      </c>
      <c r="AN172" s="391"/>
      <c r="AO172" s="546"/>
      <c r="AP172" s="547"/>
      <c r="AQ172" s="547"/>
      <c r="AR172" s="547"/>
      <c r="AS172" s="547"/>
      <c r="AT172" s="547"/>
      <c r="AU172" s="547"/>
      <c r="AV172" s="547"/>
      <c r="AW172" s="547"/>
      <c r="AX172" s="548"/>
      <c r="AY172" s="548"/>
      <c r="AZ172" s="548"/>
      <c r="BA172" s="401"/>
      <c r="BB172" s="344"/>
      <c r="BC172" s="344"/>
      <c r="BD172" s="344"/>
      <c r="BE172" s="344"/>
      <c r="BF172" s="344"/>
    </row>
    <row r="173" spans="1:58" s="405" customFormat="1" x14ac:dyDescent="0.3">
      <c r="A173" s="406" t="str">
        <f>'Reference Score Calculation'!A152</f>
        <v>JS4123</v>
      </c>
      <c r="B173" s="406" t="str">
        <f>'Reference Score Calculation'!D152</f>
        <v>翻譯</v>
      </c>
      <c r="C173" s="406"/>
      <c r="D173" s="406" t="str">
        <f>'Reference Score Calculation'!E152</f>
        <v>Best 5</v>
      </c>
      <c r="E173" s="418" t="str">
        <f>入學要求!T161</f>
        <v>v</v>
      </c>
      <c r="F173" s="418" t="str">
        <f>入學要求!U161</f>
        <v>E</v>
      </c>
      <c r="G173" s="418" t="str">
        <f>入學要求!V161</f>
        <v>NO</v>
      </c>
      <c r="H173" s="406">
        <f>IF($U$15=TRUE,SUMIF(AD173:AM173,TRUE,T173:AC173)*0.95,SUMIF(AD173:AM173,TRUE,T173:AC173))</f>
        <v>3.9500000000000006E-9</v>
      </c>
      <c r="I173" s="406">
        <v>1</v>
      </c>
      <c r="J173" s="406">
        <v>1</v>
      </c>
      <c r="K173" s="406">
        <v>1</v>
      </c>
      <c r="L173" s="406">
        <v>1</v>
      </c>
      <c r="M173" s="406">
        <v>1</v>
      </c>
      <c r="N173" s="406">
        <v>1</v>
      </c>
      <c r="O173" s="406">
        <v>1</v>
      </c>
      <c r="P173" s="406">
        <v>1</v>
      </c>
      <c r="Q173" s="406">
        <v>1</v>
      </c>
      <c r="R173" s="406">
        <v>1</v>
      </c>
      <c r="S173" s="418"/>
      <c r="T173" s="405">
        <f t="shared" si="165"/>
        <v>1E-10</v>
      </c>
      <c r="U173" s="405">
        <f t="shared" si="166"/>
        <v>2.0000000000000001E-10</v>
      </c>
      <c r="V173" s="405">
        <f t="shared" si="167"/>
        <v>3E-10</v>
      </c>
      <c r="W173" s="405">
        <f t="shared" si="168"/>
        <v>4.0000000000000001E-10</v>
      </c>
      <c r="X173" s="405">
        <f t="shared" si="169"/>
        <v>5.0000000000000003E-10</v>
      </c>
      <c r="Y173" s="405">
        <f t="shared" si="170"/>
        <v>6E-10</v>
      </c>
      <c r="Z173" s="405">
        <f t="shared" si="171"/>
        <v>6.9999999999999996E-10</v>
      </c>
      <c r="AA173" s="405">
        <f t="shared" si="172"/>
        <v>8.0000000000000003E-10</v>
      </c>
      <c r="AB173" s="405">
        <f t="shared" si="173"/>
        <v>8.9999999999999999E-10</v>
      </c>
      <c r="AC173" s="405">
        <f t="shared" si="174"/>
        <v>9.5000000000000003E-10</v>
      </c>
      <c r="AD173" s="405" t="b">
        <f t="shared" si="175"/>
        <v>0</v>
      </c>
      <c r="AE173" s="405" t="b">
        <f t="shared" si="176"/>
        <v>0</v>
      </c>
      <c r="AF173" s="405" t="b">
        <f t="shared" si="177"/>
        <v>0</v>
      </c>
      <c r="AG173" s="405" t="b">
        <f t="shared" si="178"/>
        <v>0</v>
      </c>
      <c r="AH173" s="405" t="b">
        <f t="shared" si="179"/>
        <v>0</v>
      </c>
      <c r="AI173" s="405" t="b">
        <f t="shared" si="180"/>
        <v>1</v>
      </c>
      <c r="AJ173" s="405" t="b">
        <f t="shared" si="181"/>
        <v>1</v>
      </c>
      <c r="AK173" s="405" t="b">
        <f t="shared" si="182"/>
        <v>1</v>
      </c>
      <c r="AL173" s="405" t="b">
        <f t="shared" si="183"/>
        <v>1</v>
      </c>
      <c r="AM173" s="405" t="b">
        <f t="shared" si="184"/>
        <v>1</v>
      </c>
      <c r="AN173" s="405" t="str">
        <f>INDEX('Retake 扣分'!$H$13:$H$29,MATCH(A173,'Retake 扣分'!$A$13:$A$29,0))</f>
        <v>5%或更少</v>
      </c>
      <c r="AO173" s="546"/>
      <c r="AP173" s="547"/>
      <c r="AQ173" s="547"/>
      <c r="AR173" s="547"/>
      <c r="AS173" s="547"/>
      <c r="AT173" s="547"/>
      <c r="AU173" s="547"/>
      <c r="AV173" s="547"/>
      <c r="AW173" s="547"/>
      <c r="AX173" s="548"/>
      <c r="AY173" s="548"/>
      <c r="AZ173" s="548"/>
      <c r="BA173" s="401"/>
      <c r="BB173" s="371"/>
      <c r="BC173" s="371"/>
      <c r="BD173" s="371"/>
      <c r="BE173" s="371"/>
      <c r="BF173" s="371"/>
    </row>
    <row r="174" spans="1:58" x14ac:dyDescent="0.3">
      <c r="A174" s="408" t="str">
        <f>'Reference Score Calculation'!A153</f>
        <v>JS4136</v>
      </c>
      <c r="B174" s="408" t="str">
        <f>'Reference Score Calculation'!D153</f>
        <v>中國研究</v>
      </c>
      <c r="C174" s="235"/>
      <c r="D174" s="408" t="str">
        <f>'Reference Score Calculation'!E153</f>
        <v>Best 5</v>
      </c>
      <c r="E174" s="409" t="str">
        <f>入學要求!T162</f>
        <v>v</v>
      </c>
      <c r="F174" s="409" t="str">
        <f>入學要求!U162</f>
        <v>E</v>
      </c>
      <c r="G174" s="409" t="str">
        <f>入學要求!V162</f>
        <v>NO</v>
      </c>
      <c r="H174" s="408">
        <f t="shared" si="164"/>
        <v>3.9500000000000006E-9</v>
      </c>
      <c r="I174" s="235">
        <v>1</v>
      </c>
      <c r="J174" s="235">
        <v>1</v>
      </c>
      <c r="K174" s="235">
        <v>1</v>
      </c>
      <c r="L174" s="235">
        <v>1</v>
      </c>
      <c r="M174" s="235">
        <v>1</v>
      </c>
      <c r="N174" s="235">
        <v>1</v>
      </c>
      <c r="O174" s="235">
        <v>1</v>
      </c>
      <c r="P174" s="235">
        <v>1</v>
      </c>
      <c r="Q174" s="408">
        <v>1</v>
      </c>
      <c r="R174" s="408">
        <v>1</v>
      </c>
      <c r="S174" s="236"/>
      <c r="T174" s="391">
        <f t="shared" si="165"/>
        <v>1E-10</v>
      </c>
      <c r="U174" s="391">
        <f t="shared" si="166"/>
        <v>2.0000000000000001E-10</v>
      </c>
      <c r="V174" s="391">
        <f t="shared" si="167"/>
        <v>3E-10</v>
      </c>
      <c r="W174" s="391">
        <f t="shared" si="168"/>
        <v>4.0000000000000001E-10</v>
      </c>
      <c r="X174" s="391">
        <f t="shared" si="169"/>
        <v>5.0000000000000003E-10</v>
      </c>
      <c r="Y174" s="391">
        <f t="shared" si="170"/>
        <v>6E-10</v>
      </c>
      <c r="Z174" s="391">
        <f t="shared" si="171"/>
        <v>6.9999999999999996E-10</v>
      </c>
      <c r="AA174" s="391">
        <f t="shared" si="172"/>
        <v>8.0000000000000003E-10</v>
      </c>
      <c r="AB174" s="391">
        <f t="shared" si="173"/>
        <v>8.9999999999999999E-10</v>
      </c>
      <c r="AC174" s="391">
        <f t="shared" si="174"/>
        <v>9.5000000000000003E-10</v>
      </c>
      <c r="AD174" s="391" t="b">
        <f t="shared" si="175"/>
        <v>0</v>
      </c>
      <c r="AE174" s="391" t="b">
        <f t="shared" si="176"/>
        <v>0</v>
      </c>
      <c r="AF174" s="391" t="b">
        <f t="shared" si="177"/>
        <v>0</v>
      </c>
      <c r="AG174" s="391" t="b">
        <f t="shared" si="178"/>
        <v>0</v>
      </c>
      <c r="AH174" s="391" t="b">
        <f t="shared" si="179"/>
        <v>0</v>
      </c>
      <c r="AI174" s="391" t="b">
        <f t="shared" si="180"/>
        <v>1</v>
      </c>
      <c r="AJ174" s="391" t="b">
        <f t="shared" si="181"/>
        <v>1</v>
      </c>
      <c r="AK174" s="391" t="b">
        <f t="shared" si="182"/>
        <v>1</v>
      </c>
      <c r="AL174" s="391" t="b">
        <f t="shared" si="183"/>
        <v>1</v>
      </c>
      <c r="AM174" s="391" t="b">
        <f t="shared" si="184"/>
        <v>1</v>
      </c>
      <c r="AN174" s="391"/>
      <c r="AO174" s="546" t="s">
        <v>2336</v>
      </c>
      <c r="AP174" s="547" t="s">
        <v>3186</v>
      </c>
      <c r="AQ174" s="547"/>
      <c r="AR174" s="547"/>
      <c r="AS174" s="547"/>
      <c r="AT174" s="558" t="s">
        <v>3187</v>
      </c>
      <c r="AU174" s="547"/>
      <c r="AV174" s="558" t="s">
        <v>3188</v>
      </c>
      <c r="AW174" s="547"/>
      <c r="AX174" s="558" t="s">
        <v>3189</v>
      </c>
      <c r="AY174" s="548"/>
      <c r="AZ174" s="548"/>
      <c r="BA174" s="401"/>
      <c r="BB174" s="344"/>
      <c r="BC174" s="344"/>
      <c r="BD174" s="344"/>
      <c r="BE174" s="344"/>
      <c r="BF174" s="344"/>
    </row>
    <row r="175" spans="1:58" s="405" customFormat="1" x14ac:dyDescent="0.3">
      <c r="A175" s="406" t="str">
        <f>'Reference Score Calculation'!A154</f>
        <v>JS4202</v>
      </c>
      <c r="B175" s="406" t="str">
        <f>'Reference Score Calculation'!D154</f>
        <v>工商管理學士綜合課程</v>
      </c>
      <c r="C175" s="406"/>
      <c r="D175" s="406" t="str">
        <f>'Reference Score Calculation'!E154</f>
        <v>Best 5</v>
      </c>
      <c r="E175" s="418" t="str">
        <f>入學要求!T163</f>
        <v>v</v>
      </c>
      <c r="F175" s="418" t="str">
        <f>入學要求!U163</f>
        <v>E</v>
      </c>
      <c r="G175" s="418" t="str">
        <f>入學要求!V163</f>
        <v>NO</v>
      </c>
      <c r="H175" s="406">
        <f>IF($U$15=TRUE,SUMIF(AD175:AM175,TRUE,T175:AC175)*0.95,SUMIF(AD175:AM175,TRUE,T175:AC175))</f>
        <v>3.9500000000000006E-9</v>
      </c>
      <c r="I175" s="406">
        <v>1</v>
      </c>
      <c r="J175" s="406">
        <v>1</v>
      </c>
      <c r="K175" s="406">
        <v>1</v>
      </c>
      <c r="L175" s="406">
        <v>1</v>
      </c>
      <c r="M175" s="406">
        <v>1</v>
      </c>
      <c r="N175" s="406">
        <v>1</v>
      </c>
      <c r="O175" s="406">
        <v>1</v>
      </c>
      <c r="P175" s="406">
        <v>1</v>
      </c>
      <c r="Q175" s="406">
        <v>1</v>
      </c>
      <c r="R175" s="406">
        <v>1</v>
      </c>
      <c r="S175" s="418"/>
      <c r="T175" s="405">
        <f t="shared" si="165"/>
        <v>1E-10</v>
      </c>
      <c r="U175" s="405">
        <f t="shared" si="166"/>
        <v>2.0000000000000001E-10</v>
      </c>
      <c r="V175" s="405">
        <f t="shared" si="167"/>
        <v>3E-10</v>
      </c>
      <c r="W175" s="405">
        <f t="shared" si="168"/>
        <v>4.0000000000000001E-10</v>
      </c>
      <c r="X175" s="405">
        <f t="shared" si="169"/>
        <v>5.0000000000000003E-10</v>
      </c>
      <c r="Y175" s="405">
        <f t="shared" si="170"/>
        <v>6E-10</v>
      </c>
      <c r="Z175" s="405">
        <f t="shared" si="171"/>
        <v>6.9999999999999996E-10</v>
      </c>
      <c r="AA175" s="405">
        <f t="shared" si="172"/>
        <v>8.0000000000000003E-10</v>
      </c>
      <c r="AB175" s="405">
        <f t="shared" si="173"/>
        <v>8.9999999999999999E-10</v>
      </c>
      <c r="AC175" s="405">
        <f t="shared" si="174"/>
        <v>9.5000000000000003E-10</v>
      </c>
      <c r="AD175" s="405" t="b">
        <f t="shared" si="175"/>
        <v>0</v>
      </c>
      <c r="AE175" s="405" t="b">
        <f t="shared" si="176"/>
        <v>0</v>
      </c>
      <c r="AF175" s="405" t="b">
        <f t="shared" si="177"/>
        <v>0</v>
      </c>
      <c r="AG175" s="405" t="b">
        <f t="shared" si="178"/>
        <v>0</v>
      </c>
      <c r="AH175" s="405" t="b">
        <f t="shared" si="179"/>
        <v>0</v>
      </c>
      <c r="AI175" s="405" t="b">
        <f t="shared" si="180"/>
        <v>1</v>
      </c>
      <c r="AJ175" s="405" t="b">
        <f t="shared" si="181"/>
        <v>1</v>
      </c>
      <c r="AK175" s="405" t="b">
        <f t="shared" si="182"/>
        <v>1</v>
      </c>
      <c r="AL175" s="405" t="b">
        <f t="shared" si="183"/>
        <v>1</v>
      </c>
      <c r="AM175" s="405" t="b">
        <f t="shared" si="184"/>
        <v>1</v>
      </c>
      <c r="AN175" s="405" t="str">
        <f>INDEX('Retake 扣分'!$H$13:$H$29,MATCH(A175,'Retake 扣分'!$A$13:$A$29,0))</f>
        <v>5%或更少</v>
      </c>
      <c r="AO175" s="546"/>
      <c r="AP175" s="401" t="str">
        <f>IF(I6&gt;J6,I1,J1)</f>
        <v>英國語文</v>
      </c>
      <c r="AQ175" s="401">
        <f>IF(I6&gt;J6,I6,J6)</f>
        <v>2.0000000000000001E-10</v>
      </c>
      <c r="AR175" s="547"/>
      <c r="AS175" s="547"/>
      <c r="AT175" s="559" t="str">
        <f>INDEX($AP$177:$AY$177,MATCH(LARGE($AP$178:$AY$178,1),$AP$178:$AY$178,0))</f>
        <v>數學延伸</v>
      </c>
      <c r="AU175" s="559">
        <f>IF(OR(AT175="數學",AT175="數學延伸",AT175="物理",AT175="生物",AT175="化學",AT175="組合科學(物理、化學)",AT175="組合科學(物理、生物)",AT175="組合科學(生物、化學)",AT175="綜合科學"),2,IF(OR(AT175="中國語文",AT175="英國語文",AT175="經濟",AT175="地理",AT175="科技與生活",AT175="資訊與通訊科技"),1.5,1))</f>
        <v>2</v>
      </c>
      <c r="AV175" s="559" t="str">
        <f>INDEX($AP$177:$AY$177,MATCH(LARGE($AP$178:$AY$178,2),$AP$178:$AY$178,0))</f>
        <v>數學</v>
      </c>
      <c r="AW175" s="559">
        <f>IF(OR(AV175="數學",AV175="數學延伸",AV175="物理",AV175="生物",AV175="化學",AV175="組合科學(物理、化學)",AV175="組合科學(物理、生物)",AV175="組合科學(生物、化學)",AV175="綜合科學"),2,IF(OR(AV175="中國語文",AV175="英國語文",AV175="經濟",AV175="地理",AV175="科技與生活",AV175="資訊與通訊科技"),1.5,1))</f>
        <v>2</v>
      </c>
      <c r="AX175" s="559" t="str">
        <f>INDEX($AP$177:$AY$177,MATCH(LARGE($AP$178:$AY$178,3),$AP$178:$AY$178,0))</f>
        <v>英國語文</v>
      </c>
      <c r="AY175" s="559">
        <f>IF(OR(AX175="數學",AX175="數學延伸",AX175="物理",AX175="生物",AX175="化學",AX175="組合科學(物理、化學)",AX175="組合科學(物理、生物)",AX175="組合科學(生物、化學)",AX175="綜合科學"),2,IF(OR(AX175="中國語文",AX175="英國語文",AX175="經濟",AX175="地理",AX175="科技與生活",AX175="資訊與通訊科技"),1.5,1))</f>
        <v>1.5</v>
      </c>
      <c r="AZ175" s="548"/>
      <c r="BA175" s="401"/>
      <c r="BB175" s="371"/>
      <c r="BC175" s="371"/>
      <c r="BD175" s="371"/>
      <c r="BE175" s="371"/>
      <c r="BF175" s="371"/>
    </row>
    <row r="176" spans="1:58" s="405" customFormat="1" x14ac:dyDescent="0.3">
      <c r="A176" s="406" t="str">
        <f>'Reference Score Calculation'!A155</f>
        <v>JS4214</v>
      </c>
      <c r="B176" s="406" t="str">
        <f>'Reference Score Calculation'!D155</f>
        <v>環球商業學</v>
      </c>
      <c r="C176" s="406"/>
      <c r="D176" s="406" t="str">
        <f>'Reference Score Calculation'!E155</f>
        <v>4C2X</v>
      </c>
      <c r="E176" s="418" t="str">
        <f>入學要求!T164</f>
        <v>v</v>
      </c>
      <c r="F176" s="418" t="str">
        <f>入學要求!U164</f>
        <v>E</v>
      </c>
      <c r="G176" s="418" t="str">
        <f>入學要求!V164</f>
        <v>NO</v>
      </c>
      <c r="H176" s="406">
        <f>IF($U$15=TRUE,SUMIF(AD176:AM176,TRUE,T176:AC176)*0.95,SUMIF(AD176:AM176,TRUE,T176:AC176))</f>
        <v>2.8499999999999999E-9</v>
      </c>
      <c r="I176" s="406">
        <v>1</v>
      </c>
      <c r="J176" s="406">
        <v>1</v>
      </c>
      <c r="K176" s="406">
        <v>1</v>
      </c>
      <c r="L176" s="406">
        <v>1</v>
      </c>
      <c r="M176" s="406">
        <v>1</v>
      </c>
      <c r="N176" s="406">
        <v>1</v>
      </c>
      <c r="O176" s="406">
        <v>1</v>
      </c>
      <c r="P176" s="406">
        <v>1</v>
      </c>
      <c r="Q176" s="406">
        <v>1</v>
      </c>
      <c r="R176" s="406">
        <v>1</v>
      </c>
      <c r="S176" s="418"/>
      <c r="T176" s="405">
        <f t="shared" si="165"/>
        <v>1E-10</v>
      </c>
      <c r="U176" s="405">
        <f t="shared" si="166"/>
        <v>2.0000000000000001E-10</v>
      </c>
      <c r="V176" s="405">
        <f t="shared" si="167"/>
        <v>3E-10</v>
      </c>
      <c r="W176" s="405">
        <f t="shared" si="168"/>
        <v>4.0000000000000001E-10</v>
      </c>
      <c r="X176" s="405">
        <f t="shared" si="169"/>
        <v>5.0000000000000003E-10</v>
      </c>
      <c r="Y176" s="405">
        <f t="shared" si="170"/>
        <v>6E-10</v>
      </c>
      <c r="Z176" s="405">
        <f t="shared" si="171"/>
        <v>6.9999999999999996E-10</v>
      </c>
      <c r="AA176" s="405">
        <f t="shared" si="172"/>
        <v>8.0000000000000003E-10</v>
      </c>
      <c r="AB176" s="405">
        <f t="shared" si="173"/>
        <v>8.9999999999999999E-10</v>
      </c>
      <c r="AC176" s="405">
        <f t="shared" si="174"/>
        <v>9.5000000000000003E-10</v>
      </c>
      <c r="AD176" s="405" t="b">
        <f t="shared" si="175"/>
        <v>1</v>
      </c>
      <c r="AE176" s="405" t="b">
        <f t="shared" si="176"/>
        <v>1</v>
      </c>
      <c r="AF176" s="405" t="b">
        <f t="shared" si="177"/>
        <v>1</v>
      </c>
      <c r="AG176" s="405" t="b">
        <f t="shared" si="178"/>
        <v>1</v>
      </c>
      <c r="AH176" s="405" t="b">
        <f t="shared" si="179"/>
        <v>0</v>
      </c>
      <c r="AI176" s="405" t="b">
        <f t="shared" si="180"/>
        <v>0</v>
      </c>
      <c r="AJ176" s="405" t="b">
        <f t="shared" si="181"/>
        <v>0</v>
      </c>
      <c r="AK176" s="405" t="b">
        <f t="shared" si="182"/>
        <v>0</v>
      </c>
      <c r="AL176" s="405" t="b">
        <f t="shared" si="183"/>
        <v>1</v>
      </c>
      <c r="AM176" s="405" t="b">
        <f t="shared" si="184"/>
        <v>1</v>
      </c>
      <c r="AN176" s="405" t="str">
        <f>INDEX('Retake 扣分'!$H$13:$H$29,MATCH(A176,'Retake 扣分'!$A$13:$A$29,0))</f>
        <v>5%或更少</v>
      </c>
      <c r="AO176" s="546"/>
      <c r="AP176" s="547"/>
      <c r="AQ176" s="547"/>
      <c r="AR176" s="547"/>
      <c r="AS176" s="547"/>
      <c r="AT176" s="547"/>
      <c r="AU176" s="547"/>
      <c r="AV176" s="547"/>
      <c r="AW176" s="547"/>
      <c r="AX176" s="548"/>
      <c r="AY176" s="548"/>
      <c r="AZ176" s="548"/>
      <c r="BA176" s="401"/>
      <c r="BB176" s="371"/>
      <c r="BC176" s="371"/>
      <c r="BD176" s="371"/>
      <c r="BE176" s="371"/>
      <c r="BF176" s="371"/>
    </row>
    <row r="177" spans="1:58" s="405" customFormat="1" x14ac:dyDescent="0.3">
      <c r="A177" s="406" t="str">
        <f>'Reference Score Calculation'!A156</f>
        <v>JS4226</v>
      </c>
      <c r="B177" s="406" t="str">
        <f>'Reference Score Calculation'!D156</f>
        <v>酒店旅遊及房地產</v>
      </c>
      <c r="C177" s="406"/>
      <c r="D177" s="406" t="str">
        <f>'Reference Score Calculation'!E156</f>
        <v>Best 5</v>
      </c>
      <c r="E177" s="418" t="str">
        <f>入學要求!T165</f>
        <v>v</v>
      </c>
      <c r="F177" s="418" t="str">
        <f>入學要求!U165</f>
        <v>E</v>
      </c>
      <c r="G177" s="418" t="str">
        <f>入學要求!V165</f>
        <v>NO</v>
      </c>
      <c r="H177" s="406">
        <f>IF($U$15=TRUE,SUMIF(AD177:AM177,TRUE,T177:AC177)*0.95,SUMIF(AD177:AM177,TRUE,T177:AC177))</f>
        <v>3.9500000000000006E-9</v>
      </c>
      <c r="I177" s="406">
        <v>1</v>
      </c>
      <c r="J177" s="406">
        <v>1</v>
      </c>
      <c r="K177" s="406">
        <v>1</v>
      </c>
      <c r="L177" s="406">
        <v>1</v>
      </c>
      <c r="M177" s="406">
        <v>1</v>
      </c>
      <c r="N177" s="406">
        <v>1</v>
      </c>
      <c r="O177" s="406">
        <v>1</v>
      </c>
      <c r="P177" s="406">
        <v>1</v>
      </c>
      <c r="Q177" s="406">
        <v>1</v>
      </c>
      <c r="R177" s="406">
        <v>1</v>
      </c>
      <c r="S177" s="418"/>
      <c r="T177" s="405">
        <f t="shared" si="165"/>
        <v>1E-10</v>
      </c>
      <c r="U177" s="405">
        <f t="shared" si="166"/>
        <v>2.0000000000000001E-10</v>
      </c>
      <c r="V177" s="405">
        <f t="shared" si="167"/>
        <v>3E-10</v>
      </c>
      <c r="W177" s="405">
        <f t="shared" si="168"/>
        <v>4.0000000000000001E-10</v>
      </c>
      <c r="X177" s="405">
        <f t="shared" si="169"/>
        <v>5.0000000000000003E-10</v>
      </c>
      <c r="Y177" s="405">
        <f t="shared" si="170"/>
        <v>6E-10</v>
      </c>
      <c r="Z177" s="405">
        <f t="shared" si="171"/>
        <v>6.9999999999999996E-10</v>
      </c>
      <c r="AA177" s="405">
        <f t="shared" si="172"/>
        <v>8.0000000000000003E-10</v>
      </c>
      <c r="AB177" s="405">
        <f t="shared" si="173"/>
        <v>8.9999999999999999E-10</v>
      </c>
      <c r="AC177" s="405">
        <f t="shared" si="174"/>
        <v>9.5000000000000003E-10</v>
      </c>
      <c r="AD177" s="405" t="b">
        <f t="shared" si="175"/>
        <v>0</v>
      </c>
      <c r="AE177" s="405" t="b">
        <f t="shared" si="176"/>
        <v>0</v>
      </c>
      <c r="AF177" s="405" t="b">
        <f t="shared" si="177"/>
        <v>0</v>
      </c>
      <c r="AG177" s="405" t="b">
        <f t="shared" si="178"/>
        <v>0</v>
      </c>
      <c r="AH177" s="405" t="b">
        <f t="shared" si="179"/>
        <v>0</v>
      </c>
      <c r="AI177" s="405" t="b">
        <f t="shared" si="180"/>
        <v>1</v>
      </c>
      <c r="AJ177" s="405" t="b">
        <f t="shared" si="181"/>
        <v>1</v>
      </c>
      <c r="AK177" s="405" t="b">
        <f t="shared" si="182"/>
        <v>1</v>
      </c>
      <c r="AL177" s="405" t="b">
        <f t="shared" si="183"/>
        <v>1</v>
      </c>
      <c r="AM177" s="405" t="b">
        <f t="shared" si="184"/>
        <v>1</v>
      </c>
      <c r="AN177" s="405" t="str">
        <f>INDEX('Retake 扣分'!$H$13:$H$29,MATCH(A177,'Retake 扣分'!$A$13:$A$29,0))</f>
        <v>5%或更少</v>
      </c>
      <c r="AO177" s="546"/>
      <c r="AP177" s="553" t="str">
        <f t="shared" ref="AP177:AY177" si="188">I1</f>
        <v>中國語文</v>
      </c>
      <c r="AQ177" s="553" t="str">
        <f t="shared" si="188"/>
        <v>英國語文</v>
      </c>
      <c r="AR177" s="553" t="str">
        <f t="shared" si="188"/>
        <v>數學</v>
      </c>
      <c r="AS177" s="553" t="str">
        <f t="shared" si="188"/>
        <v>通識教育</v>
      </c>
      <c r="AT177" s="553" t="str">
        <f t="shared" si="188"/>
        <v>數學延伸</v>
      </c>
      <c r="AU177" s="553" t="str">
        <f t="shared" si="188"/>
        <v>請選擇第一選修科</v>
      </c>
      <c r="AV177" s="553" t="str">
        <f t="shared" si="188"/>
        <v>請選擇第二選修科</v>
      </c>
      <c r="AW177" s="553" t="str">
        <f t="shared" si="188"/>
        <v>請選擇第三選修科</v>
      </c>
      <c r="AX177" s="553" t="str">
        <f t="shared" si="188"/>
        <v>請選擇第四選修科</v>
      </c>
      <c r="AY177" s="553" t="str">
        <f t="shared" si="188"/>
        <v>請選擇語言科目</v>
      </c>
      <c r="AZ177" s="548"/>
      <c r="BA177" s="401"/>
      <c r="BB177" s="371"/>
      <c r="BC177" s="371"/>
      <c r="BD177" s="371"/>
      <c r="BE177" s="371"/>
      <c r="BF177" s="371"/>
    </row>
    <row r="178" spans="1:58" x14ac:dyDescent="0.3">
      <c r="A178" s="408" t="str">
        <f>'Reference Score Calculation'!A157</f>
        <v>JS4238</v>
      </c>
      <c r="B178" s="408" t="str">
        <f>'Reference Score Calculation'!D157</f>
        <v>保險、金融與精算學</v>
      </c>
      <c r="C178" s="235"/>
      <c r="D178" s="408" t="str">
        <f>'Reference Score Calculation'!E157</f>
        <v>Best 5</v>
      </c>
      <c r="E178" s="409" t="str">
        <f>入學要求!T166</f>
        <v>v</v>
      </c>
      <c r="F178" s="409" t="str">
        <f>入學要求!U166</f>
        <v>E</v>
      </c>
      <c r="G178" s="409" t="str">
        <f>入學要求!V166</f>
        <v>NO</v>
      </c>
      <c r="H178" s="406">
        <f>IF($U$15=TRUE,SUMIF(AD178:AM178,TRUE,T178:AC178)*0.9,SUMIF(AD178:AM178,TRUE,T178:AC178))</f>
        <v>3.3500000000000002E-9</v>
      </c>
      <c r="I178" s="235">
        <v>1</v>
      </c>
      <c r="J178" s="235">
        <v>1</v>
      </c>
      <c r="K178" s="235">
        <v>1</v>
      </c>
      <c r="L178" s="235">
        <v>1</v>
      </c>
      <c r="M178" s="235">
        <v>1</v>
      </c>
      <c r="N178" s="235">
        <v>1</v>
      </c>
      <c r="O178" s="235">
        <v>1</v>
      </c>
      <c r="P178" s="235">
        <v>1</v>
      </c>
      <c r="Q178" s="408">
        <v>1</v>
      </c>
      <c r="R178" s="408">
        <v>1</v>
      </c>
      <c r="S178" s="236"/>
      <c r="T178" s="391">
        <f t="shared" si="165"/>
        <v>1E-10</v>
      </c>
      <c r="U178" s="391">
        <f t="shared" si="166"/>
        <v>2.0000000000000001E-10</v>
      </c>
      <c r="V178" s="391">
        <f t="shared" si="167"/>
        <v>3E-10</v>
      </c>
      <c r="W178" s="391">
        <f t="shared" si="168"/>
        <v>4.0000000000000001E-10</v>
      </c>
      <c r="X178" s="391">
        <f t="shared" si="169"/>
        <v>5.0000000000000003E-10</v>
      </c>
      <c r="Y178" s="391">
        <f t="shared" si="170"/>
        <v>6E-10</v>
      </c>
      <c r="Z178" s="391">
        <f t="shared" si="171"/>
        <v>6.9999999999999996E-10</v>
      </c>
      <c r="AA178" s="391">
        <f t="shared" si="172"/>
        <v>8.0000000000000003E-10</v>
      </c>
      <c r="AB178" s="391">
        <f t="shared" si="173"/>
        <v>8.9999999999999999E-10</v>
      </c>
      <c r="AC178" s="401">
        <f t="shared" si="174"/>
        <v>9.5000000000000003E-10</v>
      </c>
      <c r="AD178" s="401" t="b">
        <f>AP167</f>
        <v>0</v>
      </c>
      <c r="AE178" s="401" t="b">
        <f t="shared" ref="AE178:AM178" si="189">AQ167</f>
        <v>1</v>
      </c>
      <c r="AF178" s="401" t="b">
        <f t="shared" si="189"/>
        <v>0</v>
      </c>
      <c r="AG178" s="401" t="b">
        <f t="shared" si="189"/>
        <v>0</v>
      </c>
      <c r="AH178" s="401" t="b">
        <f t="shared" si="189"/>
        <v>1</v>
      </c>
      <c r="AI178" s="401" t="b">
        <f t="shared" si="189"/>
        <v>0</v>
      </c>
      <c r="AJ178" s="401" t="b">
        <f t="shared" si="189"/>
        <v>0</v>
      </c>
      <c r="AK178" s="401" t="b">
        <f t="shared" si="189"/>
        <v>1</v>
      </c>
      <c r="AL178" s="401" t="b">
        <f t="shared" si="189"/>
        <v>1</v>
      </c>
      <c r="AM178" s="401" t="b">
        <f t="shared" si="189"/>
        <v>1</v>
      </c>
      <c r="AN178" s="391" t="str">
        <f>INDEX('Retake 扣分'!$H$13:$H$29,MATCH(A178,'Retake 扣分'!$A$13:$A$29,0))</f>
        <v>6%-10%</v>
      </c>
      <c r="AO178" s="546"/>
      <c r="AP178" s="401">
        <f>IF(AP177=$AP$175,I6*1.5,0)</f>
        <v>0</v>
      </c>
      <c r="AQ178" s="401">
        <f>IF(AQ177=$AP$175,J6*1.5,0)</f>
        <v>3E-10</v>
      </c>
      <c r="AR178" s="401">
        <f>K6*2</f>
        <v>6E-10</v>
      </c>
      <c r="AS178" s="401">
        <f>0</f>
        <v>0</v>
      </c>
      <c r="AT178" s="401">
        <f>M6*2</f>
        <v>1.0000000000000001E-9</v>
      </c>
      <c r="AU178" s="401">
        <f>IF(OR(N1="物理",N1="生物",N1="化學",N1="組合科學(物理、化學)",N1="組合科學(物理、生物)",N1="組合科學(生物、化學)",N1="綜合科學"),N6*2,IF(OR(N1="經濟",N1="地理",N1="科技與生活",N1="資訊與通訊科技"),N6*1.5,0))</f>
        <v>0</v>
      </c>
      <c r="AV178" s="401">
        <f>IF(OR(O1="物理",O1="生物",O1="化學",O1="組合科學(物理、化學)",O1="組合科學(物理、生物)",O1="組合科學(生物、化學)",O1="綜合科學"),O6*2,IF(OR(O1="經濟",O1="地理",O1="科技與生活",O1="資訊與通訊科技"),O6*1.5,0))</f>
        <v>0</v>
      </c>
      <c r="AW178" s="401">
        <f>IF(OR(P1="物理",P1="生物",P1="化學",P1="組合科學(物理、化學)",P1="組合科學(物理、生物)",P1="組合科學(生物、化學)",P1="綜合科學"),P6*2,IF(OR(P1="經濟",P1="地理",P1="科技與生活",P1="資訊與通訊科技"),P6*1.5,0))</f>
        <v>0</v>
      </c>
      <c r="AX178" s="401">
        <f>IF(OR(Q1="物理",Q1="生物",Q1="化學",Q1="組合科學(物理、化學)",Q1="組合科學(物理、生物)",Q1="組合科學(生物、化學)",Q1="綜合科學"),Q6*2,IF(OR(Q1="經濟",Q1="地理",Q1="科技與生活",Q1="資訊與通訊科技"),Q6*1.5,0))</f>
        <v>0</v>
      </c>
      <c r="AY178" s="401">
        <f>0</f>
        <v>0</v>
      </c>
      <c r="AZ178" s="548"/>
      <c r="BA178" s="401"/>
      <c r="BB178" s="344"/>
      <c r="BC178" s="344"/>
      <c r="BD178" s="344"/>
      <c r="BE178" s="344"/>
      <c r="BF178" s="344"/>
    </row>
    <row r="179" spans="1:58" x14ac:dyDescent="0.3">
      <c r="A179" s="406" t="str">
        <f>'Reference Score Calculation'!A158</f>
        <v>JS4240</v>
      </c>
      <c r="B179" s="406" t="str">
        <f>'Reference Score Calculation'!D158</f>
        <v>專業會計學</v>
      </c>
      <c r="C179" s="406"/>
      <c r="D179" s="406" t="str">
        <f>'Reference Score Calculation'!E158</f>
        <v>Best 5</v>
      </c>
      <c r="E179" s="418" t="str">
        <f>入學要求!T167</f>
        <v>v</v>
      </c>
      <c r="F179" s="418" t="str">
        <f>入學要求!U167</f>
        <v>E</v>
      </c>
      <c r="G179" s="418" t="str">
        <f>入學要求!V167</f>
        <v>NO</v>
      </c>
      <c r="H179" s="406">
        <f>IF($U$15=TRUE,SUMIF(AD179:AM179,TRUE,T179:AC179)*0.95,SUMIF(AD179:AM179,TRUE,T179:AC179))</f>
        <v>3.9500000000000006E-9</v>
      </c>
      <c r="I179" s="406">
        <v>1</v>
      </c>
      <c r="J179" s="406">
        <v>1</v>
      </c>
      <c r="K179" s="406">
        <v>1</v>
      </c>
      <c r="L179" s="406">
        <v>1</v>
      </c>
      <c r="M179" s="406">
        <v>1</v>
      </c>
      <c r="N179" s="406">
        <v>1</v>
      </c>
      <c r="O179" s="406">
        <v>1</v>
      </c>
      <c r="P179" s="406">
        <v>1</v>
      </c>
      <c r="Q179" s="406">
        <v>1</v>
      </c>
      <c r="R179" s="406">
        <v>1</v>
      </c>
      <c r="S179" s="418"/>
      <c r="T179" s="405">
        <f t="shared" si="165"/>
        <v>1E-10</v>
      </c>
      <c r="U179" s="405">
        <f t="shared" si="166"/>
        <v>2.0000000000000001E-10</v>
      </c>
      <c r="V179" s="405">
        <f t="shared" si="167"/>
        <v>3E-10</v>
      </c>
      <c r="W179" s="405">
        <f t="shared" si="168"/>
        <v>4.0000000000000001E-10</v>
      </c>
      <c r="X179" s="405">
        <f t="shared" si="169"/>
        <v>5.0000000000000003E-10</v>
      </c>
      <c r="Y179" s="405">
        <f t="shared" si="170"/>
        <v>6E-10</v>
      </c>
      <c r="Z179" s="405">
        <f t="shared" si="171"/>
        <v>6.9999999999999996E-10</v>
      </c>
      <c r="AA179" s="405">
        <f t="shared" si="172"/>
        <v>8.0000000000000003E-10</v>
      </c>
      <c r="AB179" s="405">
        <f t="shared" si="173"/>
        <v>8.9999999999999999E-10</v>
      </c>
      <c r="AC179" s="405">
        <f t="shared" si="174"/>
        <v>9.5000000000000003E-10</v>
      </c>
      <c r="AD179" s="405" t="b">
        <f t="shared" si="175"/>
        <v>0</v>
      </c>
      <c r="AE179" s="405" t="b">
        <f t="shared" si="176"/>
        <v>0</v>
      </c>
      <c r="AF179" s="405" t="b">
        <f t="shared" si="177"/>
        <v>0</v>
      </c>
      <c r="AG179" s="405" t="b">
        <f t="shared" si="178"/>
        <v>0</v>
      </c>
      <c r="AH179" s="405" t="b">
        <f t="shared" si="179"/>
        <v>0</v>
      </c>
      <c r="AI179" s="405" t="b">
        <f t="shared" si="180"/>
        <v>1</v>
      </c>
      <c r="AJ179" s="405" t="b">
        <f t="shared" si="181"/>
        <v>1</v>
      </c>
      <c r="AK179" s="405" t="b">
        <f t="shared" si="182"/>
        <v>1</v>
      </c>
      <c r="AL179" s="405" t="b">
        <f t="shared" si="183"/>
        <v>1</v>
      </c>
      <c r="AM179" s="405" t="b">
        <f t="shared" si="184"/>
        <v>1</v>
      </c>
      <c r="AN179" s="405" t="str">
        <f>INDEX('Retake 扣分'!$H$13:$H$29,MATCH(A179,'Retake 扣分'!$A$13:$A$29,0))</f>
        <v>5%或更少</v>
      </c>
      <c r="AO179" s="546"/>
      <c r="AP179" s="556"/>
      <c r="AQ179" s="556"/>
      <c r="AR179" s="556"/>
      <c r="AS179" s="556"/>
      <c r="AT179" s="556"/>
      <c r="AU179" s="556"/>
      <c r="AV179" s="556"/>
      <c r="AW179" s="556"/>
      <c r="AX179" s="556"/>
      <c r="AY179" s="556"/>
      <c r="AZ179" s="548"/>
      <c r="BA179" s="401"/>
      <c r="BB179" s="344"/>
      <c r="BC179" s="344"/>
      <c r="BD179" s="344"/>
      <c r="BE179" s="344"/>
      <c r="BF179" s="344"/>
    </row>
    <row r="180" spans="1:58" s="405" customFormat="1" x14ac:dyDescent="0.3">
      <c r="A180" s="406" t="str">
        <f>'Reference Score Calculation'!A159</f>
        <v>JS4252</v>
      </c>
      <c r="B180" s="406" t="str">
        <f>'Reference Score Calculation'!D159</f>
        <v>計量金融學</v>
      </c>
      <c r="C180" s="406"/>
      <c r="D180" s="406" t="str">
        <f>'Reference Score Calculation'!E159</f>
        <v>Best 5</v>
      </c>
      <c r="E180" s="418" t="str">
        <f>入學要求!T168</f>
        <v>v</v>
      </c>
      <c r="F180" s="418" t="str">
        <f>入學要求!U168</f>
        <v>E</v>
      </c>
      <c r="G180" s="418" t="str">
        <f>入學要求!V168</f>
        <v>NO</v>
      </c>
      <c r="H180" s="406">
        <f>IF($U$15=TRUE,SUMIF(AD180:AM180,TRUE,T180:AC180)*0.95,SUMIF(AD180:AM180,TRUE,T180:AC180))</f>
        <v>4.1000000000000003E-9</v>
      </c>
      <c r="I180" s="406">
        <v>1</v>
      </c>
      <c r="J180" s="406">
        <v>2</v>
      </c>
      <c r="K180" s="406">
        <v>2</v>
      </c>
      <c r="L180" s="406">
        <v>1</v>
      </c>
      <c r="M180" s="406">
        <f>IF(M$1=$AW$171,1.5,1)</f>
        <v>1.5</v>
      </c>
      <c r="N180" s="406">
        <f>IF(N$1=$AW$171,1.5,1)</f>
        <v>1</v>
      </c>
      <c r="O180" s="406">
        <f>IF(O$1=$AW$171,1.5,1)</f>
        <v>1</v>
      </c>
      <c r="P180" s="406">
        <f>IF(P$1=$AW$171,1.5,1)</f>
        <v>1</v>
      </c>
      <c r="Q180" s="406">
        <f>IF(Q$1=$AW$171,1.5,1)</f>
        <v>1</v>
      </c>
      <c r="R180" s="406">
        <v>1</v>
      </c>
      <c r="S180" s="418"/>
      <c r="T180" s="405">
        <f t="shared" si="165"/>
        <v>1E-10</v>
      </c>
      <c r="U180" s="405">
        <f t="shared" si="166"/>
        <v>4.0000000000000001E-10</v>
      </c>
      <c r="V180" s="405">
        <f t="shared" si="167"/>
        <v>6E-10</v>
      </c>
      <c r="W180" s="405">
        <f t="shared" si="168"/>
        <v>4.0000000000000001E-10</v>
      </c>
      <c r="X180" s="405">
        <f t="shared" si="169"/>
        <v>7.500000000000001E-10</v>
      </c>
      <c r="Y180" s="405">
        <f t="shared" si="170"/>
        <v>6E-10</v>
      </c>
      <c r="Z180" s="405">
        <f t="shared" si="171"/>
        <v>6.9999999999999996E-10</v>
      </c>
      <c r="AA180" s="405">
        <f t="shared" si="172"/>
        <v>8.0000000000000003E-10</v>
      </c>
      <c r="AB180" s="405">
        <f t="shared" si="173"/>
        <v>8.9999999999999999E-10</v>
      </c>
      <c r="AC180" s="405">
        <f t="shared" si="174"/>
        <v>9.5000000000000003E-10</v>
      </c>
      <c r="AD180" s="405" t="b">
        <f t="shared" si="175"/>
        <v>0</v>
      </c>
      <c r="AE180" s="405" t="b">
        <f t="shared" si="176"/>
        <v>0</v>
      </c>
      <c r="AF180" s="405" t="b">
        <f t="shared" si="177"/>
        <v>0</v>
      </c>
      <c r="AG180" s="405" t="b">
        <f t="shared" si="178"/>
        <v>0</v>
      </c>
      <c r="AH180" s="405" t="b">
        <f t="shared" si="179"/>
        <v>1</v>
      </c>
      <c r="AI180" s="405" t="b">
        <f t="shared" si="180"/>
        <v>0</v>
      </c>
      <c r="AJ180" s="405" t="b">
        <f t="shared" si="181"/>
        <v>1</v>
      </c>
      <c r="AK180" s="405" t="b">
        <f t="shared" si="182"/>
        <v>1</v>
      </c>
      <c r="AL180" s="405" t="b">
        <f t="shared" si="183"/>
        <v>1</v>
      </c>
      <c r="AM180" s="405" t="b">
        <f t="shared" si="184"/>
        <v>1</v>
      </c>
      <c r="AN180" s="405" t="str">
        <f>INDEX('Retake 扣分'!$H$13:$H$29,MATCH(A180,'Retake 扣分'!$A$13:$A$29,0))</f>
        <v>5%或更少</v>
      </c>
      <c r="AO180" s="546"/>
      <c r="AP180" s="547"/>
      <c r="AQ180" s="547"/>
      <c r="AR180" s="547"/>
      <c r="AS180" s="547"/>
      <c r="AT180" s="547"/>
      <c r="AU180" s="547"/>
      <c r="AV180" s="547"/>
      <c r="AW180" s="547"/>
      <c r="AX180" s="548"/>
      <c r="AY180" s="548"/>
      <c r="AZ180" s="548"/>
      <c r="BA180" s="401"/>
      <c r="BB180" s="371"/>
      <c r="BC180" s="371"/>
      <c r="BD180" s="371"/>
      <c r="BE180" s="371"/>
      <c r="BF180" s="371"/>
    </row>
    <row r="181" spans="1:58" s="401" customFormat="1" x14ac:dyDescent="0.3">
      <c r="A181" s="544" t="str">
        <f>'Reference Score Calculation'!A160</f>
        <v>JS4254</v>
      </c>
      <c r="B181" s="544" t="str">
        <f>'Reference Score Calculation'!D160</f>
        <v>環球經濟與金融跨學科主修課程</v>
      </c>
      <c r="C181" s="544"/>
      <c r="D181" s="544" t="str">
        <f>'Reference Score Calculation'!E160</f>
        <v>Best 5</v>
      </c>
      <c r="E181" s="545" t="str">
        <f>入學要求!T169</f>
        <v>v</v>
      </c>
      <c r="F181" s="545" t="str">
        <f>入學要求!U169</f>
        <v>E</v>
      </c>
      <c r="G181" s="545" t="str">
        <f>入學要求!V169</f>
        <v>NO</v>
      </c>
      <c r="H181" s="544">
        <f t="shared" si="164"/>
        <v>3.9500000000000006E-9</v>
      </c>
      <c r="I181" s="544">
        <v>1</v>
      </c>
      <c r="J181" s="544">
        <v>1</v>
      </c>
      <c r="K181" s="544">
        <v>1</v>
      </c>
      <c r="L181" s="544">
        <v>1</v>
      </c>
      <c r="M181" s="544">
        <v>1</v>
      </c>
      <c r="N181" s="544">
        <v>1</v>
      </c>
      <c r="O181" s="544">
        <v>1</v>
      </c>
      <c r="P181" s="544">
        <v>1</v>
      </c>
      <c r="Q181" s="544">
        <v>1</v>
      </c>
      <c r="R181" s="544">
        <v>1</v>
      </c>
      <c r="S181" s="545"/>
      <c r="T181" s="401">
        <f t="shared" si="165"/>
        <v>1E-10</v>
      </c>
      <c r="U181" s="401">
        <f t="shared" si="166"/>
        <v>2.0000000000000001E-10</v>
      </c>
      <c r="V181" s="401">
        <f t="shared" si="167"/>
        <v>3E-10</v>
      </c>
      <c r="W181" s="401">
        <f t="shared" si="168"/>
        <v>4.0000000000000001E-10</v>
      </c>
      <c r="X181" s="401">
        <f t="shared" si="169"/>
        <v>5.0000000000000003E-10</v>
      </c>
      <c r="Y181" s="401">
        <f t="shared" si="170"/>
        <v>6E-10</v>
      </c>
      <c r="Z181" s="401">
        <f t="shared" si="171"/>
        <v>6.9999999999999996E-10</v>
      </c>
      <c r="AA181" s="401">
        <f t="shared" si="172"/>
        <v>8.0000000000000003E-10</v>
      </c>
      <c r="AB181" s="401">
        <f t="shared" si="173"/>
        <v>8.9999999999999999E-10</v>
      </c>
      <c r="AC181" s="401">
        <f t="shared" si="174"/>
        <v>9.5000000000000003E-10</v>
      </c>
      <c r="AD181" s="401" t="b">
        <f t="shared" si="175"/>
        <v>0</v>
      </c>
      <c r="AE181" s="401" t="b">
        <f t="shared" si="176"/>
        <v>0</v>
      </c>
      <c r="AF181" s="401" t="b">
        <f t="shared" si="177"/>
        <v>0</v>
      </c>
      <c r="AG181" s="401" t="b">
        <f t="shared" si="178"/>
        <v>0</v>
      </c>
      <c r="AH181" s="401" t="b">
        <f t="shared" si="179"/>
        <v>0</v>
      </c>
      <c r="AI181" s="401" t="b">
        <f t="shared" si="180"/>
        <v>1</v>
      </c>
      <c r="AJ181" s="401" t="b">
        <f t="shared" si="181"/>
        <v>1</v>
      </c>
      <c r="AK181" s="401" t="b">
        <f t="shared" si="182"/>
        <v>1</v>
      </c>
      <c r="AL181" s="401" t="b">
        <f t="shared" si="183"/>
        <v>1</v>
      </c>
      <c r="AM181" s="401" t="b">
        <f t="shared" si="184"/>
        <v>1</v>
      </c>
      <c r="AN181" s="391"/>
      <c r="AO181" s="546"/>
      <c r="AP181" s="547"/>
      <c r="AQ181" s="547"/>
      <c r="AR181" s="547"/>
      <c r="AS181" s="547"/>
      <c r="AT181" s="547"/>
      <c r="AU181" s="547"/>
      <c r="AV181" s="547"/>
      <c r="AW181" s="547"/>
      <c r="AX181" s="548"/>
      <c r="AY181" s="548"/>
      <c r="AZ181" s="548"/>
      <c r="BB181" s="381"/>
      <c r="BC181" s="381"/>
      <c r="BD181" s="381"/>
      <c r="BE181" s="381"/>
      <c r="BF181" s="381"/>
    </row>
    <row r="182" spans="1:58" s="405" customFormat="1" x14ac:dyDescent="0.3">
      <c r="A182" s="406" t="str">
        <f>'Reference Score Calculation'!A161</f>
        <v>JS4264</v>
      </c>
      <c r="B182" s="406" t="str">
        <f>'Reference Score Calculation'!D161</f>
        <v>工商管理學士（工商管理學士綜合課程）及法律博士雙學位課程</v>
      </c>
      <c r="C182" s="406"/>
      <c r="D182" s="406" t="str">
        <f>'Reference Score Calculation'!E161</f>
        <v>4C2X</v>
      </c>
      <c r="E182" s="418" t="str">
        <f>入學要求!T170</f>
        <v>v</v>
      </c>
      <c r="F182" s="418" t="str">
        <f>入學要求!U170</f>
        <v>E</v>
      </c>
      <c r="G182" s="418" t="str">
        <f>入學要求!V170</f>
        <v>NO</v>
      </c>
      <c r="H182" s="406">
        <f>IF($U$15=TRUE,SUMIF(AD182:AM182,TRUE,T182:AC182)*0.95,SUMIF(AD182:AM182,TRUE,T182:AC182))</f>
        <v>3.4999999999999999E-9</v>
      </c>
      <c r="I182" s="406">
        <v>1.5</v>
      </c>
      <c r="J182" s="406">
        <v>2</v>
      </c>
      <c r="K182" s="406">
        <v>1</v>
      </c>
      <c r="L182" s="406">
        <v>2</v>
      </c>
      <c r="M182" s="406">
        <v>1</v>
      </c>
      <c r="N182" s="406">
        <v>1</v>
      </c>
      <c r="O182" s="406">
        <v>1</v>
      </c>
      <c r="P182" s="406">
        <v>1</v>
      </c>
      <c r="Q182" s="406">
        <v>1</v>
      </c>
      <c r="R182" s="406">
        <v>1</v>
      </c>
      <c r="S182" s="418"/>
      <c r="T182" s="405">
        <f t="shared" si="165"/>
        <v>1.5E-10</v>
      </c>
      <c r="U182" s="405">
        <f t="shared" si="166"/>
        <v>4.0000000000000001E-10</v>
      </c>
      <c r="V182" s="405">
        <f t="shared" si="167"/>
        <v>3E-10</v>
      </c>
      <c r="W182" s="405">
        <f t="shared" si="168"/>
        <v>8.0000000000000003E-10</v>
      </c>
      <c r="X182" s="405">
        <f t="shared" si="169"/>
        <v>5.0000000000000003E-10</v>
      </c>
      <c r="Y182" s="405">
        <f t="shared" si="170"/>
        <v>6E-10</v>
      </c>
      <c r="Z182" s="405">
        <f t="shared" si="171"/>
        <v>6.9999999999999996E-10</v>
      </c>
      <c r="AA182" s="405">
        <f t="shared" si="172"/>
        <v>8.0000000000000003E-10</v>
      </c>
      <c r="AB182" s="405">
        <f t="shared" si="173"/>
        <v>8.9999999999999999E-10</v>
      </c>
      <c r="AC182" s="405">
        <f t="shared" si="174"/>
        <v>9.5000000000000003E-10</v>
      </c>
      <c r="AD182" s="405" t="b">
        <f t="shared" si="175"/>
        <v>1</v>
      </c>
      <c r="AE182" s="405" t="b">
        <f t="shared" si="176"/>
        <v>1</v>
      </c>
      <c r="AF182" s="405" t="b">
        <f t="shared" si="177"/>
        <v>1</v>
      </c>
      <c r="AG182" s="405" t="b">
        <f t="shared" si="178"/>
        <v>1</v>
      </c>
      <c r="AH182" s="405" t="b">
        <f t="shared" si="179"/>
        <v>0</v>
      </c>
      <c r="AI182" s="405" t="b">
        <f t="shared" si="180"/>
        <v>0</v>
      </c>
      <c r="AJ182" s="405" t="b">
        <f t="shared" si="181"/>
        <v>0</v>
      </c>
      <c r="AK182" s="405" t="b">
        <f t="shared" si="182"/>
        <v>0</v>
      </c>
      <c r="AL182" s="405" t="b">
        <f t="shared" si="183"/>
        <v>1</v>
      </c>
      <c r="AM182" s="405" t="b">
        <f t="shared" si="184"/>
        <v>1</v>
      </c>
      <c r="AN182" s="405" t="str">
        <f>INDEX('Retake 扣分'!$H$13:$H$29,MATCH(A182,'Retake 扣分'!$A$13:$A$29,0))</f>
        <v>5%或更少</v>
      </c>
      <c r="AO182" s="546"/>
      <c r="AP182" s="547"/>
      <c r="AQ182" s="547"/>
      <c r="AR182" s="547"/>
      <c r="AS182" s="547"/>
      <c r="AT182" s="547"/>
      <c r="AU182" s="547"/>
      <c r="AV182" s="547"/>
      <c r="AW182" s="547"/>
      <c r="AX182" s="548"/>
      <c r="AY182" s="548"/>
      <c r="AZ182" s="548"/>
      <c r="BA182" s="401"/>
      <c r="BB182" s="371"/>
      <c r="BC182" s="371"/>
      <c r="BD182" s="371"/>
      <c r="BE182" s="371"/>
      <c r="BF182" s="371"/>
    </row>
    <row r="183" spans="1:58" s="401" customFormat="1" x14ac:dyDescent="0.3">
      <c r="A183" s="544" t="str">
        <f>'Reference Score Calculation'!A162</f>
        <v>JS4276</v>
      </c>
      <c r="B183" s="544" t="str">
        <f>'Reference Score Calculation'!D162</f>
        <v>計量金融學及風險管理科學</v>
      </c>
      <c r="C183" s="544"/>
      <c r="D183" s="544" t="str">
        <f>'Reference Score Calculation'!E162</f>
        <v>Best 5</v>
      </c>
      <c r="E183" s="545" t="str">
        <f>入學要求!T171</f>
        <v>v</v>
      </c>
      <c r="F183" s="545" t="str">
        <f>入學要求!U171</f>
        <v>E</v>
      </c>
      <c r="G183" s="545" t="str">
        <f>入學要求!V171</f>
        <v>NO</v>
      </c>
      <c r="H183" s="544">
        <f t="shared" si="164"/>
        <v>4.1000000000000003E-9</v>
      </c>
      <c r="I183" s="544">
        <v>1</v>
      </c>
      <c r="J183" s="544">
        <v>2</v>
      </c>
      <c r="K183" s="544">
        <v>2</v>
      </c>
      <c r="L183" s="544">
        <v>1</v>
      </c>
      <c r="M183" s="544">
        <f>IF(M$1=$AW$171,1.5,1)</f>
        <v>1.5</v>
      </c>
      <c r="N183" s="544">
        <f>IF(N$1=$AW$171,1.5,1)</f>
        <v>1</v>
      </c>
      <c r="O183" s="544">
        <f>IF(O$1=$AW$171,1.5,1)</f>
        <v>1</v>
      </c>
      <c r="P183" s="544">
        <f>IF(P$1=$AW$171,1.5,1)</f>
        <v>1</v>
      </c>
      <c r="Q183" s="544">
        <f>IF(Q$1=$AW$171,1.5,1)</f>
        <v>1</v>
      </c>
      <c r="R183" s="544">
        <v>1</v>
      </c>
      <c r="S183" s="545"/>
      <c r="T183" s="401">
        <f t="shared" si="165"/>
        <v>1E-10</v>
      </c>
      <c r="U183" s="401">
        <f t="shared" si="166"/>
        <v>4.0000000000000001E-10</v>
      </c>
      <c r="V183" s="401">
        <f t="shared" si="167"/>
        <v>6E-10</v>
      </c>
      <c r="W183" s="401">
        <f t="shared" si="168"/>
        <v>4.0000000000000001E-10</v>
      </c>
      <c r="X183" s="401">
        <f t="shared" si="169"/>
        <v>7.500000000000001E-10</v>
      </c>
      <c r="Y183" s="401">
        <f t="shared" si="170"/>
        <v>6E-10</v>
      </c>
      <c r="Z183" s="401">
        <f t="shared" si="171"/>
        <v>6.9999999999999996E-10</v>
      </c>
      <c r="AA183" s="401">
        <f t="shared" si="172"/>
        <v>8.0000000000000003E-10</v>
      </c>
      <c r="AB183" s="401">
        <f t="shared" si="173"/>
        <v>8.9999999999999999E-10</v>
      </c>
      <c r="AC183" s="401">
        <f t="shared" si="174"/>
        <v>9.5000000000000003E-10</v>
      </c>
      <c r="AD183" s="401" t="b">
        <f t="shared" si="175"/>
        <v>0</v>
      </c>
      <c r="AE183" s="401" t="b">
        <f t="shared" si="176"/>
        <v>0</v>
      </c>
      <c r="AF183" s="401" t="b">
        <f t="shared" si="177"/>
        <v>0</v>
      </c>
      <c r="AG183" s="401" t="b">
        <f t="shared" si="178"/>
        <v>0</v>
      </c>
      <c r="AH183" s="401" t="b">
        <f t="shared" si="179"/>
        <v>1</v>
      </c>
      <c r="AI183" s="401" t="b">
        <f t="shared" si="180"/>
        <v>0</v>
      </c>
      <c r="AJ183" s="401" t="b">
        <f t="shared" si="181"/>
        <v>1</v>
      </c>
      <c r="AK183" s="401" t="b">
        <f t="shared" si="182"/>
        <v>1</v>
      </c>
      <c r="AL183" s="401" t="b">
        <f t="shared" si="183"/>
        <v>1</v>
      </c>
      <c r="AM183" s="401" t="b">
        <f t="shared" si="184"/>
        <v>1</v>
      </c>
      <c r="AN183" s="391"/>
      <c r="AO183" s="546"/>
      <c r="AP183" s="547"/>
      <c r="AQ183" s="547"/>
      <c r="AR183" s="547"/>
      <c r="AS183" s="547"/>
      <c r="AT183" s="547"/>
      <c r="AU183" s="547"/>
      <c r="AV183" s="547"/>
      <c r="AW183" s="547"/>
      <c r="AX183" s="548"/>
      <c r="AY183" s="548"/>
      <c r="AZ183" s="548"/>
      <c r="BB183" s="381"/>
      <c r="BC183" s="381"/>
      <c r="BD183" s="381"/>
      <c r="BE183" s="381"/>
      <c r="BF183" s="381"/>
    </row>
    <row r="184" spans="1:58" s="405" customFormat="1" x14ac:dyDescent="0.3">
      <c r="A184" s="406" t="str">
        <f>'Reference Score Calculation'!A163</f>
        <v>JS4329</v>
      </c>
      <c r="B184" s="406" t="str">
        <f>'Reference Score Calculation'!D163</f>
        <v>健康與體育運動科學</v>
      </c>
      <c r="C184" s="406"/>
      <c r="D184" s="406" t="str">
        <f>'Reference Score Calculation'!E163</f>
        <v>Best 5</v>
      </c>
      <c r="E184" s="418" t="str">
        <f>入學要求!T172</f>
        <v>v</v>
      </c>
      <c r="F184" s="418" t="str">
        <f>入學要求!U172</f>
        <v>E</v>
      </c>
      <c r="G184" s="418" t="str">
        <f>入學要求!V172</f>
        <v>NO</v>
      </c>
      <c r="H184" s="406">
        <f>IF($U$15=TRUE,SUMIF(AD184:AM184,TRUE,T184:AC184)*0.95,SUMIF(AD184:AM184,TRUE,T184:AC184))</f>
        <v>3.9500000000000006E-9</v>
      </c>
      <c r="I184" s="406">
        <v>1</v>
      </c>
      <c r="J184" s="406">
        <v>1</v>
      </c>
      <c r="K184" s="406">
        <v>1</v>
      </c>
      <c r="L184" s="406">
        <v>1</v>
      </c>
      <c r="M184" s="406">
        <v>1</v>
      </c>
      <c r="N184" s="406">
        <v>1</v>
      </c>
      <c r="O184" s="406">
        <v>1</v>
      </c>
      <c r="P184" s="406">
        <v>1</v>
      </c>
      <c r="Q184" s="406">
        <v>1</v>
      </c>
      <c r="R184" s="406">
        <v>1</v>
      </c>
      <c r="S184" s="418"/>
      <c r="T184" s="405">
        <f t="shared" si="165"/>
        <v>1E-10</v>
      </c>
      <c r="U184" s="405">
        <f t="shared" si="166"/>
        <v>2.0000000000000001E-10</v>
      </c>
      <c r="V184" s="405">
        <f t="shared" si="167"/>
        <v>3E-10</v>
      </c>
      <c r="W184" s="405">
        <f t="shared" si="168"/>
        <v>4.0000000000000001E-10</v>
      </c>
      <c r="X184" s="405">
        <f t="shared" si="169"/>
        <v>5.0000000000000003E-10</v>
      </c>
      <c r="Y184" s="405">
        <f t="shared" si="170"/>
        <v>6E-10</v>
      </c>
      <c r="Z184" s="405">
        <f t="shared" si="171"/>
        <v>6.9999999999999996E-10</v>
      </c>
      <c r="AA184" s="405">
        <f t="shared" si="172"/>
        <v>8.0000000000000003E-10</v>
      </c>
      <c r="AB184" s="405">
        <f t="shared" si="173"/>
        <v>8.9999999999999999E-10</v>
      </c>
      <c r="AC184" s="405">
        <f t="shared" si="174"/>
        <v>9.5000000000000003E-10</v>
      </c>
      <c r="AD184" s="405" t="b">
        <f t="shared" si="175"/>
        <v>0</v>
      </c>
      <c r="AE184" s="405" t="b">
        <f t="shared" si="176"/>
        <v>0</v>
      </c>
      <c r="AF184" s="405" t="b">
        <f t="shared" si="177"/>
        <v>0</v>
      </c>
      <c r="AG184" s="405" t="b">
        <f t="shared" si="178"/>
        <v>0</v>
      </c>
      <c r="AH184" s="405" t="b">
        <f t="shared" si="179"/>
        <v>0</v>
      </c>
      <c r="AI184" s="405" t="b">
        <f t="shared" si="180"/>
        <v>1</v>
      </c>
      <c r="AJ184" s="405" t="b">
        <f t="shared" si="181"/>
        <v>1</v>
      </c>
      <c r="AK184" s="405" t="b">
        <f t="shared" si="182"/>
        <v>1</v>
      </c>
      <c r="AL184" s="405" t="b">
        <f t="shared" si="183"/>
        <v>1</v>
      </c>
      <c r="AM184" s="405" t="b">
        <f t="shared" si="184"/>
        <v>1</v>
      </c>
      <c r="AN184" s="405" t="str">
        <f>INDEX('Retake 扣分'!$H$13:$H$29,MATCH(A184,'Retake 扣分'!$A$13:$A$29,0))</f>
        <v>5%或更少</v>
      </c>
      <c r="AO184" s="546"/>
      <c r="AP184" s="547"/>
      <c r="AQ184" s="547"/>
      <c r="AR184" s="547"/>
      <c r="AS184" s="547"/>
      <c r="AT184" s="547"/>
      <c r="AU184" s="547"/>
      <c r="AV184" s="547"/>
      <c r="AW184" s="547"/>
      <c r="AX184" s="548"/>
      <c r="AY184" s="548"/>
      <c r="AZ184" s="548"/>
      <c r="BA184" s="401"/>
      <c r="BB184" s="371"/>
      <c r="BC184" s="371"/>
      <c r="BD184" s="371"/>
      <c r="BE184" s="371"/>
      <c r="BF184" s="371"/>
    </row>
    <row r="185" spans="1:58" s="405" customFormat="1" x14ac:dyDescent="0.3">
      <c r="A185" s="406" t="str">
        <f>'Reference Score Calculation'!A164</f>
        <v>JS4331</v>
      </c>
      <c r="B185" s="406" t="str">
        <f>'Reference Score Calculation'!D164</f>
        <v>文學士 (中國語文研究) 及教育學士 (中國語文教育)</v>
      </c>
      <c r="C185" s="406"/>
      <c r="D185" s="406" t="str">
        <f>'Reference Score Calculation'!E164</f>
        <v>Best 5</v>
      </c>
      <c r="E185" s="418" t="str">
        <f>入學要求!T173</f>
        <v>v</v>
      </c>
      <c r="F185" s="418" t="str">
        <f>入學要求!U173</f>
        <v>E</v>
      </c>
      <c r="G185" s="418" t="str">
        <f>入學要求!V173</f>
        <v>NO</v>
      </c>
      <c r="H185" s="406">
        <f>IF($U$15=TRUE,SUMIF(AD185:AM185,TRUE,T185:AC185)*0.95,SUMIF(AD185:AM185,TRUE,T185:AC185))</f>
        <v>3.9500000000000006E-9</v>
      </c>
      <c r="I185" s="406">
        <v>1.5</v>
      </c>
      <c r="J185" s="406">
        <v>1</v>
      </c>
      <c r="K185" s="406">
        <v>1</v>
      </c>
      <c r="L185" s="406">
        <v>1</v>
      </c>
      <c r="M185" s="406">
        <v>1</v>
      </c>
      <c r="N185" s="406">
        <v>1</v>
      </c>
      <c r="O185" s="406">
        <v>1</v>
      </c>
      <c r="P185" s="406">
        <v>1</v>
      </c>
      <c r="Q185" s="406">
        <v>1</v>
      </c>
      <c r="R185" s="406">
        <v>1</v>
      </c>
      <c r="S185" s="418"/>
      <c r="T185" s="405">
        <f t="shared" si="165"/>
        <v>1.5E-10</v>
      </c>
      <c r="U185" s="405">
        <f t="shared" si="166"/>
        <v>2.0000000000000001E-10</v>
      </c>
      <c r="V185" s="405">
        <f t="shared" si="167"/>
        <v>3E-10</v>
      </c>
      <c r="W185" s="405">
        <f t="shared" si="168"/>
        <v>4.0000000000000001E-10</v>
      </c>
      <c r="X185" s="405">
        <f t="shared" si="169"/>
        <v>5.0000000000000003E-10</v>
      </c>
      <c r="Y185" s="405">
        <f t="shared" si="170"/>
        <v>6E-10</v>
      </c>
      <c r="Z185" s="405">
        <f t="shared" si="171"/>
        <v>6.9999999999999996E-10</v>
      </c>
      <c r="AA185" s="405">
        <f t="shared" si="172"/>
        <v>8.0000000000000003E-10</v>
      </c>
      <c r="AB185" s="405">
        <f t="shared" si="173"/>
        <v>8.9999999999999999E-10</v>
      </c>
      <c r="AC185" s="405">
        <f t="shared" si="174"/>
        <v>9.5000000000000003E-10</v>
      </c>
      <c r="AD185" s="405" t="b">
        <f t="shared" si="175"/>
        <v>0</v>
      </c>
      <c r="AE185" s="405" t="b">
        <f t="shared" si="176"/>
        <v>0</v>
      </c>
      <c r="AF185" s="405" t="b">
        <f t="shared" si="177"/>
        <v>0</v>
      </c>
      <c r="AG185" s="405" t="b">
        <f t="shared" si="178"/>
        <v>0</v>
      </c>
      <c r="AH185" s="405" t="b">
        <f t="shared" si="179"/>
        <v>0</v>
      </c>
      <c r="AI185" s="405" t="b">
        <f t="shared" si="180"/>
        <v>1</v>
      </c>
      <c r="AJ185" s="405" t="b">
        <f t="shared" si="181"/>
        <v>1</v>
      </c>
      <c r="AK185" s="405" t="b">
        <f t="shared" si="182"/>
        <v>1</v>
      </c>
      <c r="AL185" s="405" t="b">
        <f t="shared" si="183"/>
        <v>1</v>
      </c>
      <c r="AM185" s="405" t="b">
        <f t="shared" si="184"/>
        <v>1</v>
      </c>
      <c r="AN185" s="405" t="str">
        <f>INDEX('Retake 扣分'!$H$13:$H$29,MATCH(A185,'Retake 扣分'!$A$13:$A$29,0))</f>
        <v>5%或更少</v>
      </c>
      <c r="AO185" s="546"/>
      <c r="AP185" s="547"/>
      <c r="AQ185" s="547"/>
      <c r="AR185" s="547"/>
      <c r="AS185" s="547"/>
      <c r="AT185" s="547"/>
      <c r="AU185" s="547"/>
      <c r="AV185" s="547"/>
      <c r="AW185" s="547"/>
      <c r="AX185" s="548"/>
      <c r="AY185" s="548"/>
      <c r="AZ185" s="548"/>
      <c r="BA185" s="401"/>
      <c r="BB185" s="371"/>
      <c r="BC185" s="371"/>
      <c r="BD185" s="371"/>
      <c r="BE185" s="371"/>
      <c r="BF185" s="371"/>
    </row>
    <row r="186" spans="1:58" s="405" customFormat="1" x14ac:dyDescent="0.3">
      <c r="A186" s="406" t="str">
        <f>'Reference Score Calculation'!A165</f>
        <v>JS4343</v>
      </c>
      <c r="B186" s="406" t="str">
        <f>'Reference Score Calculation'!D165</f>
        <v>文學士(英國語文研究)及教育學士(英國語文教育)</v>
      </c>
      <c r="C186" s="406"/>
      <c r="D186" s="406" t="str">
        <f>'Reference Score Calculation'!E165</f>
        <v>Best 5</v>
      </c>
      <c r="E186" s="418" t="str">
        <f>入學要求!T174</f>
        <v>v</v>
      </c>
      <c r="F186" s="418" t="str">
        <f>入學要求!U174</f>
        <v>E</v>
      </c>
      <c r="G186" s="418" t="str">
        <f>入學要求!V174</f>
        <v>NO</v>
      </c>
      <c r="H186" s="406">
        <f>IF($U$15=TRUE,SUMIF(AD186:AM186,TRUE,T186:AC186)*0.95,SUMIF(AD186:AM186,TRUE,T186:AC186))</f>
        <v>3.9500000000000006E-9</v>
      </c>
      <c r="I186" s="406">
        <v>1</v>
      </c>
      <c r="J186" s="406">
        <v>1.5</v>
      </c>
      <c r="K186" s="406">
        <v>1</v>
      </c>
      <c r="L186" s="406">
        <v>1</v>
      </c>
      <c r="M186" s="406">
        <v>1</v>
      </c>
      <c r="N186" s="406">
        <v>1</v>
      </c>
      <c r="O186" s="406">
        <v>1</v>
      </c>
      <c r="P186" s="406">
        <v>1</v>
      </c>
      <c r="Q186" s="406">
        <v>1</v>
      </c>
      <c r="R186" s="406">
        <v>1</v>
      </c>
      <c r="S186" s="418"/>
      <c r="T186" s="405">
        <f t="shared" si="165"/>
        <v>1E-10</v>
      </c>
      <c r="U186" s="405">
        <f t="shared" si="166"/>
        <v>3E-10</v>
      </c>
      <c r="V186" s="405">
        <f t="shared" si="167"/>
        <v>3E-10</v>
      </c>
      <c r="W186" s="405">
        <f t="shared" si="168"/>
        <v>4.0000000000000001E-10</v>
      </c>
      <c r="X186" s="405">
        <f t="shared" si="169"/>
        <v>5.0000000000000003E-10</v>
      </c>
      <c r="Y186" s="405">
        <f t="shared" si="170"/>
        <v>6E-10</v>
      </c>
      <c r="Z186" s="405">
        <f t="shared" si="171"/>
        <v>6.9999999999999996E-10</v>
      </c>
      <c r="AA186" s="405">
        <f t="shared" si="172"/>
        <v>8.0000000000000003E-10</v>
      </c>
      <c r="AB186" s="405">
        <f t="shared" si="173"/>
        <v>8.9999999999999999E-10</v>
      </c>
      <c r="AC186" s="405">
        <f t="shared" si="174"/>
        <v>9.5000000000000003E-10</v>
      </c>
      <c r="AD186" s="405" t="b">
        <f t="shared" si="175"/>
        <v>0</v>
      </c>
      <c r="AE186" s="405" t="b">
        <f t="shared" si="176"/>
        <v>0</v>
      </c>
      <c r="AF186" s="405" t="b">
        <f t="shared" si="177"/>
        <v>0</v>
      </c>
      <c r="AG186" s="405" t="b">
        <f t="shared" si="178"/>
        <v>0</v>
      </c>
      <c r="AH186" s="405" t="b">
        <f t="shared" si="179"/>
        <v>0</v>
      </c>
      <c r="AI186" s="405" t="b">
        <f t="shared" si="180"/>
        <v>1</v>
      </c>
      <c r="AJ186" s="405" t="b">
        <f t="shared" si="181"/>
        <v>1</v>
      </c>
      <c r="AK186" s="405" t="b">
        <f t="shared" si="182"/>
        <v>1</v>
      </c>
      <c r="AL186" s="405" t="b">
        <f t="shared" si="183"/>
        <v>1</v>
      </c>
      <c r="AM186" s="405" t="b">
        <f t="shared" si="184"/>
        <v>1</v>
      </c>
      <c r="AN186" s="405" t="str">
        <f>INDEX('Retake 扣分'!$H$13:$H$29,MATCH(A186,'Retake 扣分'!$A$13:$A$29,0))</f>
        <v>5%或更少</v>
      </c>
      <c r="AO186" s="550"/>
      <c r="AP186" s="551"/>
      <c r="AQ186" s="551"/>
      <c r="AR186" s="551"/>
      <c r="AS186" s="551"/>
      <c r="AT186" s="551"/>
      <c r="AU186" s="551"/>
      <c r="AV186" s="551"/>
      <c r="AW186" s="551"/>
      <c r="AX186" s="552"/>
      <c r="AY186" s="552"/>
      <c r="AZ186" s="552"/>
      <c r="BB186" s="371"/>
      <c r="BC186" s="371"/>
      <c r="BD186" s="371"/>
      <c r="BE186" s="371"/>
      <c r="BF186" s="371"/>
    </row>
    <row r="187" spans="1:58" s="405" customFormat="1" x14ac:dyDescent="0.3">
      <c r="A187" s="406" t="str">
        <f>'Reference Score Calculation'!A166</f>
        <v>JS4361</v>
      </c>
      <c r="B187" s="406" t="str">
        <f>'Reference Score Calculation'!D166</f>
        <v>教育學士(數學及數學教育)</v>
      </c>
      <c r="C187" s="406"/>
      <c r="D187" s="406" t="str">
        <f>'Reference Score Calculation'!E166</f>
        <v>Best 5</v>
      </c>
      <c r="E187" s="418" t="str">
        <f>入學要求!T175</f>
        <v>v</v>
      </c>
      <c r="F187" s="418" t="str">
        <f>入學要求!U175</f>
        <v>E</v>
      </c>
      <c r="G187" s="418" t="str">
        <f>入學要求!V175</f>
        <v>NO</v>
      </c>
      <c r="H187" s="406">
        <f>IF($U$15=TRUE,SUMIF(AD187:AM187,TRUE,T187:AC187)*0.95,SUMIF(AD187:AM187,TRUE,T187:AC187))</f>
        <v>4.1000000000000003E-9</v>
      </c>
      <c r="I187" s="406">
        <v>1.5</v>
      </c>
      <c r="J187" s="406">
        <v>1.5</v>
      </c>
      <c r="K187" s="406">
        <v>1.5</v>
      </c>
      <c r="L187" s="406">
        <v>1</v>
      </c>
      <c r="M187" s="406">
        <v>1.5</v>
      </c>
      <c r="N187" s="406">
        <v>1</v>
      </c>
      <c r="O187" s="406">
        <v>1</v>
      </c>
      <c r="P187" s="406">
        <v>1</v>
      </c>
      <c r="Q187" s="406">
        <v>1</v>
      </c>
      <c r="R187" s="406">
        <v>1</v>
      </c>
      <c r="S187" s="418"/>
      <c r="T187" s="405">
        <f t="shared" si="165"/>
        <v>1.5E-10</v>
      </c>
      <c r="U187" s="405">
        <f t="shared" si="166"/>
        <v>3E-10</v>
      </c>
      <c r="V187" s="405">
        <f t="shared" si="167"/>
        <v>4.5E-10</v>
      </c>
      <c r="W187" s="405">
        <f t="shared" si="168"/>
        <v>4.0000000000000001E-10</v>
      </c>
      <c r="X187" s="405">
        <f t="shared" si="169"/>
        <v>7.500000000000001E-10</v>
      </c>
      <c r="Y187" s="405">
        <f t="shared" si="170"/>
        <v>6E-10</v>
      </c>
      <c r="Z187" s="405">
        <f t="shared" si="171"/>
        <v>6.9999999999999996E-10</v>
      </c>
      <c r="AA187" s="405">
        <f t="shared" si="172"/>
        <v>8.0000000000000003E-10</v>
      </c>
      <c r="AB187" s="405">
        <f t="shared" si="173"/>
        <v>8.9999999999999999E-10</v>
      </c>
      <c r="AC187" s="405">
        <f t="shared" si="174"/>
        <v>9.5000000000000003E-10</v>
      </c>
      <c r="AD187" s="405" t="b">
        <f t="shared" si="175"/>
        <v>0</v>
      </c>
      <c r="AE187" s="405" t="b">
        <f t="shared" si="176"/>
        <v>0</v>
      </c>
      <c r="AF187" s="405" t="b">
        <f t="shared" si="177"/>
        <v>0</v>
      </c>
      <c r="AG187" s="405" t="b">
        <f t="shared" si="178"/>
        <v>0</v>
      </c>
      <c r="AH187" s="405" t="b">
        <f t="shared" si="179"/>
        <v>1</v>
      </c>
      <c r="AI187" s="405" t="b">
        <f t="shared" si="180"/>
        <v>0</v>
      </c>
      <c r="AJ187" s="405" t="b">
        <f t="shared" si="181"/>
        <v>1</v>
      </c>
      <c r="AK187" s="405" t="b">
        <f t="shared" si="182"/>
        <v>1</v>
      </c>
      <c r="AL187" s="405" t="b">
        <f t="shared" si="183"/>
        <v>1</v>
      </c>
      <c r="AM187" s="405" t="b">
        <f t="shared" si="184"/>
        <v>1</v>
      </c>
      <c r="AN187" s="405" t="str">
        <f>INDEX('Retake 扣分'!$H$13:$H$29,MATCH(A187,'Retake 扣分'!$A$13:$A$29,0))</f>
        <v>5%或更少</v>
      </c>
      <c r="AO187" s="550"/>
      <c r="AP187" s="551"/>
      <c r="AQ187" s="551"/>
      <c r="AR187" s="551"/>
      <c r="AS187" s="551"/>
      <c r="AT187" s="551"/>
      <c r="AU187" s="551"/>
      <c r="AV187" s="551"/>
      <c r="AW187" s="551"/>
      <c r="AX187" s="552"/>
      <c r="AY187" s="552"/>
      <c r="AZ187" s="552"/>
      <c r="BB187" s="371"/>
      <c r="BC187" s="371"/>
      <c r="BD187" s="371"/>
      <c r="BE187" s="371"/>
      <c r="BF187" s="371"/>
    </row>
    <row r="188" spans="1:58" s="401" customFormat="1" x14ac:dyDescent="0.3">
      <c r="A188" s="544" t="str">
        <f>'Reference Score Calculation'!A167</f>
        <v>JS4372</v>
      </c>
      <c r="B188" s="544" t="str">
        <f>'Reference Score Calculation'!D167</f>
        <v>教育學士(幼兒教育)</v>
      </c>
      <c r="C188" s="544"/>
      <c r="D188" s="544" t="str">
        <f>'Reference Score Calculation'!E167</f>
        <v>Best 5</v>
      </c>
      <c r="E188" s="545" t="str">
        <f>入學要求!T176</f>
        <v>v</v>
      </c>
      <c r="F188" s="545" t="str">
        <f>入學要求!U176</f>
        <v>E</v>
      </c>
      <c r="G188" s="545" t="str">
        <f>入學要求!V176</f>
        <v>NO</v>
      </c>
      <c r="H188" s="544">
        <f t="shared" si="164"/>
        <v>3.9500000000000006E-9</v>
      </c>
      <c r="I188" s="544">
        <v>1</v>
      </c>
      <c r="J188" s="544">
        <v>1</v>
      </c>
      <c r="K188" s="544">
        <v>1</v>
      </c>
      <c r="L188" s="544">
        <v>1</v>
      </c>
      <c r="M188" s="544">
        <v>1</v>
      </c>
      <c r="N188" s="544">
        <v>1</v>
      </c>
      <c r="O188" s="544">
        <v>1</v>
      </c>
      <c r="P188" s="544">
        <v>1</v>
      </c>
      <c r="Q188" s="544">
        <v>1</v>
      </c>
      <c r="R188" s="544">
        <v>1</v>
      </c>
      <c r="S188" s="545"/>
      <c r="T188" s="401">
        <f t="shared" si="165"/>
        <v>1E-10</v>
      </c>
      <c r="U188" s="401">
        <f t="shared" si="166"/>
        <v>2.0000000000000001E-10</v>
      </c>
      <c r="V188" s="401">
        <f t="shared" si="167"/>
        <v>3E-10</v>
      </c>
      <c r="W188" s="401">
        <f t="shared" si="168"/>
        <v>4.0000000000000001E-10</v>
      </c>
      <c r="X188" s="401">
        <f t="shared" si="169"/>
        <v>5.0000000000000003E-10</v>
      </c>
      <c r="Y188" s="401">
        <f t="shared" si="170"/>
        <v>6E-10</v>
      </c>
      <c r="Z188" s="401">
        <f t="shared" si="171"/>
        <v>6.9999999999999996E-10</v>
      </c>
      <c r="AA188" s="401">
        <f t="shared" si="172"/>
        <v>8.0000000000000003E-10</v>
      </c>
      <c r="AB188" s="401">
        <f t="shared" si="173"/>
        <v>8.9999999999999999E-10</v>
      </c>
      <c r="AC188" s="401">
        <f t="shared" si="174"/>
        <v>9.5000000000000003E-10</v>
      </c>
      <c r="AD188" s="401" t="b">
        <f t="shared" si="175"/>
        <v>0</v>
      </c>
      <c r="AE188" s="401" t="b">
        <f t="shared" si="176"/>
        <v>0</v>
      </c>
      <c r="AF188" s="401" t="b">
        <f t="shared" si="177"/>
        <v>0</v>
      </c>
      <c r="AG188" s="401" t="b">
        <f t="shared" si="178"/>
        <v>0</v>
      </c>
      <c r="AH188" s="401" t="b">
        <f t="shared" si="179"/>
        <v>0</v>
      </c>
      <c r="AI188" s="401" t="b">
        <f t="shared" si="180"/>
        <v>1</v>
      </c>
      <c r="AJ188" s="401" t="b">
        <f t="shared" si="181"/>
        <v>1</v>
      </c>
      <c r="AK188" s="401" t="b">
        <f t="shared" si="182"/>
        <v>1</v>
      </c>
      <c r="AL188" s="401" t="b">
        <f t="shared" si="183"/>
        <v>1</v>
      </c>
      <c r="AM188" s="401" t="b">
        <f t="shared" si="184"/>
        <v>1</v>
      </c>
      <c r="AN188" s="391"/>
      <c r="BB188" s="381"/>
      <c r="BC188" s="381"/>
      <c r="BD188" s="381"/>
      <c r="BE188" s="381"/>
      <c r="BF188" s="381"/>
    </row>
    <row r="189" spans="1:58" s="401" customFormat="1" x14ac:dyDescent="0.3">
      <c r="A189" s="544" t="str">
        <f>'Reference Score Calculation'!A168</f>
        <v>JS4386</v>
      </c>
      <c r="B189" s="544" t="str">
        <f>'Reference Score Calculation'!D168</f>
        <v>理學士（學習設計與科技）</v>
      </c>
      <c r="C189" s="544"/>
      <c r="D189" s="544" t="str">
        <f>'Reference Score Calculation'!AD168</f>
        <v>Best 5</v>
      </c>
      <c r="E189" s="545" t="str">
        <f>入學要求!T177</f>
        <v>v</v>
      </c>
      <c r="F189" s="545" t="str">
        <f>入學要求!U177</f>
        <v>E</v>
      </c>
      <c r="G189" s="545" t="str">
        <f>入學要求!V177</f>
        <v>NO</v>
      </c>
      <c r="H189" s="544">
        <f>SUMIF(AD189:AM189,TRUE,T189:AC189)</f>
        <v>4.2250000000000006E-9</v>
      </c>
      <c r="I189" s="544">
        <v>1</v>
      </c>
      <c r="J189" s="544">
        <v>1</v>
      </c>
      <c r="K189" s="544">
        <v>1.5</v>
      </c>
      <c r="L189" s="544">
        <v>0.5</v>
      </c>
      <c r="M189" s="544">
        <v>1.75</v>
      </c>
      <c r="N189" s="544">
        <f>IF(OR(N1="物理",N1="生物",N1="化學",N1="組合科學(物理、化學)",N1="組合科學(物理、生物)",N1="組合科學(生物、化學)",N1="資訊及通訊科技",N1="設計與應用科技"),1.5,1)</f>
        <v>1</v>
      </c>
      <c r="O189" s="544">
        <f>IF(OR(O1="物理",O1="生物",O1="化學",O1="組合科學(物理、化學)",O1="組合科學(物理、生物)",O1="組合科學(生物、化學)",O1="資訊及通訊科技",O1="設計與應用科技"),1.5,1)</f>
        <v>1</v>
      </c>
      <c r="P189" s="544">
        <f>IF(OR(P1="物理",P1="生物",P1="化學",P1="組合科學(物理、化學)",P1="組合科學(物理、生物)",P1="組合科學(生物、化學)",P1="資訊及通訊科技",P1="設計與應用科技"),1.5,1)</f>
        <v>1</v>
      </c>
      <c r="Q189" s="544">
        <f>IF(OR(Q1="物理",Q1="生物",Q1="化學",Q1="組合科學(物理、化學)",Q1="組合科學(物理、生物)",Q1="組合科學(生物、化學)",Q1="資訊及通訊科技",Q1="設計與應用科技"),1.5,1)</f>
        <v>1</v>
      </c>
      <c r="R189" s="544">
        <v>1</v>
      </c>
      <c r="S189" s="545"/>
      <c r="T189" s="401">
        <f t="shared" si="165"/>
        <v>1E-10</v>
      </c>
      <c r="U189" s="401">
        <f t="shared" si="166"/>
        <v>2.0000000000000001E-10</v>
      </c>
      <c r="V189" s="401">
        <f t="shared" si="167"/>
        <v>4.5E-10</v>
      </c>
      <c r="W189" s="401">
        <f t="shared" si="168"/>
        <v>2.0000000000000001E-10</v>
      </c>
      <c r="X189" s="401">
        <f t="shared" si="169"/>
        <v>8.7500000000000008E-10</v>
      </c>
      <c r="Y189" s="401">
        <f t="shared" si="170"/>
        <v>6E-10</v>
      </c>
      <c r="Z189" s="401">
        <f t="shared" si="171"/>
        <v>6.9999999999999996E-10</v>
      </c>
      <c r="AA189" s="401">
        <f t="shared" si="172"/>
        <v>8.0000000000000003E-10</v>
      </c>
      <c r="AB189" s="401">
        <f t="shared" si="173"/>
        <v>8.9999999999999999E-10</v>
      </c>
      <c r="AC189" s="401">
        <f t="shared" si="174"/>
        <v>9.5000000000000003E-10</v>
      </c>
      <c r="AD189" s="401" t="b">
        <f t="shared" si="175"/>
        <v>0</v>
      </c>
      <c r="AE189" s="401" t="b">
        <f t="shared" si="176"/>
        <v>0</v>
      </c>
      <c r="AF189" s="401" t="b">
        <f t="shared" si="177"/>
        <v>0</v>
      </c>
      <c r="AG189" s="401" t="b">
        <f t="shared" si="178"/>
        <v>0</v>
      </c>
      <c r="AH189" s="401" t="b">
        <f t="shared" si="179"/>
        <v>1</v>
      </c>
      <c r="AI189" s="401" t="b">
        <f t="shared" si="180"/>
        <v>0</v>
      </c>
      <c r="AJ189" s="401" t="b">
        <f t="shared" si="181"/>
        <v>1</v>
      </c>
      <c r="AK189" s="401" t="b">
        <f t="shared" si="182"/>
        <v>1</v>
      </c>
      <c r="AL189" s="401" t="b">
        <f t="shared" si="183"/>
        <v>1</v>
      </c>
      <c r="AM189" s="401" t="b">
        <f t="shared" si="184"/>
        <v>1</v>
      </c>
      <c r="AN189" s="391"/>
      <c r="BB189" s="381"/>
      <c r="BC189" s="381"/>
      <c r="BD189" s="381"/>
      <c r="BE189" s="381"/>
      <c r="BF189" s="381"/>
    </row>
    <row r="190" spans="1:58" s="401" customFormat="1" x14ac:dyDescent="0.3">
      <c r="A190" s="544" t="str">
        <f>'Reference Score Calculation'!A169</f>
        <v>JS4408</v>
      </c>
      <c r="B190" s="544" t="str">
        <f>'Reference Score Calculation'!D169</f>
        <v>機械與自動化工程學</v>
      </c>
      <c r="C190" s="544"/>
      <c r="D190" s="544" t="str">
        <f>'Reference Score Calculation'!AD169</f>
        <v>Best 5</v>
      </c>
      <c r="E190" s="545" t="str">
        <f>入學要求!T178</f>
        <v>v</v>
      </c>
      <c r="F190" s="545" t="str">
        <f>入學要求!U178</f>
        <v>E</v>
      </c>
      <c r="G190" s="545" t="str">
        <f>入學要求!V178</f>
        <v>NO</v>
      </c>
      <c r="H190" s="544">
        <f t="shared" si="164"/>
        <v>4.1000000000000003E-9</v>
      </c>
      <c r="I190" s="544">
        <v>1</v>
      </c>
      <c r="J190" s="544">
        <v>1</v>
      </c>
      <c r="K190" s="544">
        <v>1.5</v>
      </c>
      <c r="L190" s="544">
        <v>0.75</v>
      </c>
      <c r="M190" s="544">
        <v>1.5</v>
      </c>
      <c r="N190" s="544">
        <f>IF(N1="物理",1.5,IF(OR(N1="生物",N1="化學",N1="組合科學(物理、化學)",N1="組合科學(物理、生物)",N1="組合科學(生物、化學)",N1="資訊及通訊科技",N1="設計與應用科技"),1.25,1))</f>
        <v>1</v>
      </c>
      <c r="O190" s="544">
        <f>IF(O1="物理",1.5,IF(OR(O1="生物",O1="化學",O1="組合科學(物理、化學)",O1="組合科學(物理、生物)",O1="組合科學(生物、化學)",O1="資訊及通訊科技",O1="設計與應用科技"),1.25,1))</f>
        <v>1</v>
      </c>
      <c r="P190" s="544">
        <f>IF(P1="物理",1.5,IF(OR(P1="生物",P1="化學",P1="組合科學(物理、化學)",P1="組合科學(物理、生物)",P1="組合科學(生物、化學)",P1="資訊及通訊科技",P1="設計與應用科技"),1.25,1))</f>
        <v>1</v>
      </c>
      <c r="Q190" s="544">
        <f>IF(Q1="物理",1.5,IF(OR(Q1="生物",Q1="化學",Q1="組合科學(物理、化學)",Q1="組合科學(物理、生物)",Q1="組合科學(生物、化學)",Q1="資訊及通訊科技",Q1="設計與應用科技"),1.25,1))</f>
        <v>1</v>
      </c>
      <c r="R190" s="544">
        <v>1</v>
      </c>
      <c r="S190" s="545"/>
      <c r="T190" s="401">
        <f t="shared" si="165"/>
        <v>1E-10</v>
      </c>
      <c r="U190" s="401">
        <f t="shared" si="166"/>
        <v>2.0000000000000001E-10</v>
      </c>
      <c r="V190" s="401">
        <f t="shared" si="167"/>
        <v>4.5E-10</v>
      </c>
      <c r="W190" s="401">
        <f t="shared" si="168"/>
        <v>3E-10</v>
      </c>
      <c r="X190" s="401">
        <f t="shared" si="169"/>
        <v>7.500000000000001E-10</v>
      </c>
      <c r="Y190" s="401">
        <f t="shared" si="170"/>
        <v>6E-10</v>
      </c>
      <c r="Z190" s="401">
        <f t="shared" si="171"/>
        <v>6.9999999999999996E-10</v>
      </c>
      <c r="AA190" s="401">
        <f t="shared" si="172"/>
        <v>8.0000000000000003E-10</v>
      </c>
      <c r="AB190" s="401">
        <f t="shared" si="173"/>
        <v>8.9999999999999999E-10</v>
      </c>
      <c r="AC190" s="401">
        <f t="shared" si="174"/>
        <v>9.5000000000000003E-10</v>
      </c>
      <c r="AD190" s="401" t="b">
        <f t="shared" si="175"/>
        <v>0</v>
      </c>
      <c r="AE190" s="401" t="b">
        <f t="shared" si="176"/>
        <v>0</v>
      </c>
      <c r="AF190" s="401" t="b">
        <f t="shared" si="177"/>
        <v>0</v>
      </c>
      <c r="AG190" s="401" t="b">
        <f t="shared" si="178"/>
        <v>0</v>
      </c>
      <c r="AH190" s="401" t="b">
        <f t="shared" si="179"/>
        <v>1</v>
      </c>
      <c r="AI190" s="401" t="b">
        <f t="shared" si="180"/>
        <v>0</v>
      </c>
      <c r="AJ190" s="401" t="b">
        <f t="shared" si="181"/>
        <v>1</v>
      </c>
      <c r="AK190" s="401" t="b">
        <f t="shared" si="182"/>
        <v>1</v>
      </c>
      <c r="AL190" s="401" t="b">
        <f t="shared" si="183"/>
        <v>1</v>
      </c>
      <c r="AM190" s="401" t="b">
        <f t="shared" si="184"/>
        <v>1</v>
      </c>
      <c r="AN190" s="391"/>
      <c r="BB190" s="381"/>
      <c r="BC190" s="381"/>
      <c r="BD190" s="381"/>
      <c r="BE190" s="381"/>
      <c r="BF190" s="381"/>
    </row>
    <row r="191" spans="1:58" s="401" customFormat="1" x14ac:dyDescent="0.3">
      <c r="A191" s="544" t="str">
        <f>'Reference Score Calculation'!A170</f>
        <v>JS4412</v>
      </c>
      <c r="B191" s="544" t="str">
        <f>'Reference Score Calculation'!D170</f>
        <v>計算機科學與工程</v>
      </c>
      <c r="C191" s="544"/>
      <c r="D191" s="544" t="str">
        <f>'Reference Score Calculation'!AD170</f>
        <v>Best 5</v>
      </c>
      <c r="E191" s="545" t="str">
        <f>入學要求!T179</f>
        <v>v</v>
      </c>
      <c r="F191" s="545" t="str">
        <f>入學要求!U179</f>
        <v>E</v>
      </c>
      <c r="G191" s="545" t="str">
        <f>入學要求!V179</f>
        <v>NO</v>
      </c>
      <c r="H191" s="544">
        <f t="shared" si="164"/>
        <v>4.2250000000000006E-9</v>
      </c>
      <c r="I191" s="544">
        <v>1</v>
      </c>
      <c r="J191" s="544">
        <v>1</v>
      </c>
      <c r="K191" s="544">
        <v>1.5</v>
      </c>
      <c r="L191" s="544">
        <v>0.5</v>
      </c>
      <c r="M191" s="544">
        <v>1.75</v>
      </c>
      <c r="N191" s="544">
        <f>IF(OR(N1="物理",N1="生物",N1="化學",N1="組合科學(物理、化學)",N1="組合科學(物理、生物)",N1="組合科學(生物、化學)",N1="資訊及通訊科技",N1="設計與應用科技"),1.5,1)</f>
        <v>1</v>
      </c>
      <c r="O191" s="544">
        <f>IF(OR(O1="物理",O1="生物",O1="化學",O1="組合科學(物理、化學)",O1="組合科學(物理、生物)",O1="組合科學(生物、化學)",O1="資訊及通訊科技",O1="設計與應用科技"),1.5,1)</f>
        <v>1</v>
      </c>
      <c r="P191" s="544">
        <f>IF(OR(P1="物理",P1="生物",P1="化學",P1="組合科學(物理、化學)",P1="組合科學(物理、生物)",P1="組合科學(生物、化學)",P1="資訊及通訊科技",P1="設計與應用科技"),1.5,1)</f>
        <v>1</v>
      </c>
      <c r="Q191" s="544">
        <f>IF(OR(Q1="物理",Q1="生物",Q1="化學",Q1="組合科學(物理、化學)",Q1="組合科學(物理、生物)",Q1="組合科學(生物、化學)",Q1="資訊及通訊科技",Q1="設計與應用科技"),1.5,1)</f>
        <v>1</v>
      </c>
      <c r="R191" s="544">
        <v>1</v>
      </c>
      <c r="S191" s="545"/>
      <c r="T191" s="401">
        <f t="shared" si="165"/>
        <v>1E-10</v>
      </c>
      <c r="U191" s="401">
        <f t="shared" si="166"/>
        <v>2.0000000000000001E-10</v>
      </c>
      <c r="V191" s="401">
        <f t="shared" si="167"/>
        <v>4.5E-10</v>
      </c>
      <c r="W191" s="401">
        <f t="shared" si="168"/>
        <v>2.0000000000000001E-10</v>
      </c>
      <c r="X191" s="401">
        <f t="shared" si="169"/>
        <v>8.7500000000000008E-10</v>
      </c>
      <c r="Y191" s="401">
        <f t="shared" si="170"/>
        <v>6E-10</v>
      </c>
      <c r="Z191" s="401">
        <f t="shared" si="171"/>
        <v>6.9999999999999996E-10</v>
      </c>
      <c r="AA191" s="401">
        <f t="shared" si="172"/>
        <v>8.0000000000000003E-10</v>
      </c>
      <c r="AB191" s="401">
        <f t="shared" si="173"/>
        <v>8.9999999999999999E-10</v>
      </c>
      <c r="AC191" s="401">
        <f t="shared" si="174"/>
        <v>9.5000000000000003E-10</v>
      </c>
      <c r="AD191" s="401" t="b">
        <f t="shared" si="175"/>
        <v>0</v>
      </c>
      <c r="AE191" s="401" t="b">
        <f t="shared" si="176"/>
        <v>0</v>
      </c>
      <c r="AF191" s="401" t="b">
        <f t="shared" si="177"/>
        <v>0</v>
      </c>
      <c r="AG191" s="401" t="b">
        <f t="shared" si="178"/>
        <v>0</v>
      </c>
      <c r="AH191" s="401" t="b">
        <f t="shared" si="179"/>
        <v>1</v>
      </c>
      <c r="AI191" s="401" t="b">
        <f t="shared" si="180"/>
        <v>0</v>
      </c>
      <c r="AJ191" s="401" t="b">
        <f t="shared" si="181"/>
        <v>1</v>
      </c>
      <c r="AK191" s="401" t="b">
        <f t="shared" si="182"/>
        <v>1</v>
      </c>
      <c r="AL191" s="401" t="b">
        <f t="shared" si="183"/>
        <v>1</v>
      </c>
      <c r="AM191" s="401" t="b">
        <f t="shared" si="184"/>
        <v>1</v>
      </c>
      <c r="AN191" s="391"/>
      <c r="BB191" s="381"/>
      <c r="BC191" s="381"/>
      <c r="BD191" s="381"/>
      <c r="BE191" s="381"/>
      <c r="BF191" s="381"/>
    </row>
    <row r="192" spans="1:58" s="401" customFormat="1" x14ac:dyDescent="0.3">
      <c r="A192" s="544" t="str">
        <f>'Reference Score Calculation'!A171</f>
        <v>JS4416</v>
      </c>
      <c r="B192" s="544" t="str">
        <f>'Reference Score Calculation'!D171</f>
        <v>計算數據科學</v>
      </c>
      <c r="C192" s="544"/>
      <c r="D192" s="544" t="str">
        <f>'Reference Score Calculation'!AD171</f>
        <v>Best 5</v>
      </c>
      <c r="E192" s="545" t="str">
        <f>入學要求!T180</f>
        <v>v</v>
      </c>
      <c r="F192" s="545" t="str">
        <f>入學要求!U180</f>
        <v>E</v>
      </c>
      <c r="G192" s="545" t="str">
        <f>入學要求!V180</f>
        <v>NO</v>
      </c>
      <c r="H192" s="544">
        <f t="shared" si="164"/>
        <v>4.3500000000000001E-9</v>
      </c>
      <c r="I192" s="544">
        <v>1</v>
      </c>
      <c r="J192" s="544">
        <v>1</v>
      </c>
      <c r="K192" s="544">
        <v>2</v>
      </c>
      <c r="L192" s="544">
        <v>1</v>
      </c>
      <c r="M192" s="544">
        <v>2</v>
      </c>
      <c r="N192" s="544">
        <f>IF(OR(N1="物理",N1="生物",N1="化學",N1="組合科學(物理、化學)",N1="組合科學(物理、生物)",N1="組合科學(生物、化學)",N1="資訊及通訊科技",N1="經濟"),2,1)</f>
        <v>1</v>
      </c>
      <c r="O192" s="544">
        <f>IF(OR(O1="物理",O1="生物",O1="化學",O1="組合科學(物理、化學)",O1="組合科學(物理、生物)",O1="組合科學(生物、化學)",O1="資訊及通訊科技",O1="經濟"),2,1)</f>
        <v>1</v>
      </c>
      <c r="P192" s="544">
        <f>IF(OR(P1="物理",P1="生物",P1="化學",P1="組合科學(物理、化學)",P1="組合科學(物理、生物)",P1="組合科學(生物、化學)",P1="資訊及通訊科技",P1="經濟"),2,1)</f>
        <v>1</v>
      </c>
      <c r="Q192" s="544">
        <f>IF(OR(Q1="物理",Q1="生物",Q1="化學",Q1="組合科學(物理、化學)",Q1="組合科學(物理、生物)",Q1="組合科學(生物、化學)",Q1="資訊及通訊科技",Q1="經濟"),2,1)</f>
        <v>1</v>
      </c>
      <c r="R192" s="544">
        <v>1</v>
      </c>
      <c r="S192" s="545"/>
      <c r="T192" s="401">
        <f t="shared" si="165"/>
        <v>1E-10</v>
      </c>
      <c r="U192" s="401">
        <f t="shared" si="166"/>
        <v>2.0000000000000001E-10</v>
      </c>
      <c r="V192" s="401">
        <f t="shared" si="167"/>
        <v>6E-10</v>
      </c>
      <c r="W192" s="401">
        <f t="shared" si="168"/>
        <v>4.0000000000000001E-10</v>
      </c>
      <c r="X192" s="401">
        <f t="shared" si="169"/>
        <v>1.0000000000000001E-9</v>
      </c>
      <c r="Y192" s="401">
        <f t="shared" si="170"/>
        <v>6E-10</v>
      </c>
      <c r="Z192" s="401">
        <f t="shared" si="171"/>
        <v>6.9999999999999996E-10</v>
      </c>
      <c r="AA192" s="401">
        <f t="shared" si="172"/>
        <v>8.0000000000000003E-10</v>
      </c>
      <c r="AB192" s="401">
        <f t="shared" si="173"/>
        <v>8.9999999999999999E-10</v>
      </c>
      <c r="AC192" s="401">
        <f t="shared" si="174"/>
        <v>9.5000000000000003E-10</v>
      </c>
      <c r="AD192" s="401" t="b">
        <f t="shared" si="175"/>
        <v>0</v>
      </c>
      <c r="AE192" s="401" t="b">
        <f t="shared" si="176"/>
        <v>0</v>
      </c>
      <c r="AF192" s="401" t="b">
        <f t="shared" si="177"/>
        <v>0</v>
      </c>
      <c r="AG192" s="401" t="b">
        <f t="shared" si="178"/>
        <v>0</v>
      </c>
      <c r="AH192" s="401" t="b">
        <f t="shared" si="179"/>
        <v>1</v>
      </c>
      <c r="AI192" s="401" t="b">
        <f t="shared" si="180"/>
        <v>0</v>
      </c>
      <c r="AJ192" s="401" t="b">
        <f t="shared" si="181"/>
        <v>1</v>
      </c>
      <c r="AK192" s="401" t="b">
        <f t="shared" si="182"/>
        <v>1</v>
      </c>
      <c r="AL192" s="401" t="b">
        <f t="shared" si="183"/>
        <v>1</v>
      </c>
      <c r="AM192" s="401" t="b">
        <f t="shared" si="184"/>
        <v>1</v>
      </c>
      <c r="AN192" s="391"/>
      <c r="BB192" s="381"/>
      <c r="BC192" s="381"/>
      <c r="BD192" s="381"/>
      <c r="BE192" s="381"/>
      <c r="BF192" s="381"/>
    </row>
    <row r="193" spans="1:58" s="401" customFormat="1" x14ac:dyDescent="0.3">
      <c r="A193" s="544" t="str">
        <f>'Reference Score Calculation'!A172</f>
        <v>JS4428</v>
      </c>
      <c r="B193" s="544" t="str">
        <f>'Reference Score Calculation'!D172</f>
        <v>金融科技學</v>
      </c>
      <c r="C193" s="544"/>
      <c r="D193" s="544" t="str">
        <f>'Reference Score Calculation'!E172</f>
        <v>Best 5</v>
      </c>
      <c r="E193" s="545" t="str">
        <f>入學要求!T181</f>
        <v>v</v>
      </c>
      <c r="F193" s="545" t="str">
        <f>入學要求!U181</f>
        <v>E</v>
      </c>
      <c r="G193" s="545" t="str">
        <f>入學要求!V181</f>
        <v>NO</v>
      </c>
      <c r="H193" s="544">
        <f t="shared" si="164"/>
        <v>4.2250000000000006E-9</v>
      </c>
      <c r="I193" s="544">
        <v>1.25</v>
      </c>
      <c r="J193" s="544">
        <v>1.25</v>
      </c>
      <c r="K193" s="544">
        <v>1.75</v>
      </c>
      <c r="L193" s="544">
        <v>1</v>
      </c>
      <c r="M193" s="544">
        <v>1.75</v>
      </c>
      <c r="N193" s="544">
        <f>IF(OR(N1="物理",N1="生物",N1="化學",N1="組合科學(物理、化學)",N1="組合科學(物理、生物)",N1="組合科學(生物、化學)",N1="資訊及通訊科技",N1="經濟",N1="企業、會計與財務概論"),1.5,1)</f>
        <v>1</v>
      </c>
      <c r="O193" s="544">
        <f>IF(OR(O1="物理",O1="生物",O1="化學",O1="組合科學(物理、化學)",O1="組合科學(物理、生物)",O1="組合科學(生物、化學)",O1="資訊及通訊科技",O1="經濟",O1="企業、會計與財務概論"),1.5,1)</f>
        <v>1</v>
      </c>
      <c r="P193" s="544">
        <f>IF(OR(P1="物理",P1="生物",P1="化學",P1="組合科學(物理、化學)",P1="組合科學(物理、生物)",P1="組合科學(生物、化學)",P1="資訊及通訊科技",P1="經濟",P1="企業、會計與財務概論"),1.5,1)</f>
        <v>1</v>
      </c>
      <c r="Q193" s="544">
        <f>IF(OR(Q1="物理",Q1="生物",Q1="化學",Q1="組合科學(物理、化學)",Q1="組合科學(物理、生物)",Q1="組合科學(生物、化學)",Q1="資訊及通訊科技",Q1="經濟",Q1="企業、會計與財務概論"),1.5,1)</f>
        <v>1</v>
      </c>
      <c r="R193" s="544">
        <v>1</v>
      </c>
      <c r="S193" s="545"/>
      <c r="T193" s="401">
        <f t="shared" si="165"/>
        <v>1.2500000000000001E-10</v>
      </c>
      <c r="U193" s="401">
        <f t="shared" si="166"/>
        <v>2.5000000000000002E-10</v>
      </c>
      <c r="V193" s="401">
        <f t="shared" si="167"/>
        <v>5.2499999999999994E-10</v>
      </c>
      <c r="W193" s="401">
        <f t="shared" si="168"/>
        <v>4.0000000000000001E-10</v>
      </c>
      <c r="X193" s="401">
        <f t="shared" si="169"/>
        <v>8.7500000000000008E-10</v>
      </c>
      <c r="Y193" s="401">
        <f t="shared" si="170"/>
        <v>6E-10</v>
      </c>
      <c r="Z193" s="401">
        <f t="shared" si="171"/>
        <v>6.9999999999999996E-10</v>
      </c>
      <c r="AA193" s="401">
        <f t="shared" si="172"/>
        <v>8.0000000000000003E-10</v>
      </c>
      <c r="AB193" s="401">
        <f t="shared" si="173"/>
        <v>8.9999999999999999E-10</v>
      </c>
      <c r="AC193" s="401">
        <f t="shared" si="174"/>
        <v>9.5000000000000003E-10</v>
      </c>
      <c r="AD193" s="401" t="b">
        <f t="shared" si="175"/>
        <v>0</v>
      </c>
      <c r="AE193" s="401" t="b">
        <f t="shared" si="176"/>
        <v>0</v>
      </c>
      <c r="AF193" s="401" t="b">
        <f t="shared" si="177"/>
        <v>0</v>
      </c>
      <c r="AG193" s="401" t="b">
        <f t="shared" si="178"/>
        <v>0</v>
      </c>
      <c r="AH193" s="401" t="b">
        <f t="shared" si="179"/>
        <v>1</v>
      </c>
      <c r="AI193" s="401" t="b">
        <f t="shared" si="180"/>
        <v>0</v>
      </c>
      <c r="AJ193" s="401" t="b">
        <f t="shared" si="181"/>
        <v>1</v>
      </c>
      <c r="AK193" s="401" t="b">
        <f t="shared" si="182"/>
        <v>1</v>
      </c>
      <c r="AL193" s="401" t="b">
        <f t="shared" si="183"/>
        <v>1</v>
      </c>
      <c r="AM193" s="401" t="b">
        <f t="shared" si="184"/>
        <v>1</v>
      </c>
      <c r="AN193" s="391"/>
      <c r="BB193" s="381"/>
      <c r="BC193" s="381"/>
      <c r="BD193" s="381"/>
      <c r="BE193" s="381"/>
      <c r="BF193" s="381"/>
    </row>
    <row r="194" spans="1:58" s="401" customFormat="1" x14ac:dyDescent="0.3">
      <c r="A194" s="544" t="str">
        <f>'Reference Score Calculation'!A173</f>
        <v>JS4434</v>
      </c>
      <c r="B194" s="544" t="str">
        <f>'Reference Score Calculation'!D173</f>
        <v>電子工程學</v>
      </c>
      <c r="C194" s="544"/>
      <c r="D194" s="544" t="str">
        <f>'Reference Score Calculation'!E173</f>
        <v>Best 5</v>
      </c>
      <c r="E194" s="545" t="str">
        <f>入學要求!T182</f>
        <v>v</v>
      </c>
      <c r="F194" s="545" t="str">
        <f>入學要求!U182</f>
        <v>E</v>
      </c>
      <c r="G194" s="545" t="str">
        <f>入學要求!V182</f>
        <v>NO</v>
      </c>
      <c r="H194" s="544">
        <f t="shared" si="164"/>
        <v>4.1000000000000003E-9</v>
      </c>
      <c r="I194" s="544">
        <v>1</v>
      </c>
      <c r="J194" s="544">
        <v>1</v>
      </c>
      <c r="K194" s="544">
        <v>1.5</v>
      </c>
      <c r="L194" s="544">
        <v>1</v>
      </c>
      <c r="M194" s="544">
        <v>1.5</v>
      </c>
      <c r="N194" s="544">
        <f>IF(N1="物理",1.5,1)</f>
        <v>1</v>
      </c>
      <c r="O194" s="544">
        <f>IF(O1="物理",1.5,1)</f>
        <v>1</v>
      </c>
      <c r="P194" s="544">
        <f>IF(P1="物理",1.5,1)</f>
        <v>1</v>
      </c>
      <c r="Q194" s="544">
        <f>IF(Q1="物理",1.5,1)</f>
        <v>1</v>
      </c>
      <c r="R194" s="544">
        <v>1</v>
      </c>
      <c r="S194" s="545"/>
      <c r="T194" s="401">
        <f t="shared" si="165"/>
        <v>1E-10</v>
      </c>
      <c r="U194" s="401">
        <f t="shared" si="166"/>
        <v>2.0000000000000001E-10</v>
      </c>
      <c r="V194" s="401">
        <f t="shared" si="167"/>
        <v>4.5E-10</v>
      </c>
      <c r="W194" s="401">
        <f t="shared" si="168"/>
        <v>4.0000000000000001E-10</v>
      </c>
      <c r="X194" s="401">
        <f t="shared" si="169"/>
        <v>7.500000000000001E-10</v>
      </c>
      <c r="Y194" s="401">
        <f t="shared" si="170"/>
        <v>6E-10</v>
      </c>
      <c r="Z194" s="401">
        <f t="shared" si="171"/>
        <v>6.9999999999999996E-10</v>
      </c>
      <c r="AA194" s="401">
        <f t="shared" si="172"/>
        <v>8.0000000000000003E-10</v>
      </c>
      <c r="AB194" s="401">
        <f t="shared" si="173"/>
        <v>8.9999999999999999E-10</v>
      </c>
      <c r="AC194" s="401">
        <f t="shared" si="174"/>
        <v>9.5000000000000003E-10</v>
      </c>
      <c r="AD194" s="401" t="b">
        <f t="shared" si="175"/>
        <v>0</v>
      </c>
      <c r="AE194" s="401" t="b">
        <f t="shared" si="176"/>
        <v>0</v>
      </c>
      <c r="AF194" s="401" t="b">
        <f t="shared" si="177"/>
        <v>0</v>
      </c>
      <c r="AG194" s="401" t="b">
        <f t="shared" si="178"/>
        <v>0</v>
      </c>
      <c r="AH194" s="401" t="b">
        <f t="shared" si="179"/>
        <v>1</v>
      </c>
      <c r="AI194" s="401" t="b">
        <f t="shared" si="180"/>
        <v>0</v>
      </c>
      <c r="AJ194" s="401" t="b">
        <f t="shared" si="181"/>
        <v>1</v>
      </c>
      <c r="AK194" s="401" t="b">
        <f t="shared" si="182"/>
        <v>1</v>
      </c>
      <c r="AL194" s="401" t="b">
        <f t="shared" si="183"/>
        <v>1</v>
      </c>
      <c r="AM194" s="401" t="b">
        <f t="shared" si="184"/>
        <v>1</v>
      </c>
      <c r="AN194" s="391"/>
      <c r="BB194" s="381"/>
      <c r="BC194" s="381"/>
      <c r="BD194" s="381"/>
      <c r="BE194" s="381"/>
      <c r="BF194" s="381"/>
    </row>
    <row r="195" spans="1:58" s="401" customFormat="1" x14ac:dyDescent="0.3">
      <c r="A195" s="544" t="str">
        <f>'Reference Score Calculation'!A174</f>
        <v>JS4446</v>
      </c>
      <c r="B195" s="544" t="str">
        <f>'Reference Score Calculation'!D174</f>
        <v>信息工程學</v>
      </c>
      <c r="C195" s="544"/>
      <c r="D195" s="544" t="str">
        <f>'Reference Score Calculation'!AD174</f>
        <v>Best 5</v>
      </c>
      <c r="E195" s="545" t="str">
        <f>入學要求!T183</f>
        <v>v</v>
      </c>
      <c r="F195" s="545" t="str">
        <f>入學要求!U183</f>
        <v>E</v>
      </c>
      <c r="G195" s="545" t="str">
        <f>入學要求!V183</f>
        <v>NO</v>
      </c>
      <c r="H195" s="544">
        <f t="shared" si="164"/>
        <v>4.2250000000000006E-9</v>
      </c>
      <c r="I195" s="544">
        <v>1</v>
      </c>
      <c r="J195" s="544">
        <v>1</v>
      </c>
      <c r="K195" s="544">
        <v>2</v>
      </c>
      <c r="L195" s="544">
        <v>0.5</v>
      </c>
      <c r="M195" s="544">
        <v>1.75</v>
      </c>
      <c r="N195" s="544">
        <f>IF(OR(N1="物理",N1="生物",N1="化學",N1="組合科學(物理、化學)",N1="組合科學(物理、生物)",N1="組合科學(生物、化學)",N1="資訊及通訊科技",N1="設計與應用科技"),1.5,1)</f>
        <v>1</v>
      </c>
      <c r="O195" s="544">
        <f>IF(OR(O1="物理",O1="生物",O1="化學",O1="組合科學(物理、化學)",O1="組合科學(物理、生物)",O1="組合科學(生物、化學)",O1="資訊及通訊科技",O1="設計與應用科技"),1.5,1)</f>
        <v>1</v>
      </c>
      <c r="P195" s="544">
        <f>IF(OR(P1="物理",P1="生物",P1="化學",P1="組合科學(物理、化學)",P1="組合科學(物理、生物)",P1="組合科學(生物、化學)",P1="資訊及通訊科技",P1="設計與應用科技"),1.5,1)</f>
        <v>1</v>
      </c>
      <c r="Q195" s="544">
        <f>IF(OR(Q1="物理",Q1="生物",Q1="化學",Q1="組合科學(物理、化學)",Q1="組合科學(物理、生物)",Q1="組合科學(生物、化學)",Q1="資訊及通訊科技",Q1="設計與應用科技"),1.5,1)</f>
        <v>1</v>
      </c>
      <c r="R195" s="544">
        <v>1</v>
      </c>
      <c r="S195" s="545"/>
      <c r="T195" s="401">
        <f t="shared" si="165"/>
        <v>1E-10</v>
      </c>
      <c r="U195" s="401">
        <f t="shared" si="166"/>
        <v>2.0000000000000001E-10</v>
      </c>
      <c r="V195" s="401">
        <f t="shared" si="167"/>
        <v>6E-10</v>
      </c>
      <c r="W195" s="401">
        <f t="shared" si="168"/>
        <v>2.0000000000000001E-10</v>
      </c>
      <c r="X195" s="401">
        <f t="shared" si="169"/>
        <v>8.7500000000000008E-10</v>
      </c>
      <c r="Y195" s="401">
        <f t="shared" si="170"/>
        <v>6E-10</v>
      </c>
      <c r="Z195" s="401">
        <f t="shared" si="171"/>
        <v>6.9999999999999996E-10</v>
      </c>
      <c r="AA195" s="401">
        <f t="shared" si="172"/>
        <v>8.0000000000000003E-10</v>
      </c>
      <c r="AB195" s="401">
        <f t="shared" si="173"/>
        <v>8.9999999999999999E-10</v>
      </c>
      <c r="AC195" s="401">
        <f t="shared" si="174"/>
        <v>9.5000000000000003E-10</v>
      </c>
      <c r="AD195" s="401" t="b">
        <f t="shared" si="175"/>
        <v>0</v>
      </c>
      <c r="AE195" s="401" t="b">
        <f t="shared" si="176"/>
        <v>0</v>
      </c>
      <c r="AF195" s="401" t="b">
        <f t="shared" si="177"/>
        <v>0</v>
      </c>
      <c r="AG195" s="401" t="b">
        <f t="shared" si="178"/>
        <v>0</v>
      </c>
      <c r="AH195" s="401" t="b">
        <f t="shared" si="179"/>
        <v>1</v>
      </c>
      <c r="AI195" s="401" t="b">
        <f t="shared" si="180"/>
        <v>0</v>
      </c>
      <c r="AJ195" s="401" t="b">
        <f t="shared" si="181"/>
        <v>1</v>
      </c>
      <c r="AK195" s="401" t="b">
        <f t="shared" si="182"/>
        <v>1</v>
      </c>
      <c r="AL195" s="401" t="b">
        <f t="shared" si="183"/>
        <v>1</v>
      </c>
      <c r="AM195" s="401" t="b">
        <f t="shared" si="184"/>
        <v>1</v>
      </c>
      <c r="AN195" s="391"/>
      <c r="BB195" s="381"/>
      <c r="BC195" s="381"/>
      <c r="BD195" s="381"/>
      <c r="BE195" s="381"/>
      <c r="BF195" s="381"/>
    </row>
    <row r="196" spans="1:58" s="401" customFormat="1" x14ac:dyDescent="0.3">
      <c r="A196" s="544" t="str">
        <f>'Reference Score Calculation'!A175</f>
        <v>JS4458</v>
      </c>
      <c r="B196" s="544" t="str">
        <f>'Reference Score Calculation'!D175</f>
        <v>系統工程與工程管理</v>
      </c>
      <c r="C196" s="544"/>
      <c r="D196" s="544" t="str">
        <f>'Reference Score Calculation'!AD175</f>
        <v>Best 5</v>
      </c>
      <c r="E196" s="545" t="str">
        <f>入學要求!T184</f>
        <v>v</v>
      </c>
      <c r="F196" s="545" t="str">
        <f>入學要求!U184</f>
        <v>E</v>
      </c>
      <c r="G196" s="545" t="str">
        <f>入學要求!V184</f>
        <v>NO</v>
      </c>
      <c r="H196" s="544">
        <f t="shared" si="164"/>
        <v>4.1000000000000003E-9</v>
      </c>
      <c r="I196" s="544">
        <v>1</v>
      </c>
      <c r="J196" s="544">
        <v>1</v>
      </c>
      <c r="K196" s="544">
        <v>1.5</v>
      </c>
      <c r="L196" s="544">
        <v>0.5</v>
      </c>
      <c r="M196" s="544">
        <v>1.5</v>
      </c>
      <c r="N196" s="544">
        <f>IF(OR(N1="物理",N1="生物",N1="化學",N1="組合科學(物理、化學)",N1="組合科學(物理、生物)",N1="組合科學(生物、化學)",N1="資訊及通訊科技",N1="經濟",N1="企業、會計與財務概論"),1.5,1)</f>
        <v>1</v>
      </c>
      <c r="O196" s="544">
        <f>IF(OR(O1="物理",O1="生物",O1="化學",O1="組合科學(物理、化學)",O1="組合科學(物理、生物)",O1="組合科學(生物、化學)",O1="資訊及通訊科技",O1="經濟",O1="企業、會計與財務概論"),1.5,1)</f>
        <v>1</v>
      </c>
      <c r="P196" s="544">
        <f>IF(OR(P1="物理",P1="生物",P1="化學",P1="組合科學(物理、化學)",P1="組合科學(物理、生物)",P1="組合科學(生物、化學)",P1="資訊及通訊科技",P1="經濟",P1="企業、會計與財務概論"),1.5,1)</f>
        <v>1</v>
      </c>
      <c r="Q196" s="544">
        <f>IF(OR(Q1="物理",Q1="生物",Q1="化學",Q1="組合科學(物理、化學)",Q1="組合科學(物理、生物)",Q1="組合科學(生物、化學)",Q1="資訊及通訊科技",Q1="經濟",Q1="企業、會計與財務概論"),1.5,1)</f>
        <v>1</v>
      </c>
      <c r="R196" s="544">
        <v>1</v>
      </c>
      <c r="S196" s="545"/>
      <c r="T196" s="401">
        <f t="shared" si="165"/>
        <v>1E-10</v>
      </c>
      <c r="U196" s="401">
        <f t="shared" si="166"/>
        <v>2.0000000000000001E-10</v>
      </c>
      <c r="V196" s="401">
        <f t="shared" si="167"/>
        <v>4.5E-10</v>
      </c>
      <c r="W196" s="401">
        <f t="shared" si="168"/>
        <v>2.0000000000000001E-10</v>
      </c>
      <c r="X196" s="401">
        <f t="shared" si="169"/>
        <v>7.500000000000001E-10</v>
      </c>
      <c r="Y196" s="401">
        <f t="shared" si="170"/>
        <v>6E-10</v>
      </c>
      <c r="Z196" s="401">
        <f t="shared" si="171"/>
        <v>6.9999999999999996E-10</v>
      </c>
      <c r="AA196" s="401">
        <f t="shared" si="172"/>
        <v>8.0000000000000003E-10</v>
      </c>
      <c r="AB196" s="401">
        <f t="shared" si="173"/>
        <v>8.9999999999999999E-10</v>
      </c>
      <c r="AC196" s="401">
        <f t="shared" si="174"/>
        <v>9.5000000000000003E-10</v>
      </c>
      <c r="AD196" s="401" t="b">
        <f t="shared" si="175"/>
        <v>0</v>
      </c>
      <c r="AE196" s="401" t="b">
        <f t="shared" si="176"/>
        <v>0</v>
      </c>
      <c r="AF196" s="401" t="b">
        <f t="shared" si="177"/>
        <v>0</v>
      </c>
      <c r="AG196" s="401" t="b">
        <f t="shared" si="178"/>
        <v>0</v>
      </c>
      <c r="AH196" s="401" t="b">
        <f t="shared" si="179"/>
        <v>1</v>
      </c>
      <c r="AI196" s="401" t="b">
        <f t="shared" si="180"/>
        <v>0</v>
      </c>
      <c r="AJ196" s="401" t="b">
        <f t="shared" si="181"/>
        <v>1</v>
      </c>
      <c r="AK196" s="401" t="b">
        <f t="shared" si="182"/>
        <v>1</v>
      </c>
      <c r="AL196" s="401" t="b">
        <f t="shared" si="183"/>
        <v>1</v>
      </c>
      <c r="AM196" s="401" t="b">
        <f t="shared" si="184"/>
        <v>1</v>
      </c>
      <c r="AN196" s="391"/>
      <c r="BB196" s="381"/>
      <c r="BC196" s="381"/>
      <c r="BD196" s="381"/>
      <c r="BE196" s="381"/>
      <c r="BF196" s="381"/>
    </row>
    <row r="197" spans="1:58" s="401" customFormat="1" x14ac:dyDescent="0.3">
      <c r="A197" s="544" t="str">
        <f>'Reference Score Calculation'!A176</f>
        <v>JS4460</v>
      </c>
      <c r="B197" s="544" t="str">
        <f>'Reference Score Calculation'!D176</f>
        <v>生物醫學工程學</v>
      </c>
      <c r="C197" s="544"/>
      <c r="D197" s="544" t="str">
        <f>'Reference Score Calculation'!E176</f>
        <v>Best 5</v>
      </c>
      <c r="E197" s="545" t="str">
        <f>入學要求!T185</f>
        <v>v</v>
      </c>
      <c r="F197" s="545" t="str">
        <f>入學要求!U185</f>
        <v>E</v>
      </c>
      <c r="G197" s="545" t="str">
        <f>入學要求!V185</f>
        <v>NO</v>
      </c>
      <c r="H197" s="544">
        <f t="shared" si="164"/>
        <v>3.9500000000000006E-9</v>
      </c>
      <c r="I197" s="544">
        <v>1</v>
      </c>
      <c r="J197" s="544">
        <v>1.5</v>
      </c>
      <c r="K197" s="544">
        <f>IF(K1=$AP$163,1.5,1)</f>
        <v>1</v>
      </c>
      <c r="L197" s="544">
        <v>1</v>
      </c>
      <c r="M197" s="544">
        <f>IF(K1=$AP$163,1.5,1)</f>
        <v>1</v>
      </c>
      <c r="N197" s="544">
        <f>IF(OR(N1="物理",N1="生物",N1="化學",N1="組合科學(物理、化學)",N1="組合科學(物理、生物)",N1="組合科學(生物、化學)"),1.5,1)</f>
        <v>1</v>
      </c>
      <c r="O197" s="544">
        <f>IF(OR(O1="物理",O1="生物",O1="化學",O1="組合科學(物理、化學)",O1="組合科學(物理、生物)",O1="組合科學(生物、化學)"),1.5,1)</f>
        <v>1</v>
      </c>
      <c r="P197" s="544">
        <f>IF(OR(P1="物理",P1="生物",P1="化學",P1="組合科學(物理、化學)",P1="組合科學(物理、生物)",P1="組合科學(生物、化學)"),1.5,1)</f>
        <v>1</v>
      </c>
      <c r="Q197" s="544">
        <f>IF(OR(Q1="物理",Q1="生物",Q1="化學",Q1="組合科學(物理、化學)",Q1="組合科學(物理、生物)",Q1="組合科學(生物、化學)"),1.5,1)</f>
        <v>1</v>
      </c>
      <c r="R197" s="544">
        <v>1</v>
      </c>
      <c r="S197" s="545"/>
      <c r="T197" s="401">
        <f t="shared" si="165"/>
        <v>1E-10</v>
      </c>
      <c r="U197" s="401">
        <f t="shared" si="166"/>
        <v>3E-10</v>
      </c>
      <c r="V197" s="401">
        <f t="shared" si="167"/>
        <v>3E-10</v>
      </c>
      <c r="W197" s="401">
        <f t="shared" si="168"/>
        <v>4.0000000000000001E-10</v>
      </c>
      <c r="X197" s="401">
        <f t="shared" si="169"/>
        <v>5.0000000000000003E-10</v>
      </c>
      <c r="Y197" s="401">
        <f t="shared" si="170"/>
        <v>6E-10</v>
      </c>
      <c r="Z197" s="401">
        <f t="shared" si="171"/>
        <v>6.9999999999999996E-10</v>
      </c>
      <c r="AA197" s="401">
        <f t="shared" si="172"/>
        <v>8.0000000000000003E-10</v>
      </c>
      <c r="AB197" s="401">
        <f t="shared" si="173"/>
        <v>8.9999999999999999E-10</v>
      </c>
      <c r="AC197" s="401">
        <f t="shared" si="174"/>
        <v>9.5000000000000003E-10</v>
      </c>
      <c r="AD197" s="401" t="b">
        <f t="shared" si="175"/>
        <v>0</v>
      </c>
      <c r="AE197" s="401" t="b">
        <f t="shared" si="176"/>
        <v>0</v>
      </c>
      <c r="AF197" s="401" t="b">
        <f t="shared" si="177"/>
        <v>0</v>
      </c>
      <c r="AG197" s="401" t="b">
        <f t="shared" si="178"/>
        <v>0</v>
      </c>
      <c r="AH197" s="401" t="b">
        <f t="shared" si="179"/>
        <v>0</v>
      </c>
      <c r="AI197" s="401" t="b">
        <f t="shared" si="180"/>
        <v>1</v>
      </c>
      <c r="AJ197" s="401" t="b">
        <f t="shared" si="181"/>
        <v>1</v>
      </c>
      <c r="AK197" s="401" t="b">
        <f t="shared" si="182"/>
        <v>1</v>
      </c>
      <c r="AL197" s="401" t="b">
        <f t="shared" si="183"/>
        <v>1</v>
      </c>
      <c r="AM197" s="401" t="b">
        <f t="shared" si="184"/>
        <v>1</v>
      </c>
      <c r="AN197" s="391"/>
      <c r="BB197" s="381"/>
      <c r="BC197" s="381"/>
      <c r="BD197" s="381"/>
      <c r="BE197" s="381"/>
      <c r="BF197" s="381"/>
    </row>
    <row r="198" spans="1:58" s="401" customFormat="1" x14ac:dyDescent="0.3">
      <c r="A198" s="544" t="str">
        <f>'Reference Score Calculation'!A177</f>
        <v>JS4462</v>
      </c>
      <c r="B198" s="544" t="str">
        <f>'Reference Score Calculation'!D177</f>
        <v>能源與環境工程學</v>
      </c>
      <c r="C198" s="544"/>
      <c r="D198" s="544" t="str">
        <f>'Reference Score Calculation'!E177</f>
        <v>Best 5</v>
      </c>
      <c r="E198" s="545" t="str">
        <f>入學要求!T186</f>
        <v>v</v>
      </c>
      <c r="F198" s="545" t="str">
        <f>入學要求!U186</f>
        <v>E</v>
      </c>
      <c r="G198" s="545" t="str">
        <f>入學要求!V186</f>
        <v>NO</v>
      </c>
      <c r="H198" s="544">
        <f t="shared" si="164"/>
        <v>4.1000000000000003E-9</v>
      </c>
      <c r="I198" s="544">
        <v>1</v>
      </c>
      <c r="J198" s="544">
        <v>1</v>
      </c>
      <c r="K198" s="544">
        <v>1.5</v>
      </c>
      <c r="L198" s="544">
        <v>0.5</v>
      </c>
      <c r="M198" s="544">
        <v>1.5</v>
      </c>
      <c r="N198" s="544">
        <f>IF(OR(N1="物理",N1="生物",N1="化學",N1="組合科學(物理、化學)",N1="組合科學(物理、生物)",N1="組合科學(生物、化學)",N1="資訊及通訊科技",N1="設計與應用科技"),1.5,IF(OR(N1="經濟",N1="地理"),1.2,1))</f>
        <v>1</v>
      </c>
      <c r="O198" s="544">
        <f>IF(OR(O1="物理",O1="生物",O1="化學",O1="組合科學(物理、化學)",O1="組合科學(物理、生物)",O1="組合科學(生物、化學)",O1="資訊及通訊科技",O1="設計與應用科技"),1.5,IF(OR(O1="經濟",O1="地理"),1.2,1))</f>
        <v>1</v>
      </c>
      <c r="P198" s="544">
        <f>IF(OR(P1="物理",P1="生物",P1="化學",P1="組合科學(物理、化學)",P1="組合科學(物理、生物)",P1="組合科學(生物、化學)",P1="資訊及通訊科技",P1="設計與應用科技"),1.5,IF(OR(P1="經濟",P1="地理"),1.2,1))</f>
        <v>1</v>
      </c>
      <c r="Q198" s="544">
        <f>IF(OR(Q1="物理",Q1="生物",Q1="化學",Q1="組合科學(物理、化學)",Q1="組合科學(物理、生物)",Q1="組合科學(生物、化學)",Q1="資訊及通訊科技",Q1="設計與應用科技"),1.5,IF(OR(Q1="經濟",Q1="地理"),1.2,1))</f>
        <v>1</v>
      </c>
      <c r="R198" s="544">
        <v>1</v>
      </c>
      <c r="S198" s="545"/>
      <c r="T198" s="401">
        <f t="shared" si="165"/>
        <v>1E-10</v>
      </c>
      <c r="U198" s="401">
        <f t="shared" si="166"/>
        <v>2.0000000000000001E-10</v>
      </c>
      <c r="V198" s="401">
        <f t="shared" si="167"/>
        <v>4.5E-10</v>
      </c>
      <c r="W198" s="401">
        <f t="shared" si="168"/>
        <v>2.0000000000000001E-10</v>
      </c>
      <c r="X198" s="401">
        <f t="shared" si="169"/>
        <v>7.500000000000001E-10</v>
      </c>
      <c r="Y198" s="401">
        <f t="shared" si="170"/>
        <v>6E-10</v>
      </c>
      <c r="Z198" s="401">
        <f t="shared" si="171"/>
        <v>6.9999999999999996E-10</v>
      </c>
      <c r="AA198" s="401">
        <f t="shared" si="172"/>
        <v>8.0000000000000003E-10</v>
      </c>
      <c r="AB198" s="401">
        <f t="shared" si="173"/>
        <v>8.9999999999999999E-10</v>
      </c>
      <c r="AC198" s="401">
        <f t="shared" si="174"/>
        <v>9.5000000000000003E-10</v>
      </c>
      <c r="AD198" s="401" t="b">
        <f t="shared" si="175"/>
        <v>0</v>
      </c>
      <c r="AE198" s="401" t="b">
        <f t="shared" si="176"/>
        <v>0</v>
      </c>
      <c r="AF198" s="401" t="b">
        <f t="shared" si="177"/>
        <v>0</v>
      </c>
      <c r="AG198" s="401" t="b">
        <f t="shared" si="178"/>
        <v>0</v>
      </c>
      <c r="AH198" s="401" t="b">
        <f t="shared" si="179"/>
        <v>1</v>
      </c>
      <c r="AI198" s="401" t="b">
        <f t="shared" si="180"/>
        <v>0</v>
      </c>
      <c r="AJ198" s="401" t="b">
        <f t="shared" si="181"/>
        <v>1</v>
      </c>
      <c r="AK198" s="401" t="b">
        <f t="shared" si="182"/>
        <v>1</v>
      </c>
      <c r="AL198" s="401" t="b">
        <f t="shared" si="183"/>
        <v>1</v>
      </c>
      <c r="AM198" s="401" t="b">
        <f t="shared" si="184"/>
        <v>1</v>
      </c>
      <c r="AN198" s="391"/>
      <c r="BB198" s="381"/>
      <c r="BC198" s="381"/>
      <c r="BD198" s="381"/>
      <c r="BE198" s="381"/>
      <c r="BF198" s="381"/>
    </row>
    <row r="199" spans="1:58" s="401" customFormat="1" x14ac:dyDescent="0.3">
      <c r="A199" s="544" t="str">
        <f>'Reference Score Calculation'!A178</f>
        <v>JS4468</v>
      </c>
      <c r="B199" s="544" t="str">
        <f>'Reference Score Calculation'!D178</f>
        <v>人工智能：系統與科技</v>
      </c>
      <c r="C199" s="544"/>
      <c r="D199" s="544" t="str">
        <f>'Reference Score Calculation'!E178</f>
        <v>Best 5</v>
      </c>
      <c r="E199" s="545" t="str">
        <f>入學要求!T187</f>
        <v>v</v>
      </c>
      <c r="F199" s="545" t="str">
        <f>入學要求!U187</f>
        <v>E</v>
      </c>
      <c r="G199" s="545" t="str">
        <f>入學要求!V187</f>
        <v>NO</v>
      </c>
      <c r="H199" s="544">
        <f t="shared" si="164"/>
        <v>4.2250000000000006E-9</v>
      </c>
      <c r="I199" s="544">
        <v>1.25</v>
      </c>
      <c r="J199" s="544">
        <v>1.25</v>
      </c>
      <c r="K199" s="544">
        <v>1.75</v>
      </c>
      <c r="L199" s="544">
        <v>1</v>
      </c>
      <c r="M199" s="544">
        <v>1.75</v>
      </c>
      <c r="N199" s="544">
        <f>IF(OR(N1="物理",N1="生物",N1="化學",N1="組合科學(物理、化學)",N1="組合科學(物理、生物)",N1="組合科學(生物、化學)",N1="資訊及通訊科技"),1.5,1)</f>
        <v>1</v>
      </c>
      <c r="O199" s="544">
        <f>IF(OR(O1="物理",O1="生物",O1="化學",O1="組合科學(物理、化學)",O1="組合科學(物理、生物)",O1="組合科學(生物、化學)",O1="資訊及通訊科技"),1.5,1)</f>
        <v>1</v>
      </c>
      <c r="P199" s="544">
        <f>IF(OR(P1="物理",P1="生物",P1="化學",P1="組合科學(物理、化學)",P1="組合科學(物理、生物)",P1="組合科學(生物、化學)",P1="資訊及通訊科技"),1.5,1)</f>
        <v>1</v>
      </c>
      <c r="Q199" s="544">
        <f>IF(OR(Q1="物理",Q1="生物",Q1="化學",Q1="組合科學(物理、化學)",Q1="組合科學(物理、生物)",Q1="組合科學(生物、化學)",Q1="資訊及通訊科技"),1.5,1)</f>
        <v>1</v>
      </c>
      <c r="R199" s="544">
        <v>1</v>
      </c>
      <c r="S199" s="545"/>
      <c r="T199" s="401">
        <f t="shared" si="165"/>
        <v>1.2500000000000001E-10</v>
      </c>
      <c r="U199" s="401">
        <f t="shared" si="166"/>
        <v>2.5000000000000002E-10</v>
      </c>
      <c r="V199" s="401">
        <f t="shared" si="167"/>
        <v>5.2499999999999994E-10</v>
      </c>
      <c r="W199" s="401">
        <f t="shared" si="168"/>
        <v>4.0000000000000001E-10</v>
      </c>
      <c r="X199" s="401">
        <f t="shared" si="169"/>
        <v>8.7500000000000008E-10</v>
      </c>
      <c r="Y199" s="401">
        <f t="shared" si="170"/>
        <v>6E-10</v>
      </c>
      <c r="Z199" s="401">
        <f t="shared" si="171"/>
        <v>6.9999999999999996E-10</v>
      </c>
      <c r="AA199" s="401">
        <f t="shared" si="172"/>
        <v>8.0000000000000003E-10</v>
      </c>
      <c r="AB199" s="401">
        <f t="shared" si="173"/>
        <v>8.9999999999999999E-10</v>
      </c>
      <c r="AC199" s="401">
        <f t="shared" si="174"/>
        <v>9.5000000000000003E-10</v>
      </c>
      <c r="AD199" s="401" t="b">
        <f t="shared" si="175"/>
        <v>0</v>
      </c>
      <c r="AE199" s="401" t="b">
        <f t="shared" si="176"/>
        <v>0</v>
      </c>
      <c r="AF199" s="401" t="b">
        <f t="shared" si="177"/>
        <v>0</v>
      </c>
      <c r="AG199" s="401" t="b">
        <f t="shared" si="178"/>
        <v>0</v>
      </c>
      <c r="AH199" s="401" t="b">
        <f t="shared" si="179"/>
        <v>1</v>
      </c>
      <c r="AI199" s="401" t="b">
        <f t="shared" si="180"/>
        <v>0</v>
      </c>
      <c r="AJ199" s="401" t="b">
        <f t="shared" si="181"/>
        <v>1</v>
      </c>
      <c r="AK199" s="401" t="b">
        <f t="shared" si="182"/>
        <v>1</v>
      </c>
      <c r="AL199" s="401" t="b">
        <f t="shared" si="183"/>
        <v>1</v>
      </c>
      <c r="AM199" s="401" t="b">
        <f t="shared" si="184"/>
        <v>1</v>
      </c>
      <c r="AN199" s="391"/>
      <c r="BB199" s="381"/>
      <c r="BC199" s="381"/>
      <c r="BD199" s="381"/>
      <c r="BE199" s="381"/>
      <c r="BF199" s="381"/>
    </row>
    <row r="200" spans="1:58" s="401" customFormat="1" x14ac:dyDescent="0.3">
      <c r="A200" s="544" t="str">
        <f>'Reference Score Calculation'!A179</f>
        <v>JS4501</v>
      </c>
      <c r="B200" s="544" t="str">
        <f>'Reference Score Calculation'!D179</f>
        <v>內外全科醫學士課程</v>
      </c>
      <c r="C200" s="544"/>
      <c r="D200" s="544" t="str">
        <f>'Reference Score Calculation'!E179</f>
        <v>4C3X</v>
      </c>
      <c r="E200" s="545" t="str">
        <f>入學要求!T188</f>
        <v>v</v>
      </c>
      <c r="F200" s="545" t="str">
        <f>入學要求!U188</f>
        <v>E</v>
      </c>
      <c r="G200" s="545" t="str">
        <f>入學要求!V188</f>
        <v>NO</v>
      </c>
      <c r="H200" s="406">
        <f>IF($U$15=TRUE,SUMIF(AD200:AM200,TRUE,T200:AC200)*0.9,SUMIF(AD200:AM200,TRUE,T200:AC200))</f>
        <v>3.6500000000000004E-9</v>
      </c>
      <c r="I200" s="544">
        <v>1</v>
      </c>
      <c r="J200" s="544">
        <v>1</v>
      </c>
      <c r="K200" s="544">
        <v>1</v>
      </c>
      <c r="L200" s="544">
        <v>1</v>
      </c>
      <c r="M200" s="544">
        <v>0.5</v>
      </c>
      <c r="N200" s="544">
        <v>1</v>
      </c>
      <c r="O200" s="544">
        <v>1</v>
      </c>
      <c r="P200" s="544">
        <v>1</v>
      </c>
      <c r="Q200" s="544">
        <v>1</v>
      </c>
      <c r="R200" s="544">
        <v>1</v>
      </c>
      <c r="S200" s="545"/>
      <c r="T200" s="401">
        <f>I$13*I200</f>
        <v>1E-10</v>
      </c>
      <c r="U200" s="401">
        <f t="shared" ref="U200:AB200" si="190">J$13*J200</f>
        <v>2.0000000000000001E-10</v>
      </c>
      <c r="V200" s="401">
        <f t="shared" si="190"/>
        <v>3E-10</v>
      </c>
      <c r="W200" s="401">
        <f t="shared" si="190"/>
        <v>4.0000000000000001E-10</v>
      </c>
      <c r="X200" s="401">
        <f t="shared" si="169"/>
        <v>2.5000000000000002E-10</v>
      </c>
      <c r="Y200" s="401">
        <f t="shared" si="190"/>
        <v>6E-10</v>
      </c>
      <c r="Z200" s="401">
        <f t="shared" si="190"/>
        <v>6.9999999999999996E-10</v>
      </c>
      <c r="AA200" s="401">
        <f t="shared" si="190"/>
        <v>8.0000000000000003E-10</v>
      </c>
      <c r="AB200" s="401">
        <f t="shared" si="190"/>
        <v>8.9999999999999999E-10</v>
      </c>
      <c r="AC200" s="401">
        <f t="shared" si="174"/>
        <v>9.5000000000000003E-10</v>
      </c>
      <c r="AD200" s="401" t="b">
        <v>1</v>
      </c>
      <c r="AE200" s="401" t="b">
        <v>1</v>
      </c>
      <c r="AF200" s="401" t="b">
        <v>1</v>
      </c>
      <c r="AG200" s="401" t="b">
        <v>1</v>
      </c>
      <c r="AH200" s="401" t="b">
        <f>IF(X200&gt;LARGE($X200:$AC200,4),TRUE)</f>
        <v>0</v>
      </c>
      <c r="AI200" s="401" t="b">
        <f t="shared" ref="AI200:AM200" si="191">IF(Y200&gt;LARGE($X200:$AC200,4),TRUE)</f>
        <v>0</v>
      </c>
      <c r="AJ200" s="401" t="b">
        <f t="shared" si="191"/>
        <v>0</v>
      </c>
      <c r="AK200" s="401" t="b">
        <f t="shared" si="191"/>
        <v>1</v>
      </c>
      <c r="AL200" s="401" t="b">
        <f t="shared" si="191"/>
        <v>1</v>
      </c>
      <c r="AM200" s="401" t="b">
        <f t="shared" si="191"/>
        <v>1</v>
      </c>
      <c r="AN200" s="391" t="str">
        <f>INDEX('Retake 扣分'!$H$13:$H$29,MATCH(A200,'Retake 扣分'!$A$13:$A$29,0))</f>
        <v>6%-10%</v>
      </c>
      <c r="BB200" s="381"/>
      <c r="BC200" s="381"/>
      <c r="BD200" s="381"/>
      <c r="BE200" s="381"/>
      <c r="BF200" s="381"/>
    </row>
    <row r="201" spans="1:58" s="401" customFormat="1" x14ac:dyDescent="0.3">
      <c r="A201" s="544" t="str">
        <f>'Reference Score Calculation'!A180</f>
        <v>JS4502</v>
      </c>
      <c r="B201" s="544" t="str">
        <f>'Reference Score Calculation'!D180</f>
        <v>內外全科醫學士課程環球醫學領袖培訓專修組別</v>
      </c>
      <c r="C201" s="544"/>
      <c r="D201" s="544" t="str">
        <f>'Reference Score Calculation'!E180</f>
        <v>4C3X</v>
      </c>
      <c r="E201" s="545" t="str">
        <f>入學要求!T189</f>
        <v>v</v>
      </c>
      <c r="F201" s="545" t="str">
        <f>入學要求!U189</f>
        <v>E</v>
      </c>
      <c r="G201" s="545" t="str">
        <f>入學要求!V189</f>
        <v>NO</v>
      </c>
      <c r="H201" s="406">
        <f>IF($U$15=TRUE,SUMIF(AD201:AM201,TRUE,T201:AC201)*0.9,SUMIF(AD201:AM201,TRUE,T201:AC201))</f>
        <v>3.6500000000000004E-9</v>
      </c>
      <c r="I201" s="544">
        <v>1</v>
      </c>
      <c r="J201" s="544">
        <v>1</v>
      </c>
      <c r="K201" s="544">
        <v>1</v>
      </c>
      <c r="L201" s="544">
        <v>1</v>
      </c>
      <c r="M201" s="544">
        <v>0.5</v>
      </c>
      <c r="N201" s="544">
        <v>1</v>
      </c>
      <c r="O201" s="544">
        <v>1</v>
      </c>
      <c r="P201" s="544">
        <v>1</v>
      </c>
      <c r="Q201" s="544">
        <v>1</v>
      </c>
      <c r="R201" s="544">
        <v>1</v>
      </c>
      <c r="S201" s="545"/>
      <c r="T201" s="401">
        <f>I$13*I201</f>
        <v>1E-10</v>
      </c>
      <c r="U201" s="401">
        <f t="shared" ref="U201" si="192">J$13*J201</f>
        <v>2.0000000000000001E-10</v>
      </c>
      <c r="V201" s="401">
        <f t="shared" ref="V201" si="193">K$13*K201</f>
        <v>3E-10</v>
      </c>
      <c r="W201" s="401">
        <f t="shared" ref="W201" si="194">L$13*L201</f>
        <v>4.0000000000000001E-10</v>
      </c>
      <c r="X201" s="401">
        <f t="shared" si="169"/>
        <v>2.5000000000000002E-10</v>
      </c>
      <c r="Y201" s="401">
        <f t="shared" ref="Y201" si="195">N$13*N201</f>
        <v>6E-10</v>
      </c>
      <c r="Z201" s="401">
        <f t="shared" ref="Z201" si="196">O$13*O201</f>
        <v>6.9999999999999996E-10</v>
      </c>
      <c r="AA201" s="401">
        <f t="shared" ref="AA201" si="197">P$13*P201</f>
        <v>8.0000000000000003E-10</v>
      </c>
      <c r="AB201" s="401">
        <f t="shared" ref="AB201" si="198">Q$13*Q201</f>
        <v>8.9999999999999999E-10</v>
      </c>
      <c r="AC201" s="401">
        <f t="shared" si="174"/>
        <v>9.5000000000000003E-10</v>
      </c>
      <c r="AD201" s="401" t="b">
        <v>1</v>
      </c>
      <c r="AE201" s="401" t="b">
        <v>1</v>
      </c>
      <c r="AF201" s="401" t="b">
        <v>1</v>
      </c>
      <c r="AG201" s="401" t="b">
        <v>1</v>
      </c>
      <c r="AH201" s="401" t="b">
        <f>IF(X201&gt;LARGE($X201:$AC201,4),TRUE)</f>
        <v>0</v>
      </c>
      <c r="AI201" s="401" t="b">
        <f>IF(Y201&gt;LARGE($X201:$AC201,4),TRUE)</f>
        <v>0</v>
      </c>
      <c r="AJ201" s="401" t="b">
        <f t="shared" ref="AJ201" si="199">IF(Z201&gt;LARGE($X201:$AC201,4),TRUE)</f>
        <v>0</v>
      </c>
      <c r="AK201" s="401" t="b">
        <f t="shared" ref="AK201" si="200">IF(AA201&gt;LARGE($X201:$AC201,4),TRUE)</f>
        <v>1</v>
      </c>
      <c r="AL201" s="401" t="b">
        <f t="shared" ref="AL201" si="201">IF(AB201&gt;LARGE($X201:$AC201,4),TRUE)</f>
        <v>1</v>
      </c>
      <c r="AM201" s="401" t="b">
        <f t="shared" ref="AM201" si="202">IF(AC201&gt;LARGE($X201:$AC201,4),TRUE)</f>
        <v>1</v>
      </c>
      <c r="AN201" s="391" t="str">
        <f>INDEX('Retake 扣分'!$H$13:$H$29,MATCH(A201,'Retake 扣分'!$A$13:$A$29,0))</f>
        <v>6%-10%</v>
      </c>
      <c r="BB201" s="381"/>
      <c r="BC201" s="381"/>
      <c r="BD201" s="381"/>
      <c r="BE201" s="381"/>
      <c r="BF201" s="381"/>
    </row>
    <row r="202" spans="1:58" s="401" customFormat="1" x14ac:dyDescent="0.3">
      <c r="A202" s="544" t="str">
        <f>'Reference Score Calculation'!A181</f>
        <v>JS4513</v>
      </c>
      <c r="B202" s="544" t="str">
        <f>'Reference Score Calculation'!D181</f>
        <v>護理學</v>
      </c>
      <c r="C202" s="544"/>
      <c r="D202" s="544" t="str">
        <f>'Reference Score Calculation'!E181</f>
        <v>4C2X</v>
      </c>
      <c r="E202" s="545" t="str">
        <f>入學要求!T190</f>
        <v>v</v>
      </c>
      <c r="F202" s="545" t="str">
        <f>入學要求!U190</f>
        <v>E</v>
      </c>
      <c r="G202" s="545" t="str">
        <f>入學要求!V190</f>
        <v>NO</v>
      </c>
      <c r="H202" s="544">
        <f t="shared" si="164"/>
        <v>2.8499999999999999E-9</v>
      </c>
      <c r="I202" s="544">
        <v>1</v>
      </c>
      <c r="J202" s="544">
        <v>1</v>
      </c>
      <c r="K202" s="544">
        <v>1</v>
      </c>
      <c r="L202" s="544">
        <v>1</v>
      </c>
      <c r="M202" s="544">
        <v>1</v>
      </c>
      <c r="N202" s="544">
        <f>IF(OR(N1="物理",N1="生物",N1="化學",N1="組合科學(物理、化學)",N1="組合科學(物理、生物)",N1="組合科學(生物、化學)",N1="綜合科學"),1.5,1)</f>
        <v>1</v>
      </c>
      <c r="O202" s="544">
        <f>IF(OR(O1="物理",O1="生物",O1="化學",O1="組合科學(物理、化學)",O1="組合科學(物理、生物)",O1="組合科學(生物、化學)",O1="綜合科學"),1.5,1)</f>
        <v>1</v>
      </c>
      <c r="P202" s="544">
        <f>IF(OR(P1="物理",P1="生物",P1="化學",P1="組合科學(物理、化學)",P1="組合科學(物理、生物)",P1="組合科學(生物、化學)",P1="綜合科學"),1.5,1)</f>
        <v>1</v>
      </c>
      <c r="Q202" s="544">
        <f>IF(OR(Q1="物理",Q1="生物",Q1="化學",Q1="組合科學(物理、化學)",Q1="組合科學(物理、生物)",Q1="組合科學(生物、化學)",Q1="綜合科學"),1.5,1)</f>
        <v>1</v>
      </c>
      <c r="R202" s="544">
        <v>1</v>
      </c>
      <c r="S202" s="545"/>
      <c r="T202" s="401">
        <f t="shared" si="165"/>
        <v>1E-10</v>
      </c>
      <c r="U202" s="401">
        <f t="shared" si="166"/>
        <v>2.0000000000000001E-10</v>
      </c>
      <c r="V202" s="401">
        <f t="shared" si="167"/>
        <v>3E-10</v>
      </c>
      <c r="W202" s="401">
        <f t="shared" si="168"/>
        <v>4.0000000000000001E-10</v>
      </c>
      <c r="X202" s="401">
        <f t="shared" si="169"/>
        <v>5.0000000000000003E-10</v>
      </c>
      <c r="Y202" s="401">
        <f t="shared" si="170"/>
        <v>6E-10</v>
      </c>
      <c r="Z202" s="401">
        <f t="shared" si="171"/>
        <v>6.9999999999999996E-10</v>
      </c>
      <c r="AA202" s="401">
        <f t="shared" si="172"/>
        <v>8.0000000000000003E-10</v>
      </c>
      <c r="AB202" s="401">
        <f t="shared" si="173"/>
        <v>8.9999999999999999E-10</v>
      </c>
      <c r="AC202" s="401">
        <f t="shared" si="174"/>
        <v>9.5000000000000003E-10</v>
      </c>
      <c r="AD202" s="401" t="b">
        <f t="shared" si="175"/>
        <v>1</v>
      </c>
      <c r="AE202" s="401" t="b">
        <f t="shared" si="176"/>
        <v>1</v>
      </c>
      <c r="AF202" s="401" t="b">
        <f t="shared" si="177"/>
        <v>1</v>
      </c>
      <c r="AG202" s="401" t="b">
        <f t="shared" si="178"/>
        <v>1</v>
      </c>
      <c r="AH202" s="401" t="b">
        <f t="shared" si="179"/>
        <v>0</v>
      </c>
      <c r="AI202" s="401" t="b">
        <f t="shared" si="180"/>
        <v>0</v>
      </c>
      <c r="AJ202" s="401" t="b">
        <f t="shared" si="181"/>
        <v>0</v>
      </c>
      <c r="AK202" s="401" t="b">
        <f t="shared" si="182"/>
        <v>0</v>
      </c>
      <c r="AL202" s="401" t="b">
        <f t="shared" si="183"/>
        <v>1</v>
      </c>
      <c r="AM202" s="401" t="b">
        <f t="shared" si="184"/>
        <v>1</v>
      </c>
      <c r="AN202" s="391"/>
      <c r="BB202" s="381"/>
      <c r="BC202" s="381"/>
      <c r="BD202" s="381"/>
      <c r="BE202" s="381"/>
      <c r="BF202" s="381"/>
    </row>
    <row r="203" spans="1:58" s="405" customFormat="1" x14ac:dyDescent="0.3">
      <c r="A203" s="406" t="str">
        <f>'Reference Score Calculation'!A182</f>
        <v>JS4525</v>
      </c>
      <c r="B203" s="406" t="str">
        <f>'Reference Score Calculation'!D182</f>
        <v>藥劑學</v>
      </c>
      <c r="C203" s="406"/>
      <c r="D203" s="406" t="str">
        <f>'Reference Score Calculation'!E182</f>
        <v>4C2X</v>
      </c>
      <c r="E203" s="418" t="str">
        <f>入學要求!T191</f>
        <v>v</v>
      </c>
      <c r="F203" s="418" t="str">
        <f>入學要求!U191</f>
        <v>E</v>
      </c>
      <c r="G203" s="418" t="str">
        <f>入學要求!V191</f>
        <v>NO</v>
      </c>
      <c r="H203" s="406">
        <f>IF($U$15=TRUE,SUMIF(AD203:AM203,TRUE,T203:AC203)*0.95,SUMIF(AD203:AM203,TRUE,T203:AC203))</f>
        <v>2.8499999999999999E-9</v>
      </c>
      <c r="I203" s="406">
        <v>1</v>
      </c>
      <c r="J203" s="406">
        <v>1</v>
      </c>
      <c r="K203" s="406">
        <v>1</v>
      </c>
      <c r="L203" s="406">
        <v>1</v>
      </c>
      <c r="M203" s="406">
        <v>1</v>
      </c>
      <c r="N203" s="406">
        <v>1</v>
      </c>
      <c r="O203" s="406">
        <v>1</v>
      </c>
      <c r="P203" s="406">
        <v>1</v>
      </c>
      <c r="Q203" s="406">
        <v>1</v>
      </c>
      <c r="R203" s="406">
        <v>1</v>
      </c>
      <c r="S203" s="418"/>
      <c r="T203" s="405">
        <f t="shared" si="165"/>
        <v>1E-10</v>
      </c>
      <c r="U203" s="405">
        <f t="shared" si="166"/>
        <v>2.0000000000000001E-10</v>
      </c>
      <c r="V203" s="405">
        <f t="shared" si="167"/>
        <v>3E-10</v>
      </c>
      <c r="W203" s="405">
        <f t="shared" si="168"/>
        <v>4.0000000000000001E-10</v>
      </c>
      <c r="X203" s="405">
        <f t="shared" si="169"/>
        <v>5.0000000000000003E-10</v>
      </c>
      <c r="Y203" s="405">
        <f t="shared" si="170"/>
        <v>6E-10</v>
      </c>
      <c r="Z203" s="405">
        <f t="shared" si="171"/>
        <v>6.9999999999999996E-10</v>
      </c>
      <c r="AA203" s="405">
        <f t="shared" si="172"/>
        <v>8.0000000000000003E-10</v>
      </c>
      <c r="AB203" s="405">
        <f t="shared" si="173"/>
        <v>8.9999999999999999E-10</v>
      </c>
      <c r="AC203" s="405">
        <f t="shared" si="174"/>
        <v>9.5000000000000003E-10</v>
      </c>
      <c r="AD203" s="405" t="b">
        <f t="shared" si="175"/>
        <v>1</v>
      </c>
      <c r="AE203" s="405" t="b">
        <f t="shared" si="176"/>
        <v>1</v>
      </c>
      <c r="AF203" s="405" t="b">
        <f t="shared" si="177"/>
        <v>1</v>
      </c>
      <c r="AG203" s="405" t="b">
        <f t="shared" si="178"/>
        <v>1</v>
      </c>
      <c r="AH203" s="405" t="b">
        <f t="shared" si="179"/>
        <v>0</v>
      </c>
      <c r="AI203" s="405" t="b">
        <f t="shared" si="180"/>
        <v>0</v>
      </c>
      <c r="AJ203" s="405" t="b">
        <f t="shared" si="181"/>
        <v>0</v>
      </c>
      <c r="AK203" s="405" t="b">
        <f t="shared" si="182"/>
        <v>0</v>
      </c>
      <c r="AL203" s="405" t="b">
        <f t="shared" si="183"/>
        <v>1</v>
      </c>
      <c r="AM203" s="405" t="b">
        <f t="shared" si="184"/>
        <v>1</v>
      </c>
      <c r="AN203" s="405" t="str">
        <f>INDEX('Retake 扣分'!$H$13:$H$29,MATCH(A203,'Retake 扣分'!$A$13:$A$29,0))</f>
        <v>5%或更少</v>
      </c>
      <c r="BB203" s="371"/>
      <c r="BC203" s="371"/>
      <c r="BD203" s="371"/>
      <c r="BE203" s="371"/>
      <c r="BF203" s="371"/>
    </row>
    <row r="204" spans="1:58" s="401" customFormat="1" x14ac:dyDescent="0.3">
      <c r="A204" s="544" t="str">
        <f>'Reference Score Calculation'!A183</f>
        <v>JS4537</v>
      </c>
      <c r="B204" s="544" t="str">
        <f>'Reference Score Calculation'!D183</f>
        <v>公共衞生</v>
      </c>
      <c r="C204" s="544"/>
      <c r="D204" s="544" t="str">
        <f>'Reference Score Calculation'!E183</f>
        <v>Best 5</v>
      </c>
      <c r="E204" s="545" t="str">
        <f>入學要求!T192</f>
        <v>v</v>
      </c>
      <c r="F204" s="545" t="str">
        <f>入學要求!U192</f>
        <v>E</v>
      </c>
      <c r="G204" s="545" t="str">
        <f>入學要求!V192</f>
        <v>NO</v>
      </c>
      <c r="H204" s="544">
        <f t="shared" si="164"/>
        <v>3.9500000000000006E-9</v>
      </c>
      <c r="I204" s="544">
        <v>1</v>
      </c>
      <c r="J204" s="544">
        <v>1</v>
      </c>
      <c r="K204" s="544">
        <v>1</v>
      </c>
      <c r="L204" s="544">
        <v>1</v>
      </c>
      <c r="M204" s="544">
        <v>1</v>
      </c>
      <c r="N204" s="544">
        <v>1</v>
      </c>
      <c r="O204" s="544">
        <v>1</v>
      </c>
      <c r="P204" s="544">
        <v>1</v>
      </c>
      <c r="Q204" s="544">
        <v>1</v>
      </c>
      <c r="R204" s="544">
        <v>1</v>
      </c>
      <c r="S204" s="545"/>
      <c r="T204" s="401">
        <f t="shared" si="165"/>
        <v>1E-10</v>
      </c>
      <c r="U204" s="401">
        <f t="shared" si="166"/>
        <v>2.0000000000000001E-10</v>
      </c>
      <c r="V204" s="401">
        <f t="shared" si="167"/>
        <v>3E-10</v>
      </c>
      <c r="W204" s="401">
        <f t="shared" si="168"/>
        <v>4.0000000000000001E-10</v>
      </c>
      <c r="X204" s="401">
        <f t="shared" si="169"/>
        <v>5.0000000000000003E-10</v>
      </c>
      <c r="Y204" s="401">
        <f t="shared" si="170"/>
        <v>6E-10</v>
      </c>
      <c r="Z204" s="401">
        <f t="shared" si="171"/>
        <v>6.9999999999999996E-10</v>
      </c>
      <c r="AA204" s="401">
        <f t="shared" si="172"/>
        <v>8.0000000000000003E-10</v>
      </c>
      <c r="AB204" s="401">
        <f t="shared" si="173"/>
        <v>8.9999999999999999E-10</v>
      </c>
      <c r="AC204" s="401">
        <f t="shared" si="174"/>
        <v>9.5000000000000003E-10</v>
      </c>
      <c r="AD204" s="401" t="b">
        <f t="shared" si="175"/>
        <v>0</v>
      </c>
      <c r="AE204" s="401" t="b">
        <f t="shared" si="176"/>
        <v>0</v>
      </c>
      <c r="AF204" s="401" t="b">
        <f t="shared" si="177"/>
        <v>0</v>
      </c>
      <c r="AG204" s="401" t="b">
        <f t="shared" si="178"/>
        <v>0</v>
      </c>
      <c r="AH204" s="401" t="b">
        <f t="shared" si="179"/>
        <v>0</v>
      </c>
      <c r="AI204" s="401" t="b">
        <f t="shared" si="180"/>
        <v>1</v>
      </c>
      <c r="AJ204" s="401" t="b">
        <f t="shared" si="181"/>
        <v>1</v>
      </c>
      <c r="AK204" s="401" t="b">
        <f t="shared" si="182"/>
        <v>1</v>
      </c>
      <c r="AL204" s="401" t="b">
        <f t="shared" si="183"/>
        <v>1</v>
      </c>
      <c r="AM204" s="401" t="b">
        <f t="shared" si="184"/>
        <v>1</v>
      </c>
      <c r="AN204" s="391"/>
      <c r="BB204" s="381"/>
      <c r="BC204" s="381"/>
      <c r="BD204" s="381"/>
      <c r="BE204" s="381"/>
      <c r="BF204" s="381"/>
    </row>
    <row r="205" spans="1:58" s="401" customFormat="1" x14ac:dyDescent="0.3">
      <c r="A205" s="544" t="str">
        <f>'Reference Score Calculation'!A184</f>
        <v>JS4542</v>
      </c>
      <c r="B205" s="544" t="str">
        <f>'Reference Score Calculation'!D184</f>
        <v>中醫學</v>
      </c>
      <c r="C205" s="544"/>
      <c r="D205" s="544" t="str">
        <f>'Reference Score Calculation'!E184</f>
        <v>4C2X</v>
      </c>
      <c r="E205" s="545" t="str">
        <f>入學要求!T193</f>
        <v>v</v>
      </c>
      <c r="F205" s="545" t="str">
        <f>入學要求!U193</f>
        <v>E</v>
      </c>
      <c r="G205" s="545" t="str">
        <f>入學要求!V193</f>
        <v>NO</v>
      </c>
      <c r="H205" s="544">
        <f t="shared" si="164"/>
        <v>2.8499999999999999E-9</v>
      </c>
      <c r="I205" s="544">
        <v>1</v>
      </c>
      <c r="J205" s="544">
        <v>1</v>
      </c>
      <c r="K205" s="544">
        <v>1</v>
      </c>
      <c r="L205" s="544">
        <v>1</v>
      </c>
      <c r="M205" s="544">
        <v>1</v>
      </c>
      <c r="N205" s="544">
        <v>1</v>
      </c>
      <c r="O205" s="544">
        <v>1</v>
      </c>
      <c r="P205" s="544">
        <v>1</v>
      </c>
      <c r="Q205" s="544">
        <v>1</v>
      </c>
      <c r="R205" s="544">
        <v>1</v>
      </c>
      <c r="S205" s="545"/>
      <c r="T205" s="401">
        <f t="shared" si="165"/>
        <v>1E-10</v>
      </c>
      <c r="U205" s="401">
        <f t="shared" si="166"/>
        <v>2.0000000000000001E-10</v>
      </c>
      <c r="V205" s="401">
        <f t="shared" si="167"/>
        <v>3E-10</v>
      </c>
      <c r="W205" s="401">
        <f t="shared" si="168"/>
        <v>4.0000000000000001E-10</v>
      </c>
      <c r="X205" s="401">
        <f t="shared" si="169"/>
        <v>5.0000000000000003E-10</v>
      </c>
      <c r="Y205" s="401">
        <f t="shared" si="170"/>
        <v>6E-10</v>
      </c>
      <c r="Z205" s="401">
        <f t="shared" si="171"/>
        <v>6.9999999999999996E-10</v>
      </c>
      <c r="AA205" s="401">
        <f t="shared" si="172"/>
        <v>8.0000000000000003E-10</v>
      </c>
      <c r="AB205" s="401">
        <f t="shared" si="173"/>
        <v>8.9999999999999999E-10</v>
      </c>
      <c r="AC205" s="401">
        <f t="shared" si="174"/>
        <v>9.5000000000000003E-10</v>
      </c>
      <c r="AD205" s="401" t="b">
        <f t="shared" si="175"/>
        <v>1</v>
      </c>
      <c r="AE205" s="401" t="b">
        <f t="shared" si="176"/>
        <v>1</v>
      </c>
      <c r="AF205" s="401" t="b">
        <f t="shared" si="177"/>
        <v>1</v>
      </c>
      <c r="AG205" s="401" t="b">
        <f t="shared" si="178"/>
        <v>1</v>
      </c>
      <c r="AH205" s="401" t="b">
        <f t="shared" si="179"/>
        <v>0</v>
      </c>
      <c r="AI205" s="401" t="b">
        <f t="shared" si="180"/>
        <v>0</v>
      </c>
      <c r="AJ205" s="401" t="b">
        <f t="shared" si="181"/>
        <v>0</v>
      </c>
      <c r="AK205" s="401" t="b">
        <f t="shared" si="182"/>
        <v>0</v>
      </c>
      <c r="AL205" s="401" t="b">
        <f t="shared" si="183"/>
        <v>1</v>
      </c>
      <c r="AM205" s="401" t="b">
        <f t="shared" si="184"/>
        <v>1</v>
      </c>
      <c r="AN205" s="391"/>
      <c r="BB205" s="381"/>
      <c r="BC205" s="381"/>
      <c r="BD205" s="381"/>
      <c r="BE205" s="381"/>
      <c r="BF205" s="381"/>
    </row>
    <row r="206" spans="1:58" s="401" customFormat="1" x14ac:dyDescent="0.3">
      <c r="A206" s="544" t="str">
        <f>'Reference Score Calculation'!A185</f>
        <v>JS4550</v>
      </c>
      <c r="B206" s="544" t="str">
        <f>'Reference Score Calculation'!D185</f>
        <v>生物醫學</v>
      </c>
      <c r="C206" s="544"/>
      <c r="D206" s="544" t="str">
        <f>'Reference Score Calculation'!E185</f>
        <v>4C2X</v>
      </c>
      <c r="E206" s="545" t="str">
        <f>入學要求!T194</f>
        <v>v</v>
      </c>
      <c r="F206" s="545" t="str">
        <f>入學要求!U194</f>
        <v>NO</v>
      </c>
      <c r="G206" s="545" t="str">
        <f>入學要求!V194</f>
        <v>NO</v>
      </c>
      <c r="H206" s="544">
        <f t="shared" si="164"/>
        <v>2.7000000000000002E-9</v>
      </c>
      <c r="I206" s="544">
        <v>1</v>
      </c>
      <c r="J206" s="544">
        <v>1</v>
      </c>
      <c r="K206" s="544">
        <v>1</v>
      </c>
      <c r="L206" s="544">
        <v>1</v>
      </c>
      <c r="M206" s="544">
        <v>1</v>
      </c>
      <c r="N206" s="544">
        <v>1</v>
      </c>
      <c r="O206" s="544">
        <v>1</v>
      </c>
      <c r="P206" s="544">
        <v>1</v>
      </c>
      <c r="Q206" s="544">
        <v>1</v>
      </c>
      <c r="R206" s="544">
        <v>1</v>
      </c>
      <c r="S206" s="545"/>
      <c r="T206" s="401">
        <f t="shared" si="165"/>
        <v>1E-10</v>
      </c>
      <c r="U206" s="401">
        <f t="shared" si="166"/>
        <v>2.0000000000000001E-10</v>
      </c>
      <c r="V206" s="401">
        <f t="shared" si="167"/>
        <v>3E-10</v>
      </c>
      <c r="W206" s="401">
        <f t="shared" si="168"/>
        <v>4.0000000000000001E-10</v>
      </c>
      <c r="X206" s="401">
        <f t="shared" si="169"/>
        <v>5.0000000000000003E-10</v>
      </c>
      <c r="Y206" s="401">
        <f t="shared" si="170"/>
        <v>6E-10</v>
      </c>
      <c r="Z206" s="401">
        <f t="shared" si="171"/>
        <v>6.9999999999999996E-10</v>
      </c>
      <c r="AA206" s="401">
        <f t="shared" si="172"/>
        <v>8.0000000000000003E-10</v>
      </c>
      <c r="AB206" s="401">
        <f t="shared" si="173"/>
        <v>8.9999999999999999E-10</v>
      </c>
      <c r="AC206" s="401">
        <f t="shared" si="174"/>
        <v>0</v>
      </c>
      <c r="AD206" s="401" t="b">
        <f t="shared" si="175"/>
        <v>1</v>
      </c>
      <c r="AE206" s="401" t="b">
        <f t="shared" si="176"/>
        <v>1</v>
      </c>
      <c r="AF206" s="401" t="b">
        <f t="shared" si="177"/>
        <v>1</v>
      </c>
      <c r="AG206" s="401" t="b">
        <f t="shared" si="178"/>
        <v>1</v>
      </c>
      <c r="AH206" s="401" t="b">
        <f t="shared" si="179"/>
        <v>0</v>
      </c>
      <c r="AI206" s="401" t="b">
        <f t="shared" si="180"/>
        <v>0</v>
      </c>
      <c r="AJ206" s="401" t="b">
        <f t="shared" si="181"/>
        <v>0</v>
      </c>
      <c r="AK206" s="401" t="b">
        <f t="shared" si="182"/>
        <v>1</v>
      </c>
      <c r="AL206" s="401" t="b">
        <f t="shared" si="183"/>
        <v>1</v>
      </c>
      <c r="AM206" s="401" t="b">
        <f t="shared" si="184"/>
        <v>0</v>
      </c>
      <c r="AN206" s="391"/>
      <c r="BB206" s="381"/>
      <c r="BC206" s="381"/>
      <c r="BD206" s="381"/>
      <c r="BE206" s="381"/>
      <c r="BF206" s="381"/>
    </row>
    <row r="207" spans="1:58" s="401" customFormat="1" x14ac:dyDescent="0.3">
      <c r="A207" s="544" t="str">
        <f>'Reference Score Calculation'!A186</f>
        <v>JS4601</v>
      </c>
      <c r="B207" s="544" t="str">
        <f>'Reference Score Calculation'!D186</f>
        <v>理學</v>
      </c>
      <c r="C207" s="544"/>
      <c r="D207" s="544" t="str">
        <f>'Reference Score Calculation'!E186</f>
        <v>Best 5</v>
      </c>
      <c r="E207" s="545" t="str">
        <f>入學要求!T195</f>
        <v>v</v>
      </c>
      <c r="F207" s="545" t="str">
        <f>入學要求!U195</f>
        <v>NO</v>
      </c>
      <c r="G207" s="545" t="str">
        <f>入學要求!V195</f>
        <v>NO</v>
      </c>
      <c r="H207" s="544">
        <f t="shared" si="164"/>
        <v>3.3999999999999998E-9</v>
      </c>
      <c r="I207" s="544">
        <f t="shared" ref="I207:R207" si="203">IF(I1=$AT$175,$AU$175,IF(I1=$AV$175,$AW$175,IF(I1=$AX$175,$AY$175,1)))</f>
        <v>1</v>
      </c>
      <c r="J207" s="544">
        <f t="shared" si="203"/>
        <v>1.5</v>
      </c>
      <c r="K207" s="544">
        <f t="shared" si="203"/>
        <v>2</v>
      </c>
      <c r="L207" s="544">
        <f t="shared" si="203"/>
        <v>1</v>
      </c>
      <c r="M207" s="544">
        <f t="shared" si="203"/>
        <v>2</v>
      </c>
      <c r="N207" s="544">
        <f t="shared" si="203"/>
        <v>1</v>
      </c>
      <c r="O207" s="544">
        <f t="shared" si="203"/>
        <v>1</v>
      </c>
      <c r="P207" s="544">
        <f t="shared" si="203"/>
        <v>1</v>
      </c>
      <c r="Q207" s="544">
        <f t="shared" si="203"/>
        <v>1</v>
      </c>
      <c r="R207" s="544">
        <f t="shared" si="203"/>
        <v>1</v>
      </c>
      <c r="S207" s="545"/>
      <c r="T207" s="401">
        <f t="shared" si="165"/>
        <v>1E-10</v>
      </c>
      <c r="U207" s="401">
        <f t="shared" si="166"/>
        <v>3E-10</v>
      </c>
      <c r="V207" s="401">
        <f t="shared" si="167"/>
        <v>6E-10</v>
      </c>
      <c r="W207" s="401">
        <f t="shared" si="168"/>
        <v>4.0000000000000001E-10</v>
      </c>
      <c r="X207" s="401">
        <f t="shared" si="169"/>
        <v>1.0000000000000001E-9</v>
      </c>
      <c r="Y207" s="401">
        <f t="shared" si="170"/>
        <v>6E-10</v>
      </c>
      <c r="Z207" s="401">
        <f t="shared" si="171"/>
        <v>6.9999999999999996E-10</v>
      </c>
      <c r="AA207" s="401">
        <f t="shared" si="172"/>
        <v>8.0000000000000003E-10</v>
      </c>
      <c r="AB207" s="401">
        <f t="shared" si="173"/>
        <v>8.9999999999999999E-10</v>
      </c>
      <c r="AC207" s="401">
        <f t="shared" si="174"/>
        <v>0</v>
      </c>
      <c r="AD207" s="401" t="b">
        <f t="shared" si="175"/>
        <v>0</v>
      </c>
      <c r="AE207" s="401" t="b">
        <f t="shared" si="176"/>
        <v>0</v>
      </c>
      <c r="AF207" s="401" t="b">
        <f t="shared" si="177"/>
        <v>0</v>
      </c>
      <c r="AG207" s="401" t="b">
        <f t="shared" si="178"/>
        <v>0</v>
      </c>
      <c r="AH207" s="401" t="b">
        <f t="shared" si="179"/>
        <v>1</v>
      </c>
      <c r="AI207" s="401" t="b">
        <f t="shared" si="180"/>
        <v>0</v>
      </c>
      <c r="AJ207" s="401" t="b">
        <f t="shared" si="181"/>
        <v>1</v>
      </c>
      <c r="AK207" s="401" t="b">
        <f t="shared" si="182"/>
        <v>1</v>
      </c>
      <c r="AL207" s="401" t="b">
        <f t="shared" si="183"/>
        <v>1</v>
      </c>
      <c r="AM207" s="401" t="b">
        <f t="shared" si="184"/>
        <v>0</v>
      </c>
      <c r="AN207" s="391"/>
      <c r="BB207" s="381"/>
      <c r="BC207" s="381"/>
      <c r="BD207" s="381"/>
      <c r="BE207" s="381"/>
      <c r="BF207" s="381"/>
    </row>
    <row r="208" spans="1:58" s="401" customFormat="1" ht="13.95" customHeight="1" x14ac:dyDescent="0.3">
      <c r="A208" s="544" t="str">
        <f>'Reference Score Calculation'!A187</f>
        <v>JS4648</v>
      </c>
      <c r="B208" s="544" t="str">
        <f>'Reference Score Calculation'!D187</f>
        <v>地球與環境科學</v>
      </c>
      <c r="C208" s="544"/>
      <c r="D208" s="544" t="str">
        <f>'Reference Score Calculation'!AD187</f>
        <v>Best 5</v>
      </c>
      <c r="E208" s="545" t="str">
        <f>入學要求!T196</f>
        <v>v</v>
      </c>
      <c r="F208" s="545" t="str">
        <f>入學要求!U196</f>
        <v>NO</v>
      </c>
      <c r="G208" s="545" t="str">
        <f>入學要求!V196</f>
        <v>NO</v>
      </c>
      <c r="H208" s="544">
        <f t="shared" si="164"/>
        <v>3.7500000000000005E-9</v>
      </c>
      <c r="I208" s="544">
        <v>1</v>
      </c>
      <c r="J208" s="544">
        <v>1.5</v>
      </c>
      <c r="K208" s="544">
        <v>1.5</v>
      </c>
      <c r="L208" s="544">
        <v>1</v>
      </c>
      <c r="M208" s="544">
        <v>1.5</v>
      </c>
      <c r="N208" s="544">
        <f>IF(OR(N1="物理",N1="生物",N1="化學",N1="組合科學(物理、化學)",N1="組合科學(物理、生物)",N1="組合科學(生物、化學)",N1="綜合科學",N1="地理"),1.5,1)</f>
        <v>1</v>
      </c>
      <c r="O208" s="544">
        <f>IF(OR(O1="物理",O1="生物",O1="化學",O1="組合科學(物理、化學)",O1="組合科學(物理、生物)",O1="組合科學(生物、化學)",O1="綜合科學",O1="地理"),1.5,1)</f>
        <v>1</v>
      </c>
      <c r="P208" s="544">
        <f>IF(OR(P1="物理",P1="生物",P1="化學",P1="組合科學(物理、化學)",P1="組合科學(物理、生物)",P1="組合科學(生物、化學)",P1="綜合科學",P1="地理"),1.5,1)</f>
        <v>1</v>
      </c>
      <c r="Q208" s="544">
        <f>IF(OR(Q1="物理",Q1="生物",Q1="化學",Q1="組合科學(物理、化學)",Q1="組合科學(物理、生物)",Q1="組合科學(生物、化學)",Q1="綜合科學",Q1="地理"),1.5,1)</f>
        <v>1</v>
      </c>
      <c r="R208" s="544">
        <v>1</v>
      </c>
      <c r="S208" s="545"/>
      <c r="T208" s="401">
        <f t="shared" si="165"/>
        <v>1E-10</v>
      </c>
      <c r="U208" s="401">
        <f t="shared" si="166"/>
        <v>3E-10</v>
      </c>
      <c r="V208" s="401">
        <f t="shared" si="167"/>
        <v>4.5E-10</v>
      </c>
      <c r="W208" s="401">
        <f t="shared" si="168"/>
        <v>4.0000000000000001E-10</v>
      </c>
      <c r="X208" s="401">
        <f t="shared" si="169"/>
        <v>7.500000000000001E-10</v>
      </c>
      <c r="Y208" s="401">
        <f t="shared" si="170"/>
        <v>6E-10</v>
      </c>
      <c r="Z208" s="401">
        <f t="shared" si="171"/>
        <v>6.9999999999999996E-10</v>
      </c>
      <c r="AA208" s="401">
        <f t="shared" si="172"/>
        <v>8.0000000000000003E-10</v>
      </c>
      <c r="AB208" s="401">
        <f t="shared" si="173"/>
        <v>8.9999999999999999E-10</v>
      </c>
      <c r="AC208" s="401">
        <f t="shared" si="174"/>
        <v>0</v>
      </c>
      <c r="AD208" s="401" t="b">
        <f t="shared" si="175"/>
        <v>0</v>
      </c>
      <c r="AE208" s="401" t="b">
        <f t="shared" si="176"/>
        <v>0</v>
      </c>
      <c r="AF208" s="401" t="b">
        <f t="shared" si="177"/>
        <v>0</v>
      </c>
      <c r="AG208" s="401" t="b">
        <f t="shared" si="178"/>
        <v>0</v>
      </c>
      <c r="AH208" s="401" t="b">
        <f t="shared" si="179"/>
        <v>1</v>
      </c>
      <c r="AI208" s="401" t="b">
        <f t="shared" si="180"/>
        <v>1</v>
      </c>
      <c r="AJ208" s="401" t="b">
        <f t="shared" si="181"/>
        <v>1</v>
      </c>
      <c r="AK208" s="401" t="b">
        <f t="shared" si="182"/>
        <v>1</v>
      </c>
      <c r="AL208" s="401" t="b">
        <f t="shared" si="183"/>
        <v>1</v>
      </c>
      <c r="AM208" s="401" t="b">
        <f t="shared" si="184"/>
        <v>0</v>
      </c>
      <c r="AN208" s="391"/>
      <c r="BB208" s="381"/>
      <c r="BC208" s="381"/>
      <c r="BD208" s="549"/>
      <c r="BE208" s="381"/>
      <c r="BF208" s="381"/>
    </row>
    <row r="209" spans="1:67" x14ac:dyDescent="0.3">
      <c r="A209" s="408" t="str">
        <f>'Reference Score Calculation'!A188</f>
        <v>JS4682</v>
      </c>
      <c r="B209" s="408" t="str">
        <f>'Reference Score Calculation'!D188</f>
        <v>數學精研</v>
      </c>
      <c r="C209" s="235"/>
      <c r="D209" s="408" t="str">
        <f>'Reference Score Calculation'!E188</f>
        <v>Best 5</v>
      </c>
      <c r="E209" s="409" t="str">
        <f>入學要求!T197</f>
        <v>v</v>
      </c>
      <c r="F209" s="409" t="str">
        <f>入學要求!U197</f>
        <v>E</v>
      </c>
      <c r="G209" s="409" t="str">
        <f>入學要求!V197</f>
        <v>NO</v>
      </c>
      <c r="H209" s="408">
        <f t="shared" si="164"/>
        <v>4.3500000000000001E-9</v>
      </c>
      <c r="I209" s="235">
        <v>1</v>
      </c>
      <c r="J209" s="235">
        <v>1</v>
      </c>
      <c r="K209" s="235">
        <v>1</v>
      </c>
      <c r="L209" s="235">
        <v>1</v>
      </c>
      <c r="M209" s="235">
        <v>2</v>
      </c>
      <c r="N209" s="235">
        <v>1</v>
      </c>
      <c r="O209" s="235">
        <v>1</v>
      </c>
      <c r="P209" s="235">
        <v>1</v>
      </c>
      <c r="Q209" s="408">
        <v>1</v>
      </c>
      <c r="R209" s="408">
        <v>1</v>
      </c>
      <c r="S209" s="236"/>
      <c r="T209" s="391">
        <f t="shared" si="165"/>
        <v>1E-10</v>
      </c>
      <c r="U209" s="391">
        <f t="shared" si="166"/>
        <v>2.0000000000000001E-10</v>
      </c>
      <c r="V209" s="391">
        <f t="shared" si="167"/>
        <v>3E-10</v>
      </c>
      <c r="W209" s="391">
        <f t="shared" si="168"/>
        <v>4.0000000000000001E-10</v>
      </c>
      <c r="X209" s="391">
        <f t="shared" si="169"/>
        <v>1.0000000000000001E-9</v>
      </c>
      <c r="Y209" s="391">
        <f t="shared" si="170"/>
        <v>6E-10</v>
      </c>
      <c r="Z209" s="391">
        <f t="shared" si="171"/>
        <v>6.9999999999999996E-10</v>
      </c>
      <c r="AA209" s="391">
        <f t="shared" si="172"/>
        <v>8.0000000000000003E-10</v>
      </c>
      <c r="AB209" s="391">
        <f t="shared" si="173"/>
        <v>8.9999999999999999E-10</v>
      </c>
      <c r="AC209" s="391">
        <f t="shared" si="174"/>
        <v>9.5000000000000003E-10</v>
      </c>
      <c r="AD209" s="391" t="b">
        <f t="shared" si="175"/>
        <v>0</v>
      </c>
      <c r="AE209" s="391" t="b">
        <f t="shared" si="176"/>
        <v>0</v>
      </c>
      <c r="AF209" s="391" t="b">
        <f t="shared" si="177"/>
        <v>0</v>
      </c>
      <c r="AG209" s="391" t="b">
        <f t="shared" si="178"/>
        <v>0</v>
      </c>
      <c r="AH209" s="391" t="b">
        <f t="shared" si="179"/>
        <v>1</v>
      </c>
      <c r="AI209" s="391" t="b">
        <f t="shared" si="180"/>
        <v>0</v>
      </c>
      <c r="AJ209" s="391" t="b">
        <f t="shared" si="181"/>
        <v>1</v>
      </c>
      <c r="AK209" s="391" t="b">
        <f t="shared" si="182"/>
        <v>1</v>
      </c>
      <c r="AL209" s="391" t="b">
        <f t="shared" si="183"/>
        <v>1</v>
      </c>
      <c r="AM209" s="391" t="b">
        <f t="shared" si="184"/>
        <v>1</v>
      </c>
      <c r="AN209" s="391"/>
      <c r="BB209" s="344"/>
      <c r="BC209" s="344"/>
      <c r="BD209" s="344"/>
      <c r="BE209" s="344"/>
      <c r="BF209" s="344"/>
    </row>
    <row r="210" spans="1:67" x14ac:dyDescent="0.3">
      <c r="A210" s="408" t="str">
        <f>'Reference Score Calculation'!A189</f>
        <v>JS4690</v>
      </c>
      <c r="B210" s="408" t="str">
        <f>'Reference Score Calculation'!D189</f>
        <v>理論物理精研</v>
      </c>
      <c r="C210" s="235"/>
      <c r="D210" s="408" t="str">
        <f>'Reference Score Calculation'!E189</f>
        <v>Best 5</v>
      </c>
      <c r="E210" s="409" t="str">
        <f>入學要求!T198</f>
        <v>v</v>
      </c>
      <c r="F210" s="409" t="str">
        <f>入學要求!U198</f>
        <v>E</v>
      </c>
      <c r="G210" s="409" t="str">
        <f>入學要求!V198</f>
        <v>NO</v>
      </c>
      <c r="H210" s="408">
        <f t="shared" si="164"/>
        <v>4.1000000000000003E-9</v>
      </c>
      <c r="I210" s="235">
        <v>1</v>
      </c>
      <c r="J210" s="235">
        <v>1</v>
      </c>
      <c r="K210" s="235">
        <v>1.5</v>
      </c>
      <c r="L210" s="235">
        <v>1</v>
      </c>
      <c r="M210" s="235">
        <v>1.5</v>
      </c>
      <c r="N210" s="235">
        <f>IF(N1="物理",1.5,1)</f>
        <v>1</v>
      </c>
      <c r="O210" s="408">
        <f>IF(O1="物理",1.5,1)</f>
        <v>1</v>
      </c>
      <c r="P210" s="408">
        <f>IF(P1="物理",1.5,1)</f>
        <v>1</v>
      </c>
      <c r="Q210" s="408">
        <f>IF(Q1="物理",1.5,1)</f>
        <v>1</v>
      </c>
      <c r="R210" s="408">
        <f>IF(R1="物理",1.5,1)</f>
        <v>1</v>
      </c>
      <c r="S210" s="236"/>
      <c r="T210" s="391">
        <f t="shared" si="165"/>
        <v>1E-10</v>
      </c>
      <c r="U210" s="391">
        <f t="shared" si="166"/>
        <v>2.0000000000000001E-10</v>
      </c>
      <c r="V210" s="391">
        <f t="shared" si="167"/>
        <v>4.5E-10</v>
      </c>
      <c r="W210" s="391">
        <f t="shared" si="168"/>
        <v>4.0000000000000001E-10</v>
      </c>
      <c r="X210" s="391">
        <f t="shared" si="169"/>
        <v>7.500000000000001E-10</v>
      </c>
      <c r="Y210" s="391">
        <f t="shared" si="170"/>
        <v>6E-10</v>
      </c>
      <c r="Z210" s="391">
        <f t="shared" si="171"/>
        <v>6.9999999999999996E-10</v>
      </c>
      <c r="AA210" s="391">
        <f t="shared" si="172"/>
        <v>8.0000000000000003E-10</v>
      </c>
      <c r="AB210" s="391">
        <f t="shared" si="173"/>
        <v>8.9999999999999999E-10</v>
      </c>
      <c r="AC210" s="391">
        <f t="shared" si="174"/>
        <v>9.5000000000000003E-10</v>
      </c>
      <c r="AD210" s="391" t="b">
        <f t="shared" si="175"/>
        <v>0</v>
      </c>
      <c r="AE210" s="391" t="b">
        <f t="shared" si="176"/>
        <v>0</v>
      </c>
      <c r="AF210" s="391" t="b">
        <f t="shared" si="177"/>
        <v>0</v>
      </c>
      <c r="AG210" s="391" t="b">
        <f t="shared" si="178"/>
        <v>0</v>
      </c>
      <c r="AH210" s="391" t="b">
        <f t="shared" si="179"/>
        <v>1</v>
      </c>
      <c r="AI210" s="391" t="b">
        <f t="shared" si="180"/>
        <v>0</v>
      </c>
      <c r="AJ210" s="391" t="b">
        <f t="shared" si="181"/>
        <v>1</v>
      </c>
      <c r="AK210" s="391" t="b">
        <f t="shared" si="182"/>
        <v>1</v>
      </c>
      <c r="AL210" s="391" t="b">
        <f t="shared" si="183"/>
        <v>1</v>
      </c>
      <c r="AM210" s="391" t="b">
        <f t="shared" si="184"/>
        <v>1</v>
      </c>
      <c r="AN210" s="391"/>
      <c r="BB210" s="344"/>
      <c r="BC210" s="344"/>
      <c r="BD210" s="344"/>
      <c r="BE210" s="344"/>
      <c r="BF210" s="344"/>
    </row>
    <row r="211" spans="1:67" x14ac:dyDescent="0.3">
      <c r="A211" s="408" t="str">
        <f>'Reference Score Calculation'!A190</f>
        <v>JS4719</v>
      </c>
      <c r="B211" s="408" t="str">
        <f>'Reference Score Calculation'!D190</f>
        <v>風險管理科學</v>
      </c>
      <c r="C211" s="235"/>
      <c r="D211" s="408" t="str">
        <f>'Reference Score Calculation'!E190</f>
        <v>Best 5</v>
      </c>
      <c r="E211" s="409" t="str">
        <f>入學要求!T199</f>
        <v>v</v>
      </c>
      <c r="F211" s="409" t="str">
        <f>入學要求!U199</f>
        <v>E</v>
      </c>
      <c r="G211" s="409" t="str">
        <f>入學要求!V199</f>
        <v>NO</v>
      </c>
      <c r="H211" s="408">
        <f t="shared" si="164"/>
        <v>4.3500000000000001E-9</v>
      </c>
      <c r="I211" s="235">
        <v>1</v>
      </c>
      <c r="J211" s="235">
        <v>1</v>
      </c>
      <c r="K211" s="235">
        <v>2</v>
      </c>
      <c r="L211" s="235">
        <v>1</v>
      </c>
      <c r="M211" s="235">
        <v>2</v>
      </c>
      <c r="N211" s="235">
        <v>1</v>
      </c>
      <c r="O211" s="235">
        <v>1</v>
      </c>
      <c r="P211" s="235">
        <v>1</v>
      </c>
      <c r="Q211" s="408">
        <v>1</v>
      </c>
      <c r="R211" s="408">
        <v>1</v>
      </c>
      <c r="S211" s="236"/>
      <c r="T211" s="391">
        <f t="shared" si="165"/>
        <v>1E-10</v>
      </c>
      <c r="U211" s="391">
        <f t="shared" si="166"/>
        <v>2.0000000000000001E-10</v>
      </c>
      <c r="V211" s="391">
        <f t="shared" si="167"/>
        <v>6E-10</v>
      </c>
      <c r="W211" s="391">
        <f t="shared" si="168"/>
        <v>4.0000000000000001E-10</v>
      </c>
      <c r="X211" s="391">
        <f t="shared" si="169"/>
        <v>1.0000000000000001E-9</v>
      </c>
      <c r="Y211" s="391">
        <f t="shared" si="170"/>
        <v>6E-10</v>
      </c>
      <c r="Z211" s="391">
        <f t="shared" si="171"/>
        <v>6.9999999999999996E-10</v>
      </c>
      <c r="AA211" s="391">
        <f t="shared" si="172"/>
        <v>8.0000000000000003E-10</v>
      </c>
      <c r="AB211" s="391">
        <f t="shared" si="173"/>
        <v>8.9999999999999999E-10</v>
      </c>
      <c r="AC211" s="391">
        <f t="shared" si="174"/>
        <v>9.5000000000000003E-10</v>
      </c>
      <c r="AD211" s="391" t="b">
        <f t="shared" si="175"/>
        <v>0</v>
      </c>
      <c r="AE211" s="391" t="b">
        <f t="shared" si="176"/>
        <v>0</v>
      </c>
      <c r="AF211" s="391" t="b">
        <f t="shared" si="177"/>
        <v>0</v>
      </c>
      <c r="AG211" s="391" t="b">
        <f t="shared" si="178"/>
        <v>0</v>
      </c>
      <c r="AH211" s="391" t="b">
        <f t="shared" si="179"/>
        <v>1</v>
      </c>
      <c r="AI211" s="391" t="b">
        <f t="shared" si="180"/>
        <v>0</v>
      </c>
      <c r="AJ211" s="391" t="b">
        <f t="shared" si="181"/>
        <v>1</v>
      </c>
      <c r="AK211" s="391" t="b">
        <f t="shared" si="182"/>
        <v>1</v>
      </c>
      <c r="AL211" s="391" t="b">
        <f t="shared" si="183"/>
        <v>1</v>
      </c>
      <c r="AM211" s="391" t="b">
        <f t="shared" si="184"/>
        <v>1</v>
      </c>
      <c r="AN211" s="391"/>
      <c r="BB211" s="344"/>
      <c r="BC211" s="344"/>
      <c r="BD211" s="344"/>
      <c r="BE211" s="344"/>
      <c r="BF211" s="344"/>
    </row>
    <row r="212" spans="1:67" x14ac:dyDescent="0.3">
      <c r="A212" s="408" t="str">
        <f>'Reference Score Calculation'!A191</f>
        <v>JS4725</v>
      </c>
      <c r="B212" s="408" t="str">
        <f>'Reference Score Calculation'!D191</f>
        <v>生物科技、創業與醫療管理</v>
      </c>
      <c r="C212" s="235"/>
      <c r="D212" s="408" t="str">
        <f>'Reference Score Calculation'!AD191</f>
        <v>Best 5</v>
      </c>
      <c r="E212" s="409" t="str">
        <f>入學要求!T200</f>
        <v>v</v>
      </c>
      <c r="F212" s="409" t="str">
        <f>入學要求!U200</f>
        <v>E</v>
      </c>
      <c r="G212" s="409" t="str">
        <f>入學要求!V200</f>
        <v>NO</v>
      </c>
      <c r="H212" s="408">
        <f t="shared" si="164"/>
        <v>3.9500000000000006E-9</v>
      </c>
      <c r="I212" s="235">
        <v>1</v>
      </c>
      <c r="J212" s="408">
        <v>1</v>
      </c>
      <c r="K212" s="408">
        <v>1</v>
      </c>
      <c r="L212" s="408">
        <v>1</v>
      </c>
      <c r="M212" s="408">
        <v>1</v>
      </c>
      <c r="N212" s="408">
        <v>1</v>
      </c>
      <c r="O212" s="408">
        <v>1</v>
      </c>
      <c r="P212" s="408">
        <v>1</v>
      </c>
      <c r="Q212" s="408">
        <v>1</v>
      </c>
      <c r="R212" s="408">
        <v>1</v>
      </c>
      <c r="S212" s="236"/>
      <c r="T212" s="391">
        <f t="shared" si="165"/>
        <v>1E-10</v>
      </c>
      <c r="U212" s="391">
        <f t="shared" si="166"/>
        <v>2.0000000000000001E-10</v>
      </c>
      <c r="V212" s="391">
        <f t="shared" si="167"/>
        <v>3E-10</v>
      </c>
      <c r="W212" s="391">
        <f t="shared" si="168"/>
        <v>4.0000000000000001E-10</v>
      </c>
      <c r="X212" s="391">
        <f t="shared" si="169"/>
        <v>5.0000000000000003E-10</v>
      </c>
      <c r="Y212" s="391">
        <f t="shared" si="170"/>
        <v>6E-10</v>
      </c>
      <c r="Z212" s="391">
        <f t="shared" si="171"/>
        <v>6.9999999999999996E-10</v>
      </c>
      <c r="AA212" s="391">
        <f t="shared" si="172"/>
        <v>8.0000000000000003E-10</v>
      </c>
      <c r="AB212" s="391">
        <f t="shared" si="173"/>
        <v>8.9999999999999999E-10</v>
      </c>
      <c r="AC212" s="391">
        <f t="shared" si="174"/>
        <v>9.5000000000000003E-10</v>
      </c>
      <c r="AD212" s="391" t="b">
        <f t="shared" si="175"/>
        <v>0</v>
      </c>
      <c r="AE212" s="391" t="b">
        <f t="shared" si="176"/>
        <v>0</v>
      </c>
      <c r="AF212" s="391" t="b">
        <f t="shared" si="177"/>
        <v>0</v>
      </c>
      <c r="AG212" s="391" t="b">
        <f t="shared" si="178"/>
        <v>0</v>
      </c>
      <c r="AH212" s="391" t="b">
        <f t="shared" si="179"/>
        <v>0</v>
      </c>
      <c r="AI212" s="391" t="b">
        <f t="shared" si="180"/>
        <v>1</v>
      </c>
      <c r="AJ212" s="391" t="b">
        <f t="shared" si="181"/>
        <v>1</v>
      </c>
      <c r="AK212" s="391" t="b">
        <f t="shared" si="182"/>
        <v>1</v>
      </c>
      <c r="AL212" s="391" t="b">
        <f t="shared" si="183"/>
        <v>1</v>
      </c>
      <c r="AM212" s="391" t="b">
        <f t="shared" si="184"/>
        <v>1</v>
      </c>
      <c r="AN212" s="391"/>
      <c r="BB212" s="344"/>
      <c r="BC212" s="344"/>
      <c r="BD212" s="344"/>
      <c r="BE212" s="344"/>
      <c r="BF212" s="344"/>
    </row>
    <row r="213" spans="1:67" x14ac:dyDescent="0.3">
      <c r="A213" s="408" t="str">
        <f>'Reference Score Calculation'!A192</f>
        <v>JS4733</v>
      </c>
      <c r="B213" s="408" t="str">
        <f>'Reference Score Calculation'!D192</f>
        <v>數學與信息工程學</v>
      </c>
      <c r="C213" s="235"/>
      <c r="D213" s="408" t="str">
        <f>'Reference Score Calculation'!AD192</f>
        <v>4C2X</v>
      </c>
      <c r="E213" s="409" t="str">
        <f>入學要求!T201</f>
        <v>v</v>
      </c>
      <c r="F213" s="409" t="str">
        <f>入學要求!U201</f>
        <v>E</v>
      </c>
      <c r="G213" s="409" t="str">
        <f>入學要求!V201</f>
        <v>NO</v>
      </c>
      <c r="H213" s="408">
        <f t="shared" si="164"/>
        <v>3.05E-9</v>
      </c>
      <c r="I213" s="235">
        <v>1</v>
      </c>
      <c r="J213" s="235">
        <v>1</v>
      </c>
      <c r="K213" s="235">
        <v>2</v>
      </c>
      <c r="L213" s="235">
        <v>0.5</v>
      </c>
      <c r="M213" s="235">
        <v>2</v>
      </c>
      <c r="N213" s="235">
        <f>IF(OR(N1="物理",N1="生物",N1="化學",N1="組合科學(物理、化學)",N1="組合科學(物理、生物)",N1="組合科學(生物、化學)",N1="資訊及通訊科技"),1.5,1)</f>
        <v>1</v>
      </c>
      <c r="O213" s="408">
        <f>IF(OR(O1="物理",O1="生物",O1="化學",O1="組合科學(物理、化學)",O1="組合科學(物理、生物)",O1="組合科學(生物、化學)",O1="資訊及通訊科技"),1.5,1)</f>
        <v>1</v>
      </c>
      <c r="P213" s="408">
        <f>IF(OR(P1="物理",P1="生物",P1="化學",P1="組合科學(物理、化學)",P1="組合科學(物理、生物)",P1="組合科學(生物、化學)",P1="資訊及通訊科技"),1.5,1)</f>
        <v>1</v>
      </c>
      <c r="Q213" s="408">
        <f>IF(OR(Q1="物理",Q1="生物",Q1="化學",Q1="組合科學(物理、化學)",Q1="組合科學(物理、生物)",Q1="組合科學(生物、化學)",Q1="資訊及通訊科技"),1.5,1)</f>
        <v>1</v>
      </c>
      <c r="R213" s="408">
        <v>1</v>
      </c>
      <c r="S213" s="236"/>
      <c r="T213" s="391">
        <f t="shared" si="165"/>
        <v>1E-10</v>
      </c>
      <c r="U213" s="391">
        <f t="shared" si="166"/>
        <v>2.0000000000000001E-10</v>
      </c>
      <c r="V213" s="391">
        <f t="shared" si="167"/>
        <v>6E-10</v>
      </c>
      <c r="W213" s="391">
        <f t="shared" si="168"/>
        <v>2.0000000000000001E-10</v>
      </c>
      <c r="X213" s="391">
        <f t="shared" si="169"/>
        <v>1.0000000000000001E-9</v>
      </c>
      <c r="Y213" s="391">
        <f t="shared" si="170"/>
        <v>6E-10</v>
      </c>
      <c r="Z213" s="391">
        <f t="shared" si="171"/>
        <v>6.9999999999999996E-10</v>
      </c>
      <c r="AA213" s="391">
        <f t="shared" si="172"/>
        <v>8.0000000000000003E-10</v>
      </c>
      <c r="AB213" s="391">
        <f t="shared" si="173"/>
        <v>8.9999999999999999E-10</v>
      </c>
      <c r="AC213" s="391">
        <f t="shared" si="174"/>
        <v>9.5000000000000003E-10</v>
      </c>
      <c r="AD213" s="391" t="b">
        <f t="shared" si="175"/>
        <v>1</v>
      </c>
      <c r="AE213" s="391" t="b">
        <f t="shared" si="176"/>
        <v>1</v>
      </c>
      <c r="AF213" s="391" t="b">
        <f t="shared" si="177"/>
        <v>1</v>
      </c>
      <c r="AG213" s="391" t="b">
        <f t="shared" si="178"/>
        <v>1</v>
      </c>
      <c r="AH213" s="391" t="b">
        <f t="shared" si="179"/>
        <v>1</v>
      </c>
      <c r="AI213" s="391" t="b">
        <f t="shared" si="180"/>
        <v>0</v>
      </c>
      <c r="AJ213" s="391" t="b">
        <f t="shared" si="181"/>
        <v>0</v>
      </c>
      <c r="AK213" s="391" t="b">
        <f t="shared" si="182"/>
        <v>0</v>
      </c>
      <c r="AL213" s="391" t="b">
        <f t="shared" si="183"/>
        <v>0</v>
      </c>
      <c r="AM213" s="391" t="b">
        <f t="shared" si="184"/>
        <v>1</v>
      </c>
      <c r="AN213" s="391"/>
      <c r="BB213" s="344"/>
      <c r="BC213" s="344"/>
      <c r="BD213" s="344"/>
      <c r="BE213" s="344"/>
      <c r="BF213" s="344"/>
    </row>
    <row r="214" spans="1:67" x14ac:dyDescent="0.3">
      <c r="A214" s="408" t="str">
        <f>'Reference Score Calculation'!A193</f>
        <v>JS4801</v>
      </c>
      <c r="B214" s="408" t="str">
        <f>'Reference Score Calculation'!D193</f>
        <v>社會科學</v>
      </c>
      <c r="C214" s="235"/>
      <c r="D214" s="408" t="str">
        <f>'Reference Score Calculation'!E193</f>
        <v>Best 5</v>
      </c>
      <c r="E214" s="409" t="str">
        <f>入學要求!T202</f>
        <v>v</v>
      </c>
      <c r="F214" s="409" t="str">
        <f>入學要求!U202</f>
        <v>E</v>
      </c>
      <c r="G214" s="409" t="str">
        <f>入學要求!V202</f>
        <v>NO</v>
      </c>
      <c r="H214" s="408">
        <f t="shared" si="164"/>
        <v>3.9500000000000006E-9</v>
      </c>
      <c r="I214" s="235">
        <v>1</v>
      </c>
      <c r="J214" s="235">
        <v>1.3</v>
      </c>
      <c r="K214" s="235">
        <v>1</v>
      </c>
      <c r="L214" s="235">
        <v>1</v>
      </c>
      <c r="M214" s="544">
        <v>1</v>
      </c>
      <c r="N214" s="544">
        <v>1</v>
      </c>
      <c r="O214" s="544">
        <v>1</v>
      </c>
      <c r="P214" s="544">
        <v>1</v>
      </c>
      <c r="Q214" s="544">
        <v>1</v>
      </c>
      <c r="R214" s="544">
        <v>1</v>
      </c>
      <c r="S214" s="236"/>
      <c r="T214" s="391">
        <f t="shared" si="165"/>
        <v>1E-10</v>
      </c>
      <c r="U214" s="391">
        <f t="shared" si="166"/>
        <v>2.6000000000000003E-10</v>
      </c>
      <c r="V214" s="391">
        <f t="shared" si="167"/>
        <v>3E-10</v>
      </c>
      <c r="W214" s="391">
        <f t="shared" si="168"/>
        <v>4.0000000000000001E-10</v>
      </c>
      <c r="X214" s="391">
        <f t="shared" si="169"/>
        <v>5.0000000000000003E-10</v>
      </c>
      <c r="Y214" s="391">
        <f t="shared" si="170"/>
        <v>6E-10</v>
      </c>
      <c r="Z214" s="391">
        <f t="shared" si="171"/>
        <v>6.9999999999999996E-10</v>
      </c>
      <c r="AA214" s="391">
        <f t="shared" si="172"/>
        <v>8.0000000000000003E-10</v>
      </c>
      <c r="AB214" s="391">
        <f t="shared" si="173"/>
        <v>8.9999999999999999E-10</v>
      </c>
      <c r="AC214" s="391">
        <f t="shared" si="174"/>
        <v>9.5000000000000003E-10</v>
      </c>
      <c r="AD214" s="391" t="b">
        <f t="shared" si="175"/>
        <v>0</v>
      </c>
      <c r="AE214" s="391" t="b">
        <f t="shared" si="176"/>
        <v>0</v>
      </c>
      <c r="AF214" s="391" t="b">
        <f t="shared" si="177"/>
        <v>0</v>
      </c>
      <c r="AG214" s="391" t="b">
        <f t="shared" si="178"/>
        <v>0</v>
      </c>
      <c r="AH214" s="391" t="b">
        <f t="shared" si="179"/>
        <v>0</v>
      </c>
      <c r="AI214" s="391" t="b">
        <f t="shared" si="180"/>
        <v>1</v>
      </c>
      <c r="AJ214" s="391" t="b">
        <f t="shared" si="181"/>
        <v>1</v>
      </c>
      <c r="AK214" s="391" t="b">
        <f t="shared" si="182"/>
        <v>1</v>
      </c>
      <c r="AL214" s="391" t="b">
        <f t="shared" si="183"/>
        <v>1</v>
      </c>
      <c r="AM214" s="391" t="b">
        <f t="shared" si="184"/>
        <v>1</v>
      </c>
      <c r="AN214" s="391"/>
      <c r="BB214" s="344"/>
      <c r="BC214" s="344"/>
      <c r="BD214" s="344"/>
      <c r="BE214" s="344"/>
      <c r="BF214" s="344"/>
    </row>
    <row r="215" spans="1:67" x14ac:dyDescent="0.3">
      <c r="A215" s="408" t="str">
        <f>'Reference Score Calculation'!A194</f>
        <v>JS4812</v>
      </c>
      <c r="B215" s="408" t="str">
        <f>'Reference Score Calculation'!D194</f>
        <v>建築學</v>
      </c>
      <c r="C215" s="235"/>
      <c r="D215" s="408" t="str">
        <f>'Reference Score Calculation'!E194</f>
        <v>Best 5</v>
      </c>
      <c r="E215" s="409" t="str">
        <f>入學要求!T203</f>
        <v>v</v>
      </c>
      <c r="F215" s="409" t="str">
        <f>入學要求!U203</f>
        <v>E</v>
      </c>
      <c r="G215" s="409" t="str">
        <f>入學要求!V203</f>
        <v>NO</v>
      </c>
      <c r="H215" s="408">
        <f t="shared" si="164"/>
        <v>3.9500000000000006E-9</v>
      </c>
      <c r="I215" s="235">
        <v>1</v>
      </c>
      <c r="J215" s="235">
        <v>1.5</v>
      </c>
      <c r="K215" s="235">
        <v>1</v>
      </c>
      <c r="L215" s="235">
        <v>1</v>
      </c>
      <c r="M215" s="544">
        <v>1</v>
      </c>
      <c r="N215" s="544">
        <v>1</v>
      </c>
      <c r="O215" s="544">
        <v>1</v>
      </c>
      <c r="P215" s="544">
        <v>1</v>
      </c>
      <c r="Q215" s="544">
        <v>1</v>
      </c>
      <c r="R215" s="544">
        <v>1</v>
      </c>
      <c r="S215" s="236"/>
      <c r="T215" s="391">
        <f t="shared" si="165"/>
        <v>1E-10</v>
      </c>
      <c r="U215" s="391">
        <f t="shared" si="166"/>
        <v>3E-10</v>
      </c>
      <c r="V215" s="391">
        <f t="shared" si="167"/>
        <v>3E-10</v>
      </c>
      <c r="W215" s="391">
        <f t="shared" si="168"/>
        <v>4.0000000000000001E-10</v>
      </c>
      <c r="X215" s="391">
        <f t="shared" si="169"/>
        <v>5.0000000000000003E-10</v>
      </c>
      <c r="Y215" s="391">
        <f t="shared" si="170"/>
        <v>6E-10</v>
      </c>
      <c r="Z215" s="391">
        <f t="shared" si="171"/>
        <v>6.9999999999999996E-10</v>
      </c>
      <c r="AA215" s="391">
        <f t="shared" si="172"/>
        <v>8.0000000000000003E-10</v>
      </c>
      <c r="AB215" s="391">
        <f t="shared" si="173"/>
        <v>8.9999999999999999E-10</v>
      </c>
      <c r="AC215" s="391">
        <f t="shared" si="174"/>
        <v>9.5000000000000003E-10</v>
      </c>
      <c r="AD215" s="391" t="b">
        <f t="shared" si="175"/>
        <v>0</v>
      </c>
      <c r="AE215" s="391" t="b">
        <f t="shared" si="176"/>
        <v>0</v>
      </c>
      <c r="AF215" s="391" t="b">
        <f t="shared" si="177"/>
        <v>0</v>
      </c>
      <c r="AG215" s="391" t="b">
        <f t="shared" si="178"/>
        <v>0</v>
      </c>
      <c r="AH215" s="391" t="b">
        <f t="shared" si="179"/>
        <v>0</v>
      </c>
      <c r="AI215" s="391" t="b">
        <f t="shared" si="180"/>
        <v>1</v>
      </c>
      <c r="AJ215" s="391" t="b">
        <f t="shared" si="181"/>
        <v>1</v>
      </c>
      <c r="AK215" s="391" t="b">
        <f t="shared" si="182"/>
        <v>1</v>
      </c>
      <c r="AL215" s="391" t="b">
        <f t="shared" si="183"/>
        <v>1</v>
      </c>
      <c r="AM215" s="391" t="b">
        <f t="shared" si="184"/>
        <v>1</v>
      </c>
      <c r="AN215" s="391"/>
      <c r="BB215" s="344"/>
      <c r="BC215" s="344"/>
      <c r="BD215" s="344"/>
      <c r="BE215" s="344"/>
      <c r="BF215" s="344"/>
    </row>
    <row r="216" spans="1:67" x14ac:dyDescent="0.3">
      <c r="A216" s="408" t="str">
        <f>'Reference Score Calculation'!A195</f>
        <v>JS4824</v>
      </c>
      <c r="B216" s="408" t="str">
        <f>'Reference Score Calculation'!D195</f>
        <v>經濟學</v>
      </c>
      <c r="C216" s="235"/>
      <c r="D216" s="408" t="str">
        <f>'Reference Score Calculation'!E195</f>
        <v>Best 5</v>
      </c>
      <c r="E216" s="409" t="str">
        <f>入學要求!T204</f>
        <v>v</v>
      </c>
      <c r="F216" s="409" t="str">
        <f>入學要求!U204</f>
        <v>E</v>
      </c>
      <c r="G216" s="409" t="str">
        <f>入學要求!V204</f>
        <v>NO</v>
      </c>
      <c r="H216" s="408">
        <f t="shared" si="164"/>
        <v>4.1000000000000003E-9</v>
      </c>
      <c r="I216" s="235">
        <v>1</v>
      </c>
      <c r="J216" s="235">
        <v>1</v>
      </c>
      <c r="K216" s="235">
        <v>1.5</v>
      </c>
      <c r="L216" s="235">
        <v>1</v>
      </c>
      <c r="M216" s="544">
        <f>IF(M$1=$AW$171,1.5,1)</f>
        <v>1.5</v>
      </c>
      <c r="N216" s="544">
        <f>IF(N$1=$AW$171,1.5,1)</f>
        <v>1</v>
      </c>
      <c r="O216" s="544">
        <f>IF(O$1=$AW$171,1.5,1)</f>
        <v>1</v>
      </c>
      <c r="P216" s="544">
        <f>IF(P$1=$AW$171,1.5,1)</f>
        <v>1</v>
      </c>
      <c r="Q216" s="544">
        <f>IF(Q$1=$AW$171,1.5,1)</f>
        <v>1</v>
      </c>
      <c r="R216" s="544">
        <v>1</v>
      </c>
      <c r="S216" s="236"/>
      <c r="T216" s="391">
        <f t="shared" si="165"/>
        <v>1E-10</v>
      </c>
      <c r="U216" s="391">
        <f t="shared" si="166"/>
        <v>2.0000000000000001E-10</v>
      </c>
      <c r="V216" s="391">
        <f t="shared" si="167"/>
        <v>4.5E-10</v>
      </c>
      <c r="W216" s="391">
        <f t="shared" si="168"/>
        <v>4.0000000000000001E-10</v>
      </c>
      <c r="X216" s="391">
        <f t="shared" si="169"/>
        <v>7.500000000000001E-10</v>
      </c>
      <c r="Y216" s="391">
        <f t="shared" si="170"/>
        <v>6E-10</v>
      </c>
      <c r="Z216" s="391">
        <f t="shared" si="171"/>
        <v>6.9999999999999996E-10</v>
      </c>
      <c r="AA216" s="391">
        <f t="shared" si="172"/>
        <v>8.0000000000000003E-10</v>
      </c>
      <c r="AB216" s="391">
        <f t="shared" si="173"/>
        <v>8.9999999999999999E-10</v>
      </c>
      <c r="AC216" s="391">
        <f t="shared" si="174"/>
        <v>9.5000000000000003E-10</v>
      </c>
      <c r="AD216" s="391" t="b">
        <f t="shared" si="175"/>
        <v>0</v>
      </c>
      <c r="AE216" s="391" t="b">
        <f t="shared" si="176"/>
        <v>0</v>
      </c>
      <c r="AF216" s="391" t="b">
        <f t="shared" si="177"/>
        <v>0</v>
      </c>
      <c r="AG216" s="391" t="b">
        <f t="shared" si="178"/>
        <v>0</v>
      </c>
      <c r="AH216" s="391" t="b">
        <f t="shared" si="179"/>
        <v>1</v>
      </c>
      <c r="AI216" s="391" t="b">
        <f t="shared" si="180"/>
        <v>0</v>
      </c>
      <c r="AJ216" s="391" t="b">
        <f t="shared" si="181"/>
        <v>1</v>
      </c>
      <c r="AK216" s="391" t="b">
        <f t="shared" si="182"/>
        <v>1</v>
      </c>
      <c r="AL216" s="391" t="b">
        <f t="shared" si="183"/>
        <v>1</v>
      </c>
      <c r="AM216" s="391" t="b">
        <f t="shared" si="184"/>
        <v>1</v>
      </c>
      <c r="AN216" s="391"/>
      <c r="BB216" s="344"/>
      <c r="BC216" s="344"/>
      <c r="BD216" s="344"/>
      <c r="BE216" s="344"/>
      <c r="BF216" s="344"/>
    </row>
    <row r="217" spans="1:67" x14ac:dyDescent="0.3">
      <c r="A217" s="408" t="str">
        <f>'Reference Score Calculation'!A196</f>
        <v>JS4836</v>
      </c>
      <c r="B217" s="408" t="str">
        <f>'Reference Score Calculation'!D196</f>
        <v>地理與資源管理學</v>
      </c>
      <c r="C217" s="235"/>
      <c r="D217" s="408" t="str">
        <f>'Reference Score Calculation'!E196</f>
        <v>Best 5</v>
      </c>
      <c r="E217" s="409" t="str">
        <f>入學要求!T205</f>
        <v>v</v>
      </c>
      <c r="F217" s="409" t="str">
        <f>入學要求!U205</f>
        <v>E</v>
      </c>
      <c r="G217" s="409" t="str">
        <f>入學要求!V205</f>
        <v>NO</v>
      </c>
      <c r="H217" s="408">
        <f t="shared" si="164"/>
        <v>3.9500000000000006E-9</v>
      </c>
      <c r="I217" s="235">
        <v>1</v>
      </c>
      <c r="J217" s="235">
        <v>1.5</v>
      </c>
      <c r="K217" s="235">
        <v>1</v>
      </c>
      <c r="L217" s="235">
        <v>1</v>
      </c>
      <c r="M217" s="544">
        <v>1</v>
      </c>
      <c r="N217" s="544">
        <v>1</v>
      </c>
      <c r="O217" s="544">
        <v>1</v>
      </c>
      <c r="P217" s="544">
        <v>1</v>
      </c>
      <c r="Q217" s="544">
        <v>1</v>
      </c>
      <c r="R217" s="544">
        <v>1</v>
      </c>
      <c r="S217" s="236"/>
      <c r="T217" s="391">
        <f t="shared" si="165"/>
        <v>1E-10</v>
      </c>
      <c r="U217" s="391">
        <f t="shared" si="166"/>
        <v>3E-10</v>
      </c>
      <c r="V217" s="391">
        <f t="shared" si="167"/>
        <v>3E-10</v>
      </c>
      <c r="W217" s="391">
        <f t="shared" si="168"/>
        <v>4.0000000000000001E-10</v>
      </c>
      <c r="X217" s="391">
        <f t="shared" si="169"/>
        <v>5.0000000000000003E-10</v>
      </c>
      <c r="Y217" s="391">
        <f t="shared" si="170"/>
        <v>6E-10</v>
      </c>
      <c r="Z217" s="391">
        <f t="shared" si="171"/>
        <v>6.9999999999999996E-10</v>
      </c>
      <c r="AA217" s="391">
        <f t="shared" si="172"/>
        <v>8.0000000000000003E-10</v>
      </c>
      <c r="AB217" s="391">
        <f t="shared" si="173"/>
        <v>8.9999999999999999E-10</v>
      </c>
      <c r="AC217" s="391">
        <f t="shared" si="174"/>
        <v>9.5000000000000003E-10</v>
      </c>
      <c r="AD217" s="391" t="b">
        <f t="shared" si="175"/>
        <v>0</v>
      </c>
      <c r="AE217" s="391" t="b">
        <f t="shared" si="176"/>
        <v>0</v>
      </c>
      <c r="AF217" s="391" t="b">
        <f t="shared" si="177"/>
        <v>0</v>
      </c>
      <c r="AG217" s="391" t="b">
        <f t="shared" si="178"/>
        <v>0</v>
      </c>
      <c r="AH217" s="391" t="b">
        <f t="shared" si="179"/>
        <v>0</v>
      </c>
      <c r="AI217" s="391" t="b">
        <f t="shared" si="180"/>
        <v>1</v>
      </c>
      <c r="AJ217" s="391" t="b">
        <f t="shared" si="181"/>
        <v>1</v>
      </c>
      <c r="AK217" s="391" t="b">
        <f t="shared" si="182"/>
        <v>1</v>
      </c>
      <c r="AL217" s="391" t="b">
        <f t="shared" si="183"/>
        <v>1</v>
      </c>
      <c r="AM217" s="391" t="b">
        <f t="shared" si="184"/>
        <v>1</v>
      </c>
      <c r="AN217" s="391"/>
      <c r="BB217" s="344"/>
      <c r="BC217" s="344"/>
      <c r="BD217" s="344"/>
      <c r="BE217" s="344"/>
      <c r="BF217" s="344"/>
    </row>
    <row r="218" spans="1:67" x14ac:dyDescent="0.3">
      <c r="A218" s="408" t="str">
        <f>'Reference Score Calculation'!A197</f>
        <v>JS4838</v>
      </c>
      <c r="B218" s="408" t="str">
        <f>'Reference Score Calculation'!D197</f>
        <v>城市研究</v>
      </c>
      <c r="C218" s="235"/>
      <c r="D218" s="408" t="str">
        <f>'Reference Score Calculation'!E197</f>
        <v>Best 5</v>
      </c>
      <c r="E218" s="409" t="str">
        <f>入學要求!T206</f>
        <v>v</v>
      </c>
      <c r="F218" s="409" t="str">
        <f>入學要求!U206</f>
        <v>E</v>
      </c>
      <c r="G218" s="409" t="str">
        <f>入學要求!V206</f>
        <v>NO</v>
      </c>
      <c r="H218" s="408">
        <f t="shared" si="164"/>
        <v>3.9500000000000006E-9</v>
      </c>
      <c r="I218" s="235">
        <v>1</v>
      </c>
      <c r="J218" s="235">
        <v>1</v>
      </c>
      <c r="K218" s="235">
        <v>1</v>
      </c>
      <c r="L218" s="235">
        <v>1</v>
      </c>
      <c r="M218" s="544">
        <v>1</v>
      </c>
      <c r="N218" s="544">
        <v>1</v>
      </c>
      <c r="O218" s="544">
        <v>1</v>
      </c>
      <c r="P218" s="544">
        <v>1</v>
      </c>
      <c r="Q218" s="544">
        <v>1</v>
      </c>
      <c r="R218" s="544">
        <v>1</v>
      </c>
      <c r="S218" s="236"/>
      <c r="T218" s="391">
        <f t="shared" si="165"/>
        <v>1E-10</v>
      </c>
      <c r="U218" s="391">
        <f t="shared" si="166"/>
        <v>2.0000000000000001E-10</v>
      </c>
      <c r="V218" s="391">
        <f t="shared" si="167"/>
        <v>3E-10</v>
      </c>
      <c r="W218" s="391">
        <f t="shared" si="168"/>
        <v>4.0000000000000001E-10</v>
      </c>
      <c r="X218" s="391">
        <f t="shared" si="169"/>
        <v>5.0000000000000003E-10</v>
      </c>
      <c r="Y218" s="391">
        <f t="shared" si="170"/>
        <v>6E-10</v>
      </c>
      <c r="Z218" s="391">
        <f t="shared" si="171"/>
        <v>6.9999999999999996E-10</v>
      </c>
      <c r="AA218" s="391">
        <f t="shared" si="172"/>
        <v>8.0000000000000003E-10</v>
      </c>
      <c r="AB218" s="391">
        <f t="shared" si="173"/>
        <v>8.9999999999999999E-10</v>
      </c>
      <c r="AC218" s="391">
        <f t="shared" si="174"/>
        <v>9.5000000000000003E-10</v>
      </c>
      <c r="AD218" s="391" t="b">
        <f t="shared" si="175"/>
        <v>0</v>
      </c>
      <c r="AE218" s="391" t="b">
        <f t="shared" si="176"/>
        <v>0</v>
      </c>
      <c r="AF218" s="391" t="b">
        <f t="shared" si="177"/>
        <v>0</v>
      </c>
      <c r="AG218" s="391" t="b">
        <f t="shared" si="178"/>
        <v>0</v>
      </c>
      <c r="AH218" s="391" t="b">
        <f t="shared" si="179"/>
        <v>0</v>
      </c>
      <c r="AI218" s="391" t="b">
        <f t="shared" si="180"/>
        <v>1</v>
      </c>
      <c r="AJ218" s="391" t="b">
        <f t="shared" si="181"/>
        <v>1</v>
      </c>
      <c r="AK218" s="391" t="b">
        <f t="shared" si="182"/>
        <v>1</v>
      </c>
      <c r="AL218" s="391" t="b">
        <f t="shared" si="183"/>
        <v>1</v>
      </c>
      <c r="AM218" s="391" t="b">
        <f t="shared" si="184"/>
        <v>1</v>
      </c>
      <c r="AN218" s="391"/>
    </row>
    <row r="219" spans="1:67" x14ac:dyDescent="0.3">
      <c r="A219" s="408" t="str">
        <f>'Reference Score Calculation'!A198</f>
        <v>JS4848</v>
      </c>
      <c r="B219" s="408" t="str">
        <f>'Reference Score Calculation'!D198</f>
        <v>政治與行政學</v>
      </c>
      <c r="C219" s="235"/>
      <c r="D219" s="408" t="str">
        <f>'Reference Score Calculation'!E198</f>
        <v>4C2X</v>
      </c>
      <c r="E219" s="409" t="str">
        <f>入學要求!T207</f>
        <v>v</v>
      </c>
      <c r="F219" s="409" t="str">
        <f>入學要求!U207</f>
        <v>E</v>
      </c>
      <c r="G219" s="409" t="str">
        <f>入學要求!V207</f>
        <v>NO</v>
      </c>
      <c r="H219" s="406">
        <f>IF($U$15=TRUE,SUMIF(AD219:AM219,TRUE,T219:AC219)*0.9,SUMIF(AD219:AM219,TRUE,T219:AC219))</f>
        <v>3.0750000000000002E-9</v>
      </c>
      <c r="I219" s="235">
        <v>1.25</v>
      </c>
      <c r="J219" s="235">
        <v>1.5</v>
      </c>
      <c r="K219" s="235">
        <v>1</v>
      </c>
      <c r="L219" s="235">
        <v>1.25</v>
      </c>
      <c r="M219" s="544">
        <v>1</v>
      </c>
      <c r="N219" s="544">
        <v>1</v>
      </c>
      <c r="O219" s="544">
        <v>1</v>
      </c>
      <c r="P219" s="544">
        <v>1</v>
      </c>
      <c r="Q219" s="544">
        <v>1</v>
      </c>
      <c r="R219" s="544">
        <v>1</v>
      </c>
      <c r="S219" s="236"/>
      <c r="T219" s="391">
        <f t="shared" si="165"/>
        <v>1.2500000000000001E-10</v>
      </c>
      <c r="U219" s="391">
        <f t="shared" si="166"/>
        <v>3E-10</v>
      </c>
      <c r="V219" s="391">
        <f t="shared" si="167"/>
        <v>3E-10</v>
      </c>
      <c r="W219" s="391">
        <f t="shared" si="168"/>
        <v>5.0000000000000003E-10</v>
      </c>
      <c r="X219" s="391">
        <f t="shared" si="169"/>
        <v>5.0000000000000003E-10</v>
      </c>
      <c r="Y219" s="391">
        <f t="shared" si="170"/>
        <v>6E-10</v>
      </c>
      <c r="Z219" s="391">
        <f t="shared" si="171"/>
        <v>6.9999999999999996E-10</v>
      </c>
      <c r="AA219" s="391">
        <f t="shared" si="172"/>
        <v>8.0000000000000003E-10</v>
      </c>
      <c r="AB219" s="391">
        <f t="shared" si="173"/>
        <v>8.9999999999999999E-10</v>
      </c>
      <c r="AC219" s="391">
        <f t="shared" si="174"/>
        <v>9.5000000000000003E-10</v>
      </c>
      <c r="AD219" s="391" t="b">
        <f t="shared" si="175"/>
        <v>1</v>
      </c>
      <c r="AE219" s="391" t="b">
        <f t="shared" si="176"/>
        <v>1</v>
      </c>
      <c r="AF219" s="391" t="b">
        <f t="shared" si="177"/>
        <v>1</v>
      </c>
      <c r="AG219" s="391" t="b">
        <f t="shared" si="178"/>
        <v>1</v>
      </c>
      <c r="AH219" s="391" t="b">
        <f t="shared" si="179"/>
        <v>0</v>
      </c>
      <c r="AI219" s="391" t="b">
        <f t="shared" si="180"/>
        <v>0</v>
      </c>
      <c r="AJ219" s="391" t="b">
        <f t="shared" si="181"/>
        <v>0</v>
      </c>
      <c r="AK219" s="391" t="b">
        <f t="shared" si="182"/>
        <v>0</v>
      </c>
      <c r="AL219" s="391" t="b">
        <f t="shared" si="183"/>
        <v>1</v>
      </c>
      <c r="AM219" s="391" t="b">
        <f t="shared" si="184"/>
        <v>1</v>
      </c>
      <c r="AN219" s="391" t="str">
        <f>INDEX('Retake 扣分'!$H$13:$H$29,MATCH(A219,'Retake 扣分'!$A$13:$A$29,0))</f>
        <v>6%-10%</v>
      </c>
    </row>
    <row r="220" spans="1:67" x14ac:dyDescent="0.3">
      <c r="A220" s="408" t="str">
        <f>'Reference Score Calculation'!A199</f>
        <v>JS4850</v>
      </c>
      <c r="B220" s="408" t="str">
        <f>'Reference Score Calculation'!D199</f>
        <v>新聞與傳播學</v>
      </c>
      <c r="C220" s="235"/>
      <c r="D220" s="408" t="str">
        <f>'Reference Score Calculation'!E199</f>
        <v>Best 5</v>
      </c>
      <c r="E220" s="409" t="str">
        <f>入學要求!T208</f>
        <v>v</v>
      </c>
      <c r="F220" s="409" t="str">
        <f>入學要求!U208</f>
        <v>E</v>
      </c>
      <c r="G220" s="409" t="str">
        <f>入學要求!V208</f>
        <v>NO</v>
      </c>
      <c r="H220" s="408">
        <f t="shared" si="164"/>
        <v>3.9500000000000006E-9</v>
      </c>
      <c r="I220" s="235">
        <v>1.3</v>
      </c>
      <c r="J220" s="235">
        <v>1.3</v>
      </c>
      <c r="K220" s="235">
        <v>1</v>
      </c>
      <c r="L220" s="235">
        <v>1</v>
      </c>
      <c r="M220" s="544">
        <v>1</v>
      </c>
      <c r="N220" s="544">
        <v>1</v>
      </c>
      <c r="O220" s="544">
        <v>1</v>
      </c>
      <c r="P220" s="544">
        <v>1</v>
      </c>
      <c r="Q220" s="544">
        <v>1</v>
      </c>
      <c r="R220" s="544">
        <v>1</v>
      </c>
      <c r="S220" s="236"/>
      <c r="T220" s="391">
        <f t="shared" si="165"/>
        <v>1.3000000000000002E-10</v>
      </c>
      <c r="U220" s="391">
        <f t="shared" si="166"/>
        <v>2.6000000000000003E-10</v>
      </c>
      <c r="V220" s="391">
        <f t="shared" si="167"/>
        <v>3E-10</v>
      </c>
      <c r="W220" s="391">
        <f t="shared" si="168"/>
        <v>4.0000000000000001E-10</v>
      </c>
      <c r="X220" s="391">
        <f t="shared" si="169"/>
        <v>5.0000000000000003E-10</v>
      </c>
      <c r="Y220" s="391">
        <f t="shared" si="170"/>
        <v>6E-10</v>
      </c>
      <c r="Z220" s="391">
        <f t="shared" si="171"/>
        <v>6.9999999999999996E-10</v>
      </c>
      <c r="AA220" s="391">
        <f t="shared" si="172"/>
        <v>8.0000000000000003E-10</v>
      </c>
      <c r="AB220" s="391">
        <f t="shared" si="173"/>
        <v>8.9999999999999999E-10</v>
      </c>
      <c r="AC220" s="391">
        <f t="shared" si="174"/>
        <v>9.5000000000000003E-10</v>
      </c>
      <c r="AD220" s="391" t="b">
        <f t="shared" si="175"/>
        <v>0</v>
      </c>
      <c r="AE220" s="391" t="b">
        <f t="shared" si="176"/>
        <v>0</v>
      </c>
      <c r="AF220" s="391" t="b">
        <f t="shared" si="177"/>
        <v>0</v>
      </c>
      <c r="AG220" s="391" t="b">
        <f t="shared" si="178"/>
        <v>0</v>
      </c>
      <c r="AH220" s="391" t="b">
        <f t="shared" si="179"/>
        <v>0</v>
      </c>
      <c r="AI220" s="391" t="b">
        <f t="shared" si="180"/>
        <v>1</v>
      </c>
      <c r="AJ220" s="391" t="b">
        <f t="shared" si="181"/>
        <v>1</v>
      </c>
      <c r="AK220" s="391" t="b">
        <f t="shared" si="182"/>
        <v>1</v>
      </c>
      <c r="AL220" s="391" t="b">
        <f t="shared" si="183"/>
        <v>1</v>
      </c>
      <c r="AM220" s="391" t="b">
        <f t="shared" si="184"/>
        <v>1</v>
      </c>
      <c r="AN220" s="391"/>
    </row>
    <row r="221" spans="1:67" s="391" customFormat="1" x14ac:dyDescent="0.3">
      <c r="A221" s="408" t="str">
        <f>'Reference Score Calculation'!A200</f>
        <v>JS4858</v>
      </c>
      <c r="B221" s="408" t="str">
        <f>'Reference Score Calculation'!D200</f>
        <v>全球傳播</v>
      </c>
      <c r="C221" s="409"/>
      <c r="D221" s="408" t="str">
        <f>'Reference Score Calculation'!E200</f>
        <v>Best 5</v>
      </c>
      <c r="E221" s="409" t="str">
        <f>入學要求!T209</f>
        <v>v</v>
      </c>
      <c r="F221" s="409" t="str">
        <f>入學要求!U209</f>
        <v>E</v>
      </c>
      <c r="G221" s="409" t="str">
        <f>入學要求!V209</f>
        <v>NO</v>
      </c>
      <c r="H221" s="408">
        <f t="shared" si="164"/>
        <v>3.9500000000000006E-9</v>
      </c>
      <c r="I221" s="409">
        <v>1</v>
      </c>
      <c r="J221" s="409">
        <v>1.3</v>
      </c>
      <c r="K221" s="409">
        <v>1</v>
      </c>
      <c r="L221" s="409">
        <v>1</v>
      </c>
      <c r="M221" s="409">
        <v>1</v>
      </c>
      <c r="N221" s="409">
        <v>1</v>
      </c>
      <c r="O221" s="409">
        <v>1</v>
      </c>
      <c r="P221" s="409">
        <v>1</v>
      </c>
      <c r="Q221" s="409">
        <v>1</v>
      </c>
      <c r="R221" s="409">
        <v>1</v>
      </c>
      <c r="S221" s="409"/>
      <c r="T221" s="391">
        <f t="shared" si="165"/>
        <v>1E-10</v>
      </c>
      <c r="U221" s="391">
        <f t="shared" si="166"/>
        <v>2.6000000000000003E-10</v>
      </c>
      <c r="V221" s="391">
        <f t="shared" si="167"/>
        <v>3E-10</v>
      </c>
      <c r="W221" s="391">
        <f t="shared" si="168"/>
        <v>4.0000000000000001E-10</v>
      </c>
      <c r="X221" s="391">
        <f t="shared" si="169"/>
        <v>5.0000000000000003E-10</v>
      </c>
      <c r="Y221" s="391">
        <f t="shared" si="170"/>
        <v>6E-10</v>
      </c>
      <c r="Z221" s="391">
        <f t="shared" si="171"/>
        <v>6.9999999999999996E-10</v>
      </c>
      <c r="AA221" s="391">
        <f t="shared" si="172"/>
        <v>8.0000000000000003E-10</v>
      </c>
      <c r="AB221" s="391">
        <f t="shared" si="173"/>
        <v>8.9999999999999999E-10</v>
      </c>
      <c r="AC221" s="391">
        <f t="shared" si="174"/>
        <v>9.5000000000000003E-10</v>
      </c>
      <c r="AD221" s="391" t="b">
        <f t="shared" si="175"/>
        <v>0</v>
      </c>
      <c r="AE221" s="391" t="b">
        <f t="shared" si="176"/>
        <v>0</v>
      </c>
      <c r="AF221" s="391" t="b">
        <f t="shared" si="177"/>
        <v>0</v>
      </c>
      <c r="AG221" s="391" t="b">
        <f t="shared" si="178"/>
        <v>0</v>
      </c>
      <c r="AH221" s="391" t="b">
        <f t="shared" si="179"/>
        <v>0</v>
      </c>
      <c r="AI221" s="391" t="b">
        <f t="shared" si="180"/>
        <v>1</v>
      </c>
      <c r="AJ221" s="391" t="b">
        <f t="shared" si="181"/>
        <v>1</v>
      </c>
      <c r="AK221" s="391" t="b">
        <f t="shared" si="182"/>
        <v>1</v>
      </c>
      <c r="AL221" s="391" t="b">
        <f t="shared" si="183"/>
        <v>1</v>
      </c>
      <c r="AM221" s="391" t="b">
        <f t="shared" si="184"/>
        <v>1</v>
      </c>
      <c r="AO221" s="431" t="s">
        <v>3195</v>
      </c>
      <c r="AP221" s="394" t="s">
        <v>2894</v>
      </c>
      <c r="AQ221" s="384"/>
      <c r="AR221" s="389"/>
      <c r="AS221" s="389"/>
      <c r="AT221" s="389"/>
      <c r="AU221" s="389"/>
      <c r="AV221" s="389"/>
      <c r="AW221" s="389"/>
      <c r="AX221" s="389"/>
      <c r="AY221" s="389"/>
      <c r="AZ221" s="389"/>
      <c r="BA221" s="389"/>
      <c r="BB221" s="389"/>
      <c r="BC221" s="389"/>
      <c r="BD221" s="389"/>
      <c r="BE221" s="389"/>
      <c r="BF221" s="389"/>
      <c r="BG221" s="389"/>
      <c r="BH221" s="389"/>
      <c r="BI221" s="389"/>
      <c r="BJ221" s="389"/>
      <c r="BK221" s="389"/>
      <c r="BL221" s="389"/>
      <c r="BM221" s="389"/>
      <c r="BN221" s="389"/>
      <c r="BO221" s="389"/>
    </row>
    <row r="222" spans="1:67" s="391" customFormat="1" x14ac:dyDescent="0.3">
      <c r="A222" s="408" t="str">
        <f>'Reference Score Calculation'!A201</f>
        <v>JS4862</v>
      </c>
      <c r="B222" s="408" t="str">
        <f>'Reference Score Calculation'!D201</f>
        <v>心理學</v>
      </c>
      <c r="C222" s="409"/>
      <c r="D222" s="408" t="str">
        <f>'Reference Score Calculation'!E201</f>
        <v>Best 5</v>
      </c>
      <c r="E222" s="409" t="str">
        <f>入學要求!T210</f>
        <v>v</v>
      </c>
      <c r="F222" s="409" t="str">
        <f>入學要求!U210</f>
        <v>E</v>
      </c>
      <c r="G222" s="409" t="str">
        <f>入學要求!V210</f>
        <v>NO</v>
      </c>
      <c r="H222" s="408">
        <f t="shared" si="164"/>
        <v>3.9500000000000006E-9</v>
      </c>
      <c r="I222" s="409">
        <v>1</v>
      </c>
      <c r="J222" s="409">
        <v>1.5</v>
      </c>
      <c r="K222" s="409">
        <v>1.5</v>
      </c>
      <c r="L222" s="409">
        <v>1</v>
      </c>
      <c r="M222" s="409">
        <v>1</v>
      </c>
      <c r="N222" s="409">
        <v>1</v>
      </c>
      <c r="O222" s="409">
        <v>1</v>
      </c>
      <c r="P222" s="409">
        <v>1</v>
      </c>
      <c r="Q222" s="409">
        <v>1</v>
      </c>
      <c r="R222" s="409">
        <v>1</v>
      </c>
      <c r="S222" s="409"/>
      <c r="T222" s="391">
        <f t="shared" si="165"/>
        <v>1E-10</v>
      </c>
      <c r="U222" s="391">
        <f t="shared" si="166"/>
        <v>3E-10</v>
      </c>
      <c r="V222" s="391">
        <f t="shared" si="167"/>
        <v>4.5E-10</v>
      </c>
      <c r="W222" s="391">
        <f t="shared" si="168"/>
        <v>4.0000000000000001E-10</v>
      </c>
      <c r="X222" s="391">
        <f t="shared" si="169"/>
        <v>5.0000000000000003E-10</v>
      </c>
      <c r="Y222" s="391">
        <f t="shared" si="170"/>
        <v>6E-10</v>
      </c>
      <c r="Z222" s="391">
        <f t="shared" si="171"/>
        <v>6.9999999999999996E-10</v>
      </c>
      <c r="AA222" s="391">
        <f t="shared" si="172"/>
        <v>8.0000000000000003E-10</v>
      </c>
      <c r="AB222" s="391">
        <f t="shared" si="173"/>
        <v>8.9999999999999999E-10</v>
      </c>
      <c r="AC222" s="391">
        <f t="shared" si="174"/>
        <v>9.5000000000000003E-10</v>
      </c>
      <c r="AD222" s="391" t="b">
        <f t="shared" si="175"/>
        <v>0</v>
      </c>
      <c r="AE222" s="391" t="b">
        <f t="shared" si="176"/>
        <v>0</v>
      </c>
      <c r="AF222" s="391" t="b">
        <f t="shared" si="177"/>
        <v>0</v>
      </c>
      <c r="AG222" s="391" t="b">
        <f t="shared" si="178"/>
        <v>0</v>
      </c>
      <c r="AH222" s="391" t="b">
        <f t="shared" si="179"/>
        <v>0</v>
      </c>
      <c r="AI222" s="391" t="b">
        <f t="shared" si="180"/>
        <v>1</v>
      </c>
      <c r="AJ222" s="391" t="b">
        <f t="shared" si="181"/>
        <v>1</v>
      </c>
      <c r="AK222" s="391" t="b">
        <f t="shared" si="182"/>
        <v>1</v>
      </c>
      <c r="AL222" s="391" t="b">
        <f t="shared" si="183"/>
        <v>1</v>
      </c>
      <c r="AM222" s="391" t="b">
        <f t="shared" si="184"/>
        <v>1</v>
      </c>
      <c r="AO222" s="393"/>
      <c r="AP222" s="383"/>
      <c r="AQ222" s="384"/>
      <c r="AR222" s="389"/>
      <c r="AS222" s="389"/>
      <c r="AT222" s="389"/>
      <c r="AU222" s="389"/>
      <c r="AV222" s="389"/>
      <c r="AW222" s="389"/>
      <c r="AX222" s="389"/>
      <c r="AY222" s="389"/>
      <c r="AZ222" s="389"/>
      <c r="BA222" s="389"/>
      <c r="BB222" s="389"/>
      <c r="BC222" s="389"/>
      <c r="BD222" s="389"/>
      <c r="BE222" s="389"/>
      <c r="BF222" s="389"/>
      <c r="BG222" s="389"/>
      <c r="BH222" s="389"/>
      <c r="BI222" s="389"/>
      <c r="BJ222" s="389"/>
      <c r="BK222" s="389"/>
      <c r="BL222" s="389"/>
      <c r="BM222" s="389"/>
      <c r="BN222" s="389"/>
      <c r="BO222" s="389"/>
    </row>
    <row r="223" spans="1:67" s="391" customFormat="1" x14ac:dyDescent="0.3">
      <c r="A223" s="408" t="str">
        <f>'Reference Score Calculation'!A202</f>
        <v>JS4874</v>
      </c>
      <c r="B223" s="408" t="str">
        <f>'Reference Score Calculation'!D202</f>
        <v>社會工作</v>
      </c>
      <c r="C223" s="409"/>
      <c r="D223" s="408" t="str">
        <f>'Reference Score Calculation'!E202</f>
        <v>Best 5</v>
      </c>
      <c r="E223" s="409" t="str">
        <f>入學要求!T211</f>
        <v>v</v>
      </c>
      <c r="F223" s="409" t="str">
        <f>入學要求!U211</f>
        <v>E</v>
      </c>
      <c r="G223" s="409" t="str">
        <f>入學要求!V211</f>
        <v>NO</v>
      </c>
      <c r="H223" s="408">
        <f t="shared" si="164"/>
        <v>3.9500000000000006E-9</v>
      </c>
      <c r="I223" s="409">
        <v>1</v>
      </c>
      <c r="J223" s="409">
        <v>1</v>
      </c>
      <c r="K223" s="409">
        <v>1</v>
      </c>
      <c r="L223" s="409">
        <v>1</v>
      </c>
      <c r="M223" s="409">
        <v>1</v>
      </c>
      <c r="N223" s="409">
        <v>1</v>
      </c>
      <c r="O223" s="409">
        <v>1</v>
      </c>
      <c r="P223" s="409">
        <v>1</v>
      </c>
      <c r="Q223" s="409">
        <v>1</v>
      </c>
      <c r="R223" s="409">
        <v>1</v>
      </c>
      <c r="S223" s="409"/>
      <c r="T223" s="391">
        <f t="shared" si="165"/>
        <v>1E-10</v>
      </c>
      <c r="U223" s="391">
        <f t="shared" si="166"/>
        <v>2.0000000000000001E-10</v>
      </c>
      <c r="V223" s="391">
        <f t="shared" si="167"/>
        <v>3E-10</v>
      </c>
      <c r="W223" s="391">
        <f t="shared" si="168"/>
        <v>4.0000000000000001E-10</v>
      </c>
      <c r="X223" s="391">
        <f t="shared" si="169"/>
        <v>5.0000000000000003E-10</v>
      </c>
      <c r="Y223" s="391">
        <f t="shared" si="170"/>
        <v>6E-10</v>
      </c>
      <c r="Z223" s="391">
        <f t="shared" si="171"/>
        <v>6.9999999999999996E-10</v>
      </c>
      <c r="AA223" s="391">
        <f t="shared" si="172"/>
        <v>8.0000000000000003E-10</v>
      </c>
      <c r="AB223" s="391">
        <f t="shared" si="173"/>
        <v>8.9999999999999999E-10</v>
      </c>
      <c r="AC223" s="391">
        <f t="shared" si="174"/>
        <v>9.5000000000000003E-10</v>
      </c>
      <c r="AD223" s="391" t="b">
        <f t="shared" si="175"/>
        <v>0</v>
      </c>
      <c r="AE223" s="391" t="b">
        <f t="shared" si="176"/>
        <v>0</v>
      </c>
      <c r="AF223" s="391" t="b">
        <f t="shared" si="177"/>
        <v>0</v>
      </c>
      <c r="AG223" s="391" t="b">
        <f t="shared" si="178"/>
        <v>0</v>
      </c>
      <c r="AH223" s="391" t="b">
        <f t="shared" si="179"/>
        <v>0</v>
      </c>
      <c r="AI223" s="391" t="b">
        <f t="shared" si="180"/>
        <v>1</v>
      </c>
      <c r="AJ223" s="391" t="b">
        <f t="shared" si="181"/>
        <v>1</v>
      </c>
      <c r="AK223" s="391" t="b">
        <f t="shared" si="182"/>
        <v>1</v>
      </c>
      <c r="AL223" s="391" t="b">
        <f t="shared" si="183"/>
        <v>1</v>
      </c>
      <c r="AM223" s="391" t="b">
        <f t="shared" si="184"/>
        <v>1</v>
      </c>
      <c r="AO223" s="184" t="s">
        <v>2332</v>
      </c>
      <c r="AP223" s="383" t="str">
        <f>N$1</f>
        <v>請選擇第一選修科</v>
      </c>
      <c r="AQ223" s="383" t="str">
        <f t="shared" ref="AQ223:AS223" si="204">O$1</f>
        <v>請選擇第二選修科</v>
      </c>
      <c r="AR223" s="383" t="str">
        <f t="shared" si="204"/>
        <v>請選擇第三選修科</v>
      </c>
      <c r="AS223" s="383" t="str">
        <f t="shared" si="204"/>
        <v>請選擇第四選修科</v>
      </c>
      <c r="AT223" s="383" t="str">
        <f>M$1</f>
        <v>數學延伸</v>
      </c>
      <c r="AU223" s="389"/>
      <c r="AV223" s="410" t="s">
        <v>3200</v>
      </c>
      <c r="AW223" s="390"/>
      <c r="AX223" s="410" t="s">
        <v>2338</v>
      </c>
      <c r="AY223" s="390"/>
      <c r="AZ223" s="184"/>
      <c r="BA223" s="383" t="str">
        <f>I$1</f>
        <v>中國語文</v>
      </c>
      <c r="BB223" s="383" t="str">
        <f t="shared" ref="BB223:BC223" si="205">J$1</f>
        <v>英國語文</v>
      </c>
      <c r="BC223" s="383" t="str">
        <f t="shared" si="205"/>
        <v>數學</v>
      </c>
      <c r="BD223" s="383" t="str">
        <f t="shared" ref="BD223:BJ223" si="206">L$1</f>
        <v>通識教育</v>
      </c>
      <c r="BE223" s="383" t="str">
        <f t="shared" si="206"/>
        <v>數學延伸</v>
      </c>
      <c r="BF223" s="383" t="str">
        <f t="shared" si="206"/>
        <v>請選擇第一選修科</v>
      </c>
      <c r="BG223" s="383" t="str">
        <f t="shared" si="206"/>
        <v>請選擇第二選修科</v>
      </c>
      <c r="BH223" s="383" t="str">
        <f t="shared" si="206"/>
        <v>請選擇第三選修科</v>
      </c>
      <c r="BI223" s="383" t="str">
        <f t="shared" si="206"/>
        <v>請選擇第四選修科</v>
      </c>
      <c r="BJ223" s="383" t="str">
        <f t="shared" si="206"/>
        <v>請選擇語言科目</v>
      </c>
      <c r="BK223" s="389"/>
      <c r="BL223" s="389"/>
      <c r="BM223" s="389"/>
      <c r="BN223" s="389"/>
      <c r="BO223" s="389"/>
    </row>
    <row r="224" spans="1:67" s="391" customFormat="1" x14ac:dyDescent="0.3">
      <c r="A224" s="408" t="str">
        <f>'Reference Score Calculation'!A203</f>
        <v>JS4886</v>
      </c>
      <c r="B224" s="408" t="str">
        <f>'Reference Score Calculation'!D203</f>
        <v>社會學</v>
      </c>
      <c r="C224" s="409"/>
      <c r="D224" s="408" t="str">
        <f>'Reference Score Calculation'!E203</f>
        <v>Best 5</v>
      </c>
      <c r="E224" s="409" t="str">
        <f>入學要求!T212</f>
        <v>v</v>
      </c>
      <c r="F224" s="409" t="str">
        <f>入學要求!U212</f>
        <v>E</v>
      </c>
      <c r="G224" s="409" t="str">
        <f>入學要求!V212</f>
        <v>NO</v>
      </c>
      <c r="H224" s="408">
        <f t="shared" si="164"/>
        <v>3.3500000000000002E-9</v>
      </c>
      <c r="I224" s="409">
        <v>1</v>
      </c>
      <c r="J224" s="409">
        <v>1.5</v>
      </c>
      <c r="K224" s="409">
        <v>1</v>
      </c>
      <c r="L224" s="409">
        <v>1.5</v>
      </c>
      <c r="M224" s="409">
        <v>1</v>
      </c>
      <c r="N224" s="409">
        <v>1</v>
      </c>
      <c r="O224" s="409">
        <v>1</v>
      </c>
      <c r="P224" s="409">
        <v>1</v>
      </c>
      <c r="Q224" s="409">
        <v>1</v>
      </c>
      <c r="R224" s="409">
        <v>1</v>
      </c>
      <c r="S224" s="409"/>
      <c r="T224" s="391">
        <f t="shared" si="165"/>
        <v>1E-10</v>
      </c>
      <c r="U224" s="391">
        <f t="shared" si="166"/>
        <v>3E-10</v>
      </c>
      <c r="V224" s="391">
        <f t="shared" si="167"/>
        <v>3E-10</v>
      </c>
      <c r="W224" s="391">
        <f t="shared" si="168"/>
        <v>6E-10</v>
      </c>
      <c r="X224" s="391">
        <f t="shared" ref="X224:X226" si="207">IF(E224="v",M$6*M224,0)</f>
        <v>5.0000000000000003E-10</v>
      </c>
      <c r="Y224" s="391">
        <f t="shared" si="170"/>
        <v>6E-10</v>
      </c>
      <c r="Z224" s="391">
        <f t="shared" si="171"/>
        <v>6.9999999999999996E-10</v>
      </c>
      <c r="AA224" s="391">
        <f t="shared" si="172"/>
        <v>8.0000000000000003E-10</v>
      </c>
      <c r="AB224" s="391">
        <f t="shared" si="173"/>
        <v>8.9999999999999999E-10</v>
      </c>
      <c r="AC224" s="391">
        <f t="shared" si="174"/>
        <v>9.5000000000000003E-10</v>
      </c>
      <c r="AD224" s="391" t="b">
        <f t="shared" si="175"/>
        <v>0</v>
      </c>
      <c r="AE224" s="391" t="b">
        <f t="shared" si="176"/>
        <v>0</v>
      </c>
      <c r="AF224" s="391" t="b">
        <f t="shared" si="177"/>
        <v>0</v>
      </c>
      <c r="AG224" s="391" t="b">
        <f t="shared" si="178"/>
        <v>0</v>
      </c>
      <c r="AH224" s="391" t="b">
        <f t="shared" si="179"/>
        <v>0</v>
      </c>
      <c r="AI224" s="391" t="b">
        <f t="shared" si="180"/>
        <v>0</v>
      </c>
      <c r="AJ224" s="391" t="b">
        <f t="shared" si="181"/>
        <v>1</v>
      </c>
      <c r="AK224" s="391" t="b">
        <f t="shared" si="182"/>
        <v>1</v>
      </c>
      <c r="AL224" s="391" t="b">
        <f t="shared" si="183"/>
        <v>1</v>
      </c>
      <c r="AM224" s="391" t="b">
        <f t="shared" si="184"/>
        <v>1</v>
      </c>
      <c r="AO224" s="184"/>
      <c r="AP224" s="430">
        <f>IF(OR(N$1="化學",N$1="生物",N$1="組合科學(物理、化學)",N$1="組合科學(生物、化學)",N$1="組合科學(物理、生物)",N$1="物理"),N$7,0)</f>
        <v>0</v>
      </c>
      <c r="AQ224" s="430">
        <f t="shared" ref="AQ224:AS224" si="208">IF(OR(O$1="化學",O$1="生物",O$1="組合科學(物理、化學)",O$1="組合科學(生物、化學)",O$1="組合科學(物理、生物)",O$1="物理"),O$7,0)</f>
        <v>0</v>
      </c>
      <c r="AR224" s="430">
        <f t="shared" si="208"/>
        <v>0</v>
      </c>
      <c r="AS224" s="430">
        <f t="shared" si="208"/>
        <v>0</v>
      </c>
      <c r="AT224" s="428">
        <f>M$7</f>
        <v>5.0000000000000003E-10</v>
      </c>
      <c r="AU224" s="389"/>
      <c r="AV224" s="403" t="str">
        <f>INDEX(AP223:AT223,MATCH(LARGE(AP224:AT224,1),AP224:AT224,0))</f>
        <v>數學延伸</v>
      </c>
      <c r="AW224" s="403">
        <f>LARGE((AP224:AT224),1)</f>
        <v>5.0000000000000003E-10</v>
      </c>
      <c r="AX224" s="403" t="str">
        <f>INDEX(AP223:AT223,MATCH(LARGE(AP224:AT224,2),AP224:AT224,0))</f>
        <v>請選擇第一選修科</v>
      </c>
      <c r="AY224" s="403">
        <f>LARGE((AP224:AT224),2)</f>
        <v>0</v>
      </c>
      <c r="AZ224" s="184"/>
      <c r="BA224" s="430">
        <f>IF(OR(BA223=$AX$224,BA223=$AV$224),0,I$7)</f>
        <v>1E-10</v>
      </c>
      <c r="BB224" s="430">
        <v>0</v>
      </c>
      <c r="BC224" s="430">
        <v>0</v>
      </c>
      <c r="BD224" s="430">
        <f t="shared" ref="BD224:BJ224" si="209">IF(OR(BD223=$AX$224,BD223=$AV$224),0,L$7)</f>
        <v>4.0000000000000001E-10</v>
      </c>
      <c r="BE224" s="430">
        <f t="shared" si="209"/>
        <v>0</v>
      </c>
      <c r="BF224" s="430">
        <f t="shared" si="209"/>
        <v>0</v>
      </c>
      <c r="BG224" s="430">
        <f t="shared" si="209"/>
        <v>6.9999999999999996E-10</v>
      </c>
      <c r="BH224" s="430">
        <f t="shared" si="209"/>
        <v>8.0000000000000003E-10</v>
      </c>
      <c r="BI224" s="430">
        <f t="shared" si="209"/>
        <v>8.9999999999999999E-10</v>
      </c>
      <c r="BJ224" s="430">
        <f t="shared" si="209"/>
        <v>9.5000000000000003E-10</v>
      </c>
      <c r="BK224" s="389"/>
      <c r="BL224" s="389"/>
      <c r="BM224" s="389"/>
      <c r="BN224" s="389"/>
      <c r="BO224" s="389"/>
    </row>
    <row r="225" spans="1:74" s="391" customFormat="1" x14ac:dyDescent="0.3">
      <c r="A225" s="408" t="str">
        <f>'Reference Score Calculation'!A204</f>
        <v>JS4892</v>
      </c>
      <c r="B225" s="408" t="str">
        <f>'Reference Score Calculation'!D204</f>
        <v>全球研究</v>
      </c>
      <c r="C225" s="409"/>
      <c r="D225" s="408" t="str">
        <f>'Reference Score Calculation'!E204</f>
        <v>Best 5</v>
      </c>
      <c r="E225" s="409" t="str">
        <f>入學要求!T213</f>
        <v>v</v>
      </c>
      <c r="F225" s="409" t="str">
        <f>入學要求!U213</f>
        <v>E</v>
      </c>
      <c r="G225" s="409" t="str">
        <f>入學要求!V213</f>
        <v>NO</v>
      </c>
      <c r="H225" s="408">
        <f t="shared" ref="H225:H226" si="210">SUMIF(AD225:AM225,TRUE,T225:AC225)</f>
        <v>3.9500000000000006E-9</v>
      </c>
      <c r="I225" s="409">
        <v>1</v>
      </c>
      <c r="J225" s="409">
        <v>1.5</v>
      </c>
      <c r="K225" s="409">
        <v>1</v>
      </c>
      <c r="L225" s="409">
        <v>1</v>
      </c>
      <c r="M225" s="409">
        <v>1</v>
      </c>
      <c r="N225" s="409">
        <v>1</v>
      </c>
      <c r="O225" s="409">
        <v>1</v>
      </c>
      <c r="P225" s="409">
        <v>1</v>
      </c>
      <c r="Q225" s="409">
        <v>1</v>
      </c>
      <c r="R225" s="409">
        <v>1</v>
      </c>
      <c r="S225" s="409"/>
      <c r="T225" s="391">
        <f t="shared" ref="T225:T227" si="211">I$6*I225</f>
        <v>1E-10</v>
      </c>
      <c r="U225" s="391">
        <f t="shared" ref="U225:U227" si="212">J$6*J225</f>
        <v>3E-10</v>
      </c>
      <c r="V225" s="391">
        <f t="shared" ref="V225:V227" si="213">K$6*K225</f>
        <v>3E-10</v>
      </c>
      <c r="W225" s="391">
        <f t="shared" ref="W225:W227" si="214">L$6*L225</f>
        <v>4.0000000000000001E-10</v>
      </c>
      <c r="X225" s="391">
        <f t="shared" si="207"/>
        <v>5.0000000000000003E-10</v>
      </c>
      <c r="Y225" s="391">
        <f t="shared" ref="Y225:Y227" si="215">N$6*N225</f>
        <v>6E-10</v>
      </c>
      <c r="Z225" s="391">
        <f t="shared" ref="Z225:Z227" si="216">O$6*O225</f>
        <v>6.9999999999999996E-10</v>
      </c>
      <c r="AA225" s="391">
        <f t="shared" ref="AA225:AA227" si="217">P$6*P225</f>
        <v>8.0000000000000003E-10</v>
      </c>
      <c r="AB225" s="391">
        <f t="shared" ref="AB225:AB227" si="218">Q$6*Q225</f>
        <v>8.9999999999999999E-10</v>
      </c>
      <c r="AC225" s="391">
        <f t="shared" ref="AC225:AC227" si="219">IF(F225="E",R$6*R225,0)</f>
        <v>9.5000000000000003E-10</v>
      </c>
      <c r="AD225" s="391" t="b">
        <f t="shared" ref="AD225:AD227" si="220">IF($D225="4C2X",TRUE,IF($D225="Best 5",IF(T225&gt;LARGE($T225:$AC225,6),TRUE)))</f>
        <v>0</v>
      </c>
      <c r="AE225" s="391" t="b">
        <f t="shared" ref="AE225:AE227" si="221">IF($D225="4C2X",TRUE,IF($D225="Best 5",IF(U225&gt;LARGE($T225:$AC225,6),TRUE)))</f>
        <v>0</v>
      </c>
      <c r="AF225" s="391" t="b">
        <f t="shared" ref="AF225:AF227" si="222">IF($D225="4C2X",TRUE,IF($D225="Best 5",IF(V225&gt;LARGE($T225:$AC225,6),TRUE)))</f>
        <v>0</v>
      </c>
      <c r="AG225" s="391" t="b">
        <f t="shared" ref="AG225:AG227" si="223">IF($D225="4C2X",TRUE,IF($D225="Best 5",IF(W225&gt;LARGE($T225:$AC225,6),TRUE)))</f>
        <v>0</v>
      </c>
      <c r="AH225" s="391" t="b">
        <f t="shared" ref="AH225:AH227" si="224">IF($D225="4C2X",IF(X225&gt;LARGE($X225:$AC225,3),TRUE),IF($D225="Best 5",IF(X225&gt;LARGE($T225:$AC225,6),TRUE)))</f>
        <v>0</v>
      </c>
      <c r="AI225" s="391" t="b">
        <f t="shared" ref="AI225:AI227" si="225">IF($D225="4C2X",IF(Y225&gt;LARGE($X225:$AC225,3),TRUE),IF($D225="Best 5",IF(Y225&gt;LARGE($T225:$AC225,6),TRUE)))</f>
        <v>1</v>
      </c>
      <c r="AJ225" s="391" t="b">
        <f t="shared" ref="AJ225:AJ227" si="226">IF($D225="4C2X",IF(Z225&gt;LARGE($X225:$AC225,3),TRUE),IF($D225="Best 5",IF(Z225&gt;LARGE($T225:$AC225,6),TRUE)))</f>
        <v>1</v>
      </c>
      <c r="AK225" s="391" t="b">
        <f t="shared" ref="AK225:AK227" si="227">IF($D225="4C2X",IF(AA225&gt;LARGE($X225:$AC225,3),TRUE),IF($D225="Best 5",IF(AA225&gt;LARGE($T225:$AC225,6),TRUE)))</f>
        <v>1</v>
      </c>
      <c r="AL225" s="391" t="b">
        <f t="shared" ref="AL225:AL227" si="228">IF($D225="4C2X",IF(AB225&gt;LARGE($X225:$AC225,3),TRUE),IF($D225="Best 5",IF(AB225&gt;LARGE($T225:$AC225,6),TRUE)))</f>
        <v>1</v>
      </c>
      <c r="AM225" s="391" t="b">
        <f t="shared" ref="AM225:AM227" si="229">IF($D225="4C2X",IF(AC225&gt;LARGE($X225:$AC225,3),TRUE),IF($D225="Best 5",IF(AC225&gt;LARGE($T225:$AC225,6),TRUE)))</f>
        <v>1</v>
      </c>
      <c r="AO225" s="184"/>
      <c r="AP225" s="429" t="s">
        <v>3288</v>
      </c>
      <c r="AQ225" s="384"/>
      <c r="AR225" s="389"/>
      <c r="AS225" s="389"/>
      <c r="AT225" s="389"/>
      <c r="AU225" s="389"/>
      <c r="AV225" s="390"/>
      <c r="AW225" s="390"/>
      <c r="AX225" s="384"/>
      <c r="AY225" s="184"/>
      <c r="AZ225" s="184"/>
      <c r="BA225" s="429" t="b">
        <f>IF(BA224=LARGE($BA224:$BJ224,1),TRUE,IF(OR(BA223=$AV$224,BA223=$AX$224),TRUE,FALSE))</f>
        <v>0</v>
      </c>
      <c r="BB225" s="429" t="b">
        <v>1</v>
      </c>
      <c r="BC225" s="429" t="b">
        <v>1</v>
      </c>
      <c r="BD225" s="429" t="b">
        <f t="shared" ref="BD225:BJ225" si="230">IF(BD224=LARGE($BA224:$BJ224,1),TRUE,IF(OR(BD223=$AV$224,BD223=$AX$224),TRUE,FALSE))</f>
        <v>0</v>
      </c>
      <c r="BE225" s="429" t="b">
        <f t="shared" si="230"/>
        <v>1</v>
      </c>
      <c r="BF225" s="429" t="b">
        <f t="shared" si="230"/>
        <v>1</v>
      </c>
      <c r="BG225" s="429" t="b">
        <f t="shared" si="230"/>
        <v>0</v>
      </c>
      <c r="BH225" s="429" t="b">
        <f t="shared" si="230"/>
        <v>0</v>
      </c>
      <c r="BI225" s="429" t="b">
        <f t="shared" si="230"/>
        <v>0</v>
      </c>
      <c r="BJ225" s="429" t="b">
        <f t="shared" si="230"/>
        <v>1</v>
      </c>
      <c r="BK225" s="389"/>
      <c r="BL225" s="389"/>
      <c r="BM225" s="389"/>
      <c r="BN225" s="389"/>
      <c r="BO225" s="389"/>
    </row>
    <row r="226" spans="1:74" s="391" customFormat="1" x14ac:dyDescent="0.3">
      <c r="A226" s="408" t="str">
        <f>'Reference Score Calculation'!A205</f>
        <v>JS4893</v>
      </c>
      <c r="B226" s="408" t="str">
        <f>'Reference Score Calculation'!D205</f>
        <v>數據科學與政策研究</v>
      </c>
      <c r="C226" s="409"/>
      <c r="D226" s="408" t="str">
        <f>'Reference Score Calculation'!E205</f>
        <v>Best 5</v>
      </c>
      <c r="E226" s="409" t="str">
        <f>入學要求!T214</f>
        <v>v</v>
      </c>
      <c r="F226" s="409" t="str">
        <f>入學要求!U214</f>
        <v>E</v>
      </c>
      <c r="G226" s="409" t="str">
        <f>入學要求!V214</f>
        <v>NO</v>
      </c>
      <c r="H226" s="408">
        <f t="shared" si="210"/>
        <v>3.9500000000000006E-9</v>
      </c>
      <c r="I226" s="409">
        <v>1</v>
      </c>
      <c r="J226" s="409">
        <v>1</v>
      </c>
      <c r="K226" s="409">
        <v>1</v>
      </c>
      <c r="L226" s="409">
        <v>1</v>
      </c>
      <c r="M226" s="409">
        <v>1</v>
      </c>
      <c r="N226" s="409">
        <v>1</v>
      </c>
      <c r="O226" s="409">
        <v>1</v>
      </c>
      <c r="P226" s="409">
        <v>1</v>
      </c>
      <c r="Q226" s="409">
        <v>1</v>
      </c>
      <c r="R226" s="409">
        <v>1</v>
      </c>
      <c r="S226" s="409"/>
      <c r="T226" s="391">
        <f t="shared" si="211"/>
        <v>1E-10</v>
      </c>
      <c r="U226" s="391">
        <f t="shared" si="212"/>
        <v>2.0000000000000001E-10</v>
      </c>
      <c r="V226" s="391">
        <f t="shared" si="213"/>
        <v>3E-10</v>
      </c>
      <c r="W226" s="391">
        <f t="shared" si="214"/>
        <v>4.0000000000000001E-10</v>
      </c>
      <c r="X226" s="391">
        <f t="shared" si="207"/>
        <v>5.0000000000000003E-10</v>
      </c>
      <c r="Y226" s="391">
        <f t="shared" si="215"/>
        <v>6E-10</v>
      </c>
      <c r="Z226" s="391">
        <f t="shared" si="216"/>
        <v>6.9999999999999996E-10</v>
      </c>
      <c r="AA226" s="391">
        <f t="shared" si="217"/>
        <v>8.0000000000000003E-10</v>
      </c>
      <c r="AB226" s="391">
        <f t="shared" si="218"/>
        <v>8.9999999999999999E-10</v>
      </c>
      <c r="AC226" s="391">
        <f t="shared" si="219"/>
        <v>9.5000000000000003E-10</v>
      </c>
      <c r="AD226" s="391" t="b">
        <f t="shared" si="220"/>
        <v>0</v>
      </c>
      <c r="AE226" s="391" t="b">
        <f t="shared" si="221"/>
        <v>0</v>
      </c>
      <c r="AF226" s="391" t="b">
        <f t="shared" si="222"/>
        <v>0</v>
      </c>
      <c r="AG226" s="391" t="b">
        <f t="shared" si="223"/>
        <v>0</v>
      </c>
      <c r="AH226" s="391" t="b">
        <f t="shared" si="224"/>
        <v>0</v>
      </c>
      <c r="AI226" s="391" t="b">
        <f t="shared" si="225"/>
        <v>1</v>
      </c>
      <c r="AJ226" s="391" t="b">
        <f t="shared" si="226"/>
        <v>1</v>
      </c>
      <c r="AK226" s="391" t="b">
        <f t="shared" si="227"/>
        <v>1</v>
      </c>
      <c r="AL226" s="391" t="b">
        <f t="shared" si="228"/>
        <v>1</v>
      </c>
      <c r="AM226" s="391" t="b">
        <f t="shared" si="229"/>
        <v>1</v>
      </c>
      <c r="AO226" s="390"/>
      <c r="AP226" s="429"/>
      <c r="AQ226" s="384"/>
      <c r="AR226" s="389"/>
      <c r="AS226" s="389"/>
      <c r="AT226" s="389"/>
      <c r="AU226" s="389"/>
      <c r="AV226" s="390"/>
      <c r="AW226" s="390"/>
      <c r="AX226" s="384"/>
      <c r="AY226" s="390"/>
      <c r="AZ226" s="390"/>
      <c r="BA226" s="429"/>
      <c r="BB226" s="384"/>
      <c r="BC226" s="389"/>
      <c r="BD226" s="389"/>
      <c r="BE226" s="389"/>
      <c r="BF226" s="389"/>
      <c r="BG226" s="389"/>
      <c r="BH226" s="389"/>
      <c r="BI226" s="389"/>
      <c r="BJ226" s="389"/>
      <c r="BK226" s="389"/>
      <c r="BL226" s="389"/>
      <c r="BM226" s="389"/>
      <c r="BN226" s="389"/>
      <c r="BO226" s="389"/>
    </row>
    <row r="227" spans="1:74" s="405" customFormat="1" x14ac:dyDescent="0.3">
      <c r="A227" s="406" t="str">
        <f>'Reference Score Calculation'!A206</f>
        <v>JS4903</v>
      </c>
      <c r="B227" s="406" t="str">
        <f>'Reference Score Calculation'!D206</f>
        <v>法學士</v>
      </c>
      <c r="C227" s="418"/>
      <c r="D227" s="406" t="str">
        <f>'Reference Score Calculation'!E206</f>
        <v>4C2X</v>
      </c>
      <c r="E227" s="418" t="str">
        <f>入學要求!T215</f>
        <v>v</v>
      </c>
      <c r="F227" s="418" t="str">
        <f>入學要求!U215</f>
        <v>E</v>
      </c>
      <c r="G227" s="418" t="str">
        <f>入學要求!V215</f>
        <v>NO</v>
      </c>
      <c r="H227" s="406">
        <f>IF($U$15=TRUE,SUMIF(AD227:AM227,TRUE,T227:AC227)*0.95,SUMIF(AD227:AM227,TRUE,T227:AC227))</f>
        <v>3.4999999999999999E-9</v>
      </c>
      <c r="I227" s="418">
        <v>1.5</v>
      </c>
      <c r="J227" s="418">
        <v>2</v>
      </c>
      <c r="K227" s="418">
        <v>1</v>
      </c>
      <c r="L227" s="418">
        <v>2</v>
      </c>
      <c r="M227" s="418">
        <v>1</v>
      </c>
      <c r="N227" s="418">
        <v>1</v>
      </c>
      <c r="O227" s="418">
        <v>1</v>
      </c>
      <c r="P227" s="418">
        <v>1</v>
      </c>
      <c r="Q227" s="418">
        <v>1</v>
      </c>
      <c r="R227" s="418">
        <v>1</v>
      </c>
      <c r="S227" s="418"/>
      <c r="T227" s="405">
        <f t="shared" si="211"/>
        <v>1.5E-10</v>
      </c>
      <c r="U227" s="405">
        <f t="shared" si="212"/>
        <v>4.0000000000000001E-10</v>
      </c>
      <c r="V227" s="405">
        <f t="shared" si="213"/>
        <v>3E-10</v>
      </c>
      <c r="W227" s="405">
        <f t="shared" si="214"/>
        <v>8.0000000000000003E-10</v>
      </c>
      <c r="X227" s="405">
        <f>IF(E227="v",M$6*M227,0)</f>
        <v>5.0000000000000003E-10</v>
      </c>
      <c r="Y227" s="405">
        <f t="shared" si="215"/>
        <v>6E-10</v>
      </c>
      <c r="Z227" s="405">
        <f t="shared" si="216"/>
        <v>6.9999999999999996E-10</v>
      </c>
      <c r="AA227" s="405">
        <f t="shared" si="217"/>
        <v>8.0000000000000003E-10</v>
      </c>
      <c r="AB227" s="405">
        <f t="shared" si="218"/>
        <v>8.9999999999999999E-10</v>
      </c>
      <c r="AC227" s="405">
        <f t="shared" si="219"/>
        <v>9.5000000000000003E-10</v>
      </c>
      <c r="AD227" s="405" t="b">
        <f t="shared" si="220"/>
        <v>1</v>
      </c>
      <c r="AE227" s="405" t="b">
        <f t="shared" si="221"/>
        <v>1</v>
      </c>
      <c r="AF227" s="405" t="b">
        <f t="shared" si="222"/>
        <v>1</v>
      </c>
      <c r="AG227" s="405" t="b">
        <f t="shared" si="223"/>
        <v>1</v>
      </c>
      <c r="AH227" s="405" t="b">
        <f t="shared" si="224"/>
        <v>0</v>
      </c>
      <c r="AI227" s="405" t="b">
        <f t="shared" si="225"/>
        <v>0</v>
      </c>
      <c r="AJ227" s="405" t="b">
        <f t="shared" si="226"/>
        <v>0</v>
      </c>
      <c r="AK227" s="405" t="b">
        <f t="shared" si="227"/>
        <v>0</v>
      </c>
      <c r="AL227" s="405" t="b">
        <f t="shared" si="228"/>
        <v>1</v>
      </c>
      <c r="AM227" s="405" t="b">
        <f t="shared" si="229"/>
        <v>1</v>
      </c>
      <c r="AN227" s="405" t="str">
        <f>INDEX('Retake 扣分'!$H$13:$H$29,MATCH(A227,'Retake 扣分'!$A$13:$A$29,0))</f>
        <v>5%或更少</v>
      </c>
      <c r="AO227" s="553" t="s">
        <v>2339</v>
      </c>
      <c r="AP227" s="546" t="str">
        <f>N$1</f>
        <v>請選擇第一選修科</v>
      </c>
      <c r="AQ227" s="546" t="str">
        <f t="shared" ref="AQ227" si="231">O$1</f>
        <v>請選擇第二選修科</v>
      </c>
      <c r="AR227" s="546" t="str">
        <f t="shared" ref="AR227" si="232">P$1</f>
        <v>請選擇第三選修科</v>
      </c>
      <c r="AS227" s="546" t="str">
        <f t="shared" ref="AS227" si="233">Q$1</f>
        <v>請選擇第四選修科</v>
      </c>
      <c r="AT227" s="546" t="str">
        <f>M$1</f>
        <v>數學延伸</v>
      </c>
      <c r="AU227" s="554"/>
      <c r="AV227" s="555" t="s">
        <v>3200</v>
      </c>
      <c r="AW227" s="553"/>
      <c r="AX227" s="556" t="s">
        <v>2006</v>
      </c>
      <c r="AY227" s="546"/>
      <c r="AZ227" s="555" t="s">
        <v>2338</v>
      </c>
      <c r="BA227" s="553"/>
      <c r="BB227" s="556" t="s">
        <v>2006</v>
      </c>
      <c r="BC227" s="554"/>
      <c r="BD227" s="546" t="str">
        <f t="shared" ref="BD227:BM227" si="234">I$1</f>
        <v>中國語文</v>
      </c>
      <c r="BE227" s="546" t="str">
        <f t="shared" si="234"/>
        <v>英國語文</v>
      </c>
      <c r="BF227" s="546" t="str">
        <f t="shared" si="234"/>
        <v>數學</v>
      </c>
      <c r="BG227" s="546" t="str">
        <f t="shared" si="234"/>
        <v>通識教育</v>
      </c>
      <c r="BH227" s="546" t="str">
        <f t="shared" si="234"/>
        <v>數學延伸</v>
      </c>
      <c r="BI227" s="546" t="str">
        <f t="shared" si="234"/>
        <v>請選擇第一選修科</v>
      </c>
      <c r="BJ227" s="546" t="str">
        <f t="shared" si="234"/>
        <v>請選擇第二選修科</v>
      </c>
      <c r="BK227" s="546" t="str">
        <f t="shared" si="234"/>
        <v>請選擇第三選修科</v>
      </c>
      <c r="BL227" s="546" t="str">
        <f t="shared" si="234"/>
        <v>請選擇第四選修科</v>
      </c>
      <c r="BM227" s="546" t="str">
        <f t="shared" si="234"/>
        <v>請選擇語言科目</v>
      </c>
      <c r="BN227" s="554"/>
      <c r="BO227" s="554"/>
    </row>
    <row r="228" spans="1:74" x14ac:dyDescent="0.3">
      <c r="A228" s="391"/>
      <c r="B228" s="391"/>
      <c r="C228" s="391"/>
      <c r="D228" s="391"/>
      <c r="E228" s="391"/>
      <c r="AO228" s="390" t="s">
        <v>2253</v>
      </c>
      <c r="AP228" s="430">
        <f>IF(OR(N$1="化學",N$1="生物",N$1="組合科學(物理、化學)",N$1="組合科學(生物、化學)",N$1="組合科學(物理、生物)"),N$7*1.5,IF(N$1="物理",N$7*2,0))</f>
        <v>0</v>
      </c>
      <c r="AQ228" s="430">
        <f t="shared" ref="AQ228:AS228" si="235">IF(OR(O$1="化學",O$1="生物",O$1="組合科學(物理、化學)",O$1="組合科學(生物、化學)",O$1="組合科學(物理、生物)"),O$7*1.5,IF(O$1="物理",O$7*2,0))</f>
        <v>0</v>
      </c>
      <c r="AR228" s="430">
        <f t="shared" si="235"/>
        <v>0</v>
      </c>
      <c r="AS228" s="430">
        <f t="shared" si="235"/>
        <v>0</v>
      </c>
      <c r="AT228" s="428">
        <f>M$7*2</f>
        <v>1.0000000000000001E-9</v>
      </c>
      <c r="AU228" s="389"/>
      <c r="AV228" s="403" t="str">
        <f>INDEX(AP227:AT227,MATCH(LARGE(AP228:AT228,1),AP228:AT228,0))</f>
        <v>數學延伸</v>
      </c>
      <c r="AW228" s="403">
        <f>LARGE((AP228:AT228),1)</f>
        <v>1.0000000000000001E-9</v>
      </c>
      <c r="AX228" s="395">
        <f>IF(OR(AV228="物理",AV228="數學延伸"),2,IF(OR(AV228="生物",AV228="化學",AV228="組合科學(物理、化學)",AV228="組合科學(生物、化學)",AV228="組合科學(物理、生物)"),1.5,1))</f>
        <v>2</v>
      </c>
      <c r="AY228" s="383"/>
      <c r="AZ228" s="403" t="str">
        <f>INDEX(AP227:AT227,MATCH(LARGE(AP228:AT228,2),AP228:AT228,0))</f>
        <v>請選擇第一選修科</v>
      </c>
      <c r="BA228" s="403">
        <f>LARGE((AP228:AT228),2)</f>
        <v>0</v>
      </c>
      <c r="BB228" s="395">
        <f>IF(OR(AZ228="物理",AZ228="數學延伸"),2,IF(OR(AZ228="生物",AZ228="化學",AZ228="組合科學(物理、化學)",AZ228="組合科學(生物、化學)",AZ228="組合科學(物理、生物)"),1.5,1))</f>
        <v>1</v>
      </c>
      <c r="BC228" s="389"/>
      <c r="BD228" s="430">
        <f>IF(BD227=$AV$228,0,IF(BD227=$AZ$228,$BA$228*$BB$228,I$7))</f>
        <v>1E-10</v>
      </c>
      <c r="BE228" s="430">
        <v>0</v>
      </c>
      <c r="BF228" s="430">
        <v>0</v>
      </c>
      <c r="BG228" s="430">
        <f t="shared" ref="BG228:BM228" si="236">IF(BG227=$AV$228,0,IF(BG227=$AZ$228,$BA$228*$BB$228,L$7))</f>
        <v>4.0000000000000001E-10</v>
      </c>
      <c r="BH228" s="430">
        <f t="shared" si="236"/>
        <v>0</v>
      </c>
      <c r="BI228" s="430">
        <f t="shared" si="236"/>
        <v>0</v>
      </c>
      <c r="BJ228" s="430">
        <f t="shared" si="236"/>
        <v>6.9999999999999996E-10</v>
      </c>
      <c r="BK228" s="430">
        <f t="shared" si="236"/>
        <v>8.0000000000000003E-10</v>
      </c>
      <c r="BL228" s="430">
        <f t="shared" si="236"/>
        <v>8.9999999999999999E-10</v>
      </c>
      <c r="BM228" s="430">
        <f t="shared" si="236"/>
        <v>9.5000000000000003E-10</v>
      </c>
      <c r="BN228" s="389"/>
      <c r="BO228" s="389"/>
      <c r="BP228" s="391"/>
      <c r="BQ228" s="391"/>
      <c r="BR228" s="391"/>
      <c r="BS228" s="391"/>
      <c r="BT228" s="391"/>
      <c r="BU228" s="391"/>
      <c r="BV228" s="391"/>
    </row>
    <row r="229" spans="1:74" s="227" customFormat="1" x14ac:dyDescent="0.3">
      <c r="A229" s="226" t="s">
        <v>2309</v>
      </c>
      <c r="B229" s="226"/>
      <c r="C229" s="226"/>
      <c r="D229" s="407"/>
      <c r="E229" s="356" t="s">
        <v>2233</v>
      </c>
      <c r="F229" s="356" t="s">
        <v>2234</v>
      </c>
      <c r="G229" s="356" t="s">
        <v>2235</v>
      </c>
      <c r="H229" s="399" t="s">
        <v>2301</v>
      </c>
      <c r="I229" s="399" t="s">
        <v>2011</v>
      </c>
      <c r="J229" s="399" t="s">
        <v>2012</v>
      </c>
      <c r="K229" s="399" t="s">
        <v>2013</v>
      </c>
      <c r="L229" s="399" t="s">
        <v>2014</v>
      </c>
      <c r="M229" s="399" t="s">
        <v>2015</v>
      </c>
      <c r="N229" s="399" t="s">
        <v>2016</v>
      </c>
      <c r="O229" s="399" t="s">
        <v>2017</v>
      </c>
      <c r="P229" s="399" t="s">
        <v>2018</v>
      </c>
      <c r="Q229" s="399" t="s">
        <v>2019</v>
      </c>
      <c r="R229" s="399" t="s">
        <v>2958</v>
      </c>
      <c r="S229" s="404"/>
      <c r="T229" s="399" t="str">
        <f>I$1</f>
        <v>中國語文</v>
      </c>
      <c r="U229" s="399" t="str">
        <f t="shared" ref="U229:AC229" si="237">J$1</f>
        <v>英國語文</v>
      </c>
      <c r="V229" s="399" t="str">
        <f t="shared" si="237"/>
        <v>數學</v>
      </c>
      <c r="W229" s="399" t="str">
        <f t="shared" si="237"/>
        <v>通識教育</v>
      </c>
      <c r="X229" s="399" t="str">
        <f t="shared" si="237"/>
        <v>數學延伸</v>
      </c>
      <c r="Y229" s="399" t="str">
        <f t="shared" si="237"/>
        <v>請選擇第一選修科</v>
      </c>
      <c r="Z229" s="399" t="str">
        <f t="shared" si="237"/>
        <v>請選擇第二選修科</v>
      </c>
      <c r="AA229" s="399" t="str">
        <f t="shared" si="237"/>
        <v>請選擇第三選修科</v>
      </c>
      <c r="AB229" s="399" t="str">
        <f t="shared" si="237"/>
        <v>請選擇第四選修科</v>
      </c>
      <c r="AC229" s="399" t="str">
        <f t="shared" si="237"/>
        <v>請選擇語言科目</v>
      </c>
      <c r="AD229" s="399" t="s">
        <v>2881</v>
      </c>
      <c r="AE229" s="399" t="s">
        <v>2882</v>
      </c>
      <c r="AF229" s="399" t="s">
        <v>2883</v>
      </c>
      <c r="AG229" s="399" t="s">
        <v>2884</v>
      </c>
      <c r="AH229" s="399" t="s">
        <v>2885</v>
      </c>
      <c r="AI229" s="399" t="s">
        <v>2886</v>
      </c>
      <c r="AJ229" s="399" t="s">
        <v>2887</v>
      </c>
      <c r="AK229" s="399" t="s">
        <v>2888</v>
      </c>
      <c r="AL229" s="399" t="s">
        <v>2889</v>
      </c>
      <c r="AM229" s="399" t="s">
        <v>2890</v>
      </c>
      <c r="AN229" s="405"/>
      <c r="AO229" s="390"/>
      <c r="AP229" s="429" t="s">
        <v>3288</v>
      </c>
      <c r="AQ229" s="384"/>
      <c r="AR229" s="389"/>
      <c r="AS229" s="389"/>
      <c r="AT229" s="389"/>
      <c r="AU229" s="389"/>
      <c r="AV229" s="417" t="s">
        <v>3288</v>
      </c>
      <c r="AW229" s="390"/>
      <c r="AX229" s="384"/>
      <c r="AY229" s="383"/>
      <c r="AZ229" s="383"/>
      <c r="BA229" s="389"/>
      <c r="BB229" s="389"/>
      <c r="BC229" s="389"/>
      <c r="BD229" s="429" t="b">
        <f>IF(BD227=$AV$228,TRUE,IF(BD228&gt;LARGE($BD228:$BM228,3),TRUE))</f>
        <v>0</v>
      </c>
      <c r="BE229" s="429" t="b">
        <v>1</v>
      </c>
      <c r="BF229" s="429" t="b">
        <v>1</v>
      </c>
      <c r="BG229" s="429" t="b">
        <f t="shared" ref="BG229:BM229" si="238">IF(BG227=$AV$228,TRUE,IF(BG228&gt;LARGE($BD228:$BM228,3),TRUE))</f>
        <v>0</v>
      </c>
      <c r="BH229" s="429" t="b">
        <f t="shared" si="238"/>
        <v>1</v>
      </c>
      <c r="BI229" s="429" t="b">
        <f t="shared" si="238"/>
        <v>0</v>
      </c>
      <c r="BJ229" s="429" t="b">
        <f t="shared" si="238"/>
        <v>0</v>
      </c>
      <c r="BK229" s="429" t="b">
        <f t="shared" si="238"/>
        <v>0</v>
      </c>
      <c r="BL229" s="429" t="b">
        <f t="shared" si="238"/>
        <v>1</v>
      </c>
      <c r="BM229" s="429" t="b">
        <f t="shared" si="238"/>
        <v>1</v>
      </c>
      <c r="BN229" s="389"/>
      <c r="BO229" s="389"/>
      <c r="BP229" s="405"/>
      <c r="BQ229" s="405"/>
      <c r="BR229" s="405"/>
      <c r="BS229" s="405"/>
      <c r="BT229" s="405"/>
      <c r="BU229" s="405"/>
      <c r="BV229" s="405"/>
    </row>
    <row r="230" spans="1:74" x14ac:dyDescent="0.3">
      <c r="A230" s="185" t="str">
        <f>'Reference Score Calculation'!A209</f>
        <v>JS5101</v>
      </c>
      <c r="B230" s="391" t="str">
        <f>'Reference Score Calculation'!D209</f>
        <v>國際科研</v>
      </c>
      <c r="C230" s="391" t="str">
        <f>'Reference Score Calculation'!N209</f>
        <v>/</v>
      </c>
      <c r="D230" s="391" t="str">
        <f>'Reference Score Calculation'!E209</f>
        <v>英數Best3</v>
      </c>
      <c r="E230" s="185" t="str">
        <f>入學要求!T218</f>
        <v>v</v>
      </c>
      <c r="F230" s="391" t="str">
        <f>入學要求!U218</f>
        <v>NO</v>
      </c>
      <c r="G230" s="391" t="str">
        <f>入學要求!V218</f>
        <v>NO</v>
      </c>
      <c r="H230" s="185">
        <f>SUMIF(AD230:AM230,TRUE,T230:AC230)</f>
        <v>1.6000000000000001E-9</v>
      </c>
      <c r="I230" s="185">
        <v>1</v>
      </c>
      <c r="J230" s="185">
        <v>1</v>
      </c>
      <c r="K230" s="185">
        <v>1</v>
      </c>
      <c r="L230" s="185">
        <v>1</v>
      </c>
      <c r="M230" s="185">
        <v>1</v>
      </c>
      <c r="N230" s="391">
        <v>1</v>
      </c>
      <c r="O230" s="391">
        <v>1</v>
      </c>
      <c r="P230" s="391">
        <v>1</v>
      </c>
      <c r="Q230" s="391">
        <v>1</v>
      </c>
      <c r="R230" s="185">
        <v>1</v>
      </c>
      <c r="T230" s="391">
        <f>I$7*I230</f>
        <v>1E-10</v>
      </c>
      <c r="U230" s="391">
        <f>J$7*J230</f>
        <v>2.0000000000000001E-10</v>
      </c>
      <c r="V230" s="391">
        <f t="shared" ref="V230:AB230" si="239">K$7*K230</f>
        <v>3E-10</v>
      </c>
      <c r="W230" s="391">
        <f t="shared" si="239"/>
        <v>4.0000000000000001E-10</v>
      </c>
      <c r="X230" s="391">
        <f>IF(E230="v",M$7*M230,0)</f>
        <v>5.0000000000000003E-10</v>
      </c>
      <c r="Y230" s="391">
        <f t="shared" si="239"/>
        <v>6E-10</v>
      </c>
      <c r="Z230" s="391">
        <f t="shared" si="239"/>
        <v>6.9999999999999996E-10</v>
      </c>
      <c r="AA230" s="391">
        <f t="shared" si="239"/>
        <v>8.0000000000000003E-10</v>
      </c>
      <c r="AB230" s="391">
        <f t="shared" si="239"/>
        <v>8.9999999999999999E-10</v>
      </c>
      <c r="AC230" s="391">
        <f>IF(F230="E",R$7*R230,0)</f>
        <v>0</v>
      </c>
      <c r="AD230" s="391" t="b">
        <f t="shared" ref="AD230:AM230" si="240">BA225</f>
        <v>0</v>
      </c>
      <c r="AE230" s="391" t="b">
        <f t="shared" si="240"/>
        <v>1</v>
      </c>
      <c r="AF230" s="391" t="b">
        <f t="shared" si="240"/>
        <v>1</v>
      </c>
      <c r="AG230" s="391" t="b">
        <f t="shared" si="240"/>
        <v>0</v>
      </c>
      <c r="AH230" s="391" t="b">
        <f t="shared" si="240"/>
        <v>1</v>
      </c>
      <c r="AI230" s="391" t="b">
        <f t="shared" si="240"/>
        <v>1</v>
      </c>
      <c r="AJ230" s="391" t="b">
        <f t="shared" si="240"/>
        <v>0</v>
      </c>
      <c r="AK230" s="391" t="b">
        <f t="shared" si="240"/>
        <v>0</v>
      </c>
      <c r="AL230" s="391" t="b">
        <f t="shared" si="240"/>
        <v>0</v>
      </c>
      <c r="AM230" s="391" t="b">
        <f t="shared" si="240"/>
        <v>1</v>
      </c>
      <c r="AO230" s="390"/>
      <c r="AP230" s="390"/>
      <c r="AQ230" s="390"/>
      <c r="AR230" s="390"/>
      <c r="AS230" s="390"/>
      <c r="AT230" s="390"/>
      <c r="AU230" s="390"/>
      <c r="AV230" s="429"/>
      <c r="AW230" s="384"/>
      <c r="AX230" s="389"/>
      <c r="AY230" s="389"/>
      <c r="AZ230" s="389"/>
      <c r="BA230" s="389"/>
      <c r="BB230" s="390"/>
      <c r="BC230" s="389"/>
      <c r="BD230" s="389"/>
      <c r="BE230" s="389"/>
      <c r="BF230" s="389"/>
      <c r="BG230" s="389"/>
      <c r="BH230" s="389"/>
      <c r="BI230" s="389"/>
      <c r="BJ230" s="389"/>
      <c r="BK230" s="389"/>
      <c r="BL230" s="389"/>
      <c r="BM230" s="389"/>
      <c r="BN230" s="389"/>
      <c r="BO230" s="389"/>
      <c r="BP230" s="391"/>
      <c r="BQ230" s="391"/>
      <c r="BR230" s="391"/>
      <c r="BS230" s="391"/>
      <c r="BT230" s="391"/>
      <c r="BU230" s="391"/>
      <c r="BV230" s="391"/>
    </row>
    <row r="231" spans="1:74" x14ac:dyDescent="0.3">
      <c r="A231" s="391" t="str">
        <f>'Reference Score Calculation'!A210</f>
        <v>JS5102</v>
      </c>
      <c r="B231" s="391" t="str">
        <f>'Reference Score Calculation'!D210</f>
        <v>理學Ａ組</v>
      </c>
      <c r="D231" s="391" t="str">
        <f>'Reference Score Calculation'!E210</f>
        <v>英數Best3</v>
      </c>
      <c r="E231" s="391" t="str">
        <f>入學要求!T219</f>
        <v>v</v>
      </c>
      <c r="F231" s="391" t="str">
        <f>入學要求!U219</f>
        <v>NO</v>
      </c>
      <c r="G231" s="391" t="str">
        <f>入學要求!V219</f>
        <v>NO</v>
      </c>
      <c r="H231" s="391">
        <f t="shared" ref="H231:H255" si="241">SUMIF(AD231:AM231,TRUE,T231:AC231)</f>
        <v>2.5000000000000001E-9</v>
      </c>
      <c r="I231" s="391">
        <v>1</v>
      </c>
      <c r="J231" s="185">
        <v>1.5</v>
      </c>
      <c r="K231" s="185">
        <v>1</v>
      </c>
      <c r="L231" s="185">
        <v>1</v>
      </c>
      <c r="M231" s="222">
        <f>IF(M$1=$AV$228,$AX$228,IF(M$1=$AZ$228,$BB$228,1))</f>
        <v>2</v>
      </c>
      <c r="N231" s="401">
        <f>IF(N$1=$AV$228,$AX$228,IF(N$1=$AZ$228,$BB$228,1))</f>
        <v>1</v>
      </c>
      <c r="O231" s="401">
        <f>IF(O$1=$AV$228,$AX$228,IF(O$1=$AZ$228,$BB$228,1))</f>
        <v>1</v>
      </c>
      <c r="P231" s="401">
        <f>IF(P$1=$AV$228,$AX$228,IF(P$1=$AZ$228,$BB$228,1))</f>
        <v>1</v>
      </c>
      <c r="Q231" s="401">
        <f>IF(Q$1=$AV$228,$AX$228,IF(Q$1=$AZ$228,$BB$228,1))</f>
        <v>1</v>
      </c>
      <c r="R231" s="391">
        <v>1</v>
      </c>
      <c r="S231" s="222"/>
      <c r="T231" s="391">
        <f t="shared" ref="T231:T255" si="242">I$7*I231</f>
        <v>1E-10</v>
      </c>
      <c r="U231" s="391">
        <f t="shared" ref="U231:U255" si="243">J$7*J231</f>
        <v>3E-10</v>
      </c>
      <c r="V231" s="391">
        <f t="shared" ref="V231:V255" si="244">K$7*K231</f>
        <v>3E-10</v>
      </c>
      <c r="W231" s="391">
        <f t="shared" ref="W231:W255" si="245">L$7*L231</f>
        <v>4.0000000000000001E-10</v>
      </c>
      <c r="X231" s="391">
        <f t="shared" ref="X231:X255" si="246">IF(E231="v",M$7*M231,0)</f>
        <v>1.0000000000000001E-9</v>
      </c>
      <c r="Y231" s="391">
        <f t="shared" ref="Y231:Y255" si="247">N$7*N231</f>
        <v>6E-10</v>
      </c>
      <c r="Z231" s="391">
        <f t="shared" ref="Z231:Z255" si="248">O$7*O231</f>
        <v>6.9999999999999996E-10</v>
      </c>
      <c r="AA231" s="391">
        <f t="shared" ref="AA231:AA255" si="249">P$7*P231</f>
        <v>8.0000000000000003E-10</v>
      </c>
      <c r="AB231" s="391">
        <f t="shared" ref="AB231:AB255" si="250">Q$7*Q231</f>
        <v>8.9999999999999999E-10</v>
      </c>
      <c r="AC231" s="391">
        <f t="shared" ref="AC231:AC255" si="251">IF(F231="E",R$7*R231,0)</f>
        <v>0</v>
      </c>
      <c r="AD231" s="401" t="b">
        <f t="shared" ref="AD231:AM231" si="252">BD229</f>
        <v>0</v>
      </c>
      <c r="AE231" s="401" t="b">
        <f t="shared" si="252"/>
        <v>1</v>
      </c>
      <c r="AF231" s="401" t="b">
        <f t="shared" si="252"/>
        <v>1</v>
      </c>
      <c r="AG231" s="401" t="b">
        <f t="shared" si="252"/>
        <v>0</v>
      </c>
      <c r="AH231" s="401" t="b">
        <f t="shared" si="252"/>
        <v>1</v>
      </c>
      <c r="AI231" s="401" t="b">
        <f t="shared" si="252"/>
        <v>0</v>
      </c>
      <c r="AJ231" s="401" t="b">
        <f t="shared" si="252"/>
        <v>0</v>
      </c>
      <c r="AK231" s="401" t="b">
        <f t="shared" si="252"/>
        <v>0</v>
      </c>
      <c r="AL231" s="401" t="b">
        <f t="shared" si="252"/>
        <v>1</v>
      </c>
      <c r="AM231" s="401" t="b">
        <f t="shared" si="252"/>
        <v>1</v>
      </c>
      <c r="AO231" s="390" t="s">
        <v>2339</v>
      </c>
      <c r="AP231" s="383" t="str">
        <f>N$1</f>
        <v>請選擇第一選修科</v>
      </c>
      <c r="AQ231" s="383" t="str">
        <f t="shared" ref="AQ231" si="253">O$1</f>
        <v>請選擇第二選修科</v>
      </c>
      <c r="AR231" s="383" t="str">
        <f t="shared" ref="AR231" si="254">P$1</f>
        <v>請選擇第三選修科</v>
      </c>
      <c r="AS231" s="383" t="str">
        <f t="shared" ref="AS231" si="255">Q$1</f>
        <v>請選擇第四選修科</v>
      </c>
      <c r="AT231" s="383" t="str">
        <f>M$1</f>
        <v>數學延伸</v>
      </c>
      <c r="AU231" s="389"/>
      <c r="AV231" s="410" t="s">
        <v>3200</v>
      </c>
      <c r="AW231" s="390"/>
      <c r="AX231" s="384" t="s">
        <v>2006</v>
      </c>
      <c r="AY231" s="383"/>
      <c r="AZ231" s="410" t="s">
        <v>2338</v>
      </c>
      <c r="BA231" s="390"/>
      <c r="BB231" s="384" t="s">
        <v>2006</v>
      </c>
      <c r="BC231" s="389"/>
      <c r="BD231" s="383" t="str">
        <f t="shared" ref="BD231:BM231" si="256">I$1</f>
        <v>中國語文</v>
      </c>
      <c r="BE231" s="383" t="str">
        <f t="shared" si="256"/>
        <v>英國語文</v>
      </c>
      <c r="BF231" s="383" t="str">
        <f t="shared" si="256"/>
        <v>數學</v>
      </c>
      <c r="BG231" s="383" t="str">
        <f t="shared" si="256"/>
        <v>通識教育</v>
      </c>
      <c r="BH231" s="383" t="str">
        <f t="shared" si="256"/>
        <v>數學延伸</v>
      </c>
      <c r="BI231" s="383" t="str">
        <f t="shared" si="256"/>
        <v>請選擇第一選修科</v>
      </c>
      <c r="BJ231" s="383" t="str">
        <f t="shared" si="256"/>
        <v>請選擇第二選修科</v>
      </c>
      <c r="BK231" s="383" t="str">
        <f t="shared" si="256"/>
        <v>請選擇第三選修科</v>
      </c>
      <c r="BL231" s="383" t="str">
        <f t="shared" si="256"/>
        <v>請選擇第四選修科</v>
      </c>
      <c r="BM231" s="383" t="str">
        <f t="shared" si="256"/>
        <v>請選擇語言科目</v>
      </c>
      <c r="BN231" s="389"/>
      <c r="BO231" s="389"/>
      <c r="BP231" s="391"/>
      <c r="BQ231" s="391"/>
      <c r="BR231" s="391"/>
      <c r="BS231" s="391"/>
      <c r="BT231" s="391"/>
      <c r="BU231" s="391"/>
      <c r="BV231" s="391"/>
    </row>
    <row r="232" spans="1:74" x14ac:dyDescent="0.3">
      <c r="A232" s="391" t="str">
        <f>'Reference Score Calculation'!A211</f>
        <v>JS5103</v>
      </c>
      <c r="B232" s="391" t="str">
        <f>'Reference Score Calculation'!D211</f>
        <v>理學Ｂ組</v>
      </c>
      <c r="D232" s="391" t="str">
        <f>'Reference Score Calculation'!E211</f>
        <v>英數Best3</v>
      </c>
      <c r="E232" s="391" t="str">
        <f>入學要求!T220</f>
        <v>v</v>
      </c>
      <c r="F232" s="391" t="str">
        <f>入學要求!U220</f>
        <v>NO</v>
      </c>
      <c r="G232" s="391" t="str">
        <f>入學要求!V220</f>
        <v>NO</v>
      </c>
      <c r="H232" s="391">
        <f t="shared" si="241"/>
        <v>2.2500000000000003E-9</v>
      </c>
      <c r="I232" s="391">
        <v>1</v>
      </c>
      <c r="J232" s="185">
        <v>1.5</v>
      </c>
      <c r="K232" s="185">
        <v>1</v>
      </c>
      <c r="L232" s="391">
        <v>1</v>
      </c>
      <c r="M232" s="401">
        <f>IF(M$1=$AV$232,$AX$232,IF(M$1=$AZ$232,$BB$232,1))</f>
        <v>1.5</v>
      </c>
      <c r="N232" s="401">
        <f>IF(N$1=$AV$232,$AX$232,IF(N$1=$AZ$232,$BB$232,1))</f>
        <v>1</v>
      </c>
      <c r="O232" s="401">
        <f>IF(O$1=$AV$232,$AX$232,IF(O$1=$AZ$232,$BB$232,1))</f>
        <v>1</v>
      </c>
      <c r="P232" s="401">
        <f>IF(P$1=$AV$232,$AX$232,IF(P$1=$AZ$232,$BB$232,1))</f>
        <v>1</v>
      </c>
      <c r="Q232" s="401">
        <f>IF(Q$1=$AV$232,$AX$232,IF(Q$1=$AZ$232,$BB$232,1))</f>
        <v>1</v>
      </c>
      <c r="R232" s="391">
        <v>1</v>
      </c>
      <c r="S232" s="222"/>
      <c r="T232" s="391">
        <f t="shared" si="242"/>
        <v>1E-10</v>
      </c>
      <c r="U232" s="391">
        <f t="shared" si="243"/>
        <v>3E-10</v>
      </c>
      <c r="V232" s="391">
        <f t="shared" si="244"/>
        <v>3E-10</v>
      </c>
      <c r="W232" s="391">
        <f t="shared" si="245"/>
        <v>4.0000000000000001E-10</v>
      </c>
      <c r="X232" s="391">
        <f t="shared" si="246"/>
        <v>7.500000000000001E-10</v>
      </c>
      <c r="Y232" s="391">
        <f t="shared" si="247"/>
        <v>6E-10</v>
      </c>
      <c r="Z232" s="391">
        <f t="shared" si="248"/>
        <v>6.9999999999999996E-10</v>
      </c>
      <c r="AA232" s="391">
        <f t="shared" si="249"/>
        <v>8.0000000000000003E-10</v>
      </c>
      <c r="AB232" s="391">
        <f t="shared" si="250"/>
        <v>8.9999999999999999E-10</v>
      </c>
      <c r="AC232" s="391">
        <f t="shared" si="251"/>
        <v>0</v>
      </c>
      <c r="AD232" s="401" t="b">
        <f t="shared" ref="AD232:AM232" si="257">BD233</f>
        <v>0</v>
      </c>
      <c r="AE232" s="401" t="b">
        <f t="shared" si="257"/>
        <v>1</v>
      </c>
      <c r="AF232" s="401" t="b">
        <f t="shared" si="257"/>
        <v>1</v>
      </c>
      <c r="AG232" s="401" t="b">
        <f t="shared" si="257"/>
        <v>0</v>
      </c>
      <c r="AH232" s="401" t="b">
        <f t="shared" si="257"/>
        <v>1</v>
      </c>
      <c r="AI232" s="401" t="b">
        <f t="shared" si="257"/>
        <v>0</v>
      </c>
      <c r="AJ232" s="401" t="b">
        <f t="shared" si="257"/>
        <v>0</v>
      </c>
      <c r="AK232" s="401" t="b">
        <f t="shared" si="257"/>
        <v>0</v>
      </c>
      <c r="AL232" s="401" t="b">
        <f t="shared" si="257"/>
        <v>1</v>
      </c>
      <c r="AM232" s="401" t="b">
        <f t="shared" si="257"/>
        <v>1</v>
      </c>
      <c r="AO232" s="390"/>
      <c r="AP232" s="430">
        <f>IF(OR(N$1="物理",N$1="組合科學(物理、化學)",N$1="組合科學(生物、化學)",N$1="組合科學(物理、生物)"),N$7*1.5,IF(OR(N$1="化學",N$1="生物"),N$7*2,0))</f>
        <v>0</v>
      </c>
      <c r="AQ232" s="430">
        <f t="shared" ref="AQ232:AS232" si="258">IF(OR(O$1="物理",O$1="組合科學(物理、化學)",O$1="組合科學(生物、化學)",O$1="組合科學(物理、生物)"),O$7*1.5,IF(OR(O$1="化學",O$1="生物"),O$7*2,0))</f>
        <v>0</v>
      </c>
      <c r="AR232" s="430">
        <f t="shared" si="258"/>
        <v>0</v>
      </c>
      <c r="AS232" s="430">
        <f t="shared" si="258"/>
        <v>0</v>
      </c>
      <c r="AT232" s="428">
        <f>M$7*1.5</f>
        <v>7.500000000000001E-10</v>
      </c>
      <c r="AU232" s="389"/>
      <c r="AV232" s="403" t="str">
        <f>INDEX(AP231:AT231,MATCH(LARGE(AP232:AT232,1),AP232:AT232,0))</f>
        <v>數學延伸</v>
      </c>
      <c r="AW232" s="403">
        <f>LARGE((AP232:AT232),1)</f>
        <v>7.500000000000001E-10</v>
      </c>
      <c r="AX232" s="395">
        <f>IF(OR(AV232="生物",AV232="化學"),2,IF(OR(AV232="物理",AV232="數學延伸",AV232="組合科學(物理、化學)",AV232="組合科學(生物、化學)",AV232="組合科學(物理、生物)"),1.5,1))</f>
        <v>1.5</v>
      </c>
      <c r="AY232" s="383"/>
      <c r="AZ232" s="403" t="str">
        <f>INDEX(AP231:AT231,MATCH(LARGE(AP232:AT232,2),AP232:AT232,0))</f>
        <v>請選擇第一選修科</v>
      </c>
      <c r="BA232" s="403">
        <f>LARGE((AP224:AT224),2)</f>
        <v>0</v>
      </c>
      <c r="BB232" s="395">
        <f>IF(OR(AZ232="生物",AZ232="化學"),2,IF(OR(AZ232="物理",AZ232="數學延伸",AZ232="組合科學(物理、化學)",AZ232="組合科學(生物、化學)",AZ232="組合科學(物理、生物)"),1.5,1))</f>
        <v>1</v>
      </c>
      <c r="BC232" s="389"/>
      <c r="BD232" s="430">
        <f>IF(BD231=$AV$232,0,IF(BD231=$AZ$232,$BA$232*$BB$232,I$7))</f>
        <v>1E-10</v>
      </c>
      <c r="BE232" s="430">
        <v>0</v>
      </c>
      <c r="BF232" s="430">
        <v>0</v>
      </c>
      <c r="BG232" s="430">
        <f t="shared" ref="BG232:BM232" si="259">IF(BG231=$AV$232,0,IF(BG231=$AZ$232,$BA$232*$BB$232,L$7))</f>
        <v>4.0000000000000001E-10</v>
      </c>
      <c r="BH232" s="430">
        <f t="shared" si="259"/>
        <v>0</v>
      </c>
      <c r="BI232" s="430">
        <f t="shared" si="259"/>
        <v>0</v>
      </c>
      <c r="BJ232" s="430">
        <f t="shared" si="259"/>
        <v>6.9999999999999996E-10</v>
      </c>
      <c r="BK232" s="430">
        <f t="shared" si="259"/>
        <v>8.0000000000000003E-10</v>
      </c>
      <c r="BL232" s="430">
        <f t="shared" si="259"/>
        <v>8.9999999999999999E-10</v>
      </c>
      <c r="BM232" s="430">
        <f t="shared" si="259"/>
        <v>9.5000000000000003E-10</v>
      </c>
      <c r="BN232" s="389"/>
      <c r="BO232" s="389"/>
      <c r="BP232" s="391"/>
      <c r="BQ232" s="391"/>
      <c r="BR232" s="391"/>
      <c r="BS232" s="391"/>
      <c r="BT232" s="391"/>
      <c r="BU232" s="391"/>
      <c r="BV232" s="391"/>
    </row>
    <row r="233" spans="1:74" x14ac:dyDescent="0.3">
      <c r="A233" s="391" t="str">
        <f>'Reference Score Calculation'!A212</f>
        <v>JS5181</v>
      </c>
      <c r="B233" s="391" t="str">
        <f>'Reference Score Calculation'!D212</f>
        <v>理學Ａ組– 延伸主修人工智能</v>
      </c>
      <c r="D233" s="391" t="str">
        <f>'Reference Score Calculation'!E212</f>
        <v>英數Best3</v>
      </c>
      <c r="E233" s="391" t="str">
        <f>入學要求!T221</f>
        <v>v</v>
      </c>
      <c r="F233" s="391" t="str">
        <f>入學要求!U221</f>
        <v>NO</v>
      </c>
      <c r="G233" s="391" t="str">
        <f>入學要求!V221</f>
        <v>NO</v>
      </c>
      <c r="H233" s="391">
        <f t="shared" si="241"/>
        <v>2.5000000000000001E-9</v>
      </c>
      <c r="I233" s="391">
        <v>1</v>
      </c>
      <c r="J233" s="391">
        <v>1.5</v>
      </c>
      <c r="K233" s="185">
        <v>1</v>
      </c>
      <c r="L233" s="391">
        <v>1</v>
      </c>
      <c r="M233" s="401">
        <f>IF(M$1=$AV$228,$AX$228,IF(M$1=$AZ$228,$BB$228,1))</f>
        <v>2</v>
      </c>
      <c r="N233" s="401">
        <f>IF(N$1=$AV$228,$AX$228,IF(N$1=$AZ$228,$BB$228,1))</f>
        <v>1</v>
      </c>
      <c r="O233" s="401">
        <f>IF(O$1=$AV$228,$AX$228,IF(O$1=$AZ$228,$BB$228,1))</f>
        <v>1</v>
      </c>
      <c r="P233" s="401">
        <f>IF(P$1=$AV$228,$AX$228,IF(P$1=$AZ$228,$BB$228,1))</f>
        <v>1</v>
      </c>
      <c r="Q233" s="401">
        <f>IF(Q$1=$AV$228,$AX$228,IF(Q$1=$AZ$228,$BB$228,1))</f>
        <v>1</v>
      </c>
      <c r="R233" s="391">
        <v>1</v>
      </c>
      <c r="S233" s="222"/>
      <c r="T233" s="391">
        <f t="shared" si="242"/>
        <v>1E-10</v>
      </c>
      <c r="U233" s="391">
        <f t="shared" si="243"/>
        <v>3E-10</v>
      </c>
      <c r="V233" s="391">
        <f t="shared" si="244"/>
        <v>3E-10</v>
      </c>
      <c r="W233" s="391">
        <f t="shared" si="245"/>
        <v>4.0000000000000001E-10</v>
      </c>
      <c r="X233" s="391">
        <f t="shared" si="246"/>
        <v>1.0000000000000001E-9</v>
      </c>
      <c r="Y233" s="391">
        <f t="shared" si="247"/>
        <v>6E-10</v>
      </c>
      <c r="Z233" s="391">
        <f t="shared" si="248"/>
        <v>6.9999999999999996E-10</v>
      </c>
      <c r="AA233" s="391">
        <f t="shared" si="249"/>
        <v>8.0000000000000003E-10</v>
      </c>
      <c r="AB233" s="391">
        <f t="shared" si="250"/>
        <v>8.9999999999999999E-10</v>
      </c>
      <c r="AC233" s="391">
        <f t="shared" si="251"/>
        <v>0</v>
      </c>
      <c r="AD233" s="401" t="b">
        <f t="shared" ref="AD233:AM233" si="260">BD229</f>
        <v>0</v>
      </c>
      <c r="AE233" s="401" t="b">
        <f t="shared" si="260"/>
        <v>1</v>
      </c>
      <c r="AF233" s="401" t="b">
        <f t="shared" si="260"/>
        <v>1</v>
      </c>
      <c r="AG233" s="401" t="b">
        <f t="shared" si="260"/>
        <v>0</v>
      </c>
      <c r="AH233" s="401" t="b">
        <f t="shared" si="260"/>
        <v>1</v>
      </c>
      <c r="AI233" s="401" t="b">
        <f t="shared" si="260"/>
        <v>0</v>
      </c>
      <c r="AJ233" s="401" t="b">
        <f t="shared" si="260"/>
        <v>0</v>
      </c>
      <c r="AK233" s="401" t="b">
        <f t="shared" si="260"/>
        <v>0</v>
      </c>
      <c r="AL233" s="401" t="b">
        <f t="shared" si="260"/>
        <v>1</v>
      </c>
      <c r="AM233" s="401" t="b">
        <f t="shared" si="260"/>
        <v>1</v>
      </c>
      <c r="AO233" s="390"/>
      <c r="AP233" s="429" t="s">
        <v>3288</v>
      </c>
      <c r="AQ233" s="384"/>
      <c r="AR233" s="389"/>
      <c r="AS233" s="389"/>
      <c r="AT233" s="389"/>
      <c r="AU233" s="389"/>
      <c r="AV233" s="417" t="s">
        <v>3288</v>
      </c>
      <c r="AW233" s="390"/>
      <c r="AX233" s="384"/>
      <c r="AY233" s="383"/>
      <c r="AZ233" s="383"/>
      <c r="BA233" s="389"/>
      <c r="BB233" s="389"/>
      <c r="BC233" s="389"/>
      <c r="BD233" s="429" t="b">
        <f>IF(BD231=$AV$232,TRUE,IF(BD232&gt;LARGE($BD232:$BM232,3),TRUE))</f>
        <v>0</v>
      </c>
      <c r="BE233" s="429" t="b">
        <v>1</v>
      </c>
      <c r="BF233" s="429" t="b">
        <v>1</v>
      </c>
      <c r="BG233" s="429" t="b">
        <f t="shared" ref="BG233:BM233" si="261">IF(BG231=$AV$232,TRUE,IF(BG232&gt;LARGE($BD232:$BM232,3),TRUE))</f>
        <v>0</v>
      </c>
      <c r="BH233" s="429" t="b">
        <f t="shared" si="261"/>
        <v>1</v>
      </c>
      <c r="BI233" s="429" t="b">
        <f t="shared" si="261"/>
        <v>0</v>
      </c>
      <c r="BJ233" s="429" t="b">
        <f t="shared" si="261"/>
        <v>0</v>
      </c>
      <c r="BK233" s="429" t="b">
        <f t="shared" si="261"/>
        <v>0</v>
      </c>
      <c r="BL233" s="429" t="b">
        <f t="shared" si="261"/>
        <v>1</v>
      </c>
      <c r="BM233" s="429" t="b">
        <f t="shared" si="261"/>
        <v>1</v>
      </c>
      <c r="BN233" s="389"/>
      <c r="BO233" s="389"/>
      <c r="BP233" s="391"/>
      <c r="BQ233" s="391"/>
      <c r="BR233" s="391"/>
      <c r="BS233" s="391"/>
      <c r="BT233" s="391"/>
      <c r="BU233" s="391"/>
      <c r="BV233" s="391"/>
    </row>
    <row r="234" spans="1:74" x14ac:dyDescent="0.3">
      <c r="A234" s="391" t="str">
        <f>'Reference Score Calculation'!A213</f>
        <v>JS5200</v>
      </c>
      <c r="B234" s="391" t="str">
        <f>'Reference Score Calculation'!D213</f>
        <v>工程學</v>
      </c>
      <c r="C234" s="222"/>
      <c r="D234" s="391" t="str">
        <f>'Reference Score Calculation'!E213</f>
        <v>英數Best3</v>
      </c>
      <c r="E234" s="391" t="str">
        <f>入學要求!T222</f>
        <v>v</v>
      </c>
      <c r="F234" s="391" t="str">
        <f>入學要求!U222</f>
        <v>NO</v>
      </c>
      <c r="G234" s="391" t="str">
        <f>入學要求!V222</f>
        <v>NO</v>
      </c>
      <c r="H234" s="391">
        <f t="shared" si="241"/>
        <v>2.5000000000000001E-9</v>
      </c>
      <c r="I234" s="391">
        <v>1</v>
      </c>
      <c r="J234" s="222">
        <v>2</v>
      </c>
      <c r="K234" s="222">
        <v>2</v>
      </c>
      <c r="L234" s="391">
        <v>1</v>
      </c>
      <c r="M234" s="222">
        <v>1.5</v>
      </c>
      <c r="N234" s="401">
        <f>IF(N$1=$AV$236,$AX$236,1)</f>
        <v>1</v>
      </c>
      <c r="O234" s="401">
        <f>IF(O$1=$AV$236,$AX$236,1)</f>
        <v>1</v>
      </c>
      <c r="P234" s="401">
        <f>IF(P$1=$AV$236,$AX$236,1)</f>
        <v>1</v>
      </c>
      <c r="Q234" s="401">
        <f>IF(Q$1=$AV$236,$AX$236,1)</f>
        <v>1</v>
      </c>
      <c r="R234" s="391">
        <v>1</v>
      </c>
      <c r="S234" s="222"/>
      <c r="T234" s="391">
        <f t="shared" si="242"/>
        <v>1E-10</v>
      </c>
      <c r="U234" s="391">
        <f t="shared" si="243"/>
        <v>4.0000000000000001E-10</v>
      </c>
      <c r="V234" s="391">
        <f t="shared" si="244"/>
        <v>6E-10</v>
      </c>
      <c r="W234" s="391">
        <f t="shared" si="245"/>
        <v>4.0000000000000001E-10</v>
      </c>
      <c r="X234" s="391">
        <f t="shared" si="246"/>
        <v>7.500000000000001E-10</v>
      </c>
      <c r="Y234" s="391">
        <f t="shared" si="247"/>
        <v>6E-10</v>
      </c>
      <c r="Z234" s="391">
        <f t="shared" si="248"/>
        <v>6.9999999999999996E-10</v>
      </c>
      <c r="AA234" s="391">
        <f t="shared" si="249"/>
        <v>8.0000000000000003E-10</v>
      </c>
      <c r="AB234" s="391">
        <f t="shared" si="250"/>
        <v>8.9999999999999999E-10</v>
      </c>
      <c r="AC234" s="391">
        <f t="shared" si="251"/>
        <v>0</v>
      </c>
      <c r="AD234" s="401" t="b">
        <f t="shared" ref="AD234:AM234" si="262">BA237</f>
        <v>0</v>
      </c>
      <c r="AE234" s="401" t="b">
        <f t="shared" si="262"/>
        <v>1</v>
      </c>
      <c r="AF234" s="401" t="b">
        <f t="shared" si="262"/>
        <v>1</v>
      </c>
      <c r="AG234" s="401" t="b">
        <f t="shared" si="262"/>
        <v>0</v>
      </c>
      <c r="AH234" s="401" t="b">
        <f t="shared" si="262"/>
        <v>0</v>
      </c>
      <c r="AI234" s="401" t="b">
        <f t="shared" si="262"/>
        <v>1</v>
      </c>
      <c r="AJ234" s="401" t="b">
        <f t="shared" si="262"/>
        <v>0</v>
      </c>
      <c r="AK234" s="401" t="b">
        <f t="shared" si="262"/>
        <v>0</v>
      </c>
      <c r="AL234" s="401" t="b">
        <f t="shared" si="262"/>
        <v>1</v>
      </c>
      <c r="AM234" s="401" t="b">
        <f t="shared" si="262"/>
        <v>1</v>
      </c>
      <c r="AO234" s="390"/>
      <c r="AP234" s="390"/>
      <c r="AQ234" s="390"/>
      <c r="AR234" s="390"/>
      <c r="AS234" s="390"/>
      <c r="AT234" s="390"/>
      <c r="AU234" s="390"/>
      <c r="AV234" s="390"/>
      <c r="AW234" s="390"/>
      <c r="AX234" s="390"/>
      <c r="AY234" s="390"/>
      <c r="AZ234" s="390"/>
      <c r="BA234" s="390"/>
      <c r="BB234" s="184"/>
      <c r="BC234" s="390"/>
      <c r="BD234" s="390"/>
      <c r="BE234" s="390"/>
      <c r="BF234" s="390"/>
      <c r="BG234" s="390"/>
      <c r="BH234" s="390"/>
      <c r="BI234" s="390"/>
      <c r="BJ234" s="390"/>
      <c r="BK234" s="390"/>
      <c r="BL234" s="390"/>
      <c r="BM234" s="390"/>
      <c r="BN234" s="389"/>
      <c r="BO234" s="389"/>
      <c r="BP234" s="391"/>
      <c r="BQ234" s="391"/>
      <c r="BR234" s="391"/>
      <c r="BS234" s="391"/>
      <c r="BT234" s="391"/>
      <c r="BU234" s="391"/>
      <c r="BV234" s="391"/>
    </row>
    <row r="235" spans="1:74" x14ac:dyDescent="0.3">
      <c r="A235" s="391" t="str">
        <f>'Reference Score Calculation'!A214</f>
        <v>JS5211</v>
      </c>
      <c r="B235" s="391" t="str">
        <f>'Reference Score Calculation'!D214</f>
        <v>理學士（綜合系統與設計）</v>
      </c>
      <c r="C235" s="222"/>
      <c r="D235" s="391" t="str">
        <f>'Reference Score Calculation'!E214</f>
        <v>英數Best3</v>
      </c>
      <c r="E235" s="391" t="str">
        <f>入學要求!T223</f>
        <v>v</v>
      </c>
      <c r="F235" s="391" t="str">
        <f>入學要求!U223</f>
        <v>NO</v>
      </c>
      <c r="G235" s="391" t="str">
        <f>入學要求!V223</f>
        <v>NO</v>
      </c>
      <c r="H235" s="391">
        <f>SUMIF(AD235:AM235,TRUE,T235:AC235)</f>
        <v>2.5000000000000001E-9</v>
      </c>
      <c r="I235" s="391">
        <v>1</v>
      </c>
      <c r="J235" s="401">
        <v>2</v>
      </c>
      <c r="K235" s="222">
        <v>2</v>
      </c>
      <c r="L235" s="391">
        <v>1</v>
      </c>
      <c r="M235" s="401">
        <v>1.5</v>
      </c>
      <c r="N235" s="401">
        <f>IF(N$1=$AV$241,$AX$241,1)</f>
        <v>1</v>
      </c>
      <c r="O235" s="401">
        <f>IF(O$1=$AV$241,$AX$241,1)</f>
        <v>1</v>
      </c>
      <c r="P235" s="401">
        <f>IF(P$1=$AV$241,$AX$241,1)</f>
        <v>1</v>
      </c>
      <c r="Q235" s="401">
        <f>IF(Q$1=$AV$241,$AX$241,1)</f>
        <v>1</v>
      </c>
      <c r="R235" s="391">
        <v>1</v>
      </c>
      <c r="S235" s="222"/>
      <c r="T235" s="391">
        <f t="shared" si="242"/>
        <v>1E-10</v>
      </c>
      <c r="U235" s="391">
        <f t="shared" si="243"/>
        <v>4.0000000000000001E-10</v>
      </c>
      <c r="V235" s="391">
        <f t="shared" si="244"/>
        <v>6E-10</v>
      </c>
      <c r="W235" s="391">
        <f t="shared" si="245"/>
        <v>4.0000000000000001E-10</v>
      </c>
      <c r="X235" s="391">
        <f t="shared" si="246"/>
        <v>7.500000000000001E-10</v>
      </c>
      <c r="Y235" s="391">
        <f t="shared" si="247"/>
        <v>6E-10</v>
      </c>
      <c r="Z235" s="391">
        <f t="shared" si="248"/>
        <v>6.9999999999999996E-10</v>
      </c>
      <c r="AA235" s="391">
        <f t="shared" si="249"/>
        <v>8.0000000000000003E-10</v>
      </c>
      <c r="AB235" s="391">
        <f t="shared" si="250"/>
        <v>8.9999999999999999E-10</v>
      </c>
      <c r="AC235" s="391">
        <f t="shared" si="251"/>
        <v>0</v>
      </c>
      <c r="AD235" s="401" t="b">
        <f t="shared" ref="AD235:AM235" si="263">BA242</f>
        <v>0</v>
      </c>
      <c r="AE235" s="401" t="b">
        <f t="shared" si="263"/>
        <v>1</v>
      </c>
      <c r="AF235" s="401" t="b">
        <f t="shared" si="263"/>
        <v>1</v>
      </c>
      <c r="AG235" s="401" t="b">
        <f t="shared" si="263"/>
        <v>0</v>
      </c>
      <c r="AH235" s="401" t="b">
        <f t="shared" si="263"/>
        <v>0</v>
      </c>
      <c r="AI235" s="401" t="b">
        <f t="shared" si="263"/>
        <v>1</v>
      </c>
      <c r="AJ235" s="401" t="b">
        <f t="shared" si="263"/>
        <v>0</v>
      </c>
      <c r="AK235" s="401" t="b">
        <f t="shared" si="263"/>
        <v>0</v>
      </c>
      <c r="AL235" s="401" t="b">
        <f t="shared" si="263"/>
        <v>1</v>
      </c>
      <c r="AM235" s="401" t="b">
        <f t="shared" si="263"/>
        <v>1</v>
      </c>
      <c r="AO235" s="390" t="s">
        <v>3202</v>
      </c>
      <c r="AP235" s="383" t="str">
        <f>N$1</f>
        <v>請選擇第一選修科</v>
      </c>
      <c r="AQ235" s="383" t="str">
        <f t="shared" ref="AQ235" si="264">O$1</f>
        <v>請選擇第二選修科</v>
      </c>
      <c r="AR235" s="383" t="str">
        <f t="shared" ref="AR235" si="265">P$1</f>
        <v>請選擇第三選修科</v>
      </c>
      <c r="AS235" s="383" t="str">
        <f t="shared" ref="AS235" si="266">Q$1</f>
        <v>請選擇第四選修科</v>
      </c>
      <c r="AT235" s="390"/>
      <c r="AU235" s="390"/>
      <c r="AV235" s="410" t="s">
        <v>3200</v>
      </c>
      <c r="AW235" s="390"/>
      <c r="AX235" s="384" t="s">
        <v>2006</v>
      </c>
      <c r="AY235" s="390"/>
      <c r="AZ235" s="390"/>
      <c r="BA235" s="383" t="str">
        <f t="shared" ref="BA235:BJ235" si="267">I$1</f>
        <v>中國語文</v>
      </c>
      <c r="BB235" s="383" t="str">
        <f t="shared" si="267"/>
        <v>英國語文</v>
      </c>
      <c r="BC235" s="383" t="str">
        <f t="shared" si="267"/>
        <v>數學</v>
      </c>
      <c r="BD235" s="383" t="str">
        <f t="shared" si="267"/>
        <v>通識教育</v>
      </c>
      <c r="BE235" s="383" t="str">
        <f t="shared" si="267"/>
        <v>數學延伸</v>
      </c>
      <c r="BF235" s="383" t="str">
        <f t="shared" si="267"/>
        <v>請選擇第一選修科</v>
      </c>
      <c r="BG235" s="383" t="str">
        <f t="shared" si="267"/>
        <v>請選擇第二選修科</v>
      </c>
      <c r="BH235" s="383" t="str">
        <f t="shared" si="267"/>
        <v>請選擇第三選修科</v>
      </c>
      <c r="BI235" s="383" t="str">
        <f t="shared" si="267"/>
        <v>請選擇第四選修科</v>
      </c>
      <c r="BJ235" s="383" t="str">
        <f t="shared" si="267"/>
        <v>請選擇語言科目</v>
      </c>
      <c r="BK235" s="390"/>
      <c r="BL235" s="390"/>
      <c r="BM235" s="390"/>
      <c r="BN235" s="389"/>
      <c r="BO235" s="389"/>
      <c r="BP235" s="391"/>
      <c r="BQ235" s="391"/>
      <c r="BR235" s="391"/>
      <c r="BS235" s="391"/>
      <c r="BT235" s="391"/>
      <c r="BU235" s="391"/>
      <c r="BV235" s="391"/>
    </row>
    <row r="236" spans="1:74" x14ac:dyDescent="0.3">
      <c r="A236" s="391" t="str">
        <f>'Reference Score Calculation'!A215</f>
        <v>JS5282</v>
      </c>
      <c r="B236" s="391" t="str">
        <f>'Reference Score Calculation'!D215</f>
        <v>工程學– 延伸主修人工智能</v>
      </c>
      <c r="C236" s="222"/>
      <c r="D236" s="391" t="str">
        <f>'Reference Score Calculation'!E215</f>
        <v>英數Best3</v>
      </c>
      <c r="E236" s="391" t="str">
        <f>入學要求!T224</f>
        <v>v</v>
      </c>
      <c r="F236" s="391" t="str">
        <f>入學要求!U224</f>
        <v>NO</v>
      </c>
      <c r="G236" s="391" t="str">
        <f>入學要求!V224</f>
        <v>NO</v>
      </c>
      <c r="H236" s="391">
        <f t="shared" si="241"/>
        <v>2.5000000000000001E-9</v>
      </c>
      <c r="I236" s="391">
        <v>1</v>
      </c>
      <c r="J236" s="401">
        <v>2</v>
      </c>
      <c r="K236" s="401">
        <v>2</v>
      </c>
      <c r="L236" s="391">
        <v>1</v>
      </c>
      <c r="M236" s="401">
        <v>1.5</v>
      </c>
      <c r="N236" s="222">
        <f>IF(N$1=$AV$236,$AX$236,1)</f>
        <v>1</v>
      </c>
      <c r="O236" s="401">
        <f>IF(O$1=$AV$236,$AX$236,1)</f>
        <v>1</v>
      </c>
      <c r="P236" s="401">
        <f>IF(P$1=$AV$236,$AX$236,1)</f>
        <v>1</v>
      </c>
      <c r="Q236" s="401">
        <f>IF(Q$1=$AV$236,$AX$236,1)</f>
        <v>1</v>
      </c>
      <c r="R236" s="391">
        <v>1</v>
      </c>
      <c r="S236" s="222"/>
      <c r="T236" s="391">
        <f t="shared" si="242"/>
        <v>1E-10</v>
      </c>
      <c r="U236" s="391">
        <f t="shared" si="243"/>
        <v>4.0000000000000001E-10</v>
      </c>
      <c r="V236" s="391">
        <f t="shared" si="244"/>
        <v>6E-10</v>
      </c>
      <c r="W236" s="391">
        <f t="shared" si="245"/>
        <v>4.0000000000000001E-10</v>
      </c>
      <c r="X236" s="391">
        <f t="shared" si="246"/>
        <v>7.500000000000001E-10</v>
      </c>
      <c r="Y236" s="391">
        <f t="shared" si="247"/>
        <v>6E-10</v>
      </c>
      <c r="Z236" s="391">
        <f t="shared" si="248"/>
        <v>6.9999999999999996E-10</v>
      </c>
      <c r="AA236" s="391">
        <f t="shared" si="249"/>
        <v>8.0000000000000003E-10</v>
      </c>
      <c r="AB236" s="391">
        <f t="shared" si="250"/>
        <v>8.9999999999999999E-10</v>
      </c>
      <c r="AC236" s="391">
        <f t="shared" si="251"/>
        <v>0</v>
      </c>
      <c r="AD236" s="401" t="b">
        <f t="shared" ref="AD236:AM236" si="268">BA237</f>
        <v>0</v>
      </c>
      <c r="AE236" s="401" t="b">
        <f t="shared" si="268"/>
        <v>1</v>
      </c>
      <c r="AF236" s="401" t="b">
        <f t="shared" si="268"/>
        <v>1</v>
      </c>
      <c r="AG236" s="401" t="b">
        <f t="shared" si="268"/>
        <v>0</v>
      </c>
      <c r="AH236" s="401" t="b">
        <f t="shared" si="268"/>
        <v>0</v>
      </c>
      <c r="AI236" s="401" t="b">
        <f t="shared" si="268"/>
        <v>1</v>
      </c>
      <c r="AJ236" s="401" t="b">
        <f t="shared" si="268"/>
        <v>0</v>
      </c>
      <c r="AK236" s="401" t="b">
        <f t="shared" si="268"/>
        <v>0</v>
      </c>
      <c r="AL236" s="401" t="b">
        <f t="shared" si="268"/>
        <v>1</v>
      </c>
      <c r="AM236" s="401" t="b">
        <f t="shared" si="268"/>
        <v>1</v>
      </c>
      <c r="AO236" s="390" t="s">
        <v>2254</v>
      </c>
      <c r="AP236" s="430">
        <f>IF(OR(N$1="物理",N$1="組合科學(物理、化學)",N$1="組合科學(生物、化學)",N$1="組合科學(物理、生物)",N$1="化學",N$1="生物"),N$7*2,IF(N$1="資訊及通訊科技",N$7,0))</f>
        <v>0</v>
      </c>
      <c r="AQ236" s="430">
        <f t="shared" ref="AQ236:AS236" si="269">IF(OR(O$1="物理",O$1="組合科學(物理、化學)",O$1="組合科學(生物、化學)",O$1="組合科學(物理、生物)",O$1="化學",O$1="生物"),O$7*2,IF(O$1="資訊及通訊科技",O$7,0))</f>
        <v>0</v>
      </c>
      <c r="AR236" s="430">
        <f t="shared" si="269"/>
        <v>0</v>
      </c>
      <c r="AS236" s="430">
        <f t="shared" si="269"/>
        <v>0</v>
      </c>
      <c r="AT236" s="390"/>
      <c r="AU236" s="390"/>
      <c r="AV236" s="403" t="str">
        <f>INDEX(AP235:AS235,MATCH(LARGE(AP236:AS236,1),AP236:AS236,0))</f>
        <v>請選擇第一選修科</v>
      </c>
      <c r="AW236" s="403">
        <f>LARGE((AP236:AS236),1)</f>
        <v>0</v>
      </c>
      <c r="AX236" s="395">
        <f>IF(OR(AV236="生物",AV236="化學",AV236="物理",AV236="數學延伸",AV236="組合科學(物理、化學)",AV236="組合科學(生物、化學)",AV236="組合科學(物理、生物)"),2,1)</f>
        <v>1</v>
      </c>
      <c r="AY236" s="390"/>
      <c r="AZ236" s="390"/>
      <c r="BA236" s="430">
        <f>IF(BA235=$AV$236,0,I$7)</f>
        <v>1E-10</v>
      </c>
      <c r="BB236" s="430">
        <v>0</v>
      </c>
      <c r="BC236" s="430">
        <v>0</v>
      </c>
      <c r="BD236" s="430">
        <f>IF(BD235=$AV$236,0,L$7)</f>
        <v>4.0000000000000001E-10</v>
      </c>
      <c r="BE236" s="430">
        <f>IF(BE235=$AV$236,0,M$7*1.5)</f>
        <v>7.500000000000001E-10</v>
      </c>
      <c r="BF236" s="430">
        <f>IF(BF235=$AV$236,0,N$7)</f>
        <v>0</v>
      </c>
      <c r="BG236" s="430">
        <f>IF(BG235=$AV$236,0,O$7)</f>
        <v>6.9999999999999996E-10</v>
      </c>
      <c r="BH236" s="430">
        <f>IF(BH235=$AV$236,0,P$7)</f>
        <v>8.0000000000000003E-10</v>
      </c>
      <c r="BI236" s="430">
        <f>IF(BI235=$AV$236,0,Q$7)</f>
        <v>8.9999999999999999E-10</v>
      </c>
      <c r="BJ236" s="430">
        <f>IF(BJ235=$AV$236,0,R$7)</f>
        <v>9.5000000000000003E-10</v>
      </c>
      <c r="BK236" s="390"/>
      <c r="BL236" s="390"/>
      <c r="BM236" s="390"/>
      <c r="BN236" s="390"/>
      <c r="BO236" s="390"/>
      <c r="BP236" s="391"/>
      <c r="BQ236" s="391"/>
      <c r="BR236" s="391"/>
      <c r="BS236" s="391"/>
      <c r="BT236" s="391"/>
      <c r="BU236" s="391"/>
      <c r="BV236" s="391"/>
    </row>
    <row r="237" spans="1:74" x14ac:dyDescent="0.3">
      <c r="A237" s="391" t="str">
        <f>'Reference Score Calculation'!A216</f>
        <v>JS5300</v>
      </c>
      <c r="B237" s="391" t="str">
        <f>'Reference Score Calculation'!D216</f>
        <v>工商管理</v>
      </c>
      <c r="D237" s="391" t="str">
        <f>'Reference Score Calculation'!E216</f>
        <v>英數Best4</v>
      </c>
      <c r="E237" s="391" t="str">
        <f>入學要求!T225</f>
        <v>v</v>
      </c>
      <c r="F237" s="391" t="str">
        <f>入學要求!U225</f>
        <v>NO</v>
      </c>
      <c r="G237" s="391" t="str">
        <f>入學要求!V225</f>
        <v>NO</v>
      </c>
      <c r="H237" s="391">
        <f t="shared" si="241"/>
        <v>4.0000000000000002E-9</v>
      </c>
      <c r="I237" s="391">
        <v>1</v>
      </c>
      <c r="J237" s="401">
        <v>2</v>
      </c>
      <c r="K237" s="401">
        <v>2</v>
      </c>
      <c r="L237" s="391">
        <v>1</v>
      </c>
      <c r="M237" s="185">
        <v>1</v>
      </c>
      <c r="N237" s="185">
        <v>1</v>
      </c>
      <c r="O237" s="391">
        <v>1</v>
      </c>
      <c r="P237" s="391">
        <v>1</v>
      </c>
      <c r="Q237" s="391">
        <v>1</v>
      </c>
      <c r="R237" s="391">
        <v>1</v>
      </c>
      <c r="T237" s="391">
        <f t="shared" si="242"/>
        <v>1E-10</v>
      </c>
      <c r="U237" s="391">
        <f t="shared" si="243"/>
        <v>4.0000000000000001E-10</v>
      </c>
      <c r="V237" s="391">
        <f t="shared" si="244"/>
        <v>6E-10</v>
      </c>
      <c r="W237" s="391">
        <f t="shared" si="245"/>
        <v>4.0000000000000001E-10</v>
      </c>
      <c r="X237" s="391">
        <f t="shared" si="246"/>
        <v>5.0000000000000003E-10</v>
      </c>
      <c r="Y237" s="391">
        <f t="shared" si="247"/>
        <v>6E-10</v>
      </c>
      <c r="Z237" s="391">
        <f t="shared" si="248"/>
        <v>6.9999999999999996E-10</v>
      </c>
      <c r="AA237" s="391">
        <f t="shared" si="249"/>
        <v>8.0000000000000003E-10</v>
      </c>
      <c r="AB237" s="391">
        <f t="shared" si="250"/>
        <v>8.9999999999999999E-10</v>
      </c>
      <c r="AC237" s="391">
        <f t="shared" si="251"/>
        <v>0</v>
      </c>
      <c r="AD237" s="391" t="b">
        <f>IF(T237&gt;LARGE(($T237,$W237:$AC237),5),TRUE)</f>
        <v>0</v>
      </c>
      <c r="AE237" s="391" t="b">
        <v>1</v>
      </c>
      <c r="AF237" s="391" t="b">
        <v>1</v>
      </c>
      <c r="AG237" s="391" t="b">
        <f>IF(W237&gt;LARGE(($T237,$W237:$AC237),5),TRUE)</f>
        <v>0</v>
      </c>
      <c r="AH237" s="391" t="b">
        <f>IF(X237&gt;LARGE(($T237,$W237:$AC237),5),TRUE)</f>
        <v>0</v>
      </c>
      <c r="AI237" s="391" t="b">
        <f>IF(Y237&gt;LARGE(($T237,$W237:$AC237),5),TRUE)</f>
        <v>1</v>
      </c>
      <c r="AJ237" s="391" t="b">
        <f>IF(Z237&gt;LARGE(($T237,$W237:$AC237),5),TRUE)</f>
        <v>1</v>
      </c>
      <c r="AK237" s="391" t="b">
        <f>IF(AA237&gt;LARGE(($T237,$W237:$AC237),5),TRUE)</f>
        <v>1</v>
      </c>
      <c r="AL237" s="391" t="b">
        <f>IF(AB237&gt;LARGE(($T237,$W237:$AC237),5),TRUE)</f>
        <v>1</v>
      </c>
      <c r="AM237" s="391" t="b">
        <f>IF(AC237&gt;LARGE(($T237,$W237:$AC237),5),TRUE)</f>
        <v>0</v>
      </c>
      <c r="AO237" s="390" t="s">
        <v>3217</v>
      </c>
      <c r="AP237" s="417" t="s">
        <v>3294</v>
      </c>
      <c r="AQ237" s="384"/>
      <c r="AR237" s="389"/>
      <c r="AS237" s="389"/>
      <c r="AT237" s="389"/>
      <c r="AU237" s="390"/>
      <c r="AV237" s="390"/>
      <c r="AW237" s="390"/>
      <c r="AX237" s="390"/>
      <c r="AY237" s="390"/>
      <c r="AZ237" s="390"/>
      <c r="BA237" s="429" t="b">
        <f>IF(BA235=$AV$236,TRUE,IF(BA236&gt;LARGE($BA236:$BJ236,3),TRUE))</f>
        <v>0</v>
      </c>
      <c r="BB237" s="429" t="b">
        <v>1</v>
      </c>
      <c r="BC237" s="429" t="b">
        <v>1</v>
      </c>
      <c r="BD237" s="429" t="b">
        <f t="shared" ref="BD237:BJ237" si="270">IF(BD235=$AV$236,TRUE,IF(BD236&gt;LARGE($BA236:$BJ236,3),TRUE))</f>
        <v>0</v>
      </c>
      <c r="BE237" s="429" t="b">
        <f t="shared" si="270"/>
        <v>0</v>
      </c>
      <c r="BF237" s="429" t="b">
        <f t="shared" si="270"/>
        <v>1</v>
      </c>
      <c r="BG237" s="429" t="b">
        <f t="shared" si="270"/>
        <v>0</v>
      </c>
      <c r="BH237" s="429" t="b">
        <f t="shared" si="270"/>
        <v>0</v>
      </c>
      <c r="BI237" s="429" t="b">
        <f t="shared" si="270"/>
        <v>1</v>
      </c>
      <c r="BJ237" s="429" t="b">
        <f t="shared" si="270"/>
        <v>1</v>
      </c>
      <c r="BK237" s="390"/>
      <c r="BL237" s="390"/>
      <c r="BM237" s="390"/>
      <c r="BN237" s="390"/>
      <c r="BO237" s="390"/>
      <c r="BP237" s="391"/>
      <c r="BQ237" s="391"/>
      <c r="BR237" s="391"/>
      <c r="BS237" s="391"/>
      <c r="BT237" s="391"/>
      <c r="BU237" s="391"/>
      <c r="BV237" s="391"/>
    </row>
    <row r="238" spans="1:74" x14ac:dyDescent="0.3">
      <c r="A238" s="391" t="str">
        <f>'Reference Score Calculation'!A217</f>
        <v>JS5311</v>
      </c>
      <c r="B238" s="391" t="str">
        <f>'Reference Score Calculation'!D217</f>
        <v>工商管理學士（經濟學）</v>
      </c>
      <c r="D238" s="391" t="str">
        <f>'Reference Score Calculation'!E217</f>
        <v>英數Best4</v>
      </c>
      <c r="E238" s="391" t="str">
        <f>入學要求!T226</f>
        <v>v</v>
      </c>
      <c r="F238" s="391" t="str">
        <f>入學要求!U226</f>
        <v>NO</v>
      </c>
      <c r="G238" s="391" t="str">
        <f>入學要求!V226</f>
        <v>NO</v>
      </c>
      <c r="H238" s="391">
        <f t="shared" si="241"/>
        <v>4.0000000000000002E-9</v>
      </c>
      <c r="I238" s="391">
        <v>1</v>
      </c>
      <c r="J238" s="401">
        <v>2</v>
      </c>
      <c r="K238" s="401">
        <v>2</v>
      </c>
      <c r="L238" s="391">
        <v>1</v>
      </c>
      <c r="M238" s="391">
        <v>1</v>
      </c>
      <c r="N238" s="391">
        <v>1</v>
      </c>
      <c r="O238" s="391">
        <v>1</v>
      </c>
      <c r="P238" s="391">
        <v>1</v>
      </c>
      <c r="Q238" s="391">
        <v>1</v>
      </c>
      <c r="R238" s="391">
        <v>1</v>
      </c>
      <c r="T238" s="391">
        <f t="shared" si="242"/>
        <v>1E-10</v>
      </c>
      <c r="U238" s="391">
        <f t="shared" si="243"/>
        <v>4.0000000000000001E-10</v>
      </c>
      <c r="V238" s="391">
        <f t="shared" si="244"/>
        <v>6E-10</v>
      </c>
      <c r="W238" s="391">
        <f t="shared" si="245"/>
        <v>4.0000000000000001E-10</v>
      </c>
      <c r="X238" s="391">
        <f t="shared" si="246"/>
        <v>5.0000000000000003E-10</v>
      </c>
      <c r="Y238" s="391">
        <f t="shared" si="247"/>
        <v>6E-10</v>
      </c>
      <c r="Z238" s="391">
        <f t="shared" si="248"/>
        <v>6.9999999999999996E-10</v>
      </c>
      <c r="AA238" s="391">
        <f t="shared" si="249"/>
        <v>8.0000000000000003E-10</v>
      </c>
      <c r="AB238" s="391">
        <f t="shared" si="250"/>
        <v>8.9999999999999999E-10</v>
      </c>
      <c r="AC238" s="391">
        <f t="shared" si="251"/>
        <v>0</v>
      </c>
      <c r="AD238" s="391" t="b">
        <f>IF(T238&gt;LARGE(($T238,$W238:$AC238),5),TRUE)</f>
        <v>0</v>
      </c>
      <c r="AE238" s="391" t="b">
        <v>1</v>
      </c>
      <c r="AF238" s="391" t="b">
        <v>1</v>
      </c>
      <c r="AG238" s="391" t="b">
        <f>IF(W238&gt;LARGE(($T238,$W238:$AC238),5),TRUE)</f>
        <v>0</v>
      </c>
      <c r="AH238" s="391" t="b">
        <f>IF(X238&gt;LARGE(($T238,$W238:$AC238),5),TRUE)</f>
        <v>0</v>
      </c>
      <c r="AI238" s="391" t="b">
        <f>IF(Y238&gt;LARGE(($T238,$W238:$AC238),5),TRUE)</f>
        <v>1</v>
      </c>
      <c r="AJ238" s="391" t="b">
        <f>IF(Z238&gt;LARGE(($T238,$W238:$AC238),5),TRUE)</f>
        <v>1</v>
      </c>
      <c r="AK238" s="391" t="b">
        <f>IF(AA238&gt;LARGE(($T238,$W238:$AC238),5),TRUE)</f>
        <v>1</v>
      </c>
      <c r="AL238" s="391" t="b">
        <f>IF(AB238&gt;LARGE(($T238,$W238:$AC238),5),TRUE)</f>
        <v>1</v>
      </c>
      <c r="AM238" s="391" t="b">
        <f>IF(AC238&gt;LARGE(($T238,$W238:$AC238),5),TRUE)</f>
        <v>0</v>
      </c>
      <c r="AO238" s="390"/>
      <c r="AP238" s="390"/>
      <c r="AQ238" s="390"/>
      <c r="AR238" s="390"/>
      <c r="AS238" s="390"/>
      <c r="AT238" s="390"/>
      <c r="AU238" s="390"/>
      <c r="AV238" s="390"/>
      <c r="AW238" s="390"/>
      <c r="AX238" s="390"/>
      <c r="AY238" s="390"/>
      <c r="AZ238" s="432" t="s">
        <v>3300</v>
      </c>
      <c r="BA238" s="417" t="b">
        <f>IF(BA235=$AV$236,TRUE,IF(BA236&gt;LARGE($BA236:$BJ236,4),TRUE))</f>
        <v>0</v>
      </c>
      <c r="BB238" s="417" t="b">
        <v>1</v>
      </c>
      <c r="BC238" s="417" t="b">
        <v>1</v>
      </c>
      <c r="BD238" s="417" t="b">
        <f t="shared" ref="BD238:BJ238" si="271">IF(BD235=$AV$236,TRUE,IF(BD236&gt;LARGE($BA236:$BJ236,4),TRUE))</f>
        <v>0</v>
      </c>
      <c r="BE238" s="417" t="b">
        <f t="shared" si="271"/>
        <v>0</v>
      </c>
      <c r="BF238" s="417" t="b">
        <f t="shared" si="271"/>
        <v>1</v>
      </c>
      <c r="BG238" s="417" t="b">
        <f t="shared" si="271"/>
        <v>0</v>
      </c>
      <c r="BH238" s="417" t="b">
        <f t="shared" si="271"/>
        <v>1</v>
      </c>
      <c r="BI238" s="417" t="b">
        <f t="shared" si="271"/>
        <v>1</v>
      </c>
      <c r="BJ238" s="417" t="b">
        <f t="shared" si="271"/>
        <v>1</v>
      </c>
      <c r="BK238" s="390"/>
      <c r="BL238" s="390"/>
      <c r="BM238" s="390"/>
      <c r="BN238" s="390"/>
      <c r="BO238" s="390"/>
      <c r="BP238" s="391"/>
      <c r="BQ238" s="391"/>
      <c r="BR238" s="391"/>
      <c r="BS238" s="391"/>
      <c r="BT238" s="391"/>
      <c r="BU238" s="391"/>
      <c r="BV238" s="391"/>
    </row>
    <row r="239" spans="1:74" x14ac:dyDescent="0.3">
      <c r="A239" s="391" t="str">
        <f>'Reference Score Calculation'!A218</f>
        <v>JS5312</v>
      </c>
      <c r="B239" s="391" t="str">
        <f>'Reference Score Calculation'!D218</f>
        <v>工商管理學士（金融學）</v>
      </c>
      <c r="D239" s="391" t="str">
        <f>'Reference Score Calculation'!E218</f>
        <v>英數Best4</v>
      </c>
      <c r="E239" s="391" t="str">
        <f>入學要求!T227</f>
        <v>v</v>
      </c>
      <c r="F239" s="391" t="str">
        <f>入學要求!U227</f>
        <v>NO</v>
      </c>
      <c r="G239" s="391" t="str">
        <f>入學要求!V227</f>
        <v>NO</v>
      </c>
      <c r="H239" s="391">
        <f t="shared" si="241"/>
        <v>3.3999999999999998E-9</v>
      </c>
      <c r="I239" s="391">
        <v>1</v>
      </c>
      <c r="J239" s="401">
        <v>2</v>
      </c>
      <c r="K239" s="401">
        <v>2</v>
      </c>
      <c r="L239" s="391">
        <v>1</v>
      </c>
      <c r="M239" s="401">
        <f>IF(M$1=$AV$245,$AX$245,1)</f>
        <v>1</v>
      </c>
      <c r="N239" s="401">
        <f>IF(N$1=$AV$245,$AX$245,1)</f>
        <v>1</v>
      </c>
      <c r="O239" s="401">
        <f>IF(O$1=$AV$245,$AX$245,1)</f>
        <v>1</v>
      </c>
      <c r="P239" s="401">
        <f>IF(P$1=$AV$245,$AX$245,1)</f>
        <v>1</v>
      </c>
      <c r="Q239" s="401">
        <f>IF(Q$1=$AV$245,$AX$245,1)</f>
        <v>1</v>
      </c>
      <c r="R239" s="391">
        <v>1</v>
      </c>
      <c r="T239" s="391">
        <f t="shared" si="242"/>
        <v>1E-10</v>
      </c>
      <c r="U239" s="391">
        <f t="shared" si="243"/>
        <v>4.0000000000000001E-10</v>
      </c>
      <c r="V239" s="391">
        <f t="shared" si="244"/>
        <v>6E-10</v>
      </c>
      <c r="W239" s="391">
        <f t="shared" si="245"/>
        <v>4.0000000000000001E-10</v>
      </c>
      <c r="X239" s="391">
        <f t="shared" si="246"/>
        <v>5.0000000000000003E-10</v>
      </c>
      <c r="Y239" s="391">
        <f t="shared" si="247"/>
        <v>6E-10</v>
      </c>
      <c r="Z239" s="391">
        <f t="shared" si="248"/>
        <v>6.9999999999999996E-10</v>
      </c>
      <c r="AA239" s="391">
        <f t="shared" si="249"/>
        <v>8.0000000000000003E-10</v>
      </c>
      <c r="AB239" s="391">
        <f t="shared" si="250"/>
        <v>8.9999999999999999E-10</v>
      </c>
      <c r="AC239" s="391">
        <f t="shared" si="251"/>
        <v>0</v>
      </c>
      <c r="AD239" s="391" t="b">
        <f t="shared" ref="AD239:AM239" si="272">BA246</f>
        <v>0</v>
      </c>
      <c r="AE239" s="391" t="b">
        <f t="shared" si="272"/>
        <v>1</v>
      </c>
      <c r="AF239" s="391" t="b">
        <f t="shared" si="272"/>
        <v>1</v>
      </c>
      <c r="AG239" s="391" t="b">
        <f t="shared" si="272"/>
        <v>0</v>
      </c>
      <c r="AH239" s="391" t="b">
        <f t="shared" si="272"/>
        <v>0</v>
      </c>
      <c r="AI239" s="391" t="b">
        <f t="shared" si="272"/>
        <v>0</v>
      </c>
      <c r="AJ239" s="391" t="b">
        <f t="shared" si="272"/>
        <v>1</v>
      </c>
      <c r="AK239" s="391" t="b">
        <f t="shared" si="272"/>
        <v>1</v>
      </c>
      <c r="AL239" s="391" t="b">
        <f t="shared" si="272"/>
        <v>1</v>
      </c>
      <c r="AM239" s="391" t="b">
        <f t="shared" si="272"/>
        <v>1</v>
      </c>
      <c r="AO239" s="390"/>
      <c r="AP239" s="390"/>
      <c r="AQ239" s="390"/>
      <c r="AR239" s="390"/>
      <c r="AS239" s="390"/>
      <c r="AT239" s="390"/>
      <c r="AU239" s="390"/>
      <c r="AV239" s="390"/>
      <c r="AW239" s="390"/>
      <c r="AX239" s="390"/>
      <c r="AY239" s="390"/>
      <c r="AZ239" s="390"/>
      <c r="BA239" s="390"/>
      <c r="BB239" s="184"/>
      <c r="BC239" s="390"/>
      <c r="BD239" s="390"/>
      <c r="BE239" s="390"/>
      <c r="BF239" s="390"/>
      <c r="BG239" s="390"/>
      <c r="BH239" s="390"/>
      <c r="BI239" s="390"/>
      <c r="BJ239" s="390"/>
      <c r="BK239" s="390"/>
      <c r="BL239" s="390"/>
      <c r="BM239" s="390"/>
      <c r="BN239" s="390"/>
      <c r="BO239" s="390"/>
      <c r="BP239" s="391"/>
      <c r="BQ239" s="391"/>
      <c r="BR239" s="391"/>
      <c r="BS239" s="391"/>
      <c r="BT239" s="391"/>
      <c r="BU239" s="391"/>
      <c r="BV239" s="391"/>
    </row>
    <row r="240" spans="1:74" x14ac:dyDescent="0.3">
      <c r="A240" s="391" t="str">
        <f>'Reference Score Calculation'!A219</f>
        <v>JS5313</v>
      </c>
      <c r="B240" s="391" t="str">
        <f>'Reference Score Calculation'!D219</f>
        <v>工商管理學士（環球商業管理）</v>
      </c>
      <c r="D240" s="391" t="str">
        <f>'Reference Score Calculation'!E219</f>
        <v>英數Best4</v>
      </c>
      <c r="E240" s="391" t="str">
        <f>入學要求!T228</f>
        <v>v</v>
      </c>
      <c r="F240" s="391" t="str">
        <f>入學要求!U228</f>
        <v>NO</v>
      </c>
      <c r="G240" s="391" t="str">
        <f>入學要求!V228</f>
        <v>NO</v>
      </c>
      <c r="H240" s="391">
        <f t="shared" si="241"/>
        <v>4.0000000000000002E-9</v>
      </c>
      <c r="I240" s="391">
        <v>1</v>
      </c>
      <c r="J240" s="401">
        <v>2</v>
      </c>
      <c r="K240" s="401">
        <v>2</v>
      </c>
      <c r="L240" s="391">
        <v>1</v>
      </c>
      <c r="M240" s="391">
        <v>1</v>
      </c>
      <c r="N240" s="391">
        <v>1</v>
      </c>
      <c r="O240" s="391">
        <v>1</v>
      </c>
      <c r="P240" s="391">
        <v>1</v>
      </c>
      <c r="Q240" s="391">
        <v>1</v>
      </c>
      <c r="R240" s="391">
        <v>1</v>
      </c>
      <c r="T240" s="391">
        <f t="shared" si="242"/>
        <v>1E-10</v>
      </c>
      <c r="U240" s="391">
        <f t="shared" si="243"/>
        <v>4.0000000000000001E-10</v>
      </c>
      <c r="V240" s="391">
        <f t="shared" si="244"/>
        <v>6E-10</v>
      </c>
      <c r="W240" s="391">
        <f t="shared" si="245"/>
        <v>4.0000000000000001E-10</v>
      </c>
      <c r="X240" s="391">
        <f t="shared" si="246"/>
        <v>5.0000000000000003E-10</v>
      </c>
      <c r="Y240" s="391">
        <f t="shared" si="247"/>
        <v>6E-10</v>
      </c>
      <c r="Z240" s="391">
        <f t="shared" si="248"/>
        <v>6.9999999999999996E-10</v>
      </c>
      <c r="AA240" s="391">
        <f t="shared" si="249"/>
        <v>8.0000000000000003E-10</v>
      </c>
      <c r="AB240" s="391">
        <f t="shared" si="250"/>
        <v>8.9999999999999999E-10</v>
      </c>
      <c r="AC240" s="391">
        <f t="shared" si="251"/>
        <v>0</v>
      </c>
      <c r="AD240" s="391" t="b">
        <f>IF(T240&gt;LARGE(($T240,$W240:$AC240),5),TRUE)</f>
        <v>0</v>
      </c>
      <c r="AE240" s="391" t="b">
        <v>1</v>
      </c>
      <c r="AF240" s="391" t="b">
        <v>1</v>
      </c>
      <c r="AG240" s="391" t="b">
        <f>IF(W240&gt;LARGE(($T240,$W240:$AC240),5),TRUE)</f>
        <v>0</v>
      </c>
      <c r="AH240" s="391" t="b">
        <f>IF(X240&gt;LARGE(($T240,$W240:$AC240),5),TRUE)</f>
        <v>0</v>
      </c>
      <c r="AI240" s="391" t="b">
        <f>IF(Y240&gt;LARGE(($T240,$W240:$AC240),5),TRUE)</f>
        <v>1</v>
      </c>
      <c r="AJ240" s="391" t="b">
        <f>IF(Z240&gt;LARGE(($T240,$W240:$AC240),5),TRUE)</f>
        <v>1</v>
      </c>
      <c r="AK240" s="391" t="b">
        <f>IF(AA240&gt;LARGE(($T240,$W240:$AC240),5),TRUE)</f>
        <v>1</v>
      </c>
      <c r="AL240" s="391" t="b">
        <f>IF(AB240&gt;LARGE(($T240,$W240:$AC240),5),TRUE)</f>
        <v>1</v>
      </c>
      <c r="AM240" s="391" t="b">
        <f>IF(AC240&gt;LARGE(($T240,$W240:$AC240),5),TRUE)</f>
        <v>0</v>
      </c>
      <c r="AO240" s="390" t="s">
        <v>2333</v>
      </c>
      <c r="AP240" s="383" t="str">
        <f>N$1</f>
        <v>請選擇第一選修科</v>
      </c>
      <c r="AQ240" s="383" t="str">
        <f t="shared" ref="AQ240" si="273">O$1</f>
        <v>請選擇第二選修科</v>
      </c>
      <c r="AR240" s="383" t="str">
        <f t="shared" ref="AR240" si="274">P$1</f>
        <v>請選擇第三選修科</v>
      </c>
      <c r="AS240" s="383" t="str">
        <f t="shared" ref="AS240" si="275">Q$1</f>
        <v>請選擇第四選修科</v>
      </c>
      <c r="AT240" s="390"/>
      <c r="AU240" s="390"/>
      <c r="AV240" s="410" t="s">
        <v>3200</v>
      </c>
      <c r="AW240" s="390"/>
      <c r="AX240" s="384" t="s">
        <v>2006</v>
      </c>
      <c r="AY240" s="390"/>
      <c r="AZ240" s="390"/>
      <c r="BA240" s="383" t="str">
        <f t="shared" ref="BA240:BJ240" si="276">I$1</f>
        <v>中國語文</v>
      </c>
      <c r="BB240" s="383" t="str">
        <f t="shared" si="276"/>
        <v>英國語文</v>
      </c>
      <c r="BC240" s="383" t="str">
        <f t="shared" si="276"/>
        <v>數學</v>
      </c>
      <c r="BD240" s="383" t="str">
        <f t="shared" si="276"/>
        <v>通識教育</v>
      </c>
      <c r="BE240" s="383" t="str">
        <f t="shared" si="276"/>
        <v>數學延伸</v>
      </c>
      <c r="BF240" s="383" t="str">
        <f t="shared" si="276"/>
        <v>請選擇第一選修科</v>
      </c>
      <c r="BG240" s="383" t="str">
        <f t="shared" si="276"/>
        <v>請選擇第二選修科</v>
      </c>
      <c r="BH240" s="383" t="str">
        <f t="shared" si="276"/>
        <v>請選擇第三選修科</v>
      </c>
      <c r="BI240" s="383" t="str">
        <f t="shared" si="276"/>
        <v>請選擇第四選修科</v>
      </c>
      <c r="BJ240" s="383" t="str">
        <f t="shared" si="276"/>
        <v>請選擇語言科目</v>
      </c>
      <c r="BK240" s="390"/>
      <c r="BL240" s="390"/>
      <c r="BM240" s="390"/>
      <c r="BN240" s="390"/>
      <c r="BO240" s="390"/>
      <c r="BP240" s="391"/>
      <c r="BQ240" s="391"/>
      <c r="BR240" s="391"/>
      <c r="BS240" s="391"/>
      <c r="BT240" s="391"/>
      <c r="BU240" s="391"/>
      <c r="BV240" s="391"/>
    </row>
    <row r="241" spans="1:74" x14ac:dyDescent="0.3">
      <c r="A241" s="391" t="str">
        <f>'Reference Score Calculation'!A220</f>
        <v>JS5314</v>
      </c>
      <c r="B241" s="391" t="str">
        <f>'Reference Score Calculation'!D220</f>
        <v>工商管理學士（資訊系統學）</v>
      </c>
      <c r="D241" s="391" t="str">
        <f>'Reference Score Calculation'!E220</f>
        <v>英數Best4</v>
      </c>
      <c r="E241" s="391" t="str">
        <f>入學要求!T229</f>
        <v>v</v>
      </c>
      <c r="F241" s="391" t="str">
        <f>入學要求!U229</f>
        <v>NO</v>
      </c>
      <c r="G241" s="391" t="str">
        <f>入學要求!V229</f>
        <v>NO</v>
      </c>
      <c r="H241" s="391">
        <f t="shared" si="241"/>
        <v>4.0000000000000002E-9</v>
      </c>
      <c r="I241" s="391">
        <v>1</v>
      </c>
      <c r="J241" s="401">
        <v>2</v>
      </c>
      <c r="K241" s="401">
        <v>2</v>
      </c>
      <c r="L241" s="391">
        <v>1</v>
      </c>
      <c r="M241" s="391">
        <v>1</v>
      </c>
      <c r="N241" s="391">
        <v>1</v>
      </c>
      <c r="O241" s="391">
        <v>1</v>
      </c>
      <c r="P241" s="391">
        <v>1</v>
      </c>
      <c r="Q241" s="391">
        <v>1</v>
      </c>
      <c r="R241" s="391">
        <v>1</v>
      </c>
      <c r="T241" s="391">
        <f t="shared" si="242"/>
        <v>1E-10</v>
      </c>
      <c r="U241" s="391">
        <f t="shared" si="243"/>
        <v>4.0000000000000001E-10</v>
      </c>
      <c r="V241" s="391">
        <f t="shared" si="244"/>
        <v>6E-10</v>
      </c>
      <c r="W241" s="391">
        <f t="shared" si="245"/>
        <v>4.0000000000000001E-10</v>
      </c>
      <c r="X241" s="391">
        <f t="shared" si="246"/>
        <v>5.0000000000000003E-10</v>
      </c>
      <c r="Y241" s="391">
        <f t="shared" si="247"/>
        <v>6E-10</v>
      </c>
      <c r="Z241" s="391">
        <f t="shared" si="248"/>
        <v>6.9999999999999996E-10</v>
      </c>
      <c r="AA241" s="391">
        <f t="shared" si="249"/>
        <v>8.0000000000000003E-10</v>
      </c>
      <c r="AB241" s="391">
        <f t="shared" si="250"/>
        <v>8.9999999999999999E-10</v>
      </c>
      <c r="AC241" s="391">
        <f t="shared" si="251"/>
        <v>0</v>
      </c>
      <c r="AD241" s="391" t="b">
        <f>IF(T241&gt;LARGE(($T241,$W241:$AC241),5),TRUE)</f>
        <v>0</v>
      </c>
      <c r="AE241" s="391" t="b">
        <v>1</v>
      </c>
      <c r="AF241" s="391" t="b">
        <v>1</v>
      </c>
      <c r="AG241" s="391" t="b">
        <f>IF(W241&gt;LARGE(($T241,$W241:$AC241),5),TRUE)</f>
        <v>0</v>
      </c>
      <c r="AH241" s="391" t="b">
        <f>IF(X241&gt;LARGE(($T241,$W241:$AC241),5),TRUE)</f>
        <v>0</v>
      </c>
      <c r="AI241" s="391" t="b">
        <f>IF(Y241&gt;LARGE(($T241,$W241:$AC241),5),TRUE)</f>
        <v>1</v>
      </c>
      <c r="AJ241" s="391" t="b">
        <f>IF(Z241&gt;LARGE(($T241,$W241:$AC241),5),TRUE)</f>
        <v>1</v>
      </c>
      <c r="AK241" s="391" t="b">
        <f>IF(AA241&gt;LARGE(($T241,$W241:$AC241),5),TRUE)</f>
        <v>1</v>
      </c>
      <c r="AL241" s="391" t="b">
        <f>IF(AB241&gt;LARGE(($T241,$W241:$AC241),5),TRUE)</f>
        <v>1</v>
      </c>
      <c r="AM241" s="391" t="b">
        <f>IF(AC241&gt;LARGE(($T241,$W241:$AC241),5),TRUE)</f>
        <v>0</v>
      </c>
      <c r="AO241" s="390"/>
      <c r="AP241" s="430">
        <f>IF(OR(N$1="物理",N$1="組合科學(物理、化學)",N$1="組合科學(生物、化學)",N$1="組合科學(物理、生物)",N$1="化學",N$1="生物",N$1="設計與應用科技"),N$7*2,IF(N$1="資訊及通訊科技",N$7,0))</f>
        <v>0</v>
      </c>
      <c r="AQ241" s="430">
        <f t="shared" ref="AQ241:AS241" si="277">IF(OR(O$1="物理",O$1="組合科學(物理、化學)",O$1="組合科學(生物、化學)",O$1="組合科學(物理、生物)",O$1="化學",O$1="生物",O$1="設計與應用科技"),O$7*2,IF(O$1="資訊及通訊科技",O$7,0))</f>
        <v>0</v>
      </c>
      <c r="AR241" s="430">
        <f t="shared" si="277"/>
        <v>0</v>
      </c>
      <c r="AS241" s="430">
        <f t="shared" si="277"/>
        <v>0</v>
      </c>
      <c r="AT241" s="390"/>
      <c r="AU241" s="390"/>
      <c r="AV241" s="403" t="str">
        <f>INDEX(AP240:AS240,MATCH(LARGE(AP241:AS241,1),AP241:AS241,0))</f>
        <v>請選擇第一選修科</v>
      </c>
      <c r="AW241" s="403">
        <f>LARGE((AP241:AS241),1)</f>
        <v>0</v>
      </c>
      <c r="AX241" s="395">
        <f>IF(OR(AV241="生物",AV241="化學",AV241="物理",AV241="數學延伸",AV241="組合科學(物理、化學)",AV241="組合科學(生物、化學)",AV241="組合科學(物理、生物)",AV241="設計與應用科技"),2,1)</f>
        <v>1</v>
      </c>
      <c r="AY241" s="390"/>
      <c r="AZ241" s="390"/>
      <c r="BA241" s="430">
        <f>IF(BA240=$AV$241,0,I$7)</f>
        <v>1E-10</v>
      </c>
      <c r="BB241" s="430">
        <v>0</v>
      </c>
      <c r="BC241" s="430">
        <v>0</v>
      </c>
      <c r="BD241" s="430">
        <f>IF(BD240=$AV$241,0,L$7)</f>
        <v>4.0000000000000001E-10</v>
      </c>
      <c r="BE241" s="430">
        <f>IF(BE240=$AV$241,0,M$7*1.5)</f>
        <v>7.500000000000001E-10</v>
      </c>
      <c r="BF241" s="430">
        <f>IF(BF240=$AV$241,0,N$7)</f>
        <v>0</v>
      </c>
      <c r="BG241" s="430">
        <f>IF(BG240=$AV$241,0,O$7)</f>
        <v>6.9999999999999996E-10</v>
      </c>
      <c r="BH241" s="430">
        <f>IF(BH240=$AV$241,0,P$7)</f>
        <v>8.0000000000000003E-10</v>
      </c>
      <c r="BI241" s="430">
        <f>IF(BI240=$AV$241,0,Q$7)</f>
        <v>8.9999999999999999E-10</v>
      </c>
      <c r="BJ241" s="430">
        <f>IF(BJ240=$AV$241,0,R$7)</f>
        <v>9.5000000000000003E-10</v>
      </c>
      <c r="BK241" s="390"/>
      <c r="BL241" s="390"/>
      <c r="BM241" s="390"/>
      <c r="BN241" s="390"/>
      <c r="BO241" s="390"/>
      <c r="BP241" s="391"/>
      <c r="BQ241" s="391"/>
      <c r="BR241" s="391"/>
      <c r="BS241" s="391"/>
      <c r="BT241" s="391"/>
      <c r="BU241" s="391"/>
      <c r="BV241" s="391"/>
    </row>
    <row r="242" spans="1:74" x14ac:dyDescent="0.3">
      <c r="A242" s="391" t="str">
        <f>'Reference Score Calculation'!A221</f>
        <v>JS5315</v>
      </c>
      <c r="B242" s="391" t="str">
        <f>'Reference Score Calculation'!D221</f>
        <v>工商管理學士（管理學）</v>
      </c>
      <c r="D242" s="391" t="str">
        <f>'Reference Score Calculation'!E221</f>
        <v>英數Best4</v>
      </c>
      <c r="E242" s="391" t="str">
        <f>入學要求!T230</f>
        <v>v</v>
      </c>
      <c r="F242" s="391" t="str">
        <f>入學要求!U230</f>
        <v>NO</v>
      </c>
      <c r="G242" s="391" t="str">
        <f>入學要求!V230</f>
        <v>NO</v>
      </c>
      <c r="H242" s="391">
        <f t="shared" si="241"/>
        <v>4.0000000000000002E-9</v>
      </c>
      <c r="I242" s="391">
        <v>1</v>
      </c>
      <c r="J242" s="401">
        <v>2</v>
      </c>
      <c r="K242" s="401">
        <v>2</v>
      </c>
      <c r="L242" s="391">
        <v>1</v>
      </c>
      <c r="M242" s="391">
        <v>1</v>
      </c>
      <c r="N242" s="391">
        <v>1</v>
      </c>
      <c r="O242" s="391">
        <v>1</v>
      </c>
      <c r="P242" s="391">
        <v>1</v>
      </c>
      <c r="Q242" s="391">
        <v>1</v>
      </c>
      <c r="R242" s="391">
        <v>1</v>
      </c>
      <c r="T242" s="391">
        <f t="shared" si="242"/>
        <v>1E-10</v>
      </c>
      <c r="U242" s="391">
        <f t="shared" si="243"/>
        <v>4.0000000000000001E-10</v>
      </c>
      <c r="V242" s="391">
        <f t="shared" si="244"/>
        <v>6E-10</v>
      </c>
      <c r="W242" s="391">
        <f t="shared" si="245"/>
        <v>4.0000000000000001E-10</v>
      </c>
      <c r="X242" s="391">
        <f t="shared" si="246"/>
        <v>5.0000000000000003E-10</v>
      </c>
      <c r="Y242" s="391">
        <f t="shared" si="247"/>
        <v>6E-10</v>
      </c>
      <c r="Z242" s="391">
        <f t="shared" si="248"/>
        <v>6.9999999999999996E-10</v>
      </c>
      <c r="AA242" s="391">
        <f t="shared" si="249"/>
        <v>8.0000000000000003E-10</v>
      </c>
      <c r="AB242" s="391">
        <f t="shared" si="250"/>
        <v>8.9999999999999999E-10</v>
      </c>
      <c r="AC242" s="391">
        <f t="shared" si="251"/>
        <v>0</v>
      </c>
      <c r="AD242" s="391" t="b">
        <f>IF(T242&gt;LARGE(($T242,$W242:$AC242),5),TRUE)</f>
        <v>0</v>
      </c>
      <c r="AE242" s="391" t="b">
        <v>1</v>
      </c>
      <c r="AF242" s="391" t="b">
        <v>1</v>
      </c>
      <c r="AG242" s="391" t="b">
        <f>IF(W242&gt;LARGE(($T242,$W242:$AC242),5),TRUE)</f>
        <v>0</v>
      </c>
      <c r="AH242" s="391" t="b">
        <f>IF(X242&gt;LARGE(($T242,$W242:$AC242),5),TRUE)</f>
        <v>0</v>
      </c>
      <c r="AI242" s="391" t="b">
        <f>IF(Y242&gt;LARGE(($T242,$W242:$AC242),5),TRUE)</f>
        <v>1</v>
      </c>
      <c r="AJ242" s="391" t="b">
        <f>IF(Z242&gt;LARGE(($T242,$W242:$AC242),5),TRUE)</f>
        <v>1</v>
      </c>
      <c r="AK242" s="391" t="b">
        <f>IF(AA242&gt;LARGE(($T242,$W242:$AC242),5),TRUE)</f>
        <v>1</v>
      </c>
      <c r="AL242" s="391" t="b">
        <f>IF(AB242&gt;LARGE(($T242,$W242:$AC242),5),TRUE)</f>
        <v>1</v>
      </c>
      <c r="AM242" s="391" t="b">
        <f>IF(AC242&gt;LARGE(($T242,$W242:$AC242),5),TRUE)</f>
        <v>0</v>
      </c>
      <c r="AO242" s="390"/>
      <c r="AP242" s="417" t="s">
        <v>3293</v>
      </c>
      <c r="AQ242" s="384"/>
      <c r="AR242" s="389"/>
      <c r="AS242" s="389"/>
      <c r="AT242" s="389"/>
      <c r="AU242" s="390"/>
      <c r="AV242" s="390"/>
      <c r="AW242" s="390"/>
      <c r="AX242" s="390"/>
      <c r="AY242" s="390"/>
      <c r="AZ242" s="390"/>
      <c r="BA242" s="429" t="b">
        <f>IF(BA240=$AV$241,TRUE,IF(BA241&gt;LARGE($BA241:$BJ241,3),TRUE))</f>
        <v>0</v>
      </c>
      <c r="BB242" s="429" t="b">
        <v>1</v>
      </c>
      <c r="BC242" s="429" t="b">
        <v>1</v>
      </c>
      <c r="BD242" s="429" t="b">
        <f t="shared" ref="BD242:BJ242" si="278">IF(BD240=$AV$241,TRUE,IF(BD241&gt;LARGE($BA241:$BJ241,3),TRUE))</f>
        <v>0</v>
      </c>
      <c r="BE242" s="429" t="b">
        <f t="shared" si="278"/>
        <v>0</v>
      </c>
      <c r="BF242" s="429" t="b">
        <f t="shared" si="278"/>
        <v>1</v>
      </c>
      <c r="BG242" s="429" t="b">
        <f t="shared" si="278"/>
        <v>0</v>
      </c>
      <c r="BH242" s="429" t="b">
        <f t="shared" si="278"/>
        <v>0</v>
      </c>
      <c r="BI242" s="429" t="b">
        <f t="shared" si="278"/>
        <v>1</v>
      </c>
      <c r="BJ242" s="429" t="b">
        <f t="shared" si="278"/>
        <v>1</v>
      </c>
      <c r="BK242" s="390"/>
      <c r="BL242" s="390"/>
      <c r="BM242" s="390"/>
      <c r="BN242" s="390"/>
      <c r="BO242" s="390"/>
      <c r="BP242" s="391"/>
      <c r="BQ242" s="391"/>
      <c r="BR242" s="391"/>
      <c r="BS242" s="391"/>
      <c r="BT242" s="391"/>
      <c r="BU242" s="391"/>
      <c r="BV242" s="391"/>
    </row>
    <row r="243" spans="1:74" x14ac:dyDescent="0.3">
      <c r="A243" s="391" t="str">
        <f>'Reference Score Calculation'!A222</f>
        <v>JS5316</v>
      </c>
      <c r="B243" s="391" t="str">
        <f>'Reference Score Calculation'!D222</f>
        <v>工商管理學士（市場學）</v>
      </c>
      <c r="D243" s="391" t="str">
        <f>'Reference Score Calculation'!E222</f>
        <v>英數Best4</v>
      </c>
      <c r="E243" s="391" t="str">
        <f>入學要求!T231</f>
        <v>v</v>
      </c>
      <c r="F243" s="391" t="str">
        <f>入學要求!U231</f>
        <v>NO</v>
      </c>
      <c r="G243" s="391" t="str">
        <f>入學要求!V231</f>
        <v>NO</v>
      </c>
      <c r="H243" s="391">
        <f t="shared" si="241"/>
        <v>4.0000000000000002E-9</v>
      </c>
      <c r="I243" s="391">
        <v>1</v>
      </c>
      <c r="J243" s="401">
        <v>2</v>
      </c>
      <c r="K243" s="401">
        <v>2</v>
      </c>
      <c r="L243" s="391">
        <v>1</v>
      </c>
      <c r="M243" s="391">
        <v>1</v>
      </c>
      <c r="N243" s="391">
        <v>1</v>
      </c>
      <c r="O243" s="391">
        <v>1</v>
      </c>
      <c r="P243" s="391">
        <v>1</v>
      </c>
      <c r="Q243" s="391">
        <v>1</v>
      </c>
      <c r="R243" s="391">
        <v>1</v>
      </c>
      <c r="T243" s="391">
        <f t="shared" si="242"/>
        <v>1E-10</v>
      </c>
      <c r="U243" s="391">
        <f t="shared" si="243"/>
        <v>4.0000000000000001E-10</v>
      </c>
      <c r="V243" s="391">
        <f t="shared" si="244"/>
        <v>6E-10</v>
      </c>
      <c r="W243" s="391">
        <f t="shared" si="245"/>
        <v>4.0000000000000001E-10</v>
      </c>
      <c r="X243" s="391">
        <f t="shared" si="246"/>
        <v>5.0000000000000003E-10</v>
      </c>
      <c r="Y243" s="391">
        <f t="shared" si="247"/>
        <v>6E-10</v>
      </c>
      <c r="Z243" s="391">
        <f t="shared" si="248"/>
        <v>6.9999999999999996E-10</v>
      </c>
      <c r="AA243" s="391">
        <f t="shared" si="249"/>
        <v>8.0000000000000003E-10</v>
      </c>
      <c r="AB243" s="391">
        <f t="shared" si="250"/>
        <v>8.9999999999999999E-10</v>
      </c>
      <c r="AC243" s="391">
        <f t="shared" si="251"/>
        <v>0</v>
      </c>
      <c r="AD243" s="391" t="b">
        <f>IF(T243&gt;LARGE(($T243,$W243:$AC243),5),TRUE)</f>
        <v>0</v>
      </c>
      <c r="AE243" s="391" t="b">
        <v>1</v>
      </c>
      <c r="AF243" s="391" t="b">
        <v>1</v>
      </c>
      <c r="AG243" s="391" t="b">
        <f>IF(W243&gt;LARGE(($T243,$W243:$AC243),5),TRUE)</f>
        <v>0</v>
      </c>
      <c r="AH243" s="391" t="b">
        <f>IF(X243&gt;LARGE(($T243,$W243:$AC243),5),TRUE)</f>
        <v>0</v>
      </c>
      <c r="AI243" s="391" t="b">
        <f>IF(Y243&gt;LARGE(($T243,$W243:$AC243),5),TRUE)</f>
        <v>1</v>
      </c>
      <c r="AJ243" s="391" t="b">
        <f>IF(Z243&gt;LARGE(($T243,$W243:$AC243),5),TRUE)</f>
        <v>1</v>
      </c>
      <c r="AK243" s="391" t="b">
        <f>IF(AA243&gt;LARGE(($T243,$W243:$AC243),5),TRUE)</f>
        <v>1</v>
      </c>
      <c r="AL243" s="391" t="b">
        <f>IF(AB243&gt;LARGE(($T243,$W243:$AC243),5),TRUE)</f>
        <v>1</v>
      </c>
      <c r="AM243" s="391" t="b">
        <f>IF(AC243&gt;LARGE(($T243,$W243:$AC243),5),TRUE)</f>
        <v>0</v>
      </c>
      <c r="AO243" s="390"/>
      <c r="AP243" s="390"/>
      <c r="AQ243" s="390"/>
      <c r="AR243" s="390"/>
      <c r="AS243" s="390"/>
      <c r="AT243" s="390"/>
      <c r="AU243" s="390"/>
      <c r="AV243" s="390"/>
      <c r="AW243" s="390"/>
      <c r="AX243" s="390"/>
      <c r="AY243" s="390"/>
      <c r="AZ243" s="390"/>
      <c r="BA243" s="390"/>
      <c r="BB243" s="184"/>
      <c r="BC243" s="390"/>
      <c r="BD243" s="390"/>
      <c r="BE243" s="390"/>
      <c r="BF243" s="390"/>
      <c r="BG243" s="390"/>
      <c r="BH243" s="390"/>
      <c r="BI243" s="390"/>
      <c r="BJ243" s="390"/>
      <c r="BK243" s="390"/>
      <c r="BL243" s="390"/>
      <c r="BM243" s="390"/>
      <c r="BN243" s="390"/>
      <c r="BO243" s="390"/>
      <c r="BP243" s="391"/>
      <c r="BQ243" s="391"/>
      <c r="BR243" s="391"/>
      <c r="BS243" s="391"/>
      <c r="BT243" s="391"/>
      <c r="BU243" s="391"/>
      <c r="BV243" s="391"/>
    </row>
    <row r="244" spans="1:74" x14ac:dyDescent="0.3">
      <c r="A244" s="391" t="str">
        <f>'Reference Score Calculation'!A223</f>
        <v>JS5317</v>
      </c>
      <c r="B244" s="391" t="str">
        <f>'Reference Score Calculation'!D223</f>
        <v>工商管理學士（營運管理學）</v>
      </c>
      <c r="D244" s="391" t="str">
        <f>'Reference Score Calculation'!E223</f>
        <v>英數Best4</v>
      </c>
      <c r="E244" s="391" t="str">
        <f>入學要求!T232</f>
        <v>v</v>
      </c>
      <c r="F244" s="391" t="str">
        <f>入學要求!U232</f>
        <v>NO</v>
      </c>
      <c r="G244" s="391" t="str">
        <f>入學要求!V232</f>
        <v>NO</v>
      </c>
      <c r="H244" s="391">
        <f t="shared" si="241"/>
        <v>4.0000000000000002E-9</v>
      </c>
      <c r="I244" s="391">
        <v>1</v>
      </c>
      <c r="J244" s="401">
        <v>2</v>
      </c>
      <c r="K244" s="401">
        <v>2</v>
      </c>
      <c r="L244" s="391">
        <v>1</v>
      </c>
      <c r="M244" s="391">
        <v>1</v>
      </c>
      <c r="N244" s="391">
        <v>1</v>
      </c>
      <c r="O244" s="391">
        <v>1</v>
      </c>
      <c r="P244" s="391">
        <v>1</v>
      </c>
      <c r="Q244" s="391">
        <v>1</v>
      </c>
      <c r="R244" s="391">
        <v>1</v>
      </c>
      <c r="T244" s="391">
        <f t="shared" si="242"/>
        <v>1E-10</v>
      </c>
      <c r="U244" s="391">
        <f t="shared" si="243"/>
        <v>4.0000000000000001E-10</v>
      </c>
      <c r="V244" s="391">
        <f t="shared" si="244"/>
        <v>6E-10</v>
      </c>
      <c r="W244" s="391">
        <f t="shared" si="245"/>
        <v>4.0000000000000001E-10</v>
      </c>
      <c r="X244" s="391">
        <f t="shared" si="246"/>
        <v>5.0000000000000003E-10</v>
      </c>
      <c r="Y244" s="391">
        <f t="shared" si="247"/>
        <v>6E-10</v>
      </c>
      <c r="Z244" s="391">
        <f t="shared" si="248"/>
        <v>6.9999999999999996E-10</v>
      </c>
      <c r="AA244" s="391">
        <f t="shared" si="249"/>
        <v>8.0000000000000003E-10</v>
      </c>
      <c r="AB244" s="391">
        <f t="shared" si="250"/>
        <v>8.9999999999999999E-10</v>
      </c>
      <c r="AC244" s="391">
        <f t="shared" si="251"/>
        <v>0</v>
      </c>
      <c r="AD244" s="391" t="b">
        <f>IF(T244&gt;LARGE(($T244,$W244:$AC244),5),TRUE)</f>
        <v>0</v>
      </c>
      <c r="AE244" s="391" t="b">
        <v>1</v>
      </c>
      <c r="AF244" s="391" t="b">
        <v>1</v>
      </c>
      <c r="AG244" s="391" t="b">
        <f>IF(W244&gt;LARGE(($T244,$W244:$AC244),5),TRUE)</f>
        <v>0</v>
      </c>
      <c r="AH244" s="391" t="b">
        <f>IF(X244&gt;LARGE(($T244,$W244:$AC244),5),TRUE)</f>
        <v>0</v>
      </c>
      <c r="AI244" s="391" t="b">
        <f>IF(Y244&gt;LARGE(($T244,$W244:$AC244),5),TRUE)</f>
        <v>1</v>
      </c>
      <c r="AJ244" s="391" t="b">
        <f>IF(Z244&gt;LARGE(($T244,$W244:$AC244),5),TRUE)</f>
        <v>1</v>
      </c>
      <c r="AK244" s="391" t="b">
        <f>IF(AA244&gt;LARGE(($T244,$W244:$AC244),5),TRUE)</f>
        <v>1</v>
      </c>
      <c r="AL244" s="391" t="b">
        <f>IF(AB244&gt;LARGE(($T244,$W244:$AC244),5),TRUE)</f>
        <v>1</v>
      </c>
      <c r="AM244" s="391" t="b">
        <f>IF(AC244&gt;LARGE(($T244,$W244:$AC244),5),TRUE)</f>
        <v>0</v>
      </c>
      <c r="AO244" s="390" t="s">
        <v>3275</v>
      </c>
      <c r="AP244" s="383" t="str">
        <f>N$1</f>
        <v>請選擇第一選修科</v>
      </c>
      <c r="AQ244" s="383" t="str">
        <f t="shared" ref="AQ244" si="279">O$1</f>
        <v>請選擇第二選修科</v>
      </c>
      <c r="AR244" s="383" t="str">
        <f t="shared" ref="AR244" si="280">P$1</f>
        <v>請選擇第三選修科</v>
      </c>
      <c r="AS244" s="383" t="str">
        <f t="shared" ref="AS244" si="281">Q$1</f>
        <v>請選擇第四選修科</v>
      </c>
      <c r="AT244" s="383" t="str">
        <f>M$1</f>
        <v>數學延伸</v>
      </c>
      <c r="AU244" s="390"/>
      <c r="AV244" s="410" t="s">
        <v>3296</v>
      </c>
      <c r="AW244" s="390"/>
      <c r="AX244" s="384" t="s">
        <v>2006</v>
      </c>
      <c r="AY244" s="390"/>
      <c r="AZ244" s="390"/>
      <c r="BA244" s="383" t="str">
        <f t="shared" ref="BA244:BJ244" si="282">I$1</f>
        <v>中國語文</v>
      </c>
      <c r="BB244" s="383" t="str">
        <f t="shared" si="282"/>
        <v>英國語文</v>
      </c>
      <c r="BC244" s="383" t="str">
        <f t="shared" si="282"/>
        <v>數學</v>
      </c>
      <c r="BD244" s="383" t="str">
        <f t="shared" si="282"/>
        <v>通識教育</v>
      </c>
      <c r="BE244" s="383" t="str">
        <f t="shared" si="282"/>
        <v>數學延伸</v>
      </c>
      <c r="BF244" s="383" t="str">
        <f t="shared" si="282"/>
        <v>請選擇第一選修科</v>
      </c>
      <c r="BG244" s="383" t="str">
        <f t="shared" si="282"/>
        <v>請選擇第二選修科</v>
      </c>
      <c r="BH244" s="383" t="str">
        <f t="shared" si="282"/>
        <v>請選擇第三選修科</v>
      </c>
      <c r="BI244" s="383" t="str">
        <f t="shared" si="282"/>
        <v>請選擇第四選修科</v>
      </c>
      <c r="BJ244" s="383" t="str">
        <f t="shared" si="282"/>
        <v>請選擇語言科目</v>
      </c>
      <c r="BK244" s="390"/>
      <c r="BL244" s="390"/>
      <c r="BM244" s="390"/>
      <c r="BN244" s="390"/>
      <c r="BO244" s="390"/>
      <c r="BP244" s="391"/>
      <c r="BQ244" s="391"/>
      <c r="BR244" s="391"/>
      <c r="BS244" s="391"/>
      <c r="BT244" s="391"/>
      <c r="BU244" s="391"/>
      <c r="BV244" s="391"/>
    </row>
    <row r="245" spans="1:74" x14ac:dyDescent="0.3">
      <c r="A245" s="391" t="str">
        <f>'Reference Score Calculation'!A224</f>
        <v>JS5318</v>
      </c>
      <c r="B245" s="391" t="str">
        <f>'Reference Score Calculation'!D224</f>
        <v>工商管理學士（專業會計學）</v>
      </c>
      <c r="D245" s="391" t="str">
        <f>'Reference Score Calculation'!E224</f>
        <v>英數Best4</v>
      </c>
      <c r="E245" s="391" t="str">
        <f>入學要求!T233</f>
        <v>v</v>
      </c>
      <c r="F245" s="391" t="str">
        <f>入學要求!U233</f>
        <v>NO</v>
      </c>
      <c r="G245" s="391" t="str">
        <f>入學要求!V233</f>
        <v>NO</v>
      </c>
      <c r="H245" s="391">
        <f t="shared" si="241"/>
        <v>4.0000000000000002E-9</v>
      </c>
      <c r="I245" s="391">
        <v>1</v>
      </c>
      <c r="J245" s="401">
        <v>2</v>
      </c>
      <c r="K245" s="401">
        <v>2</v>
      </c>
      <c r="L245" s="391">
        <v>1</v>
      </c>
      <c r="M245" s="391">
        <v>1</v>
      </c>
      <c r="N245" s="391">
        <v>1</v>
      </c>
      <c r="O245" s="391">
        <v>1</v>
      </c>
      <c r="P245" s="391">
        <v>1</v>
      </c>
      <c r="Q245" s="391">
        <v>1</v>
      </c>
      <c r="R245" s="391">
        <v>1</v>
      </c>
      <c r="T245" s="391">
        <f t="shared" si="242"/>
        <v>1E-10</v>
      </c>
      <c r="U245" s="391">
        <f t="shared" si="243"/>
        <v>4.0000000000000001E-10</v>
      </c>
      <c r="V245" s="391">
        <f t="shared" si="244"/>
        <v>6E-10</v>
      </c>
      <c r="W245" s="391">
        <f t="shared" si="245"/>
        <v>4.0000000000000001E-10</v>
      </c>
      <c r="X245" s="391">
        <f t="shared" si="246"/>
        <v>5.0000000000000003E-10</v>
      </c>
      <c r="Y245" s="391">
        <f t="shared" si="247"/>
        <v>6E-10</v>
      </c>
      <c r="Z245" s="391">
        <f t="shared" si="248"/>
        <v>6.9999999999999996E-10</v>
      </c>
      <c r="AA245" s="391">
        <f t="shared" si="249"/>
        <v>8.0000000000000003E-10</v>
      </c>
      <c r="AB245" s="391">
        <f t="shared" si="250"/>
        <v>8.9999999999999999E-10</v>
      </c>
      <c r="AC245" s="391">
        <f t="shared" si="251"/>
        <v>0</v>
      </c>
      <c r="AD245" s="391" t="b">
        <f>IF(T245&gt;LARGE(($T245,$W245:$AC245),5),TRUE)</f>
        <v>0</v>
      </c>
      <c r="AE245" s="391" t="b">
        <v>1</v>
      </c>
      <c r="AF245" s="391" t="b">
        <v>1</v>
      </c>
      <c r="AG245" s="391" t="b">
        <f>IF(W245&gt;LARGE(($T245,$W245:$AC245),5),TRUE)</f>
        <v>0</v>
      </c>
      <c r="AH245" s="391" t="b">
        <f>IF(X245&gt;LARGE(($T245,$W245:$AC245),5),TRUE)</f>
        <v>0</v>
      </c>
      <c r="AI245" s="391" t="b">
        <f>IF(Y245&gt;LARGE(($T245,$W245:$AC245),5),TRUE)</f>
        <v>1</v>
      </c>
      <c r="AJ245" s="391" t="b">
        <f>IF(Z245&gt;LARGE(($T245,$W245:$AC245),5),TRUE)</f>
        <v>1</v>
      </c>
      <c r="AK245" s="391" t="b">
        <f>IF(AA245&gt;LARGE(($T245,$W245:$AC245),5),TRUE)</f>
        <v>1</v>
      </c>
      <c r="AL245" s="391" t="b">
        <f>IF(AB245&gt;LARGE(($T245,$W245:$AC245),5),TRUE)</f>
        <v>1</v>
      </c>
      <c r="AM245" s="391" t="b">
        <f>IF(AC245&gt;LARGE(($T245,$W245:$AC245),5),TRUE)</f>
        <v>0</v>
      </c>
      <c r="AO245" s="390" t="s">
        <v>3297</v>
      </c>
      <c r="AP245" s="430">
        <f>IF(OR(N$1="物理",N$1="化學",N$1="經濟"),N$7*1.5,N$7)</f>
        <v>6E-10</v>
      </c>
      <c r="AQ245" s="430">
        <f t="shared" ref="AQ245:AS245" si="283">IF(OR(O$1="物理",O$1="化學",O$1="經濟"),O$7*1.5,O$7)</f>
        <v>6.9999999999999996E-10</v>
      </c>
      <c r="AR245" s="430">
        <f t="shared" si="283"/>
        <v>8.0000000000000003E-10</v>
      </c>
      <c r="AS245" s="430">
        <f t="shared" si="283"/>
        <v>8.9999999999999999E-10</v>
      </c>
      <c r="AT245" s="428">
        <f>M$7*1.5</f>
        <v>7.500000000000001E-10</v>
      </c>
      <c r="AU245" s="390"/>
      <c r="AV245" s="403" t="str">
        <f>INDEX(AP244:AT244,MATCH(LARGE(AP245:AT245,1),AP245:AT245,0))</f>
        <v>請選擇第四選修科</v>
      </c>
      <c r="AW245" s="403">
        <f>LARGE((AP245:AT245),1)</f>
        <v>8.9999999999999999E-10</v>
      </c>
      <c r="AX245" s="395">
        <f>IF(OR(AV245="化學",AV245="物理",AV245="數學延伸",AV245="經濟"),1.5,1)</f>
        <v>1</v>
      </c>
      <c r="AY245" s="390"/>
      <c r="AZ245" s="390"/>
      <c r="BA245" s="430">
        <f>IF(BA244=$AV$245,0,I$7)</f>
        <v>1E-10</v>
      </c>
      <c r="BB245" s="430">
        <v>0</v>
      </c>
      <c r="BC245" s="430">
        <v>0</v>
      </c>
      <c r="BD245" s="430">
        <f t="shared" ref="BD245:BJ245" si="284">IF(BD244=$AV$245,0,L$7)</f>
        <v>4.0000000000000001E-10</v>
      </c>
      <c r="BE245" s="430">
        <f t="shared" si="284"/>
        <v>5.0000000000000003E-10</v>
      </c>
      <c r="BF245" s="430">
        <f t="shared" si="284"/>
        <v>6E-10</v>
      </c>
      <c r="BG245" s="430">
        <f t="shared" si="284"/>
        <v>6.9999999999999996E-10</v>
      </c>
      <c r="BH245" s="430">
        <f t="shared" si="284"/>
        <v>8.0000000000000003E-10</v>
      </c>
      <c r="BI245" s="430">
        <f t="shared" si="284"/>
        <v>0</v>
      </c>
      <c r="BJ245" s="430">
        <f t="shared" si="284"/>
        <v>9.5000000000000003E-10</v>
      </c>
      <c r="BK245" s="390"/>
      <c r="BL245" s="390"/>
      <c r="BM245" s="390"/>
      <c r="BN245" s="390"/>
      <c r="BO245" s="390"/>
      <c r="BP245" s="391"/>
      <c r="BQ245" s="391"/>
      <c r="BR245" s="391"/>
      <c r="BS245" s="391"/>
      <c r="BT245" s="391"/>
      <c r="BU245" s="391"/>
      <c r="BV245" s="391"/>
    </row>
    <row r="246" spans="1:74" x14ac:dyDescent="0.3">
      <c r="A246" s="391" t="str">
        <f>'Reference Score Calculation'!A225</f>
        <v>JS5331</v>
      </c>
      <c r="B246" s="391" t="str">
        <f>'Reference Score Calculation'!D225</f>
        <v>理學士（經濟及金融學）</v>
      </c>
      <c r="D246" s="391" t="str">
        <f>'Reference Score Calculation'!E225</f>
        <v>英數Best4</v>
      </c>
      <c r="E246" s="391" t="str">
        <f>入學要求!T234</f>
        <v>v</v>
      </c>
      <c r="F246" s="391" t="str">
        <f>入學要求!U234</f>
        <v>NO</v>
      </c>
      <c r="G246" s="391" t="str">
        <f>入學要求!V234</f>
        <v>NO</v>
      </c>
      <c r="H246" s="391">
        <f t="shared" si="241"/>
        <v>3.3999999999999998E-9</v>
      </c>
      <c r="I246" s="391">
        <v>1</v>
      </c>
      <c r="J246" s="401">
        <v>2</v>
      </c>
      <c r="K246" s="401">
        <v>2</v>
      </c>
      <c r="L246" s="391">
        <v>1</v>
      </c>
      <c r="M246" s="185">
        <f t="shared" ref="M246:Q247" si="285">IF(M$1=$AV$245,$AX$245,1)</f>
        <v>1</v>
      </c>
      <c r="N246" s="391">
        <f t="shared" si="285"/>
        <v>1</v>
      </c>
      <c r="O246" s="391">
        <f t="shared" si="285"/>
        <v>1</v>
      </c>
      <c r="P246" s="391">
        <f t="shared" si="285"/>
        <v>1</v>
      </c>
      <c r="Q246" s="391">
        <f t="shared" si="285"/>
        <v>1</v>
      </c>
      <c r="R246" s="391">
        <v>1</v>
      </c>
      <c r="T246" s="391">
        <f t="shared" si="242"/>
        <v>1E-10</v>
      </c>
      <c r="U246" s="391">
        <f t="shared" si="243"/>
        <v>4.0000000000000001E-10</v>
      </c>
      <c r="V246" s="391">
        <f t="shared" si="244"/>
        <v>6E-10</v>
      </c>
      <c r="W246" s="391">
        <f t="shared" si="245"/>
        <v>4.0000000000000001E-10</v>
      </c>
      <c r="X246" s="391">
        <f t="shared" si="246"/>
        <v>5.0000000000000003E-10</v>
      </c>
      <c r="Y246" s="391">
        <f t="shared" si="247"/>
        <v>6E-10</v>
      </c>
      <c r="Z246" s="391">
        <f t="shared" si="248"/>
        <v>6.9999999999999996E-10</v>
      </c>
      <c r="AA246" s="391">
        <f t="shared" si="249"/>
        <v>8.0000000000000003E-10</v>
      </c>
      <c r="AB246" s="391">
        <f t="shared" si="250"/>
        <v>8.9999999999999999E-10</v>
      </c>
      <c r="AC246" s="391">
        <f t="shared" si="251"/>
        <v>0</v>
      </c>
      <c r="AD246" s="391" t="b">
        <f t="shared" ref="AD246:AM246" si="286">BA246</f>
        <v>0</v>
      </c>
      <c r="AE246" s="391" t="b">
        <f t="shared" si="286"/>
        <v>1</v>
      </c>
      <c r="AF246" s="391" t="b">
        <f t="shared" si="286"/>
        <v>1</v>
      </c>
      <c r="AG246" s="391" t="b">
        <f t="shared" si="286"/>
        <v>0</v>
      </c>
      <c r="AH246" s="391" t="b">
        <f t="shared" si="286"/>
        <v>0</v>
      </c>
      <c r="AI246" s="391" t="b">
        <f t="shared" si="286"/>
        <v>0</v>
      </c>
      <c r="AJ246" s="391" t="b">
        <f t="shared" si="286"/>
        <v>1</v>
      </c>
      <c r="AK246" s="391" t="b">
        <f t="shared" si="286"/>
        <v>1</v>
      </c>
      <c r="AL246" s="391" t="b">
        <f t="shared" si="286"/>
        <v>1</v>
      </c>
      <c r="AM246" s="391" t="b">
        <f t="shared" si="286"/>
        <v>1</v>
      </c>
      <c r="AO246" s="390" t="s">
        <v>3298</v>
      </c>
      <c r="AP246" s="417" t="s">
        <v>3295</v>
      </c>
      <c r="AQ246" s="384"/>
      <c r="AR246" s="389"/>
      <c r="AS246" s="389"/>
      <c r="AT246" s="389"/>
      <c r="AU246" s="390"/>
      <c r="AV246" s="390"/>
      <c r="AW246" s="390"/>
      <c r="AX246" s="390"/>
      <c r="AY246" s="390"/>
      <c r="AZ246" s="390"/>
      <c r="BA246" s="429" t="b">
        <f>IF(BA244=$AV$245,TRUE,IF(BA245&gt;LARGE($BA245:$BJ245,4),TRUE))</f>
        <v>0</v>
      </c>
      <c r="BB246" s="429" t="b">
        <v>1</v>
      </c>
      <c r="BC246" s="429" t="b">
        <v>1</v>
      </c>
      <c r="BD246" s="429" t="b">
        <f t="shared" ref="BD246:BJ246" si="287">IF(BD244=$AV$245,TRUE,IF(BD245&gt;LARGE($BA245:$BJ245,4),TRUE))</f>
        <v>0</v>
      </c>
      <c r="BE246" s="429" t="b">
        <f t="shared" si="287"/>
        <v>0</v>
      </c>
      <c r="BF246" s="429" t="b">
        <f t="shared" si="287"/>
        <v>0</v>
      </c>
      <c r="BG246" s="429" t="b">
        <f t="shared" si="287"/>
        <v>1</v>
      </c>
      <c r="BH246" s="429" t="b">
        <f t="shared" si="287"/>
        <v>1</v>
      </c>
      <c r="BI246" s="429" t="b">
        <f t="shared" si="287"/>
        <v>1</v>
      </c>
      <c r="BJ246" s="429" t="b">
        <f t="shared" si="287"/>
        <v>1</v>
      </c>
      <c r="BK246" s="390"/>
      <c r="BL246" s="390"/>
      <c r="BM246" s="390"/>
      <c r="BN246" s="390"/>
      <c r="BO246" s="390"/>
      <c r="BP246" s="391"/>
      <c r="BQ246" s="391"/>
      <c r="BR246" s="391"/>
      <c r="BS246" s="391"/>
      <c r="BT246" s="391"/>
      <c r="BU246" s="391"/>
      <c r="BV246" s="391"/>
    </row>
    <row r="247" spans="1:74" x14ac:dyDescent="0.3">
      <c r="A247" s="391" t="str">
        <f>'Reference Score Calculation'!A226</f>
        <v>JS5332</v>
      </c>
      <c r="B247" s="391" t="str">
        <f>'Reference Score Calculation'!D226</f>
        <v>理學士（量化金融學）</v>
      </c>
      <c r="D247" s="391" t="str">
        <f>'Reference Score Calculation'!E226</f>
        <v>英數Best4</v>
      </c>
      <c r="E247" s="391" t="str">
        <f>入學要求!T235</f>
        <v>v</v>
      </c>
      <c r="F247" s="391" t="str">
        <f>入學要求!U235</f>
        <v>NO</v>
      </c>
      <c r="G247" s="391" t="str">
        <f>入學要求!V235</f>
        <v>NO</v>
      </c>
      <c r="H247" s="391">
        <f t="shared" si="241"/>
        <v>3.3999999999999998E-9</v>
      </c>
      <c r="I247" s="391">
        <v>1</v>
      </c>
      <c r="J247" s="401">
        <v>2</v>
      </c>
      <c r="K247" s="401">
        <v>2</v>
      </c>
      <c r="L247" s="391">
        <v>1</v>
      </c>
      <c r="M247" s="185">
        <f t="shared" si="285"/>
        <v>1</v>
      </c>
      <c r="N247" s="391">
        <f t="shared" si="285"/>
        <v>1</v>
      </c>
      <c r="O247" s="391">
        <f t="shared" si="285"/>
        <v>1</v>
      </c>
      <c r="P247" s="391">
        <f t="shared" si="285"/>
        <v>1</v>
      </c>
      <c r="Q247" s="391">
        <f t="shared" si="285"/>
        <v>1</v>
      </c>
      <c r="R247" s="391">
        <v>1</v>
      </c>
      <c r="T247" s="391">
        <f t="shared" si="242"/>
        <v>1E-10</v>
      </c>
      <c r="U247" s="391">
        <f t="shared" si="243"/>
        <v>4.0000000000000001E-10</v>
      </c>
      <c r="V247" s="391">
        <f t="shared" si="244"/>
        <v>6E-10</v>
      </c>
      <c r="W247" s="391">
        <f t="shared" si="245"/>
        <v>4.0000000000000001E-10</v>
      </c>
      <c r="X247" s="391">
        <f t="shared" si="246"/>
        <v>5.0000000000000003E-10</v>
      </c>
      <c r="Y247" s="391">
        <f t="shared" si="247"/>
        <v>6E-10</v>
      </c>
      <c r="Z247" s="391">
        <f t="shared" si="248"/>
        <v>6.9999999999999996E-10</v>
      </c>
      <c r="AA247" s="391">
        <f t="shared" si="249"/>
        <v>8.0000000000000003E-10</v>
      </c>
      <c r="AB247" s="391">
        <f t="shared" si="250"/>
        <v>8.9999999999999999E-10</v>
      </c>
      <c r="AC247" s="391">
        <f t="shared" si="251"/>
        <v>0</v>
      </c>
      <c r="AD247" s="391" t="b">
        <f t="shared" ref="AD247:AM247" si="288">BA246</f>
        <v>0</v>
      </c>
      <c r="AE247" s="391" t="b">
        <f t="shared" si="288"/>
        <v>1</v>
      </c>
      <c r="AF247" s="391" t="b">
        <f t="shared" si="288"/>
        <v>1</v>
      </c>
      <c r="AG247" s="391" t="b">
        <f t="shared" si="288"/>
        <v>0</v>
      </c>
      <c r="AH247" s="391" t="b">
        <f t="shared" si="288"/>
        <v>0</v>
      </c>
      <c r="AI247" s="391" t="b">
        <f t="shared" si="288"/>
        <v>0</v>
      </c>
      <c r="AJ247" s="391" t="b">
        <f t="shared" si="288"/>
        <v>1</v>
      </c>
      <c r="AK247" s="391" t="b">
        <f t="shared" si="288"/>
        <v>1</v>
      </c>
      <c r="AL247" s="391" t="b">
        <f t="shared" si="288"/>
        <v>1</v>
      </c>
      <c r="AM247" s="391" t="b">
        <f t="shared" si="288"/>
        <v>1</v>
      </c>
      <c r="AO247" s="390" t="s">
        <v>3302</v>
      </c>
      <c r="AP247" s="390"/>
      <c r="AQ247" s="390"/>
      <c r="AR247" s="390"/>
      <c r="AS247" s="390"/>
      <c r="AT247" s="390"/>
      <c r="AU247" s="390"/>
      <c r="AV247" s="390"/>
      <c r="AW247" s="390"/>
      <c r="AX247" s="390"/>
      <c r="AY247" s="390"/>
      <c r="AZ247" s="390"/>
      <c r="BA247" s="390"/>
      <c r="BB247" s="390"/>
      <c r="BC247" s="390"/>
      <c r="BD247" s="390"/>
      <c r="BE247" s="390"/>
      <c r="BF247" s="390"/>
      <c r="BG247" s="390"/>
      <c r="BH247" s="390"/>
      <c r="BI247" s="390"/>
      <c r="BJ247" s="390"/>
      <c r="BK247" s="390"/>
      <c r="BL247" s="390"/>
      <c r="BM247" s="390"/>
      <c r="BN247" s="390"/>
      <c r="BO247" s="390"/>
      <c r="BP247" s="391"/>
      <c r="BQ247" s="391"/>
      <c r="BR247" s="391"/>
      <c r="BS247" s="391"/>
      <c r="BT247" s="391"/>
      <c r="BU247" s="391"/>
      <c r="BV247" s="391"/>
    </row>
    <row r="248" spans="1:74" x14ac:dyDescent="0.3">
      <c r="A248" s="391" t="str">
        <f>'Reference Score Calculation'!A227</f>
        <v>JS5411</v>
      </c>
      <c r="B248" s="391" t="str">
        <f>'Reference Score Calculation'!D227</f>
        <v>理學士（環球中國研究）</v>
      </c>
      <c r="D248" s="391" t="str">
        <f>'Reference Score Calculation'!E227</f>
        <v>中英Best4</v>
      </c>
      <c r="E248" s="391" t="str">
        <f>入學要求!T236</f>
        <v>v</v>
      </c>
      <c r="F248" s="391" t="str">
        <f>入學要求!U236</f>
        <v>NO</v>
      </c>
      <c r="G248" s="391" t="str">
        <f>入學要求!V236</f>
        <v>NO</v>
      </c>
      <c r="H248" s="391">
        <f t="shared" si="241"/>
        <v>3.5500000000000004E-9</v>
      </c>
      <c r="I248" s="391">
        <v>1.5</v>
      </c>
      <c r="J248" s="401">
        <v>2</v>
      </c>
      <c r="K248" s="401">
        <v>1</v>
      </c>
      <c r="L248" s="391">
        <v>1</v>
      </c>
      <c r="M248" s="391">
        <v>1</v>
      </c>
      <c r="N248" s="391">
        <v>1</v>
      </c>
      <c r="O248" s="391">
        <v>1</v>
      </c>
      <c r="P248" s="391">
        <v>1</v>
      </c>
      <c r="Q248" s="391">
        <v>1</v>
      </c>
      <c r="R248" s="391">
        <v>1</v>
      </c>
      <c r="T248" s="391">
        <f t="shared" si="242"/>
        <v>1.5E-10</v>
      </c>
      <c r="U248" s="391">
        <f t="shared" si="243"/>
        <v>4.0000000000000001E-10</v>
      </c>
      <c r="V248" s="391">
        <f t="shared" si="244"/>
        <v>3E-10</v>
      </c>
      <c r="W248" s="391">
        <f t="shared" si="245"/>
        <v>4.0000000000000001E-10</v>
      </c>
      <c r="X248" s="391">
        <f t="shared" si="246"/>
        <v>5.0000000000000003E-10</v>
      </c>
      <c r="Y248" s="391">
        <f t="shared" si="247"/>
        <v>6E-10</v>
      </c>
      <c r="Z248" s="391">
        <f t="shared" si="248"/>
        <v>6.9999999999999996E-10</v>
      </c>
      <c r="AA248" s="391">
        <f t="shared" si="249"/>
        <v>8.0000000000000003E-10</v>
      </c>
      <c r="AB248" s="391">
        <f t="shared" si="250"/>
        <v>8.9999999999999999E-10</v>
      </c>
      <c r="AC248" s="391">
        <f t="shared" si="251"/>
        <v>0</v>
      </c>
      <c r="AD248" s="391" t="b">
        <v>1</v>
      </c>
      <c r="AE248" s="391" t="b">
        <v>1</v>
      </c>
      <c r="AF248" s="391" t="b">
        <f t="shared" ref="AF248:AM248" si="289">IF(V248&gt;LARGE($V248:$AC248,5),TRUE)</f>
        <v>0</v>
      </c>
      <c r="AG248" s="391" t="b">
        <f>IF(W248&gt;LARGE($V248:$AC248,5),TRUE)</f>
        <v>0</v>
      </c>
      <c r="AH248" s="391" t="b">
        <f t="shared" si="289"/>
        <v>0</v>
      </c>
      <c r="AI248" s="391" t="b">
        <f t="shared" si="289"/>
        <v>1</v>
      </c>
      <c r="AJ248" s="391" t="b">
        <f t="shared" si="289"/>
        <v>1</v>
      </c>
      <c r="AK248" s="391" t="b">
        <f t="shared" si="289"/>
        <v>1</v>
      </c>
      <c r="AL248" s="391" t="b">
        <f t="shared" si="289"/>
        <v>1</v>
      </c>
      <c r="AM248" s="391" t="b">
        <f t="shared" si="289"/>
        <v>0</v>
      </c>
      <c r="AO248" s="390"/>
      <c r="AP248" s="383" t="str">
        <f>N$1</f>
        <v>請選擇第一選修科</v>
      </c>
      <c r="AQ248" s="383" t="str">
        <f t="shared" ref="AQ248" si="290">O$1</f>
        <v>請選擇第二選修科</v>
      </c>
      <c r="AR248" s="383" t="str">
        <f t="shared" ref="AR248" si="291">P$1</f>
        <v>請選擇第三選修科</v>
      </c>
      <c r="AS248" s="383" t="str">
        <f t="shared" ref="AS248" si="292">Q$1</f>
        <v>請選擇第四選修科</v>
      </c>
      <c r="AT248" s="390"/>
      <c r="AU248" s="390"/>
      <c r="AV248" s="410" t="s">
        <v>3200</v>
      </c>
      <c r="AW248" s="390"/>
      <c r="AX248" s="384" t="s">
        <v>2006</v>
      </c>
      <c r="AY248" s="390"/>
      <c r="AZ248" s="390"/>
      <c r="BA248" s="383" t="str">
        <f t="shared" ref="BA248:BJ248" si="293">I$1</f>
        <v>中國語文</v>
      </c>
      <c r="BB248" s="383" t="str">
        <f t="shared" si="293"/>
        <v>英國語文</v>
      </c>
      <c r="BC248" s="383" t="str">
        <f t="shared" si="293"/>
        <v>數學</v>
      </c>
      <c r="BD248" s="383" t="str">
        <f t="shared" si="293"/>
        <v>通識教育</v>
      </c>
      <c r="BE248" s="383" t="str">
        <f t="shared" si="293"/>
        <v>數學延伸</v>
      </c>
      <c r="BF248" s="383" t="str">
        <f t="shared" si="293"/>
        <v>請選擇第一選修科</v>
      </c>
      <c r="BG248" s="383" t="str">
        <f t="shared" si="293"/>
        <v>請選擇第二選修科</v>
      </c>
      <c r="BH248" s="383" t="str">
        <f t="shared" si="293"/>
        <v>請選擇第三選修科</v>
      </c>
      <c r="BI248" s="383" t="str">
        <f t="shared" si="293"/>
        <v>請選擇第四選修科</v>
      </c>
      <c r="BJ248" s="383" t="str">
        <f t="shared" si="293"/>
        <v>請選擇語言科目</v>
      </c>
      <c r="BK248" s="390"/>
      <c r="BL248" s="390"/>
      <c r="BM248" s="390"/>
      <c r="BN248" s="390"/>
      <c r="BO248" s="390"/>
      <c r="BP248" s="391"/>
      <c r="BQ248" s="391"/>
      <c r="BR248" s="391"/>
      <c r="BS248" s="391"/>
      <c r="BT248" s="391"/>
      <c r="BU248" s="391"/>
      <c r="BV248" s="391"/>
    </row>
    <row r="249" spans="1:74" x14ac:dyDescent="0.3">
      <c r="A249" s="391" t="str">
        <f>'Reference Score Calculation'!A228</f>
        <v>JS5412</v>
      </c>
      <c r="B249" s="391" t="str">
        <f>'Reference Score Calculation'!D228</f>
        <v>理學士（定量社會數據分析）</v>
      </c>
      <c r="D249" s="391" t="str">
        <f>'Reference Score Calculation'!E228</f>
        <v>英數Best4</v>
      </c>
      <c r="E249" s="391" t="str">
        <f>入學要求!T237</f>
        <v>v</v>
      </c>
      <c r="F249" s="391" t="str">
        <f>入學要求!U237</f>
        <v>NO</v>
      </c>
      <c r="G249" s="391" t="str">
        <f>入學要求!V237</f>
        <v>NO</v>
      </c>
      <c r="H249" s="391">
        <f t="shared" si="241"/>
        <v>4.1499999999999999E-9</v>
      </c>
      <c r="I249" s="391">
        <v>1</v>
      </c>
      <c r="J249" s="401">
        <v>2</v>
      </c>
      <c r="K249" s="401">
        <v>2</v>
      </c>
      <c r="L249" s="391">
        <v>1</v>
      </c>
      <c r="M249" s="391">
        <v>1.5</v>
      </c>
      <c r="N249" s="391">
        <v>1</v>
      </c>
      <c r="O249" s="391">
        <v>1</v>
      </c>
      <c r="P249" s="391">
        <v>1</v>
      </c>
      <c r="Q249" s="391">
        <v>1</v>
      </c>
      <c r="R249" s="391">
        <v>1</v>
      </c>
      <c r="T249" s="391">
        <f t="shared" si="242"/>
        <v>1E-10</v>
      </c>
      <c r="U249" s="391">
        <f t="shared" si="243"/>
        <v>4.0000000000000001E-10</v>
      </c>
      <c r="V249" s="391">
        <f t="shared" si="244"/>
        <v>6E-10</v>
      </c>
      <c r="W249" s="391">
        <f t="shared" si="245"/>
        <v>4.0000000000000001E-10</v>
      </c>
      <c r="X249" s="391">
        <f t="shared" si="246"/>
        <v>7.500000000000001E-10</v>
      </c>
      <c r="Y249" s="391">
        <f t="shared" si="247"/>
        <v>6E-10</v>
      </c>
      <c r="Z249" s="391">
        <f t="shared" si="248"/>
        <v>6.9999999999999996E-10</v>
      </c>
      <c r="AA249" s="391">
        <f t="shared" si="249"/>
        <v>8.0000000000000003E-10</v>
      </c>
      <c r="AB249" s="391">
        <f t="shared" si="250"/>
        <v>8.9999999999999999E-10</v>
      </c>
      <c r="AC249" s="391">
        <f t="shared" si="251"/>
        <v>0</v>
      </c>
      <c r="AD249" s="391" t="b">
        <f>IF(T249&gt;LARGE(($T249,$W249:$AC249),5),TRUE)</f>
        <v>0</v>
      </c>
      <c r="AE249" s="391" t="b">
        <v>1</v>
      </c>
      <c r="AF249" s="391" t="b">
        <v>1</v>
      </c>
      <c r="AG249" s="391" t="b">
        <f>IF(W249&gt;LARGE(($T249,$W249:$AC249),5),TRUE)</f>
        <v>0</v>
      </c>
      <c r="AH249" s="391" t="b">
        <f>IF(X249&gt;LARGE(($T249,$W249:$AC249),5),TRUE)</f>
        <v>1</v>
      </c>
      <c r="AI249" s="391" t="b">
        <f>IF(Y249&gt;LARGE(($T249,$W249:$AC249),5),TRUE)</f>
        <v>0</v>
      </c>
      <c r="AJ249" s="391" t="b">
        <f>IF(Z249&gt;LARGE(($T249,$W249:$AC249),5),TRUE)</f>
        <v>1</v>
      </c>
      <c r="AK249" s="391" t="b">
        <f>IF(AA249&gt;LARGE(($T249,$W249:$AC249),5),TRUE)</f>
        <v>1</v>
      </c>
      <c r="AL249" s="391" t="b">
        <f>IF(AB249&gt;LARGE(($T249,$W249:$AC249),5),TRUE)</f>
        <v>1</v>
      </c>
      <c r="AM249" s="391" t="b">
        <f>IF(AC249&gt;LARGE(($T249,$W249:$AC249),5),TRUE)</f>
        <v>0</v>
      </c>
      <c r="AO249" s="390" t="s">
        <v>2341</v>
      </c>
      <c r="AP249" s="430">
        <f>IF(OR(N$1="化學",N$1="生物"),N$7,0)</f>
        <v>0</v>
      </c>
      <c r="AQ249" s="430">
        <f t="shared" ref="AQ249:AS249" si="294">IF(OR(O$1="化學",O$1="生物"),O$7,0)</f>
        <v>0</v>
      </c>
      <c r="AR249" s="430">
        <f t="shared" si="294"/>
        <v>0</v>
      </c>
      <c r="AS249" s="430">
        <f t="shared" si="294"/>
        <v>0</v>
      </c>
      <c r="AT249" s="390"/>
      <c r="AU249" s="390"/>
      <c r="AV249" s="403" t="str">
        <f>INDEX(AP248:AS248,MATCH(LARGE(AP249:AS249,1),AP249:AS249,0))</f>
        <v>請選擇第一選修科</v>
      </c>
      <c r="AW249" s="403">
        <f>LARGE((AP249:AS249),1)</f>
        <v>0</v>
      </c>
      <c r="AX249" s="395">
        <f>IF(OR(AV249="生物",AV249="化學"),1.5,1)</f>
        <v>1</v>
      </c>
      <c r="AY249" s="390"/>
      <c r="AZ249" s="390"/>
      <c r="BA249" s="430">
        <f>IF(BA248=$AV$249,0,I$7)</f>
        <v>1E-10</v>
      </c>
      <c r="BB249" s="430">
        <v>0</v>
      </c>
      <c r="BC249" s="430">
        <v>0</v>
      </c>
      <c r="BD249" s="430">
        <f t="shared" ref="BD249:BJ249" si="295">IF(BD248=$AV$249,0,L$7)</f>
        <v>4.0000000000000001E-10</v>
      </c>
      <c r="BE249" s="430">
        <f t="shared" si="295"/>
        <v>5.0000000000000003E-10</v>
      </c>
      <c r="BF249" s="430">
        <f t="shared" si="295"/>
        <v>0</v>
      </c>
      <c r="BG249" s="430">
        <f t="shared" si="295"/>
        <v>6.9999999999999996E-10</v>
      </c>
      <c r="BH249" s="430">
        <f t="shared" si="295"/>
        <v>8.0000000000000003E-10</v>
      </c>
      <c r="BI249" s="430">
        <f t="shared" si="295"/>
        <v>8.9999999999999999E-10</v>
      </c>
      <c r="BJ249" s="430">
        <f t="shared" si="295"/>
        <v>9.5000000000000003E-10</v>
      </c>
      <c r="BK249" s="390"/>
      <c r="BL249" s="390"/>
      <c r="BM249" s="390"/>
      <c r="BN249" s="390"/>
      <c r="BO249" s="390"/>
      <c r="BP249" s="391"/>
      <c r="BQ249" s="391"/>
      <c r="BR249" s="391"/>
      <c r="BS249" s="391"/>
      <c r="BT249" s="391"/>
      <c r="BU249" s="391"/>
      <c r="BV249" s="391"/>
    </row>
    <row r="250" spans="1:74" x14ac:dyDescent="0.3">
      <c r="A250" s="391" t="str">
        <f>'Reference Score Calculation'!A229</f>
        <v>JS5811</v>
      </c>
      <c r="B250" s="391" t="str">
        <f>'Reference Score Calculation'!D229</f>
        <v>理學士（生物科技及商學）</v>
      </c>
      <c r="D250" s="391" t="str">
        <f>'Reference Score Calculation'!E229</f>
        <v>英數Best4</v>
      </c>
      <c r="E250" s="391" t="str">
        <f>入學要求!T238</f>
        <v>v</v>
      </c>
      <c r="F250" s="391" t="str">
        <f>入學要求!U238</f>
        <v>NO</v>
      </c>
      <c r="G250" s="391" t="str">
        <f>入學要求!V238</f>
        <v>NO</v>
      </c>
      <c r="H250" s="391">
        <f t="shared" si="241"/>
        <v>3.2999999999999998E-9</v>
      </c>
      <c r="I250" s="391">
        <v>1</v>
      </c>
      <c r="J250" s="401">
        <v>2</v>
      </c>
      <c r="K250" s="401">
        <v>2</v>
      </c>
      <c r="L250" s="391">
        <v>1</v>
      </c>
      <c r="M250" s="185">
        <v>1</v>
      </c>
      <c r="N250" s="391">
        <f>IF(N$1=$AV$249,$AX$249,1)</f>
        <v>1</v>
      </c>
      <c r="O250" s="391">
        <f>IF(O$1=$AV$249,$AX$249,1)</f>
        <v>1</v>
      </c>
      <c r="P250" s="391">
        <f>IF(P$1=$AV$249,$AX$249,1)</f>
        <v>1</v>
      </c>
      <c r="Q250" s="391">
        <f>IF(Q$1=$AV$249,$AX$249,1)</f>
        <v>1</v>
      </c>
      <c r="R250" s="391">
        <v>1</v>
      </c>
      <c r="T250" s="391">
        <f t="shared" si="242"/>
        <v>1E-10</v>
      </c>
      <c r="U250" s="391">
        <f t="shared" si="243"/>
        <v>4.0000000000000001E-10</v>
      </c>
      <c r="V250" s="391">
        <f t="shared" si="244"/>
        <v>6E-10</v>
      </c>
      <c r="W250" s="391">
        <f t="shared" si="245"/>
        <v>4.0000000000000001E-10</v>
      </c>
      <c r="X250" s="391">
        <f t="shared" si="246"/>
        <v>5.0000000000000003E-10</v>
      </c>
      <c r="Y250" s="391">
        <f t="shared" si="247"/>
        <v>6E-10</v>
      </c>
      <c r="Z250" s="391">
        <f t="shared" si="248"/>
        <v>6.9999999999999996E-10</v>
      </c>
      <c r="AA250" s="391">
        <f t="shared" si="249"/>
        <v>8.0000000000000003E-10</v>
      </c>
      <c r="AB250" s="391">
        <f t="shared" si="250"/>
        <v>8.9999999999999999E-10</v>
      </c>
      <c r="AC250" s="391">
        <f t="shared" si="251"/>
        <v>0</v>
      </c>
      <c r="AD250" s="391" t="b">
        <f t="shared" ref="AD250:AM250" si="296">BA250</f>
        <v>0</v>
      </c>
      <c r="AE250" s="391" t="b">
        <f t="shared" si="296"/>
        <v>1</v>
      </c>
      <c r="AF250" s="391" t="b">
        <f t="shared" si="296"/>
        <v>1</v>
      </c>
      <c r="AG250" s="391" t="b">
        <f t="shared" si="296"/>
        <v>0</v>
      </c>
      <c r="AH250" s="391" t="b">
        <f t="shared" si="296"/>
        <v>0</v>
      </c>
      <c r="AI250" s="391" t="b">
        <f t="shared" si="296"/>
        <v>1</v>
      </c>
      <c r="AJ250" s="391" t="b">
        <f t="shared" si="296"/>
        <v>0</v>
      </c>
      <c r="AK250" s="391" t="b">
        <f t="shared" si="296"/>
        <v>1</v>
      </c>
      <c r="AL250" s="391" t="b">
        <f t="shared" si="296"/>
        <v>1</v>
      </c>
      <c r="AM250" s="391" t="b">
        <f t="shared" si="296"/>
        <v>1</v>
      </c>
      <c r="AO250" s="390"/>
      <c r="AP250" s="417" t="s">
        <v>3299</v>
      </c>
      <c r="AQ250" s="384"/>
      <c r="AR250" s="389"/>
      <c r="AS250" s="389"/>
      <c r="AT250" s="389"/>
      <c r="AU250" s="390"/>
      <c r="AV250" s="390"/>
      <c r="AW250" s="390"/>
      <c r="AX250" s="390"/>
      <c r="AY250" s="390"/>
      <c r="AZ250" s="390"/>
      <c r="BA250" s="429" t="b">
        <f>IF(BA248=$AV$249,TRUE,IF(BA249&gt;LARGE($BA249:$BJ249,4),TRUE))</f>
        <v>0</v>
      </c>
      <c r="BB250" s="429" t="b">
        <v>1</v>
      </c>
      <c r="BC250" s="429" t="b">
        <v>1</v>
      </c>
      <c r="BD250" s="429" t="b">
        <f t="shared" ref="BD250:BJ250" si="297">IF(BD248=$AV$249,TRUE,IF(BD249&gt;LARGE($BA249:$BJ249,4),TRUE))</f>
        <v>0</v>
      </c>
      <c r="BE250" s="429" t="b">
        <f t="shared" si="297"/>
        <v>0</v>
      </c>
      <c r="BF250" s="429" t="b">
        <f t="shared" si="297"/>
        <v>1</v>
      </c>
      <c r="BG250" s="429" t="b">
        <f t="shared" si="297"/>
        <v>0</v>
      </c>
      <c r="BH250" s="429" t="b">
        <f t="shared" si="297"/>
        <v>1</v>
      </c>
      <c r="BI250" s="429" t="b">
        <f t="shared" si="297"/>
        <v>1</v>
      </c>
      <c r="BJ250" s="429" t="b">
        <f t="shared" si="297"/>
        <v>1</v>
      </c>
      <c r="BK250" s="390"/>
      <c r="BL250" s="390"/>
      <c r="BM250" s="390"/>
      <c r="BN250" s="390"/>
      <c r="BO250" s="390"/>
      <c r="BP250" s="391"/>
      <c r="BQ250" s="391"/>
      <c r="BR250" s="391"/>
      <c r="BS250" s="391"/>
      <c r="BT250" s="391"/>
      <c r="BU250" s="391"/>
      <c r="BV250" s="391"/>
    </row>
    <row r="251" spans="1:74" x14ac:dyDescent="0.3">
      <c r="A251" s="391" t="str">
        <f>'Reference Score Calculation'!A230</f>
        <v>JS5812</v>
      </c>
      <c r="B251" s="391" t="str">
        <f>'Reference Score Calculation'!D230</f>
        <v>理學士（環境管理及科技）</v>
      </c>
      <c r="D251" s="391" t="str">
        <f>'Reference Score Calculation'!E230</f>
        <v>英數Best4</v>
      </c>
      <c r="E251" s="391" t="str">
        <f>入學要求!T239</f>
        <v>v</v>
      </c>
      <c r="F251" s="391" t="str">
        <f>入學要求!U239</f>
        <v>NO</v>
      </c>
      <c r="G251" s="391" t="str">
        <f>入學要求!V239</f>
        <v>NO</v>
      </c>
      <c r="H251" s="391">
        <f t="shared" si="241"/>
        <v>4.0000000000000002E-9</v>
      </c>
      <c r="I251" s="391">
        <v>1</v>
      </c>
      <c r="J251" s="401">
        <v>2</v>
      </c>
      <c r="K251" s="401">
        <v>2</v>
      </c>
      <c r="L251" s="391">
        <v>1</v>
      </c>
      <c r="M251" s="391">
        <v>1</v>
      </c>
      <c r="N251" s="391">
        <v>1</v>
      </c>
      <c r="O251" s="391">
        <v>1</v>
      </c>
      <c r="P251" s="391">
        <v>1</v>
      </c>
      <c r="Q251" s="391">
        <v>1</v>
      </c>
      <c r="R251" s="391">
        <v>1</v>
      </c>
      <c r="T251" s="391">
        <f t="shared" si="242"/>
        <v>1E-10</v>
      </c>
      <c r="U251" s="391">
        <f t="shared" si="243"/>
        <v>4.0000000000000001E-10</v>
      </c>
      <c r="V251" s="391">
        <f t="shared" si="244"/>
        <v>6E-10</v>
      </c>
      <c r="W251" s="391">
        <f t="shared" si="245"/>
        <v>4.0000000000000001E-10</v>
      </c>
      <c r="X251" s="391">
        <f t="shared" si="246"/>
        <v>5.0000000000000003E-10</v>
      </c>
      <c r="Y251" s="391">
        <f t="shared" si="247"/>
        <v>6E-10</v>
      </c>
      <c r="Z251" s="391">
        <f t="shared" si="248"/>
        <v>6.9999999999999996E-10</v>
      </c>
      <c r="AA251" s="391">
        <f t="shared" si="249"/>
        <v>8.0000000000000003E-10</v>
      </c>
      <c r="AB251" s="391">
        <f t="shared" si="250"/>
        <v>8.9999999999999999E-10</v>
      </c>
      <c r="AC251" s="391">
        <f t="shared" si="251"/>
        <v>0</v>
      </c>
      <c r="AD251" s="391" t="b">
        <f>IF(T251&gt;LARGE(($T$237,$W$237:$AC$237),5),TRUE)</f>
        <v>0</v>
      </c>
      <c r="AE251" s="391" t="b">
        <v>1</v>
      </c>
      <c r="AF251" s="391" t="b">
        <v>1</v>
      </c>
      <c r="AG251" s="391" t="b">
        <f>IF(W251&gt;LARGE(($T$237,$W$237:$AC$237),5),TRUE)</f>
        <v>0</v>
      </c>
      <c r="AH251" s="391" t="b">
        <f>IF(X251&gt;LARGE(($T$237,$W$237:$AC$237),5),TRUE)</f>
        <v>0</v>
      </c>
      <c r="AI251" s="391" t="b">
        <f>IF(Y251&gt;LARGE(($T$237,$W$237:$AC$237),5),TRUE)</f>
        <v>1</v>
      </c>
      <c r="AJ251" s="391" t="b">
        <f>IF(Z251&gt;LARGE(($T$237,$W$237:$AC$237),5),TRUE)</f>
        <v>1</v>
      </c>
      <c r="AK251" s="391" t="b">
        <f>IF(AA251&gt;LARGE(($T$237,$W$237:$AC$237),5),TRUE)</f>
        <v>1</v>
      </c>
      <c r="AL251" s="391" t="b">
        <f>IF(AB251&gt;LARGE(($T$237,$W$237:$AC$237),5),TRUE)</f>
        <v>1</v>
      </c>
      <c r="AM251" s="391" t="b">
        <f>IF(AC251&gt;LARGE(($T$237,$W$237:$AC$237),5),TRUE)</f>
        <v>0</v>
      </c>
      <c r="AO251" s="390"/>
      <c r="AP251" s="390"/>
      <c r="AQ251" s="390"/>
      <c r="AR251" s="390"/>
      <c r="AS251" s="390"/>
      <c r="AT251" s="390"/>
      <c r="AU251" s="390"/>
      <c r="AV251" s="390"/>
      <c r="AW251" s="390"/>
      <c r="AX251" s="390"/>
      <c r="AY251" s="390"/>
      <c r="AZ251" s="390"/>
      <c r="BA251" s="390"/>
      <c r="BB251" s="390"/>
      <c r="BC251" s="390"/>
      <c r="BD251" s="390"/>
      <c r="BE251" s="390"/>
      <c r="BF251" s="390"/>
      <c r="BG251" s="390"/>
      <c r="BH251" s="390"/>
      <c r="BI251" s="390"/>
      <c r="BJ251" s="390"/>
      <c r="BK251" s="390"/>
      <c r="BL251" s="390"/>
      <c r="BM251" s="390"/>
      <c r="BN251" s="390"/>
      <c r="BO251" s="390"/>
      <c r="BP251" s="391"/>
      <c r="BQ251" s="391"/>
      <c r="BR251" s="391"/>
      <c r="BS251" s="391"/>
      <c r="BT251" s="391"/>
      <c r="BU251" s="391"/>
      <c r="BV251" s="391"/>
    </row>
    <row r="252" spans="1:74" x14ac:dyDescent="0.3">
      <c r="A252" s="391" t="str">
        <f>'Reference Score Calculation'!A231</f>
        <v>JS5813</v>
      </c>
      <c r="B252" s="391" t="str">
        <f>'Reference Score Calculation'!D231</f>
        <v>理學士（數學與經濟學）</v>
      </c>
      <c r="D252" s="391" t="str">
        <f>'Reference Score Calculation'!E231</f>
        <v>英數Best4</v>
      </c>
      <c r="E252" s="391" t="str">
        <f>入學要求!T240</f>
        <v>v</v>
      </c>
      <c r="F252" s="391" t="str">
        <f>入學要求!U240</f>
        <v>NO</v>
      </c>
      <c r="G252" s="391" t="str">
        <f>入學要求!V240</f>
        <v>NO</v>
      </c>
      <c r="H252" s="391">
        <f t="shared" si="241"/>
        <v>3.7E-9</v>
      </c>
      <c r="I252" s="391">
        <v>1</v>
      </c>
      <c r="J252" s="401">
        <v>2</v>
      </c>
      <c r="K252" s="401">
        <v>2</v>
      </c>
      <c r="L252" s="391">
        <v>1</v>
      </c>
      <c r="M252" s="391">
        <f>IF(M$1=$AV$253,$AX$253,1)</f>
        <v>2</v>
      </c>
      <c r="N252" s="391">
        <f>IF(N$1=$AV$253,$AX$253,1)</f>
        <v>1</v>
      </c>
      <c r="O252" s="391">
        <f>IF(O$1=$AV$253,$AX$253,1)</f>
        <v>1</v>
      </c>
      <c r="P252" s="391">
        <f>IF(P$1=$AV$253,$AX$253,1)</f>
        <v>1</v>
      </c>
      <c r="Q252" s="391">
        <f>IF(Q$1=$AV$253,$AX$253,1)</f>
        <v>1</v>
      </c>
      <c r="R252" s="391">
        <v>1</v>
      </c>
      <c r="T252" s="391">
        <f t="shared" si="242"/>
        <v>1E-10</v>
      </c>
      <c r="U252" s="391">
        <f t="shared" si="243"/>
        <v>4.0000000000000001E-10</v>
      </c>
      <c r="V252" s="391">
        <f t="shared" si="244"/>
        <v>6E-10</v>
      </c>
      <c r="W252" s="391">
        <f t="shared" si="245"/>
        <v>4.0000000000000001E-10</v>
      </c>
      <c r="X252" s="391">
        <f t="shared" si="246"/>
        <v>1.0000000000000001E-9</v>
      </c>
      <c r="Y252" s="391">
        <f t="shared" si="247"/>
        <v>6E-10</v>
      </c>
      <c r="Z252" s="391">
        <f t="shared" si="248"/>
        <v>6.9999999999999996E-10</v>
      </c>
      <c r="AA252" s="391">
        <f t="shared" si="249"/>
        <v>8.0000000000000003E-10</v>
      </c>
      <c r="AB252" s="391">
        <f t="shared" si="250"/>
        <v>8.9999999999999999E-10</v>
      </c>
      <c r="AC252" s="391">
        <f t="shared" si="251"/>
        <v>0</v>
      </c>
      <c r="AD252" s="391" t="b">
        <f t="shared" ref="AD252:AM252" si="298">BA254</f>
        <v>0</v>
      </c>
      <c r="AE252" s="391" t="b">
        <f t="shared" si="298"/>
        <v>1</v>
      </c>
      <c r="AF252" s="391" t="b">
        <f t="shared" si="298"/>
        <v>1</v>
      </c>
      <c r="AG252" s="391" t="b">
        <f t="shared" si="298"/>
        <v>0</v>
      </c>
      <c r="AH252" s="391" t="b">
        <f t="shared" si="298"/>
        <v>1</v>
      </c>
      <c r="AI252" s="391" t="b">
        <f t="shared" si="298"/>
        <v>0</v>
      </c>
      <c r="AJ252" s="391" t="b">
        <f t="shared" si="298"/>
        <v>0</v>
      </c>
      <c r="AK252" s="391" t="b">
        <f t="shared" si="298"/>
        <v>1</v>
      </c>
      <c r="AL252" s="391" t="b">
        <f t="shared" si="298"/>
        <v>1</v>
      </c>
      <c r="AM252" s="391" t="b">
        <f t="shared" si="298"/>
        <v>1</v>
      </c>
      <c r="AO252" s="390" t="s">
        <v>2342</v>
      </c>
      <c r="AP252" s="383" t="str">
        <f>N$1</f>
        <v>請選擇第一選修科</v>
      </c>
      <c r="AQ252" s="383" t="str">
        <f t="shared" ref="AQ252" si="299">O$1</f>
        <v>請選擇第二選修科</v>
      </c>
      <c r="AR252" s="383" t="str">
        <f t="shared" ref="AR252" si="300">P$1</f>
        <v>請選擇第三選修科</v>
      </c>
      <c r="AS252" s="383" t="str">
        <f t="shared" ref="AS252" si="301">Q$1</f>
        <v>請選擇第四選修科</v>
      </c>
      <c r="AT252" s="383" t="str">
        <f>M$1</f>
        <v>數學延伸</v>
      </c>
      <c r="AU252" s="390"/>
      <c r="AV252" s="410" t="s">
        <v>3200</v>
      </c>
      <c r="AW252" s="390"/>
      <c r="AX252" s="384" t="s">
        <v>2006</v>
      </c>
      <c r="AY252" s="390"/>
      <c r="AZ252" s="390"/>
      <c r="BA252" s="383" t="str">
        <f t="shared" ref="BA252:BJ252" si="302">I$1</f>
        <v>中國語文</v>
      </c>
      <c r="BB252" s="383" t="str">
        <f t="shared" si="302"/>
        <v>英國語文</v>
      </c>
      <c r="BC252" s="383" t="str">
        <f t="shared" si="302"/>
        <v>數學</v>
      </c>
      <c r="BD252" s="383" t="str">
        <f t="shared" si="302"/>
        <v>通識教育</v>
      </c>
      <c r="BE252" s="383" t="str">
        <f t="shared" si="302"/>
        <v>數學延伸</v>
      </c>
      <c r="BF252" s="383" t="str">
        <f t="shared" si="302"/>
        <v>請選擇第一選修科</v>
      </c>
      <c r="BG252" s="383" t="str">
        <f t="shared" si="302"/>
        <v>請選擇第二選修科</v>
      </c>
      <c r="BH252" s="383" t="str">
        <f t="shared" si="302"/>
        <v>請選擇第三選修科</v>
      </c>
      <c r="BI252" s="383" t="str">
        <f t="shared" si="302"/>
        <v>請選擇第四選修科</v>
      </c>
      <c r="BJ252" s="383" t="str">
        <f t="shared" si="302"/>
        <v>請選擇語言科目</v>
      </c>
      <c r="BK252" s="390"/>
      <c r="BL252" s="390"/>
      <c r="BM252" s="390"/>
      <c r="BN252" s="390"/>
      <c r="BO252" s="390"/>
      <c r="BP252" s="391"/>
      <c r="BQ252" s="391"/>
      <c r="BR252" s="391"/>
      <c r="BS252" s="391"/>
      <c r="BT252" s="391"/>
      <c r="BU252" s="391"/>
      <c r="BV252" s="391"/>
    </row>
    <row r="253" spans="1:74" x14ac:dyDescent="0.3">
      <c r="A253" s="391" t="str">
        <f>'Reference Score Calculation'!A232</f>
        <v>JS5814</v>
      </c>
      <c r="B253" s="391" t="str">
        <f>'Reference Score Calculation'!D232</f>
        <v>理學士（風險管理及商業智能學）</v>
      </c>
      <c r="D253" s="391" t="str">
        <f>'Reference Score Calculation'!E232</f>
        <v>英數Best4</v>
      </c>
      <c r="E253" s="391" t="str">
        <f>入學要求!T241</f>
        <v>v</v>
      </c>
      <c r="F253" s="391" t="str">
        <f>入學要求!U241</f>
        <v>NO</v>
      </c>
      <c r="G253" s="391" t="str">
        <f>入學要求!V241</f>
        <v>NO</v>
      </c>
      <c r="H253" s="391">
        <f t="shared" si="241"/>
        <v>4.1499999999999999E-9</v>
      </c>
      <c r="I253" s="391">
        <v>1</v>
      </c>
      <c r="J253" s="401">
        <v>2</v>
      </c>
      <c r="K253" s="401">
        <v>2</v>
      </c>
      <c r="L253" s="391">
        <v>1</v>
      </c>
      <c r="M253" s="391">
        <v>1.5</v>
      </c>
      <c r="N253" s="391">
        <v>1</v>
      </c>
      <c r="O253" s="391">
        <v>1</v>
      </c>
      <c r="P253" s="391">
        <v>1</v>
      </c>
      <c r="Q253" s="391">
        <v>1</v>
      </c>
      <c r="R253" s="391">
        <v>1</v>
      </c>
      <c r="T253" s="391">
        <f t="shared" si="242"/>
        <v>1E-10</v>
      </c>
      <c r="U253" s="391">
        <f t="shared" si="243"/>
        <v>4.0000000000000001E-10</v>
      </c>
      <c r="V253" s="391">
        <f t="shared" si="244"/>
        <v>6E-10</v>
      </c>
      <c r="W253" s="391">
        <f t="shared" si="245"/>
        <v>4.0000000000000001E-10</v>
      </c>
      <c r="X253" s="391">
        <f t="shared" si="246"/>
        <v>7.500000000000001E-10</v>
      </c>
      <c r="Y253" s="391">
        <f t="shared" si="247"/>
        <v>6E-10</v>
      </c>
      <c r="Z253" s="391">
        <f t="shared" si="248"/>
        <v>6.9999999999999996E-10</v>
      </c>
      <c r="AA253" s="391">
        <f t="shared" si="249"/>
        <v>8.0000000000000003E-10</v>
      </c>
      <c r="AB253" s="391">
        <f t="shared" si="250"/>
        <v>8.9999999999999999E-10</v>
      </c>
      <c r="AC253" s="391">
        <f t="shared" si="251"/>
        <v>0</v>
      </c>
      <c r="AD253" s="391" t="b">
        <f>IF(T253&gt;LARGE(($T253,$W253:$AC253),5),TRUE)</f>
        <v>0</v>
      </c>
      <c r="AE253" s="391" t="b">
        <v>1</v>
      </c>
      <c r="AF253" s="391" t="b">
        <v>1</v>
      </c>
      <c r="AG253" s="391" t="b">
        <f>IF(W253&gt;LARGE(($T253,$W253:$AC253),5),TRUE)</f>
        <v>0</v>
      </c>
      <c r="AH253" s="391" t="b">
        <f>IF(X253&gt;LARGE(($T253,$W253:$AC253),5),TRUE)</f>
        <v>1</v>
      </c>
      <c r="AI253" s="391" t="b">
        <f>IF(Y253&gt;LARGE(($T253,$W253:$AC253),5),TRUE)</f>
        <v>0</v>
      </c>
      <c r="AJ253" s="391" t="b">
        <f>IF(Z253&gt;LARGE(($T253,$W253:$AC253),5),TRUE)</f>
        <v>1</v>
      </c>
      <c r="AK253" s="391" t="b">
        <f>IF(AA253&gt;LARGE(($T253,$W253:$AC253),5),TRUE)</f>
        <v>1</v>
      </c>
      <c r="AL253" s="391" t="b">
        <f>IF(AB253&gt;LARGE(($T253,$W253:$AC253),5),TRUE)</f>
        <v>1</v>
      </c>
      <c r="AM253" s="391" t="b">
        <f>IF(AC253&gt;LARGE(($T253,$W253:$AC253),5),TRUE)</f>
        <v>0</v>
      </c>
      <c r="AO253" s="390"/>
      <c r="AP253" s="430">
        <f>IF(OR(N$1="物理",N$1="組合科學(物理、化學)",N$1="組合科學(生物、化學)",N$1="組合科學(物理、生物)",N$1="化學",N$1="生物",N$1="經濟"),N$7*1.5,0)</f>
        <v>0</v>
      </c>
      <c r="AQ253" s="430">
        <f>IF(OR(O$1="物理",O$1="組合科學(物理、化學)",O$1="組合科學(生物、化學)",O$1="組合科學(物理、生物)",O$1="化學",O$1="生物",O$1="經濟"),O$7*1.5,0)</f>
        <v>0</v>
      </c>
      <c r="AR253" s="430">
        <f>IF(OR(P$1="物理",P$1="組合科學(物理、化學)",P$1="組合科學(生物、化學)",P$1="組合科學(物理、生物)",P$1="化學",P$1="生物",P$1="經濟"),P$7*1.5,0)</f>
        <v>0</v>
      </c>
      <c r="AS253" s="430">
        <f>IF(OR(Q$1="物理",Q$1="組合科學(物理、化學)",Q$1="組合科學(生物、化學)",Q$1="組合科學(物理、生物)",Q$1="化學",Q$1="生物",Q$1="經濟"),Q$7*1.5,0)</f>
        <v>0</v>
      </c>
      <c r="AT253" s="428">
        <f>M$7*2</f>
        <v>1.0000000000000001E-9</v>
      </c>
      <c r="AU253" s="390"/>
      <c r="AV253" s="403" t="str">
        <f>INDEX(AP252:AT252,MATCH(LARGE(AP253:AT253,1),AP253:AT253,0))</f>
        <v>數學延伸</v>
      </c>
      <c r="AW253" s="403">
        <f>LARGE((AP253:AT253),1)</f>
        <v>1.0000000000000001E-9</v>
      </c>
      <c r="AX253" s="395">
        <f>IF(OR(AV253="物理",AV253="組合科學(物理、化學)",AV253="組合科學(生物、化學)",AV253="組合科學(物理、生物)",AV253="化學",AV253="生物",AV253="經濟"),1.5,IF(AV253="數學延伸",2,1))</f>
        <v>2</v>
      </c>
      <c r="AY253" s="390"/>
      <c r="AZ253" s="390"/>
      <c r="BA253" s="430">
        <f>IF(BA252=$AV$253,0,I$7)</f>
        <v>1E-10</v>
      </c>
      <c r="BB253" s="430">
        <v>0</v>
      </c>
      <c r="BC253" s="430">
        <v>0</v>
      </c>
      <c r="BD253" s="430">
        <f t="shared" ref="BD253:BJ253" si="303">IF(BD252=$AV$253,0,L$7)</f>
        <v>4.0000000000000001E-10</v>
      </c>
      <c r="BE253" s="430">
        <f t="shared" si="303"/>
        <v>0</v>
      </c>
      <c r="BF253" s="430">
        <f t="shared" si="303"/>
        <v>6E-10</v>
      </c>
      <c r="BG253" s="430">
        <f t="shared" si="303"/>
        <v>6.9999999999999996E-10</v>
      </c>
      <c r="BH253" s="430">
        <f t="shared" si="303"/>
        <v>8.0000000000000003E-10</v>
      </c>
      <c r="BI253" s="430">
        <f t="shared" si="303"/>
        <v>8.9999999999999999E-10</v>
      </c>
      <c r="BJ253" s="430">
        <f t="shared" si="303"/>
        <v>9.5000000000000003E-10</v>
      </c>
      <c r="BK253" s="390"/>
      <c r="BL253" s="390"/>
      <c r="BM253" s="390"/>
      <c r="BN253" s="390"/>
      <c r="BO253" s="390"/>
      <c r="BP253" s="391"/>
      <c r="BQ253" s="391"/>
      <c r="BR253" s="391"/>
      <c r="BS253" s="391"/>
      <c r="BT253" s="391"/>
      <c r="BU253" s="391"/>
      <c r="BV253" s="391"/>
    </row>
    <row r="254" spans="1:74" x14ac:dyDescent="0.3">
      <c r="A254" s="391" t="str">
        <f>'Reference Score Calculation'!A233</f>
        <v>JS5822</v>
      </c>
      <c r="B254" s="391" t="str">
        <f>'Reference Score Calculation'!D233</f>
        <v>理學士（可持續發展及綠色金融）</v>
      </c>
      <c r="D254" s="391" t="str">
        <f>'Reference Score Calculation'!AD232</f>
        <v>英數Best4</v>
      </c>
      <c r="E254" s="391" t="str">
        <f>入學要求!T242</f>
        <v>v</v>
      </c>
      <c r="F254" s="391" t="str">
        <f>入學要求!U242</f>
        <v>NO</v>
      </c>
      <c r="G254" s="391" t="str">
        <f>入學要求!V242</f>
        <v>NO</v>
      </c>
      <c r="H254" s="391">
        <f t="shared" si="241"/>
        <v>3.3999999999999998E-9</v>
      </c>
      <c r="I254" s="391">
        <v>1</v>
      </c>
      <c r="J254" s="401">
        <v>2</v>
      </c>
      <c r="K254" s="401">
        <v>2</v>
      </c>
      <c r="L254" s="391">
        <v>1</v>
      </c>
      <c r="M254" s="185">
        <f>IF(M$1=$AV$245,$AX$245,1)</f>
        <v>1</v>
      </c>
      <c r="N254" s="391">
        <f>IF(N$1=$AV$245,$AX$245,1)</f>
        <v>1</v>
      </c>
      <c r="O254" s="391">
        <f>IF(O$1=$AV$245,$AX$245,1)</f>
        <v>1</v>
      </c>
      <c r="P254" s="391">
        <f>IF(P$1=$AV$245,$AX$245,1)</f>
        <v>1</v>
      </c>
      <c r="Q254" s="391">
        <f>IF(Q$1=$AV$245,$AX$245,1)</f>
        <v>1</v>
      </c>
      <c r="R254" s="391">
        <v>1</v>
      </c>
      <c r="T254" s="391">
        <f t="shared" si="242"/>
        <v>1E-10</v>
      </c>
      <c r="U254" s="391">
        <f t="shared" si="243"/>
        <v>4.0000000000000001E-10</v>
      </c>
      <c r="V254" s="391">
        <f t="shared" si="244"/>
        <v>6E-10</v>
      </c>
      <c r="W254" s="391">
        <f t="shared" si="245"/>
        <v>4.0000000000000001E-10</v>
      </c>
      <c r="X254" s="391">
        <f t="shared" si="246"/>
        <v>5.0000000000000003E-10</v>
      </c>
      <c r="Y254" s="391">
        <f t="shared" si="247"/>
        <v>6E-10</v>
      </c>
      <c r="Z254" s="391">
        <f t="shared" si="248"/>
        <v>6.9999999999999996E-10</v>
      </c>
      <c r="AA254" s="391">
        <f t="shared" si="249"/>
        <v>8.0000000000000003E-10</v>
      </c>
      <c r="AB254" s="391">
        <f t="shared" si="250"/>
        <v>8.9999999999999999E-10</v>
      </c>
      <c r="AC254" s="391">
        <f t="shared" si="251"/>
        <v>0</v>
      </c>
      <c r="AD254" s="391" t="b">
        <f t="shared" ref="AD254:AM254" si="304">BA246</f>
        <v>0</v>
      </c>
      <c r="AE254" s="391" t="b">
        <f t="shared" si="304"/>
        <v>1</v>
      </c>
      <c r="AF254" s="391" t="b">
        <f t="shared" si="304"/>
        <v>1</v>
      </c>
      <c r="AG254" s="391" t="b">
        <f t="shared" si="304"/>
        <v>0</v>
      </c>
      <c r="AH254" s="391" t="b">
        <f t="shared" si="304"/>
        <v>0</v>
      </c>
      <c r="AI254" s="391" t="b">
        <f t="shared" si="304"/>
        <v>0</v>
      </c>
      <c r="AJ254" s="391" t="b">
        <f t="shared" si="304"/>
        <v>1</v>
      </c>
      <c r="AK254" s="391" t="b">
        <f t="shared" si="304"/>
        <v>1</v>
      </c>
      <c r="AL254" s="391" t="b">
        <f t="shared" si="304"/>
        <v>1</v>
      </c>
      <c r="AM254" s="391" t="b">
        <f t="shared" si="304"/>
        <v>1</v>
      </c>
      <c r="AO254" s="390"/>
      <c r="AP254" s="417" t="s">
        <v>3301</v>
      </c>
      <c r="AQ254" s="384"/>
      <c r="AR254" s="389"/>
      <c r="AS254" s="389"/>
      <c r="AT254" s="389"/>
      <c r="AU254" s="390"/>
      <c r="AV254" s="390"/>
      <c r="AW254" s="390"/>
      <c r="AX254" s="390"/>
      <c r="AY254" s="390"/>
      <c r="AZ254" s="390"/>
      <c r="BA254" s="429" t="b">
        <f>IF(BA252=$AV$253,TRUE,IF(BA253&gt;LARGE($BA253:$BJ253,4),TRUE))</f>
        <v>0</v>
      </c>
      <c r="BB254" s="429" t="b">
        <v>1</v>
      </c>
      <c r="BC254" s="429" t="b">
        <v>1</v>
      </c>
      <c r="BD254" s="429" t="b">
        <f t="shared" ref="BD254:BJ254" si="305">IF(BD252=$AV$253,TRUE,IF(BD253&gt;LARGE($BA253:$BJ253,4),TRUE))</f>
        <v>0</v>
      </c>
      <c r="BE254" s="429" t="b">
        <f t="shared" si="305"/>
        <v>1</v>
      </c>
      <c r="BF254" s="429" t="b">
        <f t="shared" si="305"/>
        <v>0</v>
      </c>
      <c r="BG254" s="429" t="b">
        <f t="shared" si="305"/>
        <v>0</v>
      </c>
      <c r="BH254" s="429" t="b">
        <f t="shared" si="305"/>
        <v>1</v>
      </c>
      <c r="BI254" s="429" t="b">
        <f t="shared" si="305"/>
        <v>1</v>
      </c>
      <c r="BJ254" s="429" t="b">
        <f t="shared" si="305"/>
        <v>1</v>
      </c>
      <c r="BK254" s="390"/>
      <c r="BL254" s="390"/>
      <c r="BM254" s="390"/>
      <c r="BN254" s="390"/>
      <c r="BO254" s="390"/>
      <c r="BP254" s="391"/>
      <c r="BQ254" s="391"/>
      <c r="BR254" s="391"/>
      <c r="BS254" s="391"/>
      <c r="BT254" s="391"/>
      <c r="BU254" s="391"/>
      <c r="BV254" s="391"/>
    </row>
    <row r="255" spans="1:74" x14ac:dyDescent="0.3">
      <c r="A255" s="391" t="str">
        <f>'Reference Score Calculation'!A234</f>
        <v>JS5901</v>
      </c>
      <c r="B255" s="391" t="str">
        <f>'Reference Score Calculation'!D234</f>
        <v>科技及管理學雙學位課程</v>
      </c>
      <c r="D255" s="391" t="str">
        <f>'Reference Score Calculation'!E234</f>
        <v>英數Best4</v>
      </c>
      <c r="E255" s="391" t="str">
        <f>入學要求!T243</f>
        <v>v</v>
      </c>
      <c r="F255" s="391" t="str">
        <f>入學要求!U243</f>
        <v>NO</v>
      </c>
      <c r="G255" s="391" t="str">
        <f>入學要求!V243</f>
        <v>NO</v>
      </c>
      <c r="H255" s="391">
        <f t="shared" si="241"/>
        <v>3.2999999999999998E-9</v>
      </c>
      <c r="I255" s="391">
        <v>1</v>
      </c>
      <c r="J255" s="401">
        <v>2</v>
      </c>
      <c r="K255" s="401">
        <v>2</v>
      </c>
      <c r="L255" s="391">
        <v>1</v>
      </c>
      <c r="M255" s="185">
        <v>1.5</v>
      </c>
      <c r="N255" s="185">
        <f>IF(N$1=$AV$236,$AX$236,1)</f>
        <v>1</v>
      </c>
      <c r="O255" s="391">
        <f>IF(O$1=$AV$236,$AX$236,1)</f>
        <v>1</v>
      </c>
      <c r="P255" s="391">
        <f>IF(P$1=$AV$236,$AX$236,1)</f>
        <v>1</v>
      </c>
      <c r="Q255" s="391">
        <f>IF(Q$1=$AV$236,$AX$236,1)</f>
        <v>1</v>
      </c>
      <c r="R255" s="391">
        <v>1</v>
      </c>
      <c r="T255" s="391">
        <f t="shared" si="242"/>
        <v>1E-10</v>
      </c>
      <c r="U255" s="391">
        <f t="shared" si="243"/>
        <v>4.0000000000000001E-10</v>
      </c>
      <c r="V255" s="391">
        <f t="shared" si="244"/>
        <v>6E-10</v>
      </c>
      <c r="W255" s="391">
        <f t="shared" si="245"/>
        <v>4.0000000000000001E-10</v>
      </c>
      <c r="X255" s="391">
        <f t="shared" si="246"/>
        <v>7.500000000000001E-10</v>
      </c>
      <c r="Y255" s="391">
        <f t="shared" si="247"/>
        <v>6E-10</v>
      </c>
      <c r="Z255" s="391">
        <f t="shared" si="248"/>
        <v>6.9999999999999996E-10</v>
      </c>
      <c r="AA255" s="391">
        <f t="shared" si="249"/>
        <v>8.0000000000000003E-10</v>
      </c>
      <c r="AB255" s="391">
        <f t="shared" si="250"/>
        <v>8.9999999999999999E-10</v>
      </c>
      <c r="AC255" s="391">
        <f t="shared" si="251"/>
        <v>0</v>
      </c>
      <c r="AD255" s="391" t="b">
        <f t="shared" ref="AD255:AM255" si="306">BA238</f>
        <v>0</v>
      </c>
      <c r="AE255" s="391" t="b">
        <f t="shared" si="306"/>
        <v>1</v>
      </c>
      <c r="AF255" s="391" t="b">
        <f t="shared" si="306"/>
        <v>1</v>
      </c>
      <c r="AG255" s="391" t="b">
        <f t="shared" si="306"/>
        <v>0</v>
      </c>
      <c r="AH255" s="391" t="b">
        <f t="shared" si="306"/>
        <v>0</v>
      </c>
      <c r="AI255" s="391" t="b">
        <f t="shared" si="306"/>
        <v>1</v>
      </c>
      <c r="AJ255" s="391" t="b">
        <f t="shared" si="306"/>
        <v>0</v>
      </c>
      <c r="AK255" s="391" t="b">
        <f t="shared" si="306"/>
        <v>1</v>
      </c>
      <c r="AL255" s="391" t="b">
        <f t="shared" si="306"/>
        <v>1</v>
      </c>
      <c r="AM255" s="391" t="b">
        <f t="shared" si="306"/>
        <v>1</v>
      </c>
      <c r="AO255" s="390"/>
      <c r="AP255" s="390"/>
      <c r="AQ255" s="390"/>
      <c r="AR255" s="390"/>
      <c r="AS255" s="390"/>
      <c r="AT255" s="390"/>
      <c r="AU255" s="390"/>
      <c r="AV255" s="390"/>
      <c r="AW255" s="390"/>
      <c r="AX255" s="390"/>
      <c r="AY255" s="390"/>
      <c r="AZ255" s="390"/>
      <c r="BA255" s="390"/>
      <c r="BB255" s="390"/>
      <c r="BC255" s="390"/>
      <c r="BD255" s="390"/>
      <c r="BE255" s="390"/>
      <c r="BF255" s="390"/>
      <c r="BG255" s="390"/>
      <c r="BH255" s="390"/>
      <c r="BI255" s="390"/>
      <c r="BJ255" s="390"/>
      <c r="BK255" s="390"/>
      <c r="BL255" s="390"/>
      <c r="BM255" s="390"/>
      <c r="BN255" s="390"/>
      <c r="BO255" s="390"/>
    </row>
    <row r="256" spans="1:74" x14ac:dyDescent="0.3">
      <c r="A256" s="213"/>
      <c r="U256" s="213"/>
      <c r="V256" s="213"/>
      <c r="W256" s="213"/>
      <c r="Y256" s="213"/>
      <c r="AA256" s="213"/>
      <c r="AO256" s="391"/>
      <c r="AP256" s="391"/>
      <c r="AQ256" s="391"/>
      <c r="AR256" s="391"/>
      <c r="AS256" s="391"/>
      <c r="AT256" s="391"/>
    </row>
    <row r="257" spans="1:67" s="227" customFormat="1" x14ac:dyDescent="0.3">
      <c r="A257" s="226" t="s">
        <v>2163</v>
      </c>
      <c r="C257" s="317"/>
      <c r="D257" s="237"/>
      <c r="E257" s="356" t="s">
        <v>2233</v>
      </c>
      <c r="F257" s="356" t="s">
        <v>2234</v>
      </c>
      <c r="G257" s="356" t="s">
        <v>2235</v>
      </c>
      <c r="H257" s="399" t="s">
        <v>2301</v>
      </c>
      <c r="I257" s="399" t="s">
        <v>2011</v>
      </c>
      <c r="J257" s="399" t="s">
        <v>2012</v>
      </c>
      <c r="K257" s="399" t="s">
        <v>2013</v>
      </c>
      <c r="L257" s="399" t="s">
        <v>2014</v>
      </c>
      <c r="M257" s="399" t="s">
        <v>2015</v>
      </c>
      <c r="N257" s="399" t="s">
        <v>2016</v>
      </c>
      <c r="O257" s="399" t="s">
        <v>2017</v>
      </c>
      <c r="P257" s="399" t="s">
        <v>2018</v>
      </c>
      <c r="Q257" s="399" t="s">
        <v>2019</v>
      </c>
      <c r="R257" s="399" t="s">
        <v>2958</v>
      </c>
      <c r="S257" s="404"/>
      <c r="T257" s="399" t="str">
        <f>I$1</f>
        <v>中國語文</v>
      </c>
      <c r="U257" s="399" t="str">
        <f t="shared" ref="U257" si="307">J$1</f>
        <v>英國語文</v>
      </c>
      <c r="V257" s="399" t="str">
        <f t="shared" ref="V257" si="308">K$1</f>
        <v>數學</v>
      </c>
      <c r="W257" s="399" t="str">
        <f t="shared" ref="W257" si="309">L$1</f>
        <v>通識教育</v>
      </c>
      <c r="X257" s="399" t="str">
        <f t="shared" ref="X257" si="310">M$1</f>
        <v>數學延伸</v>
      </c>
      <c r="Y257" s="399" t="str">
        <f t="shared" ref="Y257" si="311">N$1</f>
        <v>請選擇第一選修科</v>
      </c>
      <c r="Z257" s="399" t="str">
        <f t="shared" ref="Z257" si="312">O$1</f>
        <v>請選擇第二選修科</v>
      </c>
      <c r="AA257" s="399" t="str">
        <f t="shared" ref="AA257" si="313">P$1</f>
        <v>請選擇第三選修科</v>
      </c>
      <c r="AB257" s="399" t="str">
        <f t="shared" ref="AB257" si="314">Q$1</f>
        <v>請選擇第四選修科</v>
      </c>
      <c r="AC257" s="399" t="str">
        <f t="shared" ref="AC257" si="315">R$1</f>
        <v>請選擇語言科目</v>
      </c>
      <c r="AD257" s="399" t="s">
        <v>2881</v>
      </c>
      <c r="AE257" s="399" t="s">
        <v>2882</v>
      </c>
      <c r="AF257" s="399" t="s">
        <v>2883</v>
      </c>
      <c r="AG257" s="399" t="s">
        <v>2884</v>
      </c>
      <c r="AH257" s="399" t="s">
        <v>2885</v>
      </c>
      <c r="AI257" s="399" t="s">
        <v>2886</v>
      </c>
      <c r="AJ257" s="399" t="s">
        <v>2887</v>
      </c>
      <c r="AK257" s="399" t="s">
        <v>2888</v>
      </c>
      <c r="AL257" s="399" t="s">
        <v>2889</v>
      </c>
      <c r="AM257" s="399" t="s">
        <v>2890</v>
      </c>
      <c r="AO257" s="431" t="s">
        <v>2163</v>
      </c>
      <c r="AP257" s="394" t="s">
        <v>2894</v>
      </c>
      <c r="AQ257" s="384"/>
      <c r="AR257" s="389"/>
      <c r="AS257" s="389"/>
      <c r="AT257" s="389"/>
      <c r="AU257" s="389"/>
      <c r="AV257" s="389"/>
      <c r="AW257" s="389"/>
      <c r="AX257" s="389"/>
      <c r="AY257" s="389"/>
      <c r="AZ257" s="389"/>
      <c r="BA257" s="389"/>
      <c r="BB257" s="389"/>
      <c r="BC257" s="389"/>
      <c r="BD257" s="389"/>
      <c r="BE257" s="389"/>
      <c r="BF257" s="389"/>
      <c r="BG257" s="389"/>
      <c r="BH257" s="389"/>
      <c r="BI257" s="389"/>
      <c r="BJ257" s="389"/>
      <c r="BK257" s="389"/>
      <c r="BL257" s="389"/>
      <c r="BM257" s="389"/>
      <c r="BN257" s="389"/>
      <c r="BO257" s="389"/>
    </row>
    <row r="258" spans="1:67" x14ac:dyDescent="0.3">
      <c r="A258" s="185" t="str">
        <f>'Reference Score Calculation'!A237</f>
        <v>JS6004</v>
      </c>
      <c r="B258" s="238" t="str">
        <f>'Reference Score Calculation'!D237</f>
        <v>建築學文學士</v>
      </c>
      <c r="C258" s="236"/>
      <c r="D258" s="21" t="str">
        <f>'Reference Score Calculation'!E237</f>
        <v>Best 6</v>
      </c>
      <c r="E258" s="236" t="str">
        <f>入學要求!T246</f>
        <v>v</v>
      </c>
      <c r="F258" s="409" t="str">
        <f>入學要求!U246</f>
        <v>E</v>
      </c>
      <c r="G258" s="409" t="str">
        <f>入學要求!V246</f>
        <v>NO</v>
      </c>
      <c r="H258" s="239">
        <f>SUMIF(AD258:AM258,TRUE,T258:AC258)</f>
        <v>4.4500000000000001E-9</v>
      </c>
      <c r="I258" s="413">
        <v>1</v>
      </c>
      <c r="J258" s="413">
        <v>1</v>
      </c>
      <c r="K258" s="413">
        <v>1</v>
      </c>
      <c r="L258" s="413">
        <v>1</v>
      </c>
      <c r="M258" s="413">
        <v>1</v>
      </c>
      <c r="N258" s="413">
        <v>1</v>
      </c>
      <c r="O258" s="413">
        <v>1</v>
      </c>
      <c r="P258" s="413">
        <v>1</v>
      </c>
      <c r="Q258" s="413">
        <v>1</v>
      </c>
      <c r="R258" s="413">
        <v>1</v>
      </c>
      <c r="S258" s="413"/>
      <c r="T258" s="413">
        <f>I$8*I258</f>
        <v>1E-10</v>
      </c>
      <c r="U258" s="413">
        <f t="shared" ref="U258:W258" si="316">J$8*J258</f>
        <v>2.0000000000000001E-10</v>
      </c>
      <c r="V258" s="413">
        <f t="shared" si="316"/>
        <v>3E-10</v>
      </c>
      <c r="W258" s="413">
        <f t="shared" si="316"/>
        <v>4.0000000000000001E-10</v>
      </c>
      <c r="X258" s="413">
        <f>IF(E258="v",M$8*M258,0)</f>
        <v>5.0000000000000003E-10</v>
      </c>
      <c r="Y258" s="413">
        <f>N$8*N258</f>
        <v>6E-10</v>
      </c>
      <c r="Z258" s="413">
        <f t="shared" ref="Z258:AB258" si="317">O$8*O258</f>
        <v>6.9999999999999996E-10</v>
      </c>
      <c r="AA258" s="413">
        <f t="shared" si="317"/>
        <v>8.0000000000000003E-10</v>
      </c>
      <c r="AB258" s="413">
        <f t="shared" si="317"/>
        <v>8.9999999999999999E-10</v>
      </c>
      <c r="AC258" s="413">
        <f>IF(F258="E",R$8*R258,0)</f>
        <v>9.5000000000000003E-10</v>
      </c>
      <c r="AD258" s="413" t="b">
        <f>IF(T258&gt;LARGE(($T258:$AC258),7),TRUE)</f>
        <v>0</v>
      </c>
      <c r="AE258" s="413" t="b">
        <f t="shared" ref="AE258:AM258" si="318">IF(U258&gt;LARGE(($T258:$AC258),7),TRUE)</f>
        <v>0</v>
      </c>
      <c r="AF258" s="413" t="b">
        <f t="shared" si="318"/>
        <v>0</v>
      </c>
      <c r="AG258" s="413" t="b">
        <f t="shared" si="318"/>
        <v>0</v>
      </c>
      <c r="AH258" s="413" t="b">
        <f t="shared" si="318"/>
        <v>1</v>
      </c>
      <c r="AI258" s="413" t="b">
        <f t="shared" si="318"/>
        <v>1</v>
      </c>
      <c r="AJ258" s="413" t="b">
        <f t="shared" si="318"/>
        <v>1</v>
      </c>
      <c r="AK258" s="413" t="b">
        <f t="shared" si="318"/>
        <v>1</v>
      </c>
      <c r="AL258" s="413" t="b">
        <f t="shared" si="318"/>
        <v>1</v>
      </c>
      <c r="AM258" s="413" t="b">
        <f t="shared" si="318"/>
        <v>1</v>
      </c>
      <c r="AO258" s="393"/>
      <c r="AP258" s="383"/>
      <c r="AQ258" s="384"/>
      <c r="AR258" s="389"/>
      <c r="AS258" s="389"/>
      <c r="AT258" s="389"/>
      <c r="AU258" s="389"/>
      <c r="AV258" s="390"/>
      <c r="AW258" s="390"/>
      <c r="AX258" s="384"/>
      <c r="AY258" s="390"/>
      <c r="AZ258" s="390"/>
      <c r="BA258" s="429"/>
      <c r="BB258" s="384"/>
      <c r="BC258" s="389"/>
      <c r="BD258" s="389"/>
      <c r="BE258" s="389"/>
      <c r="BF258" s="389"/>
      <c r="BG258" s="389"/>
      <c r="BH258" s="389"/>
      <c r="BI258" s="389"/>
      <c r="BJ258" s="389"/>
      <c r="BK258" s="389"/>
      <c r="BL258" s="389"/>
      <c r="BM258" s="389"/>
      <c r="BN258" s="389"/>
      <c r="BO258" s="389"/>
    </row>
    <row r="259" spans="1:67" x14ac:dyDescent="0.3">
      <c r="A259" s="391" t="str">
        <f>'Reference Score Calculation'!A238</f>
        <v>JS6016</v>
      </c>
      <c r="B259" s="412" t="str">
        <f>'Reference Score Calculation'!D238</f>
        <v>理學士(測量學)</v>
      </c>
      <c r="C259" s="236"/>
      <c r="D259" s="358" t="str">
        <f>'Reference Score Calculation'!E238</f>
        <v>Best 5</v>
      </c>
      <c r="E259" s="409" t="str">
        <f>入學要求!T247</f>
        <v>v</v>
      </c>
      <c r="F259" s="409" t="str">
        <f>入學要求!U247</f>
        <v>E</v>
      </c>
      <c r="G259" s="409" t="str">
        <f>入學要求!V247</f>
        <v>NO</v>
      </c>
      <c r="H259" s="413">
        <f t="shared" ref="H259:H305" si="319">SUMIF(AD259:AM259,TRUE,T259:AC259)</f>
        <v>3.9500000000000006E-9</v>
      </c>
      <c r="I259" s="413">
        <v>1</v>
      </c>
      <c r="J259" s="413">
        <v>1</v>
      </c>
      <c r="K259" s="413">
        <v>1</v>
      </c>
      <c r="L259" s="413">
        <v>1</v>
      </c>
      <c r="M259" s="413">
        <v>1</v>
      </c>
      <c r="N259" s="413">
        <v>1</v>
      </c>
      <c r="O259" s="413">
        <v>1</v>
      </c>
      <c r="P259" s="413">
        <v>1</v>
      </c>
      <c r="Q259" s="413">
        <v>1</v>
      </c>
      <c r="R259" s="413">
        <v>1</v>
      </c>
      <c r="S259" s="413"/>
      <c r="T259" s="413">
        <f t="shared" ref="T259:T305" si="320">I$8*I259</f>
        <v>1E-10</v>
      </c>
      <c r="U259" s="413">
        <f t="shared" ref="U259:U305" si="321">J$8*J259</f>
        <v>2.0000000000000001E-10</v>
      </c>
      <c r="V259" s="413">
        <f t="shared" ref="V259:V305" si="322">K$8*K259</f>
        <v>3E-10</v>
      </c>
      <c r="W259" s="413">
        <f t="shared" ref="W259:W305" si="323">L$8*L259</f>
        <v>4.0000000000000001E-10</v>
      </c>
      <c r="X259" s="413">
        <f t="shared" ref="X259:X305" si="324">IF(E259="v",M$8*M259,0)</f>
        <v>5.0000000000000003E-10</v>
      </c>
      <c r="Y259" s="413">
        <f t="shared" ref="Y259:Y305" si="325">N$8*N259</f>
        <v>6E-10</v>
      </c>
      <c r="Z259" s="413">
        <f t="shared" ref="Z259:Z305" si="326">O$8*O259</f>
        <v>6.9999999999999996E-10</v>
      </c>
      <c r="AA259" s="413">
        <f t="shared" ref="AA259:AA305" si="327">P$8*P259</f>
        <v>8.0000000000000003E-10</v>
      </c>
      <c r="AB259" s="413">
        <f t="shared" ref="AB259:AB305" si="328">Q$8*Q259</f>
        <v>8.9999999999999999E-10</v>
      </c>
      <c r="AC259" s="413">
        <f t="shared" ref="AC259:AC305" si="329">IF(F259="E",R$8*R259,0)</f>
        <v>9.5000000000000003E-10</v>
      </c>
      <c r="AD259" s="413" t="b">
        <f>IF(T259&gt;LARGE(($T259:$AC259),6),TRUE)</f>
        <v>0</v>
      </c>
      <c r="AE259" s="413" t="b">
        <f t="shared" ref="AE259:AM259" si="330">IF(U259&gt;LARGE(($T259:$AC259),6),TRUE)</f>
        <v>0</v>
      </c>
      <c r="AF259" s="413" t="b">
        <f t="shared" si="330"/>
        <v>0</v>
      </c>
      <c r="AG259" s="413" t="b">
        <f t="shared" si="330"/>
        <v>0</v>
      </c>
      <c r="AH259" s="413" t="b">
        <f t="shared" si="330"/>
        <v>0</v>
      </c>
      <c r="AI259" s="413" t="b">
        <f t="shared" si="330"/>
        <v>1</v>
      </c>
      <c r="AJ259" s="413" t="b">
        <f t="shared" si="330"/>
        <v>1</v>
      </c>
      <c r="AK259" s="413" t="b">
        <f t="shared" si="330"/>
        <v>1</v>
      </c>
      <c r="AL259" s="413" t="b">
        <f t="shared" si="330"/>
        <v>1</v>
      </c>
      <c r="AM259" s="413" t="b">
        <f t="shared" si="330"/>
        <v>1</v>
      </c>
      <c r="AO259" s="390" t="s">
        <v>3388</v>
      </c>
      <c r="AP259" s="383" t="s">
        <v>2901</v>
      </c>
      <c r="AQ259" s="383"/>
      <c r="AR259" s="389"/>
      <c r="AS259" s="389"/>
      <c r="AT259" s="389"/>
      <c r="AU259" s="389"/>
      <c r="AV259" s="383" t="str">
        <f t="shared" ref="AV259:BE259" si="331">I$1</f>
        <v>中國語文</v>
      </c>
      <c r="AW259" s="383" t="str">
        <f t="shared" si="331"/>
        <v>英國語文</v>
      </c>
      <c r="AX259" s="383" t="str">
        <f t="shared" si="331"/>
        <v>數學</v>
      </c>
      <c r="AY259" s="383" t="str">
        <f t="shared" si="331"/>
        <v>通識教育</v>
      </c>
      <c r="AZ259" s="383" t="str">
        <f t="shared" si="331"/>
        <v>數學延伸</v>
      </c>
      <c r="BA259" s="383" t="str">
        <f t="shared" si="331"/>
        <v>請選擇第一選修科</v>
      </c>
      <c r="BB259" s="383" t="str">
        <f t="shared" si="331"/>
        <v>請選擇第二選修科</v>
      </c>
      <c r="BC259" s="383" t="str">
        <f t="shared" si="331"/>
        <v>請選擇第三選修科</v>
      </c>
      <c r="BD259" s="383" t="str">
        <f t="shared" si="331"/>
        <v>請選擇第四選修科</v>
      </c>
      <c r="BE259" s="383" t="str">
        <f t="shared" si="331"/>
        <v>請選擇語言科目</v>
      </c>
      <c r="BF259" s="389"/>
      <c r="BG259" s="389"/>
      <c r="BH259" s="389"/>
      <c r="BI259" s="389"/>
      <c r="BJ259" s="389"/>
      <c r="BK259" s="389"/>
      <c r="BL259" s="389"/>
      <c r="BM259" s="389"/>
      <c r="BN259" s="389"/>
      <c r="BO259" s="389"/>
    </row>
    <row r="260" spans="1:67" x14ac:dyDescent="0.3">
      <c r="A260" s="391" t="str">
        <f>'Reference Score Calculation'!A239</f>
        <v>JS6028</v>
      </c>
      <c r="B260" s="412" t="str">
        <f>'Reference Score Calculation'!D239</f>
        <v>園境學文學士</v>
      </c>
      <c r="C260" s="236"/>
      <c r="D260" s="358" t="str">
        <f>'Reference Score Calculation'!E239</f>
        <v>Best 5</v>
      </c>
      <c r="E260" s="409" t="str">
        <f>入學要求!T248</f>
        <v>v</v>
      </c>
      <c r="F260" s="409" t="str">
        <f>入學要求!U248</f>
        <v>E</v>
      </c>
      <c r="G260" s="409" t="str">
        <f>入學要求!V248</f>
        <v>NO</v>
      </c>
      <c r="H260" s="413">
        <f t="shared" si="319"/>
        <v>3.9500000000000006E-9</v>
      </c>
      <c r="I260" s="413">
        <v>1</v>
      </c>
      <c r="J260" s="413">
        <v>1</v>
      </c>
      <c r="K260" s="413">
        <v>1</v>
      </c>
      <c r="L260" s="413">
        <v>1</v>
      </c>
      <c r="M260" s="413">
        <v>1</v>
      </c>
      <c r="N260" s="413">
        <v>1</v>
      </c>
      <c r="O260" s="413">
        <v>1</v>
      </c>
      <c r="P260" s="413">
        <v>1</v>
      </c>
      <c r="Q260" s="413">
        <v>1</v>
      </c>
      <c r="R260" s="413">
        <v>1</v>
      </c>
      <c r="S260" s="413"/>
      <c r="T260" s="413">
        <f t="shared" si="320"/>
        <v>1E-10</v>
      </c>
      <c r="U260" s="413">
        <f t="shared" si="321"/>
        <v>2.0000000000000001E-10</v>
      </c>
      <c r="V260" s="413">
        <f t="shared" si="322"/>
        <v>3E-10</v>
      </c>
      <c r="W260" s="413">
        <f t="shared" si="323"/>
        <v>4.0000000000000001E-10</v>
      </c>
      <c r="X260" s="413">
        <f t="shared" si="324"/>
        <v>5.0000000000000003E-10</v>
      </c>
      <c r="Y260" s="413">
        <f t="shared" si="325"/>
        <v>6E-10</v>
      </c>
      <c r="Z260" s="413">
        <f t="shared" si="326"/>
        <v>6.9999999999999996E-10</v>
      </c>
      <c r="AA260" s="413">
        <f t="shared" si="327"/>
        <v>8.0000000000000003E-10</v>
      </c>
      <c r="AB260" s="413">
        <f t="shared" si="328"/>
        <v>8.9999999999999999E-10</v>
      </c>
      <c r="AC260" s="413">
        <f t="shared" si="329"/>
        <v>9.5000000000000003E-10</v>
      </c>
      <c r="AD260" s="413" t="b">
        <f>IF(T260&gt;LARGE(($T260:$AC260),6),TRUE)</f>
        <v>0</v>
      </c>
      <c r="AE260" s="413" t="b">
        <f t="shared" ref="AE260:AE261" si="332">IF(U260&gt;LARGE(($T260:$AC260),6),TRUE)</f>
        <v>0</v>
      </c>
      <c r="AF260" s="413" t="b">
        <f t="shared" ref="AF260:AF261" si="333">IF(V260&gt;LARGE(($T260:$AC260),6),TRUE)</f>
        <v>0</v>
      </c>
      <c r="AG260" s="413" t="b">
        <f t="shared" ref="AG260:AG261" si="334">IF(W260&gt;LARGE(($T260:$AC260),6),TRUE)</f>
        <v>0</v>
      </c>
      <c r="AH260" s="413" t="b">
        <f t="shared" ref="AH260:AH261" si="335">IF(X260&gt;LARGE(($T260:$AC260),6),TRUE)</f>
        <v>0</v>
      </c>
      <c r="AI260" s="413" t="b">
        <f t="shared" ref="AI260:AI261" si="336">IF(Y260&gt;LARGE(($T260:$AC260),6),TRUE)</f>
        <v>1</v>
      </c>
      <c r="AJ260" s="413" t="b">
        <f t="shared" ref="AJ260:AJ261" si="337">IF(Z260&gt;LARGE(($T260:$AC260),6),TRUE)</f>
        <v>1</v>
      </c>
      <c r="AK260" s="413" t="b">
        <f t="shared" ref="AK260:AK261" si="338">IF(AA260&gt;LARGE(($T260:$AC260),6),TRUE)</f>
        <v>1</v>
      </c>
      <c r="AL260" s="413" t="b">
        <f t="shared" ref="AL260:AL261" si="339">IF(AB260&gt;LARGE(($T260:$AC260),6),TRUE)</f>
        <v>1</v>
      </c>
      <c r="AM260" s="413" t="b">
        <f t="shared" ref="AM260:AM261" si="340">IF(AC260&gt;LARGE(($T260:$AC260),6),TRUE)</f>
        <v>1</v>
      </c>
      <c r="AO260" s="390" t="s">
        <v>1333</v>
      </c>
      <c r="AP260" s="430" t="str">
        <f>IF($K$8&gt;$M$8,$K$1,$M$1)</f>
        <v>數學延伸</v>
      </c>
      <c r="AQ260" s="430">
        <f>IF($K$8&gt;$M$8,$K$8,$M$8)</f>
        <v>5.0000000000000003E-10</v>
      </c>
      <c r="AR260" s="389"/>
      <c r="AS260" s="389"/>
      <c r="AT260" s="389"/>
      <c r="AU260" s="389"/>
      <c r="AV260" s="430">
        <f>I$8</f>
        <v>1E-10</v>
      </c>
      <c r="AW260" s="430">
        <v>0</v>
      </c>
      <c r="AX260" s="430">
        <f>IF(AX259=$AP$260,0,K$8)</f>
        <v>3E-10</v>
      </c>
      <c r="AY260" s="430">
        <f>L$8</f>
        <v>4.0000000000000001E-10</v>
      </c>
      <c r="AZ260" s="430">
        <f>IF(AZ259=$AP$260,0,M$8)</f>
        <v>0</v>
      </c>
      <c r="BA260" s="430">
        <f>N$8</f>
        <v>6E-10</v>
      </c>
      <c r="BB260" s="430">
        <f t="shared" ref="BB260:BE260" si="341">O$8</f>
        <v>6.9999999999999996E-10</v>
      </c>
      <c r="BC260" s="430">
        <f t="shared" si="341"/>
        <v>8.0000000000000003E-10</v>
      </c>
      <c r="BD260" s="430">
        <f t="shared" si="341"/>
        <v>8.9999999999999999E-10</v>
      </c>
      <c r="BE260" s="430">
        <f t="shared" si="341"/>
        <v>9.5000000000000003E-10</v>
      </c>
      <c r="BF260" s="389"/>
      <c r="BG260" s="389"/>
      <c r="BH260" s="389"/>
      <c r="BI260" s="389"/>
      <c r="BJ260" s="389"/>
      <c r="BK260" s="389"/>
      <c r="BL260" s="389"/>
      <c r="BM260" s="389"/>
      <c r="BN260" s="389"/>
      <c r="BO260" s="389"/>
    </row>
    <row r="261" spans="1:67" x14ac:dyDescent="0.3">
      <c r="A261" s="391" t="str">
        <f>'Reference Score Calculation'!A240</f>
        <v>JS6042</v>
      </c>
      <c r="B261" s="412" t="str">
        <f>'Reference Score Calculation'!D240</f>
        <v>文學士(城市研究)</v>
      </c>
      <c r="C261" s="236"/>
      <c r="D261" s="358" t="str">
        <f>'Reference Score Calculation'!E240</f>
        <v>Best 5</v>
      </c>
      <c r="E261" s="409" t="str">
        <f>入學要求!T249</f>
        <v>v</v>
      </c>
      <c r="F261" s="409" t="str">
        <f>入學要求!U249</f>
        <v>E</v>
      </c>
      <c r="G261" s="409" t="str">
        <f>入學要求!V249</f>
        <v>NO</v>
      </c>
      <c r="H261" s="413">
        <f t="shared" si="319"/>
        <v>3.9500000000000006E-9</v>
      </c>
      <c r="I261" s="413">
        <v>1</v>
      </c>
      <c r="J261" s="413">
        <v>1</v>
      </c>
      <c r="K261" s="413">
        <v>1</v>
      </c>
      <c r="L261" s="413">
        <v>1</v>
      </c>
      <c r="M261" s="413">
        <v>1</v>
      </c>
      <c r="N261" s="413">
        <v>1</v>
      </c>
      <c r="O261" s="413">
        <v>1</v>
      </c>
      <c r="P261" s="413">
        <v>1</v>
      </c>
      <c r="Q261" s="413">
        <v>1</v>
      </c>
      <c r="R261" s="413">
        <v>1</v>
      </c>
      <c r="S261" s="413"/>
      <c r="T261" s="413">
        <f t="shared" si="320"/>
        <v>1E-10</v>
      </c>
      <c r="U261" s="413">
        <f t="shared" si="321"/>
        <v>2.0000000000000001E-10</v>
      </c>
      <c r="V261" s="413">
        <f t="shared" si="322"/>
        <v>3E-10</v>
      </c>
      <c r="W261" s="413">
        <f t="shared" si="323"/>
        <v>4.0000000000000001E-10</v>
      </c>
      <c r="X261" s="413">
        <f t="shared" si="324"/>
        <v>5.0000000000000003E-10</v>
      </c>
      <c r="Y261" s="413">
        <f t="shared" si="325"/>
        <v>6E-10</v>
      </c>
      <c r="Z261" s="413">
        <f t="shared" si="326"/>
        <v>6.9999999999999996E-10</v>
      </c>
      <c r="AA261" s="413">
        <f t="shared" si="327"/>
        <v>8.0000000000000003E-10</v>
      </c>
      <c r="AB261" s="413">
        <f t="shared" si="328"/>
        <v>8.9999999999999999E-10</v>
      </c>
      <c r="AC261" s="413">
        <f t="shared" si="329"/>
        <v>9.5000000000000003E-10</v>
      </c>
      <c r="AD261" s="413" t="b">
        <f>IF(T261&gt;LARGE(($T261:$AC261),6),TRUE)</f>
        <v>0</v>
      </c>
      <c r="AE261" s="413" t="b">
        <f t="shared" si="332"/>
        <v>0</v>
      </c>
      <c r="AF261" s="413" t="b">
        <f t="shared" si="333"/>
        <v>0</v>
      </c>
      <c r="AG261" s="413" t="b">
        <f t="shared" si="334"/>
        <v>0</v>
      </c>
      <c r="AH261" s="413" t="b">
        <f t="shared" si="335"/>
        <v>0</v>
      </c>
      <c r="AI261" s="413" t="b">
        <f t="shared" si="336"/>
        <v>1</v>
      </c>
      <c r="AJ261" s="413" t="b">
        <f t="shared" si="337"/>
        <v>1</v>
      </c>
      <c r="AK261" s="413" t="b">
        <f t="shared" si="338"/>
        <v>1</v>
      </c>
      <c r="AL261" s="413" t="b">
        <f t="shared" si="339"/>
        <v>1</v>
      </c>
      <c r="AM261" s="413" t="b">
        <f t="shared" si="340"/>
        <v>1</v>
      </c>
      <c r="AO261" s="390" t="s">
        <v>3389</v>
      </c>
      <c r="AP261" s="429" t="s">
        <v>3354</v>
      </c>
      <c r="AQ261" s="384"/>
      <c r="AR261" s="389"/>
      <c r="AS261" s="389"/>
      <c r="AT261" s="389"/>
      <c r="AU261" s="389"/>
      <c r="AV261" s="429" t="b">
        <f>IF(AV260&gt;LARGE($AV260:$BE260,5),TRUE,IF(AV259=$AP$260,TRUE,FALSE))</f>
        <v>0</v>
      </c>
      <c r="AW261" s="448" t="b">
        <v>1</v>
      </c>
      <c r="AX261" s="429" t="b">
        <f>IF(AX260&gt;LARGE($AV260:$BE260,5),TRUE,IF(AX259=$AP$260,TRUE,FALSE))</f>
        <v>0</v>
      </c>
      <c r="AY261" s="429" t="b">
        <f t="shared" ref="AY261:BE261" si="342">IF(AY260&gt;LARGE($AV260:$BE260,5),TRUE,IF(AY259=$AP$260,TRUE,FALSE))</f>
        <v>0</v>
      </c>
      <c r="AZ261" s="429" t="b">
        <f t="shared" si="342"/>
        <v>1</v>
      </c>
      <c r="BA261" s="429" t="b">
        <f t="shared" si="342"/>
        <v>0</v>
      </c>
      <c r="BB261" s="429" t="b">
        <f t="shared" si="342"/>
        <v>1</v>
      </c>
      <c r="BC261" s="429" t="b">
        <f t="shared" si="342"/>
        <v>1</v>
      </c>
      <c r="BD261" s="429" t="b">
        <f t="shared" si="342"/>
        <v>1</v>
      </c>
      <c r="BE261" s="429" t="b">
        <f t="shared" si="342"/>
        <v>1</v>
      </c>
      <c r="BF261" s="389"/>
      <c r="BG261" s="389"/>
      <c r="BH261" s="389"/>
      <c r="BI261" s="389"/>
      <c r="BJ261" s="389"/>
      <c r="BK261" s="389"/>
      <c r="BL261" s="389"/>
      <c r="BM261" s="389"/>
      <c r="BN261" s="389"/>
      <c r="BO261" s="389"/>
    </row>
    <row r="262" spans="1:67" x14ac:dyDescent="0.3">
      <c r="A262" s="391" t="str">
        <f>'Reference Score Calculation'!A241</f>
        <v>JS6054</v>
      </c>
      <c r="B262" s="412" t="str">
        <f>'Reference Score Calculation'!D241</f>
        <v>文學士</v>
      </c>
      <c r="C262" s="236"/>
      <c r="D262" s="358" t="str">
        <f>'Reference Score Calculation'!E241</f>
        <v>Best 5</v>
      </c>
      <c r="E262" s="409" t="str">
        <f>入學要求!T250</f>
        <v>v</v>
      </c>
      <c r="F262" s="409" t="str">
        <f>入學要求!U250</f>
        <v>E</v>
      </c>
      <c r="G262" s="409" t="str">
        <f>入學要求!V250</f>
        <v>NO</v>
      </c>
      <c r="H262" s="413">
        <f t="shared" si="319"/>
        <v>3.5500000000000004E-9</v>
      </c>
      <c r="I262" s="413">
        <v>1</v>
      </c>
      <c r="J262" s="413">
        <v>1</v>
      </c>
      <c r="K262" s="413">
        <v>1</v>
      </c>
      <c r="L262" s="413">
        <v>1</v>
      </c>
      <c r="M262" s="413">
        <v>1</v>
      </c>
      <c r="N262" s="413">
        <v>1</v>
      </c>
      <c r="O262" s="413">
        <v>1</v>
      </c>
      <c r="P262" s="413">
        <v>1</v>
      </c>
      <c r="Q262" s="413">
        <v>1</v>
      </c>
      <c r="R262" s="413">
        <v>1</v>
      </c>
      <c r="S262" s="413"/>
      <c r="T262" s="413">
        <f t="shared" si="320"/>
        <v>1E-10</v>
      </c>
      <c r="U262" s="413">
        <f t="shared" si="321"/>
        <v>2.0000000000000001E-10</v>
      </c>
      <c r="V262" s="413">
        <f t="shared" si="322"/>
        <v>3E-10</v>
      </c>
      <c r="W262" s="413">
        <f t="shared" si="323"/>
        <v>4.0000000000000001E-10</v>
      </c>
      <c r="X262" s="413">
        <f t="shared" si="324"/>
        <v>5.0000000000000003E-10</v>
      </c>
      <c r="Y262" s="413">
        <f t="shared" si="325"/>
        <v>6E-10</v>
      </c>
      <c r="Z262" s="413">
        <f t="shared" si="326"/>
        <v>6.9999999999999996E-10</v>
      </c>
      <c r="AA262" s="413">
        <f t="shared" si="327"/>
        <v>8.0000000000000003E-10</v>
      </c>
      <c r="AB262" s="413">
        <f t="shared" si="328"/>
        <v>8.9999999999999999E-10</v>
      </c>
      <c r="AC262" s="413">
        <f t="shared" si="329"/>
        <v>9.5000000000000003E-10</v>
      </c>
      <c r="AD262" s="413" t="b">
        <f>IF(T262&gt;LARGE((($T262,$V262:$AC262)),5),TRUE)</f>
        <v>0</v>
      </c>
      <c r="AE262" s="447" t="b">
        <v>1</v>
      </c>
      <c r="AF262" s="413" t="b">
        <f>IF(V262&gt;LARGE((($T262,$V262:$AC262)),5),TRUE)</f>
        <v>0</v>
      </c>
      <c r="AG262" s="413" t="b">
        <f>IF(W262&gt;LARGE((($T262,$V262:$AC262)),5),TRUE)</f>
        <v>0</v>
      </c>
      <c r="AH262" s="413" t="b">
        <f>IF(X262&gt;LARGE((($T262,$V262:$AC262)),5),TRUE)</f>
        <v>0</v>
      </c>
      <c r="AI262" s="413" t="b">
        <f>IF(Y262&gt;LARGE((($T262,$V262:$AC262)),5),TRUE)</f>
        <v>0</v>
      </c>
      <c r="AJ262" s="413" t="b">
        <f>IF(Z262&gt;LARGE((($T262,$V262:$AC262)),5),TRUE)</f>
        <v>1</v>
      </c>
      <c r="AK262" s="413" t="b">
        <f>IF(AA262&gt;LARGE((($T262,$V262:$AC262)),5),TRUE)</f>
        <v>1</v>
      </c>
      <c r="AL262" s="413" t="b">
        <f>IF(AB262&gt;LARGE((($T262,$V262:$AC262)),5),TRUE)</f>
        <v>1</v>
      </c>
      <c r="AM262" s="413" t="b">
        <f>IF(AC262&gt;LARGE((($T262,$V262:$AC262)),5),TRUE)</f>
        <v>1</v>
      </c>
      <c r="AO262" s="390" t="s">
        <v>3390</v>
      </c>
      <c r="AP262" s="429"/>
      <c r="AQ262" s="384"/>
      <c r="AR262" s="389"/>
      <c r="AS262" s="389"/>
      <c r="AT262" s="389"/>
      <c r="AU262" s="389"/>
      <c r="AV262" s="390"/>
      <c r="AW262" s="390"/>
      <c r="AX262" s="384"/>
      <c r="AY262" s="390"/>
      <c r="AZ262" s="390"/>
      <c r="BA262" s="429"/>
      <c r="BB262" s="384"/>
      <c r="BC262" s="389"/>
      <c r="BD262" s="389"/>
      <c r="BE262" s="389"/>
      <c r="BF262" s="389"/>
      <c r="BG262" s="389"/>
      <c r="BH262" s="389"/>
      <c r="BI262" s="389"/>
      <c r="BJ262" s="389"/>
      <c r="BK262" s="389"/>
      <c r="BL262" s="389"/>
      <c r="BM262" s="389"/>
      <c r="BN262" s="389"/>
      <c r="BO262" s="389"/>
    </row>
    <row r="263" spans="1:67" x14ac:dyDescent="0.3">
      <c r="A263" s="391" t="str">
        <f>'Reference Score Calculation'!A242</f>
        <v>JS6286</v>
      </c>
      <c r="B263" s="412" t="str">
        <f>'Reference Score Calculation'!D242</f>
        <v>文學士(人文及數碼科技)</v>
      </c>
      <c r="C263" s="236"/>
      <c r="D263" s="446" t="str">
        <f>'Reference Score Calculation'!AD242</f>
        <v>Best 5</v>
      </c>
      <c r="E263" s="409" t="str">
        <f>入學要求!T251</f>
        <v>v</v>
      </c>
      <c r="F263" s="409" t="str">
        <f>入學要求!U251</f>
        <v>E</v>
      </c>
      <c r="G263" s="409" t="str">
        <f>入學要求!V251</f>
        <v>NO</v>
      </c>
      <c r="H263" s="413">
        <f t="shared" si="319"/>
        <v>3.6500000000000004E-9</v>
      </c>
      <c r="I263" s="413">
        <v>1.5</v>
      </c>
      <c r="J263" s="413">
        <v>1.5</v>
      </c>
      <c r="K263" s="413">
        <v>1</v>
      </c>
      <c r="L263" s="413">
        <v>1</v>
      </c>
      <c r="M263" s="413">
        <v>1</v>
      </c>
      <c r="N263" s="413">
        <v>1</v>
      </c>
      <c r="O263" s="413">
        <v>1</v>
      </c>
      <c r="P263" s="413">
        <v>1</v>
      </c>
      <c r="Q263" s="413">
        <v>1</v>
      </c>
      <c r="R263" s="413">
        <v>1</v>
      </c>
      <c r="S263" s="413"/>
      <c r="T263" s="413">
        <f t="shared" si="320"/>
        <v>1.5E-10</v>
      </c>
      <c r="U263" s="413">
        <f t="shared" si="321"/>
        <v>3E-10</v>
      </c>
      <c r="V263" s="413">
        <f t="shared" si="322"/>
        <v>3E-10</v>
      </c>
      <c r="W263" s="413">
        <f t="shared" si="323"/>
        <v>4.0000000000000001E-10</v>
      </c>
      <c r="X263" s="413">
        <f t="shared" si="324"/>
        <v>5.0000000000000003E-10</v>
      </c>
      <c r="Y263" s="413">
        <f t="shared" si="325"/>
        <v>6E-10</v>
      </c>
      <c r="Z263" s="413">
        <f t="shared" si="326"/>
        <v>6.9999999999999996E-10</v>
      </c>
      <c r="AA263" s="413">
        <f t="shared" si="327"/>
        <v>8.0000000000000003E-10</v>
      </c>
      <c r="AB263" s="413">
        <f t="shared" si="328"/>
        <v>8.9999999999999999E-10</v>
      </c>
      <c r="AC263" s="413">
        <f t="shared" si="329"/>
        <v>9.5000000000000003E-10</v>
      </c>
      <c r="AD263" s="413" t="b">
        <f>IF(T263&gt;LARGE((($T263,$V263:$AC263)),5),TRUE)</f>
        <v>0</v>
      </c>
      <c r="AE263" s="447" t="b">
        <v>1</v>
      </c>
      <c r="AF263" s="413" t="b">
        <f>IF(V263&gt;LARGE((($T263,$V263:$AC263)),5),TRUE)</f>
        <v>0</v>
      </c>
      <c r="AG263" s="413" t="b">
        <f>IF(W263&gt;LARGE((($T263,$V263:$AC263)),5),TRUE)</f>
        <v>0</v>
      </c>
      <c r="AH263" s="413" t="b">
        <f>IF(X263&gt;LARGE((($T263,$V263:$AC263)),5),TRUE)</f>
        <v>0</v>
      </c>
      <c r="AI263" s="413" t="b">
        <f>IF(Y263&gt;LARGE((($T263,$V263:$AC263)),5),TRUE)</f>
        <v>0</v>
      </c>
      <c r="AJ263" s="413" t="b">
        <f>IF(Z263&gt;LARGE((($T263,$V263:$AC263)),5),TRUE)</f>
        <v>1</v>
      </c>
      <c r="AK263" s="413" t="b">
        <f>IF(AA263&gt;LARGE((($T263,$V263:$AC263)),5),TRUE)</f>
        <v>1</v>
      </c>
      <c r="AL263" s="413" t="b">
        <f>IF(AB263&gt;LARGE((($T263,$V263:$AC263)),5),TRUE)</f>
        <v>1</v>
      </c>
      <c r="AM263" s="413" t="b">
        <f>IF(AC263&gt;LARGE((($T263,$V263:$AC263)),5),TRUE)</f>
        <v>1</v>
      </c>
      <c r="AO263" s="390"/>
      <c r="AP263" s="429"/>
      <c r="AQ263" s="384"/>
      <c r="AR263" s="389"/>
      <c r="AS263" s="389"/>
      <c r="AT263" s="389"/>
      <c r="AU263" s="389"/>
      <c r="AV263" s="390"/>
      <c r="AW263" s="390"/>
      <c r="AX263" s="384"/>
      <c r="AY263" s="390"/>
      <c r="AZ263" s="390"/>
      <c r="BA263" s="429"/>
      <c r="BB263" s="384"/>
      <c r="BC263" s="389"/>
      <c r="BD263" s="389"/>
      <c r="BE263" s="389"/>
      <c r="BF263" s="389"/>
      <c r="BG263" s="389"/>
      <c r="BH263" s="389"/>
      <c r="BI263" s="389"/>
      <c r="BJ263" s="389"/>
      <c r="BK263" s="389"/>
      <c r="BL263" s="389"/>
      <c r="BM263" s="389"/>
      <c r="BN263" s="389"/>
      <c r="BO263" s="389"/>
    </row>
    <row r="264" spans="1:67" x14ac:dyDescent="0.3">
      <c r="A264" s="391" t="str">
        <f>'Reference Score Calculation'!A243</f>
        <v>JS6767</v>
      </c>
      <c r="B264" s="412" t="str">
        <f>'Reference Score Calculation'!D243</f>
        <v>經濟學學士 / 經濟金融學學士</v>
      </c>
      <c r="C264" s="236"/>
      <c r="D264" s="358" t="str">
        <f>'Reference Score Calculation'!E243</f>
        <v>Best 6</v>
      </c>
      <c r="E264" s="409" t="str">
        <f>入學要求!T252</f>
        <v>v</v>
      </c>
      <c r="F264" s="409" t="str">
        <f>入學要求!U252</f>
        <v>NO</v>
      </c>
      <c r="G264" s="409" t="str">
        <f>入學要求!V252</f>
        <v>NO</v>
      </c>
      <c r="H264" s="413">
        <f t="shared" si="319"/>
        <v>3.7500000000000005E-9</v>
      </c>
      <c r="I264" s="413">
        <v>1</v>
      </c>
      <c r="J264" s="413">
        <v>1.5</v>
      </c>
      <c r="K264" s="413">
        <v>1.5</v>
      </c>
      <c r="L264" s="413">
        <v>1</v>
      </c>
      <c r="M264" s="413">
        <v>1</v>
      </c>
      <c r="N264" s="413">
        <v>1</v>
      </c>
      <c r="O264" s="413">
        <v>1</v>
      </c>
      <c r="P264" s="413">
        <v>1</v>
      </c>
      <c r="Q264" s="413">
        <v>1</v>
      </c>
      <c r="R264" s="413">
        <v>1</v>
      </c>
      <c r="S264" s="413"/>
      <c r="T264" s="413">
        <f t="shared" si="320"/>
        <v>1E-10</v>
      </c>
      <c r="U264" s="413">
        <f t="shared" si="321"/>
        <v>3E-10</v>
      </c>
      <c r="V264" s="413">
        <f t="shared" si="322"/>
        <v>4.5E-10</v>
      </c>
      <c r="W264" s="413">
        <f t="shared" si="323"/>
        <v>4.0000000000000001E-10</v>
      </c>
      <c r="X264" s="413">
        <f t="shared" si="324"/>
        <v>5.0000000000000003E-10</v>
      </c>
      <c r="Y264" s="413">
        <f t="shared" si="325"/>
        <v>6E-10</v>
      </c>
      <c r="Z264" s="413">
        <f t="shared" si="326"/>
        <v>6.9999999999999996E-10</v>
      </c>
      <c r="AA264" s="413">
        <f t="shared" si="327"/>
        <v>8.0000000000000003E-10</v>
      </c>
      <c r="AB264" s="413">
        <f t="shared" si="328"/>
        <v>8.9999999999999999E-10</v>
      </c>
      <c r="AC264" s="413">
        <f t="shared" si="329"/>
        <v>0</v>
      </c>
      <c r="AD264" s="413" t="b">
        <f>IF(T264&gt;LARGE((($T264,$W264:$AC264)),5),TRUE)</f>
        <v>0</v>
      </c>
      <c r="AE264" s="447" t="b">
        <v>1</v>
      </c>
      <c r="AF264" s="447" t="b">
        <v>1</v>
      </c>
      <c r="AG264" s="413" t="b">
        <f>IF(W264&gt;LARGE((($T264,$W264:$AC264)),5),TRUE)</f>
        <v>0</v>
      </c>
      <c r="AH264" s="413" t="b">
        <f>IF(X264&gt;LARGE((($T264,$W264:$AC264)),5),TRUE)</f>
        <v>0</v>
      </c>
      <c r="AI264" s="413" t="b">
        <f>IF(Y264&gt;LARGE((($T264,$W264:$AC264)),5),TRUE)</f>
        <v>1</v>
      </c>
      <c r="AJ264" s="413" t="b">
        <f>IF(Z264&gt;LARGE((($T264,$W264:$AC264)),5),TRUE)</f>
        <v>1</v>
      </c>
      <c r="AK264" s="413" t="b">
        <f>IF(AA264&gt;LARGE((($T264,$W264:$AC264)),5),TRUE)</f>
        <v>1</v>
      </c>
      <c r="AL264" s="413" t="b">
        <f>IF(AB264&gt;LARGE((($T264,$W264:$AC264)),5),TRUE)</f>
        <v>1</v>
      </c>
      <c r="AM264" s="413" t="b">
        <f>IF(AC264&gt;LARGE((($T264,$W264:$AC264)),5),TRUE)</f>
        <v>0</v>
      </c>
      <c r="AO264" s="390"/>
      <c r="AP264" s="383" t="str">
        <f>N$1</f>
        <v>請選擇第一選修科</v>
      </c>
      <c r="AQ264" s="383" t="str">
        <f t="shared" ref="AQ264" si="343">O$1</f>
        <v>請選擇第二選修科</v>
      </c>
      <c r="AR264" s="383" t="str">
        <f t="shared" ref="AR264" si="344">P$1</f>
        <v>請選擇第三選修科</v>
      </c>
      <c r="AS264" s="383" t="str">
        <f t="shared" ref="AS264" si="345">Q$1</f>
        <v>請選擇第四選修科</v>
      </c>
      <c r="AT264" s="389"/>
      <c r="AU264" s="389"/>
      <c r="AV264" s="410" t="s">
        <v>2899</v>
      </c>
      <c r="AW264" s="390"/>
      <c r="AX264" s="390"/>
      <c r="AY264" s="383" t="str">
        <f>I$1</f>
        <v>中國語文</v>
      </c>
      <c r="AZ264" s="383" t="str">
        <f t="shared" ref="AZ264:BH264" si="346">J$1</f>
        <v>英國語文</v>
      </c>
      <c r="BA264" s="383" t="str">
        <f t="shared" si="346"/>
        <v>數學</v>
      </c>
      <c r="BB264" s="383" t="str">
        <f t="shared" si="346"/>
        <v>通識教育</v>
      </c>
      <c r="BC264" s="383" t="str">
        <f t="shared" si="346"/>
        <v>數學延伸</v>
      </c>
      <c r="BD264" s="383" t="str">
        <f t="shared" si="346"/>
        <v>請選擇第一選修科</v>
      </c>
      <c r="BE264" s="383" t="str">
        <f t="shared" si="346"/>
        <v>請選擇第二選修科</v>
      </c>
      <c r="BF264" s="383" t="str">
        <f t="shared" si="346"/>
        <v>請選擇第三選修科</v>
      </c>
      <c r="BG264" s="383" t="str">
        <f t="shared" si="346"/>
        <v>請選擇第四選修科</v>
      </c>
      <c r="BH264" s="383" t="str">
        <f t="shared" si="346"/>
        <v>請選擇語言科目</v>
      </c>
      <c r="BI264" s="389"/>
      <c r="BJ264" s="389"/>
      <c r="BK264" s="389"/>
      <c r="BL264" s="389"/>
      <c r="BM264" s="389"/>
      <c r="BN264" s="389"/>
      <c r="BO264" s="389"/>
    </row>
    <row r="265" spans="1:67" x14ac:dyDescent="0.3">
      <c r="A265" s="391" t="str">
        <f>'Reference Score Calculation'!A244</f>
        <v>JS6781</v>
      </c>
      <c r="B265" s="412" t="str">
        <f>'Reference Score Calculation'!D244</f>
        <v>工商管理學學士 / 工商管理學學士(會計及財務)</v>
      </c>
      <c r="C265" s="236"/>
      <c r="D265" s="358" t="str">
        <f>'Reference Score Calculation'!E244</f>
        <v>Best 6</v>
      </c>
      <c r="E265" s="409" t="str">
        <f>入學要求!T253</f>
        <v>v</v>
      </c>
      <c r="F265" s="409" t="str">
        <f>入學要求!U253</f>
        <v>NO</v>
      </c>
      <c r="G265" s="409" t="str">
        <f>入學要求!V253</f>
        <v>NO</v>
      </c>
      <c r="H265" s="413">
        <f t="shared" si="319"/>
        <v>3.4500000000000003E-9</v>
      </c>
      <c r="I265" s="413">
        <v>1</v>
      </c>
      <c r="J265" s="413">
        <v>1.5</v>
      </c>
      <c r="K265" s="413">
        <f>IF($K$8&gt;$M$8,1.5,1)</f>
        <v>1</v>
      </c>
      <c r="L265" s="413">
        <v>1</v>
      </c>
      <c r="M265" s="413">
        <f>IF($K$8&gt;$M$8,1,1.5)</f>
        <v>1.5</v>
      </c>
      <c r="N265" s="413">
        <v>1</v>
      </c>
      <c r="O265" s="413">
        <v>1</v>
      </c>
      <c r="P265" s="413">
        <v>1</v>
      </c>
      <c r="Q265" s="413">
        <v>1</v>
      </c>
      <c r="R265" s="413">
        <v>1</v>
      </c>
      <c r="S265" s="413"/>
      <c r="T265" s="413">
        <f t="shared" si="320"/>
        <v>1E-10</v>
      </c>
      <c r="U265" s="413">
        <f t="shared" si="321"/>
        <v>3E-10</v>
      </c>
      <c r="V265" s="413">
        <f t="shared" si="322"/>
        <v>3E-10</v>
      </c>
      <c r="W265" s="413">
        <f t="shared" si="323"/>
        <v>4.0000000000000001E-10</v>
      </c>
      <c r="X265" s="413">
        <f t="shared" si="324"/>
        <v>7.500000000000001E-10</v>
      </c>
      <c r="Y265" s="413">
        <f t="shared" si="325"/>
        <v>6E-10</v>
      </c>
      <c r="Z265" s="413">
        <f t="shared" si="326"/>
        <v>6.9999999999999996E-10</v>
      </c>
      <c r="AA265" s="413">
        <f t="shared" si="327"/>
        <v>8.0000000000000003E-10</v>
      </c>
      <c r="AB265" s="413">
        <f t="shared" si="328"/>
        <v>8.9999999999999999E-10</v>
      </c>
      <c r="AC265" s="413">
        <f t="shared" si="329"/>
        <v>0</v>
      </c>
      <c r="AD265" s="413" t="b">
        <f>AV261</f>
        <v>0</v>
      </c>
      <c r="AE265" s="413" t="b">
        <f t="shared" ref="AE265:AM265" si="347">AW261</f>
        <v>1</v>
      </c>
      <c r="AF265" s="413" t="b">
        <f t="shared" si="347"/>
        <v>0</v>
      </c>
      <c r="AG265" s="413" t="b">
        <f t="shared" si="347"/>
        <v>0</v>
      </c>
      <c r="AH265" s="413" t="b">
        <f t="shared" si="347"/>
        <v>1</v>
      </c>
      <c r="AI265" s="413" t="b">
        <f t="shared" si="347"/>
        <v>0</v>
      </c>
      <c r="AJ265" s="413" t="b">
        <f t="shared" si="347"/>
        <v>1</v>
      </c>
      <c r="AK265" s="413" t="b">
        <f t="shared" si="347"/>
        <v>1</v>
      </c>
      <c r="AL265" s="413" t="b">
        <f t="shared" si="347"/>
        <v>1</v>
      </c>
      <c r="AM265" s="413" t="b">
        <f t="shared" si="347"/>
        <v>1</v>
      </c>
      <c r="AO265" s="390" t="s">
        <v>2345</v>
      </c>
      <c r="AP265" s="430">
        <f>IF(OR(N$1="化學",N$1="生物",N$1="組合科學(物理、化學)",N$1="組合科學(生物、化學)",N$1="組合科學(物理、生物)",N$1="物理",N$1="綜合科學"),N$8,0)</f>
        <v>0</v>
      </c>
      <c r="AQ265" s="430">
        <f t="shared" ref="AQ265" si="348">IF(OR(O$1="化學",O$1="生物",O$1="組合科學(物理、化學)",O$1="組合科學(生物、化學)",O$1="組合科學(物理、生物)",O$1="物理"),O$7,0)</f>
        <v>0</v>
      </c>
      <c r="AR265" s="430">
        <f t="shared" ref="AR265" si="349">IF(OR(P$1="化學",P$1="生物",P$1="組合科學(物理、化學)",P$1="組合科學(生物、化學)",P$1="組合科學(物理、生物)",P$1="物理"),P$7,0)</f>
        <v>0</v>
      </c>
      <c r="AS265" s="430">
        <f t="shared" ref="AS265" si="350">IF(OR(Q$1="化學",Q$1="生物",Q$1="組合科學(物理、化學)",Q$1="組合科學(生物、化學)",Q$1="組合科學(物理、生物)",Q$1="物理"),Q$7,0)</f>
        <v>0</v>
      </c>
      <c r="AT265" s="389"/>
      <c r="AU265" s="389"/>
      <c r="AV265" s="403" t="str">
        <f>INDEX(AP264:AS264,MATCH(LARGE(AP265:AS265,1),AP265:AS265,0))</f>
        <v>請選擇第一選修科</v>
      </c>
      <c r="AW265" s="403">
        <f>LARGE((AP265:AS265),1)</f>
        <v>0</v>
      </c>
      <c r="AX265" s="389"/>
      <c r="AY265" s="430">
        <f t="shared" ref="AY265:BH265" si="351">IF(AY264=$AV$265,0,I$8)</f>
        <v>1E-10</v>
      </c>
      <c r="AZ265" s="430">
        <f t="shared" si="351"/>
        <v>2.0000000000000001E-10</v>
      </c>
      <c r="BA265" s="430">
        <f t="shared" si="351"/>
        <v>3E-10</v>
      </c>
      <c r="BB265" s="430">
        <f t="shared" si="351"/>
        <v>4.0000000000000001E-10</v>
      </c>
      <c r="BC265" s="430">
        <f t="shared" si="351"/>
        <v>5.0000000000000003E-10</v>
      </c>
      <c r="BD265" s="430">
        <f t="shared" si="351"/>
        <v>0</v>
      </c>
      <c r="BE265" s="430">
        <f t="shared" si="351"/>
        <v>6.9999999999999996E-10</v>
      </c>
      <c r="BF265" s="430">
        <f t="shared" si="351"/>
        <v>8.0000000000000003E-10</v>
      </c>
      <c r="BG265" s="430">
        <f t="shared" si="351"/>
        <v>8.9999999999999999E-10</v>
      </c>
      <c r="BH265" s="430">
        <f t="shared" si="351"/>
        <v>9.5000000000000003E-10</v>
      </c>
      <c r="BI265" s="389"/>
      <c r="BJ265" s="389"/>
      <c r="BK265" s="389"/>
      <c r="BL265" s="389"/>
      <c r="BM265" s="389"/>
      <c r="BN265" s="389"/>
      <c r="BO265" s="389"/>
    </row>
    <row r="266" spans="1:67" x14ac:dyDescent="0.3">
      <c r="A266" s="391" t="str">
        <f>'Reference Score Calculation'!A245</f>
        <v>JS6860</v>
      </c>
      <c r="B266" s="412" t="str">
        <f>'Reference Score Calculation'!D245</f>
        <v>金融學學士(資產管理及私人銀行)</v>
      </c>
      <c r="C266" s="236"/>
      <c r="D266" s="358" t="str">
        <f>'Reference Score Calculation'!E245</f>
        <v>Best 6</v>
      </c>
      <c r="E266" s="409" t="str">
        <f>入學要求!T254</f>
        <v>v</v>
      </c>
      <c r="F266" s="409" t="str">
        <f>入學要求!U254</f>
        <v>NO</v>
      </c>
      <c r="G266" s="409" t="str">
        <f>入學要求!V254</f>
        <v>NO</v>
      </c>
      <c r="H266" s="413">
        <f t="shared" si="319"/>
        <v>3.4500000000000003E-9</v>
      </c>
      <c r="I266" s="413">
        <v>1</v>
      </c>
      <c r="J266" s="413">
        <v>1.5</v>
      </c>
      <c r="K266" s="413">
        <f>IF($K$8&gt;$M$8,1.5,1)</f>
        <v>1</v>
      </c>
      <c r="L266" s="413">
        <v>1</v>
      </c>
      <c r="M266" s="413">
        <f t="shared" ref="M266:M268" si="352">IF($K$8&gt;$M$8,1,1.5)</f>
        <v>1.5</v>
      </c>
      <c r="N266" s="413">
        <v>1</v>
      </c>
      <c r="O266" s="413">
        <v>1</v>
      </c>
      <c r="P266" s="413">
        <v>1</v>
      </c>
      <c r="Q266" s="413">
        <v>1</v>
      </c>
      <c r="R266" s="413">
        <v>1</v>
      </c>
      <c r="S266" s="413"/>
      <c r="T266" s="413">
        <f t="shared" si="320"/>
        <v>1E-10</v>
      </c>
      <c r="U266" s="413">
        <f t="shared" si="321"/>
        <v>3E-10</v>
      </c>
      <c r="V266" s="413">
        <f t="shared" si="322"/>
        <v>3E-10</v>
      </c>
      <c r="W266" s="413">
        <f t="shared" si="323"/>
        <v>4.0000000000000001E-10</v>
      </c>
      <c r="X266" s="413">
        <f t="shared" si="324"/>
        <v>7.500000000000001E-10</v>
      </c>
      <c r="Y266" s="413">
        <f t="shared" si="325"/>
        <v>6E-10</v>
      </c>
      <c r="Z266" s="413">
        <f t="shared" si="326"/>
        <v>6.9999999999999996E-10</v>
      </c>
      <c r="AA266" s="413">
        <f t="shared" si="327"/>
        <v>8.0000000000000003E-10</v>
      </c>
      <c r="AB266" s="413">
        <f t="shared" si="328"/>
        <v>8.9999999999999999E-10</v>
      </c>
      <c r="AC266" s="413">
        <f t="shared" si="329"/>
        <v>0</v>
      </c>
      <c r="AD266" s="413" t="b">
        <f>AV261</f>
        <v>0</v>
      </c>
      <c r="AE266" s="413" t="b">
        <f t="shared" ref="AE266:AM266" si="353">AW261</f>
        <v>1</v>
      </c>
      <c r="AF266" s="413" t="b">
        <f t="shared" si="353"/>
        <v>0</v>
      </c>
      <c r="AG266" s="413" t="b">
        <f t="shared" si="353"/>
        <v>0</v>
      </c>
      <c r="AH266" s="413" t="b">
        <f t="shared" si="353"/>
        <v>1</v>
      </c>
      <c r="AI266" s="413" t="b">
        <f t="shared" si="353"/>
        <v>0</v>
      </c>
      <c r="AJ266" s="413" t="b">
        <f t="shared" si="353"/>
        <v>1</v>
      </c>
      <c r="AK266" s="413" t="b">
        <f t="shared" si="353"/>
        <v>1</v>
      </c>
      <c r="AL266" s="413" t="b">
        <f t="shared" si="353"/>
        <v>1</v>
      </c>
      <c r="AM266" s="413" t="b">
        <f t="shared" si="353"/>
        <v>1</v>
      </c>
      <c r="AO266" s="390"/>
      <c r="AP266" s="429" t="s">
        <v>3093</v>
      </c>
      <c r="AQ266" s="384"/>
      <c r="AR266" s="389"/>
      <c r="AS266" s="389"/>
      <c r="AT266" s="389"/>
      <c r="AU266" s="389"/>
      <c r="AV266" s="390"/>
      <c r="AW266" s="390"/>
      <c r="AX266" s="384"/>
      <c r="AY266" s="429" t="b">
        <f>IF(AY265&gt;LARGE($AY265:$BH265,6),TRUE,IF(AY264=$AV$265,TRUE,FALSE))</f>
        <v>0</v>
      </c>
      <c r="AZ266" s="429" t="b">
        <f t="shared" ref="AZ266:BH266" si="354">IF(AZ265&gt;LARGE($AY265:$BH265,6),TRUE,IF(AZ264=$AV$265,TRUE,FALSE))</f>
        <v>0</v>
      </c>
      <c r="BA266" s="429" t="b">
        <f t="shared" si="354"/>
        <v>0</v>
      </c>
      <c r="BB266" s="429" t="b">
        <f t="shared" si="354"/>
        <v>0</v>
      </c>
      <c r="BC266" s="429" t="b">
        <f t="shared" si="354"/>
        <v>1</v>
      </c>
      <c r="BD266" s="429" t="b">
        <f t="shared" si="354"/>
        <v>1</v>
      </c>
      <c r="BE266" s="429" t="b">
        <f t="shared" si="354"/>
        <v>1</v>
      </c>
      <c r="BF266" s="429" t="b">
        <f t="shared" si="354"/>
        <v>1</v>
      </c>
      <c r="BG266" s="429" t="b">
        <f t="shared" si="354"/>
        <v>1</v>
      </c>
      <c r="BH266" s="429" t="b">
        <f t="shared" si="354"/>
        <v>1</v>
      </c>
      <c r="BI266" s="390"/>
      <c r="BJ266" s="390"/>
      <c r="BK266" s="390"/>
      <c r="BL266" s="390"/>
      <c r="BM266" s="390"/>
      <c r="BN266" s="389"/>
      <c r="BO266" s="389"/>
    </row>
    <row r="267" spans="1:67" x14ac:dyDescent="0.3">
      <c r="A267" s="391" t="str">
        <f>'Reference Score Calculation'!A246</f>
        <v>JS6793</v>
      </c>
      <c r="B267" s="412" t="str">
        <f>'Reference Score Calculation'!D246</f>
        <v>工商管理學學士(資訊系統)</v>
      </c>
      <c r="C267" s="236"/>
      <c r="D267" s="358" t="str">
        <f>'Reference Score Calculation'!E246</f>
        <v>Best 6</v>
      </c>
      <c r="E267" s="409" t="str">
        <f>入學要求!T255</f>
        <v>v</v>
      </c>
      <c r="F267" s="409" t="str">
        <f>入學要求!U255</f>
        <v>NO</v>
      </c>
      <c r="G267" s="409" t="str">
        <f>入學要求!V255</f>
        <v>NO</v>
      </c>
      <c r="H267" s="413">
        <f t="shared" si="319"/>
        <v>3.9000000000000002E-9</v>
      </c>
      <c r="I267" s="413">
        <v>1</v>
      </c>
      <c r="J267" s="413">
        <v>1.5</v>
      </c>
      <c r="K267" s="413">
        <v>1.5</v>
      </c>
      <c r="L267" s="413">
        <v>1</v>
      </c>
      <c r="M267" s="413">
        <f t="shared" si="352"/>
        <v>1.5</v>
      </c>
      <c r="N267" s="413">
        <v>1</v>
      </c>
      <c r="O267" s="413">
        <v>1</v>
      </c>
      <c r="P267" s="413">
        <v>1</v>
      </c>
      <c r="Q267" s="413">
        <v>1</v>
      </c>
      <c r="R267" s="413">
        <v>1</v>
      </c>
      <c r="S267" s="413"/>
      <c r="T267" s="413">
        <f t="shared" si="320"/>
        <v>1E-10</v>
      </c>
      <c r="U267" s="413">
        <f t="shared" si="321"/>
        <v>3E-10</v>
      </c>
      <c r="V267" s="413">
        <f t="shared" si="322"/>
        <v>4.5E-10</v>
      </c>
      <c r="W267" s="413">
        <f t="shared" si="323"/>
        <v>4.0000000000000001E-10</v>
      </c>
      <c r="X267" s="413">
        <f t="shared" si="324"/>
        <v>7.500000000000001E-10</v>
      </c>
      <c r="Y267" s="413">
        <f t="shared" si="325"/>
        <v>6E-10</v>
      </c>
      <c r="Z267" s="413">
        <f t="shared" si="326"/>
        <v>6.9999999999999996E-10</v>
      </c>
      <c r="AA267" s="413">
        <f t="shared" si="327"/>
        <v>8.0000000000000003E-10</v>
      </c>
      <c r="AB267" s="413">
        <f t="shared" si="328"/>
        <v>8.9999999999999999E-10</v>
      </c>
      <c r="AC267" s="413">
        <f t="shared" si="329"/>
        <v>0</v>
      </c>
      <c r="AD267" s="413" t="b">
        <f>IF(T267&gt;LARGE((($T267,$W267:$AC267)),5),TRUE)</f>
        <v>0</v>
      </c>
      <c r="AE267" s="447" t="b">
        <v>1</v>
      </c>
      <c r="AF267" s="447" t="b">
        <v>1</v>
      </c>
      <c r="AG267" s="413" t="b">
        <f>IF(W267&gt;LARGE((($T267,$W267:$AC267)),5),TRUE)</f>
        <v>0</v>
      </c>
      <c r="AH267" s="413" t="b">
        <f>IF(X267&gt;LARGE((($T267,$W267:$AC267)),5),TRUE)</f>
        <v>1</v>
      </c>
      <c r="AI267" s="413" t="b">
        <f>IF(Y267&gt;LARGE((($T267,$W267:$AC267)),5),TRUE)</f>
        <v>0</v>
      </c>
      <c r="AJ267" s="413" t="b">
        <f>IF(Z267&gt;LARGE((($T267,$W267:$AC267)),5),TRUE)</f>
        <v>1</v>
      </c>
      <c r="AK267" s="413" t="b">
        <f>IF(AA267&gt;LARGE((($T267,$W267:$AC267)),5),TRUE)</f>
        <v>1</v>
      </c>
      <c r="AL267" s="413" t="b">
        <f>IF(AB267&gt;LARGE((($T267,$W267:$AC267)),5),TRUE)</f>
        <v>1</v>
      </c>
      <c r="AM267" s="413" t="b">
        <f>IF(AC267&gt;LARGE((($T267,$W267:$AC267)),5),TRUE)</f>
        <v>0</v>
      </c>
      <c r="AO267" s="390"/>
      <c r="AP267" s="429"/>
      <c r="AQ267" s="384"/>
      <c r="AR267" s="389"/>
      <c r="AS267" s="389"/>
      <c r="AT267" s="389"/>
      <c r="AU267" s="389"/>
      <c r="AV267" s="390"/>
      <c r="AW267" s="390"/>
      <c r="AX267" s="384"/>
      <c r="AY267" s="390"/>
      <c r="AZ267" s="390"/>
      <c r="BA267" s="390"/>
      <c r="BB267" s="390"/>
      <c r="BC267" s="390"/>
      <c r="BD267" s="390"/>
      <c r="BE267" s="390"/>
      <c r="BF267" s="390"/>
      <c r="BG267" s="390"/>
      <c r="BH267" s="390"/>
      <c r="BI267" s="390"/>
      <c r="BJ267" s="390"/>
      <c r="BK267" s="390"/>
      <c r="BL267" s="390"/>
      <c r="BM267" s="390"/>
      <c r="BN267" s="389"/>
      <c r="BO267" s="389"/>
    </row>
    <row r="268" spans="1:67" x14ac:dyDescent="0.3">
      <c r="A268" s="391" t="str">
        <f>'Reference Score Calculation'!A247</f>
        <v>JS6808</v>
      </c>
      <c r="B268" s="412" t="str">
        <f>'Reference Score Calculation'!D247</f>
        <v>工商管理學學士(法學)及法學士 (雙學位課程)</v>
      </c>
      <c r="C268" s="236"/>
      <c r="D268" s="358" t="str">
        <f>'Reference Score Calculation'!E247</f>
        <v>Best 6</v>
      </c>
      <c r="E268" s="409" t="str">
        <f>入學要求!T256</f>
        <v>v</v>
      </c>
      <c r="F268" s="409" t="str">
        <f>入學要求!U256</f>
        <v>NO</v>
      </c>
      <c r="G268" s="409" t="str">
        <f>入學要求!V256</f>
        <v>NO</v>
      </c>
      <c r="H268" s="413">
        <f t="shared" si="319"/>
        <v>3.4500000000000003E-9</v>
      </c>
      <c r="I268" s="413">
        <v>1</v>
      </c>
      <c r="J268" s="413">
        <v>1.5</v>
      </c>
      <c r="K268" s="413">
        <f>IF($K$8&gt;$M$8,1.5,1)</f>
        <v>1</v>
      </c>
      <c r="L268" s="413">
        <v>1</v>
      </c>
      <c r="M268" s="413">
        <f t="shared" si="352"/>
        <v>1.5</v>
      </c>
      <c r="N268" s="413">
        <v>1</v>
      </c>
      <c r="O268" s="413">
        <v>1</v>
      </c>
      <c r="P268" s="413">
        <v>1</v>
      </c>
      <c r="Q268" s="413">
        <v>1</v>
      </c>
      <c r="R268" s="413">
        <v>1</v>
      </c>
      <c r="S268" s="413"/>
      <c r="T268" s="413">
        <f t="shared" si="320"/>
        <v>1E-10</v>
      </c>
      <c r="U268" s="413">
        <f t="shared" si="321"/>
        <v>3E-10</v>
      </c>
      <c r="V268" s="413">
        <f t="shared" si="322"/>
        <v>3E-10</v>
      </c>
      <c r="W268" s="413">
        <f t="shared" si="323"/>
        <v>4.0000000000000001E-10</v>
      </c>
      <c r="X268" s="413">
        <f t="shared" si="324"/>
        <v>7.500000000000001E-10</v>
      </c>
      <c r="Y268" s="413">
        <f t="shared" si="325"/>
        <v>6E-10</v>
      </c>
      <c r="Z268" s="413">
        <f t="shared" si="326"/>
        <v>6.9999999999999996E-10</v>
      </c>
      <c r="AA268" s="413">
        <f t="shared" si="327"/>
        <v>8.0000000000000003E-10</v>
      </c>
      <c r="AB268" s="413">
        <f t="shared" si="328"/>
        <v>8.9999999999999999E-10</v>
      </c>
      <c r="AC268" s="413">
        <f t="shared" si="329"/>
        <v>0</v>
      </c>
      <c r="AD268" s="413" t="b">
        <f>AV261</f>
        <v>0</v>
      </c>
      <c r="AE268" s="413" t="b">
        <f t="shared" ref="AE268:AM268" si="355">AW261</f>
        <v>1</v>
      </c>
      <c r="AF268" s="413" t="b">
        <f t="shared" si="355"/>
        <v>0</v>
      </c>
      <c r="AG268" s="413" t="b">
        <f t="shared" si="355"/>
        <v>0</v>
      </c>
      <c r="AH268" s="413" t="b">
        <f t="shared" si="355"/>
        <v>1</v>
      </c>
      <c r="AI268" s="413" t="b">
        <f t="shared" si="355"/>
        <v>0</v>
      </c>
      <c r="AJ268" s="413" t="b">
        <f t="shared" si="355"/>
        <v>1</v>
      </c>
      <c r="AK268" s="413" t="b">
        <f t="shared" si="355"/>
        <v>1</v>
      </c>
      <c r="AL268" s="413" t="b">
        <f t="shared" si="355"/>
        <v>1</v>
      </c>
      <c r="AM268" s="413" t="b">
        <f t="shared" si="355"/>
        <v>1</v>
      </c>
      <c r="AO268" s="390"/>
      <c r="AP268" s="429"/>
      <c r="AQ268" s="384"/>
      <c r="AR268" s="389"/>
      <c r="AS268" s="389"/>
      <c r="AT268" s="389"/>
      <c r="AU268" s="389"/>
      <c r="AV268" s="390"/>
      <c r="AW268" s="390"/>
      <c r="AX268" s="384"/>
      <c r="AY268" s="383" t="str">
        <f>I$1</f>
        <v>中國語文</v>
      </c>
      <c r="AZ268" s="383" t="str">
        <f t="shared" ref="AZ268" si="356">J$1</f>
        <v>英國語文</v>
      </c>
      <c r="BA268" s="383" t="str">
        <f t="shared" ref="BA268" si="357">K$1</f>
        <v>數學</v>
      </c>
      <c r="BB268" s="383" t="str">
        <f t="shared" ref="BB268" si="358">L$1</f>
        <v>通識教育</v>
      </c>
      <c r="BC268" s="383" t="str">
        <f t="shared" ref="BC268" si="359">M$1</f>
        <v>數學延伸</v>
      </c>
      <c r="BD268" s="383" t="str">
        <f t="shared" ref="BD268" si="360">N$1</f>
        <v>請選擇第一選修科</v>
      </c>
      <c r="BE268" s="383" t="str">
        <f t="shared" ref="BE268" si="361">O$1</f>
        <v>請選擇第二選修科</v>
      </c>
      <c r="BF268" s="383" t="str">
        <f t="shared" ref="BF268" si="362">P$1</f>
        <v>請選擇第三選修科</v>
      </c>
      <c r="BG268" s="383" t="str">
        <f t="shared" ref="BG268" si="363">Q$1</f>
        <v>請選擇第四選修科</v>
      </c>
      <c r="BH268" s="383" t="str">
        <f t="shared" ref="BH268" si="364">R$1</f>
        <v>請選擇語言科目</v>
      </c>
      <c r="BI268" s="390"/>
      <c r="BJ268" s="390"/>
      <c r="BK268" s="390"/>
      <c r="BL268" s="390"/>
      <c r="BM268" s="390"/>
      <c r="BN268" s="389"/>
      <c r="BO268" s="389"/>
    </row>
    <row r="269" spans="1:67" x14ac:dyDescent="0.3">
      <c r="A269" s="391" t="str">
        <f>'Reference Score Calculation'!A248</f>
        <v>JS6846</v>
      </c>
      <c r="B269" s="412" t="str">
        <f>'Reference Score Calculation'!D248</f>
        <v>理學士(營銷分析及科技)</v>
      </c>
      <c r="C269" s="238"/>
      <c r="D269" s="446" t="str">
        <f>'Reference Score Calculation'!AD248</f>
        <v>Best 6</v>
      </c>
      <c r="E269" s="409" t="str">
        <f>入學要求!T257</f>
        <v>v</v>
      </c>
      <c r="F269" s="409" t="str">
        <f>入學要求!U257</f>
        <v>NO</v>
      </c>
      <c r="G269" s="409" t="str">
        <f>入學要求!V257</f>
        <v>NO</v>
      </c>
      <c r="H269" s="413">
        <f t="shared" si="319"/>
        <v>3.7E-9</v>
      </c>
      <c r="I269" s="413">
        <v>1</v>
      </c>
      <c r="J269" s="413">
        <v>1.5</v>
      </c>
      <c r="K269" s="413">
        <v>1.25</v>
      </c>
      <c r="L269" s="413">
        <v>1</v>
      </c>
      <c r="M269" s="413">
        <v>1.25</v>
      </c>
      <c r="N269" s="413">
        <v>1</v>
      </c>
      <c r="O269" s="413">
        <v>1</v>
      </c>
      <c r="P269" s="413">
        <v>1</v>
      </c>
      <c r="Q269" s="413">
        <v>1</v>
      </c>
      <c r="R269" s="413">
        <v>1</v>
      </c>
      <c r="S269" s="413"/>
      <c r="T269" s="413">
        <f t="shared" si="320"/>
        <v>1E-10</v>
      </c>
      <c r="U269" s="413">
        <f t="shared" si="321"/>
        <v>3E-10</v>
      </c>
      <c r="V269" s="413">
        <f t="shared" si="322"/>
        <v>3.75E-10</v>
      </c>
      <c r="W269" s="413">
        <f t="shared" si="323"/>
        <v>4.0000000000000001E-10</v>
      </c>
      <c r="X269" s="413">
        <f t="shared" si="324"/>
        <v>6.2500000000000001E-10</v>
      </c>
      <c r="Y269" s="413">
        <f t="shared" si="325"/>
        <v>6E-10</v>
      </c>
      <c r="Z269" s="413">
        <f t="shared" si="326"/>
        <v>6.9999999999999996E-10</v>
      </c>
      <c r="AA269" s="413">
        <f t="shared" si="327"/>
        <v>8.0000000000000003E-10</v>
      </c>
      <c r="AB269" s="413">
        <f t="shared" si="328"/>
        <v>8.9999999999999999E-10</v>
      </c>
      <c r="AC269" s="413">
        <f t="shared" si="329"/>
        <v>0</v>
      </c>
      <c r="AD269" s="413" t="b">
        <f>IF(T269&gt;LARGE((($T269,$W269,$Y269:$AC269)),4),TRUE)</f>
        <v>0</v>
      </c>
      <c r="AE269" s="447" t="b">
        <v>1</v>
      </c>
      <c r="AF269" s="447" t="b">
        <v>1</v>
      </c>
      <c r="AG269" s="413" t="b">
        <f>IF(W269&gt;LARGE((($T269,$W269,$Y269:$AC269)),4),TRUE)</f>
        <v>0</v>
      </c>
      <c r="AH269" s="447" t="b">
        <v>1</v>
      </c>
      <c r="AI269" s="413" t="b">
        <f>IF(Y269&gt;LARGE((($T269,$W269,$Y269:$AC269)),4),TRUE)</f>
        <v>0</v>
      </c>
      <c r="AJ269" s="413" t="b">
        <f>IF(Z269&gt;LARGE((($T269,$W269,$Y269:$AC269)),4),TRUE)</f>
        <v>1</v>
      </c>
      <c r="AK269" s="413" t="b">
        <f>IF(AA269&gt;LARGE((($T269,$W269,$Y269:$AC269)),4),TRUE)</f>
        <v>1</v>
      </c>
      <c r="AL269" s="413" t="b">
        <f>IF(AB269&gt;LARGE((($T269,$W269,$Y269:$AC269)),4),TRUE)</f>
        <v>1</v>
      </c>
      <c r="AM269" s="413" t="b">
        <f>IF(AC269&gt;LARGE((($T269,$W269,$Y269:$AC269)),4),TRUE)</f>
        <v>0</v>
      </c>
      <c r="AO269" s="390" t="s">
        <v>3343</v>
      </c>
      <c r="AP269" s="429" t="s">
        <v>3391</v>
      </c>
      <c r="AQ269" s="384"/>
      <c r="AR269" s="389"/>
      <c r="AS269" s="389"/>
      <c r="AT269" s="389"/>
      <c r="AU269" s="389"/>
      <c r="AV269" s="390"/>
      <c r="AW269" s="390"/>
      <c r="AX269" s="384"/>
      <c r="AY269" s="430">
        <f>IF(AY268=$AV$265,0,I$8)</f>
        <v>1E-10</v>
      </c>
      <c r="AZ269" s="430">
        <v>0</v>
      </c>
      <c r="BA269" s="430">
        <v>0</v>
      </c>
      <c r="BB269" s="430">
        <f>IF(BB268=$AV$265,0,L$8)</f>
        <v>4.0000000000000001E-10</v>
      </c>
      <c r="BC269" s="430">
        <f>IF(BC268=$AV$265,0,M$8*2)</f>
        <v>1.0000000000000001E-9</v>
      </c>
      <c r="BD269" s="430">
        <f>IF(BD268=$AV$265,0,IF(OR(N$1="化學",N$1="生物",N$1="組合科學(物理、化學)",N$1="組合科學(生物、化學)",N$1="組合科學(物理、生物)",N$1="物理",N$1="綜合科學"),N$8*2,N$8*1.25))</f>
        <v>0</v>
      </c>
      <c r="BE269" s="430">
        <f>IF(BE268=$AV$265,0,IF(OR(O$1="化學",O$1="生物",O$1="組合科學(物理、化學)",O$1="組合科學(生物、化學)",O$1="組合科學(物理、生物)",O$1="物理",O$1="綜合科學"),O$8*2,O$8*1.25))</f>
        <v>8.7499999999999998E-10</v>
      </c>
      <c r="BF269" s="430">
        <f>IF(BF268=$AV$265,0,IF(OR(P$1="化學",P$1="生物",P$1="組合科學(物理、化學)",P$1="組合科學(生物、化學)",P$1="組合科學(物理、生物)",P$1="物理",P$1="綜合科學"),P$8*2,P$8*1.25))</f>
        <v>1.0000000000000001E-9</v>
      </c>
      <c r="BG269" s="430">
        <f>IF(BG268=$AV$265,0,IF(OR(Q$1="化學",Q$1="生物",Q$1="組合科學(物理、化學)",Q$1="組合科學(生物、化學)",Q$1="組合科學(物理、生物)",Q$1="物理",Q$1="綜合科學"),Q$8*2,Q$8*1.25))</f>
        <v>1.1249999999999999E-9</v>
      </c>
      <c r="BH269" s="430">
        <f>IF(BH268=$AV$265,0,R$8)</f>
        <v>9.5000000000000003E-10</v>
      </c>
      <c r="BI269" s="389"/>
      <c r="BJ269" s="389"/>
      <c r="BK269" s="389"/>
      <c r="BL269" s="389"/>
      <c r="BM269" s="389"/>
      <c r="BN269" s="389"/>
      <c r="BO269" s="389"/>
    </row>
    <row r="270" spans="1:67" x14ac:dyDescent="0.3">
      <c r="A270" s="391" t="str">
        <f>'Reference Score Calculation'!A249</f>
        <v>JS6884</v>
      </c>
      <c r="B270" s="412" t="str">
        <f>'Reference Score Calculation'!D249</f>
        <v>理學士(計量金融)</v>
      </c>
      <c r="C270" s="238"/>
      <c r="D270" s="358" t="str">
        <f>'Reference Score Calculation'!E249</f>
        <v>Best 6</v>
      </c>
      <c r="E270" s="409" t="str">
        <f>入學要求!T258</f>
        <v>v</v>
      </c>
      <c r="F270" s="409" t="str">
        <f>入學要求!U258</f>
        <v>NO</v>
      </c>
      <c r="G270" s="409" t="str">
        <f>入學要求!V258</f>
        <v>NO</v>
      </c>
      <c r="H270" s="413">
        <f t="shared" si="319"/>
        <v>3.7E-9</v>
      </c>
      <c r="I270" s="413">
        <v>1</v>
      </c>
      <c r="J270" s="413">
        <v>1.5</v>
      </c>
      <c r="K270" s="413">
        <v>1.25</v>
      </c>
      <c r="L270" s="413">
        <v>1</v>
      </c>
      <c r="M270" s="413">
        <v>1.25</v>
      </c>
      <c r="N270" s="413">
        <v>1</v>
      </c>
      <c r="O270" s="413">
        <v>1</v>
      </c>
      <c r="P270" s="413">
        <v>1</v>
      </c>
      <c r="Q270" s="413">
        <v>1</v>
      </c>
      <c r="R270" s="413">
        <v>1</v>
      </c>
      <c r="S270" s="413"/>
      <c r="T270" s="413">
        <f t="shared" si="320"/>
        <v>1E-10</v>
      </c>
      <c r="U270" s="413">
        <f t="shared" si="321"/>
        <v>3E-10</v>
      </c>
      <c r="V270" s="413">
        <f t="shared" si="322"/>
        <v>3.75E-10</v>
      </c>
      <c r="W270" s="413">
        <f t="shared" si="323"/>
        <v>4.0000000000000001E-10</v>
      </c>
      <c r="X270" s="413">
        <f t="shared" si="324"/>
        <v>6.2500000000000001E-10</v>
      </c>
      <c r="Y270" s="413">
        <f t="shared" si="325"/>
        <v>6E-10</v>
      </c>
      <c r="Z270" s="413">
        <f t="shared" si="326"/>
        <v>6.9999999999999996E-10</v>
      </c>
      <c r="AA270" s="413">
        <f t="shared" si="327"/>
        <v>8.0000000000000003E-10</v>
      </c>
      <c r="AB270" s="413">
        <f t="shared" si="328"/>
        <v>8.9999999999999999E-10</v>
      </c>
      <c r="AC270" s="413">
        <f t="shared" si="329"/>
        <v>0</v>
      </c>
      <c r="AD270" s="413" t="b">
        <f>IF(T270&gt;LARGE((($T270,$W270,$Y270:$AC270)),4),TRUE)</f>
        <v>0</v>
      </c>
      <c r="AE270" s="447" t="b">
        <v>1</v>
      </c>
      <c r="AF270" s="447" t="b">
        <v>1</v>
      </c>
      <c r="AG270" s="413" t="b">
        <f>IF(W270&gt;LARGE((($T270,$W270,$Y270:$AC270)),4),TRUE)</f>
        <v>0</v>
      </c>
      <c r="AH270" s="447" t="b">
        <v>1</v>
      </c>
      <c r="AI270" s="413" t="b">
        <f>IF(Y270&gt;LARGE((($T270,$W270,$Y270:$AC270)),4),TRUE)</f>
        <v>0</v>
      </c>
      <c r="AJ270" s="413" t="b">
        <f>IF(Z270&gt;LARGE((($T270,$W270,$Y270:$AC270)),4),TRUE)</f>
        <v>1</v>
      </c>
      <c r="AK270" s="413" t="b">
        <f>IF(AA270&gt;LARGE((($T270,$W270,$Y270:$AC270)),4),TRUE)</f>
        <v>1</v>
      </c>
      <c r="AL270" s="413" t="b">
        <f>IF(AB270&gt;LARGE((($T270,$W270,$Y270:$AC270)),4),TRUE)</f>
        <v>1</v>
      </c>
      <c r="AM270" s="413" t="b">
        <f>IF(AC270&gt;LARGE((($T270,$W270,$Y270:$AC270)),4),TRUE)</f>
        <v>0</v>
      </c>
      <c r="AO270" s="390"/>
      <c r="AP270" s="429"/>
      <c r="AQ270" s="384"/>
      <c r="AR270" s="389"/>
      <c r="AS270" s="389"/>
      <c r="AT270" s="389"/>
      <c r="AU270" s="389"/>
      <c r="AV270" s="390"/>
      <c r="AW270" s="390"/>
      <c r="AX270" s="384"/>
      <c r="AY270" s="429" t="b">
        <f>IF(AY269&gt;LARGE($AY269:$BH269,3),TRUE,IF(AY268=$AV$265,TRUE,FALSE))</f>
        <v>0</v>
      </c>
      <c r="AZ270" s="448" t="b">
        <v>1</v>
      </c>
      <c r="BA270" s="448" t="b">
        <v>1</v>
      </c>
      <c r="BB270" s="429" t="b">
        <f>IF(BB269&gt;LARGE($AY269:$BH269,3),TRUE,IF(BB268=$AV$265,TRUE,FALSE))</f>
        <v>0</v>
      </c>
      <c r="BC270" s="429" t="b">
        <f t="shared" ref="BC270:BH270" si="365">IF(BC269&gt;LARGE($AY269:$BH269,3),TRUE,IF(BC268=$AV$265,TRUE,FALSE))</f>
        <v>0</v>
      </c>
      <c r="BD270" s="429" t="b">
        <f t="shared" si="365"/>
        <v>1</v>
      </c>
      <c r="BE270" s="429" t="b">
        <f t="shared" si="365"/>
        <v>0</v>
      </c>
      <c r="BF270" s="429" t="b">
        <f t="shared" si="365"/>
        <v>0</v>
      </c>
      <c r="BG270" s="429" t="b">
        <f t="shared" si="365"/>
        <v>1</v>
      </c>
      <c r="BH270" s="429" t="b">
        <f t="shared" si="365"/>
        <v>0</v>
      </c>
      <c r="BI270" s="389"/>
      <c r="BJ270" s="389"/>
      <c r="BK270" s="389"/>
      <c r="BL270" s="389"/>
      <c r="BM270" s="389"/>
      <c r="BN270" s="389"/>
      <c r="BO270" s="389"/>
    </row>
    <row r="271" spans="1:67" x14ac:dyDescent="0.3">
      <c r="A271" s="391" t="str">
        <f>'Reference Score Calculation'!A250</f>
        <v>JS6896</v>
      </c>
      <c r="B271" s="412" t="str">
        <f>'Reference Score Calculation'!D250</f>
        <v>工商管理學學士(國際商業及環球管理)</v>
      </c>
      <c r="C271" s="236"/>
      <c r="D271" s="358" t="str">
        <f>'Reference Score Calculation'!E250</f>
        <v>Best 6</v>
      </c>
      <c r="E271" s="409" t="str">
        <f>入學要求!T259</f>
        <v>v</v>
      </c>
      <c r="F271" s="409" t="str">
        <f>入學要求!U259</f>
        <v>NO</v>
      </c>
      <c r="G271" s="409" t="str">
        <f>入學要求!V259</f>
        <v>NO</v>
      </c>
      <c r="H271" s="413">
        <f t="shared" si="319"/>
        <v>3.4500000000000003E-9</v>
      </c>
      <c r="I271" s="413">
        <v>1</v>
      </c>
      <c r="J271" s="413">
        <v>1.5</v>
      </c>
      <c r="K271" s="413">
        <f>IF($K$8&gt;$M$8,1.5,1)</f>
        <v>1</v>
      </c>
      <c r="L271" s="413">
        <v>1</v>
      </c>
      <c r="M271" s="413">
        <f t="shared" ref="M271" si="366">IF($K$8&gt;$M$8,1,1.5)</f>
        <v>1.5</v>
      </c>
      <c r="N271" s="413">
        <v>1</v>
      </c>
      <c r="O271" s="413">
        <v>1</v>
      </c>
      <c r="P271" s="413">
        <v>1</v>
      </c>
      <c r="Q271" s="413">
        <v>1</v>
      </c>
      <c r="R271" s="413">
        <v>1</v>
      </c>
      <c r="S271" s="413"/>
      <c r="T271" s="413">
        <f t="shared" si="320"/>
        <v>1E-10</v>
      </c>
      <c r="U271" s="413">
        <f t="shared" si="321"/>
        <v>3E-10</v>
      </c>
      <c r="V271" s="413">
        <f t="shared" si="322"/>
        <v>3E-10</v>
      </c>
      <c r="W271" s="413">
        <f t="shared" si="323"/>
        <v>4.0000000000000001E-10</v>
      </c>
      <c r="X271" s="413">
        <f t="shared" si="324"/>
        <v>7.500000000000001E-10</v>
      </c>
      <c r="Y271" s="413">
        <f t="shared" si="325"/>
        <v>6E-10</v>
      </c>
      <c r="Z271" s="413">
        <f t="shared" si="326"/>
        <v>6.9999999999999996E-10</v>
      </c>
      <c r="AA271" s="413">
        <f t="shared" si="327"/>
        <v>8.0000000000000003E-10</v>
      </c>
      <c r="AB271" s="413">
        <f t="shared" si="328"/>
        <v>8.9999999999999999E-10</v>
      </c>
      <c r="AC271" s="413">
        <f t="shared" si="329"/>
        <v>0</v>
      </c>
      <c r="AD271" s="413" t="b">
        <f>AV261</f>
        <v>0</v>
      </c>
      <c r="AE271" s="413" t="b">
        <f t="shared" ref="AE271:AM271" si="367">AW261</f>
        <v>1</v>
      </c>
      <c r="AF271" s="413" t="b">
        <f t="shared" si="367"/>
        <v>0</v>
      </c>
      <c r="AG271" s="413" t="b">
        <f t="shared" si="367"/>
        <v>0</v>
      </c>
      <c r="AH271" s="413" t="b">
        <f t="shared" si="367"/>
        <v>1</v>
      </c>
      <c r="AI271" s="413" t="b">
        <f t="shared" si="367"/>
        <v>0</v>
      </c>
      <c r="AJ271" s="413" t="b">
        <f t="shared" si="367"/>
        <v>1</v>
      </c>
      <c r="AK271" s="413" t="b">
        <f t="shared" si="367"/>
        <v>1</v>
      </c>
      <c r="AL271" s="413" t="b">
        <f t="shared" si="367"/>
        <v>1</v>
      </c>
      <c r="AM271" s="413" t="b">
        <f t="shared" si="367"/>
        <v>1</v>
      </c>
      <c r="AO271" s="390"/>
      <c r="AP271" s="429"/>
      <c r="AQ271" s="384"/>
      <c r="AR271" s="389"/>
      <c r="AS271" s="389"/>
      <c r="AT271" s="389"/>
      <c r="AU271" s="389"/>
      <c r="AV271" s="390"/>
      <c r="AW271" s="390"/>
      <c r="AX271" s="384"/>
      <c r="AY271" s="390"/>
      <c r="AZ271" s="390"/>
      <c r="BA271" s="429"/>
      <c r="BB271" s="384"/>
      <c r="BC271" s="389"/>
      <c r="BD271" s="389"/>
      <c r="BE271" s="389"/>
      <c r="BF271" s="389"/>
      <c r="BG271" s="389"/>
      <c r="BH271" s="389"/>
      <c r="BI271" s="389"/>
      <c r="BJ271" s="389"/>
      <c r="BK271" s="389"/>
      <c r="BL271" s="389"/>
      <c r="BM271" s="389"/>
      <c r="BN271" s="389"/>
      <c r="BO271" s="389"/>
    </row>
    <row r="272" spans="1:67" x14ac:dyDescent="0.3">
      <c r="A272" s="391" t="str">
        <f>'Reference Score Calculation'!A251</f>
        <v>JS6107</v>
      </c>
      <c r="B272" s="412" t="str">
        <f>'Reference Score Calculation'!D251</f>
        <v>牙醫學士</v>
      </c>
      <c r="C272" s="236"/>
      <c r="D272" s="358" t="str">
        <f>'Reference Score Calculation'!E251</f>
        <v>Best 6</v>
      </c>
      <c r="E272" s="409" t="str">
        <f>入學要求!T260</f>
        <v>v</v>
      </c>
      <c r="F272" s="409" t="str">
        <f>入學要求!U260</f>
        <v>NO</v>
      </c>
      <c r="G272" s="409" t="str">
        <f>入學要求!V260</f>
        <v>NO</v>
      </c>
      <c r="H272" s="413">
        <f t="shared" si="319"/>
        <v>3.6800000000000005E-9</v>
      </c>
      <c r="I272" s="413">
        <v>1</v>
      </c>
      <c r="J272" s="413">
        <v>1</v>
      </c>
      <c r="K272" s="413">
        <v>1</v>
      </c>
      <c r="L272" s="413">
        <v>1</v>
      </c>
      <c r="M272" s="413">
        <v>1</v>
      </c>
      <c r="N272" s="413">
        <f>IF(N$1=$AV$265,1.3,1)</f>
        <v>1.3</v>
      </c>
      <c r="O272" s="413">
        <f>IF(O$1=$AV$265,1.3,1)</f>
        <v>1</v>
      </c>
      <c r="P272" s="413">
        <f>IF(P$1=$AV$265,1.3,1)</f>
        <v>1</v>
      </c>
      <c r="Q272" s="413">
        <f>IF(Q$1=$AV$265,1.3,1)</f>
        <v>1</v>
      </c>
      <c r="R272" s="413">
        <v>1</v>
      </c>
      <c r="S272" s="413"/>
      <c r="T272" s="413">
        <f>IF(I$15,I$8*I272*0.9,I$8*I272)</f>
        <v>1E-10</v>
      </c>
      <c r="U272" s="413">
        <f>IF(J$15,J$8*J272*0.9,J$8*J272)</f>
        <v>2.0000000000000001E-10</v>
      </c>
      <c r="V272" s="413">
        <f t="shared" ref="V272" si="368">IF(K$15,K$8*K272*0.9,K$8*K272)</f>
        <v>3E-10</v>
      </c>
      <c r="W272" s="413">
        <f t="shared" ref="W272" si="369">IF(L$15,L$8*L272*0.9,L$8*L272)</f>
        <v>4.0000000000000001E-10</v>
      </c>
      <c r="X272" s="413">
        <f t="shared" ref="X272" si="370">IF(M$15,M$8*M272*0.9,M$8*M272)</f>
        <v>5.0000000000000003E-10</v>
      </c>
      <c r="Y272" s="413">
        <f t="shared" ref="Y272" si="371">IF(N$15,N$8*N272*0.9,N$8*N272)</f>
        <v>7.7999999999999999E-10</v>
      </c>
      <c r="Z272" s="413">
        <f t="shared" ref="Z272" si="372">IF(O$15,O$8*O272*0.9,O$8*O272)</f>
        <v>6.9999999999999996E-10</v>
      </c>
      <c r="AA272" s="413">
        <f t="shared" ref="AA272" si="373">IF(P$15,P$8*P272*0.9,P$8*P272)</f>
        <v>8.0000000000000003E-10</v>
      </c>
      <c r="AB272" s="413">
        <f t="shared" ref="AB272" si="374">IF(Q$15,Q$8*Q272*0.9,Q$8*Q272)</f>
        <v>8.9999999999999999E-10</v>
      </c>
      <c r="AC272" s="413">
        <f>IF(F272="E",IF(R$15,R$8*R272*0.9,R$8*R272),0)</f>
        <v>0</v>
      </c>
      <c r="AD272" s="413" t="b">
        <f>AY266</f>
        <v>0</v>
      </c>
      <c r="AE272" s="413" t="b">
        <f t="shared" ref="AE272:AM272" si="375">AZ266</f>
        <v>0</v>
      </c>
      <c r="AF272" s="413" t="b">
        <f t="shared" si="375"/>
        <v>0</v>
      </c>
      <c r="AG272" s="413" t="b">
        <f t="shared" si="375"/>
        <v>0</v>
      </c>
      <c r="AH272" s="413" t="b">
        <f t="shared" si="375"/>
        <v>1</v>
      </c>
      <c r="AI272" s="413" t="b">
        <f t="shared" si="375"/>
        <v>1</v>
      </c>
      <c r="AJ272" s="413" t="b">
        <f t="shared" si="375"/>
        <v>1</v>
      </c>
      <c r="AK272" s="413" t="b">
        <f t="shared" si="375"/>
        <v>1</v>
      </c>
      <c r="AL272" s="413" t="b">
        <f t="shared" si="375"/>
        <v>1</v>
      </c>
      <c r="AM272" s="413" t="b">
        <f t="shared" si="375"/>
        <v>1</v>
      </c>
      <c r="AN272" s="561">
        <v>0.1</v>
      </c>
      <c r="AO272" s="390"/>
      <c r="AP272" s="383" t="str">
        <f>N$1</f>
        <v>請選擇第一選修科</v>
      </c>
      <c r="AQ272" s="383" t="str">
        <f t="shared" ref="AQ272" si="376">O$1</f>
        <v>請選擇第二選修科</v>
      </c>
      <c r="AR272" s="383" t="str">
        <f t="shared" ref="AR272" si="377">P$1</f>
        <v>請選擇第三選修科</v>
      </c>
      <c r="AS272" s="383" t="str">
        <f t="shared" ref="AS272" si="378">Q$1</f>
        <v>請選擇第四選修科</v>
      </c>
      <c r="AT272" s="389"/>
      <c r="AU272" s="389"/>
      <c r="AV272" s="410" t="s">
        <v>3200</v>
      </c>
      <c r="AW272" s="390"/>
      <c r="AX272" s="410" t="s">
        <v>2338</v>
      </c>
      <c r="AY272" s="390"/>
      <c r="AZ272" s="390"/>
      <c r="BA272" s="383" t="str">
        <f t="shared" ref="BA272:BJ272" si="379">I$1</f>
        <v>中國語文</v>
      </c>
      <c r="BB272" s="383" t="str">
        <f t="shared" si="379"/>
        <v>英國語文</v>
      </c>
      <c r="BC272" s="383" t="str">
        <f t="shared" si="379"/>
        <v>數學</v>
      </c>
      <c r="BD272" s="383" t="str">
        <f t="shared" si="379"/>
        <v>通識教育</v>
      </c>
      <c r="BE272" s="383" t="str">
        <f t="shared" si="379"/>
        <v>數學延伸</v>
      </c>
      <c r="BF272" s="383" t="str">
        <f t="shared" si="379"/>
        <v>請選擇第一選修科</v>
      </c>
      <c r="BG272" s="383" t="str">
        <f t="shared" si="379"/>
        <v>請選擇第二選修科</v>
      </c>
      <c r="BH272" s="383" t="str">
        <f t="shared" si="379"/>
        <v>請選擇第三選修科</v>
      </c>
      <c r="BI272" s="383" t="str">
        <f t="shared" si="379"/>
        <v>請選擇第四選修科</v>
      </c>
      <c r="BJ272" s="383" t="str">
        <f t="shared" si="379"/>
        <v>請選擇語言科目</v>
      </c>
      <c r="BK272" s="389"/>
      <c r="BL272" s="389"/>
      <c r="BM272" s="389"/>
      <c r="BN272" s="389"/>
      <c r="BO272" s="389"/>
    </row>
    <row r="273" spans="1:67" x14ac:dyDescent="0.3">
      <c r="A273" s="391" t="str">
        <f>'Reference Score Calculation'!A252</f>
        <v>JS6066</v>
      </c>
      <c r="B273" s="412" t="str">
        <f>'Reference Score Calculation'!D252</f>
        <v>文學士及教育學士(語文教育) - 英文教育 (雙學位課程)</v>
      </c>
      <c r="C273" s="236"/>
      <c r="D273" s="358" t="str">
        <f>'Reference Score Calculation'!E252</f>
        <v>Best 5</v>
      </c>
      <c r="E273" s="409" t="str">
        <f>入學要求!T261</f>
        <v>v</v>
      </c>
      <c r="F273" s="409" t="str">
        <f>入學要求!U261</f>
        <v>NO</v>
      </c>
      <c r="G273" s="409" t="str">
        <f>入學要求!V261</f>
        <v>NO</v>
      </c>
      <c r="H273" s="413">
        <f t="shared" si="319"/>
        <v>3.1800000000000002E-9</v>
      </c>
      <c r="I273" s="413">
        <v>1</v>
      </c>
      <c r="J273" s="413">
        <v>1.5</v>
      </c>
      <c r="K273" s="413">
        <v>1</v>
      </c>
      <c r="L273" s="413">
        <v>1.2</v>
      </c>
      <c r="M273" s="413">
        <v>1</v>
      </c>
      <c r="N273" s="413">
        <v>1</v>
      </c>
      <c r="O273" s="413">
        <v>1</v>
      </c>
      <c r="P273" s="413">
        <v>1</v>
      </c>
      <c r="Q273" s="413">
        <v>1</v>
      </c>
      <c r="R273" s="413">
        <v>1</v>
      </c>
      <c r="S273" s="413"/>
      <c r="T273" s="413">
        <f t="shared" si="320"/>
        <v>1E-10</v>
      </c>
      <c r="U273" s="413">
        <f t="shared" si="321"/>
        <v>3E-10</v>
      </c>
      <c r="V273" s="413">
        <f t="shared" si="322"/>
        <v>3E-10</v>
      </c>
      <c r="W273" s="413">
        <f t="shared" si="323"/>
        <v>4.8E-10</v>
      </c>
      <c r="X273" s="413">
        <f t="shared" si="324"/>
        <v>5.0000000000000003E-10</v>
      </c>
      <c r="Y273" s="413">
        <f t="shared" si="325"/>
        <v>6E-10</v>
      </c>
      <c r="Z273" s="413">
        <f t="shared" si="326"/>
        <v>6.9999999999999996E-10</v>
      </c>
      <c r="AA273" s="413">
        <f t="shared" si="327"/>
        <v>8.0000000000000003E-10</v>
      </c>
      <c r="AB273" s="413">
        <f t="shared" si="328"/>
        <v>8.9999999999999999E-10</v>
      </c>
      <c r="AC273" s="413">
        <f t="shared" si="329"/>
        <v>0</v>
      </c>
      <c r="AD273" s="413" t="b">
        <f>IF(T273&gt;LARGE((($T273,$V273,$X273:$AC273)),4),TRUE)</f>
        <v>0</v>
      </c>
      <c r="AE273" s="447" t="b">
        <v>1</v>
      </c>
      <c r="AF273" s="413" t="b">
        <f>IF(V273&gt;LARGE((($T273,$V273,$X273:$AC273)),4),TRUE)</f>
        <v>0</v>
      </c>
      <c r="AG273" s="447" t="b">
        <v>1</v>
      </c>
      <c r="AH273" s="413" t="b">
        <f>IF(X273&gt;LARGE((($T273,$V273,$X273:$AC273)),4),TRUE)</f>
        <v>0</v>
      </c>
      <c r="AI273" s="413" t="b">
        <f>IF(Y273&gt;LARGE((($T273,$V273,$X273:$AC273)),4),TRUE)</f>
        <v>0</v>
      </c>
      <c r="AJ273" s="413" t="b">
        <f>IF(Z273&gt;LARGE((($T273,$V273,$X273:$AC273)),4),TRUE)</f>
        <v>1</v>
      </c>
      <c r="AK273" s="413" t="b">
        <f>IF(AA273&gt;LARGE((($T273,$V273,$X273:$AC273)),4),TRUE)</f>
        <v>1</v>
      </c>
      <c r="AL273" s="413" t="b">
        <f>IF(AB273&gt;LARGE((($T273,$V273,$X273:$AC273)),4),TRUE)</f>
        <v>1</v>
      </c>
      <c r="AM273" s="413" t="b">
        <f>IF(AC273&gt;LARGE((($T273,$V273,$X273:$AC273)),4),TRUE)</f>
        <v>0</v>
      </c>
      <c r="AO273" s="390" t="s">
        <v>2343</v>
      </c>
      <c r="AP273" s="430">
        <f>IF(OR(N$1="化學",N$1="生物",N$1="組合科學(物理、化學)",N$1="組合科學(生物、化學)",N$1="組合科學(物理、生物)",N$1="物理"),N$8,0)</f>
        <v>0</v>
      </c>
      <c r="AQ273" s="430">
        <f t="shared" ref="AQ273:AS273" si="380">IF(OR(O$1="化學",O$1="生物",O$1="組合科學(物理、化學)",O$1="組合科學(生物、化學)",O$1="組合科學(物理、生物)",O$1="物理"),O$8,0)</f>
        <v>0</v>
      </c>
      <c r="AR273" s="430">
        <f t="shared" si="380"/>
        <v>0</v>
      </c>
      <c r="AS273" s="430">
        <f t="shared" si="380"/>
        <v>0</v>
      </c>
      <c r="AT273" s="389"/>
      <c r="AU273" s="389"/>
      <c r="AV273" s="403" t="str">
        <f>INDEX(AP272:AS272,MATCH(LARGE(AP273:AS273,1),AP273:AS273,0))</f>
        <v>請選擇第一選修科</v>
      </c>
      <c r="AW273" s="403">
        <f>LARGE((AP273:AS273),1)</f>
        <v>0</v>
      </c>
      <c r="AX273" s="403" t="str">
        <f>INDEX(AP272:AS272,MATCH(LARGE(AP273:AS273,2),AP273:AS273,0))</f>
        <v>請選擇第一選修科</v>
      </c>
      <c r="AY273" s="403">
        <f>LARGE((AP273:AS273),2)</f>
        <v>0</v>
      </c>
      <c r="AZ273" s="390"/>
      <c r="BA273" s="430">
        <f>IF(OR(BA272=$AX$273,BA272=$AV$273),0,I$8)</f>
        <v>1E-10</v>
      </c>
      <c r="BB273" s="430">
        <f>IF(OR(BB272=$AX$273,BB272=$AV$273),0,J$8)</f>
        <v>2.0000000000000001E-10</v>
      </c>
      <c r="BC273" s="430">
        <f>IF(OR(BC272=$AX$273,BC272=$AV$273),0,K$8)</f>
        <v>3E-10</v>
      </c>
      <c r="BD273" s="430">
        <f>IF(OR(BD272=$AX$273,BD272=$AV$273),0,L$8)</f>
        <v>4.0000000000000001E-10</v>
      </c>
      <c r="BE273" s="430">
        <f>IF(OR(BE272=$AX$273,BE272=$AV$273),0,M$8)</f>
        <v>5.0000000000000003E-10</v>
      </c>
      <c r="BF273" s="430">
        <f>IF(OR(BF272=$AX$273,BF272=$AV$273),0,IF(OR(N$1="化學",N$1="生物",N$1="物理"),N$8*2,N$8*1.25))</f>
        <v>0</v>
      </c>
      <c r="BG273" s="430">
        <f>IF(OR(BG272=$AX$273,BG272=$AV$273),0,IF(OR(O$1="化學",O$1="生物",O$1="物理"),O$8*2,O$8*1.25))</f>
        <v>8.7499999999999998E-10</v>
      </c>
      <c r="BH273" s="430">
        <f>IF(OR(BH272=$AX$273,BH272=$AV$273),0,IF(OR(P$1="化學",P$1="生物",P$1="物理"),P$8*2,P$8*1.25))</f>
        <v>1.0000000000000001E-9</v>
      </c>
      <c r="BI273" s="430">
        <f>IF(OR(BI272=$AX$273,BI272=$AV$273),0,IF(OR(Q$1="化學",Q$1="生物",Q$1="物理"),Q$8*2,Q$8*1.25))</f>
        <v>1.1249999999999999E-9</v>
      </c>
      <c r="BJ273" s="430">
        <f>IF(OR(BJ272=$AX$273,BJ272=$AV$273),0,IF(OR(R$1="化學",R$1="生物",R$1="物理"),R$8*2,R$8*1.25))</f>
        <v>1.1875000000000001E-9</v>
      </c>
      <c r="BK273" s="389"/>
      <c r="BL273" s="389"/>
      <c r="BM273" s="389"/>
      <c r="BN273" s="389"/>
      <c r="BO273" s="389"/>
    </row>
    <row r="274" spans="1:67" x14ac:dyDescent="0.3">
      <c r="A274" s="391" t="str">
        <f>'Reference Score Calculation'!A253</f>
        <v>JS6080</v>
      </c>
      <c r="B274" s="412" t="str">
        <f>'Reference Score Calculation'!D253</f>
        <v>文學士及教育學士(語文教育) - 中文教育 (雙學位課程)</v>
      </c>
      <c r="C274" s="236"/>
      <c r="D274" s="358" t="str">
        <f>'Reference Score Calculation'!E253</f>
        <v>Best 5</v>
      </c>
      <c r="E274" s="409" t="str">
        <f>入學要求!T262</f>
        <v>v</v>
      </c>
      <c r="F274" s="409" t="str">
        <f>入學要求!U262</f>
        <v>NO</v>
      </c>
      <c r="G274" s="409" t="str">
        <f>入學要求!V262</f>
        <v>NO</v>
      </c>
      <c r="H274" s="413">
        <f t="shared" si="319"/>
        <v>3.0299999999999997E-9</v>
      </c>
      <c r="I274" s="413">
        <v>1.5</v>
      </c>
      <c r="J274" s="413">
        <v>1</v>
      </c>
      <c r="K274" s="413">
        <v>1</v>
      </c>
      <c r="L274" s="413">
        <v>1.2</v>
      </c>
      <c r="M274" s="413">
        <v>1</v>
      </c>
      <c r="N274" s="413">
        <v>1</v>
      </c>
      <c r="O274" s="413">
        <v>1</v>
      </c>
      <c r="P274" s="413">
        <v>1</v>
      </c>
      <c r="Q274" s="413">
        <v>1</v>
      </c>
      <c r="R274" s="413">
        <v>1</v>
      </c>
      <c r="S274" s="413"/>
      <c r="T274" s="413">
        <f t="shared" si="320"/>
        <v>1.5E-10</v>
      </c>
      <c r="U274" s="413">
        <f t="shared" si="321"/>
        <v>2.0000000000000001E-10</v>
      </c>
      <c r="V274" s="413">
        <f t="shared" si="322"/>
        <v>3E-10</v>
      </c>
      <c r="W274" s="413">
        <f t="shared" si="323"/>
        <v>4.8E-10</v>
      </c>
      <c r="X274" s="413">
        <f t="shared" si="324"/>
        <v>5.0000000000000003E-10</v>
      </c>
      <c r="Y274" s="413">
        <f t="shared" si="325"/>
        <v>6E-10</v>
      </c>
      <c r="Z274" s="413">
        <f t="shared" si="326"/>
        <v>6.9999999999999996E-10</v>
      </c>
      <c r="AA274" s="413">
        <f t="shared" si="327"/>
        <v>8.0000000000000003E-10</v>
      </c>
      <c r="AB274" s="413">
        <f t="shared" si="328"/>
        <v>8.9999999999999999E-10</v>
      </c>
      <c r="AC274" s="413">
        <f t="shared" si="329"/>
        <v>0</v>
      </c>
      <c r="AD274" s="447" t="b">
        <v>1</v>
      </c>
      <c r="AE274" s="413" t="b">
        <f>IF(U274&gt;LARGE((($U274:$V274,$X274:$AC274)),4),TRUE)</f>
        <v>0</v>
      </c>
      <c r="AF274" s="413" t="b">
        <f>IF(V274&gt;LARGE((($U274:$V274,$X274:$AC274)),4),TRUE)</f>
        <v>0</v>
      </c>
      <c r="AG274" s="447" t="b">
        <v>1</v>
      </c>
      <c r="AH274" s="413" t="b">
        <f>IF(X274&gt;LARGE((($U274:$V274,$X274:$AC274)),4),TRUE)</f>
        <v>0</v>
      </c>
      <c r="AI274" s="413" t="b">
        <f>IF(Y274&gt;LARGE((($U274:$V274,$X274:$AC274)),4),TRUE)</f>
        <v>0</v>
      </c>
      <c r="AJ274" s="413" t="b">
        <f>IF(Z274&gt;LARGE((($U274:$V274,$X274:$AC274)),4),TRUE)</f>
        <v>1</v>
      </c>
      <c r="AK274" s="413" t="b">
        <f>IF(AA274&gt;LARGE((($U274:$V274,$X274:$AC274)),4),TRUE)</f>
        <v>1</v>
      </c>
      <c r="AL274" s="413" t="b">
        <f>IF(AB274&gt;LARGE((($U274:$V274,$X274:$AC274)),4),TRUE)</f>
        <v>1</v>
      </c>
      <c r="AM274" s="413" t="b">
        <f>IF(AC274&gt;LARGE((($U274:$V274,$X274:$AC274)),4),TRUE)</f>
        <v>0</v>
      </c>
      <c r="AO274" s="390"/>
      <c r="AP274" s="429" t="s">
        <v>3392</v>
      </c>
      <c r="AQ274" s="384"/>
      <c r="AR274" s="389"/>
      <c r="AS274" s="389"/>
      <c r="AT274" s="389"/>
      <c r="AU274" s="389"/>
      <c r="AV274" s="390"/>
      <c r="AW274" s="390"/>
      <c r="AX274" s="384"/>
      <c r="AY274" s="384"/>
      <c r="AZ274" s="390"/>
      <c r="BA274" s="429" t="b">
        <f>IF(BA273&gt;LARGE($BA273:$BJ273,2),TRUE,IF(OR(BA272=$AX$273,BA272=$AV$273,),TRUE,FALSE))</f>
        <v>0</v>
      </c>
      <c r="BB274" s="429" t="b">
        <v>1</v>
      </c>
      <c r="BC274" s="429" t="b">
        <v>1</v>
      </c>
      <c r="BD274" s="429" t="b">
        <f t="shared" ref="BD274:BJ274" si="381">IF(BD273&gt;LARGE($BA273:$BJ273,2),TRUE,IF(OR(BD272=$AX$273,BD272=$AV$273,),TRUE,FALSE))</f>
        <v>0</v>
      </c>
      <c r="BE274" s="429" t="b">
        <v>1</v>
      </c>
      <c r="BF274" s="429" t="b">
        <f t="shared" si="381"/>
        <v>1</v>
      </c>
      <c r="BG274" s="429" t="b">
        <f t="shared" si="381"/>
        <v>0</v>
      </c>
      <c r="BH274" s="429" t="b">
        <f t="shared" si="381"/>
        <v>0</v>
      </c>
      <c r="BI274" s="429" t="b">
        <f t="shared" si="381"/>
        <v>0</v>
      </c>
      <c r="BJ274" s="429" t="b">
        <f t="shared" si="381"/>
        <v>1</v>
      </c>
      <c r="BK274" s="389"/>
      <c r="BL274" s="389"/>
      <c r="BM274" s="389"/>
      <c r="BN274" s="389"/>
      <c r="BO274" s="389"/>
    </row>
    <row r="275" spans="1:67" x14ac:dyDescent="0.3">
      <c r="A275" s="391" t="str">
        <f>'Reference Score Calculation'!A254</f>
        <v>JS6092</v>
      </c>
      <c r="B275" s="412" t="str">
        <f>'Reference Score Calculation'!D254</f>
        <v>教育學士(幼兒教育及特殊教育)</v>
      </c>
      <c r="C275" s="236"/>
      <c r="D275" s="358" t="str">
        <f>'Reference Score Calculation'!E254</f>
        <v>Best 5</v>
      </c>
      <c r="E275" s="409" t="str">
        <f>入學要求!T263</f>
        <v>v</v>
      </c>
      <c r="F275" s="409" t="str">
        <f>入學要求!U263</f>
        <v>NO</v>
      </c>
      <c r="G275" s="409" t="str">
        <f>入學要求!V263</f>
        <v>NO</v>
      </c>
      <c r="H275" s="413">
        <f t="shared" si="319"/>
        <v>2.8199999999999998E-9</v>
      </c>
      <c r="I275" s="413">
        <v>1.2</v>
      </c>
      <c r="J275" s="413">
        <v>1.5</v>
      </c>
      <c r="K275" s="413">
        <v>1</v>
      </c>
      <c r="L275" s="413">
        <v>1</v>
      </c>
      <c r="M275" s="413">
        <v>1</v>
      </c>
      <c r="N275" s="413">
        <v>1</v>
      </c>
      <c r="O275" s="413">
        <v>1</v>
      </c>
      <c r="P275" s="413">
        <v>1</v>
      </c>
      <c r="Q275" s="413">
        <v>1</v>
      </c>
      <c r="R275" s="413">
        <v>1</v>
      </c>
      <c r="S275" s="413"/>
      <c r="T275" s="413">
        <f t="shared" si="320"/>
        <v>1.2E-10</v>
      </c>
      <c r="U275" s="413">
        <f t="shared" si="321"/>
        <v>3E-10</v>
      </c>
      <c r="V275" s="413">
        <f t="shared" si="322"/>
        <v>3E-10</v>
      </c>
      <c r="W275" s="413">
        <f t="shared" si="323"/>
        <v>4.0000000000000001E-10</v>
      </c>
      <c r="X275" s="413">
        <f t="shared" si="324"/>
        <v>5.0000000000000003E-10</v>
      </c>
      <c r="Y275" s="413">
        <f t="shared" si="325"/>
        <v>6E-10</v>
      </c>
      <c r="Z275" s="413">
        <f t="shared" si="326"/>
        <v>6.9999999999999996E-10</v>
      </c>
      <c r="AA275" s="413">
        <f t="shared" si="327"/>
        <v>8.0000000000000003E-10</v>
      </c>
      <c r="AB275" s="413">
        <f t="shared" si="328"/>
        <v>8.9999999999999999E-10</v>
      </c>
      <c r="AC275" s="413">
        <f t="shared" si="329"/>
        <v>0</v>
      </c>
      <c r="AD275" s="447" t="b">
        <v>1</v>
      </c>
      <c r="AE275" s="447" t="b">
        <v>1</v>
      </c>
      <c r="AF275" s="413" t="b">
        <f t="shared" ref="AF275:AM275" si="382">IF(V275&gt;LARGE((($V275:$AC275)),4),TRUE)</f>
        <v>0</v>
      </c>
      <c r="AG275" s="413" t="b">
        <f t="shared" si="382"/>
        <v>0</v>
      </c>
      <c r="AH275" s="413" t="b">
        <f t="shared" si="382"/>
        <v>0</v>
      </c>
      <c r="AI275" s="413" t="b">
        <f t="shared" si="382"/>
        <v>0</v>
      </c>
      <c r="AJ275" s="413" t="b">
        <f t="shared" si="382"/>
        <v>1</v>
      </c>
      <c r="AK275" s="413" t="b">
        <f t="shared" si="382"/>
        <v>1</v>
      </c>
      <c r="AL275" s="413" t="b">
        <f t="shared" si="382"/>
        <v>1</v>
      </c>
      <c r="AM275" s="413" t="b">
        <f t="shared" si="382"/>
        <v>0</v>
      </c>
      <c r="AO275" s="390"/>
      <c r="AP275" s="429"/>
      <c r="AQ275" s="384"/>
      <c r="AR275" s="389"/>
      <c r="AS275" s="389"/>
      <c r="AT275" s="389"/>
      <c r="AU275" s="389"/>
      <c r="AV275" s="390"/>
      <c r="AW275" s="390"/>
      <c r="AX275" s="384"/>
      <c r="AY275" s="390"/>
      <c r="AZ275" s="390"/>
      <c r="BA275" s="429"/>
      <c r="BB275" s="384"/>
      <c r="BC275" s="389"/>
      <c r="BD275" s="389"/>
      <c r="BE275" s="389"/>
      <c r="BF275" s="389"/>
      <c r="BG275" s="389"/>
      <c r="BH275" s="389"/>
      <c r="BI275" s="389"/>
      <c r="BJ275" s="389"/>
      <c r="BK275" s="389"/>
      <c r="BL275" s="389"/>
      <c r="BM275" s="389"/>
      <c r="BN275" s="389"/>
      <c r="BO275" s="389"/>
    </row>
    <row r="276" spans="1:67" x14ac:dyDescent="0.3">
      <c r="A276" s="391" t="str">
        <f>'Reference Score Calculation'!A255</f>
        <v>JS6119</v>
      </c>
      <c r="B276" s="412" t="str">
        <f>'Reference Score Calculation'!D255</f>
        <v>教育學士及理學士 (雙學位課程)</v>
      </c>
      <c r="C276" s="236"/>
      <c r="D276" s="358" t="str">
        <f>'Reference Score Calculation'!E255</f>
        <v>Best 5</v>
      </c>
      <c r="E276" s="409" t="str">
        <f>入學要求!T264</f>
        <v>v</v>
      </c>
      <c r="F276" s="409" t="str">
        <f>入學要求!U264</f>
        <v>NO</v>
      </c>
      <c r="G276" s="409" t="str">
        <f>入學要求!V264</f>
        <v>NO</v>
      </c>
      <c r="H276" s="413">
        <f t="shared" si="319"/>
        <v>2.775E-9</v>
      </c>
      <c r="I276" s="413">
        <v>1</v>
      </c>
      <c r="J276" s="413">
        <v>1.5</v>
      </c>
      <c r="K276" s="413">
        <v>2</v>
      </c>
      <c r="L276" s="413">
        <v>1</v>
      </c>
      <c r="M276" s="413">
        <v>2</v>
      </c>
      <c r="N276" s="413">
        <f>IF(OR(N$1="化學",N$1="生物",N$1="組合科學(物理、化學)",N$1="組合科學(生物、化學)",N$1="組合科學(物理、生物)",N$1="物理",N$1="綜合科學"),2,1.25)</f>
        <v>1.25</v>
      </c>
      <c r="O276" s="413">
        <f t="shared" ref="O276:R276" si="383">IF(OR(O$1="化學",O$1="生物",O$1="組合科學(物理、化學)",O$1="組合科學(生物、化學)",O$1="組合科學(物理、生物)",O$1="物理",O$1="綜合科學"),2,1.25)</f>
        <v>1.25</v>
      </c>
      <c r="P276" s="413">
        <f t="shared" si="383"/>
        <v>1.25</v>
      </c>
      <c r="Q276" s="413">
        <f t="shared" si="383"/>
        <v>1.25</v>
      </c>
      <c r="R276" s="413">
        <f t="shared" si="383"/>
        <v>1.25</v>
      </c>
      <c r="S276" s="413"/>
      <c r="T276" s="413">
        <f t="shared" si="320"/>
        <v>1E-10</v>
      </c>
      <c r="U276" s="413">
        <f t="shared" si="321"/>
        <v>3E-10</v>
      </c>
      <c r="V276" s="413">
        <f t="shared" si="322"/>
        <v>6E-10</v>
      </c>
      <c r="W276" s="413">
        <f t="shared" si="323"/>
        <v>4.0000000000000001E-10</v>
      </c>
      <c r="X276" s="413">
        <f t="shared" si="324"/>
        <v>1.0000000000000001E-9</v>
      </c>
      <c r="Y276" s="413">
        <f t="shared" si="325"/>
        <v>7.5E-10</v>
      </c>
      <c r="Z276" s="413">
        <f t="shared" si="326"/>
        <v>8.7499999999999998E-10</v>
      </c>
      <c r="AA276" s="413">
        <f t="shared" si="327"/>
        <v>1.0000000000000001E-9</v>
      </c>
      <c r="AB276" s="413">
        <f t="shared" si="328"/>
        <v>1.1249999999999999E-9</v>
      </c>
      <c r="AC276" s="413">
        <f t="shared" si="329"/>
        <v>0</v>
      </c>
      <c r="AD276" s="413" t="b">
        <f>AY270</f>
        <v>0</v>
      </c>
      <c r="AE276" s="413" t="b">
        <f t="shared" ref="AE276:AM276" si="384">AZ270</f>
        <v>1</v>
      </c>
      <c r="AF276" s="413" t="b">
        <f t="shared" si="384"/>
        <v>1</v>
      </c>
      <c r="AG276" s="413" t="b">
        <f t="shared" si="384"/>
        <v>0</v>
      </c>
      <c r="AH276" s="413" t="b">
        <f t="shared" si="384"/>
        <v>0</v>
      </c>
      <c r="AI276" s="413" t="b">
        <f t="shared" si="384"/>
        <v>1</v>
      </c>
      <c r="AJ276" s="413" t="b">
        <f t="shared" si="384"/>
        <v>0</v>
      </c>
      <c r="AK276" s="413" t="b">
        <f t="shared" si="384"/>
        <v>0</v>
      </c>
      <c r="AL276" s="413" t="b">
        <f t="shared" si="384"/>
        <v>1</v>
      </c>
      <c r="AM276" s="413" t="b">
        <f t="shared" si="384"/>
        <v>0</v>
      </c>
      <c r="AO276" s="390"/>
      <c r="AP276" s="383"/>
      <c r="AQ276" s="383"/>
      <c r="AR276" s="389"/>
      <c r="AS276" s="389"/>
      <c r="AT276" s="389"/>
      <c r="AU276" s="389"/>
      <c r="AV276" s="410" t="s">
        <v>2899</v>
      </c>
      <c r="AW276" s="390"/>
      <c r="AX276" s="390"/>
      <c r="AY276" s="383" t="str">
        <f t="shared" ref="AY276:BH276" si="385">I$1</f>
        <v>中國語文</v>
      </c>
      <c r="AZ276" s="383" t="str">
        <f t="shared" si="385"/>
        <v>英國語文</v>
      </c>
      <c r="BA276" s="383" t="str">
        <f t="shared" si="385"/>
        <v>數學</v>
      </c>
      <c r="BB276" s="383" t="str">
        <f t="shared" si="385"/>
        <v>通識教育</v>
      </c>
      <c r="BC276" s="383" t="str">
        <f t="shared" si="385"/>
        <v>數學延伸</v>
      </c>
      <c r="BD276" s="383" t="str">
        <f t="shared" si="385"/>
        <v>請選擇第一選修科</v>
      </c>
      <c r="BE276" s="383" t="str">
        <f t="shared" si="385"/>
        <v>請選擇第二選修科</v>
      </c>
      <c r="BF276" s="383" t="str">
        <f t="shared" si="385"/>
        <v>請選擇第三選修科</v>
      </c>
      <c r="BG276" s="383" t="str">
        <f t="shared" si="385"/>
        <v>請選擇第四選修科</v>
      </c>
      <c r="BH276" s="383" t="str">
        <f t="shared" si="385"/>
        <v>請選擇語言科目</v>
      </c>
      <c r="BI276" s="389"/>
      <c r="BJ276" s="389"/>
      <c r="BK276" s="389"/>
      <c r="BL276" s="389"/>
      <c r="BM276" s="389"/>
      <c r="BN276" s="389"/>
      <c r="BO276" s="389"/>
    </row>
    <row r="277" spans="1:67" x14ac:dyDescent="0.3">
      <c r="A277" s="391" t="str">
        <f>'Reference Score Calculation'!A256</f>
        <v>JS6157</v>
      </c>
      <c r="B277" s="412" t="str">
        <f>'Reference Score Calculation'!D256</f>
        <v>理學士(言語及聽覺科學)</v>
      </c>
      <c r="C277" s="236"/>
      <c r="D277" s="358" t="str">
        <f>'Reference Score Calculation'!E256</f>
        <v>Best 6</v>
      </c>
      <c r="E277" s="409" t="str">
        <f>入學要求!T265</f>
        <v>v</v>
      </c>
      <c r="F277" s="409" t="str">
        <f>入學要求!U265</f>
        <v>NO</v>
      </c>
      <c r="G277" s="409" t="str">
        <f>入學要求!V265</f>
        <v>NO</v>
      </c>
      <c r="H277" s="413">
        <f t="shared" si="319"/>
        <v>3.9000000000000002E-9</v>
      </c>
      <c r="I277" s="413">
        <v>1</v>
      </c>
      <c r="J277" s="413">
        <v>1</v>
      </c>
      <c r="K277" s="413">
        <v>1</v>
      </c>
      <c r="L277" s="413">
        <v>1</v>
      </c>
      <c r="M277" s="413">
        <v>1</v>
      </c>
      <c r="N277" s="413">
        <v>1</v>
      </c>
      <c r="O277" s="413">
        <v>1</v>
      </c>
      <c r="P277" s="413">
        <v>1</v>
      </c>
      <c r="Q277" s="413">
        <v>1</v>
      </c>
      <c r="R277" s="413">
        <v>1</v>
      </c>
      <c r="S277" s="413"/>
      <c r="T277" s="413">
        <f t="shared" si="320"/>
        <v>1E-10</v>
      </c>
      <c r="U277" s="413">
        <f t="shared" si="321"/>
        <v>2.0000000000000001E-10</v>
      </c>
      <c r="V277" s="413">
        <f t="shared" si="322"/>
        <v>3E-10</v>
      </c>
      <c r="W277" s="413">
        <f t="shared" si="323"/>
        <v>4.0000000000000001E-10</v>
      </c>
      <c r="X277" s="413">
        <f t="shared" si="324"/>
        <v>5.0000000000000003E-10</v>
      </c>
      <c r="Y277" s="413">
        <f t="shared" si="325"/>
        <v>6E-10</v>
      </c>
      <c r="Z277" s="413">
        <f t="shared" si="326"/>
        <v>6.9999999999999996E-10</v>
      </c>
      <c r="AA277" s="413">
        <f t="shared" si="327"/>
        <v>8.0000000000000003E-10</v>
      </c>
      <c r="AB277" s="413">
        <f t="shared" si="328"/>
        <v>8.9999999999999999E-10</v>
      </c>
      <c r="AC277" s="413">
        <f t="shared" si="329"/>
        <v>0</v>
      </c>
      <c r="AD277" s="413" t="b">
        <f>IF(T277&gt;LARGE(($T277:$AC277),7),TRUE)</f>
        <v>0</v>
      </c>
      <c r="AE277" s="413" t="b">
        <f t="shared" ref="AE277" si="386">IF(U277&gt;LARGE(($T277:$AC277),7),TRUE)</f>
        <v>0</v>
      </c>
      <c r="AF277" s="413" t="b">
        <f t="shared" ref="AF277" si="387">IF(V277&gt;LARGE(($T277:$AC277),7),TRUE)</f>
        <v>0</v>
      </c>
      <c r="AG277" s="413" t="b">
        <f t="shared" ref="AG277" si="388">IF(W277&gt;LARGE(($T277:$AC277),7),TRUE)</f>
        <v>1</v>
      </c>
      <c r="AH277" s="413" t="b">
        <f t="shared" ref="AH277" si="389">IF(X277&gt;LARGE(($T277:$AC277),7),TRUE)</f>
        <v>1</v>
      </c>
      <c r="AI277" s="413" t="b">
        <f t="shared" ref="AI277" si="390">IF(Y277&gt;LARGE(($T277:$AC277),7),TRUE)</f>
        <v>1</v>
      </c>
      <c r="AJ277" s="413" t="b">
        <f t="shared" ref="AJ277" si="391">IF(Z277&gt;LARGE(($T277:$AC277),7),TRUE)</f>
        <v>1</v>
      </c>
      <c r="AK277" s="413" t="b">
        <f t="shared" ref="AK277" si="392">IF(AA277&gt;LARGE(($T277:$AC277),7),TRUE)</f>
        <v>1</v>
      </c>
      <c r="AL277" s="413" t="b">
        <f t="shared" ref="AL277" si="393">IF(AB277&gt;LARGE(($T277:$AC277),7),TRUE)</f>
        <v>1</v>
      </c>
      <c r="AM277" s="413" t="b">
        <f t="shared" ref="AM277" si="394">IF(AC277&gt;LARGE(($T277:$AC277),7),TRUE)</f>
        <v>0</v>
      </c>
      <c r="AO277" s="390" t="s">
        <v>3393</v>
      </c>
      <c r="AP277" s="429" t="s">
        <v>3394</v>
      </c>
      <c r="AQ277" s="384"/>
      <c r="AR277" s="389"/>
      <c r="AS277" s="389"/>
      <c r="AT277" s="389"/>
      <c r="AU277" s="389"/>
      <c r="AV277" s="403" t="str">
        <f>INDEX(AP264:AS264,MATCH(LARGE(AP265:AS265,1),AP265:AS265,0))</f>
        <v>請選擇第一選修科</v>
      </c>
      <c r="AW277" s="403">
        <f>LARGE((AP265:AS265),1)</f>
        <v>0</v>
      </c>
      <c r="AX277" s="390"/>
      <c r="AY277" s="430">
        <f>I$8</f>
        <v>1E-10</v>
      </c>
      <c r="AZ277" s="430">
        <v>0</v>
      </c>
      <c r="BA277" s="430">
        <f>IF(BA276=$AP$260,0,K$8)</f>
        <v>3E-10</v>
      </c>
      <c r="BB277" s="430">
        <f>L$8</f>
        <v>4.0000000000000001E-10</v>
      </c>
      <c r="BC277" s="430">
        <f>IF(BC276=$AP$260,0,M$8)</f>
        <v>0</v>
      </c>
      <c r="BD277" s="430">
        <f>IF(BD276=$AV$277,0,N$8)</f>
        <v>0</v>
      </c>
      <c r="BE277" s="430">
        <f>IF(BE276=$AV$277,0,O$8)</f>
        <v>6.9999999999999996E-10</v>
      </c>
      <c r="BF277" s="430">
        <f>IF(BF276=$AV$277,0,P$8)</f>
        <v>8.0000000000000003E-10</v>
      </c>
      <c r="BG277" s="430">
        <f>IF(BG276=$AV$277,0,Q$8)</f>
        <v>8.9999999999999999E-10</v>
      </c>
      <c r="BH277" s="430">
        <f>IF(BH276=$AP$260,0,R$8)</f>
        <v>9.5000000000000003E-10</v>
      </c>
      <c r="BI277" s="389"/>
      <c r="BJ277" s="389"/>
      <c r="BK277" s="389"/>
      <c r="BL277" s="389"/>
      <c r="BM277" s="389"/>
      <c r="BN277" s="389"/>
      <c r="BO277" s="389"/>
    </row>
    <row r="278" spans="1:67" x14ac:dyDescent="0.3">
      <c r="A278" s="391" t="str">
        <f>'Reference Score Calculation'!A257</f>
        <v>JS6262</v>
      </c>
      <c r="B278" s="412" t="str">
        <f>'Reference Score Calculation'!D257</f>
        <v>工學學士(數據科學及工程)</v>
      </c>
      <c r="C278" s="236"/>
      <c r="D278" s="446" t="str">
        <f>'Reference Score Calculation'!AD257</f>
        <v>Best 5</v>
      </c>
      <c r="E278" s="409" t="str">
        <f>入學要求!T266</f>
        <v>v</v>
      </c>
      <c r="F278" s="409" t="str">
        <f>入學要求!U266</f>
        <v>E</v>
      </c>
      <c r="G278" s="409" t="str">
        <f>入學要求!V266</f>
        <v>NO</v>
      </c>
      <c r="H278" s="413">
        <f t="shared" si="319"/>
        <v>3.1500000000000001E-9</v>
      </c>
      <c r="I278" s="413">
        <v>1</v>
      </c>
      <c r="J278" s="413">
        <v>1</v>
      </c>
      <c r="K278" s="413">
        <v>1</v>
      </c>
      <c r="L278" s="413">
        <v>1</v>
      </c>
      <c r="M278" s="413">
        <v>1</v>
      </c>
      <c r="N278" s="413">
        <v>1</v>
      </c>
      <c r="O278" s="413">
        <v>1</v>
      </c>
      <c r="P278" s="413">
        <v>1</v>
      </c>
      <c r="Q278" s="413">
        <v>1</v>
      </c>
      <c r="R278" s="413">
        <v>1</v>
      </c>
      <c r="S278" s="413"/>
      <c r="T278" s="413">
        <f t="shared" si="320"/>
        <v>1E-10</v>
      </c>
      <c r="U278" s="413">
        <f t="shared" si="321"/>
        <v>2.0000000000000001E-10</v>
      </c>
      <c r="V278" s="413">
        <f t="shared" si="322"/>
        <v>3E-10</v>
      </c>
      <c r="W278" s="413">
        <f t="shared" si="323"/>
        <v>4.0000000000000001E-10</v>
      </c>
      <c r="X278" s="413">
        <f t="shared" si="324"/>
        <v>5.0000000000000003E-10</v>
      </c>
      <c r="Y278" s="413">
        <f t="shared" si="325"/>
        <v>6E-10</v>
      </c>
      <c r="Z278" s="413">
        <f t="shared" si="326"/>
        <v>6.9999999999999996E-10</v>
      </c>
      <c r="AA278" s="413">
        <f t="shared" si="327"/>
        <v>8.0000000000000003E-10</v>
      </c>
      <c r="AB278" s="413">
        <f t="shared" si="328"/>
        <v>8.9999999999999999E-10</v>
      </c>
      <c r="AC278" s="413">
        <f t="shared" si="329"/>
        <v>9.5000000000000003E-10</v>
      </c>
      <c r="AD278" s="413" t="b">
        <f>IF(T278&gt;LARGE((($T278,$W278:$AC278)),4),TRUE)</f>
        <v>0</v>
      </c>
      <c r="AE278" s="447" t="b">
        <v>1</v>
      </c>
      <c r="AF278" s="447" t="b">
        <v>1</v>
      </c>
      <c r="AG278" s="413" t="b">
        <f>IF(W278&gt;LARGE((($T278,$W278:$AC278)),4),TRUE)</f>
        <v>0</v>
      </c>
      <c r="AH278" s="413" t="b">
        <f>IF(X278&gt;LARGE((($T278,$W278:$AC278)),4),TRUE)</f>
        <v>0</v>
      </c>
      <c r="AI278" s="413" t="b">
        <f>IF(Y278&gt;LARGE((($T278,$W278:$AC278)),4),TRUE)</f>
        <v>0</v>
      </c>
      <c r="AJ278" s="413" t="b">
        <f>IF(Z278&gt;LARGE((($T278,$W278:$AC278)),4),TRUE)</f>
        <v>0</v>
      </c>
      <c r="AK278" s="413" t="b">
        <f>IF(AA278&gt;LARGE((($T278,$W278:$AC278)),4),TRUE)</f>
        <v>1</v>
      </c>
      <c r="AL278" s="413" t="b">
        <f>IF(AB278&gt;LARGE((($T278,$W278:$AC278)),4),TRUE)</f>
        <v>1</v>
      </c>
      <c r="AM278" s="413" t="b">
        <f>IF(AC278&gt;LARGE((($T278,$W278:$AC278)),4),TRUE)</f>
        <v>1</v>
      </c>
      <c r="AO278" s="390"/>
      <c r="AP278" s="429"/>
      <c r="AQ278" s="384"/>
      <c r="AR278" s="389"/>
      <c r="AS278" s="389"/>
      <c r="AT278" s="389"/>
      <c r="AU278" s="389"/>
      <c r="AV278" s="390"/>
      <c r="AW278" s="390"/>
      <c r="AX278" s="390"/>
      <c r="AY278" s="429" t="b">
        <f>IF(AY277&gt;LARGE($AY277:$BH277,4),TRUE)</f>
        <v>0</v>
      </c>
      <c r="AZ278" s="448" t="b">
        <v>1</v>
      </c>
      <c r="BA278" s="429" t="b">
        <f>IF(BA277&gt;LARGE($AY277:$BH277,4),TRUE,IF(BA276=$AP$260,TRUE,FALSE))</f>
        <v>0</v>
      </c>
      <c r="BB278" s="429" t="b">
        <f>IF(BB277&gt;LARGE($AY277:$BH277,4),TRUE)</f>
        <v>0</v>
      </c>
      <c r="BC278" s="429" t="b">
        <f>IF(BC277&gt;LARGE($AY277:$BH277,4),TRUE,IF(BC276=$AP$260,TRUE,FALSE))</f>
        <v>1</v>
      </c>
      <c r="BD278" s="429" t="b">
        <f>IF(BD277&gt;LARGE($AY277:$BH277,4),TRUE,IF(BD276=$AV$277,TRUE,FALSE))</f>
        <v>1</v>
      </c>
      <c r="BE278" s="429" t="b">
        <f>IF(BE277&gt;LARGE($AY277:$BH277,4),TRUE,IF(BE276=$AV$277,TRUE,FALSE))</f>
        <v>0</v>
      </c>
      <c r="BF278" s="429" t="b">
        <f>IF(BF277&gt;LARGE($AY277:$BH277,4),TRUE,IF(BF276=$AV$277,TRUE,FALSE))</f>
        <v>1</v>
      </c>
      <c r="BG278" s="429" t="b">
        <f>IF(BG277&gt;LARGE($AY277:$BH277,4),TRUE,IF(BG276=$AV$277,TRUE,FALSE))</f>
        <v>1</v>
      </c>
      <c r="BH278" s="429" t="b">
        <f>IF(BH277&gt;LARGE($AY277:$BH277,4),TRUE,IF(BH276=$AP$260,TRUE,FALSE))</f>
        <v>1</v>
      </c>
      <c r="BI278" s="389"/>
      <c r="BJ278" s="389"/>
      <c r="BK278" s="389"/>
      <c r="BL278" s="389"/>
      <c r="BM278" s="389"/>
      <c r="BN278" s="389"/>
      <c r="BO278" s="389"/>
    </row>
    <row r="279" spans="1:67" x14ac:dyDescent="0.3">
      <c r="A279" s="391" t="str">
        <f>'Reference Score Calculation'!A258</f>
        <v>JS6925</v>
      </c>
      <c r="B279" s="412" t="str">
        <f>'Reference Score Calculation'!D258</f>
        <v>工學學士(生物醫學工程)</v>
      </c>
      <c r="C279" s="236"/>
      <c r="D279" s="358" t="str">
        <f>'Reference Score Calculation'!E258</f>
        <v>Best 5</v>
      </c>
      <c r="E279" s="409" t="str">
        <f>入學要求!T267</f>
        <v>v</v>
      </c>
      <c r="F279" s="409" t="str">
        <f>入學要求!U267</f>
        <v>E</v>
      </c>
      <c r="G279" s="409" t="str">
        <f>入學要求!V267</f>
        <v>NO</v>
      </c>
      <c r="H279" s="413">
        <f t="shared" si="319"/>
        <v>3.1500000000000001E-9</v>
      </c>
      <c r="I279" s="413">
        <v>1</v>
      </c>
      <c r="J279" s="413">
        <v>1</v>
      </c>
      <c r="K279" s="413">
        <v>1</v>
      </c>
      <c r="L279" s="413">
        <v>1</v>
      </c>
      <c r="M279" s="413">
        <v>1</v>
      </c>
      <c r="N279" s="413">
        <v>1</v>
      </c>
      <c r="O279" s="413">
        <v>1</v>
      </c>
      <c r="P279" s="413">
        <v>1</v>
      </c>
      <c r="Q279" s="413">
        <v>1</v>
      </c>
      <c r="R279" s="413">
        <v>1</v>
      </c>
      <c r="S279" s="413"/>
      <c r="T279" s="413">
        <f t="shared" si="320"/>
        <v>1E-10</v>
      </c>
      <c r="U279" s="413">
        <f t="shared" si="321"/>
        <v>2.0000000000000001E-10</v>
      </c>
      <c r="V279" s="413">
        <f t="shared" si="322"/>
        <v>3E-10</v>
      </c>
      <c r="W279" s="413">
        <f t="shared" si="323"/>
        <v>4.0000000000000001E-10</v>
      </c>
      <c r="X279" s="413">
        <f t="shared" si="324"/>
        <v>5.0000000000000003E-10</v>
      </c>
      <c r="Y279" s="413">
        <f t="shared" si="325"/>
        <v>6E-10</v>
      </c>
      <c r="Z279" s="413">
        <f t="shared" si="326"/>
        <v>6.9999999999999996E-10</v>
      </c>
      <c r="AA279" s="413">
        <f t="shared" si="327"/>
        <v>8.0000000000000003E-10</v>
      </c>
      <c r="AB279" s="413">
        <f t="shared" si="328"/>
        <v>8.9999999999999999E-10</v>
      </c>
      <c r="AC279" s="413">
        <f t="shared" si="329"/>
        <v>9.5000000000000003E-10</v>
      </c>
      <c r="AD279" s="413" t="b">
        <f>IF(T279&gt;LARGE((($T279,$W279:$AC279)),4),TRUE)</f>
        <v>0</v>
      </c>
      <c r="AE279" s="447" t="b">
        <v>1</v>
      </c>
      <c r="AF279" s="447" t="b">
        <v>1</v>
      </c>
      <c r="AG279" s="413" t="b">
        <f>IF(W279&gt;LARGE((($T279,$W279:$AC279)),4),TRUE)</f>
        <v>0</v>
      </c>
      <c r="AH279" s="413" t="b">
        <f>IF(X279&gt;LARGE((($T279,$W279:$AC279)),4),TRUE)</f>
        <v>0</v>
      </c>
      <c r="AI279" s="413" t="b">
        <f>IF(Y279&gt;LARGE((($T279,$W279:$AC279)),4),TRUE)</f>
        <v>0</v>
      </c>
      <c r="AJ279" s="413" t="b">
        <f>IF(Z279&gt;LARGE((($T279,$W279:$AC279)),4),TRUE)</f>
        <v>0</v>
      </c>
      <c r="AK279" s="413" t="b">
        <f>IF(AA279&gt;LARGE((($T279,$W279:$AC279)),4),TRUE)</f>
        <v>1</v>
      </c>
      <c r="AL279" s="413" t="b">
        <f>IF(AB279&gt;LARGE((($T279,$W279:$AC279)),4),TRUE)</f>
        <v>1</v>
      </c>
      <c r="AM279" s="413" t="b">
        <f>IF(AC279&gt;LARGE((($T279,$W279:$AC279)),4),TRUE)</f>
        <v>1</v>
      </c>
      <c r="AO279" s="390"/>
      <c r="AP279" s="429"/>
      <c r="AQ279" s="384"/>
      <c r="AR279" s="389"/>
      <c r="AS279" s="389"/>
      <c r="AT279" s="389"/>
      <c r="AU279" s="389"/>
      <c r="AV279" s="390"/>
      <c r="AW279" s="390"/>
      <c r="AX279" s="390"/>
      <c r="AY279" s="390"/>
      <c r="AZ279" s="390"/>
      <c r="BA279" s="429"/>
      <c r="BB279" s="384"/>
      <c r="BC279" s="389"/>
      <c r="BD279" s="389"/>
      <c r="BE279" s="389"/>
      <c r="BF279" s="389"/>
      <c r="BG279" s="389"/>
      <c r="BH279" s="389"/>
      <c r="BI279" s="389"/>
      <c r="BJ279" s="389"/>
      <c r="BK279" s="389"/>
      <c r="BL279" s="389"/>
      <c r="BM279" s="389"/>
      <c r="BN279" s="389"/>
      <c r="BO279" s="389"/>
    </row>
    <row r="280" spans="1:67" x14ac:dyDescent="0.3">
      <c r="A280" s="391" t="str">
        <f>'Reference Score Calculation'!A259</f>
        <v>JS6937</v>
      </c>
      <c r="B280" s="412" t="str">
        <f>'Reference Score Calculation'!D259</f>
        <v>環球工程與商業課程</v>
      </c>
      <c r="C280" s="236"/>
      <c r="D280" s="358" t="str">
        <f>'Reference Score Calculation'!E259</f>
        <v>Best 5</v>
      </c>
      <c r="E280" s="409" t="str">
        <f>入學要求!T268</f>
        <v>v</v>
      </c>
      <c r="F280" s="409" t="str">
        <f>入學要求!U268</f>
        <v>E</v>
      </c>
      <c r="G280" s="409" t="str">
        <f>入學要求!V268</f>
        <v>NO</v>
      </c>
      <c r="H280" s="413">
        <f t="shared" si="319"/>
        <v>3.1500000000000001E-9</v>
      </c>
      <c r="I280" s="413">
        <v>1</v>
      </c>
      <c r="J280" s="413">
        <v>1</v>
      </c>
      <c r="K280" s="413">
        <v>1</v>
      </c>
      <c r="L280" s="413">
        <v>1</v>
      </c>
      <c r="M280" s="413">
        <v>1</v>
      </c>
      <c r="N280" s="413">
        <v>1</v>
      </c>
      <c r="O280" s="413">
        <v>1</v>
      </c>
      <c r="P280" s="413">
        <v>1</v>
      </c>
      <c r="Q280" s="413">
        <v>1</v>
      </c>
      <c r="R280" s="413">
        <v>1</v>
      </c>
      <c r="S280" s="413"/>
      <c r="T280" s="413">
        <f t="shared" si="320"/>
        <v>1E-10</v>
      </c>
      <c r="U280" s="413">
        <f t="shared" si="321"/>
        <v>2.0000000000000001E-10</v>
      </c>
      <c r="V280" s="413">
        <f t="shared" si="322"/>
        <v>3E-10</v>
      </c>
      <c r="W280" s="413">
        <f t="shared" si="323"/>
        <v>4.0000000000000001E-10</v>
      </c>
      <c r="X280" s="413">
        <f t="shared" si="324"/>
        <v>5.0000000000000003E-10</v>
      </c>
      <c r="Y280" s="413">
        <f t="shared" si="325"/>
        <v>6E-10</v>
      </c>
      <c r="Z280" s="413">
        <f t="shared" si="326"/>
        <v>6.9999999999999996E-10</v>
      </c>
      <c r="AA280" s="413">
        <f t="shared" si="327"/>
        <v>8.0000000000000003E-10</v>
      </c>
      <c r="AB280" s="413">
        <f t="shared" si="328"/>
        <v>8.9999999999999999E-10</v>
      </c>
      <c r="AC280" s="413">
        <f t="shared" si="329"/>
        <v>9.5000000000000003E-10</v>
      </c>
      <c r="AD280" s="413" t="b">
        <f>IF(T280&gt;LARGE((($T280,$W280:$AC280)),4),TRUE)</f>
        <v>0</v>
      </c>
      <c r="AE280" s="447" t="b">
        <v>1</v>
      </c>
      <c r="AF280" s="447" t="b">
        <v>1</v>
      </c>
      <c r="AG280" s="413" t="b">
        <f>IF(W280&gt;LARGE((($T280,$W280:$AC280)),4),TRUE)</f>
        <v>0</v>
      </c>
      <c r="AH280" s="413" t="b">
        <f>IF(X280&gt;LARGE((($T280,$W280:$AC280)),4),TRUE)</f>
        <v>0</v>
      </c>
      <c r="AI280" s="413" t="b">
        <f>IF(Y280&gt;LARGE((($T280,$W280:$AC280)),4),TRUE)</f>
        <v>0</v>
      </c>
      <c r="AJ280" s="413" t="b">
        <f>IF(Z280&gt;LARGE((($T280,$W280:$AC280)),4),TRUE)</f>
        <v>0</v>
      </c>
      <c r="AK280" s="413" t="b">
        <f>IF(AA280&gt;LARGE((($T280,$W280:$AC280)),4),TRUE)</f>
        <v>1</v>
      </c>
      <c r="AL280" s="413" t="b">
        <f>IF(AB280&gt;LARGE((($T280,$W280:$AC280)),4),TRUE)</f>
        <v>1</v>
      </c>
      <c r="AM280" s="413" t="b">
        <f>IF(AC280&gt;LARGE((($T280,$W280:$AC280)),4),TRUE)</f>
        <v>1</v>
      </c>
      <c r="AO280" s="390"/>
      <c r="AP280" s="383"/>
      <c r="AQ280" s="383"/>
      <c r="AR280" s="389"/>
      <c r="AS280" s="389"/>
      <c r="AT280" s="389"/>
      <c r="AU280" s="389"/>
      <c r="AV280" s="410" t="s">
        <v>2899</v>
      </c>
      <c r="AW280" s="390"/>
      <c r="AX280" s="390"/>
      <c r="AY280" s="383" t="str">
        <f t="shared" ref="AY280:BH280" si="395">I$1</f>
        <v>中國語文</v>
      </c>
      <c r="AZ280" s="383" t="str">
        <f t="shared" si="395"/>
        <v>英國語文</v>
      </c>
      <c r="BA280" s="383" t="str">
        <f t="shared" si="395"/>
        <v>數學</v>
      </c>
      <c r="BB280" s="383" t="str">
        <f t="shared" si="395"/>
        <v>通識教育</v>
      </c>
      <c r="BC280" s="383" t="str">
        <f t="shared" si="395"/>
        <v>數學延伸</v>
      </c>
      <c r="BD280" s="383" t="str">
        <f t="shared" si="395"/>
        <v>請選擇第一選修科</v>
      </c>
      <c r="BE280" s="383" t="str">
        <f t="shared" si="395"/>
        <v>請選擇第二選修科</v>
      </c>
      <c r="BF280" s="383" t="str">
        <f t="shared" si="395"/>
        <v>請選擇第三選修科</v>
      </c>
      <c r="BG280" s="383" t="str">
        <f t="shared" si="395"/>
        <v>請選擇第四選修科</v>
      </c>
      <c r="BH280" s="383" t="str">
        <f t="shared" si="395"/>
        <v>請選擇語言科目</v>
      </c>
      <c r="BI280" s="389"/>
      <c r="BJ280" s="389"/>
      <c r="BK280" s="389"/>
      <c r="BL280" s="389"/>
      <c r="BM280" s="389"/>
      <c r="BN280" s="389"/>
      <c r="BO280" s="389"/>
    </row>
    <row r="281" spans="1:67" x14ac:dyDescent="0.3">
      <c r="A281" s="391" t="str">
        <f>'Reference Score Calculation'!A260</f>
        <v>JS6951</v>
      </c>
      <c r="B281" s="412" t="str">
        <f>'Reference Score Calculation'!D260</f>
        <v>工學學士(工程科學)</v>
      </c>
      <c r="C281" s="236"/>
      <c r="D281" s="358" t="str">
        <f>'Reference Score Calculation'!E260</f>
        <v>Best 5</v>
      </c>
      <c r="E281" s="409" t="str">
        <f>入學要求!T269</f>
        <v>v</v>
      </c>
      <c r="F281" s="409" t="str">
        <f>入學要求!U269</f>
        <v>E</v>
      </c>
      <c r="G281" s="409" t="str">
        <f>入學要求!V269</f>
        <v>NO</v>
      </c>
      <c r="H281" s="413">
        <f t="shared" si="319"/>
        <v>3.1500000000000001E-9</v>
      </c>
      <c r="I281" s="413">
        <v>1</v>
      </c>
      <c r="J281" s="413">
        <v>1</v>
      </c>
      <c r="K281" s="413">
        <v>1</v>
      </c>
      <c r="L281" s="413">
        <v>1</v>
      </c>
      <c r="M281" s="413">
        <v>1</v>
      </c>
      <c r="N281" s="413">
        <v>1</v>
      </c>
      <c r="O281" s="413">
        <v>1</v>
      </c>
      <c r="P281" s="413">
        <v>1</v>
      </c>
      <c r="Q281" s="413">
        <v>1</v>
      </c>
      <c r="R281" s="413">
        <v>1</v>
      </c>
      <c r="S281" s="413"/>
      <c r="T281" s="413">
        <f t="shared" si="320"/>
        <v>1E-10</v>
      </c>
      <c r="U281" s="413">
        <f t="shared" si="321"/>
        <v>2.0000000000000001E-10</v>
      </c>
      <c r="V281" s="413">
        <f t="shared" si="322"/>
        <v>3E-10</v>
      </c>
      <c r="W281" s="413">
        <f t="shared" si="323"/>
        <v>4.0000000000000001E-10</v>
      </c>
      <c r="X281" s="413">
        <f t="shared" si="324"/>
        <v>5.0000000000000003E-10</v>
      </c>
      <c r="Y281" s="413">
        <f t="shared" si="325"/>
        <v>6E-10</v>
      </c>
      <c r="Z281" s="413">
        <f t="shared" si="326"/>
        <v>6.9999999999999996E-10</v>
      </c>
      <c r="AA281" s="413">
        <f t="shared" si="327"/>
        <v>8.0000000000000003E-10</v>
      </c>
      <c r="AB281" s="413">
        <f t="shared" si="328"/>
        <v>8.9999999999999999E-10</v>
      </c>
      <c r="AC281" s="413">
        <f>IF(F281="E",R$8*R281,0)</f>
        <v>9.5000000000000003E-10</v>
      </c>
      <c r="AD281" s="413" t="b">
        <f>IF(T281&gt;LARGE((($T281,$W281:$AC281)),4),TRUE)</f>
        <v>0</v>
      </c>
      <c r="AE281" s="447" t="b">
        <v>1</v>
      </c>
      <c r="AF281" s="447" t="b">
        <v>1</v>
      </c>
      <c r="AG281" s="413" t="b">
        <f>IF(W281&gt;LARGE((($T281,$W281:$AC281)),4),TRUE)</f>
        <v>0</v>
      </c>
      <c r="AH281" s="413" t="b">
        <f>IF(X281&gt;LARGE((($T281,$W281:$AC281)),4),TRUE)</f>
        <v>0</v>
      </c>
      <c r="AI281" s="413" t="b">
        <f>IF(Y281&gt;LARGE((($T281,$W281:$AC281)),4),TRUE)</f>
        <v>0</v>
      </c>
      <c r="AJ281" s="413" t="b">
        <f>IF(Z281&gt;LARGE((($T281,$W281:$AC281)),4),TRUE)</f>
        <v>0</v>
      </c>
      <c r="AK281" s="413" t="b">
        <f>IF(AA281&gt;LARGE((($T281,$W281:$AC281)),4),TRUE)</f>
        <v>1</v>
      </c>
      <c r="AL281" s="413" t="b">
        <f>IF(AB281&gt;LARGE((($T281,$W281:$AC281)),4),TRUE)</f>
        <v>1</v>
      </c>
      <c r="AM281" s="413" t="b">
        <f>IF(AC281&gt;LARGE((($T281,$W281:$AC281)),4),TRUE)</f>
        <v>1</v>
      </c>
      <c r="AO281" s="390" t="s">
        <v>3351</v>
      </c>
      <c r="AP281" s="429" t="s">
        <v>3391</v>
      </c>
      <c r="AQ281" s="384"/>
      <c r="AR281" s="389"/>
      <c r="AS281" s="389"/>
      <c r="AT281" s="389"/>
      <c r="AU281" s="389"/>
      <c r="AV281" s="403" t="str">
        <f>INDEX(AP264:AS264,MATCH(LARGE(AP265:AS265,1),AP265:AS265,0))</f>
        <v>請選擇第一選修科</v>
      </c>
      <c r="AW281" s="403">
        <f>LARGE((AP265:AS265),1)</f>
        <v>0</v>
      </c>
      <c r="AX281" s="390"/>
      <c r="AY281" s="430">
        <f>I$8</f>
        <v>1E-10</v>
      </c>
      <c r="AZ281" s="430">
        <v>0</v>
      </c>
      <c r="BA281" s="430">
        <v>0</v>
      </c>
      <c r="BB281" s="430">
        <f>L$8</f>
        <v>4.0000000000000001E-10</v>
      </c>
      <c r="BC281" s="430">
        <f>M$8*2</f>
        <v>1.0000000000000001E-9</v>
      </c>
      <c r="BD281" s="430">
        <f>IF(BD280=$AV$277,0,IF(OR(N$1="化學",N$1="生物",N$1="組合科學(物理、化學)",N$1="組合科學(生物、化學)",N$1="組合科學(物理、生物)",N$1="物理",N$1="綜合科學"),N$8*2,N$8*1.25))</f>
        <v>0</v>
      </c>
      <c r="BE281" s="430">
        <f>IF(BE280=$AV$277,0,IF(OR(O$1="化學",O$1="生物",O$1="組合科學(物理、化學)",O$1="組合科學(生物、化學)",O$1="組合科學(物理、生物)",O$1="物理",O$1="綜合科學"),O$8*2,O$8*1.25))</f>
        <v>8.7499999999999998E-10</v>
      </c>
      <c r="BF281" s="430">
        <f>IF(BF280=$AV$277,0,IF(OR(P$1="化學",P$1="生物",P$1="組合科學(物理、化學)",P$1="組合科學(生物、化學)",P$1="組合科學(物理、生物)",P$1="物理",P$1="綜合科學"),P$8*2,P$8*1.25))</f>
        <v>1.0000000000000001E-9</v>
      </c>
      <c r="BG281" s="430">
        <f>IF(BG280=$AV$277,0,IF(OR(Q$1="化學",Q$1="生物",Q$1="組合科學(物理、化學)",Q$1="組合科學(生物、化學)",Q$1="組合科學(物理、生物)",Q$1="物理",Q$1="綜合科學"),Q$8*2,Q$8*1.25))</f>
        <v>1.1249999999999999E-9</v>
      </c>
      <c r="BH281" s="430">
        <f>IF(BH280=$AV$277,0,IF(OR(R$1="化學",R$1="生物",R$1="組合科學(物理、化學)",R$1="組合科學(生物、化學)",R$1="組合科學(物理、生物)",R$1="物理",R$1="綜合科學"),R$8*2,R$8*1.25))</f>
        <v>1.1875000000000001E-9</v>
      </c>
      <c r="BI281" s="389"/>
      <c r="BJ281" s="389"/>
      <c r="BK281" s="389"/>
      <c r="BL281" s="389"/>
      <c r="BM281" s="389"/>
      <c r="BN281" s="389"/>
      <c r="BO281" s="389"/>
    </row>
    <row r="282" spans="1:67" x14ac:dyDescent="0.3">
      <c r="A282" s="391" t="str">
        <f>'Reference Score Calculation'!A261</f>
        <v>JS6963</v>
      </c>
      <c r="B282" s="412" t="str">
        <f>'Reference Score Calculation'!D261</f>
        <v>工學學士</v>
      </c>
      <c r="C282" s="236"/>
      <c r="D282" s="358" t="str">
        <f>'Reference Score Calculation'!E261</f>
        <v>Best 5</v>
      </c>
      <c r="E282" s="409" t="str">
        <f>入學要求!T270</f>
        <v>v</v>
      </c>
      <c r="F282" s="409" t="str">
        <f>入學要求!U270</f>
        <v>E</v>
      </c>
      <c r="G282" s="409" t="str">
        <f>入學要求!V270</f>
        <v>NO</v>
      </c>
      <c r="H282" s="413">
        <f t="shared" si="319"/>
        <v>3.1500000000000001E-9</v>
      </c>
      <c r="I282" s="413">
        <v>1</v>
      </c>
      <c r="J282" s="413">
        <v>1</v>
      </c>
      <c r="K282" s="413">
        <v>1</v>
      </c>
      <c r="L282" s="413">
        <v>1</v>
      </c>
      <c r="M282" s="413">
        <v>1</v>
      </c>
      <c r="N282" s="413">
        <v>1</v>
      </c>
      <c r="O282" s="413">
        <v>1</v>
      </c>
      <c r="P282" s="413">
        <v>1</v>
      </c>
      <c r="Q282" s="413">
        <v>1</v>
      </c>
      <c r="R282" s="413">
        <v>1</v>
      </c>
      <c r="S282" s="413"/>
      <c r="T282" s="413">
        <f t="shared" si="320"/>
        <v>1E-10</v>
      </c>
      <c r="U282" s="413">
        <f t="shared" si="321"/>
        <v>2.0000000000000001E-10</v>
      </c>
      <c r="V282" s="413">
        <f t="shared" si="322"/>
        <v>3E-10</v>
      </c>
      <c r="W282" s="413">
        <f t="shared" si="323"/>
        <v>4.0000000000000001E-10</v>
      </c>
      <c r="X282" s="413">
        <f t="shared" si="324"/>
        <v>5.0000000000000003E-10</v>
      </c>
      <c r="Y282" s="413">
        <f t="shared" si="325"/>
        <v>6E-10</v>
      </c>
      <c r="Z282" s="413">
        <f t="shared" si="326"/>
        <v>6.9999999999999996E-10</v>
      </c>
      <c r="AA282" s="413">
        <f t="shared" si="327"/>
        <v>8.0000000000000003E-10</v>
      </c>
      <c r="AB282" s="413">
        <f t="shared" si="328"/>
        <v>8.9999999999999999E-10</v>
      </c>
      <c r="AC282" s="413">
        <f t="shared" si="329"/>
        <v>9.5000000000000003E-10</v>
      </c>
      <c r="AD282" s="413" t="b">
        <f>IF(T282&gt;LARGE((($T282,$W282:$AC282)),4),TRUE)</f>
        <v>0</v>
      </c>
      <c r="AE282" s="447" t="b">
        <v>1</v>
      </c>
      <c r="AF282" s="447" t="b">
        <v>1</v>
      </c>
      <c r="AG282" s="413" t="b">
        <f>IF(W282&gt;LARGE((($T282,$W282:$AC282)),4),TRUE)</f>
        <v>0</v>
      </c>
      <c r="AH282" s="413" t="b">
        <f>IF(X282&gt;LARGE((($T282,$W282:$AC282)),4),TRUE)</f>
        <v>0</v>
      </c>
      <c r="AI282" s="413" t="b">
        <f>IF(Y282&gt;LARGE((($T282,$W282:$AC282)),4),TRUE)</f>
        <v>0</v>
      </c>
      <c r="AJ282" s="413" t="b">
        <f>IF(Z282&gt;LARGE((($T282,$W282:$AC282)),4),TRUE)</f>
        <v>0</v>
      </c>
      <c r="AK282" s="413" t="b">
        <f>IF(AA282&gt;LARGE((($T282,$W282:$AC282)),4),TRUE)</f>
        <v>1</v>
      </c>
      <c r="AL282" s="413" t="b">
        <f>IF(AB282&gt;LARGE((($T282,$W282:$AC282)),4),TRUE)</f>
        <v>1</v>
      </c>
      <c r="AM282" s="413" t="b">
        <f>IF(AC282&gt;LARGE((($T282,$W282:$AC282)),4),TRUE)</f>
        <v>1</v>
      </c>
      <c r="AO282" s="390"/>
      <c r="AP282" s="429"/>
      <c r="AQ282" s="384"/>
      <c r="AR282" s="389"/>
      <c r="AS282" s="389"/>
      <c r="AT282" s="389"/>
      <c r="AU282" s="389"/>
      <c r="AV282" s="390"/>
      <c r="AW282" s="390"/>
      <c r="AX282" s="390"/>
      <c r="AY282" s="429" t="b">
        <f>IF(AY281&gt;LARGE($AY281:$BH281,3),TRUE)</f>
        <v>0</v>
      </c>
      <c r="AZ282" s="448" t="b">
        <v>1</v>
      </c>
      <c r="BA282" s="448" t="b">
        <v>1</v>
      </c>
      <c r="BB282" s="429" t="b">
        <f t="shared" ref="BB282" si="396">IF(BB281&gt;LARGE($AY281:$BH281,3),TRUE)</f>
        <v>0</v>
      </c>
      <c r="BC282" s="429" t="b">
        <f>IF(BC281&gt;LARGE($AY281:$BH281,3),TRUE)</f>
        <v>0</v>
      </c>
      <c r="BD282" s="429" t="b">
        <f>IF(BD281&gt;LARGE($AY281:$BH281,3),TRUE,IF(BD280=$AV$281,TRUE,FALSE))</f>
        <v>1</v>
      </c>
      <c r="BE282" s="429" t="b">
        <f t="shared" ref="BE282:BH282" si="397">IF(BE281&gt;LARGE($AY281:$BH281,3),TRUE,IF(BE280=$AV$281,TRUE,FALSE))</f>
        <v>0</v>
      </c>
      <c r="BF282" s="429" t="b">
        <f t="shared" si="397"/>
        <v>0</v>
      </c>
      <c r="BG282" s="429" t="b">
        <f t="shared" si="397"/>
        <v>1</v>
      </c>
      <c r="BH282" s="429" t="b">
        <f t="shared" si="397"/>
        <v>1</v>
      </c>
      <c r="BI282" s="389"/>
      <c r="BJ282" s="389"/>
      <c r="BK282" s="389"/>
      <c r="BL282" s="389"/>
      <c r="BM282" s="389"/>
      <c r="BN282" s="389"/>
      <c r="BO282" s="389"/>
    </row>
    <row r="283" spans="1:67" x14ac:dyDescent="0.3">
      <c r="A283" s="391" t="str">
        <f>'Reference Score Calculation'!A262</f>
        <v>JS6078</v>
      </c>
      <c r="B283" s="412" t="str">
        <f>'Reference Score Calculation'!D262</f>
        <v>文學士及法學士 (雙學位課程)</v>
      </c>
      <c r="C283" s="236"/>
      <c r="D283" s="358" t="str">
        <f>'Reference Score Calculation'!E262</f>
        <v>Best 6</v>
      </c>
      <c r="E283" s="409" t="str">
        <f>入學要求!T271</f>
        <v>v</v>
      </c>
      <c r="F283" s="409" t="str">
        <f>入學要求!U271</f>
        <v>NO</v>
      </c>
      <c r="G283" s="409" t="str">
        <f>入學要求!V271</f>
        <v>NO</v>
      </c>
      <c r="H283" s="413">
        <f t="shared" si="319"/>
        <v>3.7E-9</v>
      </c>
      <c r="I283" s="413">
        <v>1</v>
      </c>
      <c r="J283" s="413">
        <v>1</v>
      </c>
      <c r="K283" s="413">
        <v>1</v>
      </c>
      <c r="L283" s="413">
        <v>1</v>
      </c>
      <c r="M283" s="413">
        <v>1</v>
      </c>
      <c r="N283" s="413">
        <v>1</v>
      </c>
      <c r="O283" s="413">
        <v>1</v>
      </c>
      <c r="P283" s="413">
        <v>1</v>
      </c>
      <c r="Q283" s="413">
        <v>1</v>
      </c>
      <c r="R283" s="413">
        <v>1</v>
      </c>
      <c r="S283" s="413"/>
      <c r="T283" s="413">
        <f t="shared" si="320"/>
        <v>1E-10</v>
      </c>
      <c r="U283" s="413">
        <f t="shared" si="321"/>
        <v>2.0000000000000001E-10</v>
      </c>
      <c r="V283" s="413">
        <f t="shared" si="322"/>
        <v>3E-10</v>
      </c>
      <c r="W283" s="413">
        <f t="shared" si="323"/>
        <v>4.0000000000000001E-10</v>
      </c>
      <c r="X283" s="413">
        <f t="shared" si="324"/>
        <v>5.0000000000000003E-10</v>
      </c>
      <c r="Y283" s="413">
        <f t="shared" si="325"/>
        <v>6E-10</v>
      </c>
      <c r="Z283" s="413">
        <f t="shared" si="326"/>
        <v>6.9999999999999996E-10</v>
      </c>
      <c r="AA283" s="413">
        <f t="shared" si="327"/>
        <v>8.0000000000000003E-10</v>
      </c>
      <c r="AB283" s="413">
        <f t="shared" si="328"/>
        <v>8.9999999999999999E-10</v>
      </c>
      <c r="AC283" s="413">
        <f t="shared" si="329"/>
        <v>0</v>
      </c>
      <c r="AD283" s="413" t="b">
        <f>IF(T283&gt;LARGE((($T283,$V283:$AC283)),6),TRUE)</f>
        <v>0</v>
      </c>
      <c r="AE283" s="447" t="b">
        <v>1</v>
      </c>
      <c r="AF283" s="413" t="b">
        <f>IF(V283&gt;LARGE((($T283,$V283:$AC283)),6),TRUE)</f>
        <v>0</v>
      </c>
      <c r="AG283" s="413" t="b">
        <f>IF(W283&gt;LARGE((($T283,$V283:$AC283)),6),TRUE)</f>
        <v>0</v>
      </c>
      <c r="AH283" s="413" t="b">
        <f>IF(X283&gt;LARGE((($T283,$V283:$AC283)),6),TRUE)</f>
        <v>1</v>
      </c>
      <c r="AI283" s="413" t="b">
        <f>IF(Y283&gt;LARGE((($T283,$V283:$AC283)),6),TRUE)</f>
        <v>1</v>
      </c>
      <c r="AJ283" s="413" t="b">
        <f>IF(Z283&gt;LARGE((($T283,$V283:$AC283)),6),TRUE)</f>
        <v>1</v>
      </c>
      <c r="AK283" s="413" t="b">
        <f>IF(AA283&gt;LARGE((($T283,$V283:$AC283)),6),TRUE)</f>
        <v>1</v>
      </c>
      <c r="AL283" s="413" t="b">
        <f>IF(AB283&gt;LARGE((($T283,$V283:$AC283)),6),TRUE)</f>
        <v>1</v>
      </c>
      <c r="AM283" s="413" t="b">
        <f>IF(AC283&gt;LARGE((($T283,$V283:$AC283)),6),TRUE)</f>
        <v>0</v>
      </c>
      <c r="AO283" s="389"/>
      <c r="AP283" s="389"/>
      <c r="AQ283" s="389"/>
      <c r="AR283" s="389"/>
      <c r="AS283" s="389"/>
      <c r="AT283" s="389"/>
      <c r="AU283" s="389"/>
      <c r="AV283" s="389"/>
      <c r="AW283" s="389"/>
      <c r="AX283" s="389"/>
      <c r="AY283" s="389"/>
      <c r="AZ283" s="389"/>
      <c r="BA283" s="389"/>
      <c r="BB283" s="389"/>
      <c r="BC283" s="389"/>
      <c r="BD283" s="389"/>
      <c r="BE283" s="389"/>
      <c r="BF283" s="389"/>
      <c r="BG283" s="389"/>
      <c r="BH283" s="389"/>
      <c r="BI283" s="389"/>
      <c r="BJ283" s="389"/>
      <c r="BK283" s="389"/>
      <c r="BL283" s="389"/>
      <c r="BM283" s="389"/>
      <c r="BN283" s="389"/>
      <c r="BO283" s="389"/>
    </row>
    <row r="284" spans="1:67" x14ac:dyDescent="0.3">
      <c r="A284" s="391" t="str">
        <f>'Reference Score Calculation'!A263</f>
        <v>JS6406</v>
      </c>
      <c r="B284" s="412" t="str">
        <f>'Reference Score Calculation'!D263</f>
        <v>法學士</v>
      </c>
      <c r="C284" s="236"/>
      <c r="D284" s="358" t="str">
        <f>'Reference Score Calculation'!E263</f>
        <v>Best 6</v>
      </c>
      <c r="E284" s="409" t="str">
        <f>入學要求!T272</f>
        <v>v</v>
      </c>
      <c r="F284" s="409" t="str">
        <f>入學要求!U272</f>
        <v>NO</v>
      </c>
      <c r="G284" s="409" t="str">
        <f>入學要求!V272</f>
        <v>NO</v>
      </c>
      <c r="H284" s="413">
        <f t="shared" si="319"/>
        <v>3.7E-9</v>
      </c>
      <c r="I284" s="413">
        <v>1</v>
      </c>
      <c r="J284" s="413">
        <v>1</v>
      </c>
      <c r="K284" s="413">
        <v>1</v>
      </c>
      <c r="L284" s="413">
        <v>1</v>
      </c>
      <c r="M284" s="413">
        <v>1</v>
      </c>
      <c r="N284" s="413">
        <v>1</v>
      </c>
      <c r="O284" s="413">
        <v>1</v>
      </c>
      <c r="P284" s="413">
        <v>1</v>
      </c>
      <c r="Q284" s="413">
        <v>1</v>
      </c>
      <c r="R284" s="413">
        <v>1</v>
      </c>
      <c r="S284" s="413"/>
      <c r="T284" s="413">
        <f t="shared" si="320"/>
        <v>1E-10</v>
      </c>
      <c r="U284" s="413">
        <f t="shared" si="321"/>
        <v>2.0000000000000001E-10</v>
      </c>
      <c r="V284" s="413">
        <f t="shared" si="322"/>
        <v>3E-10</v>
      </c>
      <c r="W284" s="413">
        <f t="shared" si="323"/>
        <v>4.0000000000000001E-10</v>
      </c>
      <c r="X284" s="413">
        <f t="shared" si="324"/>
        <v>5.0000000000000003E-10</v>
      </c>
      <c r="Y284" s="413">
        <f t="shared" si="325"/>
        <v>6E-10</v>
      </c>
      <c r="Z284" s="413">
        <f t="shared" si="326"/>
        <v>6.9999999999999996E-10</v>
      </c>
      <c r="AA284" s="413">
        <f t="shared" si="327"/>
        <v>8.0000000000000003E-10</v>
      </c>
      <c r="AB284" s="413">
        <f t="shared" si="328"/>
        <v>8.9999999999999999E-10</v>
      </c>
      <c r="AC284" s="413">
        <f t="shared" si="329"/>
        <v>0</v>
      </c>
      <c r="AD284" s="413" t="b">
        <f>IF(T284&gt;LARGE((($T284,$V284:$AC284)),6),TRUE)</f>
        <v>0</v>
      </c>
      <c r="AE284" s="447" t="b">
        <v>1</v>
      </c>
      <c r="AF284" s="413" t="b">
        <f>IF(V284&gt;LARGE((($T284,$V284:$AC284)),6),TRUE)</f>
        <v>0</v>
      </c>
      <c r="AG284" s="413" t="b">
        <f>IF(W284&gt;LARGE((($T284,$V284:$AC284)),6),TRUE)</f>
        <v>0</v>
      </c>
      <c r="AH284" s="413" t="b">
        <f>IF(X284&gt;LARGE((($T284,$V284:$AC284)),6),TRUE)</f>
        <v>1</v>
      </c>
      <c r="AI284" s="413" t="b">
        <f>IF(Y284&gt;LARGE((($T284,$V284:$AC284)),6),TRUE)</f>
        <v>1</v>
      </c>
      <c r="AJ284" s="413" t="b">
        <f>IF(Z284&gt;LARGE((($T284,$V284:$AC284)),6),TRUE)</f>
        <v>1</v>
      </c>
      <c r="AK284" s="413" t="b">
        <f>IF(AA284&gt;LARGE((($T284,$V284:$AC284)),6),TRUE)</f>
        <v>1</v>
      </c>
      <c r="AL284" s="413" t="b">
        <f>IF(AB284&gt;LARGE((($T284,$V284:$AC284)),6),TRUE)</f>
        <v>1</v>
      </c>
      <c r="AM284" s="413" t="b">
        <f>IF(AC284&gt;LARGE((($T284,$V284:$AC284)),6),TRUE)</f>
        <v>0</v>
      </c>
      <c r="AO284" s="389"/>
      <c r="AP284" s="389"/>
      <c r="AQ284" s="389"/>
      <c r="AR284" s="389"/>
      <c r="AS284" s="389"/>
      <c r="AT284" s="389"/>
      <c r="AU284" s="389"/>
      <c r="AV284" s="389"/>
      <c r="AW284" s="389"/>
      <c r="AX284" s="389"/>
      <c r="AY284" s="389"/>
      <c r="AZ284" s="389"/>
      <c r="BA284" s="389"/>
      <c r="BB284" s="389"/>
      <c r="BC284" s="389"/>
      <c r="BD284" s="389"/>
      <c r="BE284" s="389"/>
      <c r="BF284" s="389"/>
      <c r="BG284" s="389"/>
      <c r="BH284" s="389"/>
      <c r="BI284" s="389"/>
      <c r="BJ284" s="389"/>
      <c r="BK284" s="389"/>
      <c r="BL284" s="389"/>
      <c r="BM284" s="389"/>
      <c r="BN284" s="389"/>
      <c r="BO284" s="389"/>
    </row>
    <row r="285" spans="1:67" x14ac:dyDescent="0.3">
      <c r="A285" s="391" t="str">
        <f>'Reference Score Calculation'!A264</f>
        <v>JS6418</v>
      </c>
      <c r="B285" s="412" t="str">
        <f>'Reference Score Calculation'!D264</f>
        <v>護理學學士菁英領袖培育專修組別</v>
      </c>
      <c r="C285" s="236"/>
      <c r="D285" s="358" t="str">
        <f>'Reference Score Calculation'!E264</f>
        <v>Best 5</v>
      </c>
      <c r="E285" s="409" t="str">
        <f>入學要求!T273</f>
        <v>v</v>
      </c>
      <c r="F285" s="409" t="str">
        <f>入學要求!U273</f>
        <v>E</v>
      </c>
      <c r="G285" s="409" t="str">
        <f>入學要求!V273</f>
        <v>NO</v>
      </c>
      <c r="H285" s="413">
        <f t="shared" si="319"/>
        <v>3.9500000000000006E-9</v>
      </c>
      <c r="I285" s="413">
        <v>1</v>
      </c>
      <c r="J285" s="413">
        <v>1</v>
      </c>
      <c r="K285" s="413">
        <v>1</v>
      </c>
      <c r="L285" s="413">
        <v>1</v>
      </c>
      <c r="M285" s="413">
        <v>1</v>
      </c>
      <c r="N285" s="413">
        <v>1</v>
      </c>
      <c r="O285" s="413">
        <v>1</v>
      </c>
      <c r="P285" s="413">
        <v>1</v>
      </c>
      <c r="Q285" s="413">
        <v>1</v>
      </c>
      <c r="R285" s="413">
        <v>1</v>
      </c>
      <c r="S285" s="413"/>
      <c r="T285" s="413">
        <f t="shared" si="320"/>
        <v>1E-10</v>
      </c>
      <c r="U285" s="413">
        <f t="shared" si="321"/>
        <v>2.0000000000000001E-10</v>
      </c>
      <c r="V285" s="413">
        <f t="shared" si="322"/>
        <v>3E-10</v>
      </c>
      <c r="W285" s="413">
        <f t="shared" si="323"/>
        <v>4.0000000000000001E-10</v>
      </c>
      <c r="X285" s="413">
        <f t="shared" si="324"/>
        <v>5.0000000000000003E-10</v>
      </c>
      <c r="Y285" s="413">
        <f t="shared" si="325"/>
        <v>6E-10</v>
      </c>
      <c r="Z285" s="413">
        <f t="shared" si="326"/>
        <v>6.9999999999999996E-10</v>
      </c>
      <c r="AA285" s="413">
        <f t="shared" si="327"/>
        <v>8.0000000000000003E-10</v>
      </c>
      <c r="AB285" s="413">
        <f t="shared" si="328"/>
        <v>8.9999999999999999E-10</v>
      </c>
      <c r="AC285" s="413">
        <f t="shared" si="329"/>
        <v>9.5000000000000003E-10</v>
      </c>
      <c r="AD285" s="413" t="b">
        <f>IF(T285&gt;LARGE(($T285:$AC285),6),TRUE)</f>
        <v>0</v>
      </c>
      <c r="AE285" s="413" t="b">
        <f t="shared" ref="AE285:AM285" si="398">IF(U285&gt;LARGE(($T285:$AC285),6),TRUE)</f>
        <v>0</v>
      </c>
      <c r="AF285" s="413" t="b">
        <f t="shared" si="398"/>
        <v>0</v>
      </c>
      <c r="AG285" s="413" t="b">
        <f t="shared" si="398"/>
        <v>0</v>
      </c>
      <c r="AH285" s="413" t="b">
        <f t="shared" si="398"/>
        <v>0</v>
      </c>
      <c r="AI285" s="413" t="b">
        <f t="shared" si="398"/>
        <v>1</v>
      </c>
      <c r="AJ285" s="413" t="b">
        <f t="shared" si="398"/>
        <v>1</v>
      </c>
      <c r="AK285" s="413" t="b">
        <f t="shared" si="398"/>
        <v>1</v>
      </c>
      <c r="AL285" s="413" t="b">
        <f t="shared" si="398"/>
        <v>1</v>
      </c>
      <c r="AM285" s="413" t="b">
        <f t="shared" si="398"/>
        <v>1</v>
      </c>
      <c r="AO285" s="390"/>
      <c r="AP285" s="429"/>
      <c r="AQ285" s="384"/>
      <c r="AR285" s="389"/>
      <c r="AS285" s="389"/>
      <c r="AT285" s="389"/>
      <c r="AU285" s="389"/>
      <c r="AV285" s="390"/>
      <c r="AW285" s="390"/>
      <c r="AX285" s="384"/>
      <c r="AY285" s="390"/>
      <c r="AZ285" s="390"/>
      <c r="BA285" s="429"/>
      <c r="BB285" s="384"/>
      <c r="BC285" s="389"/>
      <c r="BD285" s="389"/>
      <c r="BE285" s="389"/>
      <c r="BF285" s="389"/>
      <c r="BG285" s="389"/>
      <c r="BH285" s="389"/>
      <c r="BI285" s="389"/>
      <c r="BJ285" s="389"/>
      <c r="BK285" s="389"/>
      <c r="BL285" s="389"/>
      <c r="BM285" s="389"/>
      <c r="BN285" s="389"/>
      <c r="BO285" s="389"/>
    </row>
    <row r="286" spans="1:67" x14ac:dyDescent="0.3">
      <c r="A286" s="391" t="str">
        <f>'Reference Score Calculation'!A265</f>
        <v>JS6456</v>
      </c>
      <c r="B286" s="412" t="str">
        <f>'Reference Score Calculation'!D265</f>
        <v>內外全科醫學士</v>
      </c>
      <c r="C286" s="236"/>
      <c r="D286" s="358" t="str">
        <f>'Reference Score Calculation'!E265</f>
        <v>Best 6</v>
      </c>
      <c r="E286" s="409" t="str">
        <f>入學要求!T274</f>
        <v>v</v>
      </c>
      <c r="F286" s="409" t="str">
        <f>入學要求!U274</f>
        <v>NO</v>
      </c>
      <c r="G286" s="409" t="str">
        <f>入學要求!V274</f>
        <v>NO</v>
      </c>
      <c r="H286" s="413">
        <f t="shared" si="319"/>
        <v>3.9000000000000002E-9</v>
      </c>
      <c r="I286" s="413">
        <v>1</v>
      </c>
      <c r="J286" s="413">
        <v>1</v>
      </c>
      <c r="K286" s="413">
        <v>1</v>
      </c>
      <c r="L286" s="413">
        <v>1</v>
      </c>
      <c r="M286" s="413">
        <v>1</v>
      </c>
      <c r="N286" s="413">
        <v>1</v>
      </c>
      <c r="O286" s="413">
        <v>1</v>
      </c>
      <c r="P286" s="413">
        <v>1</v>
      </c>
      <c r="Q286" s="413">
        <v>1</v>
      </c>
      <c r="R286" s="413">
        <v>1</v>
      </c>
      <c r="S286" s="413"/>
      <c r="T286" s="413">
        <f>IF(I$15,I$8*I286*0.9,I$8*I286)</f>
        <v>1E-10</v>
      </c>
      <c r="U286" s="413">
        <f>IF(J$15,J$8*J286*0.9,J$8*J286)</f>
        <v>2.0000000000000001E-10</v>
      </c>
      <c r="V286" s="413">
        <f t="shared" ref="V286" si="399">IF(K$15,K$8*K286*0.9,K$8*K286)</f>
        <v>3E-10</v>
      </c>
      <c r="W286" s="413">
        <f t="shared" ref="W286" si="400">IF(L$15,L$8*L286*0.9,L$8*L286)</f>
        <v>4.0000000000000001E-10</v>
      </c>
      <c r="X286" s="413">
        <f t="shared" ref="X286" si="401">IF(M$15,M$8*M286*0.9,M$8*M286)</f>
        <v>5.0000000000000003E-10</v>
      </c>
      <c r="Y286" s="413">
        <f t="shared" ref="Y286" si="402">IF(N$15,N$8*N286*0.9,N$8*N286)</f>
        <v>6E-10</v>
      </c>
      <c r="Z286" s="413">
        <f t="shared" ref="Z286" si="403">IF(O$15,O$8*O286*0.9,O$8*O286)</f>
        <v>6.9999999999999996E-10</v>
      </c>
      <c r="AA286" s="413">
        <f t="shared" ref="AA286" si="404">IF(P$15,P$8*P286*0.9,P$8*P286)</f>
        <v>8.0000000000000003E-10</v>
      </c>
      <c r="AB286" s="413">
        <f t="shared" ref="AB286" si="405">IF(Q$15,Q$8*Q286*0.9,Q$8*Q286)</f>
        <v>8.9999999999999999E-10</v>
      </c>
      <c r="AC286" s="413">
        <f>IF(F286="E",IF(R$15,R$8*R286*0.9,R$8*R286),0)</f>
        <v>0</v>
      </c>
      <c r="AD286" s="413" t="b">
        <f>IF(T286&gt;LARGE(($T286:$AC286),7),TRUE)</f>
        <v>0</v>
      </c>
      <c r="AE286" s="413" t="b">
        <f t="shared" ref="AE286:AM286" si="406">IF(U286&gt;LARGE(($T286:$AC286),7),TRUE)</f>
        <v>0</v>
      </c>
      <c r="AF286" s="413" t="b">
        <f t="shared" si="406"/>
        <v>0</v>
      </c>
      <c r="AG286" s="413" t="b">
        <f t="shared" si="406"/>
        <v>1</v>
      </c>
      <c r="AH286" s="413" t="b">
        <f>IF(X286&gt;LARGE(($T286:$AC286),7),TRUE)</f>
        <v>1</v>
      </c>
      <c r="AI286" s="413" t="b">
        <f t="shared" si="406"/>
        <v>1</v>
      </c>
      <c r="AJ286" s="413" t="b">
        <f t="shared" si="406"/>
        <v>1</v>
      </c>
      <c r="AK286" s="413" t="b">
        <f t="shared" si="406"/>
        <v>1</v>
      </c>
      <c r="AL286" s="413" t="b">
        <f t="shared" si="406"/>
        <v>1</v>
      </c>
      <c r="AM286" s="413" t="b">
        <f t="shared" si="406"/>
        <v>0</v>
      </c>
      <c r="AN286" s="561">
        <v>0.1</v>
      </c>
      <c r="AO286" s="390"/>
      <c r="AP286" s="429"/>
      <c r="AQ286" s="384"/>
      <c r="AR286" s="389"/>
      <c r="AS286" s="389"/>
      <c r="AT286" s="389"/>
      <c r="AU286" s="389"/>
      <c r="AV286" s="390"/>
      <c r="AW286" s="390"/>
      <c r="AX286" s="384"/>
      <c r="AY286" s="390"/>
      <c r="AZ286" s="390"/>
      <c r="BA286" s="429"/>
      <c r="BB286" s="384"/>
      <c r="BC286" s="389"/>
      <c r="BD286" s="389"/>
      <c r="BE286" s="389"/>
      <c r="BF286" s="389"/>
      <c r="BG286" s="389"/>
      <c r="BH286" s="389"/>
      <c r="BI286" s="389"/>
      <c r="BJ286" s="389"/>
      <c r="BK286" s="389"/>
      <c r="BL286" s="389"/>
      <c r="BM286" s="389"/>
      <c r="BN286" s="389"/>
      <c r="BO286" s="389"/>
    </row>
    <row r="287" spans="1:67" x14ac:dyDescent="0.3">
      <c r="A287" s="391" t="str">
        <f>'Reference Score Calculation'!A266</f>
        <v>JS6468</v>
      </c>
      <c r="B287" s="412" t="str">
        <f>'Reference Score Calculation'!D266</f>
        <v>護理學學士</v>
      </c>
      <c r="C287" s="236"/>
      <c r="D287" s="358" t="str">
        <f>'Reference Score Calculation'!E266</f>
        <v>Best 5</v>
      </c>
      <c r="E287" s="409" t="str">
        <f>入學要求!T275</f>
        <v>v</v>
      </c>
      <c r="F287" s="409" t="str">
        <f>入學要求!U275</f>
        <v>E</v>
      </c>
      <c r="G287" s="409" t="str">
        <f>入學要求!V275</f>
        <v>NO</v>
      </c>
      <c r="H287" s="413">
        <f t="shared" si="319"/>
        <v>3.9500000000000006E-9</v>
      </c>
      <c r="I287" s="413">
        <v>1</v>
      </c>
      <c r="J287" s="413">
        <v>1</v>
      </c>
      <c r="K287" s="413">
        <v>1</v>
      </c>
      <c r="L287" s="413">
        <v>1</v>
      </c>
      <c r="M287" s="413">
        <v>1</v>
      </c>
      <c r="N287" s="413">
        <v>1</v>
      </c>
      <c r="O287" s="413">
        <v>1</v>
      </c>
      <c r="P287" s="413">
        <v>1</v>
      </c>
      <c r="Q287" s="413">
        <v>1</v>
      </c>
      <c r="R287" s="413">
        <v>1</v>
      </c>
      <c r="S287" s="413"/>
      <c r="T287" s="413">
        <f t="shared" si="320"/>
        <v>1E-10</v>
      </c>
      <c r="U287" s="413">
        <f t="shared" si="321"/>
        <v>2.0000000000000001E-10</v>
      </c>
      <c r="V287" s="413">
        <f t="shared" si="322"/>
        <v>3E-10</v>
      </c>
      <c r="W287" s="413">
        <f t="shared" si="323"/>
        <v>4.0000000000000001E-10</v>
      </c>
      <c r="X287" s="413">
        <f t="shared" si="324"/>
        <v>5.0000000000000003E-10</v>
      </c>
      <c r="Y287" s="413">
        <f t="shared" si="325"/>
        <v>6E-10</v>
      </c>
      <c r="Z287" s="413">
        <f t="shared" si="326"/>
        <v>6.9999999999999996E-10</v>
      </c>
      <c r="AA287" s="413">
        <f t="shared" si="327"/>
        <v>8.0000000000000003E-10</v>
      </c>
      <c r="AB287" s="413">
        <f t="shared" si="328"/>
        <v>8.9999999999999999E-10</v>
      </c>
      <c r="AC287" s="413">
        <f t="shared" si="329"/>
        <v>9.5000000000000003E-10</v>
      </c>
      <c r="AD287" s="413" t="b">
        <f>IF(T287&gt;LARGE(($T287:$AC287),6),TRUE)</f>
        <v>0</v>
      </c>
      <c r="AE287" s="413" t="b">
        <f t="shared" ref="AE287:AM287" si="407">IF(U287&gt;LARGE(($T287:$AC287),6),TRUE)</f>
        <v>0</v>
      </c>
      <c r="AF287" s="413" t="b">
        <f t="shared" si="407"/>
        <v>0</v>
      </c>
      <c r="AG287" s="413" t="b">
        <f t="shared" si="407"/>
        <v>0</v>
      </c>
      <c r="AH287" s="413" t="b">
        <f t="shared" si="407"/>
        <v>0</v>
      </c>
      <c r="AI287" s="413" t="b">
        <f t="shared" si="407"/>
        <v>1</v>
      </c>
      <c r="AJ287" s="413" t="b">
        <f t="shared" si="407"/>
        <v>1</v>
      </c>
      <c r="AK287" s="413" t="b">
        <f t="shared" si="407"/>
        <v>1</v>
      </c>
      <c r="AL287" s="413" t="b">
        <f t="shared" si="407"/>
        <v>1</v>
      </c>
      <c r="AM287" s="413" t="b">
        <f t="shared" si="407"/>
        <v>1</v>
      </c>
      <c r="AO287" s="390"/>
      <c r="AP287" s="429"/>
      <c r="AQ287" s="384"/>
      <c r="AR287" s="389"/>
      <c r="AS287" s="389"/>
      <c r="AT287" s="389"/>
      <c r="AU287" s="389"/>
      <c r="AV287" s="390"/>
      <c r="AW287" s="390"/>
      <c r="AX287" s="384"/>
      <c r="AY287" s="390"/>
      <c r="AZ287" s="390"/>
      <c r="BA287" s="429"/>
      <c r="BB287" s="384"/>
      <c r="BC287" s="389"/>
      <c r="BD287" s="389"/>
      <c r="BE287" s="389"/>
      <c r="BF287" s="389"/>
      <c r="BG287" s="389"/>
      <c r="BH287" s="389"/>
      <c r="BI287" s="389"/>
      <c r="BJ287" s="389"/>
      <c r="BK287" s="389"/>
      <c r="BL287" s="389"/>
      <c r="BM287" s="389"/>
      <c r="BN287" s="389"/>
      <c r="BO287" s="389"/>
    </row>
    <row r="288" spans="1:67" x14ac:dyDescent="0.3">
      <c r="A288" s="391" t="str">
        <f>'Reference Score Calculation'!A267</f>
        <v>JS6470</v>
      </c>
      <c r="B288" s="412" t="str">
        <f>'Reference Score Calculation'!D267</f>
        <v>理學士(生物訊息學)</v>
      </c>
      <c r="C288" s="236"/>
      <c r="D288" s="446" t="str">
        <f>'Reference Score Calculation'!AD267</f>
        <v>Best 6</v>
      </c>
      <c r="E288" s="409" t="str">
        <f>入學要求!T276</f>
        <v>v</v>
      </c>
      <c r="F288" s="409" t="str">
        <f>入學要求!U276</f>
        <v>NO</v>
      </c>
      <c r="G288" s="409" t="str">
        <f>入學要求!V276</f>
        <v>NO</v>
      </c>
      <c r="H288" s="413">
        <f t="shared" si="319"/>
        <v>3.9000000000000002E-9</v>
      </c>
      <c r="I288" s="413">
        <v>1</v>
      </c>
      <c r="J288" s="413">
        <v>1</v>
      </c>
      <c r="K288" s="413">
        <v>1</v>
      </c>
      <c r="L288" s="413">
        <v>1</v>
      </c>
      <c r="M288" s="413">
        <v>1</v>
      </c>
      <c r="N288" s="413">
        <v>1</v>
      </c>
      <c r="O288" s="413">
        <v>1</v>
      </c>
      <c r="P288" s="413">
        <v>1</v>
      </c>
      <c r="Q288" s="413">
        <v>1</v>
      </c>
      <c r="R288" s="413">
        <v>1</v>
      </c>
      <c r="S288" s="413"/>
      <c r="T288" s="413">
        <f>IF(I$15,I$8*I288*0.9,I$8*I288)</f>
        <v>1E-10</v>
      </c>
      <c r="U288" s="413">
        <f>IF(J$15,J$8*J288*0.9,J$8*J288)</f>
        <v>2.0000000000000001E-10</v>
      </c>
      <c r="V288" s="413">
        <f t="shared" ref="V288" si="408">IF(K$15,K$8*K288*0.9,K$8*K288)</f>
        <v>3E-10</v>
      </c>
      <c r="W288" s="413">
        <f t="shared" ref="W288" si="409">IF(L$15,L$8*L288*0.9,L$8*L288)</f>
        <v>4.0000000000000001E-10</v>
      </c>
      <c r="X288" s="413">
        <f t="shared" ref="X288" si="410">IF(M$15,M$8*M288*0.9,M$8*M288)</f>
        <v>5.0000000000000003E-10</v>
      </c>
      <c r="Y288" s="413">
        <f t="shared" ref="Y288" si="411">IF(N$15,N$8*N288*0.9,N$8*N288)</f>
        <v>6E-10</v>
      </c>
      <c r="Z288" s="413">
        <f t="shared" ref="Z288" si="412">IF(O$15,O$8*O288*0.9,O$8*O288)</f>
        <v>6.9999999999999996E-10</v>
      </c>
      <c r="AA288" s="413">
        <f t="shared" ref="AA288" si="413">IF(P$15,P$8*P288*0.9,P$8*P288)</f>
        <v>8.0000000000000003E-10</v>
      </c>
      <c r="AB288" s="413">
        <f t="shared" ref="AB288" si="414">IF(Q$15,Q$8*Q288*0.9,Q$8*Q288)</f>
        <v>8.9999999999999999E-10</v>
      </c>
      <c r="AC288" s="413">
        <f>IF(F288="E",IF(R$15,R$8*R288*0.9,R$8*R288),0)</f>
        <v>0</v>
      </c>
      <c r="AD288" s="413" t="b">
        <f>IF(T288&gt;LARGE(($T288:$AC288),7),TRUE)</f>
        <v>0</v>
      </c>
      <c r="AE288" s="413" t="b">
        <f t="shared" ref="AE288:AM288" si="415">IF(U288&gt;LARGE(($T288:$AC288),7),TRUE)</f>
        <v>0</v>
      </c>
      <c r="AF288" s="413" t="b">
        <f t="shared" si="415"/>
        <v>0</v>
      </c>
      <c r="AG288" s="413" t="b">
        <f t="shared" si="415"/>
        <v>1</v>
      </c>
      <c r="AH288" s="413" t="b">
        <f t="shared" si="415"/>
        <v>1</v>
      </c>
      <c r="AI288" s="413" t="b">
        <f t="shared" si="415"/>
        <v>1</v>
      </c>
      <c r="AJ288" s="413" t="b">
        <f t="shared" si="415"/>
        <v>1</v>
      </c>
      <c r="AK288" s="413" t="b">
        <f t="shared" si="415"/>
        <v>1</v>
      </c>
      <c r="AL288" s="413" t="b">
        <f t="shared" si="415"/>
        <v>1</v>
      </c>
      <c r="AM288" s="413" t="b">
        <f t="shared" si="415"/>
        <v>0</v>
      </c>
      <c r="AN288" s="561">
        <v>0.1</v>
      </c>
      <c r="AO288" s="390"/>
      <c r="AP288" s="429"/>
      <c r="AQ288" s="384"/>
      <c r="AR288" s="389"/>
      <c r="AS288" s="389"/>
      <c r="AT288" s="389"/>
      <c r="AU288" s="389"/>
      <c r="AV288" s="390"/>
      <c r="AW288" s="390"/>
      <c r="AX288" s="384"/>
      <c r="AY288" s="390"/>
      <c r="AZ288" s="390"/>
      <c r="BA288" s="429"/>
      <c r="BB288" s="384"/>
      <c r="BC288" s="389"/>
      <c r="BD288" s="389"/>
      <c r="BE288" s="389"/>
      <c r="BF288" s="389"/>
      <c r="BG288" s="389"/>
      <c r="BH288" s="389"/>
      <c r="BI288" s="389"/>
      <c r="BJ288" s="389"/>
      <c r="BK288" s="389"/>
      <c r="BL288" s="389"/>
      <c r="BM288" s="389"/>
      <c r="BN288" s="389"/>
      <c r="BO288" s="389"/>
    </row>
    <row r="289" spans="1:40" x14ac:dyDescent="0.3">
      <c r="A289" s="391" t="str">
        <f>'Reference Score Calculation'!A268</f>
        <v>JS6482</v>
      </c>
      <c r="B289" s="412" t="str">
        <f>'Reference Score Calculation'!D268</f>
        <v>中醫全科學士</v>
      </c>
      <c r="C289" s="236"/>
      <c r="D289" s="358" t="str">
        <f>'Reference Score Calculation'!E268</f>
        <v>Best 5</v>
      </c>
      <c r="E289" s="409" t="str">
        <f>入學要求!T277</f>
        <v>v</v>
      </c>
      <c r="F289" s="409" t="str">
        <f>入學要求!U277</f>
        <v>E</v>
      </c>
      <c r="G289" s="409" t="str">
        <f>入學要求!V277</f>
        <v>NO</v>
      </c>
      <c r="H289" s="413">
        <f t="shared" si="319"/>
        <v>3.9500000000000006E-9</v>
      </c>
      <c r="I289" s="413">
        <v>1</v>
      </c>
      <c r="J289" s="413">
        <v>1</v>
      </c>
      <c r="K289" s="413">
        <v>1</v>
      </c>
      <c r="L289" s="413">
        <v>1</v>
      </c>
      <c r="M289" s="413">
        <v>1</v>
      </c>
      <c r="N289" s="413">
        <v>1</v>
      </c>
      <c r="O289" s="413">
        <v>1</v>
      </c>
      <c r="P289" s="413">
        <v>1</v>
      </c>
      <c r="Q289" s="413">
        <v>1</v>
      </c>
      <c r="R289" s="413">
        <v>1</v>
      </c>
      <c r="S289" s="413"/>
      <c r="T289" s="413">
        <f t="shared" si="320"/>
        <v>1E-10</v>
      </c>
      <c r="U289" s="413">
        <f t="shared" si="321"/>
        <v>2.0000000000000001E-10</v>
      </c>
      <c r="V289" s="413">
        <f t="shared" si="322"/>
        <v>3E-10</v>
      </c>
      <c r="W289" s="413">
        <f t="shared" si="323"/>
        <v>4.0000000000000001E-10</v>
      </c>
      <c r="X289" s="413">
        <f t="shared" si="324"/>
        <v>5.0000000000000003E-10</v>
      </c>
      <c r="Y289" s="413">
        <f t="shared" si="325"/>
        <v>6E-10</v>
      </c>
      <c r="Z289" s="413">
        <f t="shared" si="326"/>
        <v>6.9999999999999996E-10</v>
      </c>
      <c r="AA289" s="413">
        <f t="shared" si="327"/>
        <v>8.0000000000000003E-10</v>
      </c>
      <c r="AB289" s="413">
        <f t="shared" si="328"/>
        <v>8.9999999999999999E-10</v>
      </c>
      <c r="AC289" s="413">
        <f t="shared" si="329"/>
        <v>9.5000000000000003E-10</v>
      </c>
      <c r="AD289" s="413" t="b">
        <f>IF(T289&gt;LARGE(($T289:$AC289),6),TRUE)</f>
        <v>0</v>
      </c>
      <c r="AE289" s="413" t="b">
        <f t="shared" ref="AE289:AM289" si="416">IF(U289&gt;LARGE(($T289:$AC289),6),TRUE)</f>
        <v>0</v>
      </c>
      <c r="AF289" s="413" t="b">
        <f t="shared" si="416"/>
        <v>0</v>
      </c>
      <c r="AG289" s="413" t="b">
        <f t="shared" si="416"/>
        <v>0</v>
      </c>
      <c r="AH289" s="413" t="b">
        <f t="shared" si="416"/>
        <v>0</v>
      </c>
      <c r="AI289" s="413" t="b">
        <f t="shared" si="416"/>
        <v>1</v>
      </c>
      <c r="AJ289" s="413" t="b">
        <f t="shared" si="416"/>
        <v>1</v>
      </c>
      <c r="AK289" s="413" t="b">
        <f t="shared" si="416"/>
        <v>1</v>
      </c>
      <c r="AL289" s="413" t="b">
        <f t="shared" si="416"/>
        <v>1</v>
      </c>
      <c r="AM289" s="413" t="b">
        <f t="shared" si="416"/>
        <v>1</v>
      </c>
    </row>
    <row r="290" spans="1:40" x14ac:dyDescent="0.3">
      <c r="A290" s="391" t="str">
        <f>'Reference Score Calculation'!A269</f>
        <v>JS6494</v>
      </c>
      <c r="B290" s="412" t="str">
        <f>'Reference Score Calculation'!D269</f>
        <v>藥劑學學士</v>
      </c>
      <c r="C290" s="238"/>
      <c r="D290" s="358" t="str">
        <f>'Reference Score Calculation'!E269</f>
        <v>Best 6</v>
      </c>
      <c r="E290" s="409" t="str">
        <f>入學要求!T278</f>
        <v>v</v>
      </c>
      <c r="F290" s="409" t="str">
        <f>入學要求!U278</f>
        <v>NO</v>
      </c>
      <c r="G290" s="409" t="str">
        <f>入學要求!V278</f>
        <v>NO</v>
      </c>
      <c r="H290" s="413">
        <f t="shared" si="319"/>
        <v>3.9000000000000002E-9</v>
      </c>
      <c r="I290" s="413">
        <v>1</v>
      </c>
      <c r="J290" s="413">
        <v>1</v>
      </c>
      <c r="K290" s="413">
        <v>1</v>
      </c>
      <c r="L290" s="413">
        <v>1</v>
      </c>
      <c r="M290" s="413">
        <v>1</v>
      </c>
      <c r="N290" s="413">
        <v>1</v>
      </c>
      <c r="O290" s="413">
        <v>1</v>
      </c>
      <c r="P290" s="413">
        <v>1</v>
      </c>
      <c r="Q290" s="413">
        <v>1</v>
      </c>
      <c r="R290" s="413">
        <v>1</v>
      </c>
      <c r="S290" s="413"/>
      <c r="T290" s="413">
        <f>IF(I$15,I$8*I290*0.9,I$8*I290)</f>
        <v>1E-10</v>
      </c>
      <c r="U290" s="413">
        <f>IF(J$15,J$8*J290*0.9,J$8*J290)</f>
        <v>2.0000000000000001E-10</v>
      </c>
      <c r="V290" s="413">
        <f t="shared" ref="V290:AB290" si="417">IF(K$15,K$8*K290*0.9,K$8*K290)</f>
        <v>3E-10</v>
      </c>
      <c r="W290" s="413">
        <f t="shared" si="417"/>
        <v>4.0000000000000001E-10</v>
      </c>
      <c r="X290" s="413">
        <f t="shared" si="417"/>
        <v>5.0000000000000003E-10</v>
      </c>
      <c r="Y290" s="413">
        <f t="shared" si="417"/>
        <v>6E-10</v>
      </c>
      <c r="Z290" s="413">
        <f t="shared" si="417"/>
        <v>6.9999999999999996E-10</v>
      </c>
      <c r="AA290" s="413">
        <f t="shared" si="417"/>
        <v>8.0000000000000003E-10</v>
      </c>
      <c r="AB290" s="413">
        <f t="shared" si="417"/>
        <v>8.9999999999999999E-10</v>
      </c>
      <c r="AC290" s="413">
        <f>IF(F290="E",IF(R$15,R$8*R290*0.9,R$8*R290),0)</f>
        <v>0</v>
      </c>
      <c r="AD290" s="413" t="b">
        <f>IF(T290&gt;LARGE(($T290:$AC290),7),TRUE)</f>
        <v>0</v>
      </c>
      <c r="AE290" s="413" t="b">
        <f t="shared" ref="AE290:AM291" si="418">IF(U290&gt;LARGE(($T290:$AC290),7),TRUE)</f>
        <v>0</v>
      </c>
      <c r="AF290" s="413" t="b">
        <f t="shared" si="418"/>
        <v>0</v>
      </c>
      <c r="AG290" s="413" t="b">
        <f t="shared" si="418"/>
        <v>1</v>
      </c>
      <c r="AH290" s="413" t="b">
        <f t="shared" si="418"/>
        <v>1</v>
      </c>
      <c r="AI290" s="413" t="b">
        <f t="shared" si="418"/>
        <v>1</v>
      </c>
      <c r="AJ290" s="413" t="b">
        <f t="shared" si="418"/>
        <v>1</v>
      </c>
      <c r="AK290" s="413" t="b">
        <f t="shared" si="418"/>
        <v>1</v>
      </c>
      <c r="AL290" s="413" t="b">
        <f t="shared" si="418"/>
        <v>1</v>
      </c>
      <c r="AM290" s="413" t="b">
        <f t="shared" si="418"/>
        <v>0</v>
      </c>
      <c r="AN290" s="561">
        <v>0.1</v>
      </c>
    </row>
    <row r="291" spans="1:40" x14ac:dyDescent="0.3">
      <c r="A291" s="391" t="str">
        <f>'Reference Score Calculation'!A270</f>
        <v>JS6949</v>
      </c>
      <c r="B291" s="412" t="str">
        <f>'Reference Score Calculation'!D270</f>
        <v>生物醫學學士</v>
      </c>
      <c r="C291" s="236"/>
      <c r="D291" s="358" t="str">
        <f>'Reference Score Calculation'!E270</f>
        <v>Best 6</v>
      </c>
      <c r="E291" s="409" t="str">
        <f>入學要求!T279</f>
        <v>v</v>
      </c>
      <c r="F291" s="409" t="str">
        <f>入學要求!U279</f>
        <v>NO</v>
      </c>
      <c r="G291" s="409" t="str">
        <f>入學要求!V279</f>
        <v>NO</v>
      </c>
      <c r="H291" s="413">
        <f t="shared" si="319"/>
        <v>3.9000000000000002E-9</v>
      </c>
      <c r="I291" s="413">
        <v>1</v>
      </c>
      <c r="J291" s="413">
        <v>1</v>
      </c>
      <c r="K291" s="413">
        <v>1</v>
      </c>
      <c r="L291" s="413">
        <v>1</v>
      </c>
      <c r="M291" s="413">
        <v>1</v>
      </c>
      <c r="N291" s="413">
        <v>1</v>
      </c>
      <c r="O291" s="413">
        <v>1</v>
      </c>
      <c r="P291" s="413">
        <v>1</v>
      </c>
      <c r="Q291" s="413">
        <v>1</v>
      </c>
      <c r="R291" s="413">
        <v>1</v>
      </c>
      <c r="S291" s="413"/>
      <c r="T291" s="413">
        <f>IF(I$15,I$8*I291*0.9,I$8*I291)</f>
        <v>1E-10</v>
      </c>
      <c r="U291" s="413">
        <f>IF(J$15,J$8*J291*0.9,J$8*J291)</f>
        <v>2.0000000000000001E-10</v>
      </c>
      <c r="V291" s="413">
        <f t="shared" ref="V291" si="419">IF(K$15,K$8*K291*0.9,K$8*K291)</f>
        <v>3E-10</v>
      </c>
      <c r="W291" s="413">
        <f t="shared" ref="W291" si="420">IF(L$15,L$8*L291*0.9,L$8*L291)</f>
        <v>4.0000000000000001E-10</v>
      </c>
      <c r="X291" s="413">
        <f t="shared" ref="X291" si="421">IF(M$15,M$8*M291*0.9,M$8*M291)</f>
        <v>5.0000000000000003E-10</v>
      </c>
      <c r="Y291" s="413">
        <f t="shared" ref="Y291" si="422">IF(N$15,N$8*N291*0.9,N$8*N291)</f>
        <v>6E-10</v>
      </c>
      <c r="Z291" s="413">
        <f t="shared" ref="Z291" si="423">IF(O$15,O$8*O291*0.9,O$8*O291)</f>
        <v>6.9999999999999996E-10</v>
      </c>
      <c r="AA291" s="413">
        <f t="shared" ref="AA291" si="424">IF(P$15,P$8*P291*0.9,P$8*P291)</f>
        <v>8.0000000000000003E-10</v>
      </c>
      <c r="AB291" s="413">
        <f t="shared" ref="AB291" si="425">IF(Q$15,Q$8*Q291*0.9,Q$8*Q291)</f>
        <v>8.9999999999999999E-10</v>
      </c>
      <c r="AC291" s="413">
        <f>IF(F291="E",IF(R$15,R$8*R291*0.9,R$8*R291),0)</f>
        <v>0</v>
      </c>
      <c r="AD291" s="413" t="b">
        <f>IF(T291&gt;LARGE(($T291:$AC291),7),TRUE)</f>
        <v>0</v>
      </c>
      <c r="AE291" s="413" t="b">
        <f t="shared" si="418"/>
        <v>0</v>
      </c>
      <c r="AF291" s="413" t="b">
        <f t="shared" si="418"/>
        <v>0</v>
      </c>
      <c r="AG291" s="413" t="b">
        <f t="shared" si="418"/>
        <v>1</v>
      </c>
      <c r="AH291" s="413" t="b">
        <f t="shared" si="418"/>
        <v>1</v>
      </c>
      <c r="AI291" s="413" t="b">
        <f t="shared" si="418"/>
        <v>1</v>
      </c>
      <c r="AJ291" s="413" t="b">
        <f t="shared" si="418"/>
        <v>1</v>
      </c>
      <c r="AK291" s="413" t="b">
        <f t="shared" si="418"/>
        <v>1</v>
      </c>
      <c r="AL291" s="413" t="b">
        <f t="shared" si="418"/>
        <v>1</v>
      </c>
      <c r="AM291" s="413" t="b">
        <f t="shared" si="418"/>
        <v>0</v>
      </c>
      <c r="AN291" s="561">
        <v>0.1</v>
      </c>
    </row>
    <row r="292" spans="1:40" x14ac:dyDescent="0.3">
      <c r="A292" s="391" t="str">
        <f>'Reference Score Calculation'!A271</f>
        <v>JS6688</v>
      </c>
      <c r="B292" s="412" t="str">
        <f>'Reference Score Calculation'!D271</f>
        <v>科研專才啟導課程</v>
      </c>
      <c r="C292" s="236"/>
      <c r="D292" s="358" t="str">
        <f>'Reference Score Calculation'!E271</f>
        <v>Best 6</v>
      </c>
      <c r="E292" s="409" t="str">
        <f>入學要求!T280</f>
        <v>v</v>
      </c>
      <c r="F292" s="409" t="str">
        <f>入學要求!U280</f>
        <v>NO</v>
      </c>
      <c r="G292" s="409" t="str">
        <f>入學要求!V280</f>
        <v>NO</v>
      </c>
      <c r="H292" s="413">
        <f t="shared" si="319"/>
        <v>2.7500000000000002E-9</v>
      </c>
      <c r="I292" s="413">
        <v>1</v>
      </c>
      <c r="J292" s="413">
        <v>2</v>
      </c>
      <c r="K292" s="413">
        <v>2</v>
      </c>
      <c r="L292" s="413">
        <v>1</v>
      </c>
      <c r="M292" s="413">
        <v>2</v>
      </c>
      <c r="N292" s="413">
        <f>IF(OR(N$1="化學",N$1="生物",N$1="物理"),2,1.25)</f>
        <v>1.25</v>
      </c>
      <c r="O292" s="413">
        <f t="shared" ref="O292:R292" si="426">IF(OR(O$1="化學",O$1="生物",O$1="物理"),2,1.25)</f>
        <v>1.25</v>
      </c>
      <c r="P292" s="413">
        <f t="shared" si="426"/>
        <v>1.25</v>
      </c>
      <c r="Q292" s="413">
        <f t="shared" si="426"/>
        <v>1.25</v>
      </c>
      <c r="R292" s="413">
        <f t="shared" si="426"/>
        <v>1.25</v>
      </c>
      <c r="S292" s="413"/>
      <c r="T292" s="413">
        <f t="shared" si="320"/>
        <v>1E-10</v>
      </c>
      <c r="U292" s="413">
        <f t="shared" si="321"/>
        <v>4.0000000000000001E-10</v>
      </c>
      <c r="V292" s="413">
        <f t="shared" si="322"/>
        <v>6E-10</v>
      </c>
      <c r="W292" s="413">
        <f t="shared" si="323"/>
        <v>4.0000000000000001E-10</v>
      </c>
      <c r="X292" s="413">
        <f t="shared" si="324"/>
        <v>1.0000000000000001E-9</v>
      </c>
      <c r="Y292" s="413">
        <f t="shared" si="325"/>
        <v>7.5E-10</v>
      </c>
      <c r="Z292" s="413">
        <f t="shared" si="326"/>
        <v>8.7499999999999998E-10</v>
      </c>
      <c r="AA292" s="413">
        <f t="shared" si="327"/>
        <v>1.0000000000000001E-9</v>
      </c>
      <c r="AB292" s="413">
        <f t="shared" si="328"/>
        <v>1.1249999999999999E-9</v>
      </c>
      <c r="AC292" s="413">
        <f t="shared" si="329"/>
        <v>0</v>
      </c>
      <c r="AD292" s="413" t="b">
        <f>BA274</f>
        <v>0</v>
      </c>
      <c r="AE292" s="413" t="b">
        <f t="shared" ref="AE292:AM292" si="427">BB274</f>
        <v>1</v>
      </c>
      <c r="AF292" s="413" t="b">
        <f t="shared" si="427"/>
        <v>1</v>
      </c>
      <c r="AG292" s="413" t="b">
        <f t="shared" si="427"/>
        <v>0</v>
      </c>
      <c r="AH292" s="413" t="b">
        <f t="shared" si="427"/>
        <v>1</v>
      </c>
      <c r="AI292" s="413" t="b">
        <f t="shared" si="427"/>
        <v>1</v>
      </c>
      <c r="AJ292" s="413" t="b">
        <f t="shared" si="427"/>
        <v>0</v>
      </c>
      <c r="AK292" s="413" t="b">
        <f t="shared" si="427"/>
        <v>0</v>
      </c>
      <c r="AL292" s="413" t="b">
        <f t="shared" si="427"/>
        <v>0</v>
      </c>
      <c r="AM292" s="413" t="b">
        <f t="shared" si="427"/>
        <v>1</v>
      </c>
    </row>
    <row r="293" spans="1:40" x14ac:dyDescent="0.3">
      <c r="A293" s="391" t="str">
        <f>'Reference Score Calculation'!A272</f>
        <v>JS6729</v>
      </c>
      <c r="B293" s="412" t="str">
        <f>'Reference Score Calculation'!D272</f>
        <v>理學士(精算學)</v>
      </c>
      <c r="C293" s="236"/>
      <c r="D293" s="358" t="str">
        <f>'Reference Score Calculation'!E272</f>
        <v>Best 6</v>
      </c>
      <c r="E293" s="409" t="str">
        <f>入學要求!T281</f>
        <v>v</v>
      </c>
      <c r="F293" s="409" t="str">
        <f>入學要求!U281</f>
        <v>NO</v>
      </c>
      <c r="G293" s="409" t="str">
        <f>入學要求!V281</f>
        <v>NO</v>
      </c>
      <c r="H293" s="413">
        <f t="shared" si="319"/>
        <v>4.4000000000000005E-9</v>
      </c>
      <c r="I293" s="413">
        <v>1</v>
      </c>
      <c r="J293" s="413">
        <v>2</v>
      </c>
      <c r="K293" s="413">
        <v>2</v>
      </c>
      <c r="L293" s="413">
        <v>1</v>
      </c>
      <c r="M293" s="413">
        <v>2</v>
      </c>
      <c r="N293" s="413">
        <v>1</v>
      </c>
      <c r="O293" s="413">
        <v>1</v>
      </c>
      <c r="P293" s="413">
        <v>1</v>
      </c>
      <c r="Q293" s="413">
        <v>1</v>
      </c>
      <c r="R293" s="413">
        <v>1</v>
      </c>
      <c r="S293" s="413"/>
      <c r="T293" s="413">
        <f t="shared" si="320"/>
        <v>1E-10</v>
      </c>
      <c r="U293" s="413">
        <f t="shared" si="321"/>
        <v>4.0000000000000001E-10</v>
      </c>
      <c r="V293" s="413">
        <f t="shared" si="322"/>
        <v>6E-10</v>
      </c>
      <c r="W293" s="413">
        <f t="shared" si="323"/>
        <v>4.0000000000000001E-10</v>
      </c>
      <c r="X293" s="413">
        <f t="shared" si="324"/>
        <v>1.0000000000000001E-9</v>
      </c>
      <c r="Y293" s="413">
        <f t="shared" si="325"/>
        <v>6E-10</v>
      </c>
      <c r="Z293" s="413">
        <f t="shared" si="326"/>
        <v>6.9999999999999996E-10</v>
      </c>
      <c r="AA293" s="413">
        <f t="shared" si="327"/>
        <v>8.0000000000000003E-10</v>
      </c>
      <c r="AB293" s="413">
        <f t="shared" si="328"/>
        <v>8.9999999999999999E-10</v>
      </c>
      <c r="AC293" s="413">
        <f t="shared" si="329"/>
        <v>0</v>
      </c>
      <c r="AD293" s="413" t="b">
        <f>IF(T293&gt;LARGE((($T293,$W293,$Y293:$AC293)),4),TRUE)</f>
        <v>0</v>
      </c>
      <c r="AE293" s="447" t="b">
        <v>1</v>
      </c>
      <c r="AF293" s="447" t="b">
        <v>1</v>
      </c>
      <c r="AG293" s="413" t="b">
        <f>IF(W293&gt;LARGE((($T293,$W293,$Y293:$AC293)),4),TRUE)</f>
        <v>0</v>
      </c>
      <c r="AH293" s="447" t="b">
        <v>1</v>
      </c>
      <c r="AI293" s="413" t="b">
        <f>IF(Y293&gt;LARGE((($T293,$W293,$Y293:$AC293)),4),TRUE)</f>
        <v>0</v>
      </c>
      <c r="AJ293" s="413" t="b">
        <f>IF(Z293&gt;LARGE((($T293,$W293,$Y293:$AC293)),4),TRUE)</f>
        <v>1</v>
      </c>
      <c r="AK293" s="413" t="b">
        <f>IF(AA293&gt;LARGE((($T293,$W293,$Y293:$AC293)),4),TRUE)</f>
        <v>1</v>
      </c>
      <c r="AL293" s="413" t="b">
        <f>IF(AB293&gt;LARGE((($T293,$W293,$Y293:$AC293)),4),TRUE)</f>
        <v>1</v>
      </c>
      <c r="AM293" s="413" t="b">
        <f>IF(AC293&gt;LARGE((($T293,$W293,$Y293:$AC293)),4),TRUE)</f>
        <v>0</v>
      </c>
    </row>
    <row r="294" spans="1:40" x14ac:dyDescent="0.3">
      <c r="A294" s="391" t="str">
        <f>'Reference Score Calculation'!A273</f>
        <v>JS6858</v>
      </c>
      <c r="B294" s="412" t="str">
        <f>'Reference Score Calculation'!D273</f>
        <v>理學士及法學士(雙學位課程)</v>
      </c>
      <c r="C294" s="236"/>
      <c r="D294" s="446" t="str">
        <f>'Reference Score Calculation'!AD273</f>
        <v>Best 6</v>
      </c>
      <c r="E294" s="409" t="str">
        <f>入學要求!T282</f>
        <v>v</v>
      </c>
      <c r="F294" s="409" t="str">
        <f>入學要求!U282</f>
        <v>NO</v>
      </c>
      <c r="G294" s="409" t="str">
        <f>入學要求!V282</f>
        <v>NO</v>
      </c>
      <c r="H294" s="413">
        <f t="shared" si="319"/>
        <v>4.3000000000000005E-9</v>
      </c>
      <c r="I294" s="413">
        <v>1</v>
      </c>
      <c r="J294" s="413">
        <v>2</v>
      </c>
      <c r="K294" s="413">
        <f>IF($K$8&gt;$M$8,2,1)</f>
        <v>1</v>
      </c>
      <c r="L294" s="413">
        <v>1</v>
      </c>
      <c r="M294" s="413">
        <f>IF($K$8&gt;$M$8,1,2)</f>
        <v>2</v>
      </c>
      <c r="N294" s="413">
        <f>IF(N$1=AV277,2,1)</f>
        <v>2</v>
      </c>
      <c r="O294" s="413">
        <f>IF(O$1=AW277,2,1)</f>
        <v>1</v>
      </c>
      <c r="P294" s="413">
        <f>IF(P$1=AX277,2,1)</f>
        <v>1</v>
      </c>
      <c r="Q294" s="413">
        <f>IF(Q$1=AY277,2,1)</f>
        <v>1</v>
      </c>
      <c r="R294" s="413">
        <v>1</v>
      </c>
      <c r="S294" s="413"/>
      <c r="T294" s="413">
        <f t="shared" si="320"/>
        <v>1E-10</v>
      </c>
      <c r="U294" s="413">
        <f t="shared" si="321"/>
        <v>4.0000000000000001E-10</v>
      </c>
      <c r="V294" s="413">
        <f t="shared" si="322"/>
        <v>3E-10</v>
      </c>
      <c r="W294" s="413">
        <f t="shared" si="323"/>
        <v>4.0000000000000001E-10</v>
      </c>
      <c r="X294" s="413">
        <f t="shared" si="324"/>
        <v>1.0000000000000001E-9</v>
      </c>
      <c r="Y294" s="413">
        <f t="shared" si="325"/>
        <v>1.2E-9</v>
      </c>
      <c r="Z294" s="413">
        <f t="shared" si="326"/>
        <v>6.9999999999999996E-10</v>
      </c>
      <c r="AA294" s="413">
        <f t="shared" si="327"/>
        <v>8.0000000000000003E-10</v>
      </c>
      <c r="AB294" s="413">
        <f t="shared" si="328"/>
        <v>8.9999999999999999E-10</v>
      </c>
      <c r="AC294" s="413">
        <f t="shared" si="329"/>
        <v>0</v>
      </c>
      <c r="AD294" s="413" t="b">
        <f t="shared" ref="AD294:AM294" si="428">AY278</f>
        <v>0</v>
      </c>
      <c r="AE294" s="413" t="b">
        <f t="shared" si="428"/>
        <v>1</v>
      </c>
      <c r="AF294" s="413" t="b">
        <f t="shared" si="428"/>
        <v>0</v>
      </c>
      <c r="AG294" s="413" t="b">
        <f t="shared" si="428"/>
        <v>0</v>
      </c>
      <c r="AH294" s="413" t="b">
        <f t="shared" si="428"/>
        <v>1</v>
      </c>
      <c r="AI294" s="413" t="b">
        <f t="shared" si="428"/>
        <v>1</v>
      </c>
      <c r="AJ294" s="413" t="b">
        <f t="shared" si="428"/>
        <v>0</v>
      </c>
      <c r="AK294" s="413" t="b">
        <f t="shared" si="428"/>
        <v>1</v>
      </c>
      <c r="AL294" s="413" t="b">
        <f t="shared" si="428"/>
        <v>1</v>
      </c>
      <c r="AM294" s="413" t="b">
        <f t="shared" si="428"/>
        <v>1</v>
      </c>
    </row>
    <row r="295" spans="1:40" x14ac:dyDescent="0.3">
      <c r="A295" s="391" t="str">
        <f>'Reference Score Calculation'!A274</f>
        <v>JS6901</v>
      </c>
      <c r="B295" s="412" t="str">
        <f>'Reference Score Calculation'!D274</f>
        <v>理學士</v>
      </c>
      <c r="C295" s="236"/>
      <c r="D295" s="358" t="str">
        <f>'Reference Score Calculation'!E274</f>
        <v>Best 5</v>
      </c>
      <c r="E295" s="409" t="str">
        <f>入學要求!T283</f>
        <v>v</v>
      </c>
      <c r="F295" s="409" t="str">
        <f>入學要求!U283</f>
        <v>NO</v>
      </c>
      <c r="G295" s="409" t="str">
        <f>入學要求!V283</f>
        <v>NO</v>
      </c>
      <c r="H295" s="413">
        <f t="shared" si="319"/>
        <v>2.775E-9</v>
      </c>
      <c r="I295" s="413">
        <v>1</v>
      </c>
      <c r="J295" s="413">
        <v>1.5</v>
      </c>
      <c r="K295" s="413">
        <v>2</v>
      </c>
      <c r="L295" s="413">
        <v>1</v>
      </c>
      <c r="M295" s="413">
        <v>2</v>
      </c>
      <c r="N295" s="413">
        <f>IF(OR(N$1="化學",N$1="生物",N$1="組合科學(物理、化學)",N$1="組合科學(生物、化學)",N$1="組合科學(物理、生物)",N$1="物理",N$1="綜合科學"),2,1.25)</f>
        <v>1.25</v>
      </c>
      <c r="O295" s="413">
        <f t="shared" ref="O295:R295" si="429">IF(OR(O$1="化學",O$1="生物",O$1="組合科學(物理、化學)",O$1="組合科學(生物、化學)",O$1="組合科學(物理、生物)",O$1="物理",O$1="綜合科學"),2,1.25)</f>
        <v>1.25</v>
      </c>
      <c r="P295" s="413">
        <f t="shared" si="429"/>
        <v>1.25</v>
      </c>
      <c r="Q295" s="413">
        <f t="shared" si="429"/>
        <v>1.25</v>
      </c>
      <c r="R295" s="413">
        <f t="shared" si="429"/>
        <v>1.25</v>
      </c>
      <c r="S295" s="413"/>
      <c r="T295" s="413">
        <f t="shared" si="320"/>
        <v>1E-10</v>
      </c>
      <c r="U295" s="413">
        <f t="shared" si="321"/>
        <v>3E-10</v>
      </c>
      <c r="V295" s="413">
        <f t="shared" si="322"/>
        <v>6E-10</v>
      </c>
      <c r="W295" s="413">
        <f t="shared" si="323"/>
        <v>4.0000000000000001E-10</v>
      </c>
      <c r="X295" s="413">
        <f t="shared" si="324"/>
        <v>1.0000000000000001E-9</v>
      </c>
      <c r="Y295" s="413">
        <f t="shared" si="325"/>
        <v>7.5E-10</v>
      </c>
      <c r="Z295" s="413">
        <f t="shared" si="326"/>
        <v>8.7499999999999998E-10</v>
      </c>
      <c r="AA295" s="413">
        <f t="shared" si="327"/>
        <v>1.0000000000000001E-9</v>
      </c>
      <c r="AB295" s="413">
        <f t="shared" si="328"/>
        <v>1.1249999999999999E-9</v>
      </c>
      <c r="AC295" s="413">
        <f t="shared" si="329"/>
        <v>0</v>
      </c>
      <c r="AD295" s="413" t="b">
        <f>AY282</f>
        <v>0</v>
      </c>
      <c r="AE295" s="413" t="b">
        <f t="shared" ref="AE295:AM295" si="430">AZ282</f>
        <v>1</v>
      </c>
      <c r="AF295" s="413" t="b">
        <f t="shared" si="430"/>
        <v>1</v>
      </c>
      <c r="AG295" s="413" t="b">
        <f t="shared" si="430"/>
        <v>0</v>
      </c>
      <c r="AH295" s="413" t="b">
        <f t="shared" si="430"/>
        <v>0</v>
      </c>
      <c r="AI295" s="413" t="b">
        <f t="shared" si="430"/>
        <v>1</v>
      </c>
      <c r="AJ295" s="413" t="b">
        <f t="shared" si="430"/>
        <v>0</v>
      </c>
      <c r="AK295" s="413" t="b">
        <f t="shared" si="430"/>
        <v>0</v>
      </c>
      <c r="AL295" s="413" t="b">
        <f t="shared" si="430"/>
        <v>1</v>
      </c>
      <c r="AM295" s="413" t="b">
        <f t="shared" si="430"/>
        <v>1</v>
      </c>
    </row>
    <row r="296" spans="1:40" x14ac:dyDescent="0.3">
      <c r="A296" s="391" t="str">
        <f>'Reference Score Calculation'!A275</f>
        <v>JS6705</v>
      </c>
      <c r="B296" s="412" t="str">
        <f>'Reference Score Calculation'!D275</f>
        <v>心理學學士</v>
      </c>
      <c r="C296" s="236"/>
      <c r="D296" s="446" t="str">
        <f>'Reference Score Calculation'!AD275</f>
        <v>Best 5</v>
      </c>
      <c r="E296" s="409" t="str">
        <f>入學要求!T284</f>
        <v>v</v>
      </c>
      <c r="F296" s="409" t="str">
        <f>入學要求!U284</f>
        <v>E</v>
      </c>
      <c r="G296" s="409" t="str">
        <f>入學要求!V284</f>
        <v>NO</v>
      </c>
      <c r="H296" s="413">
        <f t="shared" si="319"/>
        <v>3.9500000000000006E-9</v>
      </c>
      <c r="I296" s="413">
        <v>1</v>
      </c>
      <c r="J296" s="413">
        <v>1</v>
      </c>
      <c r="K296" s="413">
        <v>1</v>
      </c>
      <c r="L296" s="413">
        <v>1</v>
      </c>
      <c r="M296" s="413">
        <v>1</v>
      </c>
      <c r="N296" s="413">
        <v>1</v>
      </c>
      <c r="O296" s="413">
        <v>1</v>
      </c>
      <c r="P296" s="413">
        <v>1</v>
      </c>
      <c r="Q296" s="413">
        <v>1</v>
      </c>
      <c r="R296" s="413">
        <v>1</v>
      </c>
      <c r="S296" s="413"/>
      <c r="T296" s="413">
        <f t="shared" si="320"/>
        <v>1E-10</v>
      </c>
      <c r="U296" s="413">
        <f t="shared" si="321"/>
        <v>2.0000000000000001E-10</v>
      </c>
      <c r="V296" s="413">
        <f t="shared" si="322"/>
        <v>3E-10</v>
      </c>
      <c r="W296" s="413">
        <f t="shared" si="323"/>
        <v>4.0000000000000001E-10</v>
      </c>
      <c r="X296" s="413">
        <f t="shared" si="324"/>
        <v>5.0000000000000003E-10</v>
      </c>
      <c r="Y296" s="413">
        <f t="shared" si="325"/>
        <v>6E-10</v>
      </c>
      <c r="Z296" s="413">
        <f t="shared" si="326"/>
        <v>6.9999999999999996E-10</v>
      </c>
      <c r="AA296" s="413">
        <f t="shared" si="327"/>
        <v>8.0000000000000003E-10</v>
      </c>
      <c r="AB296" s="413">
        <f t="shared" si="328"/>
        <v>8.9999999999999999E-10</v>
      </c>
      <c r="AC296" s="413">
        <f t="shared" si="329"/>
        <v>9.5000000000000003E-10</v>
      </c>
      <c r="AD296" s="413" t="b">
        <f>IF(T296&gt;LARGE(($T296:$AC296),6),TRUE)</f>
        <v>0</v>
      </c>
      <c r="AE296" s="413" t="b">
        <f t="shared" ref="AE296:AM296" si="431">IF(U296&gt;LARGE(($T296:$AC296),6),TRUE)</f>
        <v>0</v>
      </c>
      <c r="AF296" s="413" t="b">
        <f t="shared" si="431"/>
        <v>0</v>
      </c>
      <c r="AG296" s="413" t="b">
        <f t="shared" si="431"/>
        <v>0</v>
      </c>
      <c r="AH296" s="413" t="b">
        <f t="shared" si="431"/>
        <v>0</v>
      </c>
      <c r="AI296" s="413" t="b">
        <f t="shared" si="431"/>
        <v>1</v>
      </c>
      <c r="AJ296" s="413" t="b">
        <f t="shared" si="431"/>
        <v>1</v>
      </c>
      <c r="AK296" s="413" t="b">
        <f t="shared" si="431"/>
        <v>1</v>
      </c>
      <c r="AL296" s="413" t="b">
        <f t="shared" si="431"/>
        <v>1</v>
      </c>
      <c r="AM296" s="413" t="b">
        <f t="shared" si="431"/>
        <v>1</v>
      </c>
    </row>
    <row r="297" spans="1:40" x14ac:dyDescent="0.3">
      <c r="A297" s="391" t="str">
        <f>'Reference Score Calculation'!A276</f>
        <v>JS6717</v>
      </c>
      <c r="B297" s="412" t="str">
        <f>'Reference Score Calculation'!D276</f>
        <v>社會科學學士</v>
      </c>
      <c r="C297" s="236"/>
      <c r="D297" s="358" t="str">
        <f>'Reference Score Calculation'!E276</f>
        <v>Best 5</v>
      </c>
      <c r="E297" s="409" t="str">
        <f>入學要求!T285</f>
        <v>v</v>
      </c>
      <c r="F297" s="409" t="str">
        <f>入學要求!U285</f>
        <v>E</v>
      </c>
      <c r="G297" s="409" t="str">
        <f>入學要求!V285</f>
        <v>NO</v>
      </c>
      <c r="H297" s="413">
        <f t="shared" si="319"/>
        <v>3.9500000000000006E-9</v>
      </c>
      <c r="I297" s="413">
        <v>1</v>
      </c>
      <c r="J297" s="413">
        <v>1</v>
      </c>
      <c r="K297" s="413">
        <v>1</v>
      </c>
      <c r="L297" s="413">
        <v>1</v>
      </c>
      <c r="M297" s="413">
        <v>1</v>
      </c>
      <c r="N297" s="413">
        <v>1</v>
      </c>
      <c r="O297" s="413">
        <v>1</v>
      </c>
      <c r="P297" s="413">
        <v>1</v>
      </c>
      <c r="Q297" s="413">
        <v>1</v>
      </c>
      <c r="R297" s="413">
        <v>1</v>
      </c>
      <c r="S297" s="413"/>
      <c r="T297" s="413">
        <f t="shared" si="320"/>
        <v>1E-10</v>
      </c>
      <c r="U297" s="413">
        <f t="shared" si="321"/>
        <v>2.0000000000000001E-10</v>
      </c>
      <c r="V297" s="413">
        <f t="shared" si="322"/>
        <v>3E-10</v>
      </c>
      <c r="W297" s="413">
        <f t="shared" si="323"/>
        <v>4.0000000000000001E-10</v>
      </c>
      <c r="X297" s="413">
        <f t="shared" si="324"/>
        <v>5.0000000000000003E-10</v>
      </c>
      <c r="Y297" s="413">
        <f t="shared" si="325"/>
        <v>6E-10</v>
      </c>
      <c r="Z297" s="413">
        <f t="shared" si="326"/>
        <v>6.9999999999999996E-10</v>
      </c>
      <c r="AA297" s="413">
        <f t="shared" si="327"/>
        <v>8.0000000000000003E-10</v>
      </c>
      <c r="AB297" s="413">
        <f t="shared" si="328"/>
        <v>8.9999999999999999E-10</v>
      </c>
      <c r="AC297" s="413">
        <f t="shared" si="329"/>
        <v>9.5000000000000003E-10</v>
      </c>
      <c r="AD297" s="413" t="b">
        <f>IF(T297&gt;LARGE(($T297:$AC297),6),TRUE)</f>
        <v>0</v>
      </c>
      <c r="AE297" s="413" t="b">
        <f t="shared" ref="AE297:AE298" si="432">IF(U297&gt;LARGE(($T297:$AC297),6),TRUE)</f>
        <v>0</v>
      </c>
      <c r="AF297" s="413" t="b">
        <f t="shared" ref="AF297:AF298" si="433">IF(V297&gt;LARGE(($T297:$AC297),6),TRUE)</f>
        <v>0</v>
      </c>
      <c r="AG297" s="413" t="b">
        <f t="shared" ref="AG297:AG298" si="434">IF(W297&gt;LARGE(($T297:$AC297),6),TRUE)</f>
        <v>0</v>
      </c>
      <c r="AH297" s="413" t="b">
        <f t="shared" ref="AH297:AH298" si="435">IF(X297&gt;LARGE(($T297:$AC297),6),TRUE)</f>
        <v>0</v>
      </c>
      <c r="AI297" s="413" t="b">
        <f t="shared" ref="AI297:AI298" si="436">IF(Y297&gt;LARGE(($T297:$AC297),6),TRUE)</f>
        <v>1</v>
      </c>
      <c r="AJ297" s="413" t="b">
        <f t="shared" ref="AJ297:AJ298" si="437">IF(Z297&gt;LARGE(($T297:$AC297),6),TRUE)</f>
        <v>1</v>
      </c>
      <c r="AK297" s="413" t="b">
        <f t="shared" ref="AK297:AK298" si="438">IF(AA297&gt;LARGE(($T297:$AC297),6),TRUE)</f>
        <v>1</v>
      </c>
      <c r="AL297" s="413" t="b">
        <f t="shared" ref="AL297:AL298" si="439">IF(AB297&gt;LARGE(($T297:$AC297),6),TRUE)</f>
        <v>1</v>
      </c>
      <c r="AM297" s="413" t="b">
        <f t="shared" ref="AM297:AM298" si="440">IF(AC297&gt;LARGE(($T297:$AC297),6),TRUE)</f>
        <v>1</v>
      </c>
    </row>
    <row r="298" spans="1:40" x14ac:dyDescent="0.3">
      <c r="A298" s="391" t="str">
        <f>'Reference Score Calculation'!A277</f>
        <v>JS6731</v>
      </c>
      <c r="B298" s="412" t="str">
        <f>'Reference Score Calculation'!D277</f>
        <v>社會工作學學士</v>
      </c>
      <c r="C298" s="236"/>
      <c r="D298" s="358" t="str">
        <f>'Reference Score Calculation'!E277</f>
        <v>Best 5</v>
      </c>
      <c r="E298" s="409" t="str">
        <f>入學要求!T286</f>
        <v>v</v>
      </c>
      <c r="F298" s="409" t="str">
        <f>入學要求!U286</f>
        <v>E</v>
      </c>
      <c r="G298" s="409" t="str">
        <f>入學要求!V286</f>
        <v>NO</v>
      </c>
      <c r="H298" s="413">
        <f t="shared" si="319"/>
        <v>3.9500000000000006E-9</v>
      </c>
      <c r="I298" s="413">
        <v>1</v>
      </c>
      <c r="J298" s="413">
        <v>1</v>
      </c>
      <c r="K298" s="413">
        <v>1</v>
      </c>
      <c r="L298" s="413">
        <v>1</v>
      </c>
      <c r="M298" s="413">
        <v>1</v>
      </c>
      <c r="N298" s="413">
        <v>1</v>
      </c>
      <c r="O298" s="413">
        <v>1</v>
      </c>
      <c r="P298" s="413">
        <v>1</v>
      </c>
      <c r="Q298" s="413">
        <v>1</v>
      </c>
      <c r="R298" s="413">
        <v>1</v>
      </c>
      <c r="S298" s="413"/>
      <c r="T298" s="413">
        <f t="shared" si="320"/>
        <v>1E-10</v>
      </c>
      <c r="U298" s="413">
        <f t="shared" si="321"/>
        <v>2.0000000000000001E-10</v>
      </c>
      <c r="V298" s="413">
        <f t="shared" si="322"/>
        <v>3E-10</v>
      </c>
      <c r="W298" s="413">
        <f t="shared" si="323"/>
        <v>4.0000000000000001E-10</v>
      </c>
      <c r="X298" s="413">
        <f t="shared" si="324"/>
        <v>5.0000000000000003E-10</v>
      </c>
      <c r="Y298" s="413">
        <f t="shared" si="325"/>
        <v>6E-10</v>
      </c>
      <c r="Z298" s="413">
        <f t="shared" si="326"/>
        <v>6.9999999999999996E-10</v>
      </c>
      <c r="AA298" s="413">
        <f t="shared" si="327"/>
        <v>8.0000000000000003E-10</v>
      </c>
      <c r="AB298" s="413">
        <f t="shared" si="328"/>
        <v>8.9999999999999999E-10</v>
      </c>
      <c r="AC298" s="413">
        <f t="shared" si="329"/>
        <v>9.5000000000000003E-10</v>
      </c>
      <c r="AD298" s="413" t="b">
        <f>IF(T298&gt;LARGE(($T298:$AC298),6),TRUE)</f>
        <v>0</v>
      </c>
      <c r="AE298" s="413" t="b">
        <f t="shared" si="432"/>
        <v>0</v>
      </c>
      <c r="AF298" s="413" t="b">
        <f t="shared" si="433"/>
        <v>0</v>
      </c>
      <c r="AG298" s="413" t="b">
        <f t="shared" si="434"/>
        <v>0</v>
      </c>
      <c r="AH298" s="413" t="b">
        <f t="shared" si="435"/>
        <v>0</v>
      </c>
      <c r="AI298" s="413" t="b">
        <f t="shared" si="436"/>
        <v>1</v>
      </c>
      <c r="AJ298" s="413" t="b">
        <f t="shared" si="437"/>
        <v>1</v>
      </c>
      <c r="AK298" s="413" t="b">
        <f t="shared" si="438"/>
        <v>1</v>
      </c>
      <c r="AL298" s="413" t="b">
        <f t="shared" si="439"/>
        <v>1</v>
      </c>
      <c r="AM298" s="413" t="b">
        <f t="shared" si="440"/>
        <v>1</v>
      </c>
    </row>
    <row r="299" spans="1:40" x14ac:dyDescent="0.3">
      <c r="A299" s="391" t="str">
        <f>'Reference Score Calculation'!A278</f>
        <v>JS6810</v>
      </c>
      <c r="B299" s="412" t="str">
        <f>'Reference Score Calculation'!D278</f>
        <v>社會科學學士(政治學與法學)及法學士 (雙學位課程)</v>
      </c>
      <c r="C299" s="236"/>
      <c r="D299" s="358" t="str">
        <f>'Reference Score Calculation'!E278</f>
        <v>Best 6</v>
      </c>
      <c r="E299" s="409" t="str">
        <f>入學要求!T287</f>
        <v>v</v>
      </c>
      <c r="F299" s="409" t="str">
        <f>入學要求!U287</f>
        <v>NO</v>
      </c>
      <c r="G299" s="409" t="str">
        <f>入學要求!V287</f>
        <v>NO</v>
      </c>
      <c r="H299" s="413">
        <f t="shared" si="319"/>
        <v>3.9000000000000002E-9</v>
      </c>
      <c r="I299" s="413">
        <v>1</v>
      </c>
      <c r="J299" s="413">
        <v>1</v>
      </c>
      <c r="K299" s="413">
        <v>1</v>
      </c>
      <c r="L299" s="413">
        <v>1</v>
      </c>
      <c r="M299" s="413">
        <v>1</v>
      </c>
      <c r="N299" s="413">
        <v>1</v>
      </c>
      <c r="O299" s="413">
        <v>1</v>
      </c>
      <c r="P299" s="413">
        <v>1</v>
      </c>
      <c r="Q299" s="413">
        <v>1</v>
      </c>
      <c r="R299" s="413">
        <v>1</v>
      </c>
      <c r="S299" s="413"/>
      <c r="T299" s="413">
        <f t="shared" si="320"/>
        <v>1E-10</v>
      </c>
      <c r="U299" s="413">
        <f t="shared" si="321"/>
        <v>2.0000000000000001E-10</v>
      </c>
      <c r="V299" s="413">
        <f t="shared" si="322"/>
        <v>3E-10</v>
      </c>
      <c r="W299" s="413">
        <f t="shared" si="323"/>
        <v>4.0000000000000001E-10</v>
      </c>
      <c r="X299" s="413">
        <f t="shared" si="324"/>
        <v>5.0000000000000003E-10</v>
      </c>
      <c r="Y299" s="413">
        <f t="shared" si="325"/>
        <v>6E-10</v>
      </c>
      <c r="Z299" s="413">
        <f t="shared" si="326"/>
        <v>6.9999999999999996E-10</v>
      </c>
      <c r="AA299" s="413">
        <f t="shared" si="327"/>
        <v>8.0000000000000003E-10</v>
      </c>
      <c r="AB299" s="413">
        <f t="shared" si="328"/>
        <v>8.9999999999999999E-10</v>
      </c>
      <c r="AC299" s="413">
        <f t="shared" si="329"/>
        <v>0</v>
      </c>
      <c r="AD299" s="413" t="b">
        <f>IF(T299&gt;LARGE(($T299:$AC299),7),TRUE)</f>
        <v>0</v>
      </c>
      <c r="AE299" s="413" t="b">
        <f>IF(U299&gt;LARGE(($T299:$AC299),7),TRUE)</f>
        <v>0</v>
      </c>
      <c r="AF299" s="413" t="b">
        <f t="shared" ref="AF299" si="441">IF(V299&gt;LARGE(($T299:$AC299),7),TRUE)</f>
        <v>0</v>
      </c>
      <c r="AG299" s="413" t="b">
        <f t="shared" ref="AG299" si="442">IF(W299&gt;LARGE(($T299:$AC299),7),TRUE)</f>
        <v>1</v>
      </c>
      <c r="AH299" s="413" t="b">
        <f t="shared" ref="AH299" si="443">IF(X299&gt;LARGE(($T299:$AC299),7),TRUE)</f>
        <v>1</v>
      </c>
      <c r="AI299" s="413" t="b">
        <f t="shared" ref="AI299" si="444">IF(Y299&gt;LARGE(($T299:$AC299),7),TRUE)</f>
        <v>1</v>
      </c>
      <c r="AJ299" s="413" t="b">
        <f t="shared" ref="AJ299" si="445">IF(Z299&gt;LARGE(($T299:$AC299),7),TRUE)</f>
        <v>1</v>
      </c>
      <c r="AK299" s="413" t="b">
        <f t="shared" ref="AK299" si="446">IF(AA299&gt;LARGE(($T299:$AC299),7),TRUE)</f>
        <v>1</v>
      </c>
      <c r="AL299" s="413" t="b">
        <f t="shared" ref="AL299" si="447">IF(AB299&gt;LARGE(($T299:$AC299),7),TRUE)</f>
        <v>1</v>
      </c>
      <c r="AM299" s="413" t="b">
        <f t="shared" ref="AM299" si="448">IF(AC299&gt;LARGE(($T299:$AC299),7),TRUE)</f>
        <v>0</v>
      </c>
    </row>
    <row r="300" spans="1:40" x14ac:dyDescent="0.3">
      <c r="A300" s="391" t="str">
        <f>'Reference Score Calculation'!A279</f>
        <v>JS6822</v>
      </c>
      <c r="B300" s="412" t="str">
        <f>'Reference Score Calculation'!D279</f>
        <v>新聞學學士</v>
      </c>
      <c r="C300" s="236"/>
      <c r="D300" s="358" t="str">
        <f>'Reference Score Calculation'!E279</f>
        <v>Best 5</v>
      </c>
      <c r="E300" s="409" t="str">
        <f>入學要求!T288</f>
        <v>v</v>
      </c>
      <c r="F300" s="409" t="str">
        <f>入學要求!U288</f>
        <v>E</v>
      </c>
      <c r="G300" s="409" t="str">
        <f>入學要求!V288</f>
        <v>NO</v>
      </c>
      <c r="H300" s="413">
        <f t="shared" si="319"/>
        <v>3.9500000000000006E-9</v>
      </c>
      <c r="I300" s="413">
        <v>1</v>
      </c>
      <c r="J300" s="413">
        <v>1</v>
      </c>
      <c r="K300" s="413">
        <v>1</v>
      </c>
      <c r="L300" s="413">
        <v>1</v>
      </c>
      <c r="M300" s="413">
        <v>1</v>
      </c>
      <c r="N300" s="413">
        <v>1</v>
      </c>
      <c r="O300" s="413">
        <v>1</v>
      </c>
      <c r="P300" s="413">
        <v>1</v>
      </c>
      <c r="Q300" s="413">
        <v>1</v>
      </c>
      <c r="R300" s="413">
        <v>1</v>
      </c>
      <c r="S300" s="413"/>
      <c r="T300" s="413">
        <f t="shared" si="320"/>
        <v>1E-10</v>
      </c>
      <c r="U300" s="413">
        <f t="shared" si="321"/>
        <v>2.0000000000000001E-10</v>
      </c>
      <c r="V300" s="413">
        <f t="shared" si="322"/>
        <v>3E-10</v>
      </c>
      <c r="W300" s="413">
        <f t="shared" si="323"/>
        <v>4.0000000000000001E-10</v>
      </c>
      <c r="X300" s="413">
        <f t="shared" si="324"/>
        <v>5.0000000000000003E-10</v>
      </c>
      <c r="Y300" s="413">
        <f t="shared" si="325"/>
        <v>6E-10</v>
      </c>
      <c r="Z300" s="413">
        <f t="shared" si="326"/>
        <v>6.9999999999999996E-10</v>
      </c>
      <c r="AA300" s="413">
        <f t="shared" si="327"/>
        <v>8.0000000000000003E-10</v>
      </c>
      <c r="AB300" s="413">
        <f t="shared" si="328"/>
        <v>8.9999999999999999E-10</v>
      </c>
      <c r="AC300" s="413">
        <f t="shared" si="329"/>
        <v>9.5000000000000003E-10</v>
      </c>
      <c r="AD300" s="413" t="b">
        <f>IF(T300&gt;LARGE(($T300:$AC300),6),TRUE)</f>
        <v>0</v>
      </c>
      <c r="AE300" s="413" t="b">
        <f t="shared" ref="AE300" si="449">IF(U300&gt;LARGE(($T300:$AC300),6),TRUE)</f>
        <v>0</v>
      </c>
      <c r="AF300" s="413" t="b">
        <f t="shared" ref="AF300" si="450">IF(V300&gt;LARGE(($T300:$AC300),6),TRUE)</f>
        <v>0</v>
      </c>
      <c r="AG300" s="413" t="b">
        <f t="shared" ref="AG300" si="451">IF(W300&gt;LARGE(($T300:$AC300),6),TRUE)</f>
        <v>0</v>
      </c>
      <c r="AH300" s="413" t="b">
        <f t="shared" ref="AH300" si="452">IF(X300&gt;LARGE(($T300:$AC300),6),TRUE)</f>
        <v>0</v>
      </c>
      <c r="AI300" s="413" t="b">
        <f t="shared" ref="AI300" si="453">IF(Y300&gt;LARGE(($T300:$AC300),6),TRUE)</f>
        <v>1</v>
      </c>
      <c r="AJ300" s="413" t="b">
        <f t="shared" ref="AJ300" si="454">IF(Z300&gt;LARGE(($T300:$AC300),6),TRUE)</f>
        <v>1</v>
      </c>
      <c r="AK300" s="413" t="b">
        <f t="shared" ref="AK300" si="455">IF(AA300&gt;LARGE(($T300:$AC300),6),TRUE)</f>
        <v>1</v>
      </c>
      <c r="AL300" s="413" t="b">
        <f t="shared" ref="AL300" si="456">IF(AB300&gt;LARGE(($T300:$AC300),6),TRUE)</f>
        <v>1</v>
      </c>
      <c r="AM300" s="413" t="b">
        <f t="shared" ref="AM300" si="457">IF(AC300&gt;LARGE(($T300:$AC300),6),TRUE)</f>
        <v>1</v>
      </c>
    </row>
    <row r="301" spans="1:40" x14ac:dyDescent="0.3">
      <c r="A301" s="391" t="str">
        <f>'Reference Score Calculation'!A280</f>
        <v>JS6212</v>
      </c>
      <c r="B301" s="412" t="str">
        <f>'Reference Score Calculation'!D280</f>
        <v>文理學士</v>
      </c>
      <c r="C301" s="236"/>
      <c r="D301" s="358" t="str">
        <f>'Reference Score Calculation'!E280</f>
        <v>Best 5</v>
      </c>
      <c r="E301" s="409" t="str">
        <f>入學要求!T289</f>
        <v>v</v>
      </c>
      <c r="F301" s="409" t="str">
        <f>入學要求!U289</f>
        <v>E</v>
      </c>
      <c r="G301" s="409" t="str">
        <f>入學要求!V289</f>
        <v>NO</v>
      </c>
      <c r="H301" s="413">
        <f t="shared" si="319"/>
        <v>3.9500000000000006E-9</v>
      </c>
      <c r="I301" s="413">
        <v>1</v>
      </c>
      <c r="J301" s="413">
        <v>1</v>
      </c>
      <c r="K301" s="413">
        <v>1</v>
      </c>
      <c r="L301" s="413">
        <v>1</v>
      </c>
      <c r="M301" s="413">
        <v>1</v>
      </c>
      <c r="N301" s="413">
        <v>1</v>
      </c>
      <c r="O301" s="413">
        <v>1</v>
      </c>
      <c r="P301" s="413">
        <v>1</v>
      </c>
      <c r="Q301" s="413">
        <v>1</v>
      </c>
      <c r="R301" s="413">
        <v>1</v>
      </c>
      <c r="S301" s="413"/>
      <c r="T301" s="413">
        <f t="shared" si="320"/>
        <v>1E-10</v>
      </c>
      <c r="U301" s="413">
        <f t="shared" si="321"/>
        <v>2.0000000000000001E-10</v>
      </c>
      <c r="V301" s="413">
        <f t="shared" si="322"/>
        <v>3E-10</v>
      </c>
      <c r="W301" s="413">
        <f t="shared" si="323"/>
        <v>4.0000000000000001E-10</v>
      </c>
      <c r="X301" s="413">
        <f t="shared" si="324"/>
        <v>5.0000000000000003E-10</v>
      </c>
      <c r="Y301" s="413">
        <f t="shared" si="325"/>
        <v>6E-10</v>
      </c>
      <c r="Z301" s="413">
        <f t="shared" si="326"/>
        <v>6.9999999999999996E-10</v>
      </c>
      <c r="AA301" s="413">
        <f t="shared" si="327"/>
        <v>8.0000000000000003E-10</v>
      </c>
      <c r="AB301" s="413">
        <f t="shared" si="328"/>
        <v>8.9999999999999999E-10</v>
      </c>
      <c r="AC301" s="413">
        <f t="shared" si="329"/>
        <v>9.5000000000000003E-10</v>
      </c>
      <c r="AD301" s="413" t="b">
        <f>IF(T301&gt;LARGE(($T301:$AC301),6),TRUE)</f>
        <v>0</v>
      </c>
      <c r="AE301" s="413" t="b">
        <f t="shared" ref="AE301" si="458">IF(U301&gt;LARGE(($T301:$AC301),6),TRUE)</f>
        <v>0</v>
      </c>
      <c r="AF301" s="413" t="b">
        <f t="shared" ref="AF301" si="459">IF(V301&gt;LARGE(($T301:$AC301),6),TRUE)</f>
        <v>0</v>
      </c>
      <c r="AG301" s="413" t="b">
        <f t="shared" ref="AG301" si="460">IF(W301&gt;LARGE(($T301:$AC301),6),TRUE)</f>
        <v>0</v>
      </c>
      <c r="AH301" s="413" t="b">
        <f t="shared" ref="AH301" si="461">IF(X301&gt;LARGE(($T301:$AC301),6),TRUE)</f>
        <v>0</v>
      </c>
      <c r="AI301" s="413" t="b">
        <f t="shared" ref="AI301" si="462">IF(Y301&gt;LARGE(($T301:$AC301),6),TRUE)</f>
        <v>1</v>
      </c>
      <c r="AJ301" s="413" t="b">
        <f t="shared" ref="AJ301" si="463">IF(Z301&gt;LARGE(($T301:$AC301),6),TRUE)</f>
        <v>1</v>
      </c>
      <c r="AK301" s="413" t="b">
        <f t="shared" ref="AK301" si="464">IF(AA301&gt;LARGE(($T301:$AC301),6),TRUE)</f>
        <v>1</v>
      </c>
      <c r="AL301" s="413" t="b">
        <f t="shared" ref="AL301" si="465">IF(AB301&gt;LARGE(($T301:$AC301),6),TRUE)</f>
        <v>1</v>
      </c>
      <c r="AM301" s="413" t="b">
        <f t="shared" ref="AM301" si="466">IF(AC301&gt;LARGE(($T301:$AC301),6),TRUE)</f>
        <v>1</v>
      </c>
    </row>
    <row r="302" spans="1:40" x14ac:dyDescent="0.3">
      <c r="A302" s="391" t="str">
        <f>'Reference Score Calculation'!A281</f>
        <v>JS6224</v>
      </c>
      <c r="B302" s="412" t="str">
        <f>'Reference Score Calculation'!D281</f>
        <v>文理學士(應用人工智能)</v>
      </c>
      <c r="C302" s="236"/>
      <c r="D302" s="358" t="str">
        <f>'Reference Score Calculation'!E281</f>
        <v>Best 6</v>
      </c>
      <c r="E302" s="409" t="str">
        <f>入學要求!T290</f>
        <v>v</v>
      </c>
      <c r="F302" s="409" t="str">
        <f>入學要求!U290</f>
        <v>NO</v>
      </c>
      <c r="G302" s="409" t="str">
        <f>入學要求!V290</f>
        <v>NO</v>
      </c>
      <c r="H302" s="413">
        <f t="shared" si="319"/>
        <v>4.4000000000000005E-9</v>
      </c>
      <c r="I302" s="413">
        <v>1</v>
      </c>
      <c r="J302" s="413">
        <v>2</v>
      </c>
      <c r="K302" s="413">
        <v>2</v>
      </c>
      <c r="L302" s="413">
        <v>1</v>
      </c>
      <c r="M302" s="413">
        <v>2</v>
      </c>
      <c r="N302" s="413">
        <f>IF(OR(N$1="化學",N$1="生物",N$1="組合科學(物理、化學)",N$1="組合科學(生物、化學)",N$1="組合科學(物理、生物)",N$1="物理",N$1="綜合科學",N$1="資訊及通訊科技"),1.5,1)</f>
        <v>1</v>
      </c>
      <c r="O302" s="413">
        <f t="shared" ref="O302:R302" si="467">IF(OR(O$1="化學",O$1="生物",O$1="組合科學(物理、化學)",O$1="組合科學(生物、化學)",O$1="組合科學(物理、生物)",O$1="物理",O$1="綜合科學",O$1="資訊及通訊科技"),1.5,1)</f>
        <v>1</v>
      </c>
      <c r="P302" s="413">
        <f t="shared" si="467"/>
        <v>1</v>
      </c>
      <c r="Q302" s="413">
        <f t="shared" si="467"/>
        <v>1</v>
      </c>
      <c r="R302" s="413">
        <f t="shared" si="467"/>
        <v>1</v>
      </c>
      <c r="S302" s="413"/>
      <c r="T302" s="413">
        <f t="shared" si="320"/>
        <v>1E-10</v>
      </c>
      <c r="U302" s="413">
        <f t="shared" si="321"/>
        <v>4.0000000000000001E-10</v>
      </c>
      <c r="V302" s="413">
        <f t="shared" si="322"/>
        <v>6E-10</v>
      </c>
      <c r="W302" s="413">
        <f t="shared" si="323"/>
        <v>4.0000000000000001E-10</v>
      </c>
      <c r="X302" s="413">
        <f t="shared" si="324"/>
        <v>1.0000000000000001E-9</v>
      </c>
      <c r="Y302" s="413">
        <f t="shared" si="325"/>
        <v>6E-10</v>
      </c>
      <c r="Z302" s="413">
        <f t="shared" si="326"/>
        <v>6.9999999999999996E-10</v>
      </c>
      <c r="AA302" s="413">
        <f t="shared" si="327"/>
        <v>8.0000000000000003E-10</v>
      </c>
      <c r="AB302" s="413">
        <f t="shared" si="328"/>
        <v>8.9999999999999999E-10</v>
      </c>
      <c r="AC302" s="413">
        <f t="shared" si="329"/>
        <v>0</v>
      </c>
      <c r="AD302" s="413" t="b">
        <f>IF(T302&gt;LARGE((($T302,$W302,$Y302:$AC302)),4),TRUE)</f>
        <v>0</v>
      </c>
      <c r="AE302" s="447" t="b">
        <v>1</v>
      </c>
      <c r="AF302" s="447" t="b">
        <v>1</v>
      </c>
      <c r="AG302" s="413" t="b">
        <f>IF(W302&gt;LARGE((($T302,$W302,$Y302:$AC302)),4),TRUE)</f>
        <v>0</v>
      </c>
      <c r="AH302" s="447" t="b">
        <v>1</v>
      </c>
      <c r="AI302" s="413" t="b">
        <f>IF(Y302&gt;LARGE((($T302,$W302,$Y302:$AC302)),4),TRUE)</f>
        <v>0</v>
      </c>
      <c r="AJ302" s="413" t="b">
        <f>IF(Z302&gt;LARGE((($T302,$W302,$Y302:$AC302)),4),TRUE)</f>
        <v>1</v>
      </c>
      <c r="AK302" s="413" t="b">
        <f>IF(AA302&gt;LARGE((($T302,$W302,$Y302:$AC302)),4),TRUE)</f>
        <v>1</v>
      </c>
      <c r="AL302" s="413" t="b">
        <f>IF(AB302&gt;LARGE((($T302,$W302,$Y302:$AC302)),4),TRUE)</f>
        <v>1</v>
      </c>
      <c r="AM302" s="413" t="b">
        <f>IF(AC302&gt;LARGE((($T302,$W302,$Y302:$AC302)),4),TRUE)</f>
        <v>0</v>
      </c>
    </row>
    <row r="303" spans="1:40" x14ac:dyDescent="0.3">
      <c r="A303" s="391" t="str">
        <f>'Reference Score Calculation'!A282</f>
        <v>JS6236</v>
      </c>
      <c r="B303" s="412" t="str">
        <f>'Reference Score Calculation'!D282</f>
        <v>文理學士(設計＋)</v>
      </c>
      <c r="C303" s="236"/>
      <c r="D303" s="358" t="str">
        <f>'Reference Score Calculation'!E282</f>
        <v>Best 6</v>
      </c>
      <c r="E303" s="409" t="str">
        <f>入學要求!T291</f>
        <v>v</v>
      </c>
      <c r="F303" s="409" t="str">
        <f>入學要求!U291</f>
        <v>E</v>
      </c>
      <c r="G303" s="409" t="str">
        <f>入學要求!V291</f>
        <v>NO</v>
      </c>
      <c r="H303" s="413">
        <f t="shared" si="319"/>
        <v>4.4500000000000001E-9</v>
      </c>
      <c r="I303" s="413">
        <v>1</v>
      </c>
      <c r="J303" s="413">
        <v>1</v>
      </c>
      <c r="K303" s="413">
        <v>1</v>
      </c>
      <c r="L303" s="413">
        <v>1</v>
      </c>
      <c r="M303" s="413">
        <v>1</v>
      </c>
      <c r="N303" s="413">
        <v>1</v>
      </c>
      <c r="O303" s="413">
        <v>1</v>
      </c>
      <c r="P303" s="413">
        <v>1</v>
      </c>
      <c r="Q303" s="413">
        <v>1</v>
      </c>
      <c r="R303" s="413">
        <v>1</v>
      </c>
      <c r="S303" s="413"/>
      <c r="T303" s="413">
        <f t="shared" si="320"/>
        <v>1E-10</v>
      </c>
      <c r="U303" s="413">
        <f t="shared" si="321"/>
        <v>2.0000000000000001E-10</v>
      </c>
      <c r="V303" s="413">
        <f t="shared" si="322"/>
        <v>3E-10</v>
      </c>
      <c r="W303" s="413">
        <f t="shared" si="323"/>
        <v>4.0000000000000001E-10</v>
      </c>
      <c r="X303" s="413">
        <f t="shared" si="324"/>
        <v>5.0000000000000003E-10</v>
      </c>
      <c r="Y303" s="413">
        <f t="shared" si="325"/>
        <v>6E-10</v>
      </c>
      <c r="Z303" s="413">
        <f t="shared" si="326"/>
        <v>6.9999999999999996E-10</v>
      </c>
      <c r="AA303" s="413">
        <f t="shared" si="327"/>
        <v>8.0000000000000003E-10</v>
      </c>
      <c r="AB303" s="413">
        <f t="shared" si="328"/>
        <v>8.9999999999999999E-10</v>
      </c>
      <c r="AC303" s="413">
        <f t="shared" si="329"/>
        <v>9.5000000000000003E-10</v>
      </c>
      <c r="AD303" s="413" t="b">
        <f>IF(T303&gt;LARGE(($T303:$AC303),7),TRUE)</f>
        <v>0</v>
      </c>
      <c r="AE303" s="413" t="b">
        <f>IF(U303&gt;LARGE(($T303:$AC303),7),TRUE)</f>
        <v>0</v>
      </c>
      <c r="AF303" s="413" t="b">
        <f t="shared" ref="AF303" si="468">IF(V303&gt;LARGE(($T303:$AC303),7),TRUE)</f>
        <v>0</v>
      </c>
      <c r="AG303" s="413" t="b">
        <f t="shared" ref="AG303" si="469">IF(W303&gt;LARGE(($T303:$AC303),7),TRUE)</f>
        <v>0</v>
      </c>
      <c r="AH303" s="413" t="b">
        <f t="shared" ref="AH303" si="470">IF(X303&gt;LARGE(($T303:$AC303),7),TRUE)</f>
        <v>1</v>
      </c>
      <c r="AI303" s="413" t="b">
        <f t="shared" ref="AI303" si="471">IF(Y303&gt;LARGE(($T303:$AC303),7),TRUE)</f>
        <v>1</v>
      </c>
      <c r="AJ303" s="413" t="b">
        <f t="shared" ref="AJ303" si="472">IF(Z303&gt;LARGE(($T303:$AC303),7),TRUE)</f>
        <v>1</v>
      </c>
      <c r="AK303" s="413" t="b">
        <f t="shared" ref="AK303" si="473">IF(AA303&gt;LARGE(($T303:$AC303),7),TRUE)</f>
        <v>1</v>
      </c>
      <c r="AL303" s="413" t="b">
        <f t="shared" ref="AL303" si="474">IF(AB303&gt;LARGE(($T303:$AC303),7),TRUE)</f>
        <v>1</v>
      </c>
      <c r="AM303" s="413" t="b">
        <f t="shared" ref="AM303" si="475">IF(AC303&gt;LARGE(($T303:$AC303),7),TRUE)</f>
        <v>1</v>
      </c>
    </row>
    <row r="304" spans="1:40" x14ac:dyDescent="0.3">
      <c r="A304" s="391" t="str">
        <f>'Reference Score Calculation'!A283</f>
        <v>JS6248</v>
      </c>
      <c r="B304" s="412" t="str">
        <f>'Reference Score Calculation'!D283</f>
        <v>文理學士(金融科技)</v>
      </c>
      <c r="C304" s="236"/>
      <c r="D304" s="358" t="str">
        <f>'Reference Score Calculation'!E283</f>
        <v>Best 6</v>
      </c>
      <c r="E304" s="409" t="str">
        <f>入學要求!T292</f>
        <v>v</v>
      </c>
      <c r="F304" s="409" t="str">
        <f>入學要求!U292</f>
        <v>E</v>
      </c>
      <c r="G304" s="409" t="str">
        <f>入學要求!V292</f>
        <v>NO</v>
      </c>
      <c r="H304" s="413">
        <f t="shared" si="319"/>
        <v>3.8500000000000006E-9</v>
      </c>
      <c r="I304" s="413">
        <v>1</v>
      </c>
      <c r="J304" s="413">
        <v>1</v>
      </c>
      <c r="K304" s="413">
        <v>1</v>
      </c>
      <c r="L304" s="413">
        <v>1</v>
      </c>
      <c r="M304" s="413">
        <v>1</v>
      </c>
      <c r="N304" s="413">
        <v>1</v>
      </c>
      <c r="O304" s="413">
        <v>1</v>
      </c>
      <c r="P304" s="413">
        <v>1</v>
      </c>
      <c r="Q304" s="413">
        <v>1</v>
      </c>
      <c r="R304" s="413">
        <v>1</v>
      </c>
      <c r="S304" s="413"/>
      <c r="T304" s="413">
        <f t="shared" si="320"/>
        <v>1E-10</v>
      </c>
      <c r="U304" s="413">
        <f t="shared" si="321"/>
        <v>2.0000000000000001E-10</v>
      </c>
      <c r="V304" s="413">
        <f t="shared" si="322"/>
        <v>3E-10</v>
      </c>
      <c r="W304" s="413">
        <f t="shared" si="323"/>
        <v>4.0000000000000001E-10</v>
      </c>
      <c r="X304" s="413">
        <f t="shared" si="324"/>
        <v>5.0000000000000003E-10</v>
      </c>
      <c r="Y304" s="413">
        <f t="shared" si="325"/>
        <v>6E-10</v>
      </c>
      <c r="Z304" s="413">
        <f t="shared" si="326"/>
        <v>6.9999999999999996E-10</v>
      </c>
      <c r="AA304" s="413">
        <f t="shared" si="327"/>
        <v>8.0000000000000003E-10</v>
      </c>
      <c r="AB304" s="413">
        <f t="shared" si="328"/>
        <v>8.9999999999999999E-10</v>
      </c>
      <c r="AC304" s="413">
        <f t="shared" si="329"/>
        <v>9.5000000000000003E-10</v>
      </c>
      <c r="AD304" s="413" t="b">
        <f>IF(T304&gt;LARGE((($T304,$W304:$AC304)),5),TRUE)</f>
        <v>0</v>
      </c>
      <c r="AE304" s="447" t="b">
        <v>1</v>
      </c>
      <c r="AF304" s="447" t="b">
        <v>1</v>
      </c>
      <c r="AG304" s="413" t="b">
        <f>IF(W304&gt;LARGE((($T304,$W304:$AC304)),5),TRUE)</f>
        <v>0</v>
      </c>
      <c r="AH304" s="413" t="b">
        <f>IF(X304&gt;LARGE((($T304,$W304:$AC304)),5),TRUE)</f>
        <v>0</v>
      </c>
      <c r="AI304" s="413" t="b">
        <f>IF(Y304&gt;LARGE((($T304,$W304:$AC304)),5),TRUE)</f>
        <v>0</v>
      </c>
      <c r="AJ304" s="413" t="b">
        <f>IF(Z304&gt;LARGE((($T304,$W304:$AC304)),5),TRUE)</f>
        <v>1</v>
      </c>
      <c r="AK304" s="413" t="b">
        <f>IF(AA304&gt;LARGE((($T304,$W304:$AC304)),5),TRUE)</f>
        <v>1</v>
      </c>
      <c r="AL304" s="413" t="b">
        <f>IF(AB304&gt;LARGE((($T304,$W304:$AC304)),5),TRUE)</f>
        <v>1</v>
      </c>
      <c r="AM304" s="413" t="b">
        <f>IF(AC304&gt;LARGE((($T304,$W304:$AC304)),5),TRUE)</f>
        <v>1</v>
      </c>
    </row>
    <row r="305" spans="1:42" x14ac:dyDescent="0.3">
      <c r="A305" s="391" t="str">
        <f>'Reference Score Calculation'!A284</f>
        <v>JS6250</v>
      </c>
      <c r="B305" s="412" t="str">
        <f>'Reference Score Calculation'!D284</f>
        <v>文理學士(環球衞生及發展)</v>
      </c>
      <c r="C305" s="236"/>
      <c r="D305" s="358" t="str">
        <f>'Reference Score Calculation'!E284</f>
        <v>Best 5</v>
      </c>
      <c r="E305" s="409" t="str">
        <f>入學要求!T293</f>
        <v>v</v>
      </c>
      <c r="F305" s="409" t="str">
        <f>入學要求!U293</f>
        <v>E</v>
      </c>
      <c r="G305" s="409" t="str">
        <f>入學要求!V293</f>
        <v>NO</v>
      </c>
      <c r="H305" s="413">
        <f t="shared" si="319"/>
        <v>3.9500000000000006E-9</v>
      </c>
      <c r="I305" s="413">
        <v>1</v>
      </c>
      <c r="J305" s="413">
        <v>1</v>
      </c>
      <c r="K305" s="413">
        <v>1</v>
      </c>
      <c r="L305" s="413">
        <v>1</v>
      </c>
      <c r="M305" s="413">
        <v>1</v>
      </c>
      <c r="N305" s="413">
        <v>1</v>
      </c>
      <c r="O305" s="413">
        <v>1</v>
      </c>
      <c r="P305" s="413">
        <v>1</v>
      </c>
      <c r="Q305" s="413">
        <v>1</v>
      </c>
      <c r="R305" s="413">
        <v>1</v>
      </c>
      <c r="S305" s="413"/>
      <c r="T305" s="413">
        <f t="shared" si="320"/>
        <v>1E-10</v>
      </c>
      <c r="U305" s="413">
        <f t="shared" si="321"/>
        <v>2.0000000000000001E-10</v>
      </c>
      <c r="V305" s="413">
        <f t="shared" si="322"/>
        <v>3E-10</v>
      </c>
      <c r="W305" s="413">
        <f t="shared" si="323"/>
        <v>4.0000000000000001E-10</v>
      </c>
      <c r="X305" s="413">
        <f t="shared" si="324"/>
        <v>5.0000000000000003E-10</v>
      </c>
      <c r="Y305" s="413">
        <f t="shared" si="325"/>
        <v>6E-10</v>
      </c>
      <c r="Z305" s="413">
        <f t="shared" si="326"/>
        <v>6.9999999999999996E-10</v>
      </c>
      <c r="AA305" s="413">
        <f t="shared" si="327"/>
        <v>8.0000000000000003E-10</v>
      </c>
      <c r="AB305" s="413">
        <f t="shared" si="328"/>
        <v>8.9999999999999999E-10</v>
      </c>
      <c r="AC305" s="413">
        <f t="shared" si="329"/>
        <v>9.5000000000000003E-10</v>
      </c>
      <c r="AD305" s="413" t="b">
        <f>IF(T305&gt;LARGE(($T305:$AC305),6),TRUE)</f>
        <v>0</v>
      </c>
      <c r="AE305" s="413" t="b">
        <f t="shared" ref="AE305" si="476">IF(U305&gt;LARGE(($T305:$AC305),6),TRUE)</f>
        <v>0</v>
      </c>
      <c r="AF305" s="413" t="b">
        <f t="shared" ref="AF305" si="477">IF(V305&gt;LARGE(($T305:$AC305),6),TRUE)</f>
        <v>0</v>
      </c>
      <c r="AG305" s="413" t="b">
        <f t="shared" ref="AG305" si="478">IF(W305&gt;LARGE(($T305:$AC305),6),TRUE)</f>
        <v>0</v>
      </c>
      <c r="AH305" s="413" t="b">
        <f t="shared" ref="AH305" si="479">IF(X305&gt;LARGE(($T305:$AC305),6),TRUE)</f>
        <v>0</v>
      </c>
      <c r="AI305" s="413" t="b">
        <f t="shared" ref="AI305" si="480">IF(Y305&gt;LARGE(($T305:$AC305),6),TRUE)</f>
        <v>1</v>
      </c>
      <c r="AJ305" s="413" t="b">
        <f t="shared" ref="AJ305" si="481">IF(Z305&gt;LARGE(($T305:$AC305),6),TRUE)</f>
        <v>1</v>
      </c>
      <c r="AK305" s="413" t="b">
        <f t="shared" ref="AK305" si="482">IF(AA305&gt;LARGE(($T305:$AC305),6),TRUE)</f>
        <v>1</v>
      </c>
      <c r="AL305" s="413" t="b">
        <f t="shared" ref="AL305" si="483">IF(AB305&gt;LARGE(($T305:$AC305),6),TRUE)</f>
        <v>1</v>
      </c>
      <c r="AM305" s="413" t="b">
        <f t="shared" ref="AM305" si="484">IF(AC305&gt;LARGE(($T305:$AC305),6),TRUE)</f>
        <v>1</v>
      </c>
    </row>
    <row r="307" spans="1:42" s="227" customFormat="1" x14ac:dyDescent="0.3">
      <c r="A307" s="226" t="s">
        <v>2346</v>
      </c>
      <c r="D307" s="411"/>
      <c r="E307" s="356" t="s">
        <v>2233</v>
      </c>
      <c r="F307" s="356" t="s">
        <v>2234</v>
      </c>
      <c r="G307" s="356" t="s">
        <v>2235</v>
      </c>
      <c r="H307" s="399" t="s">
        <v>2301</v>
      </c>
      <c r="I307" s="399" t="s">
        <v>2011</v>
      </c>
      <c r="J307" s="399" t="s">
        <v>2012</v>
      </c>
      <c r="K307" s="399" t="s">
        <v>2013</v>
      </c>
      <c r="L307" s="399" t="s">
        <v>2014</v>
      </c>
      <c r="M307" s="399" t="s">
        <v>2015</v>
      </c>
      <c r="N307" s="399" t="s">
        <v>2016</v>
      </c>
      <c r="O307" s="399" t="s">
        <v>2017</v>
      </c>
      <c r="P307" s="399" t="s">
        <v>2018</v>
      </c>
      <c r="Q307" s="399" t="s">
        <v>2019</v>
      </c>
      <c r="R307" s="399" t="s">
        <v>2958</v>
      </c>
      <c r="S307" s="404"/>
      <c r="T307" s="399" t="str">
        <f>I$1</f>
        <v>中國語文</v>
      </c>
      <c r="U307" s="399" t="str">
        <f t="shared" ref="U307" si="485">J$1</f>
        <v>英國語文</v>
      </c>
      <c r="V307" s="399" t="str">
        <f t="shared" ref="V307" si="486">K$1</f>
        <v>數學</v>
      </c>
      <c r="W307" s="399" t="str">
        <f t="shared" ref="W307" si="487">L$1</f>
        <v>通識教育</v>
      </c>
      <c r="X307" s="399" t="str">
        <f t="shared" ref="X307" si="488">M$1</f>
        <v>數學延伸</v>
      </c>
      <c r="Y307" s="399" t="str">
        <f t="shared" ref="Y307" si="489">N$1</f>
        <v>請選擇第一選修科</v>
      </c>
      <c r="Z307" s="399" t="str">
        <f t="shared" ref="Z307" si="490">O$1</f>
        <v>請選擇第二選修科</v>
      </c>
      <c r="AA307" s="399" t="str">
        <f t="shared" ref="AA307" si="491">P$1</f>
        <v>請選擇第三選修科</v>
      </c>
      <c r="AB307" s="399" t="str">
        <f t="shared" ref="AB307" si="492">Q$1</f>
        <v>請選擇第四選修科</v>
      </c>
      <c r="AC307" s="399" t="str">
        <f t="shared" ref="AC307" si="493">R$1</f>
        <v>請選擇語言科目</v>
      </c>
      <c r="AD307" s="399" t="s">
        <v>2881</v>
      </c>
      <c r="AE307" s="399" t="s">
        <v>2882</v>
      </c>
      <c r="AF307" s="399" t="s">
        <v>2883</v>
      </c>
      <c r="AG307" s="399" t="s">
        <v>2884</v>
      </c>
      <c r="AH307" s="399" t="s">
        <v>2885</v>
      </c>
      <c r="AI307" s="399" t="s">
        <v>2886</v>
      </c>
      <c r="AJ307" s="399" t="s">
        <v>2887</v>
      </c>
      <c r="AK307" s="399" t="s">
        <v>2888</v>
      </c>
      <c r="AL307" s="399" t="s">
        <v>2889</v>
      </c>
      <c r="AM307" s="399" t="s">
        <v>2890</v>
      </c>
    </row>
    <row r="308" spans="1:42" x14ac:dyDescent="0.3">
      <c r="A308" s="185" t="str">
        <f>'Reference Score Calculation'!A287</f>
        <v>JS7101</v>
      </c>
      <c r="B308" s="185" t="str">
        <f>'Reference Score Calculation'!D287</f>
        <v>中文(榮譽)文學士</v>
      </c>
      <c r="D308" s="212" t="str">
        <f>'Reference Score Calculation'!E287</f>
        <v>Best 5</v>
      </c>
      <c r="E308" s="185" t="str">
        <f>入學要求!T296</f>
        <v>NO</v>
      </c>
      <c r="F308" s="391" t="str">
        <f>入學要求!U296</f>
        <v>E</v>
      </c>
      <c r="G308" s="391" t="str">
        <f>入學要求!V296</f>
        <v>NO</v>
      </c>
      <c r="H308" s="185">
        <f>SUMIF(AD308:AM308,TRUE,T308:AC308)</f>
        <v>3.9500000000000006E-9</v>
      </c>
      <c r="I308" s="185">
        <v>1.5</v>
      </c>
      <c r="J308" s="185">
        <v>1.5</v>
      </c>
      <c r="K308" s="185">
        <v>1</v>
      </c>
      <c r="L308" s="185">
        <v>1</v>
      </c>
      <c r="M308" s="400">
        <v>1</v>
      </c>
      <c r="N308" s="185">
        <f>IF(OR(N$1="中國歷史",N$1="中國文學"),1.5,1)</f>
        <v>1</v>
      </c>
      <c r="O308" s="391">
        <f t="shared" ref="O308:Q308" si="494">IF(OR(O$1="中國歷史",O$1="中國文學"),1.5,1)</f>
        <v>1</v>
      </c>
      <c r="P308" s="391">
        <f t="shared" si="494"/>
        <v>1</v>
      </c>
      <c r="Q308" s="391">
        <f t="shared" si="494"/>
        <v>1</v>
      </c>
      <c r="R308" s="391">
        <v>1</v>
      </c>
      <c r="T308" s="391">
        <f>I$9*I308</f>
        <v>1.5E-10</v>
      </c>
      <c r="U308" s="391">
        <f t="shared" ref="U308:AB308" si="495">J$9*J308</f>
        <v>3E-10</v>
      </c>
      <c r="V308" s="391">
        <f t="shared" si="495"/>
        <v>3E-10</v>
      </c>
      <c r="W308" s="391">
        <f t="shared" si="495"/>
        <v>4.0000000000000001E-10</v>
      </c>
      <c r="X308" s="391">
        <f>IF(E308="v",M$9*M308,0)</f>
        <v>0</v>
      </c>
      <c r="Y308" s="391">
        <f t="shared" si="495"/>
        <v>6E-10</v>
      </c>
      <c r="Z308" s="391">
        <f t="shared" si="495"/>
        <v>6.9999999999999996E-10</v>
      </c>
      <c r="AA308" s="391">
        <f t="shared" si="495"/>
        <v>8.0000000000000003E-10</v>
      </c>
      <c r="AB308" s="391">
        <f t="shared" si="495"/>
        <v>8.9999999999999999E-10</v>
      </c>
      <c r="AC308" s="391">
        <f>IF(F308="E",R$9*R308,0)</f>
        <v>9.5000000000000003E-10</v>
      </c>
      <c r="AD308" s="391" t="b">
        <f>IF(T308&gt;LARGE(($T308:$AC308),6),TRUE)</f>
        <v>0</v>
      </c>
      <c r="AE308" s="391" t="b">
        <f>IF(U308&gt;LARGE(($T308:$AC308),6),TRUE)</f>
        <v>0</v>
      </c>
      <c r="AF308" s="391" t="b">
        <f t="shared" ref="AF308:AM308" si="496">IF(V308&gt;LARGE(($T308:$AC308),6),TRUE)</f>
        <v>0</v>
      </c>
      <c r="AG308" s="391" t="b">
        <f t="shared" si="496"/>
        <v>0</v>
      </c>
      <c r="AH308" s="391" t="b">
        <f t="shared" si="496"/>
        <v>0</v>
      </c>
      <c r="AI308" s="391" t="b">
        <f t="shared" si="496"/>
        <v>1</v>
      </c>
      <c r="AJ308" s="391" t="b">
        <f t="shared" si="496"/>
        <v>1</v>
      </c>
      <c r="AK308" s="391" t="b">
        <f t="shared" si="496"/>
        <v>1</v>
      </c>
      <c r="AL308" s="391" t="b">
        <f t="shared" si="496"/>
        <v>1</v>
      </c>
      <c r="AM308" s="391" t="b">
        <f t="shared" si="496"/>
        <v>1</v>
      </c>
      <c r="AO308" s="185" t="s">
        <v>3410</v>
      </c>
      <c r="AP308" s="185" t="s">
        <v>1970</v>
      </c>
    </row>
    <row r="309" spans="1:42" x14ac:dyDescent="0.3">
      <c r="A309" s="391" t="str">
        <f>'Reference Score Calculation'!A288</f>
        <v>JS7123</v>
      </c>
      <c r="B309" s="391" t="str">
        <f>'Reference Score Calculation'!D288</f>
        <v>環球可持續發展(榮譽)博雅學士</v>
      </c>
      <c r="D309" s="398" t="str">
        <f>'Reference Score Calculation'!E288</f>
        <v>Best 5</v>
      </c>
      <c r="E309" s="391" t="str">
        <f>入學要求!T297</f>
        <v>NO</v>
      </c>
      <c r="F309" s="391" t="str">
        <f>入學要求!U297</f>
        <v>E</v>
      </c>
      <c r="G309" s="391" t="str">
        <f>入學要求!V297</f>
        <v>NO</v>
      </c>
      <c r="H309" s="391">
        <f t="shared" ref="H309:H325" si="497">SUMIF(AD309:AM309,TRUE,T309:AC309)</f>
        <v>3.3500000000000002E-9</v>
      </c>
      <c r="I309" s="185">
        <v>1</v>
      </c>
      <c r="J309" s="185">
        <v>2</v>
      </c>
      <c r="K309" s="185">
        <v>1</v>
      </c>
      <c r="L309" s="185">
        <v>1.5</v>
      </c>
      <c r="M309" s="400">
        <v>1</v>
      </c>
      <c r="N309" s="185">
        <v>1</v>
      </c>
      <c r="O309" s="391">
        <v>1</v>
      </c>
      <c r="P309" s="391">
        <v>1</v>
      </c>
      <c r="Q309" s="391">
        <v>1</v>
      </c>
      <c r="R309" s="391">
        <v>1</v>
      </c>
      <c r="T309" s="391">
        <f t="shared" ref="T309:T324" si="498">I$9*I309</f>
        <v>1E-10</v>
      </c>
      <c r="U309" s="391">
        <f t="shared" ref="U309:U324" si="499">J$9*J309</f>
        <v>4.0000000000000001E-10</v>
      </c>
      <c r="V309" s="391">
        <f t="shared" ref="V309:V324" si="500">K$9*K309</f>
        <v>3E-10</v>
      </c>
      <c r="W309" s="391">
        <f t="shared" ref="W309:W324" si="501">L$9*L309</f>
        <v>6E-10</v>
      </c>
      <c r="X309" s="391">
        <f t="shared" ref="X309:X324" si="502">IF(E309="v",M$9*M309,0)</f>
        <v>0</v>
      </c>
      <c r="Y309" s="391">
        <f t="shared" ref="Y309:Y324" si="503">N$9*N309</f>
        <v>6E-10</v>
      </c>
      <c r="Z309" s="391">
        <f t="shared" ref="Z309:Z324" si="504">O$9*O309</f>
        <v>6.9999999999999996E-10</v>
      </c>
      <c r="AA309" s="391">
        <f t="shared" ref="AA309:AA324" si="505">P$9*P309</f>
        <v>8.0000000000000003E-10</v>
      </c>
      <c r="AB309" s="391">
        <f t="shared" ref="AB309:AB324" si="506">Q$9*Q309</f>
        <v>8.9999999999999999E-10</v>
      </c>
      <c r="AC309" s="391">
        <f t="shared" ref="AC309:AC324" si="507">IF(F309="E",R$9*R309,0)</f>
        <v>9.5000000000000003E-10</v>
      </c>
      <c r="AD309" s="391" t="b">
        <f t="shared" ref="AD309:AD324" si="508">IF(T309&gt;LARGE(($T309:$AC309),6),TRUE)</f>
        <v>0</v>
      </c>
      <c r="AE309" s="391" t="b">
        <f t="shared" ref="AE309:AE324" si="509">IF(U309&gt;LARGE(($T309:$AC309),6),TRUE)</f>
        <v>0</v>
      </c>
      <c r="AF309" s="391" t="b">
        <f t="shared" ref="AF309:AF324" si="510">IF(V309&gt;LARGE(($T309:$AC309),6),TRUE)</f>
        <v>0</v>
      </c>
      <c r="AG309" s="391" t="b">
        <f t="shared" ref="AG309:AG324" si="511">IF(W309&gt;LARGE(($T309:$AC309),6),TRUE)</f>
        <v>0</v>
      </c>
      <c r="AH309" s="391" t="b">
        <f t="shared" ref="AH309:AH324" si="512">IF(X309&gt;LARGE(($T309:$AC309),6),TRUE)</f>
        <v>0</v>
      </c>
      <c r="AI309" s="391" t="b">
        <f t="shared" ref="AI309:AI324" si="513">IF(Y309&gt;LARGE(($T309:$AC309),6),TRUE)</f>
        <v>0</v>
      </c>
      <c r="AJ309" s="391" t="b">
        <f t="shared" ref="AJ309:AJ324" si="514">IF(Z309&gt;LARGE(($T309:$AC309),6),TRUE)</f>
        <v>1</v>
      </c>
      <c r="AK309" s="391" t="b">
        <f t="shared" ref="AK309:AK324" si="515">IF(AA309&gt;LARGE(($T309:$AC309),6),TRUE)</f>
        <v>1</v>
      </c>
      <c r="AL309" s="391" t="b">
        <f t="shared" ref="AL309:AL324" si="516">IF(AB309&gt;LARGE(($T309:$AC309),6),TRUE)</f>
        <v>1</v>
      </c>
      <c r="AM309" s="391" t="b">
        <f t="shared" ref="AM309:AM324" si="517">IF(AC309&gt;LARGE(($T309:$AC309),6),TRUE)</f>
        <v>1</v>
      </c>
      <c r="AO309" s="185" t="s">
        <v>2739</v>
      </c>
      <c r="AP309" s="185" t="s">
        <v>2866</v>
      </c>
    </row>
    <row r="310" spans="1:42" x14ac:dyDescent="0.3">
      <c r="A310" s="391" t="str">
        <f>'Reference Score Calculation'!A289</f>
        <v>JS7133</v>
      </c>
      <c r="B310" s="391" t="str">
        <f>'Reference Score Calculation'!D289</f>
        <v>動畫及數碼藝術(榮譽)文學士</v>
      </c>
      <c r="D310" s="452" t="str">
        <f>'Reference Score Calculation'!AD289</f>
        <v>Best 5</v>
      </c>
      <c r="E310" s="391" t="str">
        <f>入學要求!T298</f>
        <v>NO</v>
      </c>
      <c r="F310" s="391" t="str">
        <f>入學要求!U298</f>
        <v>E</v>
      </c>
      <c r="G310" s="391" t="str">
        <f>入學要求!V298</f>
        <v>NO</v>
      </c>
      <c r="H310" s="391">
        <f t="shared" si="497"/>
        <v>3.9500000000000006E-9</v>
      </c>
      <c r="I310" s="185">
        <v>1.5</v>
      </c>
      <c r="J310" s="185">
        <v>1.5</v>
      </c>
      <c r="K310" s="185">
        <v>1</v>
      </c>
      <c r="L310" s="185">
        <v>1</v>
      </c>
      <c r="M310" s="400">
        <v>1</v>
      </c>
      <c r="N310" s="391">
        <f>IF(OR(N$1="視覺藝術",N$1="資訊及通訊科技"),1.2,1)</f>
        <v>1</v>
      </c>
      <c r="O310" s="391">
        <f t="shared" ref="O310:Q310" si="518">IF(OR(O$1="視覺藝術",O$1="資訊及通訊科技"),1.2,1)</f>
        <v>1</v>
      </c>
      <c r="P310" s="391">
        <f t="shared" si="518"/>
        <v>1</v>
      </c>
      <c r="Q310" s="391">
        <f t="shared" si="518"/>
        <v>1</v>
      </c>
      <c r="R310" s="391">
        <v>1</v>
      </c>
      <c r="T310" s="391">
        <f t="shared" si="498"/>
        <v>1.5E-10</v>
      </c>
      <c r="U310" s="391">
        <f t="shared" si="499"/>
        <v>3E-10</v>
      </c>
      <c r="V310" s="391">
        <f t="shared" si="500"/>
        <v>3E-10</v>
      </c>
      <c r="W310" s="391">
        <f t="shared" si="501"/>
        <v>4.0000000000000001E-10</v>
      </c>
      <c r="X310" s="391">
        <f t="shared" si="502"/>
        <v>0</v>
      </c>
      <c r="Y310" s="391">
        <f t="shared" si="503"/>
        <v>6E-10</v>
      </c>
      <c r="Z310" s="391">
        <f t="shared" si="504"/>
        <v>6.9999999999999996E-10</v>
      </c>
      <c r="AA310" s="391">
        <f t="shared" si="505"/>
        <v>8.0000000000000003E-10</v>
      </c>
      <c r="AB310" s="391">
        <f t="shared" si="506"/>
        <v>8.9999999999999999E-10</v>
      </c>
      <c r="AC310" s="391">
        <f t="shared" si="507"/>
        <v>9.5000000000000003E-10</v>
      </c>
      <c r="AD310" s="391" t="b">
        <f t="shared" si="508"/>
        <v>0</v>
      </c>
      <c r="AE310" s="391" t="b">
        <f t="shared" si="509"/>
        <v>0</v>
      </c>
      <c r="AF310" s="391" t="b">
        <f t="shared" si="510"/>
        <v>0</v>
      </c>
      <c r="AG310" s="391" t="b">
        <f t="shared" si="511"/>
        <v>0</v>
      </c>
      <c r="AH310" s="391" t="b">
        <f t="shared" si="512"/>
        <v>0</v>
      </c>
      <c r="AI310" s="391" t="b">
        <f t="shared" si="513"/>
        <v>1</v>
      </c>
      <c r="AJ310" s="391" t="b">
        <f t="shared" si="514"/>
        <v>1</v>
      </c>
      <c r="AK310" s="391" t="b">
        <f t="shared" si="515"/>
        <v>1</v>
      </c>
      <c r="AL310" s="391" t="b">
        <f t="shared" si="516"/>
        <v>1</v>
      </c>
      <c r="AM310" s="391" t="b">
        <f t="shared" si="517"/>
        <v>1</v>
      </c>
      <c r="AO310" s="185" t="s">
        <v>3398</v>
      </c>
      <c r="AP310" s="185" t="s">
        <v>3400</v>
      </c>
    </row>
    <row r="311" spans="1:42" x14ac:dyDescent="0.3">
      <c r="A311" s="391" t="str">
        <f>'Reference Score Calculation'!A290</f>
        <v>JS7200</v>
      </c>
      <c r="B311" s="391" t="str">
        <f>'Reference Score Calculation'!D290</f>
        <v>工商管理(榮譽)學士</v>
      </c>
      <c r="D311" s="398" t="str">
        <f>'Reference Score Calculation'!E290</f>
        <v>Best 5</v>
      </c>
      <c r="E311" s="391" t="str">
        <f>入學要求!T299</f>
        <v>NO</v>
      </c>
      <c r="F311" s="391" t="str">
        <f>入學要求!U299</f>
        <v>E</v>
      </c>
      <c r="G311" s="391" t="str">
        <f>入學要求!V299</f>
        <v>NO</v>
      </c>
      <c r="H311" s="391">
        <f t="shared" si="497"/>
        <v>3.9500000000000006E-9</v>
      </c>
      <c r="I311" s="185">
        <v>1</v>
      </c>
      <c r="J311" s="185">
        <v>2</v>
      </c>
      <c r="K311" s="185">
        <v>1.5</v>
      </c>
      <c r="L311" s="185">
        <v>1</v>
      </c>
      <c r="M311" s="400">
        <v>1</v>
      </c>
      <c r="N311" s="185">
        <v>1</v>
      </c>
      <c r="O311" s="391">
        <v>1</v>
      </c>
      <c r="P311" s="391">
        <v>1</v>
      </c>
      <c r="Q311" s="391">
        <v>1</v>
      </c>
      <c r="R311" s="391">
        <v>1</v>
      </c>
      <c r="T311" s="391">
        <f t="shared" si="498"/>
        <v>1E-10</v>
      </c>
      <c r="U311" s="391">
        <f t="shared" si="499"/>
        <v>4.0000000000000001E-10</v>
      </c>
      <c r="V311" s="391">
        <f t="shared" si="500"/>
        <v>4.5E-10</v>
      </c>
      <c r="W311" s="391">
        <f t="shared" si="501"/>
        <v>4.0000000000000001E-10</v>
      </c>
      <c r="X311" s="391">
        <f t="shared" si="502"/>
        <v>0</v>
      </c>
      <c r="Y311" s="391">
        <f t="shared" si="503"/>
        <v>6E-10</v>
      </c>
      <c r="Z311" s="391">
        <f t="shared" si="504"/>
        <v>6.9999999999999996E-10</v>
      </c>
      <c r="AA311" s="391">
        <f t="shared" si="505"/>
        <v>8.0000000000000003E-10</v>
      </c>
      <c r="AB311" s="391">
        <f t="shared" si="506"/>
        <v>8.9999999999999999E-10</v>
      </c>
      <c r="AC311" s="391">
        <f t="shared" si="507"/>
        <v>9.5000000000000003E-10</v>
      </c>
      <c r="AD311" s="391" t="b">
        <f t="shared" si="508"/>
        <v>0</v>
      </c>
      <c r="AE311" s="391" t="b">
        <f t="shared" si="509"/>
        <v>0</v>
      </c>
      <c r="AF311" s="391" t="b">
        <f t="shared" si="510"/>
        <v>0</v>
      </c>
      <c r="AG311" s="391" t="b">
        <f t="shared" si="511"/>
        <v>0</v>
      </c>
      <c r="AH311" s="391" t="b">
        <f t="shared" si="512"/>
        <v>0</v>
      </c>
      <c r="AI311" s="391" t="b">
        <f t="shared" si="513"/>
        <v>1</v>
      </c>
      <c r="AJ311" s="391" t="b">
        <f t="shared" si="514"/>
        <v>1</v>
      </c>
      <c r="AK311" s="391" t="b">
        <f t="shared" si="515"/>
        <v>1</v>
      </c>
      <c r="AL311" s="391" t="b">
        <f t="shared" si="516"/>
        <v>1</v>
      </c>
      <c r="AM311" s="391" t="b">
        <f t="shared" si="517"/>
        <v>1</v>
      </c>
      <c r="AO311" s="185" t="s">
        <v>2739</v>
      </c>
      <c r="AP311" s="185" t="s">
        <v>2776</v>
      </c>
    </row>
    <row r="312" spans="1:42" x14ac:dyDescent="0.3">
      <c r="A312" s="391" t="str">
        <f>'Reference Score Calculation'!A291</f>
        <v>JS7204</v>
      </c>
      <c r="B312" s="391" t="str">
        <f>'Reference Score Calculation'!D291</f>
        <v>翻譯、跨文化研究及企業傳訊(榮譽)文學士</v>
      </c>
      <c r="D312" s="398" t="str">
        <f>'Reference Score Calculation'!E291</f>
        <v>Best 5</v>
      </c>
      <c r="E312" s="391" t="str">
        <f>入學要求!T300</f>
        <v>NO</v>
      </c>
      <c r="F312" s="391" t="str">
        <f>入學要求!U300</f>
        <v>E</v>
      </c>
      <c r="G312" s="391" t="str">
        <f>入學要求!V300</f>
        <v>NO</v>
      </c>
      <c r="H312" s="391">
        <f t="shared" si="497"/>
        <v>3.9500000000000006E-9</v>
      </c>
      <c r="I312" s="185">
        <v>1.5</v>
      </c>
      <c r="J312" s="185">
        <v>2</v>
      </c>
      <c r="K312" s="185">
        <v>1</v>
      </c>
      <c r="L312" s="185">
        <v>1</v>
      </c>
      <c r="M312" s="400">
        <v>1</v>
      </c>
      <c r="N312" s="391">
        <f>IF(OR(N$1="英語文學",N$1="中國文學"),1.5,1)</f>
        <v>1</v>
      </c>
      <c r="O312" s="391">
        <f t="shared" ref="O312:Q312" si="519">IF(OR(O$1="英語文學",O$1="中國文學"),1.5,1)</f>
        <v>1</v>
      </c>
      <c r="P312" s="391">
        <f t="shared" si="519"/>
        <v>1</v>
      </c>
      <c r="Q312" s="391">
        <f t="shared" si="519"/>
        <v>1</v>
      </c>
      <c r="R312" s="391">
        <v>1</v>
      </c>
      <c r="T312" s="391">
        <f t="shared" si="498"/>
        <v>1.5E-10</v>
      </c>
      <c r="U312" s="391">
        <f t="shared" si="499"/>
        <v>4.0000000000000001E-10</v>
      </c>
      <c r="V312" s="391">
        <f t="shared" si="500"/>
        <v>3E-10</v>
      </c>
      <c r="W312" s="391">
        <f t="shared" si="501"/>
        <v>4.0000000000000001E-10</v>
      </c>
      <c r="X312" s="391">
        <f t="shared" si="502"/>
        <v>0</v>
      </c>
      <c r="Y312" s="391">
        <f t="shared" si="503"/>
        <v>6E-10</v>
      </c>
      <c r="Z312" s="391">
        <f t="shared" si="504"/>
        <v>6.9999999999999996E-10</v>
      </c>
      <c r="AA312" s="391">
        <f t="shared" si="505"/>
        <v>8.0000000000000003E-10</v>
      </c>
      <c r="AB312" s="391">
        <f t="shared" si="506"/>
        <v>8.9999999999999999E-10</v>
      </c>
      <c r="AC312" s="391">
        <f t="shared" si="507"/>
        <v>9.5000000000000003E-10</v>
      </c>
      <c r="AD312" s="391" t="b">
        <f t="shared" si="508"/>
        <v>0</v>
      </c>
      <c r="AE312" s="391" t="b">
        <f t="shared" si="509"/>
        <v>0</v>
      </c>
      <c r="AF312" s="391" t="b">
        <f t="shared" si="510"/>
        <v>0</v>
      </c>
      <c r="AG312" s="391" t="b">
        <f t="shared" si="511"/>
        <v>0</v>
      </c>
      <c r="AH312" s="391" t="b">
        <f t="shared" si="512"/>
        <v>0</v>
      </c>
      <c r="AI312" s="391" t="b">
        <f t="shared" si="513"/>
        <v>1</v>
      </c>
      <c r="AJ312" s="391" t="b">
        <f t="shared" si="514"/>
        <v>1</v>
      </c>
      <c r="AK312" s="391" t="b">
        <f t="shared" si="515"/>
        <v>1</v>
      </c>
      <c r="AL312" s="391" t="b">
        <f t="shared" si="516"/>
        <v>1</v>
      </c>
      <c r="AM312" s="391" t="b">
        <f t="shared" si="517"/>
        <v>1</v>
      </c>
      <c r="AO312" s="185" t="s">
        <v>2739</v>
      </c>
      <c r="AP312" s="185" t="s">
        <v>3402</v>
      </c>
    </row>
    <row r="313" spans="1:42" x14ac:dyDescent="0.3">
      <c r="A313" s="391" t="str">
        <f>'Reference Score Calculation'!A292</f>
        <v>JS7216</v>
      </c>
      <c r="B313" s="391" t="str">
        <f>'Reference Score Calculation'!D292</f>
        <v>工商管理(榮譽)學士 - 風險及保險管理</v>
      </c>
      <c r="D313" s="398" t="str">
        <f>'Reference Score Calculation'!E292</f>
        <v>Best 5</v>
      </c>
      <c r="E313" s="391" t="str">
        <f>入學要求!T301</f>
        <v>NO</v>
      </c>
      <c r="F313" s="391" t="str">
        <f>入學要求!U301</f>
        <v>E</v>
      </c>
      <c r="G313" s="391" t="str">
        <f>入學要求!V301</f>
        <v>NO</v>
      </c>
      <c r="H313" s="391">
        <f t="shared" si="497"/>
        <v>3.9500000000000006E-9</v>
      </c>
      <c r="I313" s="185">
        <v>1</v>
      </c>
      <c r="J313" s="185">
        <v>2</v>
      </c>
      <c r="K313" s="185">
        <v>1.5</v>
      </c>
      <c r="L313" s="185">
        <v>1</v>
      </c>
      <c r="M313" s="400">
        <v>1</v>
      </c>
      <c r="N313" s="185">
        <v>1</v>
      </c>
      <c r="O313" s="391">
        <v>1</v>
      </c>
      <c r="P313" s="391">
        <v>1</v>
      </c>
      <c r="Q313" s="391">
        <v>1</v>
      </c>
      <c r="R313" s="391">
        <v>1</v>
      </c>
      <c r="T313" s="391">
        <f t="shared" si="498"/>
        <v>1E-10</v>
      </c>
      <c r="U313" s="391">
        <f t="shared" si="499"/>
        <v>4.0000000000000001E-10</v>
      </c>
      <c r="V313" s="391">
        <f t="shared" si="500"/>
        <v>4.5E-10</v>
      </c>
      <c r="W313" s="391">
        <f t="shared" si="501"/>
        <v>4.0000000000000001E-10</v>
      </c>
      <c r="X313" s="391">
        <f t="shared" si="502"/>
        <v>0</v>
      </c>
      <c r="Y313" s="391">
        <f t="shared" si="503"/>
        <v>6E-10</v>
      </c>
      <c r="Z313" s="391">
        <f t="shared" si="504"/>
        <v>6.9999999999999996E-10</v>
      </c>
      <c r="AA313" s="391">
        <f t="shared" si="505"/>
        <v>8.0000000000000003E-10</v>
      </c>
      <c r="AB313" s="391">
        <f t="shared" si="506"/>
        <v>8.9999999999999999E-10</v>
      </c>
      <c r="AC313" s="391">
        <f t="shared" si="507"/>
        <v>9.5000000000000003E-10</v>
      </c>
      <c r="AD313" s="391" t="b">
        <f t="shared" si="508"/>
        <v>0</v>
      </c>
      <c r="AE313" s="391" t="b">
        <f t="shared" si="509"/>
        <v>0</v>
      </c>
      <c r="AF313" s="391" t="b">
        <f t="shared" si="510"/>
        <v>0</v>
      </c>
      <c r="AG313" s="391" t="b">
        <f t="shared" si="511"/>
        <v>0</v>
      </c>
      <c r="AH313" s="391" t="b">
        <f t="shared" si="512"/>
        <v>0</v>
      </c>
      <c r="AI313" s="391" t="b">
        <f t="shared" si="513"/>
        <v>1</v>
      </c>
      <c r="AJ313" s="391" t="b">
        <f t="shared" si="514"/>
        <v>1</v>
      </c>
      <c r="AK313" s="391" t="b">
        <f t="shared" si="515"/>
        <v>1</v>
      </c>
      <c r="AL313" s="391" t="b">
        <f t="shared" si="516"/>
        <v>1</v>
      </c>
      <c r="AM313" s="391" t="b">
        <f t="shared" si="517"/>
        <v>1</v>
      </c>
      <c r="AO313" s="185" t="s">
        <v>2739</v>
      </c>
      <c r="AP313" s="185" t="s">
        <v>2776</v>
      </c>
    </row>
    <row r="314" spans="1:42" x14ac:dyDescent="0.3">
      <c r="A314" s="391" t="str">
        <f>'Reference Score Calculation'!A293</f>
        <v>JS7225</v>
      </c>
      <c r="B314" s="391" t="str">
        <f>'Reference Score Calculation'!D293</f>
        <v>數據科學(榮譽)理學士</v>
      </c>
      <c r="D314" s="398" t="str">
        <f>'Reference Score Calculation'!E293</f>
        <v>Best 5</v>
      </c>
      <c r="E314" s="391" t="str">
        <f>入學要求!T302</f>
        <v>NO</v>
      </c>
      <c r="F314" s="391" t="str">
        <f>入學要求!U302</f>
        <v>E</v>
      </c>
      <c r="G314" s="391" t="str">
        <f>入學要求!V302</f>
        <v>NO</v>
      </c>
      <c r="H314" s="391">
        <f t="shared" si="497"/>
        <v>3.3500000000000002E-9</v>
      </c>
      <c r="I314" s="185">
        <v>1</v>
      </c>
      <c r="J314" s="185">
        <v>2</v>
      </c>
      <c r="K314" s="185">
        <v>2</v>
      </c>
      <c r="L314" s="185">
        <v>1</v>
      </c>
      <c r="M314" s="400">
        <v>1</v>
      </c>
      <c r="N314" s="185">
        <f>IF(N$1="資訊及通訊科技",2,IF(OR(N$1="化學",N$1="物理",N$1="組合科學(物理、化學)",N$1="組合科學(生物、化學)",N$1="組合科學(物理、生物)",N$1="綜合科學"),1.25,1))</f>
        <v>1</v>
      </c>
      <c r="O314" s="391">
        <f t="shared" ref="O314:Q314" si="520">IF(O$1="資訊及通訊科技",2,IF(OR(O$1="化學",O$1="物理",O$1="組合科學(物理、化學)",O$1="組合科學(生物、化學)",O$1="組合科學(物理、生物)",O$1="綜合科學"),1.25,1))</f>
        <v>1</v>
      </c>
      <c r="P314" s="391">
        <f t="shared" si="520"/>
        <v>1</v>
      </c>
      <c r="Q314" s="391">
        <f t="shared" si="520"/>
        <v>1</v>
      </c>
      <c r="R314" s="391">
        <v>1</v>
      </c>
      <c r="T314" s="391">
        <f t="shared" si="498"/>
        <v>1E-10</v>
      </c>
      <c r="U314" s="391">
        <f t="shared" si="499"/>
        <v>4.0000000000000001E-10</v>
      </c>
      <c r="V314" s="391">
        <f t="shared" si="500"/>
        <v>6E-10</v>
      </c>
      <c r="W314" s="391">
        <f t="shared" si="501"/>
        <v>4.0000000000000001E-10</v>
      </c>
      <c r="X314" s="391">
        <f t="shared" si="502"/>
        <v>0</v>
      </c>
      <c r="Y314" s="391">
        <f t="shared" si="503"/>
        <v>6E-10</v>
      </c>
      <c r="Z314" s="391">
        <f t="shared" si="504"/>
        <v>6.9999999999999996E-10</v>
      </c>
      <c r="AA314" s="391">
        <f t="shared" si="505"/>
        <v>8.0000000000000003E-10</v>
      </c>
      <c r="AB314" s="391">
        <f t="shared" si="506"/>
        <v>8.9999999999999999E-10</v>
      </c>
      <c r="AC314" s="391">
        <f t="shared" si="507"/>
        <v>9.5000000000000003E-10</v>
      </c>
      <c r="AD314" s="391" t="b">
        <f t="shared" si="508"/>
        <v>0</v>
      </c>
      <c r="AE314" s="391" t="b">
        <f t="shared" si="509"/>
        <v>0</v>
      </c>
      <c r="AF314" s="391" t="b">
        <f t="shared" si="510"/>
        <v>0</v>
      </c>
      <c r="AG314" s="391" t="b">
        <f t="shared" si="511"/>
        <v>0</v>
      </c>
      <c r="AH314" s="391" t="b">
        <f t="shared" si="512"/>
        <v>0</v>
      </c>
      <c r="AI314" s="391" t="b">
        <f t="shared" si="513"/>
        <v>0</v>
      </c>
      <c r="AJ314" s="391" t="b">
        <f t="shared" si="514"/>
        <v>1</v>
      </c>
      <c r="AK314" s="391" t="b">
        <f t="shared" si="515"/>
        <v>1</v>
      </c>
      <c r="AL314" s="391" t="b">
        <f t="shared" si="516"/>
        <v>1</v>
      </c>
      <c r="AM314" s="391" t="b">
        <f t="shared" si="517"/>
        <v>1</v>
      </c>
      <c r="AO314" s="185" t="s">
        <v>3404</v>
      </c>
      <c r="AP314" s="185" t="s">
        <v>3406</v>
      </c>
    </row>
    <row r="315" spans="1:42" x14ac:dyDescent="0.3">
      <c r="A315" s="391" t="str">
        <f>'Reference Score Calculation'!A294</f>
        <v>JS7301</v>
      </c>
      <c r="B315" s="391" t="str">
        <f>'Reference Score Calculation'!D294</f>
        <v>社會科學(榮譽)學士 - 經濟學</v>
      </c>
      <c r="D315" s="452" t="str">
        <f>'Reference Score Calculation'!AD294</f>
        <v>Best 5</v>
      </c>
      <c r="E315" s="391" t="str">
        <f>入學要求!T303</f>
        <v>NO</v>
      </c>
      <c r="F315" s="391" t="str">
        <f>入學要求!U303</f>
        <v>E</v>
      </c>
      <c r="G315" s="391" t="str">
        <f>入學要求!V303</f>
        <v>NO</v>
      </c>
      <c r="H315" s="391">
        <f t="shared" si="497"/>
        <v>3.3500000000000002E-9</v>
      </c>
      <c r="I315" s="185">
        <v>1</v>
      </c>
      <c r="J315" s="185">
        <v>2</v>
      </c>
      <c r="K315" s="185">
        <v>1.5</v>
      </c>
      <c r="L315" s="185">
        <v>1.5</v>
      </c>
      <c r="M315" s="400">
        <v>1</v>
      </c>
      <c r="N315" s="185">
        <v>1</v>
      </c>
      <c r="O315" s="391">
        <v>1</v>
      </c>
      <c r="P315" s="391">
        <v>1</v>
      </c>
      <c r="Q315" s="391">
        <v>1</v>
      </c>
      <c r="R315" s="391">
        <v>1</v>
      </c>
      <c r="T315" s="391">
        <f t="shared" si="498"/>
        <v>1E-10</v>
      </c>
      <c r="U315" s="391">
        <f t="shared" si="499"/>
        <v>4.0000000000000001E-10</v>
      </c>
      <c r="V315" s="391">
        <f t="shared" si="500"/>
        <v>4.5E-10</v>
      </c>
      <c r="W315" s="391">
        <f t="shared" si="501"/>
        <v>6E-10</v>
      </c>
      <c r="X315" s="391">
        <f t="shared" si="502"/>
        <v>0</v>
      </c>
      <c r="Y315" s="391">
        <f t="shared" si="503"/>
        <v>6E-10</v>
      </c>
      <c r="Z315" s="391">
        <f t="shared" si="504"/>
        <v>6.9999999999999996E-10</v>
      </c>
      <c r="AA315" s="391">
        <f t="shared" si="505"/>
        <v>8.0000000000000003E-10</v>
      </c>
      <c r="AB315" s="391">
        <f t="shared" si="506"/>
        <v>8.9999999999999999E-10</v>
      </c>
      <c r="AC315" s="391">
        <f t="shared" si="507"/>
        <v>9.5000000000000003E-10</v>
      </c>
      <c r="AD315" s="391" t="b">
        <f t="shared" si="508"/>
        <v>0</v>
      </c>
      <c r="AE315" s="391" t="b">
        <f t="shared" si="509"/>
        <v>0</v>
      </c>
      <c r="AF315" s="391" t="b">
        <f t="shared" si="510"/>
        <v>0</v>
      </c>
      <c r="AG315" s="391" t="b">
        <f t="shared" si="511"/>
        <v>0</v>
      </c>
      <c r="AH315" s="391" t="b">
        <f t="shared" si="512"/>
        <v>0</v>
      </c>
      <c r="AI315" s="391" t="b">
        <f t="shared" si="513"/>
        <v>0</v>
      </c>
      <c r="AJ315" s="391" t="b">
        <f t="shared" si="514"/>
        <v>1</v>
      </c>
      <c r="AK315" s="391" t="b">
        <f t="shared" si="515"/>
        <v>1</v>
      </c>
      <c r="AL315" s="391" t="b">
        <f t="shared" si="516"/>
        <v>1</v>
      </c>
      <c r="AM315" s="391" t="b">
        <f t="shared" si="517"/>
        <v>1</v>
      </c>
      <c r="AO315" s="185" t="s">
        <v>2739</v>
      </c>
      <c r="AP315" s="185" t="s">
        <v>3408</v>
      </c>
    </row>
    <row r="316" spans="1:42" x14ac:dyDescent="0.3">
      <c r="A316" s="391" t="str">
        <f>'Reference Score Calculation'!A295</f>
        <v>JS7302</v>
      </c>
      <c r="B316" s="391" t="str">
        <f>'Reference Score Calculation'!D295</f>
        <v>社會科學(榮譽)學士 - 政府與國際事務學</v>
      </c>
      <c r="D316" s="452" t="str">
        <f>'Reference Score Calculation'!AD295</f>
        <v>Best 5</v>
      </c>
      <c r="E316" s="391" t="str">
        <f>入學要求!T304</f>
        <v>NO</v>
      </c>
      <c r="F316" s="391" t="str">
        <f>入學要求!U304</f>
        <v>E</v>
      </c>
      <c r="G316" s="391" t="str">
        <f>入學要求!V304</f>
        <v>NO</v>
      </c>
      <c r="H316" s="391">
        <f t="shared" si="497"/>
        <v>3.3500000000000002E-9</v>
      </c>
      <c r="I316" s="185">
        <v>1</v>
      </c>
      <c r="J316" s="185">
        <v>2</v>
      </c>
      <c r="K316" s="185">
        <v>1.5</v>
      </c>
      <c r="L316" s="185">
        <v>1.5</v>
      </c>
      <c r="M316" s="400">
        <v>1</v>
      </c>
      <c r="N316" s="391">
        <v>1</v>
      </c>
      <c r="O316" s="391">
        <v>1</v>
      </c>
      <c r="P316" s="391">
        <v>1</v>
      </c>
      <c r="Q316" s="391">
        <v>1</v>
      </c>
      <c r="R316" s="391">
        <v>1</v>
      </c>
      <c r="T316" s="391">
        <f t="shared" si="498"/>
        <v>1E-10</v>
      </c>
      <c r="U316" s="391">
        <f t="shared" si="499"/>
        <v>4.0000000000000001E-10</v>
      </c>
      <c r="V316" s="391">
        <f t="shared" si="500"/>
        <v>4.5E-10</v>
      </c>
      <c r="W316" s="391">
        <f t="shared" si="501"/>
        <v>6E-10</v>
      </c>
      <c r="X316" s="391">
        <f t="shared" si="502"/>
        <v>0</v>
      </c>
      <c r="Y316" s="391">
        <f t="shared" si="503"/>
        <v>6E-10</v>
      </c>
      <c r="Z316" s="391">
        <f t="shared" si="504"/>
        <v>6.9999999999999996E-10</v>
      </c>
      <c r="AA316" s="391">
        <f t="shared" si="505"/>
        <v>8.0000000000000003E-10</v>
      </c>
      <c r="AB316" s="391">
        <f t="shared" si="506"/>
        <v>8.9999999999999999E-10</v>
      </c>
      <c r="AC316" s="391">
        <f t="shared" si="507"/>
        <v>9.5000000000000003E-10</v>
      </c>
      <c r="AD316" s="391" t="b">
        <f t="shared" si="508"/>
        <v>0</v>
      </c>
      <c r="AE316" s="391" t="b">
        <f t="shared" si="509"/>
        <v>0</v>
      </c>
      <c r="AF316" s="391" t="b">
        <f t="shared" si="510"/>
        <v>0</v>
      </c>
      <c r="AG316" s="391" t="b">
        <f t="shared" si="511"/>
        <v>0</v>
      </c>
      <c r="AH316" s="391" t="b">
        <f t="shared" si="512"/>
        <v>0</v>
      </c>
      <c r="AI316" s="391" t="b">
        <f t="shared" si="513"/>
        <v>0</v>
      </c>
      <c r="AJ316" s="391" t="b">
        <f t="shared" si="514"/>
        <v>1</v>
      </c>
      <c r="AK316" s="391" t="b">
        <f t="shared" si="515"/>
        <v>1</v>
      </c>
      <c r="AL316" s="391" t="b">
        <f t="shared" si="516"/>
        <v>1</v>
      </c>
      <c r="AM316" s="391" t="b">
        <f t="shared" si="517"/>
        <v>1</v>
      </c>
      <c r="AO316" s="185" t="s">
        <v>2739</v>
      </c>
      <c r="AP316" s="185" t="s">
        <v>3412</v>
      </c>
    </row>
    <row r="317" spans="1:42" x14ac:dyDescent="0.3">
      <c r="A317" s="391" t="str">
        <f>'Reference Score Calculation'!A296</f>
        <v>JS7303</v>
      </c>
      <c r="B317" s="391" t="str">
        <f>'Reference Score Calculation'!D296</f>
        <v>社會科學(榮譽)學士 - 心理學</v>
      </c>
      <c r="D317" s="452" t="str">
        <f>'Reference Score Calculation'!AD296</f>
        <v>Best 5</v>
      </c>
      <c r="E317" s="391" t="str">
        <f>入學要求!T305</f>
        <v>NO</v>
      </c>
      <c r="F317" s="391" t="str">
        <f>入學要求!U305</f>
        <v>E</v>
      </c>
      <c r="G317" s="391" t="str">
        <f>入學要求!V305</f>
        <v>NO</v>
      </c>
      <c r="H317" s="391">
        <f t="shared" si="497"/>
        <v>3.3500000000000002E-9</v>
      </c>
      <c r="I317" s="185">
        <v>1</v>
      </c>
      <c r="J317" s="185">
        <v>2</v>
      </c>
      <c r="K317" s="185">
        <v>1.5</v>
      </c>
      <c r="L317" s="185">
        <v>1.5</v>
      </c>
      <c r="M317" s="400">
        <v>1</v>
      </c>
      <c r="N317" s="391">
        <v>1</v>
      </c>
      <c r="O317" s="391">
        <v>1</v>
      </c>
      <c r="P317" s="391">
        <v>1</v>
      </c>
      <c r="Q317" s="391">
        <v>1</v>
      </c>
      <c r="R317" s="391">
        <v>1</v>
      </c>
      <c r="T317" s="391">
        <f t="shared" si="498"/>
        <v>1E-10</v>
      </c>
      <c r="U317" s="391">
        <f t="shared" si="499"/>
        <v>4.0000000000000001E-10</v>
      </c>
      <c r="V317" s="391">
        <f t="shared" si="500"/>
        <v>4.5E-10</v>
      </c>
      <c r="W317" s="391">
        <f t="shared" si="501"/>
        <v>6E-10</v>
      </c>
      <c r="X317" s="391">
        <f t="shared" si="502"/>
        <v>0</v>
      </c>
      <c r="Y317" s="391">
        <f t="shared" si="503"/>
        <v>6E-10</v>
      </c>
      <c r="Z317" s="391">
        <f t="shared" si="504"/>
        <v>6.9999999999999996E-10</v>
      </c>
      <c r="AA317" s="391">
        <f t="shared" si="505"/>
        <v>8.0000000000000003E-10</v>
      </c>
      <c r="AB317" s="391">
        <f t="shared" si="506"/>
        <v>8.9999999999999999E-10</v>
      </c>
      <c r="AC317" s="391">
        <f t="shared" si="507"/>
        <v>9.5000000000000003E-10</v>
      </c>
      <c r="AD317" s="391" t="b">
        <f t="shared" si="508"/>
        <v>0</v>
      </c>
      <c r="AE317" s="391" t="b">
        <f t="shared" si="509"/>
        <v>0</v>
      </c>
      <c r="AF317" s="391" t="b">
        <f t="shared" si="510"/>
        <v>0</v>
      </c>
      <c r="AG317" s="391" t="b">
        <f t="shared" si="511"/>
        <v>0</v>
      </c>
      <c r="AH317" s="391" t="b">
        <f t="shared" si="512"/>
        <v>0</v>
      </c>
      <c r="AI317" s="391" t="b">
        <f t="shared" si="513"/>
        <v>0</v>
      </c>
      <c r="AJ317" s="391" t="b">
        <f t="shared" si="514"/>
        <v>1</v>
      </c>
      <c r="AK317" s="391" t="b">
        <f t="shared" si="515"/>
        <v>1</v>
      </c>
      <c r="AL317" s="391" t="b">
        <f t="shared" si="516"/>
        <v>1</v>
      </c>
      <c r="AM317" s="391" t="b">
        <f t="shared" si="517"/>
        <v>1</v>
      </c>
      <c r="AO317" s="185" t="s">
        <v>2739</v>
      </c>
      <c r="AP317" s="185" t="s">
        <v>3408</v>
      </c>
    </row>
    <row r="318" spans="1:42" x14ac:dyDescent="0.3">
      <c r="A318" s="391" t="str">
        <f>'Reference Score Calculation'!A297</f>
        <v>JS7304</v>
      </c>
      <c r="B318" s="391" t="str">
        <f>'Reference Score Calculation'!D297</f>
        <v>社會科學(榮譽)學士 - 社會學</v>
      </c>
      <c r="D318" s="452" t="str">
        <f>'Reference Score Calculation'!AD297</f>
        <v>Best 5</v>
      </c>
      <c r="E318" s="391" t="str">
        <f>入學要求!T306</f>
        <v>NO</v>
      </c>
      <c r="F318" s="391" t="str">
        <f>入學要求!U306</f>
        <v>E</v>
      </c>
      <c r="G318" s="391" t="str">
        <f>入學要求!V306</f>
        <v>NO</v>
      </c>
      <c r="H318" s="391">
        <f t="shared" si="497"/>
        <v>3.3500000000000002E-9</v>
      </c>
      <c r="I318" s="185">
        <v>1</v>
      </c>
      <c r="J318" s="185">
        <v>2</v>
      </c>
      <c r="K318" s="185">
        <v>1.5</v>
      </c>
      <c r="L318" s="185">
        <v>1.5</v>
      </c>
      <c r="M318" s="400">
        <v>1</v>
      </c>
      <c r="N318" s="391">
        <v>1</v>
      </c>
      <c r="O318" s="391">
        <v>1</v>
      </c>
      <c r="P318" s="391">
        <v>1</v>
      </c>
      <c r="Q318" s="391">
        <v>1</v>
      </c>
      <c r="R318" s="391">
        <v>1</v>
      </c>
      <c r="T318" s="391">
        <f t="shared" si="498"/>
        <v>1E-10</v>
      </c>
      <c r="U318" s="391">
        <f t="shared" si="499"/>
        <v>4.0000000000000001E-10</v>
      </c>
      <c r="V318" s="391">
        <f t="shared" si="500"/>
        <v>4.5E-10</v>
      </c>
      <c r="W318" s="391">
        <f t="shared" si="501"/>
        <v>6E-10</v>
      </c>
      <c r="X318" s="391">
        <f t="shared" si="502"/>
        <v>0</v>
      </c>
      <c r="Y318" s="391">
        <f t="shared" si="503"/>
        <v>6E-10</v>
      </c>
      <c r="Z318" s="391">
        <f t="shared" si="504"/>
        <v>6.9999999999999996E-10</v>
      </c>
      <c r="AA318" s="391">
        <f t="shared" si="505"/>
        <v>8.0000000000000003E-10</v>
      </c>
      <c r="AB318" s="391">
        <f t="shared" si="506"/>
        <v>8.9999999999999999E-10</v>
      </c>
      <c r="AC318" s="391">
        <f>IF(F318="E",R$9*R318,0)</f>
        <v>9.5000000000000003E-10</v>
      </c>
      <c r="AD318" s="391" t="b">
        <f t="shared" si="508"/>
        <v>0</v>
      </c>
      <c r="AE318" s="391" t="b">
        <f t="shared" si="509"/>
        <v>0</v>
      </c>
      <c r="AF318" s="391" t="b">
        <f t="shared" si="510"/>
        <v>0</v>
      </c>
      <c r="AG318" s="391" t="b">
        <f t="shared" si="511"/>
        <v>0</v>
      </c>
      <c r="AH318" s="391" t="b">
        <f t="shared" si="512"/>
        <v>0</v>
      </c>
      <c r="AI318" s="391" t="b">
        <f t="shared" si="513"/>
        <v>0</v>
      </c>
      <c r="AJ318" s="391" t="b">
        <f t="shared" si="514"/>
        <v>1</v>
      </c>
      <c r="AK318" s="391" t="b">
        <f t="shared" si="515"/>
        <v>1</v>
      </c>
      <c r="AL318" s="391" t="b">
        <f t="shared" si="516"/>
        <v>1</v>
      </c>
      <c r="AM318" s="391" t="b">
        <f t="shared" si="517"/>
        <v>1</v>
      </c>
      <c r="AO318" s="185" t="s">
        <v>2739</v>
      </c>
      <c r="AP318" s="185" t="s">
        <v>3408</v>
      </c>
    </row>
    <row r="319" spans="1:42" x14ac:dyDescent="0.3">
      <c r="A319" s="391" t="str">
        <f>'Reference Score Calculation'!A298</f>
        <v>JS7305</v>
      </c>
      <c r="B319" s="391" t="str">
        <f>'Reference Score Calculation'!D298</f>
        <v>社會科學(榮譽)學士 - 健康及社會服務管理</v>
      </c>
      <c r="D319" s="452" t="str">
        <f>'Reference Score Calculation'!AD298</f>
        <v>Best 5</v>
      </c>
      <c r="E319" s="391" t="str">
        <f>入學要求!T307</f>
        <v>NO</v>
      </c>
      <c r="F319" s="391" t="str">
        <f>入學要求!U307</f>
        <v>E</v>
      </c>
      <c r="G319" s="391" t="str">
        <f>入學要求!V307</f>
        <v>NO</v>
      </c>
      <c r="H319" s="391">
        <f t="shared" si="497"/>
        <v>3.3500000000000002E-9</v>
      </c>
      <c r="I319" s="185">
        <v>1</v>
      </c>
      <c r="J319" s="185">
        <v>2</v>
      </c>
      <c r="K319" s="185">
        <v>1.5</v>
      </c>
      <c r="L319" s="185">
        <v>1.5</v>
      </c>
      <c r="M319" s="400">
        <v>1</v>
      </c>
      <c r="N319" s="391">
        <v>1</v>
      </c>
      <c r="O319" s="391">
        <v>1</v>
      </c>
      <c r="P319" s="391">
        <v>1</v>
      </c>
      <c r="Q319" s="391">
        <v>1</v>
      </c>
      <c r="R319" s="391">
        <v>1</v>
      </c>
      <c r="T319" s="391">
        <f t="shared" si="498"/>
        <v>1E-10</v>
      </c>
      <c r="U319" s="391">
        <f t="shared" si="499"/>
        <v>4.0000000000000001E-10</v>
      </c>
      <c r="V319" s="391">
        <f t="shared" si="500"/>
        <v>4.5E-10</v>
      </c>
      <c r="W319" s="391">
        <f t="shared" si="501"/>
        <v>6E-10</v>
      </c>
      <c r="X319" s="391">
        <f t="shared" si="502"/>
        <v>0</v>
      </c>
      <c r="Y319" s="391">
        <f t="shared" si="503"/>
        <v>6E-10</v>
      </c>
      <c r="Z319" s="391">
        <f t="shared" si="504"/>
        <v>6.9999999999999996E-10</v>
      </c>
      <c r="AA319" s="391">
        <f t="shared" si="505"/>
        <v>8.0000000000000003E-10</v>
      </c>
      <c r="AB319" s="391">
        <f t="shared" si="506"/>
        <v>8.9999999999999999E-10</v>
      </c>
      <c r="AC319" s="391">
        <f t="shared" si="507"/>
        <v>9.5000000000000003E-10</v>
      </c>
      <c r="AD319" s="391" t="b">
        <f t="shared" si="508"/>
        <v>0</v>
      </c>
      <c r="AE319" s="391" t="b">
        <f t="shared" si="509"/>
        <v>0</v>
      </c>
      <c r="AF319" s="391" t="b">
        <f t="shared" si="510"/>
        <v>0</v>
      </c>
      <c r="AG319" s="391" t="b">
        <f t="shared" si="511"/>
        <v>0</v>
      </c>
      <c r="AH319" s="391" t="b">
        <f t="shared" si="512"/>
        <v>0</v>
      </c>
      <c r="AI319" s="391" t="b">
        <f t="shared" si="513"/>
        <v>0</v>
      </c>
      <c r="AJ319" s="391" t="b">
        <f t="shared" si="514"/>
        <v>1</v>
      </c>
      <c r="AK319" s="391" t="b">
        <f t="shared" si="515"/>
        <v>1</v>
      </c>
      <c r="AL319" s="391" t="b">
        <f t="shared" si="516"/>
        <v>1</v>
      </c>
      <c r="AM319" s="391" t="b">
        <f t="shared" si="517"/>
        <v>1</v>
      </c>
      <c r="AO319" s="185" t="s">
        <v>3415</v>
      </c>
      <c r="AP319" s="185" t="s">
        <v>1970</v>
      </c>
    </row>
    <row r="320" spans="1:42" s="391" customFormat="1" x14ac:dyDescent="0.3">
      <c r="A320" s="391" t="str">
        <f>'Reference Score Calculation'!A299</f>
        <v>JS7306</v>
      </c>
      <c r="B320" s="391" t="str">
        <f>'Reference Score Calculation'!D299</f>
        <v>社會科學(榮譽)學士 - 社會與公共政策研究</v>
      </c>
      <c r="D320" s="452" t="str">
        <f>'Reference Score Calculation'!AD299</f>
        <v>Best 5</v>
      </c>
      <c r="E320" s="391" t="str">
        <f>入學要求!T308</f>
        <v>NO</v>
      </c>
      <c r="F320" s="391" t="str">
        <f>入學要求!U308</f>
        <v>E</v>
      </c>
      <c r="G320" s="391" t="str">
        <f>入學要求!V308</f>
        <v>NO</v>
      </c>
      <c r="H320" s="391">
        <f t="shared" si="497"/>
        <v>3.3500000000000002E-9</v>
      </c>
      <c r="I320" s="391">
        <v>1</v>
      </c>
      <c r="J320" s="391">
        <v>2</v>
      </c>
      <c r="K320" s="391">
        <v>1.5</v>
      </c>
      <c r="L320" s="391">
        <v>1.5</v>
      </c>
      <c r="M320" s="400">
        <v>1</v>
      </c>
      <c r="N320" s="391">
        <v>1</v>
      </c>
      <c r="O320" s="391">
        <v>1</v>
      </c>
      <c r="P320" s="391">
        <v>1</v>
      </c>
      <c r="Q320" s="391">
        <v>1</v>
      </c>
      <c r="R320" s="391">
        <v>1</v>
      </c>
      <c r="T320" s="391">
        <f t="shared" si="498"/>
        <v>1E-10</v>
      </c>
      <c r="U320" s="391">
        <f t="shared" si="499"/>
        <v>4.0000000000000001E-10</v>
      </c>
      <c r="V320" s="391">
        <f t="shared" si="500"/>
        <v>4.5E-10</v>
      </c>
      <c r="W320" s="391">
        <f t="shared" si="501"/>
        <v>6E-10</v>
      </c>
      <c r="X320" s="391">
        <f t="shared" si="502"/>
        <v>0</v>
      </c>
      <c r="Y320" s="391">
        <f t="shared" si="503"/>
        <v>6E-10</v>
      </c>
      <c r="Z320" s="391">
        <f t="shared" si="504"/>
        <v>6.9999999999999996E-10</v>
      </c>
      <c r="AA320" s="391">
        <f t="shared" si="505"/>
        <v>8.0000000000000003E-10</v>
      </c>
      <c r="AB320" s="391">
        <f t="shared" si="506"/>
        <v>8.9999999999999999E-10</v>
      </c>
      <c r="AC320" s="391">
        <f t="shared" si="507"/>
        <v>9.5000000000000003E-10</v>
      </c>
      <c r="AD320" s="391" t="b">
        <f t="shared" si="508"/>
        <v>0</v>
      </c>
      <c r="AE320" s="391" t="b">
        <f t="shared" si="509"/>
        <v>0</v>
      </c>
      <c r="AF320" s="391" t="b">
        <f t="shared" si="510"/>
        <v>0</v>
      </c>
      <c r="AG320" s="391" t="b">
        <f t="shared" si="511"/>
        <v>0</v>
      </c>
      <c r="AH320" s="391" t="b">
        <f t="shared" si="512"/>
        <v>0</v>
      </c>
      <c r="AI320" s="391" t="b">
        <f t="shared" si="513"/>
        <v>0</v>
      </c>
      <c r="AJ320" s="391" t="b">
        <f t="shared" si="514"/>
        <v>1</v>
      </c>
      <c r="AK320" s="391" t="b">
        <f t="shared" si="515"/>
        <v>1</v>
      </c>
      <c r="AL320" s="391" t="b">
        <f t="shared" si="516"/>
        <v>1</v>
      </c>
      <c r="AM320" s="391" t="b">
        <f t="shared" si="517"/>
        <v>1</v>
      </c>
      <c r="AO320" s="391" t="s">
        <v>2739</v>
      </c>
      <c r="AP320" s="391" t="s">
        <v>3408</v>
      </c>
    </row>
    <row r="321" spans="1:42" s="391" customFormat="1" x14ac:dyDescent="0.3">
      <c r="A321" s="391" t="str">
        <f>'Reference Score Calculation'!A300</f>
        <v>JS7503</v>
      </c>
      <c r="B321" s="391" t="str">
        <f>'Reference Score Calculation'!D300</f>
        <v>當代英語語言文學課程(榮譽)文學士</v>
      </c>
      <c r="D321" s="398" t="str">
        <f>'Reference Score Calculation'!E300</f>
        <v>Best 5</v>
      </c>
      <c r="E321" s="391" t="str">
        <f>入學要求!T309</f>
        <v>NO</v>
      </c>
      <c r="F321" s="391" t="str">
        <f>入學要求!U309</f>
        <v>E</v>
      </c>
      <c r="G321" s="391" t="str">
        <f>入學要求!V309</f>
        <v>NO</v>
      </c>
      <c r="H321" s="391">
        <f t="shared" si="497"/>
        <v>3.9500000000000006E-9</v>
      </c>
      <c r="I321" s="391">
        <v>1.5</v>
      </c>
      <c r="J321" s="391">
        <v>2.5</v>
      </c>
      <c r="K321" s="391">
        <v>1</v>
      </c>
      <c r="L321" s="391">
        <v>1</v>
      </c>
      <c r="M321" s="400">
        <v>1</v>
      </c>
      <c r="N321" s="391">
        <f>IF(N$1="英語文學",1.5,1)</f>
        <v>1</v>
      </c>
      <c r="O321" s="391">
        <f t="shared" ref="O321:Q321" si="521">IF(O$1="英語文學",1.5,1)</f>
        <v>1</v>
      </c>
      <c r="P321" s="391">
        <f t="shared" si="521"/>
        <v>1</v>
      </c>
      <c r="Q321" s="391">
        <f t="shared" si="521"/>
        <v>1</v>
      </c>
      <c r="R321" s="391">
        <v>1</v>
      </c>
      <c r="T321" s="391">
        <f t="shared" si="498"/>
        <v>1.5E-10</v>
      </c>
      <c r="U321" s="391">
        <f t="shared" si="499"/>
        <v>5.0000000000000003E-10</v>
      </c>
      <c r="V321" s="391">
        <f t="shared" si="500"/>
        <v>3E-10</v>
      </c>
      <c r="W321" s="391">
        <f t="shared" si="501"/>
        <v>4.0000000000000001E-10</v>
      </c>
      <c r="X321" s="391">
        <f t="shared" si="502"/>
        <v>0</v>
      </c>
      <c r="Y321" s="391">
        <f t="shared" si="503"/>
        <v>6E-10</v>
      </c>
      <c r="Z321" s="391">
        <f t="shared" si="504"/>
        <v>6.9999999999999996E-10</v>
      </c>
      <c r="AA321" s="391">
        <f t="shared" si="505"/>
        <v>8.0000000000000003E-10</v>
      </c>
      <c r="AB321" s="391">
        <f t="shared" si="506"/>
        <v>8.9999999999999999E-10</v>
      </c>
      <c r="AC321" s="391">
        <f t="shared" si="507"/>
        <v>9.5000000000000003E-10</v>
      </c>
      <c r="AD321" s="391" t="b">
        <f t="shared" si="508"/>
        <v>0</v>
      </c>
      <c r="AE321" s="391" t="b">
        <f t="shared" si="509"/>
        <v>0</v>
      </c>
      <c r="AF321" s="391" t="b">
        <f t="shared" si="510"/>
        <v>0</v>
      </c>
      <c r="AG321" s="391" t="b">
        <f t="shared" si="511"/>
        <v>0</v>
      </c>
      <c r="AH321" s="391" t="b">
        <f t="shared" si="512"/>
        <v>0</v>
      </c>
      <c r="AI321" s="391" t="b">
        <f t="shared" si="513"/>
        <v>1</v>
      </c>
      <c r="AJ321" s="391" t="b">
        <f t="shared" si="514"/>
        <v>1</v>
      </c>
      <c r="AK321" s="391" t="b">
        <f t="shared" si="515"/>
        <v>1</v>
      </c>
      <c r="AL321" s="391" t="b">
        <f t="shared" si="516"/>
        <v>1</v>
      </c>
      <c r="AM321" s="391" t="b">
        <f t="shared" si="517"/>
        <v>1</v>
      </c>
      <c r="AO321" s="391" t="s">
        <v>2730</v>
      </c>
      <c r="AP321" s="391" t="s">
        <v>3417</v>
      </c>
    </row>
    <row r="322" spans="1:42" s="391" customFormat="1" x14ac:dyDescent="0.3">
      <c r="A322" s="391" t="str">
        <f>'Reference Score Calculation'!A301</f>
        <v>JS7606</v>
      </c>
      <c r="B322" s="391" t="str">
        <f>'Reference Score Calculation'!D301</f>
        <v>文化研究(榮譽)文學士</v>
      </c>
      <c r="D322" s="398" t="str">
        <f>'Reference Score Calculation'!E301</f>
        <v>Best 5</v>
      </c>
      <c r="E322" s="391" t="str">
        <f>入學要求!T310</f>
        <v>NO</v>
      </c>
      <c r="F322" s="391" t="str">
        <f>入學要求!U310</f>
        <v>E</v>
      </c>
      <c r="G322" s="391" t="str">
        <f>入學要求!V310</f>
        <v>NO</v>
      </c>
      <c r="H322" s="391">
        <f t="shared" si="497"/>
        <v>3.9500000000000006E-9</v>
      </c>
      <c r="I322" s="391">
        <v>1.5</v>
      </c>
      <c r="J322" s="391">
        <v>2</v>
      </c>
      <c r="K322" s="391">
        <v>1</v>
      </c>
      <c r="L322" s="391">
        <v>1</v>
      </c>
      <c r="M322" s="400">
        <v>1</v>
      </c>
      <c r="N322" s="391">
        <v>1</v>
      </c>
      <c r="O322" s="391">
        <v>1</v>
      </c>
      <c r="P322" s="391">
        <v>1</v>
      </c>
      <c r="Q322" s="391">
        <v>1</v>
      </c>
      <c r="R322" s="391">
        <v>1</v>
      </c>
      <c r="T322" s="391">
        <f t="shared" si="498"/>
        <v>1.5E-10</v>
      </c>
      <c r="U322" s="391">
        <f t="shared" si="499"/>
        <v>4.0000000000000001E-10</v>
      </c>
      <c r="V322" s="391">
        <f t="shared" si="500"/>
        <v>3E-10</v>
      </c>
      <c r="W322" s="391">
        <f t="shared" si="501"/>
        <v>4.0000000000000001E-10</v>
      </c>
      <c r="X322" s="391">
        <f t="shared" si="502"/>
        <v>0</v>
      </c>
      <c r="Y322" s="391">
        <f t="shared" si="503"/>
        <v>6E-10</v>
      </c>
      <c r="Z322" s="391">
        <f t="shared" si="504"/>
        <v>6.9999999999999996E-10</v>
      </c>
      <c r="AA322" s="391">
        <f t="shared" si="505"/>
        <v>8.0000000000000003E-10</v>
      </c>
      <c r="AB322" s="391">
        <f t="shared" si="506"/>
        <v>8.9999999999999999E-10</v>
      </c>
      <c r="AC322" s="391">
        <f t="shared" si="507"/>
        <v>9.5000000000000003E-10</v>
      </c>
      <c r="AD322" s="391" t="b">
        <f t="shared" si="508"/>
        <v>0</v>
      </c>
      <c r="AE322" s="391" t="b">
        <f t="shared" si="509"/>
        <v>0</v>
      </c>
      <c r="AF322" s="391" t="b">
        <f t="shared" si="510"/>
        <v>0</v>
      </c>
      <c r="AG322" s="391" t="b">
        <f t="shared" si="511"/>
        <v>0</v>
      </c>
      <c r="AH322" s="391" t="b">
        <f t="shared" si="512"/>
        <v>0</v>
      </c>
      <c r="AI322" s="391" t="b">
        <f t="shared" si="513"/>
        <v>1</v>
      </c>
      <c r="AJ322" s="391" t="b">
        <f t="shared" si="514"/>
        <v>1</v>
      </c>
      <c r="AK322" s="391" t="b">
        <f t="shared" si="515"/>
        <v>1</v>
      </c>
      <c r="AL322" s="391" t="b">
        <f t="shared" si="516"/>
        <v>1</v>
      </c>
      <c r="AM322" s="391" t="b">
        <f t="shared" si="517"/>
        <v>1</v>
      </c>
      <c r="AO322" s="391" t="s">
        <v>2739</v>
      </c>
      <c r="AP322" s="391" t="s">
        <v>2876</v>
      </c>
    </row>
    <row r="323" spans="1:42" s="391" customFormat="1" x14ac:dyDescent="0.3">
      <c r="A323" s="391" t="str">
        <f>'Reference Score Calculation'!A302</f>
        <v>JS7709</v>
      </c>
      <c r="B323" s="391" t="str">
        <f>'Reference Score Calculation'!D302</f>
        <v>歷史(榮譽)文學士</v>
      </c>
      <c r="D323" s="398" t="str">
        <f>'Reference Score Calculation'!E302</f>
        <v>Best 5</v>
      </c>
      <c r="E323" s="391" t="str">
        <f>入學要求!T311</f>
        <v>NO</v>
      </c>
      <c r="F323" s="391" t="str">
        <f>入學要求!U311</f>
        <v>E</v>
      </c>
      <c r="G323" s="391" t="str">
        <f>入學要求!V311</f>
        <v>NO</v>
      </c>
      <c r="H323" s="391">
        <f t="shared" si="497"/>
        <v>3.9500000000000006E-9</v>
      </c>
      <c r="I323" s="391">
        <v>1.5</v>
      </c>
      <c r="J323" s="391">
        <v>2</v>
      </c>
      <c r="K323" s="391">
        <v>1</v>
      </c>
      <c r="L323" s="391">
        <v>1</v>
      </c>
      <c r="M323" s="400">
        <v>1</v>
      </c>
      <c r="N323" s="391">
        <v>1</v>
      </c>
      <c r="O323" s="391">
        <v>1</v>
      </c>
      <c r="P323" s="391">
        <v>1</v>
      </c>
      <c r="Q323" s="391">
        <v>1</v>
      </c>
      <c r="R323" s="391">
        <v>1</v>
      </c>
      <c r="T323" s="391">
        <f t="shared" si="498"/>
        <v>1.5E-10</v>
      </c>
      <c r="U323" s="391">
        <f t="shared" si="499"/>
        <v>4.0000000000000001E-10</v>
      </c>
      <c r="V323" s="391">
        <f t="shared" si="500"/>
        <v>3E-10</v>
      </c>
      <c r="W323" s="391">
        <f t="shared" si="501"/>
        <v>4.0000000000000001E-10</v>
      </c>
      <c r="X323" s="391">
        <f t="shared" si="502"/>
        <v>0</v>
      </c>
      <c r="Y323" s="391">
        <f t="shared" si="503"/>
        <v>6E-10</v>
      </c>
      <c r="Z323" s="391">
        <f t="shared" si="504"/>
        <v>6.9999999999999996E-10</v>
      </c>
      <c r="AA323" s="391">
        <f t="shared" si="505"/>
        <v>8.0000000000000003E-10</v>
      </c>
      <c r="AB323" s="391">
        <f t="shared" si="506"/>
        <v>8.9999999999999999E-10</v>
      </c>
      <c r="AC323" s="391">
        <f t="shared" si="507"/>
        <v>9.5000000000000003E-10</v>
      </c>
      <c r="AD323" s="391" t="b">
        <f t="shared" si="508"/>
        <v>0</v>
      </c>
      <c r="AE323" s="391" t="b">
        <f t="shared" si="509"/>
        <v>0</v>
      </c>
      <c r="AF323" s="391" t="b">
        <f t="shared" si="510"/>
        <v>0</v>
      </c>
      <c r="AG323" s="391" t="b">
        <f t="shared" si="511"/>
        <v>0</v>
      </c>
      <c r="AH323" s="391" t="b">
        <f t="shared" si="512"/>
        <v>0</v>
      </c>
      <c r="AI323" s="391" t="b">
        <f t="shared" si="513"/>
        <v>1</v>
      </c>
      <c r="AJ323" s="391" t="b">
        <f t="shared" si="514"/>
        <v>1</v>
      </c>
      <c r="AK323" s="391" t="b">
        <f t="shared" si="515"/>
        <v>1</v>
      </c>
      <c r="AL323" s="391" t="b">
        <f t="shared" si="516"/>
        <v>1</v>
      </c>
      <c r="AM323" s="391" t="b">
        <f t="shared" si="517"/>
        <v>1</v>
      </c>
      <c r="AO323" s="391" t="s">
        <v>2739</v>
      </c>
      <c r="AP323" s="391" t="s">
        <v>2876</v>
      </c>
    </row>
    <row r="324" spans="1:42" s="391" customFormat="1" x14ac:dyDescent="0.3">
      <c r="A324" s="391" t="str">
        <f>'Reference Score Calculation'!A303</f>
        <v>JS7802</v>
      </c>
      <c r="B324" s="391" t="str">
        <f>'Reference Score Calculation'!D303</f>
        <v>哲學(榮譽)文學士</v>
      </c>
      <c r="D324" s="398" t="str">
        <f>'Reference Score Calculation'!E303</f>
        <v>Best 5</v>
      </c>
      <c r="E324" s="391" t="str">
        <f>入學要求!T312</f>
        <v>NO</v>
      </c>
      <c r="F324" s="391" t="str">
        <f>入學要求!U312</f>
        <v>E</v>
      </c>
      <c r="G324" s="391" t="str">
        <f>入學要求!V312</f>
        <v>NO</v>
      </c>
      <c r="H324" s="391">
        <f t="shared" si="497"/>
        <v>3.9500000000000006E-9</v>
      </c>
      <c r="I324" s="391">
        <v>1.5</v>
      </c>
      <c r="J324" s="391">
        <v>2</v>
      </c>
      <c r="K324" s="391">
        <v>1.5</v>
      </c>
      <c r="L324" s="391">
        <v>1</v>
      </c>
      <c r="M324" s="400">
        <v>1</v>
      </c>
      <c r="N324" s="391">
        <v>1</v>
      </c>
      <c r="O324" s="391">
        <v>1</v>
      </c>
      <c r="P324" s="391">
        <v>1</v>
      </c>
      <c r="Q324" s="391">
        <v>1</v>
      </c>
      <c r="R324" s="391">
        <v>1</v>
      </c>
      <c r="T324" s="391">
        <f t="shared" si="498"/>
        <v>1.5E-10</v>
      </c>
      <c r="U324" s="391">
        <f t="shared" si="499"/>
        <v>4.0000000000000001E-10</v>
      </c>
      <c r="V324" s="391">
        <f t="shared" si="500"/>
        <v>4.5E-10</v>
      </c>
      <c r="W324" s="391">
        <f t="shared" si="501"/>
        <v>4.0000000000000001E-10</v>
      </c>
      <c r="X324" s="391">
        <f t="shared" si="502"/>
        <v>0</v>
      </c>
      <c r="Y324" s="391">
        <f t="shared" si="503"/>
        <v>6E-10</v>
      </c>
      <c r="Z324" s="391">
        <f t="shared" si="504"/>
        <v>6.9999999999999996E-10</v>
      </c>
      <c r="AA324" s="391">
        <f t="shared" si="505"/>
        <v>8.0000000000000003E-10</v>
      </c>
      <c r="AB324" s="391">
        <f t="shared" si="506"/>
        <v>8.9999999999999999E-10</v>
      </c>
      <c r="AC324" s="391">
        <f t="shared" si="507"/>
        <v>9.5000000000000003E-10</v>
      </c>
      <c r="AD324" s="391" t="b">
        <f t="shared" si="508"/>
        <v>0</v>
      </c>
      <c r="AE324" s="391" t="b">
        <f t="shared" si="509"/>
        <v>0</v>
      </c>
      <c r="AF324" s="391" t="b">
        <f t="shared" si="510"/>
        <v>0</v>
      </c>
      <c r="AG324" s="391" t="b">
        <f t="shared" si="511"/>
        <v>0</v>
      </c>
      <c r="AH324" s="391" t="b">
        <f t="shared" si="512"/>
        <v>0</v>
      </c>
      <c r="AI324" s="391" t="b">
        <f t="shared" si="513"/>
        <v>1</v>
      </c>
      <c r="AJ324" s="391" t="b">
        <f t="shared" si="514"/>
        <v>1</v>
      </c>
      <c r="AK324" s="391" t="b">
        <f t="shared" si="515"/>
        <v>1</v>
      </c>
      <c r="AL324" s="391" t="b">
        <f t="shared" si="516"/>
        <v>1</v>
      </c>
      <c r="AM324" s="391" t="b">
        <f t="shared" si="517"/>
        <v>1</v>
      </c>
      <c r="AO324" s="391" t="s">
        <v>2739</v>
      </c>
      <c r="AP324" s="391" t="s">
        <v>2741</v>
      </c>
    </row>
    <row r="325" spans="1:42" s="391" customFormat="1" x14ac:dyDescent="0.3">
      <c r="A325" s="391" t="str">
        <f>'Reference Score Calculation'!A304</f>
        <v>JS7905</v>
      </c>
      <c r="B325" s="391" t="str">
        <f>'Reference Score Calculation'!D304</f>
        <v>視覺研究(榮譽)文學士</v>
      </c>
      <c r="D325" s="398" t="str">
        <f>'Reference Score Calculation'!E304</f>
        <v>Best 5</v>
      </c>
      <c r="E325" s="391" t="str">
        <f>入學要求!T313</f>
        <v>NO</v>
      </c>
      <c r="F325" s="391" t="str">
        <f>入學要求!U313</f>
        <v>E</v>
      </c>
      <c r="G325" s="391" t="str">
        <f>入學要求!V313</f>
        <v>NO</v>
      </c>
      <c r="H325" s="391">
        <f t="shared" si="497"/>
        <v>3.9500000000000006E-9</v>
      </c>
      <c r="I325" s="391">
        <v>1.5</v>
      </c>
      <c r="J325" s="391">
        <v>2</v>
      </c>
      <c r="K325" s="391">
        <v>1</v>
      </c>
      <c r="L325" s="391">
        <v>1</v>
      </c>
      <c r="M325" s="400">
        <v>1</v>
      </c>
      <c r="N325" s="391">
        <v>1</v>
      </c>
      <c r="O325" s="391">
        <v>1</v>
      </c>
      <c r="P325" s="391">
        <v>1</v>
      </c>
      <c r="Q325" s="391">
        <v>1</v>
      </c>
      <c r="R325" s="391">
        <v>1</v>
      </c>
      <c r="T325" s="391">
        <f t="shared" ref="T325" si="522">I$9*I325</f>
        <v>1.5E-10</v>
      </c>
      <c r="U325" s="391">
        <f t="shared" ref="U325" si="523">J$9*J325</f>
        <v>4.0000000000000001E-10</v>
      </c>
      <c r="V325" s="391">
        <f t="shared" ref="V325" si="524">K$9*K325</f>
        <v>3E-10</v>
      </c>
      <c r="W325" s="391">
        <f t="shared" ref="W325" si="525">L$9*L325</f>
        <v>4.0000000000000001E-10</v>
      </c>
      <c r="X325" s="391">
        <f t="shared" ref="X325" si="526">IF(E325="v",M$9*M325,0)</f>
        <v>0</v>
      </c>
      <c r="Y325" s="391">
        <f t="shared" ref="Y325" si="527">N$9*N325</f>
        <v>6E-10</v>
      </c>
      <c r="Z325" s="391">
        <f t="shared" ref="Z325" si="528">O$9*O325</f>
        <v>6.9999999999999996E-10</v>
      </c>
      <c r="AA325" s="391">
        <f t="shared" ref="AA325" si="529">P$9*P325</f>
        <v>8.0000000000000003E-10</v>
      </c>
      <c r="AB325" s="391">
        <f t="shared" ref="AB325" si="530">Q$9*Q325</f>
        <v>8.9999999999999999E-10</v>
      </c>
      <c r="AC325" s="391">
        <f t="shared" ref="AC325" si="531">IF(F325="E",R$9*R325,0)</f>
        <v>9.5000000000000003E-10</v>
      </c>
      <c r="AD325" s="391" t="b">
        <f t="shared" ref="AD325" si="532">IF(T325&gt;LARGE(($T325:$AC325),6),TRUE)</f>
        <v>0</v>
      </c>
      <c r="AE325" s="391" t="b">
        <f t="shared" ref="AE325" si="533">IF(U325&gt;LARGE(($T325:$AC325),6),TRUE)</f>
        <v>0</v>
      </c>
      <c r="AF325" s="391" t="b">
        <f t="shared" ref="AF325" si="534">IF(V325&gt;LARGE(($T325:$AC325),6),TRUE)</f>
        <v>0</v>
      </c>
      <c r="AG325" s="391" t="b">
        <f t="shared" ref="AG325" si="535">IF(W325&gt;LARGE(($T325:$AC325),6),TRUE)</f>
        <v>0</v>
      </c>
      <c r="AH325" s="391" t="b">
        <f t="shared" ref="AH325" si="536">IF(X325&gt;LARGE(($T325:$AC325),6),TRUE)</f>
        <v>0</v>
      </c>
      <c r="AI325" s="391" t="b">
        <f t="shared" ref="AI325" si="537">IF(Y325&gt;LARGE(($T325:$AC325),6),TRUE)</f>
        <v>1</v>
      </c>
      <c r="AJ325" s="391" t="b">
        <f t="shared" ref="AJ325" si="538">IF(Z325&gt;LARGE(($T325:$AC325),6),TRUE)</f>
        <v>1</v>
      </c>
      <c r="AK325" s="391" t="b">
        <f t="shared" ref="AK325" si="539">IF(AA325&gt;LARGE(($T325:$AC325),6),TRUE)</f>
        <v>1</v>
      </c>
      <c r="AL325" s="391" t="b">
        <f t="shared" ref="AL325" si="540">IF(AB325&gt;LARGE(($T325:$AC325),6),TRUE)</f>
        <v>1</v>
      </c>
      <c r="AM325" s="391" t="b">
        <f t="shared" ref="AM325" si="541">IF(AC325&gt;LARGE(($T325:$AC325),6),TRUE)</f>
        <v>1</v>
      </c>
      <c r="AO325" s="391" t="s">
        <v>2739</v>
      </c>
      <c r="AP325" s="391" t="s">
        <v>2876</v>
      </c>
    </row>
    <row r="327" spans="1:42" s="227" customFormat="1" x14ac:dyDescent="0.3">
      <c r="A327" s="226" t="s">
        <v>2311</v>
      </c>
      <c r="D327" s="228"/>
      <c r="E327" s="356" t="s">
        <v>2233</v>
      </c>
      <c r="F327" s="356" t="s">
        <v>2234</v>
      </c>
      <c r="G327" s="356" t="s">
        <v>2235</v>
      </c>
      <c r="H327" s="399" t="s">
        <v>2301</v>
      </c>
      <c r="U327" s="240"/>
    </row>
    <row r="328" spans="1:42" x14ac:dyDescent="0.3">
      <c r="A328" s="185" t="str">
        <f>'Reference Score Calculation'!A307</f>
        <v>JS8105</v>
      </c>
      <c r="B328" s="185" t="str">
        <f>'Reference Score Calculation'!D307</f>
        <v>中國語文教育榮譽學士</v>
      </c>
      <c r="D328" s="212" t="str">
        <f>'Reference Score Calculation'!E307</f>
        <v>Best 5</v>
      </c>
      <c r="E328" s="185" t="str">
        <f>入學要求!T316</f>
        <v>v</v>
      </c>
      <c r="F328" s="391" t="str">
        <f>入學要求!U316</f>
        <v>E</v>
      </c>
      <c r="G328" s="391" t="str">
        <f>入學要求!V316</f>
        <v>v</v>
      </c>
      <c r="H328" s="214">
        <f>LARGE($I$10:$R$10, 1)+LARGE($I$10:$R$10, 2)+LARGE($I$10:$R$10, 3)+LARGE($I$10:$R$10, 4)+LARGE($I$10:$R$10, 5)</f>
        <v>3.9500000000000006E-9</v>
      </c>
      <c r="I328" s="391"/>
      <c r="J328" s="391"/>
      <c r="K328" s="391"/>
      <c r="L328" s="391"/>
      <c r="M328" s="391"/>
      <c r="N328" s="391"/>
      <c r="O328" s="391"/>
      <c r="P328" s="391"/>
      <c r="Q328" s="391"/>
      <c r="R328" s="391"/>
      <c r="S328" s="391"/>
    </row>
    <row r="329" spans="1:42" x14ac:dyDescent="0.3">
      <c r="A329" s="391" t="str">
        <f>'Reference Score Calculation'!A308</f>
        <v>JS8222</v>
      </c>
      <c r="B329" s="391" t="str">
        <f>'Reference Score Calculation'!D308</f>
        <v>英國語文教育榮譽學士 — 小學</v>
      </c>
      <c r="D329" s="398" t="str">
        <f>'Reference Score Calculation'!E308</f>
        <v>Best 5</v>
      </c>
      <c r="E329" s="391" t="str">
        <f>入學要求!T317</f>
        <v>v</v>
      </c>
      <c r="F329" s="391" t="str">
        <f>入學要求!U317</f>
        <v>E</v>
      </c>
      <c r="G329" s="391" t="str">
        <f>入學要求!V317</f>
        <v>v</v>
      </c>
      <c r="H329" s="400">
        <f t="shared" ref="H329:H351" si="542">LARGE($I$10:$R$10, 1)+LARGE($I$10:$R$10, 2)+LARGE($I$10:$R$10, 3)+LARGE($I$10:$R$10, 4)+LARGE($I$10:$R$10, 5)</f>
        <v>3.9500000000000006E-9</v>
      </c>
      <c r="I329" s="391"/>
      <c r="J329" s="391"/>
      <c r="K329" s="391"/>
      <c r="L329" s="391"/>
      <c r="M329" s="391"/>
      <c r="N329" s="391"/>
      <c r="O329" s="391"/>
      <c r="P329" s="391"/>
      <c r="Q329" s="391"/>
      <c r="R329" s="391"/>
      <c r="S329" s="391"/>
    </row>
    <row r="330" spans="1:42" x14ac:dyDescent="0.3">
      <c r="A330" s="391" t="str">
        <f>'Reference Score Calculation'!A309</f>
        <v>JS8234</v>
      </c>
      <c r="B330" s="391" t="str">
        <f>'Reference Score Calculation'!D309</f>
        <v>小學教育榮譽學士 - 常識</v>
      </c>
      <c r="D330" s="398" t="str">
        <f>'Reference Score Calculation'!E309</f>
        <v>Best 5</v>
      </c>
      <c r="E330" s="391" t="str">
        <f>入學要求!T318</f>
        <v>v</v>
      </c>
      <c r="F330" s="391" t="str">
        <f>入學要求!U318</f>
        <v>E</v>
      </c>
      <c r="G330" s="391" t="str">
        <f>入學要求!V318</f>
        <v>v</v>
      </c>
      <c r="H330" s="400">
        <f t="shared" si="542"/>
        <v>3.9500000000000006E-9</v>
      </c>
      <c r="I330" s="391"/>
      <c r="J330" s="391"/>
      <c r="K330" s="391"/>
      <c r="L330" s="391"/>
      <c r="M330" s="391"/>
      <c r="N330" s="391"/>
      <c r="O330" s="391"/>
      <c r="P330" s="391"/>
      <c r="Q330" s="391"/>
      <c r="R330" s="391"/>
      <c r="S330" s="391"/>
    </row>
    <row r="331" spans="1:42" x14ac:dyDescent="0.3">
      <c r="A331" s="391" t="str">
        <f>'Reference Score Calculation'!A310</f>
        <v>JS8246</v>
      </c>
      <c r="B331" s="391" t="str">
        <f>'Reference Score Calculation'!D310</f>
        <v>小學教育榮譽學士 - 數學</v>
      </c>
      <c r="D331" s="398" t="str">
        <f>'Reference Score Calculation'!E310</f>
        <v>Best 5</v>
      </c>
      <c r="E331" s="391" t="str">
        <f>入學要求!T319</f>
        <v>v</v>
      </c>
      <c r="F331" s="391" t="str">
        <f>入學要求!U319</f>
        <v>E</v>
      </c>
      <c r="G331" s="391" t="str">
        <f>入學要求!V319</f>
        <v>v</v>
      </c>
      <c r="H331" s="400">
        <f t="shared" si="542"/>
        <v>3.9500000000000006E-9</v>
      </c>
      <c r="I331" s="391"/>
      <c r="J331" s="391"/>
      <c r="K331" s="391"/>
      <c r="L331" s="391"/>
      <c r="M331" s="391"/>
      <c r="N331" s="391"/>
      <c r="O331" s="391"/>
      <c r="P331" s="391"/>
      <c r="Q331" s="391"/>
      <c r="R331" s="391"/>
      <c r="S331" s="391"/>
    </row>
    <row r="332" spans="1:42" x14ac:dyDescent="0.3">
      <c r="A332" s="391" t="str">
        <f>'Reference Score Calculation'!A311</f>
        <v>JS8325</v>
      </c>
      <c r="B332" s="391" t="str">
        <f>'Reference Score Calculation'!D311</f>
        <v>體育教育榮譽學士</v>
      </c>
      <c r="D332" s="398" t="str">
        <f>'Reference Score Calculation'!E311</f>
        <v>Best 5</v>
      </c>
      <c r="E332" s="391" t="str">
        <f>入學要求!T320</f>
        <v>v</v>
      </c>
      <c r="F332" s="391" t="str">
        <f>入學要求!U320</f>
        <v>E</v>
      </c>
      <c r="G332" s="391" t="str">
        <f>入學要求!V320</f>
        <v>v</v>
      </c>
      <c r="H332" s="400">
        <f t="shared" si="542"/>
        <v>3.9500000000000006E-9</v>
      </c>
      <c r="I332" s="391"/>
      <c r="J332" s="391"/>
      <c r="K332" s="391"/>
      <c r="L332" s="391"/>
      <c r="M332" s="391"/>
      <c r="N332" s="391"/>
      <c r="O332" s="391"/>
      <c r="P332" s="391"/>
      <c r="Q332" s="391"/>
      <c r="R332" s="391"/>
      <c r="S332" s="391"/>
    </row>
    <row r="333" spans="1:42" x14ac:dyDescent="0.3">
      <c r="A333" s="391" t="str">
        <f>'Reference Score Calculation'!A312</f>
        <v>JS8361</v>
      </c>
      <c r="B333" s="391" t="str">
        <f>'Reference Score Calculation'!D312</f>
        <v>中學教育榮譽學士 - 資訊及通訊科技</v>
      </c>
      <c r="D333" s="398" t="str">
        <f>'Reference Score Calculation'!E312</f>
        <v>Best 5</v>
      </c>
      <c r="E333" s="391" t="str">
        <f>入學要求!T321</f>
        <v>v</v>
      </c>
      <c r="F333" s="391" t="str">
        <f>入學要求!U321</f>
        <v>E</v>
      </c>
      <c r="G333" s="391" t="str">
        <f>入學要求!V321</f>
        <v>v</v>
      </c>
      <c r="H333" s="400">
        <f t="shared" si="542"/>
        <v>3.9500000000000006E-9</v>
      </c>
      <c r="I333" s="391"/>
      <c r="J333" s="391"/>
      <c r="K333" s="391"/>
      <c r="L333" s="391"/>
      <c r="M333" s="391"/>
      <c r="N333" s="391"/>
      <c r="O333" s="391"/>
      <c r="P333" s="391"/>
      <c r="Q333" s="391"/>
      <c r="R333" s="391"/>
      <c r="S333" s="391"/>
    </row>
    <row r="334" spans="1:42" x14ac:dyDescent="0.3">
      <c r="A334" s="391" t="str">
        <f>'Reference Score Calculation'!A313</f>
        <v>JS8371</v>
      </c>
      <c r="B334" s="391" t="str">
        <f>'Reference Score Calculation'!D313</f>
        <v>企業、會計與財務概論教育榮譽學士</v>
      </c>
      <c r="D334" s="398" t="str">
        <f>'Reference Score Calculation'!E313</f>
        <v>Best 5</v>
      </c>
      <c r="E334" s="391" t="str">
        <f>入學要求!T322</f>
        <v>v</v>
      </c>
      <c r="F334" s="391" t="str">
        <f>入學要求!U322</f>
        <v>E</v>
      </c>
      <c r="G334" s="391" t="str">
        <f>入學要求!V322</f>
        <v>v</v>
      </c>
      <c r="H334" s="400">
        <f t="shared" si="542"/>
        <v>3.9500000000000006E-9</v>
      </c>
      <c r="I334" s="391"/>
      <c r="J334" s="391"/>
      <c r="K334" s="391"/>
      <c r="L334" s="391"/>
      <c r="M334" s="391"/>
      <c r="N334" s="391"/>
      <c r="O334" s="391"/>
      <c r="P334" s="391"/>
      <c r="Q334" s="391"/>
      <c r="R334" s="391"/>
      <c r="S334" s="391"/>
    </row>
    <row r="335" spans="1:42" x14ac:dyDescent="0.3">
      <c r="A335" s="391" t="str">
        <f>'Reference Score Calculation'!A314</f>
        <v>JS8381</v>
      </c>
      <c r="B335" s="391" t="str">
        <f>'Reference Score Calculation'!D314</f>
        <v>歷史教育榮譽學士</v>
      </c>
      <c r="D335" s="398" t="str">
        <f>'Reference Score Calculation'!E314</f>
        <v>Best 5</v>
      </c>
      <c r="E335" s="391" t="str">
        <f>入學要求!T323</f>
        <v>v</v>
      </c>
      <c r="F335" s="391" t="str">
        <f>入學要求!U323</f>
        <v>E</v>
      </c>
      <c r="G335" s="391" t="str">
        <f>入學要求!V323</f>
        <v>v</v>
      </c>
      <c r="H335" s="400">
        <f t="shared" si="542"/>
        <v>3.9500000000000006E-9</v>
      </c>
      <c r="I335" s="391"/>
      <c r="J335" s="391"/>
      <c r="K335" s="391"/>
      <c r="L335" s="391"/>
      <c r="M335" s="391"/>
      <c r="N335" s="391"/>
      <c r="O335" s="391"/>
      <c r="P335" s="391"/>
      <c r="Q335" s="391"/>
      <c r="R335" s="391"/>
      <c r="S335" s="391"/>
    </row>
    <row r="336" spans="1:42" x14ac:dyDescent="0.3">
      <c r="A336" s="391" t="str">
        <f>'Reference Score Calculation'!A315</f>
        <v>JS8404</v>
      </c>
      <c r="B336" s="391" t="str">
        <f>'Reference Score Calculation'!D315</f>
        <v>幼兒教育榮譽學士</v>
      </c>
      <c r="D336" s="398" t="str">
        <f>'Reference Score Calculation'!E315</f>
        <v>Best 5</v>
      </c>
      <c r="E336" s="391" t="str">
        <f>入學要求!T324</f>
        <v>v</v>
      </c>
      <c r="F336" s="391" t="str">
        <f>入學要求!U324</f>
        <v>E</v>
      </c>
      <c r="G336" s="391" t="str">
        <f>入學要求!V324</f>
        <v>v</v>
      </c>
      <c r="H336" s="400">
        <f t="shared" si="542"/>
        <v>3.9500000000000006E-9</v>
      </c>
      <c r="I336" s="391"/>
      <c r="J336" s="391"/>
      <c r="K336" s="391"/>
      <c r="L336" s="391"/>
      <c r="M336" s="391"/>
      <c r="N336" s="391"/>
      <c r="O336" s="391"/>
      <c r="P336" s="391"/>
      <c r="Q336" s="391"/>
      <c r="R336" s="391"/>
      <c r="S336" s="391"/>
    </row>
    <row r="337" spans="1:19" x14ac:dyDescent="0.3">
      <c r="A337" s="391" t="str">
        <f>'Reference Score Calculation'!A316</f>
        <v>JS8428</v>
      </c>
      <c r="B337" s="391" t="str">
        <f>'Reference Score Calculation'!D316</f>
        <v>地理教育榮譽學士</v>
      </c>
      <c r="D337" s="398" t="str">
        <f>'Reference Score Calculation'!E316</f>
        <v>Best 5</v>
      </c>
      <c r="E337" s="391" t="str">
        <f>入學要求!T325</f>
        <v>v</v>
      </c>
      <c r="F337" s="391" t="str">
        <f>入學要求!U325</f>
        <v>E</v>
      </c>
      <c r="G337" s="391" t="str">
        <f>入學要求!V325</f>
        <v>v</v>
      </c>
      <c r="H337" s="400">
        <f t="shared" si="542"/>
        <v>3.9500000000000006E-9</v>
      </c>
      <c r="I337" s="391"/>
      <c r="J337" s="391"/>
      <c r="K337" s="391"/>
      <c r="L337" s="391"/>
      <c r="M337" s="391"/>
      <c r="N337" s="391"/>
      <c r="O337" s="391"/>
      <c r="P337" s="391"/>
      <c r="Q337" s="391"/>
      <c r="R337" s="391"/>
      <c r="S337" s="391"/>
    </row>
    <row r="338" spans="1:19" x14ac:dyDescent="0.3">
      <c r="A338" s="391" t="str">
        <f>'Reference Score Calculation'!A317</f>
        <v>JS8430</v>
      </c>
      <c r="B338" s="391" t="str">
        <f>'Reference Score Calculation'!D317</f>
        <v>科學教育榮譽學士</v>
      </c>
      <c r="D338" s="398" t="str">
        <f>'Reference Score Calculation'!E317</f>
        <v>Best 5</v>
      </c>
      <c r="E338" s="391" t="str">
        <f>入學要求!T326</f>
        <v>v</v>
      </c>
      <c r="F338" s="391" t="str">
        <f>入學要求!U326</f>
        <v>E</v>
      </c>
      <c r="G338" s="391" t="str">
        <f>入學要求!V326</f>
        <v>v</v>
      </c>
      <c r="H338" s="400">
        <f t="shared" si="542"/>
        <v>3.9500000000000006E-9</v>
      </c>
      <c r="I338" s="391"/>
      <c r="J338" s="391"/>
      <c r="K338" s="391"/>
      <c r="L338" s="391"/>
      <c r="M338" s="391"/>
      <c r="N338" s="391"/>
      <c r="O338" s="391"/>
      <c r="P338" s="391"/>
      <c r="Q338" s="391"/>
      <c r="R338" s="391"/>
      <c r="S338" s="391"/>
    </row>
    <row r="339" spans="1:19" x14ac:dyDescent="0.3">
      <c r="A339" s="391" t="str">
        <f>'Reference Score Calculation'!A318</f>
        <v>JS8507</v>
      </c>
      <c r="B339" s="391" t="str">
        <f>'Reference Score Calculation'!D318</f>
        <v>幼兒教育高級文憑</v>
      </c>
      <c r="D339" s="398" t="str">
        <f>'Reference Score Calculation'!E318</f>
        <v>Best 5</v>
      </c>
      <c r="E339" s="391" t="str">
        <f>入學要求!T327</f>
        <v>v</v>
      </c>
      <c r="F339" s="391" t="str">
        <f>入學要求!U327</f>
        <v>E</v>
      </c>
      <c r="G339" s="391" t="str">
        <f>入學要求!V327</f>
        <v>v</v>
      </c>
      <c r="H339" s="400">
        <f t="shared" si="542"/>
        <v>3.9500000000000006E-9</v>
      </c>
      <c r="I339" s="391"/>
      <c r="J339" s="391"/>
      <c r="K339" s="391"/>
      <c r="L339" s="391"/>
      <c r="M339" s="391"/>
      <c r="N339" s="391"/>
      <c r="O339" s="391"/>
      <c r="P339" s="391"/>
      <c r="Q339" s="391"/>
      <c r="R339" s="391"/>
      <c r="S339" s="391"/>
    </row>
    <row r="340" spans="1:19" x14ac:dyDescent="0.3">
      <c r="A340" s="391" t="str">
        <f>'Reference Score Calculation'!A319</f>
        <v>JS8600</v>
      </c>
      <c r="B340" s="391" t="str">
        <f>'Reference Score Calculation'!D319</f>
        <v>語文研究榮譽文學士 (中文主修)</v>
      </c>
      <c r="D340" s="398" t="str">
        <f>'Reference Score Calculation'!E319</f>
        <v>Best 5</v>
      </c>
      <c r="E340" s="391" t="str">
        <f>入學要求!T328</f>
        <v>v</v>
      </c>
      <c r="F340" s="391" t="str">
        <f>入學要求!U328</f>
        <v>E</v>
      </c>
      <c r="G340" s="391" t="str">
        <f>入學要求!V328</f>
        <v>v</v>
      </c>
      <c r="H340" s="400">
        <f t="shared" si="542"/>
        <v>3.9500000000000006E-9</v>
      </c>
      <c r="I340" s="391"/>
      <c r="J340" s="391"/>
      <c r="K340" s="391"/>
      <c r="L340" s="391"/>
      <c r="M340" s="391"/>
      <c r="N340" s="391"/>
      <c r="O340" s="391"/>
      <c r="P340" s="391"/>
      <c r="Q340" s="391"/>
      <c r="R340" s="391"/>
      <c r="S340" s="391"/>
    </row>
    <row r="341" spans="1:19" x14ac:dyDescent="0.3">
      <c r="A341" s="391" t="str">
        <f>'Reference Score Calculation'!A320</f>
        <v>JS8612</v>
      </c>
      <c r="B341" s="391" t="str">
        <f>'Reference Score Calculation'!D320</f>
        <v>語文研究榮譽文學士 (英文主修)</v>
      </c>
      <c r="D341" s="398" t="str">
        <f>'Reference Score Calculation'!E320</f>
        <v>Best 5</v>
      </c>
      <c r="E341" s="391" t="str">
        <f>入學要求!T329</f>
        <v>v</v>
      </c>
      <c r="F341" s="391" t="str">
        <f>入學要求!U329</f>
        <v>E</v>
      </c>
      <c r="G341" s="391" t="str">
        <f>入學要求!V329</f>
        <v>v</v>
      </c>
      <c r="H341" s="400">
        <f t="shared" si="542"/>
        <v>3.9500000000000006E-9</v>
      </c>
      <c r="I341" s="391"/>
      <c r="J341" s="391"/>
      <c r="K341" s="391"/>
      <c r="L341" s="391"/>
      <c r="M341" s="391"/>
      <c r="N341" s="391"/>
      <c r="O341" s="391"/>
      <c r="P341" s="391"/>
      <c r="Q341" s="391"/>
      <c r="R341" s="391"/>
      <c r="S341" s="391"/>
    </row>
    <row r="342" spans="1:19" x14ac:dyDescent="0.3">
      <c r="A342" s="391" t="str">
        <f>'Reference Score Calculation'!A321</f>
        <v>JS8636</v>
      </c>
      <c r="B342" s="391" t="str">
        <f>'Reference Score Calculation'!D321</f>
        <v>創意藝術與文化榮譽文學士 (音樂)</v>
      </c>
      <c r="D342" s="398" t="str">
        <f>'Reference Score Calculation'!E321</f>
        <v>Best 5</v>
      </c>
      <c r="E342" s="391" t="str">
        <f>入學要求!T330</f>
        <v>v</v>
      </c>
      <c r="F342" s="391" t="str">
        <f>入學要求!U330</f>
        <v>E</v>
      </c>
      <c r="G342" s="391" t="str">
        <f>入學要求!V330</f>
        <v>v</v>
      </c>
      <c r="H342" s="400">
        <f t="shared" si="542"/>
        <v>3.9500000000000006E-9</v>
      </c>
      <c r="I342" s="391"/>
      <c r="J342" s="391"/>
      <c r="K342" s="391"/>
      <c r="L342" s="391"/>
      <c r="M342" s="391"/>
      <c r="N342" s="391"/>
      <c r="O342" s="391"/>
      <c r="P342" s="391"/>
      <c r="Q342" s="391"/>
      <c r="R342" s="391"/>
      <c r="S342" s="391"/>
    </row>
    <row r="343" spans="1:19" x14ac:dyDescent="0.3">
      <c r="A343" s="391" t="str">
        <f>'Reference Score Calculation'!A322</f>
        <v>JS8648</v>
      </c>
      <c r="B343" s="391" t="str">
        <f>'Reference Score Calculation'!D322</f>
        <v>創意藝術與文化榮譽文學士 (視覺藝術)</v>
      </c>
      <c r="D343" s="398" t="str">
        <f>'Reference Score Calculation'!E322</f>
        <v>Best 5</v>
      </c>
      <c r="E343" s="391" t="str">
        <f>入學要求!T331</f>
        <v>v</v>
      </c>
      <c r="F343" s="391" t="str">
        <f>入學要求!U331</f>
        <v>E</v>
      </c>
      <c r="G343" s="391" t="str">
        <f>入學要求!V331</f>
        <v>v</v>
      </c>
      <c r="H343" s="400">
        <f t="shared" si="542"/>
        <v>3.9500000000000006E-9</v>
      </c>
      <c r="I343" s="391"/>
      <c r="J343" s="391"/>
      <c r="K343" s="391"/>
      <c r="L343" s="391"/>
      <c r="M343" s="391"/>
      <c r="N343" s="391"/>
      <c r="O343" s="391"/>
      <c r="P343" s="391"/>
      <c r="Q343" s="391"/>
      <c r="R343" s="391"/>
      <c r="S343" s="391"/>
    </row>
    <row r="344" spans="1:19" x14ac:dyDescent="0.3">
      <c r="A344" s="391" t="str">
        <f>'Reference Score Calculation'!A323</f>
        <v>JS8651</v>
      </c>
      <c r="B344" s="391" t="str">
        <f>'Reference Score Calculation'!D323</f>
        <v>心理學榮譽社會科學學士</v>
      </c>
      <c r="D344" s="398" t="str">
        <f>'Reference Score Calculation'!E323</f>
        <v>Best 5</v>
      </c>
      <c r="E344" s="391" t="str">
        <f>入學要求!T332</f>
        <v>v</v>
      </c>
      <c r="F344" s="391" t="str">
        <f>入學要求!U332</f>
        <v>E</v>
      </c>
      <c r="G344" s="391" t="str">
        <f>入學要求!V332</f>
        <v>v</v>
      </c>
      <c r="H344" s="400">
        <f t="shared" si="542"/>
        <v>3.9500000000000006E-9</v>
      </c>
      <c r="I344" s="391"/>
      <c r="J344" s="391"/>
      <c r="K344" s="391"/>
      <c r="L344" s="391"/>
      <c r="M344" s="391"/>
      <c r="N344" s="391"/>
      <c r="O344" s="391"/>
      <c r="P344" s="391"/>
      <c r="Q344" s="391"/>
      <c r="R344" s="391"/>
      <c r="S344" s="391"/>
    </row>
    <row r="345" spans="1:19" x14ac:dyDescent="0.3">
      <c r="A345" s="391" t="str">
        <f>'Reference Score Calculation'!A324</f>
        <v>JS8663</v>
      </c>
      <c r="B345" s="391" t="str">
        <f>'Reference Score Calculation'!D324</f>
        <v>特殊教育榮譽文學士</v>
      </c>
      <c r="D345" s="398" t="str">
        <f>'Reference Score Calculation'!E324</f>
        <v>Best 5</v>
      </c>
      <c r="E345" s="391" t="str">
        <f>入學要求!T333</f>
        <v>v</v>
      </c>
      <c r="F345" s="391" t="str">
        <f>入學要求!U333</f>
        <v>E</v>
      </c>
      <c r="G345" s="391" t="str">
        <f>入學要求!V333</f>
        <v>v</v>
      </c>
      <c r="H345" s="400">
        <f t="shared" si="542"/>
        <v>3.9500000000000006E-9</v>
      </c>
      <c r="I345" s="391"/>
      <c r="J345" s="391"/>
      <c r="K345" s="391"/>
      <c r="L345" s="391"/>
      <c r="M345" s="391"/>
      <c r="N345" s="391"/>
      <c r="O345" s="391"/>
      <c r="P345" s="391"/>
      <c r="Q345" s="391"/>
      <c r="R345" s="391"/>
      <c r="S345" s="391"/>
    </row>
    <row r="346" spans="1:19" x14ac:dyDescent="0.3">
      <c r="A346" s="391" t="str">
        <f>'Reference Score Calculation'!A325</f>
        <v>JS8702</v>
      </c>
      <c r="B346" s="391" t="str">
        <f>'Reference Score Calculation'!D325</f>
        <v>綜合環境管理榮譽理學士</v>
      </c>
      <c r="D346" s="398" t="str">
        <f>'Reference Score Calculation'!E325</f>
        <v>Best 5</v>
      </c>
      <c r="E346" s="391" t="str">
        <f>入學要求!T334</f>
        <v>v</v>
      </c>
      <c r="F346" s="391" t="str">
        <f>入學要求!U334</f>
        <v>E</v>
      </c>
      <c r="G346" s="391" t="str">
        <f>入學要求!V334</f>
        <v>v</v>
      </c>
      <c r="H346" s="400">
        <f t="shared" si="542"/>
        <v>3.9500000000000006E-9</v>
      </c>
      <c r="I346" s="391"/>
      <c r="J346" s="391"/>
      <c r="K346" s="391"/>
      <c r="L346" s="391"/>
      <c r="M346" s="391"/>
      <c r="N346" s="391"/>
      <c r="O346" s="391"/>
      <c r="P346" s="391"/>
      <c r="Q346" s="391"/>
      <c r="R346" s="391"/>
      <c r="S346" s="391"/>
    </row>
    <row r="347" spans="1:19" x14ac:dyDescent="0.3">
      <c r="A347" s="391" t="str">
        <f>'Reference Score Calculation'!A326</f>
        <v>JS8714</v>
      </c>
      <c r="B347" s="391" t="str">
        <f>'Reference Score Calculation'!D326</f>
        <v>人工智能與教育科技榮譽理學士</v>
      </c>
      <c r="D347" s="398" t="str">
        <f>'Reference Score Calculation'!E326</f>
        <v>Best 5</v>
      </c>
      <c r="E347" s="391" t="str">
        <f>入學要求!T335</f>
        <v>v</v>
      </c>
      <c r="F347" s="391" t="str">
        <f>入學要求!U335</f>
        <v>E</v>
      </c>
      <c r="G347" s="391" t="str">
        <f>入學要求!V335</f>
        <v>v</v>
      </c>
      <c r="H347" s="400">
        <f t="shared" si="542"/>
        <v>3.9500000000000006E-9</v>
      </c>
      <c r="I347" s="391"/>
      <c r="J347" s="391"/>
      <c r="K347" s="391"/>
      <c r="L347" s="391"/>
      <c r="M347" s="391"/>
      <c r="N347" s="391"/>
      <c r="O347" s="391"/>
      <c r="P347" s="391"/>
      <c r="Q347" s="391"/>
      <c r="R347" s="391"/>
      <c r="S347" s="391"/>
    </row>
    <row r="348" spans="1:19" x14ac:dyDescent="0.3">
      <c r="A348" s="391" t="str">
        <f>'Reference Score Calculation'!A327</f>
        <v>JS8726</v>
      </c>
      <c r="B348" s="391" t="str">
        <f>'Reference Score Calculation'!D327</f>
        <v>運動科學及教練榮譽理學士</v>
      </c>
      <c r="D348" s="398" t="str">
        <f>'Reference Score Calculation'!E327</f>
        <v>Best 5</v>
      </c>
      <c r="E348" s="391" t="str">
        <f>入學要求!T336</f>
        <v>v</v>
      </c>
      <c r="F348" s="391" t="str">
        <f>入學要求!U336</f>
        <v>E</v>
      </c>
      <c r="G348" s="391" t="str">
        <f>入學要求!V336</f>
        <v>v</v>
      </c>
      <c r="H348" s="400">
        <f t="shared" si="542"/>
        <v>3.9500000000000006E-9</v>
      </c>
      <c r="I348" s="391"/>
      <c r="J348" s="391"/>
      <c r="K348" s="391"/>
      <c r="L348" s="391"/>
      <c r="M348" s="391"/>
      <c r="N348" s="391"/>
      <c r="O348" s="391"/>
      <c r="P348" s="391"/>
      <c r="Q348" s="391"/>
      <c r="R348" s="391"/>
      <c r="S348" s="391"/>
    </row>
    <row r="349" spans="1:19" x14ac:dyDescent="0.3">
      <c r="A349" s="391" t="str">
        <f>'Reference Score Calculation'!A328</f>
        <v>JS8801</v>
      </c>
      <c r="B349" s="391" t="str">
        <f>'Reference Score Calculation'!D328</f>
        <v>創意藝術與文化榮譽文學士及音樂教育榮譽學士 (同期結業雙學位課程)</v>
      </c>
      <c r="D349" s="398" t="str">
        <f>'Reference Score Calculation'!E328</f>
        <v>Best 5</v>
      </c>
      <c r="E349" s="391" t="str">
        <f>入學要求!T337</f>
        <v>v</v>
      </c>
      <c r="F349" s="391" t="str">
        <f>入學要求!U337</f>
        <v>E</v>
      </c>
      <c r="G349" s="391" t="str">
        <f>入學要求!V337</f>
        <v>v</v>
      </c>
      <c r="H349" s="400">
        <f t="shared" si="542"/>
        <v>3.9500000000000006E-9</v>
      </c>
      <c r="I349" s="391"/>
      <c r="J349" s="391"/>
      <c r="K349" s="391"/>
      <c r="L349" s="391"/>
      <c r="M349" s="391"/>
      <c r="N349" s="391"/>
      <c r="O349" s="391"/>
      <c r="P349" s="391"/>
      <c r="Q349" s="391"/>
      <c r="R349" s="391"/>
      <c r="S349" s="391"/>
    </row>
    <row r="350" spans="1:19" x14ac:dyDescent="0.3">
      <c r="A350" s="391" t="str">
        <f>'Reference Score Calculation'!A329</f>
        <v>JS8813</v>
      </c>
      <c r="B350" s="391" t="str">
        <f>'Reference Score Calculation'!D329</f>
        <v>創意藝術與文化榮譽文學士及視覺藝術教育榮譽學士 (同期結業雙學位課程)</v>
      </c>
      <c r="D350" s="398" t="str">
        <f>'Reference Score Calculation'!E329</f>
        <v>Best 5</v>
      </c>
      <c r="E350" s="391" t="str">
        <f>入學要求!T338</f>
        <v>v</v>
      </c>
      <c r="F350" s="391" t="str">
        <f>入學要求!U338</f>
        <v>E</v>
      </c>
      <c r="G350" s="391" t="str">
        <f>入學要求!V338</f>
        <v>v</v>
      </c>
      <c r="H350" s="400">
        <f t="shared" si="542"/>
        <v>3.9500000000000006E-9</v>
      </c>
      <c r="I350" s="391"/>
      <c r="J350" s="391"/>
      <c r="K350" s="391"/>
      <c r="L350" s="391"/>
      <c r="M350" s="391"/>
      <c r="N350" s="391"/>
      <c r="O350" s="391"/>
      <c r="P350" s="391"/>
      <c r="Q350" s="391"/>
      <c r="R350" s="391"/>
      <c r="S350" s="391"/>
    </row>
    <row r="351" spans="1:19" s="391" customFormat="1" x14ac:dyDescent="0.3">
      <c r="A351" s="391" t="str">
        <f>'Reference Score Calculation'!A330</f>
        <v>JS8825</v>
      </c>
      <c r="B351" s="391" t="str">
        <f>'Reference Score Calculation'!D330</f>
        <v>語文研究榮譽文學士及英文教育榮譽學士 (同期結業雙學位課程)</v>
      </c>
      <c r="D351" s="398" t="str">
        <f>'Reference Score Calculation'!E330</f>
        <v>Best 5</v>
      </c>
      <c r="E351" s="391" t="str">
        <f>入學要求!T339</f>
        <v>v</v>
      </c>
      <c r="F351" s="391" t="str">
        <f>入學要求!U339</f>
        <v>E</v>
      </c>
      <c r="G351" s="391" t="str">
        <f>入學要求!V339</f>
        <v>v</v>
      </c>
      <c r="H351" s="400">
        <f t="shared" si="542"/>
        <v>3.9500000000000006E-9</v>
      </c>
    </row>
    <row r="353" spans="1:44" s="227" customFormat="1" x14ac:dyDescent="0.3">
      <c r="A353" s="226" t="s">
        <v>2314</v>
      </c>
      <c r="D353" s="228"/>
      <c r="E353" s="356" t="s">
        <v>2233</v>
      </c>
      <c r="F353" s="356" t="s">
        <v>2234</v>
      </c>
      <c r="G353" s="356" t="s">
        <v>2235</v>
      </c>
      <c r="H353" s="399" t="s">
        <v>2301</v>
      </c>
      <c r="I353" s="399" t="s">
        <v>2011</v>
      </c>
      <c r="J353" s="399" t="s">
        <v>2012</v>
      </c>
      <c r="K353" s="399" t="s">
        <v>2013</v>
      </c>
      <c r="L353" s="399" t="s">
        <v>2014</v>
      </c>
      <c r="M353" s="399" t="s">
        <v>2015</v>
      </c>
      <c r="N353" s="399" t="s">
        <v>2016</v>
      </c>
      <c r="O353" s="399" t="s">
        <v>2017</v>
      </c>
      <c r="P353" s="399" t="s">
        <v>2018</v>
      </c>
      <c r="Q353" s="399" t="s">
        <v>2019</v>
      </c>
      <c r="R353" s="399" t="s">
        <v>2958</v>
      </c>
      <c r="S353" s="404"/>
      <c r="T353" s="399" t="str">
        <f>I$1</f>
        <v>中國語文</v>
      </c>
      <c r="U353" s="399" t="str">
        <f t="shared" ref="U353" si="543">J$1</f>
        <v>英國語文</v>
      </c>
      <c r="V353" s="399" t="str">
        <f t="shared" ref="V353" si="544">K$1</f>
        <v>數學</v>
      </c>
      <c r="W353" s="399" t="str">
        <f t="shared" ref="W353" si="545">L$1</f>
        <v>通識教育</v>
      </c>
      <c r="X353" s="399" t="str">
        <f t="shared" ref="X353" si="546">M$1</f>
        <v>數學延伸</v>
      </c>
      <c r="Y353" s="399" t="str">
        <f t="shared" ref="Y353" si="547">N$1</f>
        <v>請選擇第一選修科</v>
      </c>
      <c r="Z353" s="399" t="str">
        <f t="shared" ref="Z353" si="548">O$1</f>
        <v>請選擇第二選修科</v>
      </c>
      <c r="AA353" s="399" t="str">
        <f t="shared" ref="AA353" si="549">P$1</f>
        <v>請選擇第三選修科</v>
      </c>
      <c r="AB353" s="399" t="str">
        <f t="shared" ref="AB353" si="550">Q$1</f>
        <v>請選擇第四選修科</v>
      </c>
      <c r="AC353" s="399" t="str">
        <f t="shared" ref="AC353" si="551">R$1</f>
        <v>請選擇語言科目</v>
      </c>
      <c r="AD353" s="399" t="s">
        <v>2881</v>
      </c>
      <c r="AE353" s="399" t="s">
        <v>2882</v>
      </c>
      <c r="AF353" s="399" t="s">
        <v>2883</v>
      </c>
      <c r="AG353" s="399" t="s">
        <v>2884</v>
      </c>
      <c r="AH353" s="399" t="s">
        <v>2885</v>
      </c>
      <c r="AI353" s="399" t="s">
        <v>2886</v>
      </c>
      <c r="AJ353" s="399" t="s">
        <v>2887</v>
      </c>
      <c r="AK353" s="399" t="s">
        <v>2888</v>
      </c>
      <c r="AL353" s="399" t="s">
        <v>2889</v>
      </c>
      <c r="AM353" s="399" t="s">
        <v>2890</v>
      </c>
      <c r="AN353" s="405"/>
      <c r="AO353" s="399"/>
      <c r="AP353" s="399"/>
    </row>
    <row r="354" spans="1:44" x14ac:dyDescent="0.3">
      <c r="A354" s="185" t="str">
        <f>'Reference Score Calculation'!A333</f>
        <v>JS9001</v>
      </c>
      <c r="B354" s="212" t="str">
        <f>'Reference Score Calculation'!D333</f>
        <v>心理學榮譽社會科學學士</v>
      </c>
      <c r="C354" s="212"/>
      <c r="D354" s="185" t="str">
        <f>'Reference Score Calculation'!E333</f>
        <v>4C1X</v>
      </c>
      <c r="E354" s="185" t="str">
        <f>入學要求!T342</f>
        <v>v</v>
      </c>
      <c r="F354" s="391" t="str">
        <f>入學要求!U342</f>
        <v>E</v>
      </c>
      <c r="G354" s="391" t="str">
        <f>入學要求!V342</f>
        <v>v</v>
      </c>
      <c r="H354" s="185">
        <f>SUMIF(AD354:AM354,TRUE,T354:AC354)</f>
        <v>1.9500000000000001E-9</v>
      </c>
      <c r="I354" s="185">
        <v>1</v>
      </c>
      <c r="J354" s="185">
        <v>1</v>
      </c>
      <c r="K354" s="391">
        <v>1</v>
      </c>
      <c r="L354" s="391">
        <v>1</v>
      </c>
      <c r="M354" s="391">
        <v>1</v>
      </c>
      <c r="N354" s="391">
        <v>1</v>
      </c>
      <c r="O354" s="391">
        <v>1</v>
      </c>
      <c r="P354" s="391">
        <v>1</v>
      </c>
      <c r="Q354" s="391">
        <v>1</v>
      </c>
      <c r="R354" s="391">
        <v>1</v>
      </c>
      <c r="T354" s="391">
        <f>I$11*I354</f>
        <v>1E-10</v>
      </c>
      <c r="U354" s="391">
        <f t="shared" ref="U354:AC369" si="552">J$11*J354</f>
        <v>2.0000000000000001E-10</v>
      </c>
      <c r="V354" s="391">
        <f t="shared" si="552"/>
        <v>3E-10</v>
      </c>
      <c r="W354" s="391">
        <f t="shared" si="552"/>
        <v>4.0000000000000001E-10</v>
      </c>
      <c r="X354" s="391">
        <f t="shared" si="552"/>
        <v>0</v>
      </c>
      <c r="Y354" s="391">
        <f t="shared" si="552"/>
        <v>6E-10</v>
      </c>
      <c r="Z354" s="391">
        <f t="shared" si="552"/>
        <v>6.9999999999999996E-10</v>
      </c>
      <c r="AA354" s="391">
        <f t="shared" si="552"/>
        <v>8.0000000000000003E-10</v>
      </c>
      <c r="AB354" s="391">
        <f t="shared" si="552"/>
        <v>8.9999999999999999E-10</v>
      </c>
      <c r="AC354" s="391">
        <f t="shared" si="552"/>
        <v>9.5000000000000003E-10</v>
      </c>
      <c r="AD354" s="391" t="b">
        <v>1</v>
      </c>
      <c r="AE354" s="391" t="b">
        <v>1</v>
      </c>
      <c r="AF354" s="391" t="b">
        <v>1</v>
      </c>
      <c r="AG354" s="391" t="b">
        <v>1</v>
      </c>
      <c r="AH354" s="391" t="b">
        <f>IF(X354=LARGE($X354:$AC354,1),TRUE)</f>
        <v>0</v>
      </c>
      <c r="AI354" s="391" t="b">
        <f t="shared" ref="AI354:AM354" si="553">IF(Y354=LARGE($X354:$AC354,1),TRUE)</f>
        <v>0</v>
      </c>
      <c r="AJ354" s="391" t="b">
        <f t="shared" si="553"/>
        <v>0</v>
      </c>
      <c r="AK354" s="391" t="b">
        <f t="shared" si="553"/>
        <v>0</v>
      </c>
      <c r="AL354" s="391" t="b">
        <f t="shared" si="553"/>
        <v>0</v>
      </c>
      <c r="AM354" s="391" t="b">
        <f t="shared" si="553"/>
        <v>1</v>
      </c>
      <c r="AN354" s="391"/>
      <c r="AO354" s="391"/>
      <c r="AP354" s="391"/>
      <c r="AQ354" s="391"/>
      <c r="AR354" s="391"/>
    </row>
    <row r="355" spans="1:44" x14ac:dyDescent="0.3">
      <c r="A355" s="391" t="str">
        <f>'Reference Score Calculation'!A334</f>
        <v>JS9003</v>
      </c>
      <c r="B355" s="398" t="str">
        <f>'Reference Score Calculation'!D334</f>
        <v>政治及公共行政榮譽社會科學學士</v>
      </c>
      <c r="C355" s="212"/>
      <c r="D355" s="391" t="str">
        <f>'Reference Score Calculation'!E334</f>
        <v>4C1X</v>
      </c>
      <c r="E355" s="391" t="str">
        <f>入學要求!T343</f>
        <v>v</v>
      </c>
      <c r="F355" s="391" t="str">
        <f>入學要求!U343</f>
        <v>E</v>
      </c>
      <c r="G355" s="391" t="str">
        <f>入學要求!V343</f>
        <v>v</v>
      </c>
      <c r="H355" s="391">
        <f t="shared" ref="H355:H389" si="554">SUMIF(AD355:AM355,TRUE,T355:AC355)</f>
        <v>1.9500000000000001E-9</v>
      </c>
      <c r="I355" s="391">
        <v>1</v>
      </c>
      <c r="J355" s="391">
        <v>1</v>
      </c>
      <c r="K355" s="391">
        <v>1</v>
      </c>
      <c r="L355" s="391">
        <v>1</v>
      </c>
      <c r="M355" s="391">
        <v>1</v>
      </c>
      <c r="N355" s="391">
        <v>1</v>
      </c>
      <c r="O355" s="391">
        <v>1</v>
      </c>
      <c r="P355" s="391">
        <v>1</v>
      </c>
      <c r="Q355" s="391">
        <v>1</v>
      </c>
      <c r="R355" s="391">
        <v>1</v>
      </c>
      <c r="T355" s="391">
        <f t="shared" ref="T355:T389" si="555">I$11*I355</f>
        <v>1E-10</v>
      </c>
      <c r="U355" s="391">
        <f t="shared" si="552"/>
        <v>2.0000000000000001E-10</v>
      </c>
      <c r="V355" s="391">
        <f t="shared" si="552"/>
        <v>3E-10</v>
      </c>
      <c r="W355" s="391">
        <f t="shared" si="552"/>
        <v>4.0000000000000001E-10</v>
      </c>
      <c r="X355" s="391">
        <f t="shared" si="552"/>
        <v>0</v>
      </c>
      <c r="Y355" s="391">
        <f t="shared" si="552"/>
        <v>6E-10</v>
      </c>
      <c r="Z355" s="391">
        <f t="shared" si="552"/>
        <v>6.9999999999999996E-10</v>
      </c>
      <c r="AA355" s="391">
        <f t="shared" si="552"/>
        <v>8.0000000000000003E-10</v>
      </c>
      <c r="AB355" s="391">
        <f t="shared" si="552"/>
        <v>8.9999999999999999E-10</v>
      </c>
      <c r="AC355" s="391">
        <f t="shared" si="552"/>
        <v>9.5000000000000003E-10</v>
      </c>
      <c r="AD355" s="391" t="b">
        <v>1</v>
      </c>
      <c r="AE355" s="391" t="b">
        <v>1</v>
      </c>
      <c r="AF355" s="391" t="b">
        <v>1</v>
      </c>
      <c r="AG355" s="391" t="b">
        <v>1</v>
      </c>
      <c r="AH355" s="391" t="b">
        <f t="shared" ref="AH355:AH375" si="556">IF(X355=LARGE($X355:$AC355,1),TRUE)</f>
        <v>0</v>
      </c>
      <c r="AI355" s="391" t="b">
        <f t="shared" ref="AI355:AI375" si="557">IF(Y355=LARGE($X355:$AC355,1),TRUE)</f>
        <v>0</v>
      </c>
      <c r="AJ355" s="391" t="b">
        <f t="shared" ref="AJ355:AJ375" si="558">IF(Z355=LARGE($X355:$AC355,1),TRUE)</f>
        <v>0</v>
      </c>
      <c r="AK355" s="391" t="b">
        <f t="shared" ref="AK355:AK375" si="559">IF(AA355=LARGE($X355:$AC355,1),TRUE)</f>
        <v>0</v>
      </c>
      <c r="AL355" s="391" t="b">
        <f t="shared" ref="AL355:AL375" si="560">IF(AB355=LARGE($X355:$AC355,1),TRUE)</f>
        <v>0</v>
      </c>
      <c r="AM355" s="391" t="b">
        <f t="shared" ref="AM355:AM375" si="561">IF(AC355=LARGE($X355:$AC355,1),TRUE)</f>
        <v>1</v>
      </c>
      <c r="AN355" s="391"/>
      <c r="AO355" s="391"/>
      <c r="AP355" s="391"/>
      <c r="AQ355" s="391"/>
      <c r="AR355" s="391"/>
    </row>
    <row r="356" spans="1:44" x14ac:dyDescent="0.3">
      <c r="A356" s="391" t="str">
        <f>'Reference Score Calculation'!A335</f>
        <v>JS9004</v>
      </c>
      <c r="B356" s="398" t="str">
        <f>'Reference Score Calculation'!D335</f>
        <v>應用社會研究榮譽社會科學學士</v>
      </c>
      <c r="C356" s="212"/>
      <c r="D356" s="391" t="str">
        <f>'Reference Score Calculation'!E335</f>
        <v>4C1X</v>
      </c>
      <c r="E356" s="391" t="str">
        <f>入學要求!T344</f>
        <v>v</v>
      </c>
      <c r="F356" s="391" t="str">
        <f>入學要求!U344</f>
        <v>E</v>
      </c>
      <c r="G356" s="391" t="str">
        <f>入學要求!V344</f>
        <v>v</v>
      </c>
      <c r="H356" s="391">
        <f t="shared" si="554"/>
        <v>1.9500000000000001E-9</v>
      </c>
      <c r="I356" s="391">
        <v>1</v>
      </c>
      <c r="J356" s="391">
        <v>1</v>
      </c>
      <c r="K356" s="391">
        <v>1</v>
      </c>
      <c r="L356" s="391">
        <v>1</v>
      </c>
      <c r="M356" s="391">
        <v>1</v>
      </c>
      <c r="N356" s="391">
        <v>1</v>
      </c>
      <c r="O356" s="391">
        <v>1</v>
      </c>
      <c r="P356" s="391">
        <v>1</v>
      </c>
      <c r="Q356" s="391">
        <v>1</v>
      </c>
      <c r="R356" s="391">
        <v>1</v>
      </c>
      <c r="T356" s="391">
        <f t="shared" si="555"/>
        <v>1E-10</v>
      </c>
      <c r="U356" s="391">
        <f t="shared" si="552"/>
        <v>2.0000000000000001E-10</v>
      </c>
      <c r="V356" s="391">
        <f t="shared" si="552"/>
        <v>3E-10</v>
      </c>
      <c r="W356" s="391">
        <f t="shared" si="552"/>
        <v>4.0000000000000001E-10</v>
      </c>
      <c r="X356" s="391">
        <f t="shared" si="552"/>
        <v>0</v>
      </c>
      <c r="Y356" s="391">
        <f t="shared" si="552"/>
        <v>6E-10</v>
      </c>
      <c r="Z356" s="391">
        <f t="shared" si="552"/>
        <v>6.9999999999999996E-10</v>
      </c>
      <c r="AA356" s="391">
        <f t="shared" si="552"/>
        <v>8.0000000000000003E-10</v>
      </c>
      <c r="AB356" s="391">
        <f t="shared" si="552"/>
        <v>8.9999999999999999E-10</v>
      </c>
      <c r="AC356" s="391">
        <f t="shared" si="552"/>
        <v>9.5000000000000003E-10</v>
      </c>
      <c r="AD356" s="391" t="b">
        <v>1</v>
      </c>
      <c r="AE356" s="391" t="b">
        <v>1</v>
      </c>
      <c r="AF356" s="391" t="b">
        <v>1</v>
      </c>
      <c r="AG356" s="391" t="b">
        <v>1</v>
      </c>
      <c r="AH356" s="391" t="b">
        <f t="shared" si="556"/>
        <v>0</v>
      </c>
      <c r="AI356" s="391" t="b">
        <f t="shared" si="557"/>
        <v>0</v>
      </c>
      <c r="AJ356" s="391" t="b">
        <f t="shared" si="558"/>
        <v>0</v>
      </c>
      <c r="AK356" s="391" t="b">
        <f t="shared" si="559"/>
        <v>0</v>
      </c>
      <c r="AL356" s="391" t="b">
        <f t="shared" si="560"/>
        <v>0</v>
      </c>
      <c r="AM356" s="391" t="b">
        <f t="shared" si="561"/>
        <v>1</v>
      </c>
      <c r="AN356" s="391"/>
      <c r="AO356" s="391"/>
      <c r="AP356" s="391"/>
      <c r="AQ356" s="391"/>
      <c r="AR356" s="391"/>
    </row>
    <row r="357" spans="1:44" x14ac:dyDescent="0.3">
      <c r="A357" s="391" t="str">
        <f>'Reference Score Calculation'!A336</f>
        <v>JS9005</v>
      </c>
      <c r="B357" s="398" t="str">
        <f>'Reference Score Calculation'!D336</f>
        <v>全球與中國研究榮譽社會科學學士</v>
      </c>
      <c r="C357" s="212"/>
      <c r="D357" s="391" t="str">
        <f>'Reference Score Calculation'!E336</f>
        <v>4C1X</v>
      </c>
      <c r="E357" s="391" t="str">
        <f>入學要求!T345</f>
        <v>v</v>
      </c>
      <c r="F357" s="391" t="str">
        <f>入學要求!U345</f>
        <v>E</v>
      </c>
      <c r="G357" s="391" t="str">
        <f>入學要求!V345</f>
        <v>v</v>
      </c>
      <c r="H357" s="391">
        <f t="shared" si="554"/>
        <v>1.9500000000000001E-9</v>
      </c>
      <c r="I357" s="391">
        <v>1</v>
      </c>
      <c r="J357" s="391">
        <v>1</v>
      </c>
      <c r="K357" s="391">
        <v>1</v>
      </c>
      <c r="L357" s="391">
        <v>1</v>
      </c>
      <c r="M357" s="391">
        <v>1</v>
      </c>
      <c r="N357" s="391">
        <v>1</v>
      </c>
      <c r="O357" s="391">
        <v>1</v>
      </c>
      <c r="P357" s="391">
        <v>1</v>
      </c>
      <c r="Q357" s="391">
        <v>1</v>
      </c>
      <c r="R357" s="391">
        <v>1</v>
      </c>
      <c r="T357" s="391">
        <f t="shared" si="555"/>
        <v>1E-10</v>
      </c>
      <c r="U357" s="391">
        <f t="shared" si="552"/>
        <v>2.0000000000000001E-10</v>
      </c>
      <c r="V357" s="391">
        <f t="shared" si="552"/>
        <v>3E-10</v>
      </c>
      <c r="W357" s="391">
        <f t="shared" si="552"/>
        <v>4.0000000000000001E-10</v>
      </c>
      <c r="X357" s="391">
        <f t="shared" si="552"/>
        <v>0</v>
      </c>
      <c r="Y357" s="391">
        <f t="shared" si="552"/>
        <v>6E-10</v>
      </c>
      <c r="Z357" s="391">
        <f t="shared" si="552"/>
        <v>6.9999999999999996E-10</v>
      </c>
      <c r="AA357" s="391">
        <f t="shared" si="552"/>
        <v>8.0000000000000003E-10</v>
      </c>
      <c r="AB357" s="391">
        <f t="shared" si="552"/>
        <v>8.9999999999999999E-10</v>
      </c>
      <c r="AC357" s="391">
        <f t="shared" si="552"/>
        <v>9.5000000000000003E-10</v>
      </c>
      <c r="AD357" s="391" t="b">
        <v>1</v>
      </c>
      <c r="AE357" s="391" t="b">
        <v>1</v>
      </c>
      <c r="AF357" s="391" t="b">
        <v>1</v>
      </c>
      <c r="AG357" s="391" t="b">
        <v>1</v>
      </c>
      <c r="AH357" s="391" t="b">
        <f t="shared" si="556"/>
        <v>0</v>
      </c>
      <c r="AI357" s="391" t="b">
        <f t="shared" si="557"/>
        <v>0</v>
      </c>
      <c r="AJ357" s="391" t="b">
        <f t="shared" si="558"/>
        <v>0</v>
      </c>
      <c r="AK357" s="391" t="b">
        <f t="shared" si="559"/>
        <v>0</v>
      </c>
      <c r="AL357" s="391" t="b">
        <f t="shared" si="560"/>
        <v>0</v>
      </c>
      <c r="AM357" s="391" t="b">
        <f t="shared" si="561"/>
        <v>1</v>
      </c>
      <c r="AN357" s="391"/>
      <c r="AO357" s="391"/>
      <c r="AP357" s="391"/>
      <c r="AQ357" s="391"/>
      <c r="AR357" s="391"/>
    </row>
    <row r="358" spans="1:44" x14ac:dyDescent="0.3">
      <c r="A358" s="391" t="str">
        <f>'Reference Score Calculation'!A337</f>
        <v>JS9006</v>
      </c>
      <c r="B358" s="398" t="str">
        <f>'Reference Score Calculation'!D337</f>
        <v>高齡社會與服務研究榮譽社會科學學士</v>
      </c>
      <c r="C358" s="212"/>
      <c r="D358" s="391" t="str">
        <f>'Reference Score Calculation'!E337</f>
        <v>4C1X</v>
      </c>
      <c r="E358" s="391" t="str">
        <f>入學要求!T346</f>
        <v>v</v>
      </c>
      <c r="F358" s="391" t="str">
        <f>入學要求!U346</f>
        <v>E</v>
      </c>
      <c r="G358" s="391" t="str">
        <f>入學要求!V346</f>
        <v>v</v>
      </c>
      <c r="H358" s="391">
        <f t="shared" si="554"/>
        <v>1.9500000000000001E-9</v>
      </c>
      <c r="I358" s="391">
        <v>1</v>
      </c>
      <c r="J358" s="391">
        <v>1</v>
      </c>
      <c r="K358" s="391">
        <v>1</v>
      </c>
      <c r="L358" s="391">
        <v>1</v>
      </c>
      <c r="M358" s="391">
        <v>1</v>
      </c>
      <c r="N358" s="391">
        <v>1</v>
      </c>
      <c r="O358" s="391">
        <v>1</v>
      </c>
      <c r="P358" s="391">
        <v>1</v>
      </c>
      <c r="Q358" s="391">
        <v>1</v>
      </c>
      <c r="R358" s="391">
        <v>1</v>
      </c>
      <c r="T358" s="391">
        <f t="shared" si="555"/>
        <v>1E-10</v>
      </c>
      <c r="U358" s="391">
        <f t="shared" si="552"/>
        <v>2.0000000000000001E-10</v>
      </c>
      <c r="V358" s="391">
        <f t="shared" si="552"/>
        <v>3E-10</v>
      </c>
      <c r="W358" s="391">
        <f t="shared" si="552"/>
        <v>4.0000000000000001E-10</v>
      </c>
      <c r="X358" s="391">
        <f t="shared" si="552"/>
        <v>0</v>
      </c>
      <c r="Y358" s="391">
        <f t="shared" si="552"/>
        <v>6E-10</v>
      </c>
      <c r="Z358" s="391">
        <f t="shared" si="552"/>
        <v>6.9999999999999996E-10</v>
      </c>
      <c r="AA358" s="391">
        <f t="shared" si="552"/>
        <v>8.0000000000000003E-10</v>
      </c>
      <c r="AB358" s="391">
        <f t="shared" si="552"/>
        <v>8.9999999999999999E-10</v>
      </c>
      <c r="AC358" s="391">
        <f t="shared" si="552"/>
        <v>9.5000000000000003E-10</v>
      </c>
      <c r="AD358" s="391" t="b">
        <v>1</v>
      </c>
      <c r="AE358" s="391" t="b">
        <v>1</v>
      </c>
      <c r="AF358" s="391" t="b">
        <v>1</v>
      </c>
      <c r="AG358" s="391" t="b">
        <v>1</v>
      </c>
      <c r="AH358" s="391" t="b">
        <f t="shared" si="556"/>
        <v>0</v>
      </c>
      <c r="AI358" s="391" t="b">
        <f t="shared" si="557"/>
        <v>0</v>
      </c>
      <c r="AJ358" s="391" t="b">
        <f t="shared" si="558"/>
        <v>0</v>
      </c>
      <c r="AK358" s="391" t="b">
        <f t="shared" si="559"/>
        <v>0</v>
      </c>
      <c r="AL358" s="391" t="b">
        <f t="shared" si="560"/>
        <v>0</v>
      </c>
      <c r="AM358" s="391" t="b">
        <f t="shared" si="561"/>
        <v>1</v>
      </c>
      <c r="AN358" s="391"/>
      <c r="AO358" s="391"/>
      <c r="AP358" s="391"/>
      <c r="AQ358" s="391"/>
      <c r="AR358" s="391"/>
    </row>
    <row r="359" spans="1:44" x14ac:dyDescent="0.3">
      <c r="A359" s="391" t="str">
        <f>'Reference Score Calculation'!A338</f>
        <v>JS9007</v>
      </c>
      <c r="B359" s="398" t="str">
        <f>'Reference Score Calculation'!D338</f>
        <v>經濟及公共政策分析榮譽社會科學學士</v>
      </c>
      <c r="C359" s="212"/>
      <c r="D359" s="391" t="str">
        <f>'Reference Score Calculation'!E338</f>
        <v>4C1X</v>
      </c>
      <c r="E359" s="391" t="str">
        <f>入學要求!T347</f>
        <v>v</v>
      </c>
      <c r="F359" s="391" t="str">
        <f>入學要求!U347</f>
        <v>E</v>
      </c>
      <c r="G359" s="391" t="str">
        <f>入學要求!V347</f>
        <v>v</v>
      </c>
      <c r="H359" s="391">
        <f t="shared" si="554"/>
        <v>1.9500000000000001E-9</v>
      </c>
      <c r="I359" s="391">
        <v>1</v>
      </c>
      <c r="J359" s="391">
        <v>1</v>
      </c>
      <c r="K359" s="391">
        <v>1</v>
      </c>
      <c r="L359" s="391">
        <v>1</v>
      </c>
      <c r="M359" s="391">
        <v>1</v>
      </c>
      <c r="N359" s="391">
        <v>1</v>
      </c>
      <c r="O359" s="391">
        <v>1</v>
      </c>
      <c r="P359" s="391">
        <v>1</v>
      </c>
      <c r="Q359" s="391">
        <v>1</v>
      </c>
      <c r="R359" s="391">
        <v>1</v>
      </c>
      <c r="T359" s="391">
        <f t="shared" si="555"/>
        <v>1E-10</v>
      </c>
      <c r="U359" s="391">
        <f t="shared" si="552"/>
        <v>2.0000000000000001E-10</v>
      </c>
      <c r="V359" s="391">
        <f t="shared" si="552"/>
        <v>3E-10</v>
      </c>
      <c r="W359" s="391">
        <f t="shared" si="552"/>
        <v>4.0000000000000001E-10</v>
      </c>
      <c r="X359" s="391">
        <f t="shared" si="552"/>
        <v>0</v>
      </c>
      <c r="Y359" s="391">
        <f t="shared" si="552"/>
        <v>6E-10</v>
      </c>
      <c r="Z359" s="391">
        <f t="shared" si="552"/>
        <v>6.9999999999999996E-10</v>
      </c>
      <c r="AA359" s="391">
        <f t="shared" si="552"/>
        <v>8.0000000000000003E-10</v>
      </c>
      <c r="AB359" s="391">
        <f t="shared" si="552"/>
        <v>8.9999999999999999E-10</v>
      </c>
      <c r="AC359" s="391">
        <f t="shared" si="552"/>
        <v>9.5000000000000003E-10</v>
      </c>
      <c r="AD359" s="391" t="b">
        <v>1</v>
      </c>
      <c r="AE359" s="391" t="b">
        <v>1</v>
      </c>
      <c r="AF359" s="391" t="b">
        <v>1</v>
      </c>
      <c r="AG359" s="391" t="b">
        <v>1</v>
      </c>
      <c r="AH359" s="391" t="b">
        <f t="shared" si="556"/>
        <v>0</v>
      </c>
      <c r="AI359" s="391" t="b">
        <f t="shared" si="557"/>
        <v>0</v>
      </c>
      <c r="AJ359" s="391" t="b">
        <f t="shared" si="558"/>
        <v>0</v>
      </c>
      <c r="AK359" s="391" t="b">
        <f t="shared" si="559"/>
        <v>0</v>
      </c>
      <c r="AL359" s="391" t="b">
        <f t="shared" si="560"/>
        <v>0</v>
      </c>
      <c r="AM359" s="391" t="b">
        <f t="shared" si="561"/>
        <v>1</v>
      </c>
      <c r="AN359" s="391"/>
      <c r="AO359" s="391"/>
      <c r="AP359" s="391"/>
      <c r="AQ359" s="391"/>
      <c r="AR359" s="391"/>
    </row>
    <row r="360" spans="1:44" x14ac:dyDescent="0.3">
      <c r="A360" s="391" t="str">
        <f>'Reference Score Calculation'!A339</f>
        <v>JS9008</v>
      </c>
      <c r="B360" s="398" t="str">
        <f>'Reference Score Calculation'!D339</f>
        <v>心理學與精神健康榮譽社會科學學士</v>
      </c>
      <c r="C360" s="212"/>
      <c r="D360" s="391" t="str">
        <f>'Reference Score Calculation'!E339</f>
        <v>4C1X</v>
      </c>
      <c r="E360" s="391" t="str">
        <f>入學要求!T348</f>
        <v>v</v>
      </c>
      <c r="F360" s="391" t="str">
        <f>入學要求!U348</f>
        <v>E</v>
      </c>
      <c r="G360" s="391" t="str">
        <f>入學要求!V348</f>
        <v>v</v>
      </c>
      <c r="H360" s="391">
        <f t="shared" si="554"/>
        <v>1.9500000000000001E-9</v>
      </c>
      <c r="I360" s="391">
        <v>1</v>
      </c>
      <c r="J360" s="391">
        <v>1</v>
      </c>
      <c r="K360" s="391">
        <v>1</v>
      </c>
      <c r="L360" s="391">
        <v>1</v>
      </c>
      <c r="M360" s="391">
        <v>1</v>
      </c>
      <c r="N360" s="391">
        <v>1</v>
      </c>
      <c r="O360" s="391">
        <v>1</v>
      </c>
      <c r="P360" s="391">
        <v>1</v>
      </c>
      <c r="Q360" s="391">
        <v>1</v>
      </c>
      <c r="R360" s="391">
        <v>1</v>
      </c>
      <c r="T360" s="391">
        <f t="shared" si="555"/>
        <v>1E-10</v>
      </c>
      <c r="U360" s="391">
        <f t="shared" si="552"/>
        <v>2.0000000000000001E-10</v>
      </c>
      <c r="V360" s="391">
        <f t="shared" si="552"/>
        <v>3E-10</v>
      </c>
      <c r="W360" s="391">
        <f t="shared" si="552"/>
        <v>4.0000000000000001E-10</v>
      </c>
      <c r="X360" s="391">
        <f t="shared" si="552"/>
        <v>0</v>
      </c>
      <c r="Y360" s="391">
        <f t="shared" si="552"/>
        <v>6E-10</v>
      </c>
      <c r="Z360" s="391">
        <f t="shared" si="552"/>
        <v>6.9999999999999996E-10</v>
      </c>
      <c r="AA360" s="391">
        <f t="shared" si="552"/>
        <v>8.0000000000000003E-10</v>
      </c>
      <c r="AB360" s="391">
        <f t="shared" si="552"/>
        <v>8.9999999999999999E-10</v>
      </c>
      <c r="AC360" s="391">
        <f t="shared" si="552"/>
        <v>9.5000000000000003E-10</v>
      </c>
      <c r="AD360" s="391" t="b">
        <v>1</v>
      </c>
      <c r="AE360" s="391" t="b">
        <v>1</v>
      </c>
      <c r="AF360" s="391" t="b">
        <v>1</v>
      </c>
      <c r="AG360" s="391" t="b">
        <v>1</v>
      </c>
      <c r="AH360" s="391" t="b">
        <f t="shared" si="556"/>
        <v>0</v>
      </c>
      <c r="AI360" s="391" t="b">
        <f t="shared" si="557"/>
        <v>0</v>
      </c>
      <c r="AJ360" s="391" t="b">
        <f t="shared" si="558"/>
        <v>0</v>
      </c>
      <c r="AK360" s="391" t="b">
        <f t="shared" si="559"/>
        <v>0</v>
      </c>
      <c r="AL360" s="391" t="b">
        <f t="shared" si="560"/>
        <v>0</v>
      </c>
      <c r="AM360" s="391" t="b">
        <f t="shared" si="561"/>
        <v>1</v>
      </c>
      <c r="AN360" s="391"/>
      <c r="AO360" s="391"/>
      <c r="AP360" s="391"/>
      <c r="AQ360" s="391"/>
      <c r="AR360" s="391"/>
    </row>
    <row r="361" spans="1:44" x14ac:dyDescent="0.3">
      <c r="A361" s="391" t="str">
        <f>'Reference Score Calculation'!A340</f>
        <v>JS9011</v>
      </c>
      <c r="B361" s="398" t="str">
        <f>'Reference Score Calculation'!D340</f>
        <v>中文榮譽文學士</v>
      </c>
      <c r="C361" s="212"/>
      <c r="D361" s="391" t="str">
        <f>'Reference Score Calculation'!E340</f>
        <v>4C1X</v>
      </c>
      <c r="E361" s="391" t="str">
        <f>入學要求!T349</f>
        <v>v</v>
      </c>
      <c r="F361" s="391" t="str">
        <f>入學要求!U349</f>
        <v>E</v>
      </c>
      <c r="G361" s="391" t="str">
        <f>入學要求!V349</f>
        <v>v</v>
      </c>
      <c r="H361" s="391">
        <f t="shared" si="554"/>
        <v>2.0500000000000002E-9</v>
      </c>
      <c r="I361" s="391">
        <v>2</v>
      </c>
      <c r="J361" s="391">
        <v>1</v>
      </c>
      <c r="K361" s="391">
        <v>1</v>
      </c>
      <c r="L361" s="391">
        <v>1</v>
      </c>
      <c r="M361" s="391">
        <v>1</v>
      </c>
      <c r="N361" s="391">
        <v>1</v>
      </c>
      <c r="O361" s="391">
        <v>1</v>
      </c>
      <c r="P361" s="391">
        <v>1</v>
      </c>
      <c r="Q361" s="391">
        <v>1</v>
      </c>
      <c r="R361" s="391">
        <v>1</v>
      </c>
      <c r="T361" s="391">
        <f t="shared" si="555"/>
        <v>2.0000000000000001E-10</v>
      </c>
      <c r="U361" s="391">
        <f t="shared" si="552"/>
        <v>2.0000000000000001E-10</v>
      </c>
      <c r="V361" s="391">
        <f t="shared" si="552"/>
        <v>3E-10</v>
      </c>
      <c r="W361" s="391">
        <f t="shared" si="552"/>
        <v>4.0000000000000001E-10</v>
      </c>
      <c r="X361" s="391">
        <f t="shared" si="552"/>
        <v>0</v>
      </c>
      <c r="Y361" s="391">
        <f t="shared" si="552"/>
        <v>6E-10</v>
      </c>
      <c r="Z361" s="391">
        <f t="shared" si="552"/>
        <v>6.9999999999999996E-10</v>
      </c>
      <c r="AA361" s="391">
        <f t="shared" si="552"/>
        <v>8.0000000000000003E-10</v>
      </c>
      <c r="AB361" s="391">
        <f t="shared" si="552"/>
        <v>8.9999999999999999E-10</v>
      </c>
      <c r="AC361" s="391">
        <f t="shared" si="552"/>
        <v>9.5000000000000003E-10</v>
      </c>
      <c r="AD361" s="391" t="b">
        <v>1</v>
      </c>
      <c r="AE361" s="391" t="b">
        <v>1</v>
      </c>
      <c r="AF361" s="391" t="b">
        <v>1</v>
      </c>
      <c r="AG361" s="391" t="b">
        <v>1</v>
      </c>
      <c r="AH361" s="391" t="b">
        <f t="shared" si="556"/>
        <v>0</v>
      </c>
      <c r="AI361" s="391" t="b">
        <f t="shared" si="557"/>
        <v>0</v>
      </c>
      <c r="AJ361" s="391" t="b">
        <f t="shared" si="558"/>
        <v>0</v>
      </c>
      <c r="AK361" s="391" t="b">
        <f t="shared" si="559"/>
        <v>0</v>
      </c>
      <c r="AL361" s="391" t="b">
        <f t="shared" si="560"/>
        <v>0</v>
      </c>
      <c r="AM361" s="391" t="b">
        <f t="shared" si="561"/>
        <v>1</v>
      </c>
      <c r="AN361" s="391"/>
      <c r="AO361" s="391"/>
      <c r="AP361" s="391"/>
      <c r="AQ361" s="391"/>
      <c r="AR361" s="391"/>
    </row>
    <row r="362" spans="1:44" x14ac:dyDescent="0.3">
      <c r="A362" s="391" t="str">
        <f>'Reference Score Calculation'!A341</f>
        <v>JS9013</v>
      </c>
      <c r="B362" s="398" t="str">
        <f>'Reference Score Calculation'!D341</f>
        <v>語言研究與翻譯榮譽文學士</v>
      </c>
      <c r="C362" s="212"/>
      <c r="D362" s="391" t="str">
        <f>'Reference Score Calculation'!E341</f>
        <v>4C1X</v>
      </c>
      <c r="E362" s="391" t="str">
        <f>入學要求!T350</f>
        <v>v</v>
      </c>
      <c r="F362" s="391" t="str">
        <f>入學要求!U350</f>
        <v>E</v>
      </c>
      <c r="G362" s="391" t="str">
        <f>入學要求!V350</f>
        <v>v</v>
      </c>
      <c r="H362" s="391">
        <f t="shared" si="554"/>
        <v>2.0999999999999998E-9</v>
      </c>
      <c r="I362" s="391">
        <v>1.5</v>
      </c>
      <c r="J362" s="391">
        <v>1.5</v>
      </c>
      <c r="K362" s="391">
        <v>1</v>
      </c>
      <c r="L362" s="391">
        <v>1</v>
      </c>
      <c r="M362" s="391">
        <v>1</v>
      </c>
      <c r="N362" s="391">
        <v>1</v>
      </c>
      <c r="O362" s="391">
        <v>1</v>
      </c>
      <c r="P362" s="391">
        <v>1</v>
      </c>
      <c r="Q362" s="391">
        <v>1</v>
      </c>
      <c r="R362" s="391">
        <v>1</v>
      </c>
      <c r="T362" s="391">
        <f t="shared" si="555"/>
        <v>1.5E-10</v>
      </c>
      <c r="U362" s="391">
        <f t="shared" si="552"/>
        <v>3E-10</v>
      </c>
      <c r="V362" s="391">
        <f t="shared" si="552"/>
        <v>3E-10</v>
      </c>
      <c r="W362" s="391">
        <f t="shared" si="552"/>
        <v>4.0000000000000001E-10</v>
      </c>
      <c r="X362" s="391">
        <f t="shared" si="552"/>
        <v>0</v>
      </c>
      <c r="Y362" s="391">
        <f t="shared" si="552"/>
        <v>6E-10</v>
      </c>
      <c r="Z362" s="391">
        <f t="shared" si="552"/>
        <v>6.9999999999999996E-10</v>
      </c>
      <c r="AA362" s="391">
        <f t="shared" si="552"/>
        <v>8.0000000000000003E-10</v>
      </c>
      <c r="AB362" s="391">
        <f t="shared" si="552"/>
        <v>8.9999999999999999E-10</v>
      </c>
      <c r="AC362" s="391">
        <f t="shared" si="552"/>
        <v>9.5000000000000003E-10</v>
      </c>
      <c r="AD362" s="391" t="b">
        <v>1</v>
      </c>
      <c r="AE362" s="391" t="b">
        <v>1</v>
      </c>
      <c r="AF362" s="391" t="b">
        <v>1</v>
      </c>
      <c r="AG362" s="391" t="b">
        <v>1</v>
      </c>
      <c r="AH362" s="391" t="b">
        <f t="shared" si="556"/>
        <v>0</v>
      </c>
      <c r="AI362" s="391" t="b">
        <f t="shared" si="557"/>
        <v>0</v>
      </c>
      <c r="AJ362" s="391" t="b">
        <f t="shared" si="558"/>
        <v>0</v>
      </c>
      <c r="AK362" s="391" t="b">
        <f t="shared" si="559"/>
        <v>0</v>
      </c>
      <c r="AL362" s="391" t="b">
        <f t="shared" si="560"/>
        <v>0</v>
      </c>
      <c r="AM362" s="391" t="b">
        <f t="shared" si="561"/>
        <v>1</v>
      </c>
      <c r="AN362" s="391"/>
      <c r="AO362" s="391"/>
      <c r="AP362" s="391"/>
      <c r="AQ362" s="391"/>
      <c r="AR362" s="391"/>
    </row>
    <row r="363" spans="1:44" x14ac:dyDescent="0.3">
      <c r="A363" s="391" t="str">
        <f>'Reference Score Calculation'!A342</f>
        <v>JS9016</v>
      </c>
      <c r="B363" s="398" t="str">
        <f>'Reference Score Calculation'!D342</f>
        <v>創意廣告及媒體設計榮譽文學士</v>
      </c>
      <c r="C363" s="212"/>
      <c r="D363" s="391" t="str">
        <f>'Reference Score Calculation'!E342</f>
        <v>4C1X</v>
      </c>
      <c r="E363" s="391" t="str">
        <f>入學要求!T351</f>
        <v>v</v>
      </c>
      <c r="F363" s="391" t="str">
        <f>入學要求!U351</f>
        <v>E</v>
      </c>
      <c r="G363" s="391" t="str">
        <f>入學要求!V351</f>
        <v>v</v>
      </c>
      <c r="H363" s="391">
        <f t="shared" si="554"/>
        <v>2.0999999999999998E-9</v>
      </c>
      <c r="I363" s="391">
        <v>1.5</v>
      </c>
      <c r="J363" s="391">
        <v>1.5</v>
      </c>
      <c r="K363" s="391">
        <v>1</v>
      </c>
      <c r="L363" s="391">
        <v>1</v>
      </c>
      <c r="M363" s="391">
        <v>1</v>
      </c>
      <c r="N363" s="391">
        <v>1</v>
      </c>
      <c r="O363" s="391">
        <v>1</v>
      </c>
      <c r="P363" s="391">
        <v>1</v>
      </c>
      <c r="Q363" s="391">
        <v>1</v>
      </c>
      <c r="R363" s="391">
        <v>1</v>
      </c>
      <c r="T363" s="391">
        <f t="shared" si="555"/>
        <v>1.5E-10</v>
      </c>
      <c r="U363" s="391">
        <f t="shared" si="552"/>
        <v>3E-10</v>
      </c>
      <c r="V363" s="391">
        <f t="shared" si="552"/>
        <v>3E-10</v>
      </c>
      <c r="W363" s="391">
        <f t="shared" si="552"/>
        <v>4.0000000000000001E-10</v>
      </c>
      <c r="X363" s="391">
        <f t="shared" si="552"/>
        <v>0</v>
      </c>
      <c r="Y363" s="391">
        <f t="shared" si="552"/>
        <v>6E-10</v>
      </c>
      <c r="Z363" s="391">
        <f t="shared" si="552"/>
        <v>6.9999999999999996E-10</v>
      </c>
      <c r="AA363" s="391">
        <f t="shared" si="552"/>
        <v>8.0000000000000003E-10</v>
      </c>
      <c r="AB363" s="391">
        <f t="shared" si="552"/>
        <v>8.9999999999999999E-10</v>
      </c>
      <c r="AC363" s="391">
        <f t="shared" si="552"/>
        <v>9.5000000000000003E-10</v>
      </c>
      <c r="AD363" s="391" t="b">
        <v>1</v>
      </c>
      <c r="AE363" s="391" t="b">
        <v>1</v>
      </c>
      <c r="AF363" s="391" t="b">
        <v>1</v>
      </c>
      <c r="AG363" s="391" t="b">
        <v>1</v>
      </c>
      <c r="AH363" s="391" t="b">
        <f t="shared" si="556"/>
        <v>0</v>
      </c>
      <c r="AI363" s="391" t="b">
        <f t="shared" si="557"/>
        <v>0</v>
      </c>
      <c r="AJ363" s="391" t="b">
        <f t="shared" si="558"/>
        <v>0</v>
      </c>
      <c r="AK363" s="391" t="b">
        <f t="shared" si="559"/>
        <v>0</v>
      </c>
      <c r="AL363" s="391" t="b">
        <f t="shared" si="560"/>
        <v>0</v>
      </c>
      <c r="AM363" s="391" t="b">
        <f t="shared" si="561"/>
        <v>1</v>
      </c>
      <c r="AN363" s="391"/>
      <c r="AO363" s="391"/>
      <c r="AP363" s="391"/>
      <c r="AQ363" s="391"/>
      <c r="AR363" s="391"/>
    </row>
    <row r="364" spans="1:44" x14ac:dyDescent="0.3">
      <c r="A364" s="391" t="str">
        <f>'Reference Score Calculation'!A343</f>
        <v>JS9019</v>
      </c>
      <c r="B364" s="398" t="str">
        <f>'Reference Score Calculation'!D343</f>
        <v>英語及文化榮譽文學士</v>
      </c>
      <c r="C364" s="212"/>
      <c r="D364" s="391" t="str">
        <f>'Reference Score Calculation'!E343</f>
        <v>4C1X</v>
      </c>
      <c r="E364" s="391" t="str">
        <f>入學要求!T352</f>
        <v>v</v>
      </c>
      <c r="F364" s="391" t="str">
        <f>入學要求!U352</f>
        <v>E</v>
      </c>
      <c r="G364" s="391" t="str">
        <f>入學要求!V352</f>
        <v>v</v>
      </c>
      <c r="H364" s="391">
        <f t="shared" si="554"/>
        <v>1.9500000000000001E-9</v>
      </c>
      <c r="I364" s="391">
        <v>1</v>
      </c>
      <c r="J364" s="391">
        <v>1</v>
      </c>
      <c r="K364" s="391">
        <v>1</v>
      </c>
      <c r="L364" s="391">
        <v>1</v>
      </c>
      <c r="M364" s="391">
        <v>1</v>
      </c>
      <c r="N364" s="391">
        <v>1</v>
      </c>
      <c r="O364" s="391">
        <v>1</v>
      </c>
      <c r="P364" s="391">
        <v>1</v>
      </c>
      <c r="Q364" s="391">
        <v>1</v>
      </c>
      <c r="R364" s="391">
        <v>1</v>
      </c>
      <c r="T364" s="391">
        <f t="shared" si="555"/>
        <v>1E-10</v>
      </c>
      <c r="U364" s="391">
        <f t="shared" si="552"/>
        <v>2.0000000000000001E-10</v>
      </c>
      <c r="V364" s="391">
        <f t="shared" si="552"/>
        <v>3E-10</v>
      </c>
      <c r="W364" s="391">
        <f t="shared" si="552"/>
        <v>4.0000000000000001E-10</v>
      </c>
      <c r="X364" s="391">
        <f t="shared" si="552"/>
        <v>0</v>
      </c>
      <c r="Y364" s="391">
        <f t="shared" si="552"/>
        <v>6E-10</v>
      </c>
      <c r="Z364" s="391">
        <f t="shared" si="552"/>
        <v>6.9999999999999996E-10</v>
      </c>
      <c r="AA364" s="391">
        <f t="shared" si="552"/>
        <v>8.0000000000000003E-10</v>
      </c>
      <c r="AB364" s="391">
        <f t="shared" si="552"/>
        <v>8.9999999999999999E-10</v>
      </c>
      <c r="AC364" s="391">
        <f t="shared" si="552"/>
        <v>9.5000000000000003E-10</v>
      </c>
      <c r="AD364" s="391" t="b">
        <v>1</v>
      </c>
      <c r="AE364" s="391" t="b">
        <v>1</v>
      </c>
      <c r="AF364" s="391" t="b">
        <v>1</v>
      </c>
      <c r="AG364" s="391" t="b">
        <v>1</v>
      </c>
      <c r="AH364" s="391" t="b">
        <f t="shared" si="556"/>
        <v>0</v>
      </c>
      <c r="AI364" s="391" t="b">
        <f t="shared" si="557"/>
        <v>0</v>
      </c>
      <c r="AJ364" s="391" t="b">
        <f t="shared" si="558"/>
        <v>0</v>
      </c>
      <c r="AK364" s="391" t="b">
        <f t="shared" si="559"/>
        <v>0</v>
      </c>
      <c r="AL364" s="391" t="b">
        <f t="shared" si="560"/>
        <v>0</v>
      </c>
      <c r="AM364" s="391" t="b">
        <f t="shared" si="561"/>
        <v>1</v>
      </c>
      <c r="AN364" s="391"/>
      <c r="AO364" s="391"/>
      <c r="AP364" s="391"/>
      <c r="AQ364" s="391"/>
      <c r="AR364" s="391"/>
    </row>
    <row r="365" spans="1:44" x14ac:dyDescent="0.3">
      <c r="A365" s="391" t="str">
        <f>'Reference Score Calculation'!A344</f>
        <v>JS9220</v>
      </c>
      <c r="B365" s="398" t="str">
        <f>'Reference Score Calculation'!D344</f>
        <v>專業會計榮譽工商管理學士</v>
      </c>
      <c r="C365" s="212"/>
      <c r="D365" s="391" t="str">
        <f>'Reference Score Calculation'!E344</f>
        <v>4C1X</v>
      </c>
      <c r="E365" s="391" t="str">
        <f>入學要求!T353</f>
        <v>v</v>
      </c>
      <c r="F365" s="391" t="str">
        <f>入學要求!U353</f>
        <v>E</v>
      </c>
      <c r="G365" s="391" t="str">
        <f>入學要求!V353</f>
        <v>v</v>
      </c>
      <c r="H365" s="391">
        <f t="shared" si="554"/>
        <v>1.9500000000000001E-9</v>
      </c>
      <c r="I365" s="391">
        <v>1</v>
      </c>
      <c r="J365" s="391">
        <v>1</v>
      </c>
      <c r="K365" s="391">
        <v>1</v>
      </c>
      <c r="L365" s="391">
        <v>1</v>
      </c>
      <c r="M365" s="391">
        <v>1</v>
      </c>
      <c r="N365" s="391">
        <v>1</v>
      </c>
      <c r="O365" s="391">
        <v>1</v>
      </c>
      <c r="P365" s="391">
        <v>1</v>
      </c>
      <c r="Q365" s="391">
        <v>1</v>
      </c>
      <c r="R365" s="391">
        <v>1</v>
      </c>
      <c r="T365" s="391">
        <f t="shared" si="555"/>
        <v>1E-10</v>
      </c>
      <c r="U365" s="391">
        <f t="shared" si="552"/>
        <v>2.0000000000000001E-10</v>
      </c>
      <c r="V365" s="391">
        <f t="shared" si="552"/>
        <v>3E-10</v>
      </c>
      <c r="W365" s="391">
        <f t="shared" si="552"/>
        <v>4.0000000000000001E-10</v>
      </c>
      <c r="X365" s="391">
        <f t="shared" si="552"/>
        <v>0</v>
      </c>
      <c r="Y365" s="391">
        <f t="shared" si="552"/>
        <v>6E-10</v>
      </c>
      <c r="Z365" s="391">
        <f t="shared" si="552"/>
        <v>6.9999999999999996E-10</v>
      </c>
      <c r="AA365" s="391">
        <f t="shared" si="552"/>
        <v>8.0000000000000003E-10</v>
      </c>
      <c r="AB365" s="391">
        <f t="shared" si="552"/>
        <v>8.9999999999999999E-10</v>
      </c>
      <c r="AC365" s="391">
        <f t="shared" si="552"/>
        <v>9.5000000000000003E-10</v>
      </c>
      <c r="AD365" s="391" t="b">
        <v>1</v>
      </c>
      <c r="AE365" s="391" t="b">
        <v>1</v>
      </c>
      <c r="AF365" s="391" t="b">
        <v>1</v>
      </c>
      <c r="AG365" s="391" t="b">
        <v>1</v>
      </c>
      <c r="AH365" s="391" t="b">
        <f t="shared" si="556"/>
        <v>0</v>
      </c>
      <c r="AI365" s="391" t="b">
        <f t="shared" si="557"/>
        <v>0</v>
      </c>
      <c r="AJ365" s="391" t="b">
        <f t="shared" si="558"/>
        <v>0</v>
      </c>
      <c r="AK365" s="391" t="b">
        <f t="shared" si="559"/>
        <v>0</v>
      </c>
      <c r="AL365" s="391" t="b">
        <f t="shared" si="560"/>
        <v>0</v>
      </c>
      <c r="AM365" s="391" t="b">
        <f t="shared" si="561"/>
        <v>1</v>
      </c>
      <c r="AN365" s="391"/>
      <c r="AO365" s="391"/>
      <c r="AP365" s="391"/>
      <c r="AQ365" s="391"/>
      <c r="AR365" s="391"/>
    </row>
    <row r="366" spans="1:44" x14ac:dyDescent="0.3">
      <c r="A366" s="391" t="str">
        <f>'Reference Score Calculation'!A345</f>
        <v>JS9222</v>
      </c>
      <c r="B366" s="398" t="str">
        <f>'Reference Score Calculation'!D345</f>
        <v>會計及稅務學榮譽工商管理學士</v>
      </c>
      <c r="C366" s="212"/>
      <c r="D366" s="391" t="str">
        <f>'Reference Score Calculation'!E345</f>
        <v>4C1X</v>
      </c>
      <c r="E366" s="391" t="str">
        <f>入學要求!T354</f>
        <v>v</v>
      </c>
      <c r="F366" s="391" t="str">
        <f>入學要求!U354</f>
        <v>E</v>
      </c>
      <c r="G366" s="391" t="str">
        <f>入學要求!V354</f>
        <v>v</v>
      </c>
      <c r="H366" s="391">
        <f t="shared" si="554"/>
        <v>1.9500000000000001E-9</v>
      </c>
      <c r="I366" s="391">
        <v>1</v>
      </c>
      <c r="J366" s="391">
        <v>1</v>
      </c>
      <c r="K366" s="391">
        <v>1</v>
      </c>
      <c r="L366" s="391">
        <v>1</v>
      </c>
      <c r="M366" s="391">
        <v>1</v>
      </c>
      <c r="N366" s="391">
        <v>1</v>
      </c>
      <c r="O366" s="391">
        <v>1</v>
      </c>
      <c r="P366" s="391">
        <v>1</v>
      </c>
      <c r="Q366" s="391">
        <v>1</v>
      </c>
      <c r="R366" s="391">
        <v>1</v>
      </c>
      <c r="T366" s="391">
        <f t="shared" si="555"/>
        <v>1E-10</v>
      </c>
      <c r="U366" s="391">
        <f t="shared" si="552"/>
        <v>2.0000000000000001E-10</v>
      </c>
      <c r="V366" s="391">
        <f t="shared" si="552"/>
        <v>3E-10</v>
      </c>
      <c r="W366" s="391">
        <f t="shared" si="552"/>
        <v>4.0000000000000001E-10</v>
      </c>
      <c r="X366" s="391">
        <f t="shared" si="552"/>
        <v>0</v>
      </c>
      <c r="Y366" s="391">
        <f t="shared" si="552"/>
        <v>6E-10</v>
      </c>
      <c r="Z366" s="391">
        <f t="shared" si="552"/>
        <v>6.9999999999999996E-10</v>
      </c>
      <c r="AA366" s="391">
        <f t="shared" si="552"/>
        <v>8.0000000000000003E-10</v>
      </c>
      <c r="AB366" s="391">
        <f t="shared" si="552"/>
        <v>8.9999999999999999E-10</v>
      </c>
      <c r="AC366" s="391">
        <f t="shared" si="552"/>
        <v>9.5000000000000003E-10</v>
      </c>
      <c r="AD366" s="391" t="b">
        <v>1</v>
      </c>
      <c r="AE366" s="391" t="b">
        <v>1</v>
      </c>
      <c r="AF366" s="391" t="b">
        <v>1</v>
      </c>
      <c r="AG366" s="391" t="b">
        <v>1</v>
      </c>
      <c r="AH366" s="391" t="b">
        <f t="shared" si="556"/>
        <v>0</v>
      </c>
      <c r="AI366" s="391" t="b">
        <f t="shared" si="557"/>
        <v>0</v>
      </c>
      <c r="AJ366" s="391" t="b">
        <f t="shared" si="558"/>
        <v>0</v>
      </c>
      <c r="AK366" s="391" t="b">
        <f t="shared" si="559"/>
        <v>0</v>
      </c>
      <c r="AL366" s="391" t="b">
        <f t="shared" si="560"/>
        <v>0</v>
      </c>
      <c r="AM366" s="391" t="b">
        <f t="shared" si="561"/>
        <v>1</v>
      </c>
      <c r="AN366" s="391"/>
      <c r="AO366" s="391"/>
      <c r="AP366" s="391"/>
      <c r="AQ366" s="391"/>
      <c r="AR366" s="391"/>
    </row>
    <row r="367" spans="1:44" x14ac:dyDescent="0.3">
      <c r="A367" s="391" t="str">
        <f>'Reference Score Calculation'!A346</f>
        <v>JS9230</v>
      </c>
      <c r="B367" s="398" t="str">
        <f>'Reference Score Calculation'!D346</f>
        <v>商業管理學榮譽工商管理學士</v>
      </c>
      <c r="C367" s="212"/>
      <c r="D367" s="391" t="str">
        <f>'Reference Score Calculation'!E346</f>
        <v>4C1X</v>
      </c>
      <c r="E367" s="391" t="str">
        <f>入學要求!T355</f>
        <v>v</v>
      </c>
      <c r="F367" s="391" t="str">
        <f>入學要求!U355</f>
        <v>E</v>
      </c>
      <c r="G367" s="391" t="str">
        <f>入學要求!V355</f>
        <v>v</v>
      </c>
      <c r="H367" s="391">
        <f t="shared" si="554"/>
        <v>1.9500000000000001E-9</v>
      </c>
      <c r="I367" s="391">
        <v>1</v>
      </c>
      <c r="J367" s="391">
        <v>1</v>
      </c>
      <c r="K367" s="391">
        <v>1</v>
      </c>
      <c r="L367" s="391">
        <v>1</v>
      </c>
      <c r="M367" s="391">
        <v>1</v>
      </c>
      <c r="N367" s="391">
        <v>1</v>
      </c>
      <c r="O367" s="391">
        <v>1</v>
      </c>
      <c r="P367" s="391">
        <v>1</v>
      </c>
      <c r="Q367" s="391">
        <v>1</v>
      </c>
      <c r="R367" s="391">
        <v>1</v>
      </c>
      <c r="T367" s="391">
        <f t="shared" si="555"/>
        <v>1E-10</v>
      </c>
      <c r="U367" s="391">
        <f t="shared" si="552"/>
        <v>2.0000000000000001E-10</v>
      </c>
      <c r="V367" s="391">
        <f t="shared" si="552"/>
        <v>3E-10</v>
      </c>
      <c r="W367" s="391">
        <f t="shared" si="552"/>
        <v>4.0000000000000001E-10</v>
      </c>
      <c r="X367" s="391">
        <f t="shared" si="552"/>
        <v>0</v>
      </c>
      <c r="Y367" s="391">
        <f t="shared" si="552"/>
        <v>6E-10</v>
      </c>
      <c r="Z367" s="391">
        <f t="shared" si="552"/>
        <v>6.9999999999999996E-10</v>
      </c>
      <c r="AA367" s="391">
        <f t="shared" si="552"/>
        <v>8.0000000000000003E-10</v>
      </c>
      <c r="AB367" s="391">
        <f t="shared" si="552"/>
        <v>8.9999999999999999E-10</v>
      </c>
      <c r="AC367" s="391">
        <f t="shared" si="552"/>
        <v>9.5000000000000003E-10</v>
      </c>
      <c r="AD367" s="391" t="b">
        <v>1</v>
      </c>
      <c r="AE367" s="391" t="b">
        <v>1</v>
      </c>
      <c r="AF367" s="391" t="b">
        <v>1</v>
      </c>
      <c r="AG367" s="391" t="b">
        <v>1</v>
      </c>
      <c r="AH367" s="391" t="b">
        <f t="shared" si="556"/>
        <v>0</v>
      </c>
      <c r="AI367" s="391" t="b">
        <f t="shared" si="557"/>
        <v>0</v>
      </c>
      <c r="AJ367" s="391" t="b">
        <f t="shared" si="558"/>
        <v>0</v>
      </c>
      <c r="AK367" s="391" t="b">
        <f t="shared" si="559"/>
        <v>0</v>
      </c>
      <c r="AL367" s="391" t="b">
        <f t="shared" si="560"/>
        <v>0</v>
      </c>
      <c r="AM367" s="391" t="b">
        <f t="shared" si="561"/>
        <v>1</v>
      </c>
      <c r="AN367" s="391"/>
      <c r="AO367" s="391"/>
      <c r="AP367" s="391"/>
      <c r="AQ367" s="391"/>
      <c r="AR367" s="391"/>
    </row>
    <row r="368" spans="1:44" x14ac:dyDescent="0.3">
      <c r="A368" s="391" t="str">
        <f>'Reference Score Calculation'!A347</f>
        <v>JS9240</v>
      </c>
      <c r="B368" s="398" t="str">
        <f>'Reference Score Calculation'!D347</f>
        <v>環球商業及市場學榮譽工商管理學士</v>
      </c>
      <c r="C368" s="212"/>
      <c r="D368" s="391" t="str">
        <f>'Reference Score Calculation'!E347</f>
        <v>4C1X</v>
      </c>
      <c r="E368" s="391" t="str">
        <f>入學要求!T356</f>
        <v>v</v>
      </c>
      <c r="F368" s="391" t="str">
        <f>入學要求!U356</f>
        <v>E</v>
      </c>
      <c r="G368" s="391" t="str">
        <f>入學要求!V356</f>
        <v>v</v>
      </c>
      <c r="H368" s="391">
        <f t="shared" si="554"/>
        <v>1.9500000000000001E-9</v>
      </c>
      <c r="I368" s="391">
        <v>1</v>
      </c>
      <c r="J368" s="391">
        <v>1</v>
      </c>
      <c r="K368" s="391">
        <v>1</v>
      </c>
      <c r="L368" s="391">
        <v>1</v>
      </c>
      <c r="M368" s="391">
        <v>1</v>
      </c>
      <c r="N368" s="391">
        <v>1</v>
      </c>
      <c r="O368" s="391">
        <v>1</v>
      </c>
      <c r="P368" s="391">
        <v>1</v>
      </c>
      <c r="Q368" s="391">
        <v>1</v>
      </c>
      <c r="R368" s="391">
        <v>1</v>
      </c>
      <c r="T368" s="391">
        <f t="shared" si="555"/>
        <v>1E-10</v>
      </c>
      <c r="U368" s="391">
        <f t="shared" si="552"/>
        <v>2.0000000000000001E-10</v>
      </c>
      <c r="V368" s="391">
        <f t="shared" si="552"/>
        <v>3E-10</v>
      </c>
      <c r="W368" s="391">
        <f t="shared" si="552"/>
        <v>4.0000000000000001E-10</v>
      </c>
      <c r="X368" s="391">
        <f t="shared" si="552"/>
        <v>0</v>
      </c>
      <c r="Y368" s="391">
        <f t="shared" si="552"/>
        <v>6E-10</v>
      </c>
      <c r="Z368" s="391">
        <f t="shared" si="552"/>
        <v>6.9999999999999996E-10</v>
      </c>
      <c r="AA368" s="391">
        <f t="shared" si="552"/>
        <v>8.0000000000000003E-10</v>
      </c>
      <c r="AB368" s="391">
        <f t="shared" si="552"/>
        <v>8.9999999999999999E-10</v>
      </c>
      <c r="AC368" s="391">
        <f t="shared" si="552"/>
        <v>9.5000000000000003E-10</v>
      </c>
      <c r="AD368" s="391" t="b">
        <v>1</v>
      </c>
      <c r="AE368" s="391" t="b">
        <v>1</v>
      </c>
      <c r="AF368" s="391" t="b">
        <v>1</v>
      </c>
      <c r="AG368" s="391" t="b">
        <v>1</v>
      </c>
      <c r="AH368" s="391" t="b">
        <f t="shared" si="556"/>
        <v>0</v>
      </c>
      <c r="AI368" s="391" t="b">
        <f t="shared" si="557"/>
        <v>0</v>
      </c>
      <c r="AJ368" s="391" t="b">
        <f t="shared" si="558"/>
        <v>0</v>
      </c>
      <c r="AK368" s="391" t="b">
        <f t="shared" si="559"/>
        <v>0</v>
      </c>
      <c r="AL368" s="391" t="b">
        <f t="shared" si="560"/>
        <v>0</v>
      </c>
      <c r="AM368" s="391" t="b">
        <f t="shared" si="561"/>
        <v>1</v>
      </c>
      <c r="AN368" s="391"/>
      <c r="AO368" s="391"/>
      <c r="AP368" s="391"/>
      <c r="AQ368" s="391"/>
      <c r="AR368" s="391"/>
    </row>
    <row r="369" spans="1:44" x14ac:dyDescent="0.3">
      <c r="A369" s="391" t="str">
        <f>'Reference Score Calculation'!A348</f>
        <v>JS9250</v>
      </c>
      <c r="B369" s="398" t="str">
        <f>'Reference Score Calculation'!D348</f>
        <v>企業管治榮譽工商管理學士</v>
      </c>
      <c r="C369" s="212"/>
      <c r="D369" s="391" t="str">
        <f>'Reference Score Calculation'!E348</f>
        <v>4C1X</v>
      </c>
      <c r="E369" s="391" t="str">
        <f>入學要求!T357</f>
        <v>v</v>
      </c>
      <c r="F369" s="391" t="str">
        <f>入學要求!U357</f>
        <v>E</v>
      </c>
      <c r="G369" s="391" t="str">
        <f>入學要求!V357</f>
        <v>v</v>
      </c>
      <c r="H369" s="391">
        <f t="shared" si="554"/>
        <v>1.9500000000000001E-9</v>
      </c>
      <c r="I369" s="391">
        <v>1</v>
      </c>
      <c r="J369" s="391">
        <v>1</v>
      </c>
      <c r="K369" s="391">
        <v>1</v>
      </c>
      <c r="L369" s="391">
        <v>1</v>
      </c>
      <c r="M369" s="391">
        <v>1</v>
      </c>
      <c r="N369" s="391">
        <v>1</v>
      </c>
      <c r="O369" s="391">
        <v>1</v>
      </c>
      <c r="P369" s="391">
        <v>1</v>
      </c>
      <c r="Q369" s="391">
        <v>1</v>
      </c>
      <c r="R369" s="391">
        <v>1</v>
      </c>
      <c r="T369" s="391">
        <f t="shared" si="555"/>
        <v>1E-10</v>
      </c>
      <c r="U369" s="391">
        <f t="shared" si="552"/>
        <v>2.0000000000000001E-10</v>
      </c>
      <c r="V369" s="391">
        <f t="shared" si="552"/>
        <v>3E-10</v>
      </c>
      <c r="W369" s="391">
        <f t="shared" si="552"/>
        <v>4.0000000000000001E-10</v>
      </c>
      <c r="X369" s="391">
        <f t="shared" si="552"/>
        <v>0</v>
      </c>
      <c r="Y369" s="391">
        <f t="shared" si="552"/>
        <v>6E-10</v>
      </c>
      <c r="Z369" s="391">
        <f t="shared" si="552"/>
        <v>6.9999999999999996E-10</v>
      </c>
      <c r="AA369" s="391">
        <f t="shared" si="552"/>
        <v>8.0000000000000003E-10</v>
      </c>
      <c r="AB369" s="391">
        <f t="shared" si="552"/>
        <v>8.9999999999999999E-10</v>
      </c>
      <c r="AC369" s="391">
        <f t="shared" si="552"/>
        <v>9.5000000000000003E-10</v>
      </c>
      <c r="AD369" s="391" t="b">
        <v>1</v>
      </c>
      <c r="AE369" s="391" t="b">
        <v>1</v>
      </c>
      <c r="AF369" s="391" t="b">
        <v>1</v>
      </c>
      <c r="AG369" s="391" t="b">
        <v>1</v>
      </c>
      <c r="AH369" s="391" t="b">
        <f t="shared" si="556"/>
        <v>0</v>
      </c>
      <c r="AI369" s="391" t="b">
        <f t="shared" si="557"/>
        <v>0</v>
      </c>
      <c r="AJ369" s="391" t="b">
        <f t="shared" si="558"/>
        <v>0</v>
      </c>
      <c r="AK369" s="391" t="b">
        <f t="shared" si="559"/>
        <v>0</v>
      </c>
      <c r="AL369" s="391" t="b">
        <f t="shared" si="560"/>
        <v>0</v>
      </c>
      <c r="AM369" s="391" t="b">
        <f t="shared" si="561"/>
        <v>1</v>
      </c>
      <c r="AN369" s="391"/>
      <c r="AO369" s="391"/>
      <c r="AP369" s="391"/>
      <c r="AQ369" s="391"/>
      <c r="AR369" s="391"/>
    </row>
    <row r="370" spans="1:44" x14ac:dyDescent="0.3">
      <c r="A370" s="391" t="str">
        <f>'Reference Score Calculation'!A349</f>
        <v>JS9261</v>
      </c>
      <c r="B370" s="398" t="str">
        <f>'Reference Score Calculation'!D349</f>
        <v>數碼商業榮譽工商管理學士</v>
      </c>
      <c r="C370" s="212"/>
      <c r="D370" s="391" t="str">
        <f>'Reference Score Calculation'!E349</f>
        <v>4C1X</v>
      </c>
      <c r="E370" s="391" t="str">
        <f>入學要求!T358</f>
        <v>v</v>
      </c>
      <c r="F370" s="391" t="str">
        <f>入學要求!U358</f>
        <v>E</v>
      </c>
      <c r="G370" s="391" t="str">
        <f>入學要求!V358</f>
        <v>v</v>
      </c>
      <c r="H370" s="391">
        <f t="shared" si="554"/>
        <v>1.9500000000000001E-9</v>
      </c>
      <c r="I370" s="391">
        <v>1</v>
      </c>
      <c r="J370" s="391">
        <v>1</v>
      </c>
      <c r="K370" s="391">
        <v>1</v>
      </c>
      <c r="L370" s="391">
        <v>1</v>
      </c>
      <c r="M370" s="391">
        <v>1</v>
      </c>
      <c r="N370" s="391">
        <v>1</v>
      </c>
      <c r="O370" s="391">
        <v>1</v>
      </c>
      <c r="P370" s="391">
        <v>1</v>
      </c>
      <c r="Q370" s="391">
        <v>1</v>
      </c>
      <c r="R370" s="391">
        <v>1</v>
      </c>
      <c r="T370" s="391">
        <f t="shared" si="555"/>
        <v>1E-10</v>
      </c>
      <c r="U370" s="391">
        <f t="shared" ref="U370:U389" si="562">J$11*J370</f>
        <v>2.0000000000000001E-10</v>
      </c>
      <c r="V370" s="391">
        <f t="shared" ref="V370:V389" si="563">K$11*K370</f>
        <v>3E-10</v>
      </c>
      <c r="W370" s="391">
        <f t="shared" ref="W370:W389" si="564">L$11*L370</f>
        <v>4.0000000000000001E-10</v>
      </c>
      <c r="X370" s="391">
        <f t="shared" ref="X370:X389" si="565">M$11*M370</f>
        <v>0</v>
      </c>
      <c r="Y370" s="391">
        <f t="shared" ref="Y370:Y389" si="566">N$11*N370</f>
        <v>6E-10</v>
      </c>
      <c r="Z370" s="391">
        <f t="shared" ref="Z370:Z389" si="567">O$11*O370</f>
        <v>6.9999999999999996E-10</v>
      </c>
      <c r="AA370" s="391">
        <f t="shared" ref="AA370:AA389" si="568">P$11*P370</f>
        <v>8.0000000000000003E-10</v>
      </c>
      <c r="AB370" s="391">
        <f t="shared" ref="AB370:AB389" si="569">Q$11*Q370</f>
        <v>8.9999999999999999E-10</v>
      </c>
      <c r="AC370" s="391">
        <f t="shared" ref="AC370:AC389" si="570">R$11*R370</f>
        <v>9.5000000000000003E-10</v>
      </c>
      <c r="AD370" s="391" t="b">
        <v>1</v>
      </c>
      <c r="AE370" s="391" t="b">
        <v>1</v>
      </c>
      <c r="AF370" s="391" t="b">
        <v>1</v>
      </c>
      <c r="AG370" s="391" t="b">
        <v>1</v>
      </c>
      <c r="AH370" s="391" t="b">
        <f t="shared" si="556"/>
        <v>0</v>
      </c>
      <c r="AI370" s="391" t="b">
        <f t="shared" si="557"/>
        <v>0</v>
      </c>
      <c r="AJ370" s="391" t="b">
        <f t="shared" si="558"/>
        <v>0</v>
      </c>
      <c r="AK370" s="391" t="b">
        <f t="shared" si="559"/>
        <v>0</v>
      </c>
      <c r="AL370" s="391" t="b">
        <f t="shared" si="560"/>
        <v>0</v>
      </c>
      <c r="AM370" s="391" t="b">
        <f t="shared" si="561"/>
        <v>1</v>
      </c>
      <c r="AN370" s="391"/>
      <c r="AO370" s="391"/>
      <c r="AP370" s="391"/>
      <c r="AQ370" s="391"/>
      <c r="AR370" s="391"/>
    </row>
    <row r="371" spans="1:44" x14ac:dyDescent="0.3">
      <c r="A371" s="391" t="str">
        <f>'Reference Score Calculation'!A350</f>
        <v>JS9272</v>
      </c>
      <c r="B371" s="398" t="str">
        <f>'Reference Score Calculation'!D350</f>
        <v>財務及風險管理榮譽工商管理學士</v>
      </c>
      <c r="C371" s="212"/>
      <c r="D371" s="391" t="str">
        <f>'Reference Score Calculation'!E350</f>
        <v>4C1X</v>
      </c>
      <c r="E371" s="391" t="str">
        <f>入學要求!T359</f>
        <v>v</v>
      </c>
      <c r="F371" s="391" t="str">
        <f>入學要求!U359</f>
        <v>E</v>
      </c>
      <c r="G371" s="391" t="str">
        <f>入學要求!V359</f>
        <v>v</v>
      </c>
      <c r="H371" s="391">
        <f t="shared" si="554"/>
        <v>1.9500000000000001E-9</v>
      </c>
      <c r="I371" s="391">
        <v>1</v>
      </c>
      <c r="J371" s="391">
        <v>1</v>
      </c>
      <c r="K371" s="391">
        <v>1</v>
      </c>
      <c r="L371" s="391">
        <v>1</v>
      </c>
      <c r="M371" s="391">
        <v>1</v>
      </c>
      <c r="N371" s="391">
        <v>1</v>
      </c>
      <c r="O371" s="391">
        <v>1</v>
      </c>
      <c r="P371" s="391">
        <v>1</v>
      </c>
      <c r="Q371" s="391">
        <v>1</v>
      </c>
      <c r="R371" s="391">
        <v>1</v>
      </c>
      <c r="T371" s="391">
        <f t="shared" si="555"/>
        <v>1E-10</v>
      </c>
      <c r="U371" s="391">
        <f t="shared" si="562"/>
        <v>2.0000000000000001E-10</v>
      </c>
      <c r="V371" s="391">
        <f t="shared" si="563"/>
        <v>3E-10</v>
      </c>
      <c r="W371" s="391">
        <f t="shared" si="564"/>
        <v>4.0000000000000001E-10</v>
      </c>
      <c r="X371" s="391">
        <f t="shared" si="565"/>
        <v>0</v>
      </c>
      <c r="Y371" s="391">
        <f t="shared" si="566"/>
        <v>6E-10</v>
      </c>
      <c r="Z371" s="391">
        <f t="shared" si="567"/>
        <v>6.9999999999999996E-10</v>
      </c>
      <c r="AA371" s="391">
        <f t="shared" si="568"/>
        <v>8.0000000000000003E-10</v>
      </c>
      <c r="AB371" s="391">
        <f t="shared" si="569"/>
        <v>8.9999999999999999E-10</v>
      </c>
      <c r="AC371" s="391">
        <f t="shared" si="570"/>
        <v>9.5000000000000003E-10</v>
      </c>
      <c r="AD371" s="391" t="b">
        <v>1</v>
      </c>
      <c r="AE371" s="391" t="b">
        <v>1</v>
      </c>
      <c r="AF371" s="391" t="b">
        <v>1</v>
      </c>
      <c r="AG371" s="391" t="b">
        <v>1</v>
      </c>
      <c r="AH371" s="391" t="b">
        <f t="shared" si="556"/>
        <v>0</v>
      </c>
      <c r="AI371" s="391" t="b">
        <f t="shared" si="557"/>
        <v>0</v>
      </c>
      <c r="AJ371" s="391" t="b">
        <f t="shared" si="558"/>
        <v>0</v>
      </c>
      <c r="AK371" s="391" t="b">
        <f t="shared" si="559"/>
        <v>0</v>
      </c>
      <c r="AL371" s="391" t="b">
        <f t="shared" si="560"/>
        <v>0</v>
      </c>
      <c r="AM371" s="391" t="b">
        <f t="shared" si="561"/>
        <v>1</v>
      </c>
      <c r="AN371" s="391"/>
      <c r="AO371" s="391"/>
      <c r="AP371" s="391"/>
      <c r="AQ371" s="391"/>
      <c r="AR371" s="391"/>
    </row>
    <row r="372" spans="1:44" x14ac:dyDescent="0.3">
      <c r="A372" s="391" t="str">
        <f>'Reference Score Calculation'!A351</f>
        <v>JS9276</v>
      </c>
      <c r="B372" s="398" t="str">
        <f>'Reference Score Calculation'!D351</f>
        <v>房地產及設施管理榮譽工商管理學士</v>
      </c>
      <c r="C372" s="212"/>
      <c r="D372" s="391" t="str">
        <f>'Reference Score Calculation'!E351</f>
        <v>4C1X</v>
      </c>
      <c r="E372" s="391" t="str">
        <f>入學要求!T360</f>
        <v>v</v>
      </c>
      <c r="F372" s="391" t="str">
        <f>入學要求!U360</f>
        <v>E</v>
      </c>
      <c r="G372" s="391" t="str">
        <f>入學要求!V360</f>
        <v>v</v>
      </c>
      <c r="H372" s="391">
        <f t="shared" si="554"/>
        <v>1.9500000000000001E-9</v>
      </c>
      <c r="I372" s="391">
        <v>1</v>
      </c>
      <c r="J372" s="391">
        <v>1</v>
      </c>
      <c r="K372" s="391">
        <v>1</v>
      </c>
      <c r="L372" s="391">
        <v>1</v>
      </c>
      <c r="M372" s="391">
        <v>1</v>
      </c>
      <c r="N372" s="391">
        <v>1</v>
      </c>
      <c r="O372" s="391">
        <v>1</v>
      </c>
      <c r="P372" s="391">
        <v>1</v>
      </c>
      <c r="Q372" s="391">
        <v>1</v>
      </c>
      <c r="R372" s="391">
        <v>1</v>
      </c>
      <c r="T372" s="391">
        <f t="shared" si="555"/>
        <v>1E-10</v>
      </c>
      <c r="U372" s="391">
        <f t="shared" si="562"/>
        <v>2.0000000000000001E-10</v>
      </c>
      <c r="V372" s="391">
        <f t="shared" si="563"/>
        <v>3E-10</v>
      </c>
      <c r="W372" s="391">
        <f t="shared" si="564"/>
        <v>4.0000000000000001E-10</v>
      </c>
      <c r="X372" s="391">
        <f t="shared" si="565"/>
        <v>0</v>
      </c>
      <c r="Y372" s="391">
        <f t="shared" si="566"/>
        <v>6E-10</v>
      </c>
      <c r="Z372" s="391">
        <f t="shared" si="567"/>
        <v>6.9999999999999996E-10</v>
      </c>
      <c r="AA372" s="391">
        <f t="shared" si="568"/>
        <v>8.0000000000000003E-10</v>
      </c>
      <c r="AB372" s="391">
        <f t="shared" si="569"/>
        <v>8.9999999999999999E-10</v>
      </c>
      <c r="AC372" s="391">
        <f t="shared" si="570"/>
        <v>9.5000000000000003E-10</v>
      </c>
      <c r="AD372" s="391" t="b">
        <v>1</v>
      </c>
      <c r="AE372" s="391" t="b">
        <v>1</v>
      </c>
      <c r="AF372" s="391" t="b">
        <v>1</v>
      </c>
      <c r="AG372" s="391" t="b">
        <v>1</v>
      </c>
      <c r="AH372" s="391" t="b">
        <f t="shared" si="556"/>
        <v>0</v>
      </c>
      <c r="AI372" s="391" t="b">
        <f t="shared" si="557"/>
        <v>0</v>
      </c>
      <c r="AJ372" s="391" t="b">
        <f t="shared" si="558"/>
        <v>0</v>
      </c>
      <c r="AK372" s="391" t="b">
        <f t="shared" si="559"/>
        <v>0</v>
      </c>
      <c r="AL372" s="391" t="b">
        <f t="shared" si="560"/>
        <v>0</v>
      </c>
      <c r="AM372" s="391" t="b">
        <f t="shared" si="561"/>
        <v>1</v>
      </c>
      <c r="AN372" s="391"/>
      <c r="AO372" s="391"/>
      <c r="AP372" s="391"/>
      <c r="AQ372" s="391"/>
      <c r="AR372" s="391"/>
    </row>
    <row r="373" spans="1:44" x14ac:dyDescent="0.3">
      <c r="A373" s="391" t="str">
        <f>'Reference Score Calculation'!A352</f>
        <v>JS9280</v>
      </c>
      <c r="B373" s="398" t="str">
        <f>'Reference Score Calculation'!D352</f>
        <v>應用心理學榮譽學士，商業管理榮譽學士</v>
      </c>
      <c r="C373" s="212"/>
      <c r="D373" s="391" t="str">
        <f>'Reference Score Calculation'!E352</f>
        <v>4C1X</v>
      </c>
      <c r="E373" s="391" t="str">
        <f>入學要求!T361</f>
        <v>v</v>
      </c>
      <c r="F373" s="391" t="str">
        <f>入學要求!U361</f>
        <v>E</v>
      </c>
      <c r="G373" s="391" t="str">
        <f>入學要求!V361</f>
        <v>v</v>
      </c>
      <c r="H373" s="391">
        <f t="shared" si="554"/>
        <v>1.9500000000000001E-9</v>
      </c>
      <c r="I373" s="391">
        <v>1</v>
      </c>
      <c r="J373" s="391">
        <v>1</v>
      </c>
      <c r="K373" s="391">
        <v>1</v>
      </c>
      <c r="L373" s="391">
        <v>1</v>
      </c>
      <c r="M373" s="391">
        <v>1</v>
      </c>
      <c r="N373" s="391">
        <v>1</v>
      </c>
      <c r="O373" s="391">
        <v>1</v>
      </c>
      <c r="P373" s="391">
        <v>1</v>
      </c>
      <c r="Q373" s="391">
        <v>1</v>
      </c>
      <c r="R373" s="391">
        <v>1</v>
      </c>
      <c r="T373" s="391">
        <f t="shared" si="555"/>
        <v>1E-10</v>
      </c>
      <c r="U373" s="391">
        <f t="shared" si="562"/>
        <v>2.0000000000000001E-10</v>
      </c>
      <c r="V373" s="391">
        <f t="shared" si="563"/>
        <v>3E-10</v>
      </c>
      <c r="W373" s="391">
        <f t="shared" si="564"/>
        <v>4.0000000000000001E-10</v>
      </c>
      <c r="X373" s="391">
        <f t="shared" si="565"/>
        <v>0</v>
      </c>
      <c r="Y373" s="391">
        <f t="shared" si="566"/>
        <v>6E-10</v>
      </c>
      <c r="Z373" s="391">
        <f t="shared" si="567"/>
        <v>6.9999999999999996E-10</v>
      </c>
      <c r="AA373" s="391">
        <f t="shared" si="568"/>
        <v>8.0000000000000003E-10</v>
      </c>
      <c r="AB373" s="391">
        <f t="shared" si="569"/>
        <v>8.9999999999999999E-10</v>
      </c>
      <c r="AC373" s="391">
        <f t="shared" si="570"/>
        <v>9.5000000000000003E-10</v>
      </c>
      <c r="AD373" s="391" t="b">
        <v>1</v>
      </c>
      <c r="AE373" s="391" t="b">
        <v>1</v>
      </c>
      <c r="AF373" s="391" t="b">
        <v>1</v>
      </c>
      <c r="AG373" s="391" t="b">
        <v>1</v>
      </c>
      <c r="AH373" s="391" t="b">
        <f t="shared" si="556"/>
        <v>0</v>
      </c>
      <c r="AI373" s="391" t="b">
        <f t="shared" si="557"/>
        <v>0</v>
      </c>
      <c r="AJ373" s="391" t="b">
        <f t="shared" si="558"/>
        <v>0</v>
      </c>
      <c r="AK373" s="391" t="b">
        <f t="shared" si="559"/>
        <v>0</v>
      </c>
      <c r="AL373" s="391" t="b">
        <f t="shared" si="560"/>
        <v>0</v>
      </c>
      <c r="AM373" s="391" t="b">
        <f t="shared" si="561"/>
        <v>1</v>
      </c>
      <c r="AN373" s="391"/>
      <c r="AO373" s="391"/>
      <c r="AP373" s="391"/>
      <c r="AQ373" s="391"/>
      <c r="AR373" s="391"/>
    </row>
    <row r="374" spans="1:44" x14ac:dyDescent="0.3">
      <c r="A374" s="391" t="str">
        <f>'Reference Score Calculation'!A353</f>
        <v>JS9291</v>
      </c>
      <c r="B374" s="398" t="str">
        <f>'Reference Score Calculation'!D353</f>
        <v>酒店及可持續旅遊管理榮譽工商管理學士</v>
      </c>
      <c r="C374" s="212"/>
      <c r="D374" s="391" t="str">
        <f>'Reference Score Calculation'!E353</f>
        <v>4C1X</v>
      </c>
      <c r="E374" s="391" t="str">
        <f>入學要求!T362</f>
        <v>v</v>
      </c>
      <c r="F374" s="391" t="str">
        <f>入學要求!U362</f>
        <v>E</v>
      </c>
      <c r="G374" s="391" t="str">
        <f>入學要求!V362</f>
        <v>v</v>
      </c>
      <c r="H374" s="391">
        <f t="shared" si="554"/>
        <v>1.9500000000000001E-9</v>
      </c>
      <c r="I374" s="391">
        <v>1</v>
      </c>
      <c r="J374" s="391">
        <v>1</v>
      </c>
      <c r="K374" s="391">
        <v>1</v>
      </c>
      <c r="L374" s="391">
        <v>1</v>
      </c>
      <c r="M374" s="391">
        <v>1</v>
      </c>
      <c r="N374" s="391">
        <v>1</v>
      </c>
      <c r="O374" s="391">
        <v>1</v>
      </c>
      <c r="P374" s="391">
        <v>1</v>
      </c>
      <c r="Q374" s="391">
        <v>1</v>
      </c>
      <c r="R374" s="391">
        <v>1</v>
      </c>
      <c r="T374" s="391">
        <f t="shared" si="555"/>
        <v>1E-10</v>
      </c>
      <c r="U374" s="391">
        <f t="shared" si="562"/>
        <v>2.0000000000000001E-10</v>
      </c>
      <c r="V374" s="391">
        <f t="shared" si="563"/>
        <v>3E-10</v>
      </c>
      <c r="W374" s="391">
        <f t="shared" si="564"/>
        <v>4.0000000000000001E-10</v>
      </c>
      <c r="X374" s="391">
        <f t="shared" si="565"/>
        <v>0</v>
      </c>
      <c r="Y374" s="391">
        <f t="shared" si="566"/>
        <v>6E-10</v>
      </c>
      <c r="Z374" s="391">
        <f t="shared" si="567"/>
        <v>6.9999999999999996E-10</v>
      </c>
      <c r="AA374" s="391">
        <f t="shared" si="568"/>
        <v>8.0000000000000003E-10</v>
      </c>
      <c r="AB374" s="391">
        <f t="shared" si="569"/>
        <v>8.9999999999999999E-10</v>
      </c>
      <c r="AC374" s="391">
        <f t="shared" si="570"/>
        <v>9.5000000000000003E-10</v>
      </c>
      <c r="AD374" s="391" t="b">
        <v>1</v>
      </c>
      <c r="AE374" s="391" t="b">
        <v>1</v>
      </c>
      <c r="AF374" s="391" t="b">
        <v>1</v>
      </c>
      <c r="AG374" s="391" t="b">
        <v>1</v>
      </c>
      <c r="AH374" s="391" t="b">
        <f t="shared" si="556"/>
        <v>0</v>
      </c>
      <c r="AI374" s="391" t="b">
        <f t="shared" si="557"/>
        <v>0</v>
      </c>
      <c r="AJ374" s="391" t="b">
        <f t="shared" si="558"/>
        <v>0</v>
      </c>
      <c r="AK374" s="391" t="b">
        <f t="shared" si="559"/>
        <v>0</v>
      </c>
      <c r="AL374" s="391" t="b">
        <f t="shared" si="560"/>
        <v>0</v>
      </c>
      <c r="AM374" s="391" t="b">
        <f t="shared" si="561"/>
        <v>1</v>
      </c>
      <c r="AN374" s="391"/>
      <c r="AO374" s="391"/>
      <c r="AP374" s="391"/>
      <c r="AQ374" s="391"/>
      <c r="AR374" s="391"/>
    </row>
    <row r="375" spans="1:44" x14ac:dyDescent="0.3">
      <c r="A375" s="391" t="str">
        <f>'Reference Score Calculation'!A354</f>
        <v>JS9294</v>
      </c>
      <c r="B375" s="398" t="str">
        <f>'Reference Score Calculation'!D354</f>
        <v>運動及電競運動管理榮譽工商管理學士</v>
      </c>
      <c r="C375" s="212"/>
      <c r="D375" s="391" t="str">
        <f>'Reference Score Calculation'!E354</f>
        <v>4C1X</v>
      </c>
      <c r="E375" s="391" t="str">
        <f>入學要求!T363</f>
        <v>v</v>
      </c>
      <c r="F375" s="391" t="str">
        <f>入學要求!U363</f>
        <v>E</v>
      </c>
      <c r="G375" s="391" t="str">
        <f>入學要求!V363</f>
        <v>v</v>
      </c>
      <c r="H375" s="391">
        <f t="shared" si="554"/>
        <v>1.9500000000000001E-9</v>
      </c>
      <c r="I375" s="391">
        <v>1</v>
      </c>
      <c r="J375" s="391">
        <v>1</v>
      </c>
      <c r="K375" s="391">
        <v>1</v>
      </c>
      <c r="L375" s="391">
        <v>1</v>
      </c>
      <c r="M375" s="391">
        <v>1</v>
      </c>
      <c r="N375" s="391">
        <v>1</v>
      </c>
      <c r="O375" s="391">
        <v>1</v>
      </c>
      <c r="P375" s="391">
        <v>1</v>
      </c>
      <c r="Q375" s="391">
        <v>1</v>
      </c>
      <c r="R375" s="391">
        <v>1</v>
      </c>
      <c r="T375" s="391">
        <f t="shared" si="555"/>
        <v>1E-10</v>
      </c>
      <c r="U375" s="391">
        <f t="shared" si="562"/>
        <v>2.0000000000000001E-10</v>
      </c>
      <c r="V375" s="391">
        <f t="shared" si="563"/>
        <v>3E-10</v>
      </c>
      <c r="W375" s="391">
        <f t="shared" si="564"/>
        <v>4.0000000000000001E-10</v>
      </c>
      <c r="X375" s="391">
        <f t="shared" si="565"/>
        <v>0</v>
      </c>
      <c r="Y375" s="391">
        <f t="shared" si="566"/>
        <v>6E-10</v>
      </c>
      <c r="Z375" s="391">
        <f t="shared" si="567"/>
        <v>6.9999999999999996E-10</v>
      </c>
      <c r="AA375" s="391">
        <f t="shared" si="568"/>
        <v>8.0000000000000003E-10</v>
      </c>
      <c r="AB375" s="391">
        <f t="shared" si="569"/>
        <v>8.9999999999999999E-10</v>
      </c>
      <c r="AC375" s="391">
        <f t="shared" si="570"/>
        <v>9.5000000000000003E-10</v>
      </c>
      <c r="AD375" s="391" t="b">
        <v>1</v>
      </c>
      <c r="AE375" s="391" t="b">
        <v>1</v>
      </c>
      <c r="AF375" s="391" t="b">
        <v>1</v>
      </c>
      <c r="AG375" s="391" t="b">
        <v>1</v>
      </c>
      <c r="AH375" s="391" t="b">
        <f t="shared" si="556"/>
        <v>0</v>
      </c>
      <c r="AI375" s="391" t="b">
        <f t="shared" si="557"/>
        <v>0</v>
      </c>
      <c r="AJ375" s="391" t="b">
        <f t="shared" si="558"/>
        <v>0</v>
      </c>
      <c r="AK375" s="391" t="b">
        <f t="shared" si="559"/>
        <v>0</v>
      </c>
      <c r="AL375" s="391" t="b">
        <f t="shared" si="560"/>
        <v>0</v>
      </c>
      <c r="AM375" s="391" t="b">
        <f t="shared" si="561"/>
        <v>1</v>
      </c>
      <c r="AN375" s="391"/>
      <c r="AO375" s="391"/>
      <c r="AP375" s="391"/>
      <c r="AQ375" s="391"/>
      <c r="AR375" s="391"/>
    </row>
    <row r="376" spans="1:44" x14ac:dyDescent="0.3">
      <c r="A376" s="391" t="str">
        <f>'Reference Score Calculation'!A355</f>
        <v>JS9530</v>
      </c>
      <c r="B376" s="398" t="str">
        <f>'Reference Score Calculation'!D355</f>
        <v>英語教學榮譽教育學士及英語研究榮譽學士</v>
      </c>
      <c r="C376" s="212"/>
      <c r="D376" s="391" t="str">
        <f>'Reference Score Calculation'!E355</f>
        <v>Best 5</v>
      </c>
      <c r="E376" s="391" t="str">
        <f>入學要求!T364</f>
        <v>v</v>
      </c>
      <c r="F376" s="391" t="str">
        <f>入學要求!U364</f>
        <v>E</v>
      </c>
      <c r="G376" s="391" t="str">
        <f>入學要求!V364</f>
        <v>v</v>
      </c>
      <c r="H376" s="391">
        <f t="shared" si="554"/>
        <v>3.9500000000000006E-9</v>
      </c>
      <c r="I376" s="391">
        <v>1</v>
      </c>
      <c r="J376" s="391">
        <v>2</v>
      </c>
      <c r="K376" s="391">
        <v>1</v>
      </c>
      <c r="L376" s="391">
        <v>1</v>
      </c>
      <c r="M376" s="391">
        <v>1</v>
      </c>
      <c r="N376" s="391">
        <v>1</v>
      </c>
      <c r="O376" s="391">
        <v>1</v>
      </c>
      <c r="P376" s="391">
        <v>1</v>
      </c>
      <c r="Q376" s="391">
        <v>1</v>
      </c>
      <c r="R376" s="391">
        <v>1</v>
      </c>
      <c r="T376" s="391">
        <f t="shared" si="555"/>
        <v>1E-10</v>
      </c>
      <c r="U376" s="391">
        <f t="shared" si="562"/>
        <v>4.0000000000000001E-10</v>
      </c>
      <c r="V376" s="391">
        <f t="shared" si="563"/>
        <v>3E-10</v>
      </c>
      <c r="W376" s="391">
        <f t="shared" si="564"/>
        <v>4.0000000000000001E-10</v>
      </c>
      <c r="X376" s="391">
        <f t="shared" si="565"/>
        <v>0</v>
      </c>
      <c r="Y376" s="391">
        <f t="shared" si="566"/>
        <v>6E-10</v>
      </c>
      <c r="Z376" s="391">
        <f t="shared" si="567"/>
        <v>6.9999999999999996E-10</v>
      </c>
      <c r="AA376" s="391">
        <f t="shared" si="568"/>
        <v>8.0000000000000003E-10</v>
      </c>
      <c r="AB376" s="391">
        <f t="shared" si="569"/>
        <v>8.9999999999999999E-10</v>
      </c>
      <c r="AC376" s="391">
        <f t="shared" si="570"/>
        <v>9.5000000000000003E-10</v>
      </c>
      <c r="AD376" s="391" t="b">
        <f t="shared" ref="AD376" si="571">IF(T376&gt;LARGE($T376:$AC376,6),TRUE)</f>
        <v>0</v>
      </c>
      <c r="AE376" s="391" t="b">
        <f t="shared" ref="AE376" si="572">IF(U376&gt;LARGE($T376:$AC376,6),TRUE)</f>
        <v>0</v>
      </c>
      <c r="AF376" s="391" t="b">
        <f t="shared" ref="AF376" si="573">IF(V376&gt;LARGE($T376:$AC376,6),TRUE)</f>
        <v>0</v>
      </c>
      <c r="AG376" s="391" t="b">
        <f t="shared" ref="AG376" si="574">IF(W376&gt;LARGE($T376:$AC376,6),TRUE)</f>
        <v>0</v>
      </c>
      <c r="AH376" s="391" t="b">
        <f>IF(X376&gt;LARGE($T376:$AC376,6),TRUE)</f>
        <v>0</v>
      </c>
      <c r="AI376" s="391" t="b">
        <f t="shared" ref="AI376:AM376" si="575">IF(Y376&gt;LARGE($T376:$AC376,6),TRUE)</f>
        <v>1</v>
      </c>
      <c r="AJ376" s="391" t="b">
        <f t="shared" si="575"/>
        <v>1</v>
      </c>
      <c r="AK376" s="391" t="b">
        <f t="shared" si="575"/>
        <v>1</v>
      </c>
      <c r="AL376" s="391" t="b">
        <f t="shared" si="575"/>
        <v>1</v>
      </c>
      <c r="AM376" s="391" t="b">
        <f t="shared" si="575"/>
        <v>1</v>
      </c>
      <c r="AN376" s="391"/>
      <c r="AO376" s="391"/>
      <c r="AP376" s="391"/>
      <c r="AQ376" s="391"/>
      <c r="AR376" s="391"/>
    </row>
    <row r="377" spans="1:44" x14ac:dyDescent="0.3">
      <c r="A377" s="391" t="str">
        <f>'Reference Score Calculation'!A356</f>
        <v>JS9540</v>
      </c>
      <c r="B377" s="398" t="str">
        <f>'Reference Score Calculation'!D356</f>
        <v>英語研究榮譽學士</v>
      </c>
      <c r="C377" s="212"/>
      <c r="D377" s="391" t="str">
        <f>'Reference Score Calculation'!E356</f>
        <v>Best 5</v>
      </c>
      <c r="E377" s="391" t="str">
        <f>入學要求!T365</f>
        <v>v</v>
      </c>
      <c r="F377" s="391" t="str">
        <f>入學要求!U365</f>
        <v>E</v>
      </c>
      <c r="G377" s="391" t="str">
        <f>入學要求!V365</f>
        <v>v</v>
      </c>
      <c r="H377" s="391">
        <f t="shared" si="554"/>
        <v>3.9500000000000006E-9</v>
      </c>
      <c r="I377" s="391">
        <v>1</v>
      </c>
      <c r="J377" s="391">
        <v>2</v>
      </c>
      <c r="K377" s="391">
        <v>1</v>
      </c>
      <c r="L377" s="391">
        <v>1</v>
      </c>
      <c r="M377" s="391">
        <v>1</v>
      </c>
      <c r="N377" s="391">
        <v>1</v>
      </c>
      <c r="O377" s="391">
        <v>1</v>
      </c>
      <c r="P377" s="391">
        <v>1</v>
      </c>
      <c r="Q377" s="391">
        <v>1</v>
      </c>
      <c r="R377" s="391">
        <v>1</v>
      </c>
      <c r="T377" s="391">
        <f t="shared" si="555"/>
        <v>1E-10</v>
      </c>
      <c r="U377" s="391">
        <f t="shared" si="562"/>
        <v>4.0000000000000001E-10</v>
      </c>
      <c r="V377" s="391">
        <f t="shared" si="563"/>
        <v>3E-10</v>
      </c>
      <c r="W377" s="391">
        <f t="shared" si="564"/>
        <v>4.0000000000000001E-10</v>
      </c>
      <c r="X377" s="391">
        <f t="shared" si="565"/>
        <v>0</v>
      </c>
      <c r="Y377" s="391">
        <f t="shared" si="566"/>
        <v>6E-10</v>
      </c>
      <c r="Z377" s="391">
        <f t="shared" si="567"/>
        <v>6.9999999999999996E-10</v>
      </c>
      <c r="AA377" s="391">
        <f t="shared" si="568"/>
        <v>8.0000000000000003E-10</v>
      </c>
      <c r="AB377" s="391">
        <f t="shared" si="569"/>
        <v>8.9999999999999999E-10</v>
      </c>
      <c r="AC377" s="391">
        <f t="shared" si="570"/>
        <v>9.5000000000000003E-10</v>
      </c>
      <c r="AD377" s="391" t="b">
        <f t="shared" ref="AD377:AD381" si="576">IF(T377&gt;LARGE($T377:$AC377,6),TRUE)</f>
        <v>0</v>
      </c>
      <c r="AE377" s="391" t="b">
        <f t="shared" ref="AE377:AE381" si="577">IF(U377&gt;LARGE($T377:$AC377,6),TRUE)</f>
        <v>0</v>
      </c>
      <c r="AF377" s="391" t="b">
        <f t="shared" ref="AF377:AF381" si="578">IF(V377&gt;LARGE($T377:$AC377,6),TRUE)</f>
        <v>0</v>
      </c>
      <c r="AG377" s="391" t="b">
        <f t="shared" ref="AG377:AG381" si="579">IF(W377&gt;LARGE($T377:$AC377,6),TRUE)</f>
        <v>0</v>
      </c>
      <c r="AH377" s="391" t="b">
        <f t="shared" ref="AH377:AH381" si="580">IF(X377&gt;LARGE($T377:$AC377,6),TRUE)</f>
        <v>0</v>
      </c>
      <c r="AI377" s="391" t="b">
        <f t="shared" ref="AI377:AI381" si="581">IF(Y377&gt;LARGE($T377:$AC377,6),TRUE)</f>
        <v>1</v>
      </c>
      <c r="AJ377" s="391" t="b">
        <f t="shared" ref="AJ377:AJ381" si="582">IF(Z377&gt;LARGE($T377:$AC377,6),TRUE)</f>
        <v>1</v>
      </c>
      <c r="AK377" s="391" t="b">
        <f t="shared" ref="AK377:AK381" si="583">IF(AA377&gt;LARGE($T377:$AC377,6),TRUE)</f>
        <v>1</v>
      </c>
      <c r="AL377" s="391" t="b">
        <f t="shared" ref="AL377:AL381" si="584">IF(AB377&gt;LARGE($T377:$AC377,6),TRUE)</f>
        <v>1</v>
      </c>
      <c r="AM377" s="391" t="b">
        <f t="shared" ref="AM377:AM381" si="585">IF(AC377&gt;LARGE($T377:$AC377,6),TRUE)</f>
        <v>1</v>
      </c>
      <c r="AN377" s="391"/>
      <c r="AO377" s="391"/>
      <c r="AP377" s="391"/>
      <c r="AQ377" s="391"/>
      <c r="AR377" s="391"/>
    </row>
    <row r="378" spans="1:44" x14ac:dyDescent="0.3">
      <c r="A378" s="391" t="str">
        <f>'Reference Score Calculation'!A357</f>
        <v>JS9550</v>
      </c>
      <c r="B378" s="398" t="str">
        <f>'Reference Score Calculation'!D357</f>
        <v>語言研究榮譽學士（應用中國語言）</v>
      </c>
      <c r="C378" s="212"/>
      <c r="D378" s="391" t="str">
        <f>'Reference Score Calculation'!E357</f>
        <v>Best 5</v>
      </c>
      <c r="E378" s="391" t="str">
        <f>入學要求!T366</f>
        <v>v</v>
      </c>
      <c r="F378" s="391" t="str">
        <f>入學要求!U366</f>
        <v>E</v>
      </c>
      <c r="G378" s="391" t="str">
        <f>入學要求!V366</f>
        <v>v</v>
      </c>
      <c r="H378" s="391">
        <f t="shared" si="554"/>
        <v>3.9500000000000006E-9</v>
      </c>
      <c r="I378" s="391">
        <v>2</v>
      </c>
      <c r="J378" s="391">
        <v>1</v>
      </c>
      <c r="K378" s="391">
        <v>1</v>
      </c>
      <c r="L378" s="391">
        <v>1</v>
      </c>
      <c r="M378" s="391">
        <v>1</v>
      </c>
      <c r="N378" s="391">
        <f>IF(N$1="中國文學",1.5,1)</f>
        <v>1</v>
      </c>
      <c r="O378" s="391">
        <f t="shared" ref="O378:Q379" si="586">IF(O$1="中國文學",1.5,1)</f>
        <v>1</v>
      </c>
      <c r="P378" s="391">
        <f t="shared" si="586"/>
        <v>1</v>
      </c>
      <c r="Q378" s="391">
        <f t="shared" si="586"/>
        <v>1</v>
      </c>
      <c r="R378" s="391">
        <v>1</v>
      </c>
      <c r="T378" s="391">
        <f t="shared" si="555"/>
        <v>2.0000000000000001E-10</v>
      </c>
      <c r="U378" s="391">
        <f t="shared" si="562"/>
        <v>2.0000000000000001E-10</v>
      </c>
      <c r="V378" s="391">
        <f t="shared" si="563"/>
        <v>3E-10</v>
      </c>
      <c r="W378" s="391">
        <f t="shared" si="564"/>
        <v>4.0000000000000001E-10</v>
      </c>
      <c r="X378" s="391">
        <f t="shared" si="565"/>
        <v>0</v>
      </c>
      <c r="Y378" s="391">
        <f t="shared" si="566"/>
        <v>6E-10</v>
      </c>
      <c r="Z378" s="391">
        <f t="shared" si="567"/>
        <v>6.9999999999999996E-10</v>
      </c>
      <c r="AA378" s="391">
        <f t="shared" si="568"/>
        <v>8.0000000000000003E-10</v>
      </c>
      <c r="AB378" s="391">
        <f t="shared" si="569"/>
        <v>8.9999999999999999E-10</v>
      </c>
      <c r="AC378" s="391">
        <f t="shared" si="570"/>
        <v>9.5000000000000003E-10</v>
      </c>
      <c r="AD378" s="391" t="b">
        <f t="shared" si="576"/>
        <v>0</v>
      </c>
      <c r="AE378" s="391" t="b">
        <f t="shared" si="577"/>
        <v>0</v>
      </c>
      <c r="AF378" s="391" t="b">
        <f t="shared" si="578"/>
        <v>0</v>
      </c>
      <c r="AG378" s="391" t="b">
        <f t="shared" si="579"/>
        <v>0</v>
      </c>
      <c r="AH378" s="391" t="b">
        <f t="shared" si="580"/>
        <v>0</v>
      </c>
      <c r="AI378" s="391" t="b">
        <f t="shared" si="581"/>
        <v>1</v>
      </c>
      <c r="AJ378" s="391" t="b">
        <f t="shared" si="582"/>
        <v>1</v>
      </c>
      <c r="AK378" s="391" t="b">
        <f t="shared" si="583"/>
        <v>1</v>
      </c>
      <c r="AL378" s="391" t="b">
        <f t="shared" si="584"/>
        <v>1</v>
      </c>
      <c r="AM378" s="391" t="b">
        <f t="shared" si="585"/>
        <v>1</v>
      </c>
      <c r="AN378" s="391"/>
      <c r="AO378" s="391"/>
      <c r="AP378" s="391"/>
      <c r="AQ378" s="391"/>
      <c r="AR378" s="391"/>
    </row>
    <row r="379" spans="1:44" x14ac:dyDescent="0.3">
      <c r="A379" s="391" t="str">
        <f>'Reference Score Calculation'!A358</f>
        <v>JS9560</v>
      </c>
      <c r="B379" s="398" t="str">
        <f>'Reference Score Calculation'!D358</f>
        <v>教育榮譽學士（中國語文教學）及語言研究榮譽學士（應用中國語言）</v>
      </c>
      <c r="C379" s="212"/>
      <c r="D379" s="391" t="str">
        <f>'Reference Score Calculation'!E358</f>
        <v>Best 5</v>
      </c>
      <c r="E379" s="391" t="str">
        <f>入學要求!T367</f>
        <v>v</v>
      </c>
      <c r="F379" s="391" t="str">
        <f>入學要求!U367</f>
        <v>E</v>
      </c>
      <c r="G379" s="391" t="str">
        <f>入學要求!V367</f>
        <v>v</v>
      </c>
      <c r="H379" s="391">
        <f t="shared" si="554"/>
        <v>3.9500000000000006E-9</v>
      </c>
      <c r="I379" s="391">
        <v>2</v>
      </c>
      <c r="J379" s="391">
        <v>1</v>
      </c>
      <c r="K379" s="391">
        <v>1</v>
      </c>
      <c r="L379" s="391">
        <v>1</v>
      </c>
      <c r="M379" s="391">
        <v>1</v>
      </c>
      <c r="N379" s="391">
        <f>IF(N$1="中國文學",1.5,1)</f>
        <v>1</v>
      </c>
      <c r="O379" s="391">
        <f t="shared" si="586"/>
        <v>1</v>
      </c>
      <c r="P379" s="391">
        <f t="shared" si="586"/>
        <v>1</v>
      </c>
      <c r="Q379" s="391">
        <f t="shared" si="586"/>
        <v>1</v>
      </c>
      <c r="R379" s="391">
        <v>1</v>
      </c>
      <c r="T379" s="391">
        <f t="shared" si="555"/>
        <v>2.0000000000000001E-10</v>
      </c>
      <c r="U379" s="391">
        <f t="shared" si="562"/>
        <v>2.0000000000000001E-10</v>
      </c>
      <c r="V379" s="391">
        <f t="shared" si="563"/>
        <v>3E-10</v>
      </c>
      <c r="W379" s="391">
        <f t="shared" si="564"/>
        <v>4.0000000000000001E-10</v>
      </c>
      <c r="X379" s="391">
        <f t="shared" si="565"/>
        <v>0</v>
      </c>
      <c r="Y379" s="391">
        <f t="shared" si="566"/>
        <v>6E-10</v>
      </c>
      <c r="Z379" s="391">
        <f t="shared" si="567"/>
        <v>6.9999999999999996E-10</v>
      </c>
      <c r="AA379" s="391">
        <f t="shared" si="568"/>
        <v>8.0000000000000003E-10</v>
      </c>
      <c r="AB379" s="391">
        <f t="shared" si="569"/>
        <v>8.9999999999999999E-10</v>
      </c>
      <c r="AC379" s="391">
        <f t="shared" si="570"/>
        <v>9.5000000000000003E-10</v>
      </c>
      <c r="AD379" s="391" t="b">
        <f t="shared" si="576"/>
        <v>0</v>
      </c>
      <c r="AE379" s="391" t="b">
        <f t="shared" si="577"/>
        <v>0</v>
      </c>
      <c r="AF379" s="391" t="b">
        <f t="shared" si="578"/>
        <v>0</v>
      </c>
      <c r="AG379" s="391" t="b">
        <f t="shared" si="579"/>
        <v>0</v>
      </c>
      <c r="AH379" s="391" t="b">
        <f t="shared" si="580"/>
        <v>0</v>
      </c>
      <c r="AI379" s="391" t="b">
        <f t="shared" si="581"/>
        <v>1</v>
      </c>
      <c r="AJ379" s="391" t="b">
        <f t="shared" si="582"/>
        <v>1</v>
      </c>
      <c r="AK379" s="391" t="b">
        <f t="shared" si="583"/>
        <v>1</v>
      </c>
      <c r="AL379" s="391" t="b">
        <f t="shared" si="584"/>
        <v>1</v>
      </c>
      <c r="AM379" s="391" t="b">
        <f t="shared" si="585"/>
        <v>1</v>
      </c>
      <c r="AN379" s="391"/>
      <c r="AO379" s="391"/>
      <c r="AP379" s="391"/>
      <c r="AQ379" s="391"/>
      <c r="AR379" s="391"/>
    </row>
    <row r="380" spans="1:44" x14ac:dyDescent="0.3">
      <c r="A380" s="391" t="str">
        <f>'Reference Score Calculation'!A359</f>
        <v>JS9570</v>
      </c>
      <c r="B380" s="398" t="str">
        <f>'Reference Score Calculation'!D359</f>
        <v>語言硏究（雙語傳意）榮譽學士，國際商業榮譽學士</v>
      </c>
      <c r="C380" s="212"/>
      <c r="D380" s="391" t="str">
        <f>'Reference Score Calculation'!E359</f>
        <v>Best 5</v>
      </c>
      <c r="E380" s="391" t="str">
        <f>入學要求!T368</f>
        <v>v</v>
      </c>
      <c r="F380" s="391" t="str">
        <f>入學要求!U368</f>
        <v>E</v>
      </c>
      <c r="G380" s="391" t="str">
        <f>入學要求!V368</f>
        <v>v</v>
      </c>
      <c r="H380" s="391">
        <f t="shared" si="554"/>
        <v>3.9500000000000006E-9</v>
      </c>
      <c r="I380" s="391">
        <v>1</v>
      </c>
      <c r="J380" s="391">
        <v>1</v>
      </c>
      <c r="K380" s="391">
        <v>1</v>
      </c>
      <c r="L380" s="391">
        <v>1</v>
      </c>
      <c r="M380" s="391">
        <v>1</v>
      </c>
      <c r="N380" s="391">
        <v>1</v>
      </c>
      <c r="O380" s="391">
        <v>1</v>
      </c>
      <c r="P380" s="391">
        <v>1</v>
      </c>
      <c r="Q380" s="391">
        <v>1</v>
      </c>
      <c r="R380" s="391">
        <v>1</v>
      </c>
      <c r="T380" s="391">
        <f t="shared" si="555"/>
        <v>1E-10</v>
      </c>
      <c r="U380" s="391">
        <f t="shared" si="562"/>
        <v>2.0000000000000001E-10</v>
      </c>
      <c r="V380" s="391">
        <f t="shared" si="563"/>
        <v>3E-10</v>
      </c>
      <c r="W380" s="391">
        <f t="shared" si="564"/>
        <v>4.0000000000000001E-10</v>
      </c>
      <c r="X380" s="391">
        <f t="shared" si="565"/>
        <v>0</v>
      </c>
      <c r="Y380" s="391">
        <f t="shared" si="566"/>
        <v>6E-10</v>
      </c>
      <c r="Z380" s="391">
        <f t="shared" si="567"/>
        <v>6.9999999999999996E-10</v>
      </c>
      <c r="AA380" s="391">
        <f t="shared" si="568"/>
        <v>8.0000000000000003E-10</v>
      </c>
      <c r="AB380" s="391">
        <f t="shared" si="569"/>
        <v>8.9999999999999999E-10</v>
      </c>
      <c r="AC380" s="391">
        <f t="shared" si="570"/>
        <v>9.5000000000000003E-10</v>
      </c>
      <c r="AD380" s="391" t="b">
        <f t="shared" si="576"/>
        <v>0</v>
      </c>
      <c r="AE380" s="391" t="b">
        <f t="shared" si="577"/>
        <v>0</v>
      </c>
      <c r="AF380" s="391" t="b">
        <f t="shared" si="578"/>
        <v>0</v>
      </c>
      <c r="AG380" s="391" t="b">
        <f t="shared" si="579"/>
        <v>0</v>
      </c>
      <c r="AH380" s="391" t="b">
        <f t="shared" si="580"/>
        <v>0</v>
      </c>
      <c r="AI380" s="391" t="b">
        <f t="shared" si="581"/>
        <v>1</v>
      </c>
      <c r="AJ380" s="391" t="b">
        <f t="shared" si="582"/>
        <v>1</v>
      </c>
      <c r="AK380" s="391" t="b">
        <f t="shared" si="583"/>
        <v>1</v>
      </c>
      <c r="AL380" s="391" t="b">
        <f t="shared" si="584"/>
        <v>1</v>
      </c>
      <c r="AM380" s="391" t="b">
        <f t="shared" si="585"/>
        <v>1</v>
      </c>
      <c r="AN380" s="391"/>
      <c r="AO380" s="391"/>
      <c r="AP380" s="391"/>
      <c r="AQ380" s="391"/>
      <c r="AR380" s="391"/>
    </row>
    <row r="381" spans="1:44" x14ac:dyDescent="0.3">
      <c r="A381" s="391" t="str">
        <f>'Reference Score Calculation'!A360</f>
        <v>JS9580</v>
      </c>
      <c r="B381" s="398" t="str">
        <f>'Reference Score Calculation'!D360</f>
        <v>教育榮譽學士（幼兒教育：領導及特殊教育需要）</v>
      </c>
      <c r="C381" s="212"/>
      <c r="D381" s="391" t="str">
        <f>'Reference Score Calculation'!E360</f>
        <v>Best 5</v>
      </c>
      <c r="E381" s="391" t="str">
        <f>入學要求!T369</f>
        <v>v</v>
      </c>
      <c r="F381" s="391" t="str">
        <f>入學要求!U369</f>
        <v>E</v>
      </c>
      <c r="G381" s="391" t="str">
        <f>入學要求!V369</f>
        <v>v</v>
      </c>
      <c r="H381" s="391">
        <f t="shared" si="554"/>
        <v>3.9500000000000006E-9</v>
      </c>
      <c r="I381" s="391">
        <v>1</v>
      </c>
      <c r="J381" s="391">
        <v>1</v>
      </c>
      <c r="K381" s="391">
        <v>1</v>
      </c>
      <c r="L381" s="391">
        <v>1</v>
      </c>
      <c r="M381" s="391">
        <v>1</v>
      </c>
      <c r="N381" s="391">
        <v>1</v>
      </c>
      <c r="O381" s="391">
        <v>1</v>
      </c>
      <c r="P381" s="391">
        <v>1</v>
      </c>
      <c r="Q381" s="391">
        <v>1</v>
      </c>
      <c r="R381" s="391">
        <v>1</v>
      </c>
      <c r="T381" s="391">
        <f t="shared" si="555"/>
        <v>1E-10</v>
      </c>
      <c r="U381" s="391">
        <f t="shared" si="562"/>
        <v>2.0000000000000001E-10</v>
      </c>
      <c r="V381" s="391">
        <f t="shared" si="563"/>
        <v>3E-10</v>
      </c>
      <c r="W381" s="391">
        <f t="shared" si="564"/>
        <v>4.0000000000000001E-10</v>
      </c>
      <c r="X381" s="391">
        <f t="shared" si="565"/>
        <v>0</v>
      </c>
      <c r="Y381" s="391">
        <f t="shared" si="566"/>
        <v>6E-10</v>
      </c>
      <c r="Z381" s="391">
        <f t="shared" si="567"/>
        <v>6.9999999999999996E-10</v>
      </c>
      <c r="AA381" s="391">
        <f t="shared" si="568"/>
        <v>8.0000000000000003E-10</v>
      </c>
      <c r="AB381" s="391">
        <f t="shared" si="569"/>
        <v>8.9999999999999999E-10</v>
      </c>
      <c r="AC381" s="391">
        <f t="shared" si="570"/>
        <v>9.5000000000000003E-10</v>
      </c>
      <c r="AD381" s="391" t="b">
        <f t="shared" si="576"/>
        <v>0</v>
      </c>
      <c r="AE381" s="391" t="b">
        <f t="shared" si="577"/>
        <v>0</v>
      </c>
      <c r="AF381" s="391" t="b">
        <f t="shared" si="578"/>
        <v>0</v>
      </c>
      <c r="AG381" s="391" t="b">
        <f t="shared" si="579"/>
        <v>0</v>
      </c>
      <c r="AH381" s="391" t="b">
        <f t="shared" si="580"/>
        <v>0</v>
      </c>
      <c r="AI381" s="391" t="b">
        <f t="shared" si="581"/>
        <v>1</v>
      </c>
      <c r="AJ381" s="391" t="b">
        <f t="shared" si="582"/>
        <v>1</v>
      </c>
      <c r="AK381" s="391" t="b">
        <f t="shared" si="583"/>
        <v>1</v>
      </c>
      <c r="AL381" s="391" t="b">
        <f t="shared" si="584"/>
        <v>1</v>
      </c>
      <c r="AM381" s="391" t="b">
        <f t="shared" si="585"/>
        <v>1</v>
      </c>
      <c r="AN381" s="391"/>
      <c r="AO381" s="391"/>
      <c r="AP381" s="391"/>
      <c r="AQ381" s="391"/>
      <c r="AR381" s="391"/>
    </row>
    <row r="382" spans="1:44" x14ac:dyDescent="0.3">
      <c r="A382" s="391" t="str">
        <f>'Reference Score Calculation'!A361</f>
        <v>JS9718</v>
      </c>
      <c r="B382" s="398" t="str">
        <f>'Reference Score Calculation'!D361</f>
        <v>電腦科學榮譽理學士</v>
      </c>
      <c r="C382" s="212"/>
      <c r="D382" s="391" t="str">
        <f>'Reference Score Calculation'!E361</f>
        <v>4C1X</v>
      </c>
      <c r="E382" s="391" t="str">
        <f>入學要求!T370</f>
        <v>v</v>
      </c>
      <c r="F382" s="391" t="str">
        <f>入學要求!U370</f>
        <v>E</v>
      </c>
      <c r="G382" s="391" t="str">
        <f>入學要求!V370</f>
        <v>v</v>
      </c>
      <c r="H382" s="391">
        <f t="shared" si="554"/>
        <v>1.9500000000000001E-9</v>
      </c>
      <c r="I382" s="391">
        <v>1</v>
      </c>
      <c r="J382" s="391">
        <v>1</v>
      </c>
      <c r="K382" s="391">
        <v>1</v>
      </c>
      <c r="L382" s="391">
        <v>1</v>
      </c>
      <c r="M382" s="391">
        <v>1</v>
      </c>
      <c r="N382" s="391">
        <v>1</v>
      </c>
      <c r="O382" s="391">
        <v>1</v>
      </c>
      <c r="P382" s="391">
        <v>1</v>
      </c>
      <c r="Q382" s="391">
        <v>1</v>
      </c>
      <c r="R382" s="391">
        <v>1</v>
      </c>
      <c r="T382" s="391">
        <f t="shared" si="555"/>
        <v>1E-10</v>
      </c>
      <c r="U382" s="391">
        <f t="shared" si="562"/>
        <v>2.0000000000000001E-10</v>
      </c>
      <c r="V382" s="391">
        <f t="shared" si="563"/>
        <v>3E-10</v>
      </c>
      <c r="W382" s="391">
        <f t="shared" si="564"/>
        <v>4.0000000000000001E-10</v>
      </c>
      <c r="X382" s="391">
        <f t="shared" si="565"/>
        <v>0</v>
      </c>
      <c r="Y382" s="391">
        <f t="shared" si="566"/>
        <v>6E-10</v>
      </c>
      <c r="Z382" s="391">
        <f t="shared" si="567"/>
        <v>6.9999999999999996E-10</v>
      </c>
      <c r="AA382" s="391">
        <f t="shared" si="568"/>
        <v>8.0000000000000003E-10</v>
      </c>
      <c r="AB382" s="391">
        <f t="shared" si="569"/>
        <v>8.9999999999999999E-10</v>
      </c>
      <c r="AC382" s="391">
        <f t="shared" si="570"/>
        <v>9.5000000000000003E-10</v>
      </c>
      <c r="AD382" s="391" t="b">
        <v>1</v>
      </c>
      <c r="AE382" s="391" t="b">
        <v>1</v>
      </c>
      <c r="AF382" s="391" t="b">
        <v>1</v>
      </c>
      <c r="AG382" s="391" t="b">
        <v>1</v>
      </c>
      <c r="AH382" s="391" t="b">
        <f t="shared" ref="AH382" si="587">IF(X382=LARGE($X382:$AC382,1),TRUE)</f>
        <v>0</v>
      </c>
      <c r="AI382" s="391" t="b">
        <f t="shared" ref="AI382" si="588">IF(Y382=LARGE($X382:$AC382,1),TRUE)</f>
        <v>0</v>
      </c>
      <c r="AJ382" s="391" t="b">
        <f t="shared" ref="AJ382" si="589">IF(Z382=LARGE($X382:$AC382,1),TRUE)</f>
        <v>0</v>
      </c>
      <c r="AK382" s="391" t="b">
        <f t="shared" ref="AK382" si="590">IF(AA382=LARGE($X382:$AC382,1),TRUE)</f>
        <v>0</v>
      </c>
      <c r="AL382" s="391" t="b">
        <f t="shared" ref="AL382" si="591">IF(AB382=LARGE($X382:$AC382,1),TRUE)</f>
        <v>0</v>
      </c>
      <c r="AM382" s="391" t="b">
        <f t="shared" ref="AM382" si="592">IF(AC382=LARGE($X382:$AC382,1),TRUE)</f>
        <v>1</v>
      </c>
      <c r="AN382" s="391"/>
      <c r="AO382" s="391"/>
      <c r="AP382" s="391"/>
      <c r="AQ382" s="391"/>
      <c r="AR382" s="391"/>
    </row>
    <row r="383" spans="1:44" x14ac:dyDescent="0.3">
      <c r="A383" s="391" t="str">
        <f>'Reference Score Calculation'!A362</f>
        <v>JS9719</v>
      </c>
      <c r="B383" s="398" t="str">
        <f>'Reference Score Calculation'!D362</f>
        <v>網路及電腦安全榮譽理學士</v>
      </c>
      <c r="C383" s="212"/>
      <c r="D383" s="391" t="str">
        <f>'Reference Score Calculation'!E362</f>
        <v>4C1X</v>
      </c>
      <c r="E383" s="391" t="str">
        <f>入學要求!T371</f>
        <v>v</v>
      </c>
      <c r="F383" s="391" t="str">
        <f>入學要求!U371</f>
        <v>E</v>
      </c>
      <c r="G383" s="391" t="str">
        <f>入學要求!V371</f>
        <v>v</v>
      </c>
      <c r="H383" s="391">
        <f t="shared" si="554"/>
        <v>1.9500000000000001E-9</v>
      </c>
      <c r="I383" s="391">
        <v>1</v>
      </c>
      <c r="J383" s="391">
        <v>1</v>
      </c>
      <c r="K383" s="391">
        <v>1</v>
      </c>
      <c r="L383" s="391">
        <v>1</v>
      </c>
      <c r="M383" s="391">
        <v>1</v>
      </c>
      <c r="N383" s="391">
        <v>1</v>
      </c>
      <c r="O383" s="391">
        <v>1</v>
      </c>
      <c r="P383" s="391">
        <v>1</v>
      </c>
      <c r="Q383" s="391">
        <v>1</v>
      </c>
      <c r="R383" s="391">
        <v>1</v>
      </c>
      <c r="T383" s="391">
        <f t="shared" si="555"/>
        <v>1E-10</v>
      </c>
      <c r="U383" s="391">
        <f t="shared" si="562"/>
        <v>2.0000000000000001E-10</v>
      </c>
      <c r="V383" s="391">
        <f t="shared" si="563"/>
        <v>3E-10</v>
      </c>
      <c r="W383" s="391">
        <f t="shared" si="564"/>
        <v>4.0000000000000001E-10</v>
      </c>
      <c r="X383" s="391">
        <f t="shared" si="565"/>
        <v>0</v>
      </c>
      <c r="Y383" s="391">
        <f t="shared" si="566"/>
        <v>6E-10</v>
      </c>
      <c r="Z383" s="391">
        <f t="shared" si="567"/>
        <v>6.9999999999999996E-10</v>
      </c>
      <c r="AA383" s="391">
        <f t="shared" si="568"/>
        <v>8.0000000000000003E-10</v>
      </c>
      <c r="AB383" s="391">
        <f t="shared" si="569"/>
        <v>8.9999999999999999E-10</v>
      </c>
      <c r="AC383" s="391">
        <f t="shared" si="570"/>
        <v>9.5000000000000003E-10</v>
      </c>
      <c r="AD383" s="391" t="b">
        <v>1</v>
      </c>
      <c r="AE383" s="391" t="b">
        <v>1</v>
      </c>
      <c r="AF383" s="391" t="b">
        <v>1</v>
      </c>
      <c r="AG383" s="391" t="b">
        <v>1</v>
      </c>
      <c r="AH383" s="391" t="b">
        <f t="shared" ref="AH383:AH388" si="593">IF(X383=LARGE($X383:$AC383,1),TRUE)</f>
        <v>0</v>
      </c>
      <c r="AI383" s="391" t="b">
        <f t="shared" ref="AI383:AI389" si="594">IF(Y383=LARGE($X383:$AC383,1),TRUE)</f>
        <v>0</v>
      </c>
      <c r="AJ383" s="391" t="b">
        <f t="shared" ref="AJ383:AJ389" si="595">IF(Z383=LARGE($X383:$AC383,1),TRUE)</f>
        <v>0</v>
      </c>
      <c r="AK383" s="391" t="b">
        <f t="shared" ref="AK383:AK389" si="596">IF(AA383=LARGE($X383:$AC383,1),TRUE)</f>
        <v>0</v>
      </c>
      <c r="AL383" s="391" t="b">
        <f t="shared" ref="AL383:AL389" si="597">IF(AB383=LARGE($X383:$AC383,1),TRUE)</f>
        <v>0</v>
      </c>
      <c r="AM383" s="391" t="b">
        <f t="shared" ref="AM383:AM389" si="598">IF(AC383=LARGE($X383:$AC383,1),TRUE)</f>
        <v>1</v>
      </c>
      <c r="AN383" s="391"/>
      <c r="AO383" s="391"/>
      <c r="AP383" s="391"/>
      <c r="AQ383" s="391"/>
      <c r="AR383" s="391"/>
    </row>
    <row r="384" spans="1:44" x14ac:dyDescent="0.3">
      <c r="A384" s="391" t="str">
        <f>'Reference Score Calculation'!A363</f>
        <v>JS9720</v>
      </c>
      <c r="B384" s="398" t="str">
        <f>'Reference Score Calculation'!D363</f>
        <v>電子及電腦工程學榮譽工學士</v>
      </c>
      <c r="C384" s="212"/>
      <c r="D384" s="391" t="str">
        <f>'Reference Score Calculation'!E363</f>
        <v>4C1X</v>
      </c>
      <c r="E384" s="391" t="str">
        <f>入學要求!T372</f>
        <v>v</v>
      </c>
      <c r="F384" s="391" t="str">
        <f>入學要求!U372</f>
        <v>E</v>
      </c>
      <c r="G384" s="391" t="str">
        <f>入學要求!V372</f>
        <v>v</v>
      </c>
      <c r="H384" s="391">
        <f t="shared" si="554"/>
        <v>1.9500000000000001E-9</v>
      </c>
      <c r="I384" s="391">
        <v>1</v>
      </c>
      <c r="J384" s="391">
        <v>1</v>
      </c>
      <c r="K384" s="391">
        <v>1</v>
      </c>
      <c r="L384" s="391">
        <v>1</v>
      </c>
      <c r="M384" s="391">
        <v>1</v>
      </c>
      <c r="N384" s="391">
        <v>1</v>
      </c>
      <c r="O384" s="391">
        <v>1</v>
      </c>
      <c r="P384" s="391">
        <v>1</v>
      </c>
      <c r="Q384" s="391">
        <v>1</v>
      </c>
      <c r="R384" s="391">
        <v>1</v>
      </c>
      <c r="T384" s="391">
        <f t="shared" si="555"/>
        <v>1E-10</v>
      </c>
      <c r="U384" s="391">
        <f t="shared" si="562"/>
        <v>2.0000000000000001E-10</v>
      </c>
      <c r="V384" s="391">
        <f t="shared" si="563"/>
        <v>3E-10</v>
      </c>
      <c r="W384" s="391">
        <f t="shared" si="564"/>
        <v>4.0000000000000001E-10</v>
      </c>
      <c r="X384" s="391">
        <f t="shared" si="565"/>
        <v>0</v>
      </c>
      <c r="Y384" s="391">
        <f t="shared" si="566"/>
        <v>6E-10</v>
      </c>
      <c r="Z384" s="391">
        <f t="shared" si="567"/>
        <v>6.9999999999999996E-10</v>
      </c>
      <c r="AA384" s="391">
        <f t="shared" si="568"/>
        <v>8.0000000000000003E-10</v>
      </c>
      <c r="AB384" s="391">
        <f t="shared" si="569"/>
        <v>8.9999999999999999E-10</v>
      </c>
      <c r="AC384" s="391">
        <f t="shared" si="570"/>
        <v>9.5000000000000003E-10</v>
      </c>
      <c r="AD384" s="391" t="b">
        <v>1</v>
      </c>
      <c r="AE384" s="391" t="b">
        <v>1</v>
      </c>
      <c r="AF384" s="391" t="b">
        <v>1</v>
      </c>
      <c r="AG384" s="391" t="b">
        <v>1</v>
      </c>
      <c r="AH384" s="391" t="b">
        <f t="shared" si="593"/>
        <v>0</v>
      </c>
      <c r="AI384" s="391" t="b">
        <f t="shared" si="594"/>
        <v>0</v>
      </c>
      <c r="AJ384" s="391" t="b">
        <f t="shared" si="595"/>
        <v>0</v>
      </c>
      <c r="AK384" s="391" t="b">
        <f t="shared" si="596"/>
        <v>0</v>
      </c>
      <c r="AL384" s="391" t="b">
        <f t="shared" si="597"/>
        <v>0</v>
      </c>
      <c r="AM384" s="391" t="b">
        <f t="shared" si="598"/>
        <v>1</v>
      </c>
      <c r="AN384" s="391"/>
      <c r="AO384" s="391"/>
      <c r="AP384" s="391"/>
      <c r="AQ384" s="391"/>
      <c r="AR384" s="391"/>
    </row>
    <row r="385" spans="1:44" x14ac:dyDescent="0.3">
      <c r="A385" s="391" t="str">
        <f>'Reference Score Calculation'!A364</f>
        <v>JS9721</v>
      </c>
      <c r="B385" s="398" t="str">
        <f>'Reference Score Calculation'!D364</f>
        <v>屋宇設備工程及可持續發展榮譽工學士</v>
      </c>
      <c r="C385" s="212"/>
      <c r="D385" s="391" t="str">
        <f>'Reference Score Calculation'!E364</f>
        <v>4C1X</v>
      </c>
      <c r="E385" s="391" t="str">
        <f>入學要求!T373</f>
        <v>v</v>
      </c>
      <c r="F385" s="391" t="str">
        <f>入學要求!U373</f>
        <v>E</v>
      </c>
      <c r="G385" s="391" t="str">
        <f>入學要求!V373</f>
        <v>v</v>
      </c>
      <c r="H385" s="391">
        <f t="shared" si="554"/>
        <v>1.9500000000000001E-9</v>
      </c>
      <c r="I385" s="391">
        <v>1</v>
      </c>
      <c r="J385" s="391">
        <v>1</v>
      </c>
      <c r="K385" s="391">
        <v>1</v>
      </c>
      <c r="L385" s="391">
        <v>1</v>
      </c>
      <c r="M385" s="391">
        <v>1</v>
      </c>
      <c r="N385" s="391">
        <v>1</v>
      </c>
      <c r="O385" s="391">
        <v>1</v>
      </c>
      <c r="P385" s="391">
        <v>1</v>
      </c>
      <c r="Q385" s="391">
        <v>1</v>
      </c>
      <c r="R385" s="391">
        <v>1</v>
      </c>
      <c r="T385" s="391">
        <f t="shared" si="555"/>
        <v>1E-10</v>
      </c>
      <c r="U385" s="391">
        <f t="shared" si="562"/>
        <v>2.0000000000000001E-10</v>
      </c>
      <c r="V385" s="391">
        <f t="shared" si="563"/>
        <v>3E-10</v>
      </c>
      <c r="W385" s="391">
        <f t="shared" si="564"/>
        <v>4.0000000000000001E-10</v>
      </c>
      <c r="X385" s="391">
        <f t="shared" si="565"/>
        <v>0</v>
      </c>
      <c r="Y385" s="391">
        <f t="shared" si="566"/>
        <v>6E-10</v>
      </c>
      <c r="Z385" s="391">
        <f t="shared" si="567"/>
        <v>6.9999999999999996E-10</v>
      </c>
      <c r="AA385" s="391">
        <f t="shared" si="568"/>
        <v>8.0000000000000003E-10</v>
      </c>
      <c r="AB385" s="391">
        <f t="shared" si="569"/>
        <v>8.9999999999999999E-10</v>
      </c>
      <c r="AC385" s="391">
        <f t="shared" si="570"/>
        <v>9.5000000000000003E-10</v>
      </c>
      <c r="AD385" s="391" t="b">
        <v>1</v>
      </c>
      <c r="AE385" s="391" t="b">
        <v>1</v>
      </c>
      <c r="AF385" s="391" t="b">
        <v>1</v>
      </c>
      <c r="AG385" s="391" t="b">
        <v>1</v>
      </c>
      <c r="AH385" s="391" t="b">
        <f t="shared" si="593"/>
        <v>0</v>
      </c>
      <c r="AI385" s="391" t="b">
        <f t="shared" si="594"/>
        <v>0</v>
      </c>
      <c r="AJ385" s="391" t="b">
        <f t="shared" si="595"/>
        <v>0</v>
      </c>
      <c r="AK385" s="391" t="b">
        <f t="shared" si="596"/>
        <v>0</v>
      </c>
      <c r="AL385" s="391" t="b">
        <f t="shared" si="597"/>
        <v>0</v>
      </c>
      <c r="AM385" s="391" t="b">
        <f t="shared" si="598"/>
        <v>1</v>
      </c>
      <c r="AN385" s="391"/>
      <c r="AO385" s="391"/>
      <c r="AP385" s="391"/>
      <c r="AQ385" s="391"/>
      <c r="AR385" s="391"/>
    </row>
    <row r="386" spans="1:44" x14ac:dyDescent="0.3">
      <c r="A386" s="391" t="str">
        <f>'Reference Score Calculation'!A365</f>
        <v>JS9722</v>
      </c>
      <c r="B386" s="398" t="str">
        <f>'Reference Score Calculation'!D365</f>
        <v>土木及環境工程榮譽工學士</v>
      </c>
      <c r="C386" s="212"/>
      <c r="D386" s="391" t="str">
        <f>'Reference Score Calculation'!E365</f>
        <v>4C1X</v>
      </c>
      <c r="E386" s="391" t="str">
        <f>入學要求!T374</f>
        <v>v</v>
      </c>
      <c r="F386" s="391" t="str">
        <f>入學要求!U374</f>
        <v>E</v>
      </c>
      <c r="G386" s="391" t="str">
        <f>入學要求!V374</f>
        <v>v</v>
      </c>
      <c r="H386" s="391">
        <f t="shared" si="554"/>
        <v>1.9500000000000001E-9</v>
      </c>
      <c r="I386" s="391">
        <v>1</v>
      </c>
      <c r="J386" s="391">
        <v>1</v>
      </c>
      <c r="K386" s="391">
        <v>1</v>
      </c>
      <c r="L386" s="391">
        <v>1</v>
      </c>
      <c r="M386" s="391">
        <v>1</v>
      </c>
      <c r="N386" s="391">
        <v>1</v>
      </c>
      <c r="O386" s="391">
        <v>1</v>
      </c>
      <c r="P386" s="391">
        <v>1</v>
      </c>
      <c r="Q386" s="391">
        <v>1</v>
      </c>
      <c r="R386" s="391">
        <v>1</v>
      </c>
      <c r="T386" s="391">
        <f t="shared" si="555"/>
        <v>1E-10</v>
      </c>
      <c r="U386" s="391">
        <f t="shared" si="562"/>
        <v>2.0000000000000001E-10</v>
      </c>
      <c r="V386" s="391">
        <f t="shared" si="563"/>
        <v>3E-10</v>
      </c>
      <c r="W386" s="391">
        <f t="shared" si="564"/>
        <v>4.0000000000000001E-10</v>
      </c>
      <c r="X386" s="391">
        <f t="shared" si="565"/>
        <v>0</v>
      </c>
      <c r="Y386" s="391">
        <f t="shared" si="566"/>
        <v>6E-10</v>
      </c>
      <c r="Z386" s="391">
        <f t="shared" si="567"/>
        <v>6.9999999999999996E-10</v>
      </c>
      <c r="AA386" s="391">
        <f t="shared" si="568"/>
        <v>8.0000000000000003E-10</v>
      </c>
      <c r="AB386" s="391">
        <f t="shared" si="569"/>
        <v>8.9999999999999999E-10</v>
      </c>
      <c r="AC386" s="391">
        <f t="shared" si="570"/>
        <v>9.5000000000000003E-10</v>
      </c>
      <c r="AD386" s="391" t="b">
        <v>1</v>
      </c>
      <c r="AE386" s="391" t="b">
        <v>1</v>
      </c>
      <c r="AF386" s="391" t="b">
        <v>1</v>
      </c>
      <c r="AG386" s="391" t="b">
        <v>1</v>
      </c>
      <c r="AH386" s="391" t="b">
        <f t="shared" si="593"/>
        <v>0</v>
      </c>
      <c r="AI386" s="391" t="b">
        <f t="shared" si="594"/>
        <v>0</v>
      </c>
      <c r="AJ386" s="391" t="b">
        <f t="shared" si="595"/>
        <v>0</v>
      </c>
      <c r="AK386" s="391" t="b">
        <f t="shared" si="596"/>
        <v>0</v>
      </c>
      <c r="AL386" s="391" t="b">
        <f t="shared" si="597"/>
        <v>0</v>
      </c>
      <c r="AM386" s="391" t="b">
        <f t="shared" si="598"/>
        <v>1</v>
      </c>
      <c r="AN386" s="391"/>
      <c r="AO386" s="391"/>
      <c r="AP386" s="391"/>
      <c r="AQ386" s="391"/>
      <c r="AR386" s="391"/>
    </row>
    <row r="387" spans="1:44" x14ac:dyDescent="0.3">
      <c r="A387" s="391" t="str">
        <f>'Reference Score Calculation'!A366</f>
        <v>JS9731</v>
      </c>
      <c r="B387" s="398" t="str">
        <f>'Reference Score Calculation'!D366</f>
        <v>環境科學與綠色管理榮譽理學士</v>
      </c>
      <c r="C387" s="212"/>
      <c r="D387" s="391" t="str">
        <f>'Reference Score Calculation'!E366</f>
        <v>4C1X</v>
      </c>
      <c r="E387" s="391" t="str">
        <f>入學要求!T375</f>
        <v>v</v>
      </c>
      <c r="F387" s="391" t="str">
        <f>入學要求!U375</f>
        <v>E</v>
      </c>
      <c r="G387" s="391" t="str">
        <f>入學要求!V375</f>
        <v>v</v>
      </c>
      <c r="H387" s="391">
        <f t="shared" si="554"/>
        <v>1.9500000000000001E-9</v>
      </c>
      <c r="I387" s="391">
        <v>1</v>
      </c>
      <c r="J387" s="391">
        <v>1</v>
      </c>
      <c r="K387" s="391">
        <v>1</v>
      </c>
      <c r="L387" s="391">
        <v>1</v>
      </c>
      <c r="M387" s="391">
        <v>1</v>
      </c>
      <c r="N387" s="391">
        <v>1</v>
      </c>
      <c r="O387" s="391">
        <v>1</v>
      </c>
      <c r="P387" s="391">
        <v>1</v>
      </c>
      <c r="Q387" s="391">
        <v>1</v>
      </c>
      <c r="R387" s="391">
        <v>1</v>
      </c>
      <c r="T387" s="391">
        <f t="shared" si="555"/>
        <v>1E-10</v>
      </c>
      <c r="U387" s="391">
        <f t="shared" si="562"/>
        <v>2.0000000000000001E-10</v>
      </c>
      <c r="V387" s="391">
        <f t="shared" si="563"/>
        <v>3E-10</v>
      </c>
      <c r="W387" s="391">
        <f t="shared" si="564"/>
        <v>4.0000000000000001E-10</v>
      </c>
      <c r="X387" s="391">
        <f t="shared" si="565"/>
        <v>0</v>
      </c>
      <c r="Y387" s="391">
        <f t="shared" si="566"/>
        <v>6E-10</v>
      </c>
      <c r="Z387" s="391">
        <f t="shared" si="567"/>
        <v>6.9999999999999996E-10</v>
      </c>
      <c r="AA387" s="391">
        <f t="shared" si="568"/>
        <v>8.0000000000000003E-10</v>
      </c>
      <c r="AB387" s="391">
        <f t="shared" si="569"/>
        <v>8.9999999999999999E-10</v>
      </c>
      <c r="AC387" s="391">
        <f t="shared" si="570"/>
        <v>9.5000000000000003E-10</v>
      </c>
      <c r="AD387" s="391" t="b">
        <v>1</v>
      </c>
      <c r="AE387" s="391" t="b">
        <v>1</v>
      </c>
      <c r="AF387" s="391" t="b">
        <v>1</v>
      </c>
      <c r="AG387" s="391" t="b">
        <v>1</v>
      </c>
      <c r="AH387" s="391" t="b">
        <f t="shared" si="593"/>
        <v>0</v>
      </c>
      <c r="AI387" s="391" t="b">
        <f t="shared" si="594"/>
        <v>0</v>
      </c>
      <c r="AJ387" s="391" t="b">
        <f t="shared" si="595"/>
        <v>0</v>
      </c>
      <c r="AK387" s="391" t="b">
        <f t="shared" si="596"/>
        <v>0</v>
      </c>
      <c r="AL387" s="391" t="b">
        <f t="shared" si="597"/>
        <v>0</v>
      </c>
      <c r="AM387" s="391" t="b">
        <f t="shared" si="598"/>
        <v>1</v>
      </c>
      <c r="AN387" s="391"/>
      <c r="AO387" s="391"/>
      <c r="AP387" s="391"/>
      <c r="AQ387" s="391"/>
      <c r="AR387" s="391"/>
    </row>
    <row r="388" spans="1:44" x14ac:dyDescent="0.3">
      <c r="A388" s="391" t="str">
        <f>'Reference Score Calculation'!A367</f>
        <v>JS9732</v>
      </c>
      <c r="B388" s="398" t="str">
        <f>'Reference Score Calculation'!D367</f>
        <v>生命科學榮譽理學士</v>
      </c>
      <c r="C388" s="212"/>
      <c r="D388" s="391" t="str">
        <f>'Reference Score Calculation'!E367</f>
        <v>4C1X</v>
      </c>
      <c r="E388" s="391" t="str">
        <f>入學要求!T376</f>
        <v>v</v>
      </c>
      <c r="F388" s="391" t="str">
        <f>入學要求!U376</f>
        <v>E</v>
      </c>
      <c r="G388" s="391" t="str">
        <f>入學要求!V376</f>
        <v>v</v>
      </c>
      <c r="H388" s="391">
        <f t="shared" si="554"/>
        <v>1.9500000000000001E-9</v>
      </c>
      <c r="I388" s="391">
        <v>1</v>
      </c>
      <c r="J388" s="391">
        <v>1</v>
      </c>
      <c r="K388" s="391">
        <v>1</v>
      </c>
      <c r="L388" s="391">
        <v>1</v>
      </c>
      <c r="M388" s="391">
        <v>1</v>
      </c>
      <c r="N388" s="391">
        <v>1</v>
      </c>
      <c r="O388" s="391">
        <v>1</v>
      </c>
      <c r="P388" s="391">
        <v>1</v>
      </c>
      <c r="Q388" s="391">
        <v>1</v>
      </c>
      <c r="R388" s="391">
        <v>1</v>
      </c>
      <c r="T388" s="391">
        <f t="shared" si="555"/>
        <v>1E-10</v>
      </c>
      <c r="U388" s="391">
        <f t="shared" si="562"/>
        <v>2.0000000000000001E-10</v>
      </c>
      <c r="V388" s="391">
        <f t="shared" si="563"/>
        <v>3E-10</v>
      </c>
      <c r="W388" s="391">
        <f t="shared" si="564"/>
        <v>4.0000000000000001E-10</v>
      </c>
      <c r="X388" s="391">
        <f t="shared" si="565"/>
        <v>0</v>
      </c>
      <c r="Y388" s="391">
        <f t="shared" si="566"/>
        <v>6E-10</v>
      </c>
      <c r="Z388" s="391">
        <f t="shared" si="567"/>
        <v>6.9999999999999996E-10</v>
      </c>
      <c r="AA388" s="391">
        <f t="shared" si="568"/>
        <v>8.0000000000000003E-10</v>
      </c>
      <c r="AB388" s="391">
        <f t="shared" si="569"/>
        <v>8.9999999999999999E-10</v>
      </c>
      <c r="AC388" s="391">
        <f t="shared" si="570"/>
        <v>9.5000000000000003E-10</v>
      </c>
      <c r="AD388" s="391" t="b">
        <v>1</v>
      </c>
      <c r="AE388" s="391" t="b">
        <v>1</v>
      </c>
      <c r="AF388" s="391" t="b">
        <v>1</v>
      </c>
      <c r="AG388" s="391" t="b">
        <v>1</v>
      </c>
      <c r="AH388" s="391" t="b">
        <f t="shared" si="593"/>
        <v>0</v>
      </c>
      <c r="AI388" s="391" t="b">
        <f t="shared" si="594"/>
        <v>0</v>
      </c>
      <c r="AJ388" s="391" t="b">
        <f t="shared" si="595"/>
        <v>0</v>
      </c>
      <c r="AK388" s="391" t="b">
        <f t="shared" si="596"/>
        <v>0</v>
      </c>
      <c r="AL388" s="391" t="b">
        <f t="shared" si="597"/>
        <v>0</v>
      </c>
      <c r="AM388" s="391" t="b">
        <f t="shared" si="598"/>
        <v>1</v>
      </c>
      <c r="AN388" s="391"/>
      <c r="AO388" s="391"/>
      <c r="AP388" s="391"/>
      <c r="AQ388" s="391"/>
      <c r="AR388" s="391"/>
    </row>
    <row r="389" spans="1:44" s="391" customFormat="1" x14ac:dyDescent="0.3">
      <c r="A389" s="391" t="str">
        <f>'Reference Score Calculation'!A368</f>
        <v>JS9733</v>
      </c>
      <c r="B389" s="398" t="str">
        <f>'Reference Score Calculation'!D368</f>
        <v>科學（ＳＴＥＭ）榮譽理學士</v>
      </c>
      <c r="C389" s="398"/>
      <c r="D389" s="391" t="str">
        <f>'Reference Score Calculation'!AD368</f>
        <v>4C1X</v>
      </c>
      <c r="E389" s="391" t="str">
        <f>入學要求!T377</f>
        <v>v</v>
      </c>
      <c r="F389" s="391" t="str">
        <f>入學要求!U377</f>
        <v>E</v>
      </c>
      <c r="G389" s="391" t="str">
        <f>入學要求!V377</f>
        <v>v</v>
      </c>
      <c r="H389" s="391">
        <f t="shared" si="554"/>
        <v>1.9500000000000001E-9</v>
      </c>
      <c r="I389" s="391">
        <v>1</v>
      </c>
      <c r="J389" s="391">
        <v>1</v>
      </c>
      <c r="K389" s="391">
        <v>1</v>
      </c>
      <c r="L389" s="391">
        <v>1</v>
      </c>
      <c r="M389" s="391">
        <v>1</v>
      </c>
      <c r="N389" s="391">
        <v>1</v>
      </c>
      <c r="O389" s="391">
        <v>1</v>
      </c>
      <c r="P389" s="391">
        <v>1</v>
      </c>
      <c r="Q389" s="391">
        <v>1</v>
      </c>
      <c r="R389" s="391">
        <v>1</v>
      </c>
      <c r="T389" s="391">
        <f t="shared" si="555"/>
        <v>1E-10</v>
      </c>
      <c r="U389" s="391">
        <f t="shared" si="562"/>
        <v>2.0000000000000001E-10</v>
      </c>
      <c r="V389" s="391">
        <f t="shared" si="563"/>
        <v>3E-10</v>
      </c>
      <c r="W389" s="391">
        <f t="shared" si="564"/>
        <v>4.0000000000000001E-10</v>
      </c>
      <c r="X389" s="391">
        <f t="shared" si="565"/>
        <v>0</v>
      </c>
      <c r="Y389" s="391">
        <f t="shared" si="566"/>
        <v>6E-10</v>
      </c>
      <c r="Z389" s="391">
        <f t="shared" si="567"/>
        <v>6.9999999999999996E-10</v>
      </c>
      <c r="AA389" s="391">
        <f t="shared" si="568"/>
        <v>8.0000000000000003E-10</v>
      </c>
      <c r="AB389" s="391">
        <f t="shared" si="569"/>
        <v>8.9999999999999999E-10</v>
      </c>
      <c r="AC389" s="391">
        <f t="shared" si="570"/>
        <v>9.5000000000000003E-10</v>
      </c>
      <c r="AD389" s="391" t="b">
        <v>1</v>
      </c>
      <c r="AE389" s="391" t="b">
        <v>1</v>
      </c>
      <c r="AF389" s="391" t="b">
        <v>1</v>
      </c>
      <c r="AG389" s="391" t="b">
        <v>1</v>
      </c>
      <c r="AH389" s="391" t="b">
        <f>IF(X389=LARGE($X389:$AC389,1),TRUE)</f>
        <v>0</v>
      </c>
      <c r="AI389" s="391" t="b">
        <f t="shared" si="594"/>
        <v>0</v>
      </c>
      <c r="AJ389" s="391" t="b">
        <f t="shared" si="595"/>
        <v>0</v>
      </c>
      <c r="AK389" s="391" t="b">
        <f t="shared" si="596"/>
        <v>0</v>
      </c>
      <c r="AL389" s="391" t="b">
        <f t="shared" si="597"/>
        <v>0</v>
      </c>
      <c r="AM389" s="391" t="b">
        <f t="shared" si="598"/>
        <v>1</v>
      </c>
    </row>
    <row r="391" spans="1:44" x14ac:dyDescent="0.3">
      <c r="A391" s="226" t="s">
        <v>2350</v>
      </c>
      <c r="B391" s="227"/>
      <c r="C391" s="227"/>
      <c r="D391" s="228"/>
      <c r="E391" s="356" t="s">
        <v>2233</v>
      </c>
      <c r="F391" s="356" t="s">
        <v>2234</v>
      </c>
      <c r="G391" s="356" t="s">
        <v>2235</v>
      </c>
      <c r="H391" s="399" t="s">
        <v>2301</v>
      </c>
      <c r="I391" s="399" t="s">
        <v>2011</v>
      </c>
      <c r="J391" s="399" t="s">
        <v>2012</v>
      </c>
      <c r="K391" s="399" t="s">
        <v>2013</v>
      </c>
      <c r="L391" s="399" t="s">
        <v>2014</v>
      </c>
      <c r="M391" s="399" t="s">
        <v>2015</v>
      </c>
      <c r="N391" s="399" t="s">
        <v>2016</v>
      </c>
      <c r="O391" s="399" t="s">
        <v>2017</v>
      </c>
      <c r="P391" s="399" t="s">
        <v>2018</v>
      </c>
      <c r="Q391" s="399" t="s">
        <v>2019</v>
      </c>
      <c r="R391" s="399" t="s">
        <v>2958</v>
      </c>
      <c r="S391" s="404"/>
      <c r="T391" s="399" t="str">
        <f>I$1</f>
        <v>中國語文</v>
      </c>
      <c r="U391" s="399" t="str">
        <f t="shared" ref="U391" si="599">J$1</f>
        <v>英國語文</v>
      </c>
      <c r="V391" s="399" t="str">
        <f t="shared" ref="V391" si="600">K$1</f>
        <v>數學</v>
      </c>
      <c r="W391" s="399" t="str">
        <f t="shared" ref="W391" si="601">L$1</f>
        <v>通識教育</v>
      </c>
      <c r="X391" s="399" t="str">
        <f t="shared" ref="X391" si="602">M$1</f>
        <v>數學延伸</v>
      </c>
      <c r="Y391" s="399" t="str">
        <f t="shared" ref="Y391" si="603">N$1</f>
        <v>請選擇第一選修科</v>
      </c>
      <c r="Z391" s="399" t="str">
        <f t="shared" ref="Z391" si="604">O$1</f>
        <v>請選擇第二選修科</v>
      </c>
      <c r="AA391" s="399" t="str">
        <f t="shared" ref="AA391" si="605">P$1</f>
        <v>請選擇第三選修科</v>
      </c>
      <c r="AB391" s="399" t="str">
        <f t="shared" ref="AB391" si="606">Q$1</f>
        <v>請選擇第四選修科</v>
      </c>
      <c r="AC391" s="399" t="str">
        <f t="shared" ref="AC391" si="607">R$1</f>
        <v>請選擇語言科目</v>
      </c>
      <c r="AD391" s="399" t="s">
        <v>2881</v>
      </c>
      <c r="AE391" s="399" t="s">
        <v>2882</v>
      </c>
      <c r="AF391" s="399" t="s">
        <v>2883</v>
      </c>
      <c r="AG391" s="399" t="s">
        <v>2884</v>
      </c>
      <c r="AH391" s="399" t="s">
        <v>2885</v>
      </c>
      <c r="AI391" s="399" t="s">
        <v>2886</v>
      </c>
      <c r="AJ391" s="399" t="s">
        <v>2887</v>
      </c>
      <c r="AK391" s="399" t="s">
        <v>2888</v>
      </c>
      <c r="AL391" s="399" t="s">
        <v>2889</v>
      </c>
      <c r="AM391" s="399" t="s">
        <v>2890</v>
      </c>
    </row>
    <row r="392" spans="1:44" x14ac:dyDescent="0.3">
      <c r="A392" s="185" t="str">
        <f>'Reference Score Calculation'!A371</f>
        <v>JSSA01</v>
      </c>
      <c r="B392" s="391" t="str">
        <f>'Reference Score Calculation'!D371</f>
        <v>護理學榮譽學士</v>
      </c>
      <c r="C392" s="391" t="str">
        <f>'Reference Score Calculation'!E371</f>
        <v>4C1X</v>
      </c>
      <c r="D392" s="391" t="str">
        <f>'Reference Score Calculation'!AD371</f>
        <v>4C1X</v>
      </c>
      <c r="E392" s="185" t="str">
        <f>入學要求!T380</f>
        <v>NO</v>
      </c>
      <c r="F392" s="391" t="str">
        <f>入學要求!U380</f>
        <v>NO</v>
      </c>
      <c r="G392" s="391" t="str">
        <f>入學要求!V380</f>
        <v>NO</v>
      </c>
      <c r="H392" s="185">
        <f>SUMIF(AD392:AM392,TRUE,T392:AC392)</f>
        <v>1.9000000000000001E-9</v>
      </c>
      <c r="I392" s="185">
        <v>1</v>
      </c>
      <c r="J392" s="391">
        <v>1</v>
      </c>
      <c r="K392" s="391">
        <v>1</v>
      </c>
      <c r="L392" s="391">
        <v>1</v>
      </c>
      <c r="M392" s="391">
        <v>1</v>
      </c>
      <c r="N392" s="391">
        <v>1</v>
      </c>
      <c r="O392" s="391">
        <v>1</v>
      </c>
      <c r="P392" s="391">
        <v>1</v>
      </c>
      <c r="Q392" s="391">
        <v>1</v>
      </c>
      <c r="R392" s="391">
        <v>1</v>
      </c>
      <c r="T392" s="185">
        <f>I$13*I392</f>
        <v>1E-10</v>
      </c>
      <c r="U392" s="391">
        <f t="shared" ref="U392:W392" si="608">J$13*J392</f>
        <v>2.0000000000000001E-10</v>
      </c>
      <c r="V392" s="391">
        <f t="shared" si="608"/>
        <v>3E-10</v>
      </c>
      <c r="W392" s="391">
        <f t="shared" si="608"/>
        <v>4.0000000000000001E-10</v>
      </c>
      <c r="X392" s="391">
        <f>IF(E392="v",M$13*M392,0)</f>
        <v>0</v>
      </c>
      <c r="Y392" s="391">
        <f>N$13*N392</f>
        <v>6E-10</v>
      </c>
      <c r="Z392" s="391">
        <f t="shared" ref="Z392" si="609">O$13*O392</f>
        <v>6.9999999999999996E-10</v>
      </c>
      <c r="AA392" s="391">
        <f t="shared" ref="AA392" si="610">P$13*P392</f>
        <v>8.0000000000000003E-10</v>
      </c>
      <c r="AB392" s="391">
        <f t="shared" ref="AB392" si="611">Q$13*Q392</f>
        <v>8.9999999999999999E-10</v>
      </c>
      <c r="AC392" s="391"/>
      <c r="AD392" s="185" t="b">
        <v>1</v>
      </c>
      <c r="AE392" s="391" t="b">
        <v>1</v>
      </c>
      <c r="AF392" s="391" t="b">
        <v>1</v>
      </c>
      <c r="AG392" s="391" t="b">
        <v>1</v>
      </c>
      <c r="AH392" s="185" t="b">
        <f>IF(X392=LARGE($X392:$AC392,1),TRUE)</f>
        <v>0</v>
      </c>
      <c r="AI392" s="391" t="b">
        <f t="shared" ref="AI392:AM392" si="612">IF(Y392=LARGE($X392:$AC392,1),TRUE)</f>
        <v>0</v>
      </c>
      <c r="AJ392" s="391" t="b">
        <f t="shared" si="612"/>
        <v>0</v>
      </c>
      <c r="AK392" s="391" t="b">
        <f t="shared" si="612"/>
        <v>0</v>
      </c>
      <c r="AL392" s="391" t="b">
        <f t="shared" si="612"/>
        <v>1</v>
      </c>
      <c r="AM392" s="391" t="b">
        <f t="shared" si="612"/>
        <v>0</v>
      </c>
    </row>
    <row r="393" spans="1:44" x14ac:dyDescent="0.3">
      <c r="A393" s="391" t="str">
        <f>'Reference Score Calculation'!A372</f>
        <v>JSSA02</v>
      </c>
      <c r="B393" s="391" t="str">
        <f>'Reference Score Calculation'!D372</f>
        <v>數碼娛樂科技（榮譽）理學士</v>
      </c>
      <c r="C393" s="212"/>
      <c r="D393" s="391" t="str">
        <f>'Reference Score Calculation'!AD372</f>
        <v>4C1X</v>
      </c>
      <c r="E393" s="391" t="str">
        <f>入學要求!T381</f>
        <v>v</v>
      </c>
      <c r="F393" s="391" t="str">
        <f>入學要求!U381</f>
        <v>NO</v>
      </c>
      <c r="G393" s="391" t="str">
        <f>入學要求!V381</f>
        <v>v</v>
      </c>
      <c r="H393" s="391">
        <f t="shared" ref="H393:H435" si="613">SUMIF(AD393:AM393,TRUE,T393:AC393)</f>
        <v>1.9000000000000001E-9</v>
      </c>
      <c r="I393" s="391">
        <v>1</v>
      </c>
      <c r="J393" s="391">
        <v>1</v>
      </c>
      <c r="K393" s="391">
        <v>1</v>
      </c>
      <c r="L393" s="391">
        <v>1</v>
      </c>
      <c r="M393" s="391">
        <v>1</v>
      </c>
      <c r="N393" s="391">
        <v>1</v>
      </c>
      <c r="O393" s="391">
        <v>1</v>
      </c>
      <c r="P393" s="391">
        <v>1</v>
      </c>
      <c r="Q393" s="391">
        <v>1</v>
      </c>
      <c r="R393" s="391">
        <v>1</v>
      </c>
      <c r="T393" s="391">
        <f t="shared" ref="T393:T435" si="614">I$13*I393</f>
        <v>1E-10</v>
      </c>
      <c r="U393" s="391">
        <f t="shared" ref="U393:U435" si="615">J$13*J393</f>
        <v>2.0000000000000001E-10</v>
      </c>
      <c r="V393" s="391">
        <f t="shared" ref="V393:V435" si="616">K$13*K393</f>
        <v>3E-10</v>
      </c>
      <c r="W393" s="391">
        <f t="shared" ref="W393:W435" si="617">L$13*L393</f>
        <v>4.0000000000000001E-10</v>
      </c>
      <c r="X393" s="391">
        <f t="shared" ref="X393:X435" si="618">IF(E393="v",M$13*M393,0)</f>
        <v>5.0000000000000003E-10</v>
      </c>
      <c r="Y393" s="391">
        <f t="shared" ref="Y393:Y435" si="619">N$13*N393</f>
        <v>6E-10</v>
      </c>
      <c r="Z393" s="391">
        <f t="shared" ref="Z393:Z435" si="620">O$13*O393</f>
        <v>6.9999999999999996E-10</v>
      </c>
      <c r="AA393" s="391">
        <f t="shared" ref="AA393:AA435" si="621">P$13*P393</f>
        <v>8.0000000000000003E-10</v>
      </c>
      <c r="AB393" s="391">
        <f t="shared" ref="AB393:AB435" si="622">Q$13*Q393</f>
        <v>8.9999999999999999E-10</v>
      </c>
      <c r="AC393" s="391"/>
      <c r="AD393" s="391" t="b">
        <v>1</v>
      </c>
      <c r="AE393" s="391" t="b">
        <v>1</v>
      </c>
      <c r="AF393" s="391" t="b">
        <v>1</v>
      </c>
      <c r="AG393" s="391" t="b">
        <v>1</v>
      </c>
      <c r="AH393" s="391" t="b">
        <f t="shared" ref="AH393:AH434" si="623">IF(X393=LARGE($X393:$AC393,1),TRUE)</f>
        <v>0</v>
      </c>
      <c r="AI393" s="391" t="b">
        <f t="shared" ref="AI393:AI434" si="624">IF(Y393=LARGE($X393:$AC393,1),TRUE)</f>
        <v>0</v>
      </c>
      <c r="AJ393" s="391" t="b">
        <f t="shared" ref="AJ393:AJ434" si="625">IF(Z393=LARGE($X393:$AC393,1),TRUE)</f>
        <v>0</v>
      </c>
      <c r="AK393" s="391" t="b">
        <f t="shared" ref="AK393:AK434" si="626">IF(AA393=LARGE($X393:$AC393,1),TRUE)</f>
        <v>0</v>
      </c>
      <c r="AL393" s="391" t="b">
        <f t="shared" ref="AL393:AL434" si="627">IF(AB393=LARGE($X393:$AC393,1),TRUE)</f>
        <v>1</v>
      </c>
      <c r="AM393" s="391" t="b">
        <f t="shared" ref="AM393:AM434" si="628">IF(AC393=LARGE($X393:$AC393,1),TRUE)</f>
        <v>0</v>
      </c>
    </row>
    <row r="394" spans="1:44" x14ac:dyDescent="0.3">
      <c r="A394" s="391" t="str">
        <f>'Reference Score Calculation'!A373</f>
        <v>JSSA03</v>
      </c>
      <c r="B394" s="391" t="str">
        <f>'Reference Score Calculation'!D373</f>
        <v>物理治療學（榮譽）理學士</v>
      </c>
      <c r="C394" s="212"/>
      <c r="D394" s="391" t="str">
        <f>'Reference Score Calculation'!AD373</f>
        <v>4C1X</v>
      </c>
      <c r="E394" s="391" t="str">
        <f>入學要求!T382</f>
        <v>v</v>
      </c>
      <c r="F394" s="391" t="str">
        <f>入學要求!U382</f>
        <v>NO</v>
      </c>
      <c r="G394" s="391" t="str">
        <f>入學要求!V382</f>
        <v>NO</v>
      </c>
      <c r="H394" s="391">
        <f t="shared" si="613"/>
        <v>1.9000000000000001E-9</v>
      </c>
      <c r="I394" s="391">
        <v>1</v>
      </c>
      <c r="J394" s="391">
        <v>1</v>
      </c>
      <c r="K394" s="391">
        <v>1</v>
      </c>
      <c r="L394" s="391">
        <v>1</v>
      </c>
      <c r="M394" s="391">
        <v>1</v>
      </c>
      <c r="N394" s="391">
        <v>1</v>
      </c>
      <c r="O394" s="391">
        <v>1</v>
      </c>
      <c r="P394" s="391">
        <v>1</v>
      </c>
      <c r="Q394" s="391">
        <v>1</v>
      </c>
      <c r="R394" s="391">
        <v>1</v>
      </c>
      <c r="T394" s="391">
        <f t="shared" si="614"/>
        <v>1E-10</v>
      </c>
      <c r="U394" s="391">
        <f t="shared" si="615"/>
        <v>2.0000000000000001E-10</v>
      </c>
      <c r="V394" s="391">
        <f t="shared" si="616"/>
        <v>3E-10</v>
      </c>
      <c r="W394" s="391">
        <f t="shared" si="617"/>
        <v>4.0000000000000001E-10</v>
      </c>
      <c r="X394" s="391">
        <f t="shared" si="618"/>
        <v>5.0000000000000003E-10</v>
      </c>
      <c r="Y394" s="391">
        <f t="shared" si="619"/>
        <v>6E-10</v>
      </c>
      <c r="Z394" s="391">
        <f t="shared" si="620"/>
        <v>6.9999999999999996E-10</v>
      </c>
      <c r="AA394" s="391">
        <f t="shared" si="621"/>
        <v>8.0000000000000003E-10</v>
      </c>
      <c r="AB394" s="391">
        <f t="shared" si="622"/>
        <v>8.9999999999999999E-10</v>
      </c>
      <c r="AC394" s="391"/>
      <c r="AD394" s="391" t="b">
        <v>1</v>
      </c>
      <c r="AE394" s="391" t="b">
        <v>1</v>
      </c>
      <c r="AF394" s="391" t="b">
        <v>1</v>
      </c>
      <c r="AG394" s="391" t="b">
        <v>1</v>
      </c>
      <c r="AH394" s="391" t="b">
        <f t="shared" si="623"/>
        <v>0</v>
      </c>
      <c r="AI394" s="391" t="b">
        <f t="shared" si="624"/>
        <v>0</v>
      </c>
      <c r="AJ394" s="391" t="b">
        <f t="shared" si="625"/>
        <v>0</v>
      </c>
      <c r="AK394" s="391" t="b">
        <f t="shared" si="626"/>
        <v>0</v>
      </c>
      <c r="AL394" s="391" t="b">
        <f t="shared" si="627"/>
        <v>1</v>
      </c>
      <c r="AM394" s="391" t="b">
        <f t="shared" si="628"/>
        <v>0</v>
      </c>
    </row>
    <row r="395" spans="1:44" x14ac:dyDescent="0.3">
      <c r="A395" s="391" t="str">
        <f>'Reference Score Calculation'!A374</f>
        <v>JSSA04</v>
      </c>
      <c r="B395" s="391" t="str">
        <f>'Reference Score Calculation'!D374</f>
        <v>人工智能（榮譽）理學士</v>
      </c>
      <c r="C395" s="212"/>
      <c r="D395" s="391" t="str">
        <f>'Reference Score Calculation'!AD374</f>
        <v>4C1X</v>
      </c>
      <c r="E395" s="391" t="str">
        <f>入學要求!T383</f>
        <v>v</v>
      </c>
      <c r="F395" s="391" t="str">
        <f>入學要求!U383</f>
        <v>NO</v>
      </c>
      <c r="G395" s="391" t="str">
        <f>入學要求!V383</f>
        <v>NO</v>
      </c>
      <c r="H395" s="391">
        <f t="shared" si="613"/>
        <v>1.9000000000000001E-9</v>
      </c>
      <c r="I395" s="391">
        <v>1</v>
      </c>
      <c r="J395" s="391">
        <v>1</v>
      </c>
      <c r="K395" s="391">
        <v>1</v>
      </c>
      <c r="L395" s="391">
        <v>1</v>
      </c>
      <c r="M395" s="391">
        <v>1</v>
      </c>
      <c r="N395" s="391">
        <v>1</v>
      </c>
      <c r="O395" s="391">
        <v>1</v>
      </c>
      <c r="P395" s="391">
        <v>1</v>
      </c>
      <c r="Q395" s="391">
        <v>1</v>
      </c>
      <c r="R395" s="391">
        <v>1</v>
      </c>
      <c r="T395" s="391">
        <f t="shared" si="614"/>
        <v>1E-10</v>
      </c>
      <c r="U395" s="391">
        <f t="shared" si="615"/>
        <v>2.0000000000000001E-10</v>
      </c>
      <c r="V395" s="391">
        <f t="shared" si="616"/>
        <v>3E-10</v>
      </c>
      <c r="W395" s="391">
        <f t="shared" si="617"/>
        <v>4.0000000000000001E-10</v>
      </c>
      <c r="X395" s="391">
        <f t="shared" si="618"/>
        <v>5.0000000000000003E-10</v>
      </c>
      <c r="Y395" s="391">
        <f t="shared" si="619"/>
        <v>6E-10</v>
      </c>
      <c r="Z395" s="391">
        <f t="shared" si="620"/>
        <v>6.9999999999999996E-10</v>
      </c>
      <c r="AA395" s="391">
        <f t="shared" si="621"/>
        <v>8.0000000000000003E-10</v>
      </c>
      <c r="AB395" s="391">
        <f t="shared" si="622"/>
        <v>8.9999999999999999E-10</v>
      </c>
      <c r="AC395" s="391"/>
      <c r="AD395" s="391" t="b">
        <v>1</v>
      </c>
      <c r="AE395" s="391" t="b">
        <v>1</v>
      </c>
      <c r="AF395" s="391" t="b">
        <v>1</v>
      </c>
      <c r="AG395" s="391" t="b">
        <v>1</v>
      </c>
      <c r="AH395" s="391" t="b">
        <f t="shared" si="623"/>
        <v>0</v>
      </c>
      <c r="AI395" s="391" t="b">
        <f t="shared" si="624"/>
        <v>0</v>
      </c>
      <c r="AJ395" s="391" t="b">
        <f t="shared" si="625"/>
        <v>0</v>
      </c>
      <c r="AK395" s="391" t="b">
        <f t="shared" si="626"/>
        <v>0</v>
      </c>
      <c r="AL395" s="391" t="b">
        <f t="shared" si="627"/>
        <v>1</v>
      </c>
      <c r="AM395" s="391" t="b">
        <f t="shared" si="628"/>
        <v>0</v>
      </c>
    </row>
    <row r="396" spans="1:44" x14ac:dyDescent="0.3">
      <c r="A396" s="391" t="str">
        <f>'Reference Score Calculation'!A375</f>
        <v>JSSC02</v>
      </c>
      <c r="B396" s="391" t="str">
        <f>'Reference Score Calculation'!D375</f>
        <v>建築學（榮譽）理學士</v>
      </c>
      <c r="C396" s="212"/>
      <c r="D396" s="391" t="str">
        <f>'Reference Score Calculation'!AD375</f>
        <v>4C1X</v>
      </c>
      <c r="E396" s="391" t="str">
        <f>入學要求!T384</f>
        <v>v</v>
      </c>
      <c r="F396" s="391" t="str">
        <f>入學要求!U384</f>
        <v>E</v>
      </c>
      <c r="G396" s="391" t="str">
        <f>入學要求!V384</f>
        <v>NO</v>
      </c>
      <c r="H396" s="391">
        <f t="shared" si="613"/>
        <v>1.9500000000000001E-9</v>
      </c>
      <c r="I396" s="391">
        <v>1</v>
      </c>
      <c r="J396" s="391">
        <v>1</v>
      </c>
      <c r="K396" s="391">
        <v>1</v>
      </c>
      <c r="L396" s="391">
        <v>1</v>
      </c>
      <c r="M396" s="391">
        <v>1</v>
      </c>
      <c r="N396" s="391">
        <v>1</v>
      </c>
      <c r="O396" s="391">
        <v>1</v>
      </c>
      <c r="P396" s="391">
        <v>1</v>
      </c>
      <c r="Q396" s="391">
        <v>1</v>
      </c>
      <c r="R396" s="391">
        <v>1</v>
      </c>
      <c r="T396" s="391">
        <f t="shared" si="614"/>
        <v>1E-10</v>
      </c>
      <c r="U396" s="391">
        <f t="shared" si="615"/>
        <v>2.0000000000000001E-10</v>
      </c>
      <c r="V396" s="391">
        <f t="shared" si="616"/>
        <v>3E-10</v>
      </c>
      <c r="W396" s="391">
        <f t="shared" si="617"/>
        <v>4.0000000000000001E-10</v>
      </c>
      <c r="X396" s="391">
        <f t="shared" si="618"/>
        <v>5.0000000000000003E-10</v>
      </c>
      <c r="Y396" s="391">
        <f t="shared" si="619"/>
        <v>6E-10</v>
      </c>
      <c r="Z396" s="391">
        <f t="shared" si="620"/>
        <v>6.9999999999999996E-10</v>
      </c>
      <c r="AA396" s="391">
        <f t="shared" si="621"/>
        <v>8.0000000000000003E-10</v>
      </c>
      <c r="AB396" s="391">
        <f t="shared" si="622"/>
        <v>8.9999999999999999E-10</v>
      </c>
      <c r="AC396" s="391">
        <f>IF(F396="E",T$11*R396,0)</f>
        <v>9.5000000000000003E-10</v>
      </c>
      <c r="AD396" s="391" t="b">
        <v>1</v>
      </c>
      <c r="AE396" s="391" t="b">
        <v>1</v>
      </c>
      <c r="AF396" s="391" t="b">
        <v>1</v>
      </c>
      <c r="AG396" s="391" t="b">
        <v>1</v>
      </c>
      <c r="AH396" s="391" t="b">
        <f t="shared" si="623"/>
        <v>0</v>
      </c>
      <c r="AI396" s="391" t="b">
        <f t="shared" si="624"/>
        <v>0</v>
      </c>
      <c r="AJ396" s="391" t="b">
        <f t="shared" si="625"/>
        <v>0</v>
      </c>
      <c r="AK396" s="391" t="b">
        <f t="shared" si="626"/>
        <v>0</v>
      </c>
      <c r="AL396" s="391" t="b">
        <f t="shared" si="627"/>
        <v>0</v>
      </c>
      <c r="AM396" s="391" t="b">
        <f t="shared" si="628"/>
        <v>1</v>
      </c>
    </row>
    <row r="397" spans="1:44" x14ac:dyDescent="0.3">
      <c r="A397" s="391" t="str">
        <f>'Reference Score Calculation'!A376</f>
        <v>JSSC03</v>
      </c>
      <c r="B397" s="391" t="str">
        <f>'Reference Score Calculation'!D376</f>
        <v>資訊科學（榮譽）理學士</v>
      </c>
      <c r="C397" s="212"/>
      <c r="D397" s="391" t="str">
        <f>'Reference Score Calculation'!AD376</f>
        <v>4C1X</v>
      </c>
      <c r="E397" s="391" t="str">
        <f>入學要求!T385</f>
        <v>v</v>
      </c>
      <c r="F397" s="391" t="str">
        <f>入學要求!U385</f>
        <v>E</v>
      </c>
      <c r="G397" s="391" t="str">
        <f>入學要求!V385</f>
        <v>NO</v>
      </c>
      <c r="H397" s="391">
        <f t="shared" si="613"/>
        <v>1.9500000000000001E-9</v>
      </c>
      <c r="I397" s="391">
        <v>1</v>
      </c>
      <c r="J397" s="391">
        <v>1</v>
      </c>
      <c r="K397" s="391">
        <v>1</v>
      </c>
      <c r="L397" s="391">
        <v>1</v>
      </c>
      <c r="M397" s="391">
        <v>1</v>
      </c>
      <c r="N397" s="391">
        <v>1</v>
      </c>
      <c r="O397" s="391">
        <v>1</v>
      </c>
      <c r="P397" s="391">
        <v>1</v>
      </c>
      <c r="Q397" s="391">
        <v>1</v>
      </c>
      <c r="R397" s="391">
        <v>1</v>
      </c>
      <c r="T397" s="391">
        <f t="shared" si="614"/>
        <v>1E-10</v>
      </c>
      <c r="U397" s="391">
        <f t="shared" si="615"/>
        <v>2.0000000000000001E-10</v>
      </c>
      <c r="V397" s="391">
        <f t="shared" si="616"/>
        <v>3E-10</v>
      </c>
      <c r="W397" s="391">
        <f t="shared" si="617"/>
        <v>4.0000000000000001E-10</v>
      </c>
      <c r="X397" s="391">
        <f t="shared" si="618"/>
        <v>5.0000000000000003E-10</v>
      </c>
      <c r="Y397" s="391">
        <f t="shared" si="619"/>
        <v>6E-10</v>
      </c>
      <c r="Z397" s="391">
        <f t="shared" si="620"/>
        <v>6.9999999999999996E-10</v>
      </c>
      <c r="AA397" s="391">
        <f t="shared" si="621"/>
        <v>8.0000000000000003E-10</v>
      </c>
      <c r="AB397" s="391">
        <f t="shared" si="622"/>
        <v>8.9999999999999999E-10</v>
      </c>
      <c r="AC397" s="391">
        <f t="shared" ref="AC397:AC398" si="629">IF(F397="E",T$11*R397,0)</f>
        <v>9.5000000000000003E-10</v>
      </c>
      <c r="AD397" s="391" t="b">
        <v>1</v>
      </c>
      <c r="AE397" s="391" t="b">
        <v>1</v>
      </c>
      <c r="AF397" s="391" t="b">
        <v>1</v>
      </c>
      <c r="AG397" s="391" t="b">
        <v>1</v>
      </c>
      <c r="AH397" s="391" t="b">
        <f t="shared" si="623"/>
        <v>0</v>
      </c>
      <c r="AI397" s="391" t="b">
        <f t="shared" si="624"/>
        <v>0</v>
      </c>
      <c r="AJ397" s="391" t="b">
        <f t="shared" si="625"/>
        <v>0</v>
      </c>
      <c r="AK397" s="391" t="b">
        <f t="shared" si="626"/>
        <v>0</v>
      </c>
      <c r="AL397" s="391" t="b">
        <f t="shared" si="627"/>
        <v>0</v>
      </c>
      <c r="AM397" s="391" t="b">
        <f t="shared" si="628"/>
        <v>1</v>
      </c>
    </row>
    <row r="398" spans="1:44" x14ac:dyDescent="0.3">
      <c r="A398" s="391" t="str">
        <f>'Reference Score Calculation'!A377</f>
        <v>JSSC04</v>
      </c>
      <c r="B398" s="391" t="str">
        <f>'Reference Score Calculation'!D377</f>
        <v>傳播及跨媒體（榮譽）文學士</v>
      </c>
      <c r="C398" s="212"/>
      <c r="D398" s="391" t="str">
        <f>'Reference Score Calculation'!AD377</f>
        <v>4C1X</v>
      </c>
      <c r="E398" s="391" t="str">
        <f>入學要求!T386</f>
        <v>v</v>
      </c>
      <c r="F398" s="391" t="str">
        <f>入學要求!U386</f>
        <v>E</v>
      </c>
      <c r="G398" s="391" t="str">
        <f>入學要求!V386</f>
        <v>NO</v>
      </c>
      <c r="H398" s="391">
        <f t="shared" si="613"/>
        <v>1.9500000000000001E-9</v>
      </c>
      <c r="I398" s="391">
        <v>1</v>
      </c>
      <c r="J398" s="391">
        <v>1</v>
      </c>
      <c r="K398" s="391">
        <v>1</v>
      </c>
      <c r="L398" s="391">
        <v>1</v>
      </c>
      <c r="M398" s="391">
        <v>1</v>
      </c>
      <c r="N398" s="391">
        <v>1</v>
      </c>
      <c r="O398" s="391">
        <v>1</v>
      </c>
      <c r="P398" s="391">
        <v>1</v>
      </c>
      <c r="Q398" s="391">
        <v>1</v>
      </c>
      <c r="R398" s="391">
        <v>1</v>
      </c>
      <c r="T398" s="391">
        <f t="shared" si="614"/>
        <v>1E-10</v>
      </c>
      <c r="U398" s="391">
        <f t="shared" si="615"/>
        <v>2.0000000000000001E-10</v>
      </c>
      <c r="V398" s="391">
        <f t="shared" si="616"/>
        <v>3E-10</v>
      </c>
      <c r="W398" s="391">
        <f t="shared" si="617"/>
        <v>4.0000000000000001E-10</v>
      </c>
      <c r="X398" s="391">
        <f t="shared" si="618"/>
        <v>5.0000000000000003E-10</v>
      </c>
      <c r="Y398" s="391">
        <f t="shared" si="619"/>
        <v>6E-10</v>
      </c>
      <c r="Z398" s="391">
        <f t="shared" si="620"/>
        <v>6.9999999999999996E-10</v>
      </c>
      <c r="AA398" s="391">
        <f t="shared" si="621"/>
        <v>8.0000000000000003E-10</v>
      </c>
      <c r="AB398" s="391">
        <f t="shared" si="622"/>
        <v>8.9999999999999999E-10</v>
      </c>
      <c r="AC398" s="391">
        <f t="shared" si="629"/>
        <v>9.5000000000000003E-10</v>
      </c>
      <c r="AD398" s="391" t="b">
        <v>1</v>
      </c>
      <c r="AE398" s="391" t="b">
        <v>1</v>
      </c>
      <c r="AF398" s="391" t="b">
        <v>1</v>
      </c>
      <c r="AG398" s="391" t="b">
        <v>1</v>
      </c>
      <c r="AH398" s="391" t="b">
        <f t="shared" si="623"/>
        <v>0</v>
      </c>
      <c r="AI398" s="391" t="b">
        <f t="shared" si="624"/>
        <v>0</v>
      </c>
      <c r="AJ398" s="391" t="b">
        <f t="shared" si="625"/>
        <v>0</v>
      </c>
      <c r="AK398" s="391" t="b">
        <f t="shared" si="626"/>
        <v>0</v>
      </c>
      <c r="AL398" s="391" t="b">
        <f t="shared" si="627"/>
        <v>0</v>
      </c>
      <c r="AM398" s="391" t="b">
        <f t="shared" si="628"/>
        <v>1</v>
      </c>
    </row>
    <row r="399" spans="1:44" x14ac:dyDescent="0.3">
      <c r="A399" s="391" t="str">
        <f>'Reference Score Calculation'!A378</f>
        <v>JSSH01</v>
      </c>
      <c r="B399" s="391" t="str">
        <f>'Reference Score Calculation'!D378</f>
        <v>供應鏈管理工商管理（榮譽）學士</v>
      </c>
      <c r="C399" s="212"/>
      <c r="D399" s="391" t="str">
        <f>'Reference Score Calculation'!AD378</f>
        <v>4C1X</v>
      </c>
      <c r="E399" s="391" t="str">
        <f>入學要求!T387</f>
        <v>NO</v>
      </c>
      <c r="F399" s="391" t="str">
        <f>入學要求!U387</f>
        <v>NO</v>
      </c>
      <c r="G399" s="391" t="str">
        <f>入學要求!V387</f>
        <v>NO</v>
      </c>
      <c r="H399" s="391">
        <f t="shared" si="613"/>
        <v>1.9000000000000001E-9</v>
      </c>
      <c r="I399" s="391">
        <v>1</v>
      </c>
      <c r="J399" s="391">
        <v>1</v>
      </c>
      <c r="K399" s="391">
        <v>1</v>
      </c>
      <c r="L399" s="391">
        <v>1</v>
      </c>
      <c r="M399" s="391">
        <v>1</v>
      </c>
      <c r="N399" s="391">
        <v>1</v>
      </c>
      <c r="O399" s="391">
        <v>1</v>
      </c>
      <c r="P399" s="391">
        <v>1</v>
      </c>
      <c r="Q399" s="391">
        <v>1</v>
      </c>
      <c r="R399" s="391">
        <v>1</v>
      </c>
      <c r="T399" s="391">
        <f t="shared" si="614"/>
        <v>1E-10</v>
      </c>
      <c r="U399" s="391">
        <f t="shared" si="615"/>
        <v>2.0000000000000001E-10</v>
      </c>
      <c r="V399" s="391">
        <f t="shared" si="616"/>
        <v>3E-10</v>
      </c>
      <c r="W399" s="391">
        <f t="shared" si="617"/>
        <v>4.0000000000000001E-10</v>
      </c>
      <c r="X399" s="391">
        <f t="shared" si="618"/>
        <v>0</v>
      </c>
      <c r="Y399" s="391">
        <f t="shared" si="619"/>
        <v>6E-10</v>
      </c>
      <c r="Z399" s="391">
        <f t="shared" si="620"/>
        <v>6.9999999999999996E-10</v>
      </c>
      <c r="AA399" s="391">
        <f t="shared" si="621"/>
        <v>8.0000000000000003E-10</v>
      </c>
      <c r="AB399" s="391">
        <f t="shared" si="622"/>
        <v>8.9999999999999999E-10</v>
      </c>
      <c r="AC399" s="391"/>
      <c r="AD399" s="391" t="b">
        <v>1</v>
      </c>
      <c r="AE399" s="391" t="b">
        <v>1</v>
      </c>
      <c r="AF399" s="391" t="b">
        <v>1</v>
      </c>
      <c r="AG399" s="391" t="b">
        <v>1</v>
      </c>
      <c r="AH399" s="391" t="b">
        <f t="shared" si="623"/>
        <v>0</v>
      </c>
      <c r="AI399" s="391" t="b">
        <f t="shared" si="624"/>
        <v>0</v>
      </c>
      <c r="AJ399" s="391" t="b">
        <f t="shared" si="625"/>
        <v>0</v>
      </c>
      <c r="AK399" s="391" t="b">
        <f t="shared" si="626"/>
        <v>0</v>
      </c>
      <c r="AL399" s="391" t="b">
        <f t="shared" si="627"/>
        <v>1</v>
      </c>
      <c r="AM399" s="391" t="b">
        <f t="shared" si="628"/>
        <v>0</v>
      </c>
    </row>
    <row r="400" spans="1:44" x14ac:dyDescent="0.3">
      <c r="A400" s="391" t="str">
        <f>'Reference Score Calculation'!A379</f>
        <v>JSSH02</v>
      </c>
      <c r="B400" s="391" t="str">
        <f>'Reference Score Calculation'!D379</f>
        <v>精算及保險 （榮譽）理學士</v>
      </c>
      <c r="C400" s="212"/>
      <c r="D400" s="391" t="str">
        <f>'Reference Score Calculation'!AD379</f>
        <v>4C1X</v>
      </c>
      <c r="E400" s="391" t="str">
        <f>入學要求!T388</f>
        <v>NO</v>
      </c>
      <c r="F400" s="391" t="str">
        <f>入學要求!U388</f>
        <v>NO</v>
      </c>
      <c r="G400" s="391" t="str">
        <f>入學要求!V388</f>
        <v>NO</v>
      </c>
      <c r="H400" s="391">
        <f t="shared" si="613"/>
        <v>1.9000000000000001E-9</v>
      </c>
      <c r="I400" s="391">
        <v>1</v>
      </c>
      <c r="J400" s="391">
        <v>1</v>
      </c>
      <c r="K400" s="391">
        <v>1</v>
      </c>
      <c r="L400" s="391">
        <v>1</v>
      </c>
      <c r="M400" s="391">
        <v>1</v>
      </c>
      <c r="N400" s="391">
        <v>1</v>
      </c>
      <c r="O400" s="391">
        <v>1</v>
      </c>
      <c r="P400" s="391">
        <v>1</v>
      </c>
      <c r="Q400" s="391">
        <v>1</v>
      </c>
      <c r="R400" s="391">
        <v>1</v>
      </c>
      <c r="T400" s="391">
        <f t="shared" si="614"/>
        <v>1E-10</v>
      </c>
      <c r="U400" s="391">
        <f t="shared" si="615"/>
        <v>2.0000000000000001E-10</v>
      </c>
      <c r="V400" s="391">
        <f t="shared" si="616"/>
        <v>3E-10</v>
      </c>
      <c r="W400" s="391">
        <f t="shared" si="617"/>
        <v>4.0000000000000001E-10</v>
      </c>
      <c r="X400" s="391">
        <f t="shared" si="618"/>
        <v>0</v>
      </c>
      <c r="Y400" s="391">
        <f t="shared" si="619"/>
        <v>6E-10</v>
      </c>
      <c r="Z400" s="391">
        <f t="shared" si="620"/>
        <v>6.9999999999999996E-10</v>
      </c>
      <c r="AA400" s="391">
        <f t="shared" si="621"/>
        <v>8.0000000000000003E-10</v>
      </c>
      <c r="AB400" s="391">
        <f t="shared" si="622"/>
        <v>8.9999999999999999E-10</v>
      </c>
      <c r="AC400" s="391"/>
      <c r="AD400" s="391" t="b">
        <v>1</v>
      </c>
      <c r="AE400" s="391" t="b">
        <v>1</v>
      </c>
      <c r="AF400" s="391" t="b">
        <v>1</v>
      </c>
      <c r="AG400" s="391" t="b">
        <v>1</v>
      </c>
      <c r="AH400" s="391" t="b">
        <f t="shared" si="623"/>
        <v>0</v>
      </c>
      <c r="AI400" s="391" t="b">
        <f t="shared" si="624"/>
        <v>0</v>
      </c>
      <c r="AJ400" s="391" t="b">
        <f t="shared" si="625"/>
        <v>0</v>
      </c>
      <c r="AK400" s="391" t="b">
        <f t="shared" si="626"/>
        <v>0</v>
      </c>
      <c r="AL400" s="391" t="b">
        <f t="shared" si="627"/>
        <v>1</v>
      </c>
      <c r="AM400" s="391" t="b">
        <f t="shared" si="628"/>
        <v>0</v>
      </c>
    </row>
    <row r="401" spans="1:39" x14ac:dyDescent="0.3">
      <c r="A401" s="391" t="str">
        <f>'Reference Score Calculation'!A380</f>
        <v>JSSH03</v>
      </c>
      <c r="B401" s="391" t="str">
        <f>'Reference Score Calculation'!D380</f>
        <v>計算機應用（榮譽）理學士</v>
      </c>
      <c r="C401" s="212"/>
      <c r="D401" s="391" t="str">
        <f>'Reference Score Calculation'!AD380</f>
        <v>4C1X</v>
      </c>
      <c r="E401" s="391" t="str">
        <f>入學要求!T389</f>
        <v>NO</v>
      </c>
      <c r="F401" s="391" t="str">
        <f>入學要求!U389</f>
        <v>NO</v>
      </c>
      <c r="G401" s="391" t="str">
        <f>入學要求!V389</f>
        <v>NO</v>
      </c>
      <c r="H401" s="391">
        <f t="shared" si="613"/>
        <v>1.9000000000000001E-9</v>
      </c>
      <c r="I401" s="391">
        <v>1</v>
      </c>
      <c r="J401" s="391">
        <v>1</v>
      </c>
      <c r="K401" s="391">
        <v>1</v>
      </c>
      <c r="L401" s="391">
        <v>1</v>
      </c>
      <c r="M401" s="391">
        <v>1</v>
      </c>
      <c r="N401" s="391">
        <v>1</v>
      </c>
      <c r="O401" s="391">
        <v>1</v>
      </c>
      <c r="P401" s="391">
        <v>1</v>
      </c>
      <c r="Q401" s="391">
        <v>1</v>
      </c>
      <c r="R401" s="391">
        <v>1</v>
      </c>
      <c r="T401" s="391">
        <f t="shared" si="614"/>
        <v>1E-10</v>
      </c>
      <c r="U401" s="391">
        <f t="shared" si="615"/>
        <v>2.0000000000000001E-10</v>
      </c>
      <c r="V401" s="391">
        <f t="shared" si="616"/>
        <v>3E-10</v>
      </c>
      <c r="W401" s="391">
        <f t="shared" si="617"/>
        <v>4.0000000000000001E-10</v>
      </c>
      <c r="X401" s="391">
        <f t="shared" si="618"/>
        <v>0</v>
      </c>
      <c r="Y401" s="391">
        <f t="shared" si="619"/>
        <v>6E-10</v>
      </c>
      <c r="Z401" s="391">
        <f t="shared" si="620"/>
        <v>6.9999999999999996E-10</v>
      </c>
      <c r="AA401" s="391">
        <f t="shared" si="621"/>
        <v>8.0000000000000003E-10</v>
      </c>
      <c r="AB401" s="391">
        <f t="shared" si="622"/>
        <v>8.9999999999999999E-10</v>
      </c>
      <c r="AC401" s="391"/>
      <c r="AD401" s="391" t="b">
        <v>1</v>
      </c>
      <c r="AE401" s="391" t="b">
        <v>1</v>
      </c>
      <c r="AF401" s="391" t="b">
        <v>1</v>
      </c>
      <c r="AG401" s="391" t="b">
        <v>1</v>
      </c>
      <c r="AH401" s="391" t="b">
        <f t="shared" si="623"/>
        <v>0</v>
      </c>
      <c r="AI401" s="391" t="b">
        <f t="shared" si="624"/>
        <v>0</v>
      </c>
      <c r="AJ401" s="391" t="b">
        <f t="shared" si="625"/>
        <v>0</v>
      </c>
      <c r="AK401" s="391" t="b">
        <f t="shared" si="626"/>
        <v>0</v>
      </c>
      <c r="AL401" s="391" t="b">
        <f t="shared" si="627"/>
        <v>1</v>
      </c>
      <c r="AM401" s="391" t="b">
        <f t="shared" si="628"/>
        <v>0</v>
      </c>
    </row>
    <row r="402" spans="1:39" x14ac:dyDescent="0.3">
      <c r="A402" s="391" t="str">
        <f>'Reference Score Calculation'!A381</f>
        <v>JSSH04</v>
      </c>
      <c r="B402" s="391" t="str">
        <f>'Reference Score Calculation'!D381</f>
        <v>數據科學及商業智能學（榮譽）理學士</v>
      </c>
      <c r="C402" s="212"/>
      <c r="D402" s="391" t="str">
        <f>'Reference Score Calculation'!AD381</f>
        <v>4C1X</v>
      </c>
      <c r="E402" s="391" t="str">
        <f>入學要求!T390</f>
        <v>NO</v>
      </c>
      <c r="F402" s="391" t="str">
        <f>入學要求!U390</f>
        <v>NO</v>
      </c>
      <c r="G402" s="391" t="str">
        <f>入學要求!V390</f>
        <v>NO</v>
      </c>
      <c r="H402" s="391">
        <f t="shared" si="613"/>
        <v>1.9000000000000001E-9</v>
      </c>
      <c r="I402" s="391">
        <v>1</v>
      </c>
      <c r="J402" s="391">
        <v>1</v>
      </c>
      <c r="K402" s="391">
        <v>1</v>
      </c>
      <c r="L402" s="391">
        <v>1</v>
      </c>
      <c r="M402" s="391">
        <v>1</v>
      </c>
      <c r="N402" s="391">
        <v>1</v>
      </c>
      <c r="O402" s="391">
        <v>1</v>
      </c>
      <c r="P402" s="391">
        <v>1</v>
      </c>
      <c r="Q402" s="391">
        <v>1</v>
      </c>
      <c r="R402" s="391">
        <v>1</v>
      </c>
      <c r="T402" s="391">
        <f t="shared" si="614"/>
        <v>1E-10</v>
      </c>
      <c r="U402" s="391">
        <f t="shared" si="615"/>
        <v>2.0000000000000001E-10</v>
      </c>
      <c r="V402" s="391">
        <f t="shared" si="616"/>
        <v>3E-10</v>
      </c>
      <c r="W402" s="391">
        <f t="shared" si="617"/>
        <v>4.0000000000000001E-10</v>
      </c>
      <c r="X402" s="391">
        <f t="shared" si="618"/>
        <v>0</v>
      </c>
      <c r="Y402" s="391">
        <f t="shared" si="619"/>
        <v>6E-10</v>
      </c>
      <c r="Z402" s="391">
        <f t="shared" si="620"/>
        <v>6.9999999999999996E-10</v>
      </c>
      <c r="AA402" s="391">
        <f t="shared" si="621"/>
        <v>8.0000000000000003E-10</v>
      </c>
      <c r="AB402" s="391">
        <f t="shared" si="622"/>
        <v>8.9999999999999999E-10</v>
      </c>
      <c r="AC402" s="391"/>
      <c r="AD402" s="391" t="b">
        <v>1</v>
      </c>
      <c r="AE402" s="391" t="b">
        <v>1</v>
      </c>
      <c r="AF402" s="391" t="b">
        <v>1</v>
      </c>
      <c r="AG402" s="391" t="b">
        <v>1</v>
      </c>
      <c r="AH402" s="391" t="b">
        <f t="shared" si="623"/>
        <v>0</v>
      </c>
      <c r="AI402" s="391" t="b">
        <f t="shared" si="624"/>
        <v>0</v>
      </c>
      <c r="AJ402" s="391" t="b">
        <f t="shared" si="625"/>
        <v>0</v>
      </c>
      <c r="AK402" s="391" t="b">
        <f t="shared" si="626"/>
        <v>0</v>
      </c>
      <c r="AL402" s="391" t="b">
        <f t="shared" si="627"/>
        <v>1</v>
      </c>
      <c r="AM402" s="391" t="b">
        <f t="shared" si="628"/>
        <v>0</v>
      </c>
    </row>
    <row r="403" spans="1:39" x14ac:dyDescent="0.3">
      <c r="A403" s="391" t="str">
        <f>'Reference Score Calculation'!A382</f>
        <v>JSSH05</v>
      </c>
      <c r="B403" s="391" t="str">
        <f>'Reference Score Calculation'!D382</f>
        <v>管理科學與資訊管理（榮譽）學士</v>
      </c>
      <c r="C403" s="212"/>
      <c r="D403" s="391" t="str">
        <f>'Reference Score Calculation'!AD382</f>
        <v>4C1X</v>
      </c>
      <c r="E403" s="391" t="str">
        <f>入學要求!T391</f>
        <v>NO</v>
      </c>
      <c r="F403" s="391" t="str">
        <f>入學要求!U391</f>
        <v>NO</v>
      </c>
      <c r="G403" s="391" t="str">
        <f>入學要求!V391</f>
        <v>NO</v>
      </c>
      <c r="H403" s="391">
        <f t="shared" si="613"/>
        <v>1.9000000000000001E-9</v>
      </c>
      <c r="I403" s="391">
        <v>1</v>
      </c>
      <c r="J403" s="391">
        <v>1</v>
      </c>
      <c r="K403" s="391">
        <v>1</v>
      </c>
      <c r="L403" s="391">
        <v>1</v>
      </c>
      <c r="M403" s="391">
        <v>1</v>
      </c>
      <c r="N403" s="391">
        <v>1</v>
      </c>
      <c r="O403" s="391">
        <v>1</v>
      </c>
      <c r="P403" s="391">
        <v>1</v>
      </c>
      <c r="Q403" s="391">
        <v>1</v>
      </c>
      <c r="R403" s="391">
        <v>1</v>
      </c>
      <c r="T403" s="391">
        <f t="shared" si="614"/>
        <v>1E-10</v>
      </c>
      <c r="U403" s="391">
        <f t="shared" si="615"/>
        <v>2.0000000000000001E-10</v>
      </c>
      <c r="V403" s="391">
        <f t="shared" si="616"/>
        <v>3E-10</v>
      </c>
      <c r="W403" s="391">
        <f t="shared" si="617"/>
        <v>4.0000000000000001E-10</v>
      </c>
      <c r="X403" s="391">
        <f t="shared" si="618"/>
        <v>0</v>
      </c>
      <c r="Y403" s="391">
        <f t="shared" si="619"/>
        <v>6E-10</v>
      </c>
      <c r="Z403" s="391">
        <f t="shared" si="620"/>
        <v>6.9999999999999996E-10</v>
      </c>
      <c r="AA403" s="391">
        <f t="shared" si="621"/>
        <v>8.0000000000000003E-10</v>
      </c>
      <c r="AB403" s="391">
        <f t="shared" si="622"/>
        <v>8.9999999999999999E-10</v>
      </c>
      <c r="AC403" s="391"/>
      <c r="AD403" s="391" t="b">
        <v>1</v>
      </c>
      <c r="AE403" s="391" t="b">
        <v>1</v>
      </c>
      <c r="AF403" s="391" t="b">
        <v>1</v>
      </c>
      <c r="AG403" s="391" t="b">
        <v>1</v>
      </c>
      <c r="AH403" s="391" t="b">
        <f t="shared" si="623"/>
        <v>0</v>
      </c>
      <c r="AI403" s="391" t="b">
        <f t="shared" si="624"/>
        <v>0</v>
      </c>
      <c r="AJ403" s="391" t="b">
        <f t="shared" si="625"/>
        <v>0</v>
      </c>
      <c r="AK403" s="391" t="b">
        <f t="shared" si="626"/>
        <v>0</v>
      </c>
      <c r="AL403" s="391" t="b">
        <f t="shared" si="627"/>
        <v>1</v>
      </c>
      <c r="AM403" s="391" t="b">
        <f t="shared" si="628"/>
        <v>0</v>
      </c>
    </row>
    <row r="404" spans="1:39" x14ac:dyDescent="0.3">
      <c r="A404" s="391" t="str">
        <f>'Reference Score Calculation'!A383</f>
        <v>JSSH06</v>
      </c>
      <c r="B404" s="391" t="str">
        <f>'Reference Score Calculation'!D383</f>
        <v>藝術設計（榮譽）文學士</v>
      </c>
      <c r="C404" s="212"/>
      <c r="D404" s="391" t="str">
        <f>'Reference Score Calculation'!AD383</f>
        <v>4C1X</v>
      </c>
      <c r="E404" s="391" t="str">
        <f>入學要求!T392</f>
        <v>NO</v>
      </c>
      <c r="F404" s="391" t="str">
        <f>入學要求!U392</f>
        <v>NO</v>
      </c>
      <c r="G404" s="391" t="str">
        <f>入學要求!V392</f>
        <v>NO</v>
      </c>
      <c r="H404" s="391">
        <f t="shared" si="613"/>
        <v>1.9000000000000001E-9</v>
      </c>
      <c r="I404" s="391">
        <v>1</v>
      </c>
      <c r="J404" s="391">
        <v>1</v>
      </c>
      <c r="K404" s="391">
        <v>1</v>
      </c>
      <c r="L404" s="391">
        <v>1</v>
      </c>
      <c r="M404" s="391">
        <v>1</v>
      </c>
      <c r="N404" s="391">
        <v>1</v>
      </c>
      <c r="O404" s="391">
        <v>1</v>
      </c>
      <c r="P404" s="391">
        <v>1</v>
      </c>
      <c r="Q404" s="391">
        <v>1</v>
      </c>
      <c r="R404" s="391">
        <v>1</v>
      </c>
      <c r="T404" s="391">
        <f t="shared" si="614"/>
        <v>1E-10</v>
      </c>
      <c r="U404" s="391">
        <f t="shared" si="615"/>
        <v>2.0000000000000001E-10</v>
      </c>
      <c r="V404" s="391">
        <f t="shared" si="616"/>
        <v>3E-10</v>
      </c>
      <c r="W404" s="391">
        <f t="shared" si="617"/>
        <v>4.0000000000000001E-10</v>
      </c>
      <c r="X404" s="391">
        <f t="shared" si="618"/>
        <v>0</v>
      </c>
      <c r="Y404" s="391">
        <f t="shared" si="619"/>
        <v>6E-10</v>
      </c>
      <c r="Z404" s="391">
        <f t="shared" si="620"/>
        <v>6.9999999999999996E-10</v>
      </c>
      <c r="AA404" s="391">
        <f t="shared" si="621"/>
        <v>8.0000000000000003E-10</v>
      </c>
      <c r="AB404" s="391">
        <f t="shared" si="622"/>
        <v>8.9999999999999999E-10</v>
      </c>
      <c r="AC404" s="391"/>
      <c r="AD404" s="391" t="b">
        <v>1</v>
      </c>
      <c r="AE404" s="391" t="b">
        <v>1</v>
      </c>
      <c r="AF404" s="391" t="b">
        <v>1</v>
      </c>
      <c r="AG404" s="391" t="b">
        <v>1</v>
      </c>
      <c r="AH404" s="391" t="b">
        <f t="shared" si="623"/>
        <v>0</v>
      </c>
      <c r="AI404" s="391" t="b">
        <f t="shared" si="624"/>
        <v>0</v>
      </c>
      <c r="AJ404" s="391" t="b">
        <f t="shared" si="625"/>
        <v>0</v>
      </c>
      <c r="AK404" s="391" t="b">
        <f t="shared" si="626"/>
        <v>0</v>
      </c>
      <c r="AL404" s="391" t="b">
        <f t="shared" si="627"/>
        <v>1</v>
      </c>
      <c r="AM404" s="391" t="b">
        <f t="shared" si="628"/>
        <v>0</v>
      </c>
    </row>
    <row r="405" spans="1:39" x14ac:dyDescent="0.3">
      <c r="A405" s="391" t="str">
        <f>'Reference Score Calculation'!A384</f>
        <v>JSST01</v>
      </c>
      <c r="B405" s="391" t="str">
        <f>'Reference Score Calculation'!D384</f>
        <v>護理學（榮譽）健康科學學士</v>
      </c>
      <c r="C405" s="316"/>
      <c r="D405" s="391" t="str">
        <f>'Reference Score Calculation'!AD384</f>
        <v>Best 5</v>
      </c>
      <c r="E405" s="391" t="str">
        <f>入學要求!T393</f>
        <v>NO</v>
      </c>
      <c r="F405" s="391" t="str">
        <f>入學要求!U393</f>
        <v>NO</v>
      </c>
      <c r="G405" s="391" t="str">
        <f>入學要求!V393</f>
        <v>NO</v>
      </c>
      <c r="H405" s="391">
        <f t="shared" si="613"/>
        <v>3.3999999999999998E-9</v>
      </c>
      <c r="I405" s="391">
        <v>1</v>
      </c>
      <c r="J405" s="391">
        <v>1</v>
      </c>
      <c r="K405" s="391">
        <v>1</v>
      </c>
      <c r="L405" s="391">
        <v>1</v>
      </c>
      <c r="M405" s="391">
        <v>1</v>
      </c>
      <c r="N405" s="391">
        <v>1</v>
      </c>
      <c r="O405" s="391">
        <v>1</v>
      </c>
      <c r="P405" s="391">
        <v>1</v>
      </c>
      <c r="Q405" s="391">
        <v>1</v>
      </c>
      <c r="R405" s="391">
        <v>1</v>
      </c>
      <c r="T405" s="391">
        <f t="shared" si="614"/>
        <v>1E-10</v>
      </c>
      <c r="U405" s="391">
        <f t="shared" si="615"/>
        <v>2.0000000000000001E-10</v>
      </c>
      <c r="V405" s="391">
        <f t="shared" si="616"/>
        <v>3E-10</v>
      </c>
      <c r="W405" s="391">
        <f t="shared" si="617"/>
        <v>4.0000000000000001E-10</v>
      </c>
      <c r="X405" s="391">
        <f t="shared" si="618"/>
        <v>0</v>
      </c>
      <c r="Y405" s="391">
        <f t="shared" si="619"/>
        <v>6E-10</v>
      </c>
      <c r="Z405" s="391">
        <f t="shared" si="620"/>
        <v>6.9999999999999996E-10</v>
      </c>
      <c r="AA405" s="391">
        <f t="shared" si="621"/>
        <v>8.0000000000000003E-10</v>
      </c>
      <c r="AB405" s="391">
        <f t="shared" si="622"/>
        <v>8.9999999999999999E-10</v>
      </c>
      <c r="AC405" s="391"/>
      <c r="AD405" s="391" t="b">
        <f t="shared" ref="AD405:AL405" si="630">IF(T405&gt;LARGE($T405:$AC405,6),TRUE)</f>
        <v>0</v>
      </c>
      <c r="AE405" s="391" t="b">
        <f t="shared" si="630"/>
        <v>0</v>
      </c>
      <c r="AF405" s="391" t="b">
        <f t="shared" si="630"/>
        <v>0</v>
      </c>
      <c r="AG405" s="391" t="b">
        <f t="shared" si="630"/>
        <v>1</v>
      </c>
      <c r="AH405" s="391" t="b">
        <f t="shared" si="630"/>
        <v>0</v>
      </c>
      <c r="AI405" s="391" t="b">
        <f t="shared" si="630"/>
        <v>1</v>
      </c>
      <c r="AJ405" s="391" t="b">
        <f t="shared" si="630"/>
        <v>1</v>
      </c>
      <c r="AK405" s="391" t="b">
        <f t="shared" si="630"/>
        <v>1</v>
      </c>
      <c r="AL405" s="391" t="b">
        <f t="shared" si="630"/>
        <v>1</v>
      </c>
      <c r="AM405" s="391" t="b">
        <f>IF(AC405&gt;LARGE($T405:$AC405,6),TRUE)</f>
        <v>0</v>
      </c>
    </row>
    <row r="406" spans="1:39" x14ac:dyDescent="0.3">
      <c r="A406" s="391" t="str">
        <f>'Reference Score Calculation'!A385</f>
        <v>JSST02</v>
      </c>
      <c r="B406" s="391" t="str">
        <f>'Reference Score Calculation'!D385</f>
        <v>醫療化驗科學（榮譽）理學士</v>
      </c>
      <c r="C406" s="316"/>
      <c r="D406" s="391" t="str">
        <f>'Reference Score Calculation'!AD385</f>
        <v>Best 5</v>
      </c>
      <c r="E406" s="391" t="str">
        <f>入學要求!T394</f>
        <v>NO</v>
      </c>
      <c r="F406" s="391" t="str">
        <f>入學要求!U394</f>
        <v>NO</v>
      </c>
      <c r="G406" s="391" t="str">
        <f>入學要求!V394</f>
        <v>NO</v>
      </c>
      <c r="H406" s="391">
        <f t="shared" si="613"/>
        <v>3.3999999999999998E-9</v>
      </c>
      <c r="I406" s="391">
        <v>1</v>
      </c>
      <c r="J406" s="391">
        <v>1</v>
      </c>
      <c r="K406" s="391">
        <v>1</v>
      </c>
      <c r="L406" s="391">
        <v>1</v>
      </c>
      <c r="M406" s="391">
        <v>1</v>
      </c>
      <c r="N406" s="391">
        <v>1</v>
      </c>
      <c r="O406" s="391">
        <v>1</v>
      </c>
      <c r="P406" s="391">
        <v>1</v>
      </c>
      <c r="Q406" s="391">
        <v>1</v>
      </c>
      <c r="R406" s="391">
        <v>1</v>
      </c>
      <c r="T406" s="391">
        <f t="shared" si="614"/>
        <v>1E-10</v>
      </c>
      <c r="U406" s="391">
        <f t="shared" si="615"/>
        <v>2.0000000000000001E-10</v>
      </c>
      <c r="V406" s="391">
        <f t="shared" si="616"/>
        <v>3E-10</v>
      </c>
      <c r="W406" s="391">
        <f t="shared" si="617"/>
        <v>4.0000000000000001E-10</v>
      </c>
      <c r="X406" s="391">
        <f t="shared" si="618"/>
        <v>0</v>
      </c>
      <c r="Y406" s="391">
        <f t="shared" si="619"/>
        <v>6E-10</v>
      </c>
      <c r="Z406" s="391">
        <f t="shared" si="620"/>
        <v>6.9999999999999996E-10</v>
      </c>
      <c r="AA406" s="391">
        <f t="shared" si="621"/>
        <v>8.0000000000000003E-10</v>
      </c>
      <c r="AB406" s="391">
        <f t="shared" si="622"/>
        <v>8.9999999999999999E-10</v>
      </c>
      <c r="AC406" s="391"/>
      <c r="AD406" s="391" t="b">
        <f t="shared" ref="AD406:AD410" si="631">IF(T406&gt;LARGE($T406:$AC406,6),TRUE)</f>
        <v>0</v>
      </c>
      <c r="AE406" s="391" t="b">
        <f t="shared" ref="AE406:AE410" si="632">IF(U406&gt;LARGE($T406:$AC406,6),TRUE)</f>
        <v>0</v>
      </c>
      <c r="AF406" s="391" t="b">
        <f t="shared" ref="AF406:AF410" si="633">IF(V406&gt;LARGE($T406:$AC406,6),TRUE)</f>
        <v>0</v>
      </c>
      <c r="AG406" s="391" t="b">
        <f t="shared" ref="AG406:AG410" si="634">IF(W406&gt;LARGE($T406:$AC406,6),TRUE)</f>
        <v>1</v>
      </c>
      <c r="AH406" s="391" t="b">
        <f t="shared" ref="AH406:AH410" si="635">IF(X406&gt;LARGE($T406:$AC406,6),TRUE)</f>
        <v>0</v>
      </c>
      <c r="AI406" s="391" t="b">
        <f t="shared" ref="AI406:AI410" si="636">IF(Y406&gt;LARGE($T406:$AC406,6),TRUE)</f>
        <v>1</v>
      </c>
      <c r="AJ406" s="391" t="b">
        <f t="shared" ref="AJ406:AJ410" si="637">IF(Z406&gt;LARGE($T406:$AC406,6),TRUE)</f>
        <v>1</v>
      </c>
      <c r="AK406" s="391" t="b">
        <f t="shared" ref="AK406:AK410" si="638">IF(AA406&gt;LARGE($T406:$AC406,6),TRUE)</f>
        <v>1</v>
      </c>
      <c r="AL406" s="391" t="b">
        <f t="shared" ref="AL406:AL410" si="639">IF(AB406&gt;LARGE($T406:$AC406,6),TRUE)</f>
        <v>1</v>
      </c>
      <c r="AM406" s="391" t="b">
        <f t="shared" ref="AM406:AM410" si="640">IF(AC406&gt;LARGE($T406:$AC406,6),TRUE)</f>
        <v>0</v>
      </c>
    </row>
    <row r="407" spans="1:39" x14ac:dyDescent="0.3">
      <c r="A407" s="391" t="str">
        <f>'Reference Score Calculation'!A386</f>
        <v>JSST03</v>
      </c>
      <c r="B407" s="391" t="str">
        <f>'Reference Score Calculation'!D386</f>
        <v>放射治療學（榮譽）理學士</v>
      </c>
      <c r="C407" s="316"/>
      <c r="D407" s="391" t="str">
        <f>'Reference Score Calculation'!AD386</f>
        <v>Best 5</v>
      </c>
      <c r="E407" s="391" t="str">
        <f>入學要求!T395</f>
        <v>NO</v>
      </c>
      <c r="F407" s="391" t="str">
        <f>入學要求!U395</f>
        <v>NO</v>
      </c>
      <c r="G407" s="391" t="str">
        <f>入學要求!V395</f>
        <v>NO</v>
      </c>
      <c r="H407" s="391">
        <f t="shared" si="613"/>
        <v>3.3999999999999998E-9</v>
      </c>
      <c r="I407" s="391">
        <v>1</v>
      </c>
      <c r="J407" s="391">
        <v>1</v>
      </c>
      <c r="K407" s="391">
        <v>1</v>
      </c>
      <c r="L407" s="391">
        <v>1</v>
      </c>
      <c r="M407" s="391">
        <v>1</v>
      </c>
      <c r="N407" s="391">
        <v>1</v>
      </c>
      <c r="O407" s="391">
        <v>1</v>
      </c>
      <c r="P407" s="391">
        <v>1</v>
      </c>
      <c r="Q407" s="391">
        <v>1</v>
      </c>
      <c r="R407" s="391">
        <v>1</v>
      </c>
      <c r="T407" s="391">
        <f t="shared" si="614"/>
        <v>1E-10</v>
      </c>
      <c r="U407" s="391">
        <f t="shared" si="615"/>
        <v>2.0000000000000001E-10</v>
      </c>
      <c r="V407" s="391">
        <f t="shared" si="616"/>
        <v>3E-10</v>
      </c>
      <c r="W407" s="391">
        <f t="shared" si="617"/>
        <v>4.0000000000000001E-10</v>
      </c>
      <c r="X407" s="391">
        <f t="shared" si="618"/>
        <v>0</v>
      </c>
      <c r="Y407" s="391">
        <f t="shared" si="619"/>
        <v>6E-10</v>
      </c>
      <c r="Z407" s="391">
        <f t="shared" si="620"/>
        <v>6.9999999999999996E-10</v>
      </c>
      <c r="AA407" s="391">
        <f t="shared" si="621"/>
        <v>8.0000000000000003E-10</v>
      </c>
      <c r="AB407" s="391">
        <f t="shared" si="622"/>
        <v>8.9999999999999999E-10</v>
      </c>
      <c r="AC407" s="391"/>
      <c r="AD407" s="391" t="b">
        <f t="shared" si="631"/>
        <v>0</v>
      </c>
      <c r="AE407" s="391" t="b">
        <f t="shared" si="632"/>
        <v>0</v>
      </c>
      <c r="AF407" s="391" t="b">
        <f t="shared" si="633"/>
        <v>0</v>
      </c>
      <c r="AG407" s="391" t="b">
        <f t="shared" si="634"/>
        <v>1</v>
      </c>
      <c r="AH407" s="391" t="b">
        <f t="shared" si="635"/>
        <v>0</v>
      </c>
      <c r="AI407" s="391" t="b">
        <f t="shared" si="636"/>
        <v>1</v>
      </c>
      <c r="AJ407" s="391" t="b">
        <f t="shared" si="637"/>
        <v>1</v>
      </c>
      <c r="AK407" s="391" t="b">
        <f t="shared" si="638"/>
        <v>1</v>
      </c>
      <c r="AL407" s="391" t="b">
        <f t="shared" si="639"/>
        <v>1</v>
      </c>
      <c r="AM407" s="391" t="b">
        <f t="shared" si="640"/>
        <v>0</v>
      </c>
    </row>
    <row r="408" spans="1:39" x14ac:dyDescent="0.3">
      <c r="A408" s="391" t="str">
        <f>'Reference Score Calculation'!A387</f>
        <v>JSST04</v>
      </c>
      <c r="B408" s="391" t="str">
        <f>'Reference Score Calculation'!D387</f>
        <v>職業治療學（榮譽）理學士</v>
      </c>
      <c r="C408" s="316"/>
      <c r="D408" s="391" t="str">
        <f>'Reference Score Calculation'!AD387</f>
        <v>Best 5</v>
      </c>
      <c r="E408" s="391" t="str">
        <f>入學要求!T396</f>
        <v>NO</v>
      </c>
      <c r="F408" s="391" t="str">
        <f>入學要求!U396</f>
        <v>NO</v>
      </c>
      <c r="G408" s="391" t="str">
        <f>入學要求!V396</f>
        <v>NO</v>
      </c>
      <c r="H408" s="391">
        <f t="shared" si="613"/>
        <v>3.3999999999999998E-9</v>
      </c>
      <c r="I408" s="391">
        <v>1</v>
      </c>
      <c r="J408" s="391">
        <v>1</v>
      </c>
      <c r="K408" s="391">
        <v>1</v>
      </c>
      <c r="L408" s="391">
        <v>1</v>
      </c>
      <c r="M408" s="391">
        <v>1</v>
      </c>
      <c r="N408" s="391">
        <v>1</v>
      </c>
      <c r="O408" s="391">
        <v>1</v>
      </c>
      <c r="P408" s="391">
        <v>1</v>
      </c>
      <c r="Q408" s="391">
        <v>1</v>
      </c>
      <c r="R408" s="391">
        <v>1</v>
      </c>
      <c r="T408" s="391">
        <f t="shared" si="614"/>
        <v>1E-10</v>
      </c>
      <c r="U408" s="391">
        <f t="shared" si="615"/>
        <v>2.0000000000000001E-10</v>
      </c>
      <c r="V408" s="391">
        <f t="shared" si="616"/>
        <v>3E-10</v>
      </c>
      <c r="W408" s="391">
        <f t="shared" si="617"/>
        <v>4.0000000000000001E-10</v>
      </c>
      <c r="X408" s="391">
        <f t="shared" si="618"/>
        <v>0</v>
      </c>
      <c r="Y408" s="391">
        <f t="shared" si="619"/>
        <v>6E-10</v>
      </c>
      <c r="Z408" s="391">
        <f t="shared" si="620"/>
        <v>6.9999999999999996E-10</v>
      </c>
      <c r="AA408" s="391">
        <f t="shared" si="621"/>
        <v>8.0000000000000003E-10</v>
      </c>
      <c r="AB408" s="391">
        <f t="shared" si="622"/>
        <v>8.9999999999999999E-10</v>
      </c>
      <c r="AC408" s="391"/>
      <c r="AD408" s="391" t="b">
        <f t="shared" si="631"/>
        <v>0</v>
      </c>
      <c r="AE408" s="391" t="b">
        <f t="shared" si="632"/>
        <v>0</v>
      </c>
      <c r="AF408" s="391" t="b">
        <f t="shared" si="633"/>
        <v>0</v>
      </c>
      <c r="AG408" s="391" t="b">
        <f t="shared" si="634"/>
        <v>1</v>
      </c>
      <c r="AH408" s="391" t="b">
        <f t="shared" si="635"/>
        <v>0</v>
      </c>
      <c r="AI408" s="391" t="b">
        <f t="shared" si="636"/>
        <v>1</v>
      </c>
      <c r="AJ408" s="391" t="b">
        <f t="shared" si="637"/>
        <v>1</v>
      </c>
      <c r="AK408" s="391" t="b">
        <f t="shared" si="638"/>
        <v>1</v>
      </c>
      <c r="AL408" s="391" t="b">
        <f t="shared" si="639"/>
        <v>1</v>
      </c>
      <c r="AM408" s="391" t="b">
        <f t="shared" si="640"/>
        <v>0</v>
      </c>
    </row>
    <row r="409" spans="1:39" x14ac:dyDescent="0.3">
      <c r="A409" s="391" t="str">
        <f>'Reference Score Calculation'!A388</f>
        <v>JSST05</v>
      </c>
      <c r="B409" s="391" t="str">
        <f>'Reference Score Calculation'!D388</f>
        <v>物理治療學(榮譽)理學士</v>
      </c>
      <c r="C409" s="316"/>
      <c r="D409" s="391" t="str">
        <f>'Reference Score Calculation'!AD388</f>
        <v>Best 5</v>
      </c>
      <c r="E409" s="391" t="str">
        <f>入學要求!T397</f>
        <v>NO</v>
      </c>
      <c r="F409" s="391" t="str">
        <f>入學要求!U397</f>
        <v>NO</v>
      </c>
      <c r="G409" s="391" t="str">
        <f>入學要求!V397</f>
        <v>NO</v>
      </c>
      <c r="H409" s="391">
        <f t="shared" si="613"/>
        <v>3.3999999999999998E-9</v>
      </c>
      <c r="I409" s="391">
        <v>1</v>
      </c>
      <c r="J409" s="391">
        <v>1</v>
      </c>
      <c r="K409" s="391">
        <v>1</v>
      </c>
      <c r="L409" s="391">
        <v>1</v>
      </c>
      <c r="M409" s="391">
        <v>1</v>
      </c>
      <c r="N409" s="391">
        <v>1</v>
      </c>
      <c r="O409" s="391">
        <v>1</v>
      </c>
      <c r="P409" s="391">
        <v>1</v>
      </c>
      <c r="Q409" s="391">
        <v>1</v>
      </c>
      <c r="R409" s="391">
        <v>1</v>
      </c>
      <c r="T409" s="391">
        <f t="shared" si="614"/>
        <v>1E-10</v>
      </c>
      <c r="U409" s="391">
        <f t="shared" si="615"/>
        <v>2.0000000000000001E-10</v>
      </c>
      <c r="V409" s="391">
        <f t="shared" si="616"/>
        <v>3E-10</v>
      </c>
      <c r="W409" s="391">
        <f t="shared" si="617"/>
        <v>4.0000000000000001E-10</v>
      </c>
      <c r="X409" s="391">
        <f t="shared" si="618"/>
        <v>0</v>
      </c>
      <c r="Y409" s="391">
        <f t="shared" si="619"/>
        <v>6E-10</v>
      </c>
      <c r="Z409" s="391">
        <f t="shared" si="620"/>
        <v>6.9999999999999996E-10</v>
      </c>
      <c r="AA409" s="391">
        <f t="shared" si="621"/>
        <v>8.0000000000000003E-10</v>
      </c>
      <c r="AB409" s="391">
        <f t="shared" si="622"/>
        <v>8.9999999999999999E-10</v>
      </c>
      <c r="AC409" s="391"/>
      <c r="AD409" s="391" t="b">
        <f t="shared" si="631"/>
        <v>0</v>
      </c>
      <c r="AE409" s="391" t="b">
        <f t="shared" si="632"/>
        <v>0</v>
      </c>
      <c r="AF409" s="391" t="b">
        <f t="shared" si="633"/>
        <v>0</v>
      </c>
      <c r="AG409" s="391" t="b">
        <f t="shared" si="634"/>
        <v>1</v>
      </c>
      <c r="AH409" s="391" t="b">
        <f t="shared" si="635"/>
        <v>0</v>
      </c>
      <c r="AI409" s="391" t="b">
        <f t="shared" si="636"/>
        <v>1</v>
      </c>
      <c r="AJ409" s="391" t="b">
        <f t="shared" si="637"/>
        <v>1</v>
      </c>
      <c r="AK409" s="391" t="b">
        <f t="shared" si="638"/>
        <v>1</v>
      </c>
      <c r="AL409" s="391" t="b">
        <f t="shared" si="639"/>
        <v>1</v>
      </c>
      <c r="AM409" s="391" t="b">
        <f t="shared" si="640"/>
        <v>0</v>
      </c>
    </row>
    <row r="410" spans="1:39" x14ac:dyDescent="0.3">
      <c r="A410" s="391" t="str">
        <f>'Reference Score Calculation'!A389</f>
        <v>JSST06</v>
      </c>
      <c r="B410" s="391" t="str">
        <f>'Reference Score Calculation'!D389</f>
        <v>應用老年學(榮譽)理學士</v>
      </c>
      <c r="C410" s="212"/>
      <c r="D410" s="391" t="str">
        <f>'Reference Score Calculation'!AD389</f>
        <v>Best 5</v>
      </c>
      <c r="E410" s="391" t="str">
        <f>入學要求!T398</f>
        <v>NO</v>
      </c>
      <c r="F410" s="391" t="str">
        <f>入學要求!U398</f>
        <v>NO</v>
      </c>
      <c r="G410" s="391" t="str">
        <f>入學要求!V398</f>
        <v>NO</v>
      </c>
      <c r="H410" s="391">
        <f t="shared" si="613"/>
        <v>3.3999999999999998E-9</v>
      </c>
      <c r="I410" s="391">
        <v>1</v>
      </c>
      <c r="J410" s="391">
        <v>1</v>
      </c>
      <c r="K410" s="391">
        <v>1</v>
      </c>
      <c r="L410" s="391">
        <v>1</v>
      </c>
      <c r="M410" s="391">
        <v>1</v>
      </c>
      <c r="N410" s="391">
        <v>1</v>
      </c>
      <c r="O410" s="391">
        <v>1</v>
      </c>
      <c r="P410" s="391">
        <v>1</v>
      </c>
      <c r="Q410" s="391">
        <v>1</v>
      </c>
      <c r="R410" s="391">
        <v>1</v>
      </c>
      <c r="T410" s="391">
        <f t="shared" si="614"/>
        <v>1E-10</v>
      </c>
      <c r="U410" s="391">
        <f t="shared" si="615"/>
        <v>2.0000000000000001E-10</v>
      </c>
      <c r="V410" s="391">
        <f t="shared" si="616"/>
        <v>3E-10</v>
      </c>
      <c r="W410" s="391">
        <f t="shared" si="617"/>
        <v>4.0000000000000001E-10</v>
      </c>
      <c r="X410" s="391">
        <f t="shared" si="618"/>
        <v>0</v>
      </c>
      <c r="Y410" s="391">
        <f t="shared" si="619"/>
        <v>6E-10</v>
      </c>
      <c r="Z410" s="391">
        <f t="shared" si="620"/>
        <v>6.9999999999999996E-10</v>
      </c>
      <c r="AA410" s="391">
        <f t="shared" si="621"/>
        <v>8.0000000000000003E-10</v>
      </c>
      <c r="AB410" s="391">
        <f t="shared" si="622"/>
        <v>8.9999999999999999E-10</v>
      </c>
      <c r="AC410" s="391"/>
      <c r="AD410" s="391" t="b">
        <f t="shared" si="631"/>
        <v>0</v>
      </c>
      <c r="AE410" s="391" t="b">
        <f t="shared" si="632"/>
        <v>0</v>
      </c>
      <c r="AF410" s="391" t="b">
        <f t="shared" si="633"/>
        <v>0</v>
      </c>
      <c r="AG410" s="391" t="b">
        <f t="shared" si="634"/>
        <v>1</v>
      </c>
      <c r="AH410" s="391" t="b">
        <f t="shared" si="635"/>
        <v>0</v>
      </c>
      <c r="AI410" s="391" t="b">
        <f t="shared" si="636"/>
        <v>1</v>
      </c>
      <c r="AJ410" s="391" t="b">
        <f t="shared" si="637"/>
        <v>1</v>
      </c>
      <c r="AK410" s="391" t="b">
        <f t="shared" si="638"/>
        <v>1</v>
      </c>
      <c r="AL410" s="391" t="b">
        <f t="shared" si="639"/>
        <v>1</v>
      </c>
      <c r="AM410" s="391" t="b">
        <f t="shared" si="640"/>
        <v>0</v>
      </c>
    </row>
    <row r="411" spans="1:39" x14ac:dyDescent="0.3">
      <c r="A411" s="391" t="str">
        <f>'Reference Score Calculation'!A390</f>
        <v>JSSU12</v>
      </c>
      <c r="B411" s="391" t="str">
        <f>'Reference Score Calculation'!D390</f>
        <v>創意寫作與電影藝術榮譽文學士</v>
      </c>
      <c r="C411" s="212"/>
      <c r="D411" s="391" t="str">
        <f>'Reference Score Calculation'!AD390</f>
        <v>4C1X</v>
      </c>
      <c r="E411" s="391" t="str">
        <f>入學要求!T399</f>
        <v>v</v>
      </c>
      <c r="F411" s="391" t="str">
        <f>入學要求!U399</f>
        <v>E</v>
      </c>
      <c r="G411" s="391" t="str">
        <f>入學要求!V399</f>
        <v>v</v>
      </c>
      <c r="H411" s="391">
        <f t="shared" si="613"/>
        <v>2.0999999999999998E-9</v>
      </c>
      <c r="I411" s="391">
        <v>1.5</v>
      </c>
      <c r="J411" s="391">
        <v>1.5</v>
      </c>
      <c r="K411" s="391">
        <v>1</v>
      </c>
      <c r="L411" s="391">
        <v>1</v>
      </c>
      <c r="M411" s="391">
        <v>1</v>
      </c>
      <c r="N411" s="391">
        <v>1</v>
      </c>
      <c r="O411" s="391">
        <v>1</v>
      </c>
      <c r="P411" s="391">
        <v>1</v>
      </c>
      <c r="Q411" s="391">
        <v>1</v>
      </c>
      <c r="R411" s="391">
        <v>1</v>
      </c>
      <c r="T411" s="391">
        <f t="shared" si="614"/>
        <v>1.5E-10</v>
      </c>
      <c r="U411" s="391">
        <f t="shared" si="615"/>
        <v>3E-10</v>
      </c>
      <c r="V411" s="391">
        <f t="shared" si="616"/>
        <v>3E-10</v>
      </c>
      <c r="W411" s="391">
        <f t="shared" si="617"/>
        <v>4.0000000000000001E-10</v>
      </c>
      <c r="X411" s="391">
        <f t="shared" si="618"/>
        <v>5.0000000000000003E-10</v>
      </c>
      <c r="Y411" s="391">
        <f t="shared" si="619"/>
        <v>6E-10</v>
      </c>
      <c r="Z411" s="391">
        <f t="shared" si="620"/>
        <v>6.9999999999999996E-10</v>
      </c>
      <c r="AA411" s="391">
        <f t="shared" si="621"/>
        <v>8.0000000000000003E-10</v>
      </c>
      <c r="AB411" s="391">
        <f t="shared" si="622"/>
        <v>8.9999999999999999E-10</v>
      </c>
      <c r="AC411" s="391">
        <f>IF(F411="E",R$11*R411,0)</f>
        <v>9.5000000000000003E-10</v>
      </c>
      <c r="AD411" s="391" t="b">
        <v>1</v>
      </c>
      <c r="AE411" s="391" t="b">
        <v>1</v>
      </c>
      <c r="AF411" s="391" t="b">
        <v>1</v>
      </c>
      <c r="AG411" s="391" t="b">
        <v>1</v>
      </c>
      <c r="AH411" s="391" t="b">
        <f t="shared" si="623"/>
        <v>0</v>
      </c>
      <c r="AI411" s="391" t="b">
        <f t="shared" si="624"/>
        <v>0</v>
      </c>
      <c r="AJ411" s="391" t="b">
        <f t="shared" si="625"/>
        <v>0</v>
      </c>
      <c r="AK411" s="391" t="b">
        <f t="shared" si="626"/>
        <v>0</v>
      </c>
      <c r="AL411" s="391" t="b">
        <f t="shared" si="627"/>
        <v>0</v>
      </c>
      <c r="AM411" s="391" t="b">
        <f t="shared" si="628"/>
        <v>1</v>
      </c>
    </row>
    <row r="412" spans="1:39" x14ac:dyDescent="0.3">
      <c r="A412" s="391" t="str">
        <f>'Reference Score Calculation'!A391</f>
        <v>JSSU14</v>
      </c>
      <c r="B412" s="391" t="str">
        <f>'Reference Score Calculation'!D391</f>
        <v>動畫及視覺特效榮譽藝術學士</v>
      </c>
      <c r="C412" s="212"/>
      <c r="D412" s="391" t="str">
        <f>'Reference Score Calculation'!AD391</f>
        <v>4C1X</v>
      </c>
      <c r="E412" s="391" t="str">
        <f>入學要求!T400</f>
        <v>v</v>
      </c>
      <c r="F412" s="391" t="str">
        <f>入學要求!U400</f>
        <v>E</v>
      </c>
      <c r="G412" s="391" t="str">
        <f>入學要求!V400</f>
        <v>v</v>
      </c>
      <c r="H412" s="391">
        <f t="shared" si="613"/>
        <v>1.9500000000000001E-9</v>
      </c>
      <c r="I412" s="391">
        <v>1</v>
      </c>
      <c r="J412" s="391">
        <v>1</v>
      </c>
      <c r="K412" s="391">
        <v>1</v>
      </c>
      <c r="L412" s="391">
        <v>1</v>
      </c>
      <c r="M412" s="391">
        <v>1</v>
      </c>
      <c r="N412" s="391">
        <v>1</v>
      </c>
      <c r="O412" s="391">
        <v>1</v>
      </c>
      <c r="P412" s="391">
        <v>1</v>
      </c>
      <c r="Q412" s="391">
        <v>1</v>
      </c>
      <c r="R412" s="391">
        <v>1</v>
      </c>
      <c r="S412" s="391"/>
      <c r="T412" s="391">
        <f t="shared" si="614"/>
        <v>1E-10</v>
      </c>
      <c r="U412" s="391">
        <f t="shared" si="615"/>
        <v>2.0000000000000001E-10</v>
      </c>
      <c r="V412" s="391">
        <f t="shared" si="616"/>
        <v>3E-10</v>
      </c>
      <c r="W412" s="391">
        <f t="shared" si="617"/>
        <v>4.0000000000000001E-10</v>
      </c>
      <c r="X412" s="391">
        <f t="shared" si="618"/>
        <v>5.0000000000000003E-10</v>
      </c>
      <c r="Y412" s="391">
        <f t="shared" si="619"/>
        <v>6E-10</v>
      </c>
      <c r="Z412" s="391">
        <f t="shared" si="620"/>
        <v>6.9999999999999996E-10</v>
      </c>
      <c r="AA412" s="391">
        <f t="shared" si="621"/>
        <v>8.0000000000000003E-10</v>
      </c>
      <c r="AB412" s="391">
        <f t="shared" si="622"/>
        <v>8.9999999999999999E-10</v>
      </c>
      <c r="AC412" s="391">
        <f t="shared" ref="AC412:AC435" si="641">IF(F412="E",R$11*R412,0)</f>
        <v>9.5000000000000003E-10</v>
      </c>
      <c r="AD412" s="391" t="b">
        <v>1</v>
      </c>
      <c r="AE412" s="391" t="b">
        <v>1</v>
      </c>
      <c r="AF412" s="391" t="b">
        <v>1</v>
      </c>
      <c r="AG412" s="391" t="b">
        <v>1</v>
      </c>
      <c r="AH412" s="391" t="b">
        <f t="shared" si="623"/>
        <v>0</v>
      </c>
      <c r="AI412" s="391" t="b">
        <f t="shared" si="624"/>
        <v>0</v>
      </c>
      <c r="AJ412" s="391" t="b">
        <f t="shared" si="625"/>
        <v>0</v>
      </c>
      <c r="AK412" s="391" t="b">
        <f t="shared" si="626"/>
        <v>0</v>
      </c>
      <c r="AL412" s="391" t="b">
        <f t="shared" si="627"/>
        <v>0</v>
      </c>
      <c r="AM412" s="391" t="b">
        <f t="shared" si="628"/>
        <v>1</v>
      </c>
    </row>
    <row r="413" spans="1:39" x14ac:dyDescent="0.3">
      <c r="A413" s="391" t="str">
        <f>'Reference Score Calculation'!A392</f>
        <v>JSSU15</v>
      </c>
      <c r="B413" s="391" t="str">
        <f>'Reference Score Calculation'!D392</f>
        <v>影像設計及數碼藝術榮譽藝術學士</v>
      </c>
      <c r="C413" s="212"/>
      <c r="D413" s="391" t="str">
        <f>'Reference Score Calculation'!AD392</f>
        <v>4C1X</v>
      </c>
      <c r="E413" s="391" t="str">
        <f>入學要求!T401</f>
        <v>v</v>
      </c>
      <c r="F413" s="391" t="str">
        <f>入學要求!U401</f>
        <v>E</v>
      </c>
      <c r="G413" s="391" t="str">
        <f>入學要求!V401</f>
        <v>v</v>
      </c>
      <c r="H413" s="391">
        <f t="shared" si="613"/>
        <v>1.9500000000000001E-9</v>
      </c>
      <c r="I413" s="391">
        <v>1</v>
      </c>
      <c r="J413" s="391">
        <v>1</v>
      </c>
      <c r="K413" s="391">
        <v>1</v>
      </c>
      <c r="L413" s="391">
        <v>1</v>
      </c>
      <c r="M413" s="391">
        <v>1</v>
      </c>
      <c r="N413" s="391">
        <v>1</v>
      </c>
      <c r="O413" s="391">
        <v>1</v>
      </c>
      <c r="P413" s="391">
        <v>1</v>
      </c>
      <c r="Q413" s="391">
        <v>1</v>
      </c>
      <c r="R413" s="391">
        <v>1</v>
      </c>
      <c r="S413" s="391"/>
      <c r="T413" s="391">
        <f t="shared" si="614"/>
        <v>1E-10</v>
      </c>
      <c r="U413" s="391">
        <f t="shared" si="615"/>
        <v>2.0000000000000001E-10</v>
      </c>
      <c r="V413" s="391">
        <f t="shared" si="616"/>
        <v>3E-10</v>
      </c>
      <c r="W413" s="391">
        <f t="shared" si="617"/>
        <v>4.0000000000000001E-10</v>
      </c>
      <c r="X413" s="391">
        <f t="shared" si="618"/>
        <v>5.0000000000000003E-10</v>
      </c>
      <c r="Y413" s="391">
        <f t="shared" si="619"/>
        <v>6E-10</v>
      </c>
      <c r="Z413" s="391">
        <f t="shared" si="620"/>
        <v>6.9999999999999996E-10</v>
      </c>
      <c r="AA413" s="391">
        <f t="shared" si="621"/>
        <v>8.0000000000000003E-10</v>
      </c>
      <c r="AB413" s="391">
        <f t="shared" si="622"/>
        <v>8.9999999999999999E-10</v>
      </c>
      <c r="AC413" s="391">
        <f t="shared" si="641"/>
        <v>9.5000000000000003E-10</v>
      </c>
      <c r="AD413" s="391" t="b">
        <v>1</v>
      </c>
      <c r="AE413" s="391" t="b">
        <v>1</v>
      </c>
      <c r="AF413" s="391" t="b">
        <v>1</v>
      </c>
      <c r="AG413" s="391" t="b">
        <v>1</v>
      </c>
      <c r="AH413" s="391" t="b">
        <f t="shared" si="623"/>
        <v>0</v>
      </c>
      <c r="AI413" s="391" t="b">
        <f t="shared" si="624"/>
        <v>0</v>
      </c>
      <c r="AJ413" s="391" t="b">
        <f t="shared" si="625"/>
        <v>0</v>
      </c>
      <c r="AK413" s="391" t="b">
        <f t="shared" si="626"/>
        <v>0</v>
      </c>
      <c r="AL413" s="391" t="b">
        <f t="shared" si="627"/>
        <v>0</v>
      </c>
      <c r="AM413" s="391" t="b">
        <f t="shared" si="628"/>
        <v>1</v>
      </c>
    </row>
    <row r="414" spans="1:39" x14ac:dyDescent="0.3">
      <c r="A414" s="391" t="str">
        <f>'Reference Score Calculation'!A393</f>
        <v>JSSU40</v>
      </c>
      <c r="B414" s="391" t="str">
        <f>'Reference Score Calculation'!D393</f>
        <v>護理學榮譽學士（普通科）</v>
      </c>
      <c r="C414" s="212"/>
      <c r="D414" s="391" t="str">
        <f>'Reference Score Calculation'!AD393</f>
        <v>4C1X</v>
      </c>
      <c r="E414" s="391" t="str">
        <f>入學要求!T402</f>
        <v>v</v>
      </c>
      <c r="F414" s="391" t="str">
        <f>入學要求!U402</f>
        <v>E</v>
      </c>
      <c r="G414" s="391" t="str">
        <f>入學要求!V402</f>
        <v>v</v>
      </c>
      <c r="H414" s="391">
        <f t="shared" si="613"/>
        <v>1.9500000000000001E-9</v>
      </c>
      <c r="I414" s="391">
        <v>1</v>
      </c>
      <c r="J414" s="391">
        <v>1</v>
      </c>
      <c r="K414" s="391">
        <v>1</v>
      </c>
      <c r="L414" s="391">
        <v>1</v>
      </c>
      <c r="M414" s="391">
        <v>1</v>
      </c>
      <c r="N414" s="391">
        <f>IF(OR(N$1="生物",N$1="化學",N$1="物理",N$1="組合科學(物理、化學)",N$1="組合科學(生物、化學)",N$1="組合科學(物理、生物)",N$1="綜合科學"),1.2,1)</f>
        <v>1</v>
      </c>
      <c r="O414" s="391">
        <f t="shared" ref="O414:R415" si="642">IF(OR(O$1="生物",O$1="化學",O$1="物理",O$1="組合科學(物理、化學)",O$1="組合科學(生物、化學)",O$1="組合科學(物理、生物)",O$1="綜合科學"),1.2,1)</f>
        <v>1</v>
      </c>
      <c r="P414" s="391">
        <f t="shared" si="642"/>
        <v>1</v>
      </c>
      <c r="Q414" s="391">
        <f t="shared" si="642"/>
        <v>1</v>
      </c>
      <c r="R414" s="391">
        <v>1</v>
      </c>
      <c r="T414" s="391">
        <f t="shared" si="614"/>
        <v>1E-10</v>
      </c>
      <c r="U414" s="391">
        <f t="shared" si="615"/>
        <v>2.0000000000000001E-10</v>
      </c>
      <c r="V414" s="391">
        <f t="shared" si="616"/>
        <v>3E-10</v>
      </c>
      <c r="W414" s="391">
        <f t="shared" si="617"/>
        <v>4.0000000000000001E-10</v>
      </c>
      <c r="X414" s="391">
        <f t="shared" si="618"/>
        <v>5.0000000000000003E-10</v>
      </c>
      <c r="Y414" s="391">
        <f t="shared" si="619"/>
        <v>6E-10</v>
      </c>
      <c r="Z414" s="391">
        <f t="shared" si="620"/>
        <v>6.9999999999999996E-10</v>
      </c>
      <c r="AA414" s="391">
        <f t="shared" si="621"/>
        <v>8.0000000000000003E-10</v>
      </c>
      <c r="AB414" s="391">
        <f t="shared" si="622"/>
        <v>8.9999999999999999E-10</v>
      </c>
      <c r="AC414" s="391">
        <f t="shared" si="641"/>
        <v>9.5000000000000003E-10</v>
      </c>
      <c r="AD414" s="391" t="b">
        <v>1</v>
      </c>
      <c r="AE414" s="391" t="b">
        <v>1</v>
      </c>
      <c r="AF414" s="391" t="b">
        <v>1</v>
      </c>
      <c r="AG414" s="391" t="b">
        <v>1</v>
      </c>
      <c r="AH414" s="391" t="b">
        <f t="shared" si="623"/>
        <v>0</v>
      </c>
      <c r="AI414" s="391" t="b">
        <f t="shared" si="624"/>
        <v>0</v>
      </c>
      <c r="AJ414" s="391" t="b">
        <f t="shared" si="625"/>
        <v>0</v>
      </c>
      <c r="AK414" s="391" t="b">
        <f t="shared" si="626"/>
        <v>0</v>
      </c>
      <c r="AL414" s="391" t="b">
        <f t="shared" si="627"/>
        <v>0</v>
      </c>
      <c r="AM414" s="391" t="b">
        <f t="shared" si="628"/>
        <v>1</v>
      </c>
    </row>
    <row r="415" spans="1:39" x14ac:dyDescent="0.3">
      <c r="A415" s="391" t="str">
        <f>'Reference Score Calculation'!A394</f>
        <v>JSSU50</v>
      </c>
      <c r="B415" s="391" t="str">
        <f>'Reference Score Calculation'!D394</f>
        <v>護理學榮譽學士（精神科）</v>
      </c>
      <c r="C415" s="212"/>
      <c r="D415" s="391" t="str">
        <f>'Reference Score Calculation'!AD394</f>
        <v>4C1X</v>
      </c>
      <c r="E415" s="391" t="str">
        <f>入學要求!T403</f>
        <v>v</v>
      </c>
      <c r="F415" s="391" t="str">
        <f>入學要求!U403</f>
        <v>E</v>
      </c>
      <c r="G415" s="391" t="str">
        <f>入學要求!V403</f>
        <v>v</v>
      </c>
      <c r="H415" s="391">
        <f t="shared" si="613"/>
        <v>1.9500000000000001E-9</v>
      </c>
      <c r="I415" s="391">
        <v>1</v>
      </c>
      <c r="J415" s="391">
        <v>1</v>
      </c>
      <c r="K415" s="391">
        <v>1</v>
      </c>
      <c r="L415" s="391">
        <v>1</v>
      </c>
      <c r="M415" s="391">
        <v>1</v>
      </c>
      <c r="N415" s="391">
        <f>IF(OR(N$1="生物",N$1="化學",N$1="物理",N$1="組合科學(物理、化學)",N$1="組合科學(生物、化學)",N$1="組合科學(物理、生物)",N$1="綜合科學"),1.2,1)</f>
        <v>1</v>
      </c>
      <c r="O415" s="391">
        <f t="shared" si="642"/>
        <v>1</v>
      </c>
      <c r="P415" s="391">
        <f t="shared" si="642"/>
        <v>1</v>
      </c>
      <c r="Q415" s="391">
        <f t="shared" si="642"/>
        <v>1</v>
      </c>
      <c r="R415" s="391">
        <f t="shared" si="642"/>
        <v>1</v>
      </c>
      <c r="T415" s="391">
        <f t="shared" si="614"/>
        <v>1E-10</v>
      </c>
      <c r="U415" s="391">
        <f t="shared" si="615"/>
        <v>2.0000000000000001E-10</v>
      </c>
      <c r="V415" s="391">
        <f t="shared" si="616"/>
        <v>3E-10</v>
      </c>
      <c r="W415" s="391">
        <f t="shared" si="617"/>
        <v>4.0000000000000001E-10</v>
      </c>
      <c r="X415" s="391">
        <f t="shared" si="618"/>
        <v>5.0000000000000003E-10</v>
      </c>
      <c r="Y415" s="391">
        <f t="shared" si="619"/>
        <v>6E-10</v>
      </c>
      <c r="Z415" s="391">
        <f t="shared" si="620"/>
        <v>6.9999999999999996E-10</v>
      </c>
      <c r="AA415" s="391">
        <f t="shared" si="621"/>
        <v>8.0000000000000003E-10</v>
      </c>
      <c r="AB415" s="391">
        <f t="shared" si="622"/>
        <v>8.9999999999999999E-10</v>
      </c>
      <c r="AC415" s="391">
        <f t="shared" si="641"/>
        <v>9.5000000000000003E-10</v>
      </c>
      <c r="AD415" s="391" t="b">
        <v>1</v>
      </c>
      <c r="AE415" s="391" t="b">
        <v>1</v>
      </c>
      <c r="AF415" s="391" t="b">
        <v>1</v>
      </c>
      <c r="AG415" s="391" t="b">
        <v>1</v>
      </c>
      <c r="AH415" s="391" t="b">
        <f t="shared" si="623"/>
        <v>0</v>
      </c>
      <c r="AI415" s="391" t="b">
        <f t="shared" si="624"/>
        <v>0</v>
      </c>
      <c r="AJ415" s="391" t="b">
        <f t="shared" si="625"/>
        <v>0</v>
      </c>
      <c r="AK415" s="391" t="b">
        <f t="shared" si="626"/>
        <v>0</v>
      </c>
      <c r="AL415" s="391" t="b">
        <f t="shared" si="627"/>
        <v>0</v>
      </c>
      <c r="AM415" s="391" t="b">
        <f t="shared" si="628"/>
        <v>1</v>
      </c>
    </row>
    <row r="416" spans="1:39" x14ac:dyDescent="0.3">
      <c r="A416" s="391" t="str">
        <f>'Reference Score Calculation'!A395</f>
        <v>JSSU55</v>
      </c>
      <c r="B416" s="391" t="str">
        <f>'Reference Score Calculation'!D395</f>
        <v>物理治療學榮譽理學士</v>
      </c>
      <c r="C416" s="212"/>
      <c r="D416" s="391" t="s">
        <v>2171</v>
      </c>
      <c r="E416" s="391" t="str">
        <f>入學要求!T404</f>
        <v>v</v>
      </c>
      <c r="F416" s="391" t="str">
        <f>入學要求!U404</f>
        <v>E</v>
      </c>
      <c r="G416" s="391" t="str">
        <f>入學要求!V404</f>
        <v>v</v>
      </c>
      <c r="H416" s="391">
        <f>SUMIF(AD416:AM416,TRUE,T416:AC416)</f>
        <v>3.9500000000000006E-9</v>
      </c>
      <c r="I416" s="391">
        <v>2</v>
      </c>
      <c r="J416" s="391">
        <v>2</v>
      </c>
      <c r="K416" s="391">
        <v>1</v>
      </c>
      <c r="L416" s="391">
        <v>1</v>
      </c>
      <c r="M416" s="391">
        <v>1</v>
      </c>
      <c r="N416" s="391">
        <f>IF(OR(N$1="生物",N$1="物理",N$1="組合科學(物理、生物)"),2,1)</f>
        <v>1</v>
      </c>
      <c r="O416" s="391">
        <f t="shared" ref="O416:Q416" si="643">IF(OR(O$1="生物",O$1="物理",O$1="組合科學(物理、生物)"),2,1)</f>
        <v>1</v>
      </c>
      <c r="P416" s="391">
        <f t="shared" si="643"/>
        <v>1</v>
      </c>
      <c r="Q416" s="391">
        <f t="shared" si="643"/>
        <v>1</v>
      </c>
      <c r="R416" s="391">
        <v>1</v>
      </c>
      <c r="T416" s="391">
        <f t="shared" si="614"/>
        <v>2.0000000000000001E-10</v>
      </c>
      <c r="U416" s="391">
        <f t="shared" si="615"/>
        <v>4.0000000000000001E-10</v>
      </c>
      <c r="V416" s="391">
        <f t="shared" si="616"/>
        <v>3E-10</v>
      </c>
      <c r="W416" s="391">
        <f t="shared" si="617"/>
        <v>4.0000000000000001E-10</v>
      </c>
      <c r="X416" s="391">
        <f t="shared" si="618"/>
        <v>5.0000000000000003E-10</v>
      </c>
      <c r="Y416" s="391">
        <f t="shared" si="619"/>
        <v>6E-10</v>
      </c>
      <c r="Z416" s="391">
        <f t="shared" si="620"/>
        <v>6.9999999999999996E-10</v>
      </c>
      <c r="AA416" s="391">
        <f t="shared" si="621"/>
        <v>8.0000000000000003E-10</v>
      </c>
      <c r="AB416" s="391">
        <f t="shared" si="622"/>
        <v>8.9999999999999999E-10</v>
      </c>
      <c r="AC416" s="391">
        <f t="shared" si="641"/>
        <v>9.5000000000000003E-10</v>
      </c>
      <c r="AD416" s="391" t="b">
        <f>IF(T416&gt;LARGE($T416:$AC416,6),TRUE)</f>
        <v>0</v>
      </c>
      <c r="AE416" s="391" t="b">
        <f t="shared" ref="AE416" si="644">IF(U416&gt;LARGE($T416:$AC416,6),TRUE)</f>
        <v>0</v>
      </c>
      <c r="AF416" s="391" t="b">
        <f t="shared" ref="AF416" si="645">IF(V416&gt;LARGE($T416:$AC416,6),TRUE)</f>
        <v>0</v>
      </c>
      <c r="AG416" s="391" t="b">
        <f t="shared" ref="AG416" si="646">IF(W416&gt;LARGE($T416:$AC416,6),TRUE)</f>
        <v>0</v>
      </c>
      <c r="AH416" s="391" t="b">
        <f t="shared" ref="AH416" si="647">IF(X416&gt;LARGE($T416:$AC416,6),TRUE)</f>
        <v>0</v>
      </c>
      <c r="AI416" s="391" t="b">
        <f t="shared" ref="AI416" si="648">IF(Y416&gt;LARGE($T416:$AC416,6),TRUE)</f>
        <v>1</v>
      </c>
      <c r="AJ416" s="391" t="b">
        <f t="shared" ref="AJ416" si="649">IF(Z416&gt;LARGE($T416:$AC416,6),TRUE)</f>
        <v>1</v>
      </c>
      <c r="AK416" s="391" t="b">
        <f t="shared" ref="AK416" si="650">IF(AA416&gt;LARGE($T416:$AC416,6),TRUE)</f>
        <v>1</v>
      </c>
      <c r="AL416" s="391" t="b">
        <f t="shared" ref="AL416" si="651">IF(AB416&gt;LARGE($T416:$AC416,6),TRUE)</f>
        <v>1</v>
      </c>
      <c r="AM416" s="391" t="b">
        <f t="shared" ref="AM416" si="652">IF(AC416&gt;LARGE($T416:$AC416,6),TRUE)</f>
        <v>1</v>
      </c>
    </row>
    <row r="417" spans="1:39" x14ac:dyDescent="0.3">
      <c r="A417" s="391" t="str">
        <f>'Reference Score Calculation'!A396</f>
        <v>JSSU61</v>
      </c>
      <c r="B417" s="391" t="str">
        <f>'Reference Score Calculation'!D396</f>
        <v>綜合檢測和認證榮譽應用理學士</v>
      </c>
      <c r="C417" s="212"/>
      <c r="D417" s="391" t="str">
        <f>'Reference Score Calculation'!AD396</f>
        <v>4C1X</v>
      </c>
      <c r="E417" s="391" t="str">
        <f>入學要求!T405</f>
        <v>v</v>
      </c>
      <c r="F417" s="391" t="str">
        <f>入學要求!U405</f>
        <v>E</v>
      </c>
      <c r="G417" s="391" t="str">
        <f>入學要求!V405</f>
        <v>v</v>
      </c>
      <c r="H417" s="391">
        <f t="shared" si="613"/>
        <v>1.9500000000000001E-9</v>
      </c>
      <c r="I417" s="391">
        <v>1</v>
      </c>
      <c r="J417" s="391">
        <v>1</v>
      </c>
      <c r="K417" s="391">
        <v>1</v>
      </c>
      <c r="L417" s="391">
        <v>1</v>
      </c>
      <c r="M417" s="391">
        <v>1</v>
      </c>
      <c r="N417" s="391">
        <v>1</v>
      </c>
      <c r="O417" s="391">
        <v>1</v>
      </c>
      <c r="P417" s="391">
        <v>1</v>
      </c>
      <c r="Q417" s="391">
        <v>1</v>
      </c>
      <c r="R417" s="391">
        <v>1</v>
      </c>
      <c r="T417" s="391">
        <f t="shared" si="614"/>
        <v>1E-10</v>
      </c>
      <c r="U417" s="391">
        <f t="shared" si="615"/>
        <v>2.0000000000000001E-10</v>
      </c>
      <c r="V417" s="391">
        <f t="shared" si="616"/>
        <v>3E-10</v>
      </c>
      <c r="W417" s="391">
        <f t="shared" si="617"/>
        <v>4.0000000000000001E-10</v>
      </c>
      <c r="X417" s="391">
        <f t="shared" si="618"/>
        <v>5.0000000000000003E-10</v>
      </c>
      <c r="Y417" s="391">
        <f t="shared" si="619"/>
        <v>6E-10</v>
      </c>
      <c r="Z417" s="391">
        <f t="shared" si="620"/>
        <v>6.9999999999999996E-10</v>
      </c>
      <c r="AA417" s="391">
        <f t="shared" si="621"/>
        <v>8.0000000000000003E-10</v>
      </c>
      <c r="AB417" s="391">
        <f t="shared" si="622"/>
        <v>8.9999999999999999E-10</v>
      </c>
      <c r="AC417" s="391">
        <f t="shared" si="641"/>
        <v>9.5000000000000003E-10</v>
      </c>
      <c r="AD417" s="391" t="b">
        <v>1</v>
      </c>
      <c r="AE417" s="391" t="b">
        <v>1</v>
      </c>
      <c r="AF417" s="391" t="b">
        <v>1</v>
      </c>
      <c r="AG417" s="391" t="b">
        <v>1</v>
      </c>
      <c r="AH417" s="391" t="b">
        <f t="shared" si="623"/>
        <v>0</v>
      </c>
      <c r="AI417" s="391" t="b">
        <f t="shared" si="624"/>
        <v>0</v>
      </c>
      <c r="AJ417" s="391" t="b">
        <f t="shared" si="625"/>
        <v>0</v>
      </c>
      <c r="AK417" s="391" t="b">
        <f t="shared" si="626"/>
        <v>0</v>
      </c>
      <c r="AL417" s="391" t="b">
        <f t="shared" si="627"/>
        <v>0</v>
      </c>
      <c r="AM417" s="391" t="b">
        <f t="shared" si="628"/>
        <v>1</v>
      </c>
    </row>
    <row r="418" spans="1:39" x14ac:dyDescent="0.3">
      <c r="A418" s="391" t="str">
        <f>'Reference Score Calculation'!A397</f>
        <v>JSSU68</v>
      </c>
      <c r="B418" s="391" t="str">
        <f>'Reference Score Calculation'!D397</f>
        <v>檢測科學和認證榮譽理學士</v>
      </c>
      <c r="C418" s="212"/>
      <c r="D418" s="391" t="str">
        <f>'Reference Score Calculation'!AD397</f>
        <v>4C1X</v>
      </c>
      <c r="E418" s="391" t="str">
        <f>入學要求!T406</f>
        <v>v</v>
      </c>
      <c r="F418" s="391" t="str">
        <f>入學要求!U406</f>
        <v>E</v>
      </c>
      <c r="G418" s="391" t="str">
        <f>入學要求!V406</f>
        <v>v</v>
      </c>
      <c r="H418" s="391">
        <f t="shared" si="613"/>
        <v>1.9500000000000001E-9</v>
      </c>
      <c r="I418" s="391">
        <v>1</v>
      </c>
      <c r="J418" s="391">
        <v>1</v>
      </c>
      <c r="K418" s="391">
        <v>1</v>
      </c>
      <c r="L418" s="391">
        <v>1</v>
      </c>
      <c r="M418" s="391">
        <v>1</v>
      </c>
      <c r="N418" s="391">
        <v>1</v>
      </c>
      <c r="O418" s="391">
        <v>1</v>
      </c>
      <c r="P418" s="391">
        <v>1</v>
      </c>
      <c r="Q418" s="391">
        <v>1</v>
      </c>
      <c r="R418" s="391">
        <v>1</v>
      </c>
      <c r="T418" s="391">
        <f t="shared" si="614"/>
        <v>1E-10</v>
      </c>
      <c r="U418" s="391">
        <f t="shared" si="615"/>
        <v>2.0000000000000001E-10</v>
      </c>
      <c r="V418" s="391">
        <f t="shared" si="616"/>
        <v>3E-10</v>
      </c>
      <c r="W418" s="391">
        <f t="shared" si="617"/>
        <v>4.0000000000000001E-10</v>
      </c>
      <c r="X418" s="391">
        <f t="shared" si="618"/>
        <v>5.0000000000000003E-10</v>
      </c>
      <c r="Y418" s="391">
        <f t="shared" si="619"/>
        <v>6E-10</v>
      </c>
      <c r="Z418" s="391">
        <f t="shared" si="620"/>
        <v>6.9999999999999996E-10</v>
      </c>
      <c r="AA418" s="391">
        <f t="shared" si="621"/>
        <v>8.0000000000000003E-10</v>
      </c>
      <c r="AB418" s="391">
        <f t="shared" si="622"/>
        <v>8.9999999999999999E-10</v>
      </c>
      <c r="AC418" s="391">
        <f t="shared" si="641"/>
        <v>9.5000000000000003E-10</v>
      </c>
      <c r="AD418" s="391" t="b">
        <v>1</v>
      </c>
      <c r="AE418" s="391" t="b">
        <v>1</v>
      </c>
      <c r="AF418" s="391" t="b">
        <v>1</v>
      </c>
      <c r="AG418" s="391" t="b">
        <v>1</v>
      </c>
      <c r="AH418" s="391" t="b">
        <f t="shared" si="623"/>
        <v>0</v>
      </c>
      <c r="AI418" s="391" t="b">
        <f t="shared" si="624"/>
        <v>0</v>
      </c>
      <c r="AJ418" s="391" t="b">
        <f t="shared" si="625"/>
        <v>0</v>
      </c>
      <c r="AK418" s="391" t="b">
        <f t="shared" si="626"/>
        <v>0</v>
      </c>
      <c r="AL418" s="391" t="b">
        <f t="shared" si="627"/>
        <v>0</v>
      </c>
      <c r="AM418" s="391" t="b">
        <f t="shared" si="628"/>
        <v>1</v>
      </c>
    </row>
    <row r="419" spans="1:39" x14ac:dyDescent="0.3">
      <c r="A419" s="391" t="str">
        <f>'Reference Score Calculation'!A398</f>
        <v>JSSU69</v>
      </c>
      <c r="B419" s="391" t="str">
        <f>'Reference Score Calculation'!D398</f>
        <v>食品測試科學榮譽理學士</v>
      </c>
      <c r="C419" s="212"/>
      <c r="D419" s="391" t="str">
        <f>'Reference Score Calculation'!AD398</f>
        <v>4C1X</v>
      </c>
      <c r="E419" s="391" t="str">
        <f>入學要求!T407</f>
        <v>v</v>
      </c>
      <c r="F419" s="391" t="str">
        <f>入學要求!U407</f>
        <v>E</v>
      </c>
      <c r="G419" s="391" t="str">
        <f>入學要求!V407</f>
        <v>v</v>
      </c>
      <c r="H419" s="391">
        <f t="shared" si="613"/>
        <v>1.9500000000000001E-9</v>
      </c>
      <c r="I419" s="391">
        <v>1</v>
      </c>
      <c r="J419" s="391">
        <v>1</v>
      </c>
      <c r="K419" s="391">
        <v>1</v>
      </c>
      <c r="L419" s="391">
        <v>1</v>
      </c>
      <c r="M419" s="391">
        <v>1</v>
      </c>
      <c r="N419" s="391">
        <v>1</v>
      </c>
      <c r="O419" s="391">
        <v>1</v>
      </c>
      <c r="P419" s="391">
        <v>1</v>
      </c>
      <c r="Q419" s="391">
        <v>1</v>
      </c>
      <c r="R419" s="391">
        <v>1</v>
      </c>
      <c r="T419" s="391">
        <f t="shared" si="614"/>
        <v>1E-10</v>
      </c>
      <c r="U419" s="391">
        <f t="shared" si="615"/>
        <v>2.0000000000000001E-10</v>
      </c>
      <c r="V419" s="391">
        <f t="shared" si="616"/>
        <v>3E-10</v>
      </c>
      <c r="W419" s="391">
        <f t="shared" si="617"/>
        <v>4.0000000000000001E-10</v>
      </c>
      <c r="X419" s="391">
        <f t="shared" si="618"/>
        <v>5.0000000000000003E-10</v>
      </c>
      <c r="Y419" s="391">
        <f t="shared" si="619"/>
        <v>6E-10</v>
      </c>
      <c r="Z419" s="391">
        <f t="shared" si="620"/>
        <v>6.9999999999999996E-10</v>
      </c>
      <c r="AA419" s="391">
        <f t="shared" si="621"/>
        <v>8.0000000000000003E-10</v>
      </c>
      <c r="AB419" s="391">
        <f t="shared" si="622"/>
        <v>8.9999999999999999E-10</v>
      </c>
      <c r="AC419" s="391">
        <f t="shared" si="641"/>
        <v>9.5000000000000003E-10</v>
      </c>
      <c r="AD419" s="391" t="b">
        <v>1</v>
      </c>
      <c r="AE419" s="391" t="b">
        <v>1</v>
      </c>
      <c r="AF419" s="391" t="b">
        <v>1</v>
      </c>
      <c r="AG419" s="391" t="b">
        <v>1</v>
      </c>
      <c r="AH419" s="391" t="b">
        <f t="shared" si="623"/>
        <v>0</v>
      </c>
      <c r="AI419" s="391" t="b">
        <f t="shared" si="624"/>
        <v>0</v>
      </c>
      <c r="AJ419" s="391" t="b">
        <f t="shared" si="625"/>
        <v>0</v>
      </c>
      <c r="AK419" s="391" t="b">
        <f t="shared" si="626"/>
        <v>0</v>
      </c>
      <c r="AL419" s="391" t="b">
        <f t="shared" si="627"/>
        <v>0</v>
      </c>
      <c r="AM419" s="391" t="b">
        <f t="shared" si="628"/>
        <v>1</v>
      </c>
    </row>
    <row r="420" spans="1:39" x14ac:dyDescent="0.3">
      <c r="A420" s="391" t="str">
        <f>'Reference Score Calculation'!A399</f>
        <v>JSSU70</v>
      </c>
      <c r="B420" s="391" t="str">
        <f>'Reference Score Calculation'!D399</f>
        <v>數據科學及人工智能榮譽理學士</v>
      </c>
      <c r="C420" s="212"/>
      <c r="D420" s="391" t="str">
        <f>'Reference Score Calculation'!AD399</f>
        <v>4C1X</v>
      </c>
      <c r="E420" s="391" t="str">
        <f>入學要求!T408</f>
        <v>v</v>
      </c>
      <c r="F420" s="391" t="str">
        <f>入學要求!U408</f>
        <v>E</v>
      </c>
      <c r="G420" s="391" t="str">
        <f>入學要求!V408</f>
        <v>v</v>
      </c>
      <c r="H420" s="391">
        <f t="shared" si="613"/>
        <v>1.9500000000000001E-9</v>
      </c>
      <c r="I420" s="391">
        <v>1</v>
      </c>
      <c r="J420" s="391">
        <v>1</v>
      </c>
      <c r="K420" s="391">
        <v>1</v>
      </c>
      <c r="L420" s="391">
        <v>1</v>
      </c>
      <c r="M420" s="391">
        <v>1</v>
      </c>
      <c r="N420" s="391">
        <v>1</v>
      </c>
      <c r="O420" s="391">
        <v>1</v>
      </c>
      <c r="P420" s="391">
        <v>1</v>
      </c>
      <c r="Q420" s="391">
        <v>1</v>
      </c>
      <c r="R420" s="391">
        <v>1</v>
      </c>
      <c r="T420" s="391">
        <f t="shared" si="614"/>
        <v>1E-10</v>
      </c>
      <c r="U420" s="391">
        <f t="shared" si="615"/>
        <v>2.0000000000000001E-10</v>
      </c>
      <c r="V420" s="391">
        <f t="shared" si="616"/>
        <v>3E-10</v>
      </c>
      <c r="W420" s="391">
        <f t="shared" si="617"/>
        <v>4.0000000000000001E-10</v>
      </c>
      <c r="X420" s="391">
        <f t="shared" si="618"/>
        <v>5.0000000000000003E-10</v>
      </c>
      <c r="Y420" s="391">
        <f t="shared" si="619"/>
        <v>6E-10</v>
      </c>
      <c r="Z420" s="391">
        <f t="shared" si="620"/>
        <v>6.9999999999999996E-10</v>
      </c>
      <c r="AA420" s="391">
        <f t="shared" si="621"/>
        <v>8.0000000000000003E-10</v>
      </c>
      <c r="AB420" s="391">
        <f t="shared" si="622"/>
        <v>8.9999999999999999E-10</v>
      </c>
      <c r="AC420" s="391">
        <f t="shared" si="641"/>
        <v>9.5000000000000003E-10</v>
      </c>
      <c r="AD420" s="391" t="b">
        <v>1</v>
      </c>
      <c r="AE420" s="391" t="b">
        <v>1</v>
      </c>
      <c r="AF420" s="391" t="b">
        <v>1</v>
      </c>
      <c r="AG420" s="391" t="b">
        <v>1</v>
      </c>
      <c r="AH420" s="391" t="b">
        <f t="shared" si="623"/>
        <v>0</v>
      </c>
      <c r="AI420" s="391" t="b">
        <f t="shared" si="624"/>
        <v>0</v>
      </c>
      <c r="AJ420" s="391" t="b">
        <f t="shared" si="625"/>
        <v>0</v>
      </c>
      <c r="AK420" s="391" t="b">
        <f t="shared" si="626"/>
        <v>0</v>
      </c>
      <c r="AL420" s="391" t="b">
        <f t="shared" si="627"/>
        <v>0</v>
      </c>
      <c r="AM420" s="391" t="b">
        <f t="shared" si="628"/>
        <v>1</v>
      </c>
    </row>
    <row r="421" spans="1:39" x14ac:dyDescent="0.3">
      <c r="A421" s="391" t="str">
        <f>'Reference Score Calculation'!A400</f>
        <v>JSSU71</v>
      </c>
      <c r="B421" s="391" t="str">
        <f>'Reference Score Calculation'!D400</f>
        <v>互聯網科技榮譽電腦學學士</v>
      </c>
      <c r="C421" s="212"/>
      <c r="D421" s="391" t="str">
        <f>'Reference Score Calculation'!AD400</f>
        <v>4C1X</v>
      </c>
      <c r="E421" s="391" t="str">
        <f>入學要求!T409</f>
        <v>v</v>
      </c>
      <c r="F421" s="391" t="str">
        <f>入學要求!U409</f>
        <v>E</v>
      </c>
      <c r="G421" s="391" t="str">
        <f>入學要求!V409</f>
        <v>v</v>
      </c>
      <c r="H421" s="391">
        <f t="shared" si="613"/>
        <v>1.9500000000000001E-9</v>
      </c>
      <c r="I421" s="391">
        <v>1</v>
      </c>
      <c r="J421" s="391">
        <v>1</v>
      </c>
      <c r="K421" s="391">
        <v>1</v>
      </c>
      <c r="L421" s="391">
        <v>1</v>
      </c>
      <c r="M421" s="391">
        <v>1</v>
      </c>
      <c r="N421" s="391">
        <v>1</v>
      </c>
      <c r="O421" s="391">
        <v>1</v>
      </c>
      <c r="P421" s="391">
        <v>1</v>
      </c>
      <c r="Q421" s="391">
        <v>1</v>
      </c>
      <c r="R421" s="391">
        <v>1</v>
      </c>
      <c r="T421" s="391">
        <f t="shared" si="614"/>
        <v>1E-10</v>
      </c>
      <c r="U421" s="391">
        <f t="shared" si="615"/>
        <v>2.0000000000000001E-10</v>
      </c>
      <c r="V421" s="391">
        <f t="shared" si="616"/>
        <v>3E-10</v>
      </c>
      <c r="W421" s="391">
        <f t="shared" si="617"/>
        <v>4.0000000000000001E-10</v>
      </c>
      <c r="X421" s="391">
        <f t="shared" si="618"/>
        <v>5.0000000000000003E-10</v>
      </c>
      <c r="Y421" s="391">
        <f t="shared" si="619"/>
        <v>6E-10</v>
      </c>
      <c r="Z421" s="391">
        <f t="shared" si="620"/>
        <v>6.9999999999999996E-10</v>
      </c>
      <c r="AA421" s="391">
        <f t="shared" si="621"/>
        <v>8.0000000000000003E-10</v>
      </c>
      <c r="AB421" s="391">
        <f t="shared" si="622"/>
        <v>8.9999999999999999E-10</v>
      </c>
      <c r="AC421" s="391">
        <f t="shared" si="641"/>
        <v>9.5000000000000003E-10</v>
      </c>
      <c r="AD421" s="391" t="b">
        <v>1</v>
      </c>
      <c r="AE421" s="391" t="b">
        <v>1</v>
      </c>
      <c r="AF421" s="391" t="b">
        <v>1</v>
      </c>
      <c r="AG421" s="391" t="b">
        <v>1</v>
      </c>
      <c r="AH421" s="391" t="b">
        <f t="shared" si="623"/>
        <v>0</v>
      </c>
      <c r="AI421" s="391" t="b">
        <f t="shared" si="624"/>
        <v>0</v>
      </c>
      <c r="AJ421" s="391" t="b">
        <f t="shared" si="625"/>
        <v>0</v>
      </c>
      <c r="AK421" s="391" t="b">
        <f t="shared" si="626"/>
        <v>0</v>
      </c>
      <c r="AL421" s="391" t="b">
        <f t="shared" si="627"/>
        <v>0</v>
      </c>
      <c r="AM421" s="391" t="b">
        <f t="shared" si="628"/>
        <v>1</v>
      </c>
    </row>
    <row r="422" spans="1:39" x14ac:dyDescent="0.3">
      <c r="A422" s="391" t="str">
        <f>'Reference Score Calculation'!A401</f>
        <v>JSSU90</v>
      </c>
      <c r="B422" s="391" t="str">
        <f>'Reference Score Calculation'!D401</f>
        <v>國際款待及景區管理榮譽學士</v>
      </c>
      <c r="C422" s="212"/>
      <c r="D422" s="391" t="str">
        <f>'Reference Score Calculation'!AD401</f>
        <v>4C1X</v>
      </c>
      <c r="E422" s="391" t="str">
        <f>入學要求!T410</f>
        <v>v</v>
      </c>
      <c r="F422" s="391" t="str">
        <f>入學要求!U410</f>
        <v>E</v>
      </c>
      <c r="G422" s="391" t="str">
        <f>入學要求!V410</f>
        <v>v</v>
      </c>
      <c r="H422" s="391">
        <f t="shared" si="613"/>
        <v>1.9500000000000001E-9</v>
      </c>
      <c r="I422" s="391">
        <v>1</v>
      </c>
      <c r="J422" s="391">
        <v>1</v>
      </c>
      <c r="K422" s="391">
        <v>1</v>
      </c>
      <c r="L422" s="391">
        <v>1</v>
      </c>
      <c r="M422" s="391">
        <v>1</v>
      </c>
      <c r="N422" s="391">
        <v>1</v>
      </c>
      <c r="O422" s="391">
        <v>1</v>
      </c>
      <c r="P422" s="391">
        <v>1</v>
      </c>
      <c r="Q422" s="391">
        <v>1</v>
      </c>
      <c r="R422" s="391">
        <v>1</v>
      </c>
      <c r="T422" s="391">
        <f t="shared" si="614"/>
        <v>1E-10</v>
      </c>
      <c r="U422" s="391">
        <f t="shared" si="615"/>
        <v>2.0000000000000001E-10</v>
      </c>
      <c r="V422" s="391">
        <f t="shared" si="616"/>
        <v>3E-10</v>
      </c>
      <c r="W422" s="391">
        <f t="shared" si="617"/>
        <v>4.0000000000000001E-10</v>
      </c>
      <c r="X422" s="391">
        <f t="shared" si="618"/>
        <v>5.0000000000000003E-10</v>
      </c>
      <c r="Y422" s="391">
        <f t="shared" si="619"/>
        <v>6E-10</v>
      </c>
      <c r="Z422" s="391">
        <f t="shared" si="620"/>
        <v>6.9999999999999996E-10</v>
      </c>
      <c r="AA422" s="391">
        <f t="shared" si="621"/>
        <v>8.0000000000000003E-10</v>
      </c>
      <c r="AB422" s="391">
        <f t="shared" si="622"/>
        <v>8.9999999999999999E-10</v>
      </c>
      <c r="AC422" s="391">
        <f t="shared" si="641"/>
        <v>9.5000000000000003E-10</v>
      </c>
      <c r="AD422" s="391" t="b">
        <v>1</v>
      </c>
      <c r="AE422" s="391" t="b">
        <v>1</v>
      </c>
      <c r="AF422" s="391" t="b">
        <v>1</v>
      </c>
      <c r="AG422" s="391" t="b">
        <v>1</v>
      </c>
      <c r="AH422" s="391" t="b">
        <f t="shared" si="623"/>
        <v>0</v>
      </c>
      <c r="AI422" s="391" t="b">
        <f t="shared" si="624"/>
        <v>0</v>
      </c>
      <c r="AJ422" s="391" t="b">
        <f t="shared" si="625"/>
        <v>0</v>
      </c>
      <c r="AK422" s="391" t="b">
        <f t="shared" si="626"/>
        <v>0</v>
      </c>
      <c r="AL422" s="391" t="b">
        <f t="shared" si="627"/>
        <v>0</v>
      </c>
      <c r="AM422" s="391" t="b">
        <f t="shared" si="628"/>
        <v>1</v>
      </c>
    </row>
    <row r="423" spans="1:39" x14ac:dyDescent="0.3">
      <c r="A423" s="391" t="str">
        <f>'Reference Score Calculation'!A402</f>
        <v>JSSU95</v>
      </c>
      <c r="B423" s="391" t="str">
        <f>'Reference Score Calculation'!D402</f>
        <v>由都會大學開辦：運動及康樂管理榮譽學士</v>
      </c>
      <c r="C423" s="212"/>
      <c r="D423" s="391" t="str">
        <f>'Reference Score Calculation'!AD402</f>
        <v>4C1X</v>
      </c>
      <c r="E423" s="391" t="str">
        <f>入學要求!T411</f>
        <v>v</v>
      </c>
      <c r="F423" s="391" t="str">
        <f>入學要求!U411</f>
        <v>E</v>
      </c>
      <c r="G423" s="391" t="str">
        <f>入學要求!V411</f>
        <v>v</v>
      </c>
      <c r="H423" s="391">
        <f t="shared" si="613"/>
        <v>1.9500000000000001E-9</v>
      </c>
      <c r="I423" s="391">
        <v>1</v>
      </c>
      <c r="J423" s="391">
        <v>1</v>
      </c>
      <c r="K423" s="391">
        <v>1</v>
      </c>
      <c r="L423" s="391">
        <v>1</v>
      </c>
      <c r="M423" s="391">
        <v>1</v>
      </c>
      <c r="N423" s="391">
        <v>1</v>
      </c>
      <c r="O423" s="391">
        <v>1</v>
      </c>
      <c r="P423" s="391">
        <v>1</v>
      </c>
      <c r="Q423" s="391">
        <v>1</v>
      </c>
      <c r="R423" s="391">
        <v>1</v>
      </c>
      <c r="T423" s="391">
        <f t="shared" si="614"/>
        <v>1E-10</v>
      </c>
      <c r="U423" s="391">
        <f t="shared" si="615"/>
        <v>2.0000000000000001E-10</v>
      </c>
      <c r="V423" s="391">
        <f t="shared" si="616"/>
        <v>3E-10</v>
      </c>
      <c r="W423" s="391">
        <f t="shared" si="617"/>
        <v>4.0000000000000001E-10</v>
      </c>
      <c r="X423" s="391">
        <f t="shared" si="618"/>
        <v>5.0000000000000003E-10</v>
      </c>
      <c r="Y423" s="391">
        <f t="shared" si="619"/>
        <v>6E-10</v>
      </c>
      <c r="Z423" s="391">
        <f t="shared" si="620"/>
        <v>6.9999999999999996E-10</v>
      </c>
      <c r="AA423" s="391">
        <f t="shared" si="621"/>
        <v>8.0000000000000003E-10</v>
      </c>
      <c r="AB423" s="391">
        <f t="shared" si="622"/>
        <v>8.9999999999999999E-10</v>
      </c>
      <c r="AC423" s="391">
        <f t="shared" si="641"/>
        <v>9.5000000000000003E-10</v>
      </c>
      <c r="AD423" s="391" t="b">
        <v>1</v>
      </c>
      <c r="AE423" s="391" t="b">
        <v>1</v>
      </c>
      <c r="AF423" s="391" t="b">
        <v>1</v>
      </c>
      <c r="AG423" s="391" t="b">
        <v>1</v>
      </c>
      <c r="AH423" s="391" t="b">
        <f t="shared" si="623"/>
        <v>0</v>
      </c>
      <c r="AI423" s="391" t="b">
        <f t="shared" si="624"/>
        <v>0</v>
      </c>
      <c r="AJ423" s="391" t="b">
        <f t="shared" si="625"/>
        <v>0</v>
      </c>
      <c r="AK423" s="391" t="b">
        <f t="shared" si="626"/>
        <v>0</v>
      </c>
      <c r="AL423" s="391" t="b">
        <f t="shared" si="627"/>
        <v>0</v>
      </c>
      <c r="AM423" s="391" t="b">
        <f t="shared" si="628"/>
        <v>1</v>
      </c>
    </row>
    <row r="424" spans="1:39" x14ac:dyDescent="0.3">
      <c r="A424" s="391" t="str">
        <f>'Reference Score Calculation'!A403</f>
        <v>JSSU96</v>
      </c>
      <c r="B424" s="391" t="str">
        <f>'Reference Score Calculation'!D403</f>
        <v>金融科技及創新榮譽工商管理學士</v>
      </c>
      <c r="C424" s="212"/>
      <c r="D424" s="391" t="str">
        <f>'Reference Score Calculation'!AD403</f>
        <v>4C1X</v>
      </c>
      <c r="E424" s="391" t="str">
        <f>入學要求!T412</f>
        <v>v</v>
      </c>
      <c r="F424" s="391" t="str">
        <f>入學要求!U412</f>
        <v>E</v>
      </c>
      <c r="G424" s="391" t="str">
        <f>入學要求!V412</f>
        <v>v</v>
      </c>
      <c r="H424" s="391">
        <f t="shared" si="613"/>
        <v>1.9500000000000001E-9</v>
      </c>
      <c r="I424" s="391">
        <v>1</v>
      </c>
      <c r="J424" s="391">
        <v>1</v>
      </c>
      <c r="K424" s="391">
        <v>1</v>
      </c>
      <c r="L424" s="391">
        <v>1</v>
      </c>
      <c r="M424" s="391">
        <v>1</v>
      </c>
      <c r="N424" s="391">
        <v>1</v>
      </c>
      <c r="O424" s="391">
        <v>1</v>
      </c>
      <c r="P424" s="391">
        <v>1</v>
      </c>
      <c r="Q424" s="391">
        <v>1</v>
      </c>
      <c r="R424" s="391">
        <v>1</v>
      </c>
      <c r="T424" s="391">
        <f t="shared" si="614"/>
        <v>1E-10</v>
      </c>
      <c r="U424" s="391">
        <f t="shared" si="615"/>
        <v>2.0000000000000001E-10</v>
      </c>
      <c r="V424" s="391">
        <f t="shared" si="616"/>
        <v>3E-10</v>
      </c>
      <c r="W424" s="391">
        <f t="shared" si="617"/>
        <v>4.0000000000000001E-10</v>
      </c>
      <c r="X424" s="391">
        <f t="shared" si="618"/>
        <v>5.0000000000000003E-10</v>
      </c>
      <c r="Y424" s="391">
        <f t="shared" si="619"/>
        <v>6E-10</v>
      </c>
      <c r="Z424" s="391">
        <f t="shared" si="620"/>
        <v>6.9999999999999996E-10</v>
      </c>
      <c r="AA424" s="391">
        <f t="shared" si="621"/>
        <v>8.0000000000000003E-10</v>
      </c>
      <c r="AB424" s="391">
        <f t="shared" si="622"/>
        <v>8.9999999999999999E-10</v>
      </c>
      <c r="AC424" s="391">
        <f t="shared" si="641"/>
        <v>9.5000000000000003E-10</v>
      </c>
      <c r="AD424" s="391" t="b">
        <v>1</v>
      </c>
      <c r="AE424" s="391" t="b">
        <v>1</v>
      </c>
      <c r="AF424" s="391" t="b">
        <v>1</v>
      </c>
      <c r="AG424" s="391" t="b">
        <v>1</v>
      </c>
      <c r="AH424" s="391" t="b">
        <f t="shared" si="623"/>
        <v>0</v>
      </c>
      <c r="AI424" s="391" t="b">
        <f t="shared" si="624"/>
        <v>0</v>
      </c>
      <c r="AJ424" s="391" t="b">
        <f t="shared" si="625"/>
        <v>0</v>
      </c>
      <c r="AK424" s="391" t="b">
        <f t="shared" si="626"/>
        <v>0</v>
      </c>
      <c r="AL424" s="391" t="b">
        <f t="shared" si="627"/>
        <v>0</v>
      </c>
      <c r="AM424" s="391" t="b">
        <f t="shared" si="628"/>
        <v>1</v>
      </c>
    </row>
    <row r="425" spans="1:39" x14ac:dyDescent="0.3">
      <c r="A425" s="391" t="str">
        <f>'Reference Score Calculation'!A404</f>
        <v>JSSU97</v>
      </c>
      <c r="B425" s="391" t="str">
        <f>'Reference Score Calculation'!D404</f>
        <v>環球市場及供應鏈榮譽工商管理學士</v>
      </c>
      <c r="C425" s="212"/>
      <c r="D425" s="391" t="str">
        <f>'Reference Score Calculation'!AD404</f>
        <v>4C1X</v>
      </c>
      <c r="E425" s="391" t="str">
        <f>入學要求!T413</f>
        <v>v</v>
      </c>
      <c r="F425" s="391" t="str">
        <f>入學要求!U413</f>
        <v>E</v>
      </c>
      <c r="G425" s="391" t="str">
        <f>入學要求!V413</f>
        <v>v</v>
      </c>
      <c r="H425" s="391">
        <f t="shared" si="613"/>
        <v>1.9500000000000001E-9</v>
      </c>
      <c r="I425" s="391">
        <v>1</v>
      </c>
      <c r="J425" s="391">
        <v>1</v>
      </c>
      <c r="K425" s="391">
        <v>1</v>
      </c>
      <c r="L425" s="391">
        <v>1</v>
      </c>
      <c r="M425" s="391">
        <v>1</v>
      </c>
      <c r="N425" s="391">
        <v>1</v>
      </c>
      <c r="O425" s="391">
        <v>1</v>
      </c>
      <c r="P425" s="391">
        <v>1</v>
      </c>
      <c r="Q425" s="391">
        <v>1</v>
      </c>
      <c r="R425" s="391">
        <v>1</v>
      </c>
      <c r="T425" s="391">
        <f t="shared" si="614"/>
        <v>1E-10</v>
      </c>
      <c r="U425" s="391">
        <f t="shared" si="615"/>
        <v>2.0000000000000001E-10</v>
      </c>
      <c r="V425" s="391">
        <f t="shared" si="616"/>
        <v>3E-10</v>
      </c>
      <c r="W425" s="391">
        <f t="shared" si="617"/>
        <v>4.0000000000000001E-10</v>
      </c>
      <c r="X425" s="391">
        <f t="shared" si="618"/>
        <v>5.0000000000000003E-10</v>
      </c>
      <c r="Y425" s="391">
        <f t="shared" si="619"/>
        <v>6E-10</v>
      </c>
      <c r="Z425" s="391">
        <f t="shared" si="620"/>
        <v>6.9999999999999996E-10</v>
      </c>
      <c r="AA425" s="391">
        <f t="shared" si="621"/>
        <v>8.0000000000000003E-10</v>
      </c>
      <c r="AB425" s="391">
        <f t="shared" si="622"/>
        <v>8.9999999999999999E-10</v>
      </c>
      <c r="AC425" s="391">
        <f t="shared" si="641"/>
        <v>9.5000000000000003E-10</v>
      </c>
      <c r="AD425" s="391" t="b">
        <v>1</v>
      </c>
      <c r="AE425" s="391" t="b">
        <v>1</v>
      </c>
      <c r="AF425" s="391" t="b">
        <v>1</v>
      </c>
      <c r="AG425" s="391" t="b">
        <v>1</v>
      </c>
      <c r="AH425" s="391" t="b">
        <f t="shared" si="623"/>
        <v>0</v>
      </c>
      <c r="AI425" s="391" t="b">
        <f t="shared" si="624"/>
        <v>0</v>
      </c>
      <c r="AJ425" s="391" t="b">
        <f t="shared" si="625"/>
        <v>0</v>
      </c>
      <c r="AK425" s="391" t="b">
        <f t="shared" si="626"/>
        <v>0</v>
      </c>
      <c r="AL425" s="391" t="b">
        <f t="shared" si="627"/>
        <v>0</v>
      </c>
      <c r="AM425" s="391" t="b">
        <f t="shared" si="628"/>
        <v>1</v>
      </c>
    </row>
    <row r="426" spans="1:39" x14ac:dyDescent="0.3">
      <c r="A426" s="391" t="str">
        <f>'Reference Score Calculation'!A405</f>
        <v>JSSV01</v>
      </c>
      <c r="B426" s="391" t="str">
        <f>'Reference Score Calculation'!D405</f>
        <v>時裝設計（榮譽）文學士</v>
      </c>
      <c r="C426" s="212"/>
      <c r="D426" s="391" t="str">
        <f>'Reference Score Calculation'!AD405</f>
        <v>4C1X</v>
      </c>
      <c r="E426" s="391" t="str">
        <f>入學要求!T414</f>
        <v>NO</v>
      </c>
      <c r="F426" s="391" t="str">
        <f>入學要求!U414</f>
        <v>NO</v>
      </c>
      <c r="G426" s="391" t="str">
        <f>入學要求!V414</f>
        <v>v</v>
      </c>
      <c r="H426" s="391">
        <f t="shared" si="613"/>
        <v>1.9000000000000001E-9</v>
      </c>
      <c r="I426" s="391">
        <v>1</v>
      </c>
      <c r="J426" s="391">
        <v>1</v>
      </c>
      <c r="K426" s="391">
        <v>1</v>
      </c>
      <c r="L426" s="391">
        <v>1</v>
      </c>
      <c r="M426" s="391">
        <v>1</v>
      </c>
      <c r="N426" s="391">
        <v>1</v>
      </c>
      <c r="O426" s="391">
        <v>1</v>
      </c>
      <c r="P426" s="391">
        <v>1</v>
      </c>
      <c r="Q426" s="391">
        <v>1</v>
      </c>
      <c r="R426" s="391">
        <v>1</v>
      </c>
      <c r="T426" s="391">
        <f t="shared" si="614"/>
        <v>1E-10</v>
      </c>
      <c r="U426" s="391">
        <f t="shared" si="615"/>
        <v>2.0000000000000001E-10</v>
      </c>
      <c r="V426" s="391">
        <f t="shared" si="616"/>
        <v>3E-10</v>
      </c>
      <c r="W426" s="391">
        <f t="shared" si="617"/>
        <v>4.0000000000000001E-10</v>
      </c>
      <c r="X426" s="391">
        <f t="shared" si="618"/>
        <v>0</v>
      </c>
      <c r="Y426" s="391">
        <f t="shared" si="619"/>
        <v>6E-10</v>
      </c>
      <c r="Z426" s="391">
        <f t="shared" si="620"/>
        <v>6.9999999999999996E-10</v>
      </c>
      <c r="AA426" s="391">
        <f t="shared" si="621"/>
        <v>8.0000000000000003E-10</v>
      </c>
      <c r="AB426" s="391">
        <f t="shared" si="622"/>
        <v>8.9999999999999999E-10</v>
      </c>
      <c r="AC426" s="391">
        <f>IF(F426="E",S$11*R426,0)</f>
        <v>0</v>
      </c>
      <c r="AD426" s="391" t="b">
        <v>1</v>
      </c>
      <c r="AE426" s="391" t="b">
        <v>1</v>
      </c>
      <c r="AF426" s="391" t="b">
        <v>1</v>
      </c>
      <c r="AG426" s="391" t="b">
        <v>1</v>
      </c>
      <c r="AH426" s="391" t="b">
        <f t="shared" si="623"/>
        <v>0</v>
      </c>
      <c r="AI426" s="391" t="b">
        <f t="shared" si="624"/>
        <v>0</v>
      </c>
      <c r="AJ426" s="391" t="b">
        <f t="shared" si="625"/>
        <v>0</v>
      </c>
      <c r="AK426" s="391" t="b">
        <f t="shared" si="626"/>
        <v>0</v>
      </c>
      <c r="AL426" s="391" t="b">
        <f t="shared" si="627"/>
        <v>1</v>
      </c>
      <c r="AM426" s="391" t="b">
        <f t="shared" si="628"/>
        <v>0</v>
      </c>
    </row>
    <row r="427" spans="1:39" x14ac:dyDescent="0.3">
      <c r="A427" s="391" t="str">
        <f>'Reference Score Calculation'!A406</f>
        <v>JSSV02</v>
      </c>
      <c r="B427" s="391" t="str">
        <f>'Reference Score Calculation'!D406</f>
        <v>產品設計（榮譽）文學士</v>
      </c>
      <c r="C427" s="212"/>
      <c r="D427" s="391" t="str">
        <f>'Reference Score Calculation'!AD406</f>
        <v>4C1X</v>
      </c>
      <c r="E427" s="391" t="str">
        <f>入學要求!T415</f>
        <v>NO</v>
      </c>
      <c r="F427" s="391" t="str">
        <f>入學要求!U415</f>
        <v>NO</v>
      </c>
      <c r="G427" s="391" t="str">
        <f>入學要求!V415</f>
        <v>v</v>
      </c>
      <c r="H427" s="391">
        <f t="shared" si="613"/>
        <v>1.9000000000000001E-9</v>
      </c>
      <c r="I427" s="391">
        <v>1</v>
      </c>
      <c r="J427" s="391">
        <v>1</v>
      </c>
      <c r="K427" s="391">
        <v>1</v>
      </c>
      <c r="L427" s="391">
        <v>1</v>
      </c>
      <c r="M427" s="391">
        <v>1</v>
      </c>
      <c r="N427" s="391">
        <v>1</v>
      </c>
      <c r="O427" s="391">
        <v>1</v>
      </c>
      <c r="P427" s="391">
        <v>1</v>
      </c>
      <c r="Q427" s="391">
        <v>1</v>
      </c>
      <c r="R427" s="391">
        <v>1</v>
      </c>
      <c r="T427" s="391">
        <f t="shared" si="614"/>
        <v>1E-10</v>
      </c>
      <c r="U427" s="391">
        <f t="shared" si="615"/>
        <v>2.0000000000000001E-10</v>
      </c>
      <c r="V427" s="391">
        <f t="shared" si="616"/>
        <v>3E-10</v>
      </c>
      <c r="W427" s="391">
        <f t="shared" si="617"/>
        <v>4.0000000000000001E-10</v>
      </c>
      <c r="X427" s="391">
        <f t="shared" si="618"/>
        <v>0</v>
      </c>
      <c r="Y427" s="391">
        <f t="shared" si="619"/>
        <v>6E-10</v>
      </c>
      <c r="Z427" s="391">
        <f t="shared" si="620"/>
        <v>6.9999999999999996E-10</v>
      </c>
      <c r="AA427" s="391">
        <f t="shared" si="621"/>
        <v>8.0000000000000003E-10</v>
      </c>
      <c r="AB427" s="391">
        <f t="shared" si="622"/>
        <v>8.9999999999999999E-10</v>
      </c>
      <c r="AC427" s="391">
        <f t="shared" ref="AC427:AC433" si="653">IF(F427="E",S$11*R427,0)</f>
        <v>0</v>
      </c>
      <c r="AD427" s="391" t="b">
        <v>1</v>
      </c>
      <c r="AE427" s="391" t="b">
        <v>1</v>
      </c>
      <c r="AF427" s="391" t="b">
        <v>1</v>
      </c>
      <c r="AG427" s="391" t="b">
        <v>1</v>
      </c>
      <c r="AH427" s="391" t="b">
        <f t="shared" si="623"/>
        <v>0</v>
      </c>
      <c r="AI427" s="391" t="b">
        <f t="shared" si="624"/>
        <v>0</v>
      </c>
      <c r="AJ427" s="391" t="b">
        <f t="shared" si="625"/>
        <v>0</v>
      </c>
      <c r="AK427" s="391" t="b">
        <f t="shared" si="626"/>
        <v>0</v>
      </c>
      <c r="AL427" s="391" t="b">
        <f t="shared" si="627"/>
        <v>1</v>
      </c>
      <c r="AM427" s="391" t="b">
        <f t="shared" si="628"/>
        <v>0</v>
      </c>
    </row>
    <row r="428" spans="1:39" x14ac:dyDescent="0.3">
      <c r="A428" s="391" t="str">
        <f>'Reference Score Calculation'!A407</f>
        <v>JSSV03</v>
      </c>
      <c r="B428" s="391" t="str">
        <f>'Reference Score Calculation'!D407</f>
        <v>園境建築（榮譽）文學士</v>
      </c>
      <c r="C428" s="212"/>
      <c r="D428" s="391" t="str">
        <f>'Reference Score Calculation'!AD407</f>
        <v>4C1X</v>
      </c>
      <c r="E428" s="391" t="str">
        <f>入學要求!T416</f>
        <v>NO</v>
      </c>
      <c r="F428" s="391" t="str">
        <f>入學要求!U416</f>
        <v>NO</v>
      </c>
      <c r="G428" s="391" t="str">
        <f>入學要求!V416</f>
        <v>v</v>
      </c>
      <c r="H428" s="391">
        <f t="shared" si="613"/>
        <v>1.9000000000000001E-9</v>
      </c>
      <c r="I428" s="391">
        <v>1</v>
      </c>
      <c r="J428" s="391">
        <v>1</v>
      </c>
      <c r="K428" s="391">
        <v>1</v>
      </c>
      <c r="L428" s="391">
        <v>1</v>
      </c>
      <c r="M428" s="391">
        <v>1</v>
      </c>
      <c r="N428" s="391">
        <v>1</v>
      </c>
      <c r="O428" s="391">
        <v>1</v>
      </c>
      <c r="P428" s="391">
        <v>1</v>
      </c>
      <c r="Q428" s="391">
        <v>1</v>
      </c>
      <c r="R428" s="391">
        <v>1</v>
      </c>
      <c r="T428" s="391">
        <f t="shared" si="614"/>
        <v>1E-10</v>
      </c>
      <c r="U428" s="391">
        <f t="shared" si="615"/>
        <v>2.0000000000000001E-10</v>
      </c>
      <c r="V428" s="391">
        <f t="shared" si="616"/>
        <v>3E-10</v>
      </c>
      <c r="W428" s="391">
        <f t="shared" si="617"/>
        <v>4.0000000000000001E-10</v>
      </c>
      <c r="X428" s="391">
        <f t="shared" si="618"/>
        <v>0</v>
      </c>
      <c r="Y428" s="391">
        <f t="shared" si="619"/>
        <v>6E-10</v>
      </c>
      <c r="Z428" s="391">
        <f t="shared" si="620"/>
        <v>6.9999999999999996E-10</v>
      </c>
      <c r="AA428" s="391">
        <f t="shared" si="621"/>
        <v>8.0000000000000003E-10</v>
      </c>
      <c r="AB428" s="391">
        <f t="shared" si="622"/>
        <v>8.9999999999999999E-10</v>
      </c>
      <c r="AC428" s="391">
        <f t="shared" si="653"/>
        <v>0</v>
      </c>
      <c r="AD428" s="391" t="b">
        <v>1</v>
      </c>
      <c r="AE428" s="391" t="b">
        <v>1</v>
      </c>
      <c r="AF428" s="391" t="b">
        <v>1</v>
      </c>
      <c r="AG428" s="391" t="b">
        <v>1</v>
      </c>
      <c r="AH428" s="391" t="b">
        <f t="shared" si="623"/>
        <v>0</v>
      </c>
      <c r="AI428" s="391" t="b">
        <f t="shared" si="624"/>
        <v>0</v>
      </c>
      <c r="AJ428" s="391" t="b">
        <f t="shared" si="625"/>
        <v>0</v>
      </c>
      <c r="AK428" s="391" t="b">
        <f t="shared" si="626"/>
        <v>0</v>
      </c>
      <c r="AL428" s="391" t="b">
        <f t="shared" si="627"/>
        <v>1</v>
      </c>
      <c r="AM428" s="391" t="b">
        <f t="shared" si="628"/>
        <v>0</v>
      </c>
    </row>
    <row r="429" spans="1:39" x14ac:dyDescent="0.3">
      <c r="A429" s="391" t="str">
        <f>'Reference Score Calculation'!A408</f>
        <v>JSSV04</v>
      </c>
      <c r="B429" s="391" t="str">
        <f>'Reference Score Calculation'!D408</f>
        <v>廚藝及管理（榮譽）文學士</v>
      </c>
      <c r="C429" s="212"/>
      <c r="D429" s="391" t="str">
        <f>'Reference Score Calculation'!AD408</f>
        <v>4C1X</v>
      </c>
      <c r="E429" s="391" t="str">
        <f>入學要求!T417</f>
        <v>NO</v>
      </c>
      <c r="F429" s="391" t="str">
        <f>入學要求!U417</f>
        <v>NO</v>
      </c>
      <c r="G429" s="391" t="str">
        <f>入學要求!V417</f>
        <v>v</v>
      </c>
      <c r="H429" s="391">
        <f t="shared" si="613"/>
        <v>1.9000000000000001E-9</v>
      </c>
      <c r="I429" s="391">
        <v>1</v>
      </c>
      <c r="J429" s="391">
        <v>1</v>
      </c>
      <c r="K429" s="391">
        <v>1</v>
      </c>
      <c r="L429" s="391">
        <v>1</v>
      </c>
      <c r="M429" s="391">
        <v>1</v>
      </c>
      <c r="N429" s="391">
        <v>1</v>
      </c>
      <c r="O429" s="391">
        <v>1</v>
      </c>
      <c r="P429" s="391">
        <v>1</v>
      </c>
      <c r="Q429" s="391">
        <v>1</v>
      </c>
      <c r="R429" s="391">
        <v>1</v>
      </c>
      <c r="T429" s="391">
        <f t="shared" si="614"/>
        <v>1E-10</v>
      </c>
      <c r="U429" s="391">
        <f t="shared" si="615"/>
        <v>2.0000000000000001E-10</v>
      </c>
      <c r="V429" s="391">
        <f t="shared" si="616"/>
        <v>3E-10</v>
      </c>
      <c r="W429" s="391">
        <f t="shared" si="617"/>
        <v>4.0000000000000001E-10</v>
      </c>
      <c r="X429" s="391">
        <f t="shared" si="618"/>
        <v>0</v>
      </c>
      <c r="Y429" s="391">
        <f t="shared" si="619"/>
        <v>6E-10</v>
      </c>
      <c r="Z429" s="391">
        <f t="shared" si="620"/>
        <v>6.9999999999999996E-10</v>
      </c>
      <c r="AA429" s="391">
        <f t="shared" si="621"/>
        <v>8.0000000000000003E-10</v>
      </c>
      <c r="AB429" s="391">
        <f t="shared" si="622"/>
        <v>8.9999999999999999E-10</v>
      </c>
      <c r="AC429" s="391">
        <f t="shared" si="653"/>
        <v>0</v>
      </c>
      <c r="AD429" s="391" t="b">
        <v>1</v>
      </c>
      <c r="AE429" s="391" t="b">
        <v>1</v>
      </c>
      <c r="AF429" s="391" t="b">
        <v>1</v>
      </c>
      <c r="AG429" s="391" t="b">
        <v>1</v>
      </c>
      <c r="AH429" s="391" t="b">
        <f t="shared" si="623"/>
        <v>0</v>
      </c>
      <c r="AI429" s="391" t="b">
        <f t="shared" si="624"/>
        <v>0</v>
      </c>
      <c r="AJ429" s="391" t="b">
        <f t="shared" si="625"/>
        <v>0</v>
      </c>
      <c r="AK429" s="391" t="b">
        <f t="shared" si="626"/>
        <v>0</v>
      </c>
      <c r="AL429" s="391" t="b">
        <f t="shared" si="627"/>
        <v>1</v>
      </c>
      <c r="AM429" s="391" t="b">
        <f t="shared" si="628"/>
        <v>0</v>
      </c>
    </row>
    <row r="430" spans="1:39" x14ac:dyDescent="0.3">
      <c r="A430" s="391" t="str">
        <f>'Reference Score Calculation'!A409</f>
        <v>JSSV05</v>
      </c>
      <c r="B430" s="391" t="str">
        <f>'Reference Score Calculation'!D409</f>
        <v>土木工程（榮譽）工學士</v>
      </c>
      <c r="C430" s="212"/>
      <c r="D430" s="391" t="str">
        <f>'Reference Score Calculation'!AD409</f>
        <v>4C1X</v>
      </c>
      <c r="E430" s="391" t="str">
        <f>入學要求!T418</f>
        <v>v</v>
      </c>
      <c r="F430" s="391" t="str">
        <f>入學要求!U418</f>
        <v>NO</v>
      </c>
      <c r="G430" s="391" t="str">
        <f>入學要求!V418</f>
        <v>v</v>
      </c>
      <c r="H430" s="391">
        <f t="shared" si="613"/>
        <v>1.9000000000000001E-9</v>
      </c>
      <c r="I430" s="391">
        <v>1</v>
      </c>
      <c r="J430" s="391">
        <v>1</v>
      </c>
      <c r="K430" s="391">
        <v>1</v>
      </c>
      <c r="L430" s="391">
        <v>1</v>
      </c>
      <c r="M430" s="391">
        <v>1</v>
      </c>
      <c r="N430" s="391">
        <v>1</v>
      </c>
      <c r="O430" s="391">
        <v>1</v>
      </c>
      <c r="P430" s="391">
        <v>1</v>
      </c>
      <c r="Q430" s="391">
        <v>1</v>
      </c>
      <c r="R430" s="391">
        <v>1</v>
      </c>
      <c r="T430" s="391">
        <f t="shared" si="614"/>
        <v>1E-10</v>
      </c>
      <c r="U430" s="391">
        <f t="shared" si="615"/>
        <v>2.0000000000000001E-10</v>
      </c>
      <c r="V430" s="391">
        <f t="shared" si="616"/>
        <v>3E-10</v>
      </c>
      <c r="W430" s="391">
        <f t="shared" si="617"/>
        <v>4.0000000000000001E-10</v>
      </c>
      <c r="X430" s="391">
        <f t="shared" si="618"/>
        <v>5.0000000000000003E-10</v>
      </c>
      <c r="Y430" s="391">
        <f t="shared" si="619"/>
        <v>6E-10</v>
      </c>
      <c r="Z430" s="391">
        <f t="shared" si="620"/>
        <v>6.9999999999999996E-10</v>
      </c>
      <c r="AA430" s="391">
        <f t="shared" si="621"/>
        <v>8.0000000000000003E-10</v>
      </c>
      <c r="AB430" s="391">
        <f t="shared" si="622"/>
        <v>8.9999999999999999E-10</v>
      </c>
      <c r="AC430" s="391">
        <f t="shared" si="653"/>
        <v>0</v>
      </c>
      <c r="AD430" s="391" t="b">
        <v>1</v>
      </c>
      <c r="AE430" s="391" t="b">
        <v>1</v>
      </c>
      <c r="AF430" s="391" t="b">
        <v>1</v>
      </c>
      <c r="AG430" s="391" t="b">
        <v>1</v>
      </c>
      <c r="AH430" s="391" t="b">
        <f t="shared" si="623"/>
        <v>0</v>
      </c>
      <c r="AI430" s="391" t="b">
        <f t="shared" si="624"/>
        <v>0</v>
      </c>
      <c r="AJ430" s="391" t="b">
        <f t="shared" si="625"/>
        <v>0</v>
      </c>
      <c r="AK430" s="391" t="b">
        <f t="shared" si="626"/>
        <v>0</v>
      </c>
      <c r="AL430" s="391" t="b">
        <f t="shared" si="627"/>
        <v>1</v>
      </c>
      <c r="AM430" s="391" t="b">
        <f t="shared" si="628"/>
        <v>0</v>
      </c>
    </row>
    <row r="431" spans="1:39" x14ac:dyDescent="0.3">
      <c r="A431" s="391" t="str">
        <f>'Reference Score Calculation'!A410</f>
        <v>JSSV07</v>
      </c>
      <c r="B431" s="391" t="str">
        <f>'Reference Score Calculation'!D410</f>
        <v>園藝樹藝及園境管理（榮譽）理學士</v>
      </c>
      <c r="C431" s="212"/>
      <c r="D431" s="391" t="str">
        <f>'Reference Score Calculation'!AD410</f>
        <v>4C1X</v>
      </c>
      <c r="E431" s="391" t="str">
        <f>入學要求!T419</f>
        <v>NO</v>
      </c>
      <c r="F431" s="391" t="str">
        <f>入學要求!U419</f>
        <v>NO</v>
      </c>
      <c r="G431" s="391" t="str">
        <f>入學要求!V419</f>
        <v>v</v>
      </c>
      <c r="H431" s="391">
        <f t="shared" si="613"/>
        <v>1.9000000000000001E-9</v>
      </c>
      <c r="I431" s="391">
        <v>1</v>
      </c>
      <c r="J431" s="391">
        <v>1</v>
      </c>
      <c r="K431" s="391">
        <v>1</v>
      </c>
      <c r="L431" s="391">
        <v>1</v>
      </c>
      <c r="M431" s="391">
        <v>1</v>
      </c>
      <c r="N431" s="391">
        <v>1</v>
      </c>
      <c r="O431" s="391">
        <v>1</v>
      </c>
      <c r="P431" s="391">
        <v>1</v>
      </c>
      <c r="Q431" s="391">
        <v>1</v>
      </c>
      <c r="R431" s="391">
        <v>1</v>
      </c>
      <c r="T431" s="391">
        <f t="shared" si="614"/>
        <v>1E-10</v>
      </c>
      <c r="U431" s="391">
        <f t="shared" si="615"/>
        <v>2.0000000000000001E-10</v>
      </c>
      <c r="V431" s="391">
        <f t="shared" si="616"/>
        <v>3E-10</v>
      </c>
      <c r="W431" s="391">
        <f t="shared" si="617"/>
        <v>4.0000000000000001E-10</v>
      </c>
      <c r="X431" s="391">
        <f t="shared" si="618"/>
        <v>0</v>
      </c>
      <c r="Y431" s="391">
        <f t="shared" si="619"/>
        <v>6E-10</v>
      </c>
      <c r="Z431" s="391">
        <f t="shared" si="620"/>
        <v>6.9999999999999996E-10</v>
      </c>
      <c r="AA431" s="391">
        <f t="shared" si="621"/>
        <v>8.0000000000000003E-10</v>
      </c>
      <c r="AB431" s="391">
        <f t="shared" si="622"/>
        <v>8.9999999999999999E-10</v>
      </c>
      <c r="AC431" s="391">
        <f t="shared" si="653"/>
        <v>0</v>
      </c>
      <c r="AD431" s="391" t="b">
        <v>1</v>
      </c>
      <c r="AE431" s="391" t="b">
        <v>1</v>
      </c>
      <c r="AF431" s="391" t="b">
        <v>1</v>
      </c>
      <c r="AG431" s="391" t="b">
        <v>1</v>
      </c>
      <c r="AH431" s="391" t="b">
        <f t="shared" si="623"/>
        <v>0</v>
      </c>
      <c r="AI431" s="391" t="b">
        <f t="shared" si="624"/>
        <v>0</v>
      </c>
      <c r="AJ431" s="391" t="b">
        <f t="shared" si="625"/>
        <v>0</v>
      </c>
      <c r="AK431" s="391" t="b">
        <f t="shared" si="626"/>
        <v>0</v>
      </c>
      <c r="AL431" s="391" t="b">
        <f t="shared" si="627"/>
        <v>1</v>
      </c>
      <c r="AM431" s="391" t="b">
        <f t="shared" si="628"/>
        <v>0</v>
      </c>
    </row>
    <row r="432" spans="1:39" x14ac:dyDescent="0.3">
      <c r="A432" s="391" t="str">
        <f>'Reference Score Calculation'!A411</f>
        <v>JSSV08</v>
      </c>
      <c r="B432" s="391" t="str">
        <f>'Reference Score Calculation'!D411</f>
        <v>測量學（榮譽）理學士</v>
      </c>
      <c r="C432" s="212"/>
      <c r="D432" s="391" t="str">
        <f>'Reference Score Calculation'!AD411</f>
        <v>4C1X</v>
      </c>
      <c r="E432" s="391" t="str">
        <f>入學要求!T420</f>
        <v>NO</v>
      </c>
      <c r="F432" s="391" t="str">
        <f>入學要求!U420</f>
        <v>NO</v>
      </c>
      <c r="G432" s="391" t="str">
        <f>入學要求!V420</f>
        <v>v</v>
      </c>
      <c r="H432" s="391">
        <f t="shared" si="613"/>
        <v>1.9000000000000001E-9</v>
      </c>
      <c r="I432" s="391">
        <v>1</v>
      </c>
      <c r="J432" s="391">
        <v>1</v>
      </c>
      <c r="K432" s="391">
        <v>1</v>
      </c>
      <c r="L432" s="391">
        <v>1</v>
      </c>
      <c r="M432" s="391">
        <v>1</v>
      </c>
      <c r="N432" s="391">
        <v>1</v>
      </c>
      <c r="O432" s="391">
        <v>1</v>
      </c>
      <c r="P432" s="391">
        <v>1</v>
      </c>
      <c r="Q432" s="391">
        <v>1</v>
      </c>
      <c r="R432" s="391">
        <v>1</v>
      </c>
      <c r="T432" s="391">
        <f t="shared" si="614"/>
        <v>1E-10</v>
      </c>
      <c r="U432" s="391">
        <f t="shared" si="615"/>
        <v>2.0000000000000001E-10</v>
      </c>
      <c r="V432" s="391">
        <f t="shared" si="616"/>
        <v>3E-10</v>
      </c>
      <c r="W432" s="391">
        <f t="shared" si="617"/>
        <v>4.0000000000000001E-10</v>
      </c>
      <c r="X432" s="391">
        <f t="shared" si="618"/>
        <v>0</v>
      </c>
      <c r="Y432" s="391">
        <f t="shared" si="619"/>
        <v>6E-10</v>
      </c>
      <c r="Z432" s="391">
        <f t="shared" si="620"/>
        <v>6.9999999999999996E-10</v>
      </c>
      <c r="AA432" s="391">
        <f t="shared" si="621"/>
        <v>8.0000000000000003E-10</v>
      </c>
      <c r="AB432" s="391">
        <f t="shared" si="622"/>
        <v>8.9999999999999999E-10</v>
      </c>
      <c r="AC432" s="391">
        <f t="shared" si="653"/>
        <v>0</v>
      </c>
      <c r="AD432" s="391" t="b">
        <v>1</v>
      </c>
      <c r="AE432" s="391" t="b">
        <v>1</v>
      </c>
      <c r="AF432" s="391" t="b">
        <v>1</v>
      </c>
      <c r="AG432" s="391" t="b">
        <v>1</v>
      </c>
      <c r="AH432" s="391" t="b">
        <f t="shared" si="623"/>
        <v>0</v>
      </c>
      <c r="AI432" s="391" t="b">
        <f t="shared" si="624"/>
        <v>0</v>
      </c>
      <c r="AJ432" s="391" t="b">
        <f t="shared" si="625"/>
        <v>0</v>
      </c>
      <c r="AK432" s="391" t="b">
        <f t="shared" si="626"/>
        <v>0</v>
      </c>
      <c r="AL432" s="391" t="b">
        <f t="shared" si="627"/>
        <v>1</v>
      </c>
      <c r="AM432" s="391" t="b">
        <f t="shared" si="628"/>
        <v>0</v>
      </c>
    </row>
    <row r="433" spans="1:39" x14ac:dyDescent="0.3">
      <c r="A433" s="391" t="str">
        <f>'Reference Score Calculation'!A412</f>
        <v>JSSV09</v>
      </c>
      <c r="B433" s="391" t="str">
        <f>'Reference Score Calculation'!D412</f>
        <v>運動及康樂管理（榮譽）社會科學學士</v>
      </c>
      <c r="C433" s="212"/>
      <c r="D433" s="391" t="str">
        <f>'Reference Score Calculation'!AD412</f>
        <v>4C1X</v>
      </c>
      <c r="E433" s="391" t="str">
        <f>入學要求!T421</f>
        <v>NO</v>
      </c>
      <c r="F433" s="391" t="str">
        <f>入學要求!U421</f>
        <v>NO</v>
      </c>
      <c r="G433" s="391" t="str">
        <f>入學要求!V421</f>
        <v>v</v>
      </c>
      <c r="H433" s="391">
        <f t="shared" si="613"/>
        <v>1.9000000000000001E-9</v>
      </c>
      <c r="I433" s="391">
        <v>1</v>
      </c>
      <c r="J433" s="391">
        <v>1</v>
      </c>
      <c r="K433" s="391">
        <v>1</v>
      </c>
      <c r="L433" s="391">
        <v>1</v>
      </c>
      <c r="M433" s="391">
        <v>1</v>
      </c>
      <c r="N433" s="391">
        <v>1</v>
      </c>
      <c r="O433" s="391">
        <v>1</v>
      </c>
      <c r="P433" s="391">
        <v>1</v>
      </c>
      <c r="Q433" s="391">
        <v>1</v>
      </c>
      <c r="R433" s="391">
        <v>1</v>
      </c>
      <c r="T433" s="391">
        <f t="shared" si="614"/>
        <v>1E-10</v>
      </c>
      <c r="U433" s="391">
        <f t="shared" si="615"/>
        <v>2.0000000000000001E-10</v>
      </c>
      <c r="V433" s="391">
        <f t="shared" si="616"/>
        <v>3E-10</v>
      </c>
      <c r="W433" s="391">
        <f t="shared" si="617"/>
        <v>4.0000000000000001E-10</v>
      </c>
      <c r="X433" s="391">
        <f t="shared" si="618"/>
        <v>0</v>
      </c>
      <c r="Y433" s="391">
        <f t="shared" si="619"/>
        <v>6E-10</v>
      </c>
      <c r="Z433" s="391">
        <f t="shared" si="620"/>
        <v>6.9999999999999996E-10</v>
      </c>
      <c r="AA433" s="391">
        <f t="shared" si="621"/>
        <v>8.0000000000000003E-10</v>
      </c>
      <c r="AB433" s="391">
        <f t="shared" si="622"/>
        <v>8.9999999999999999E-10</v>
      </c>
      <c r="AC433" s="391">
        <f t="shared" si="653"/>
        <v>0</v>
      </c>
      <c r="AD433" s="391" t="b">
        <v>1</v>
      </c>
      <c r="AE433" s="391" t="b">
        <v>1</v>
      </c>
      <c r="AF433" s="391" t="b">
        <v>1</v>
      </c>
      <c r="AG433" s="391" t="b">
        <v>1</v>
      </c>
      <c r="AH433" s="391" t="b">
        <f t="shared" si="623"/>
        <v>0</v>
      </c>
      <c r="AI433" s="391" t="b">
        <f t="shared" si="624"/>
        <v>0</v>
      </c>
      <c r="AJ433" s="391" t="b">
        <f t="shared" si="625"/>
        <v>0</v>
      </c>
      <c r="AK433" s="391" t="b">
        <f t="shared" si="626"/>
        <v>0</v>
      </c>
      <c r="AL433" s="391" t="b">
        <f t="shared" si="627"/>
        <v>1</v>
      </c>
      <c r="AM433" s="391" t="b">
        <f t="shared" si="628"/>
        <v>0</v>
      </c>
    </row>
    <row r="434" spans="1:39" x14ac:dyDescent="0.3">
      <c r="A434" s="391" t="str">
        <f>'Reference Score Calculation'!A413</f>
        <v>JSSW01</v>
      </c>
      <c r="B434" s="391" t="str">
        <f>'Reference Score Calculation'!D413</f>
        <v>由香港伍倫貢學院開辦：營運及管理（榮譽）航空學士</v>
      </c>
      <c r="C434" s="212"/>
      <c r="D434" s="391" t="str">
        <f>'Reference Score Calculation'!AD413</f>
        <v>無資料</v>
      </c>
      <c r="E434" s="391" t="str">
        <f>入學要求!T422</f>
        <v>NO</v>
      </c>
      <c r="F434" s="391" t="str">
        <f>入學要求!U422</f>
        <v>NO</v>
      </c>
      <c r="G434" s="391" t="str">
        <f>入學要求!V422</f>
        <v>NO</v>
      </c>
      <c r="H434" s="391">
        <f t="shared" si="613"/>
        <v>1.9000000000000001E-9</v>
      </c>
      <c r="I434" s="391">
        <v>1</v>
      </c>
      <c r="J434" s="391">
        <v>1</v>
      </c>
      <c r="K434" s="391">
        <v>1</v>
      </c>
      <c r="L434" s="391">
        <v>1</v>
      </c>
      <c r="M434" s="391">
        <v>1</v>
      </c>
      <c r="N434" s="391">
        <v>1</v>
      </c>
      <c r="O434" s="391">
        <v>1</v>
      </c>
      <c r="P434" s="391">
        <v>1</v>
      </c>
      <c r="Q434" s="391">
        <v>1</v>
      </c>
      <c r="R434" s="391">
        <v>1</v>
      </c>
      <c r="T434" s="391">
        <f t="shared" si="614"/>
        <v>1E-10</v>
      </c>
      <c r="U434" s="391">
        <f t="shared" si="615"/>
        <v>2.0000000000000001E-10</v>
      </c>
      <c r="V434" s="391">
        <f t="shared" si="616"/>
        <v>3E-10</v>
      </c>
      <c r="W434" s="391">
        <f t="shared" si="617"/>
        <v>4.0000000000000001E-10</v>
      </c>
      <c r="X434" s="391">
        <f t="shared" si="618"/>
        <v>0</v>
      </c>
      <c r="Y434" s="391">
        <f t="shared" si="619"/>
        <v>6E-10</v>
      </c>
      <c r="Z434" s="391">
        <f t="shared" si="620"/>
        <v>6.9999999999999996E-10</v>
      </c>
      <c r="AA434" s="391">
        <f t="shared" si="621"/>
        <v>8.0000000000000003E-10</v>
      </c>
      <c r="AB434" s="391">
        <f t="shared" si="622"/>
        <v>8.9999999999999999E-10</v>
      </c>
      <c r="AC434" s="391">
        <f>IF(F434="E",R$11*R434,0)</f>
        <v>0</v>
      </c>
      <c r="AD434" s="391" t="b">
        <v>1</v>
      </c>
      <c r="AE434" s="391" t="b">
        <v>1</v>
      </c>
      <c r="AF434" s="391" t="b">
        <v>1</v>
      </c>
      <c r="AG434" s="391" t="b">
        <v>1</v>
      </c>
      <c r="AH434" s="391" t="b">
        <f t="shared" si="623"/>
        <v>0</v>
      </c>
      <c r="AI434" s="391" t="b">
        <f t="shared" si="624"/>
        <v>0</v>
      </c>
      <c r="AJ434" s="391" t="b">
        <f t="shared" si="625"/>
        <v>0</v>
      </c>
      <c r="AK434" s="391" t="b">
        <f t="shared" si="626"/>
        <v>0</v>
      </c>
      <c r="AL434" s="391" t="b">
        <f t="shared" si="627"/>
        <v>1</v>
      </c>
      <c r="AM434" s="391" t="b">
        <f t="shared" si="628"/>
        <v>0</v>
      </c>
    </row>
    <row r="435" spans="1:39" x14ac:dyDescent="0.3">
      <c r="A435" s="391" t="str">
        <f>'Reference Score Calculation'!A414</f>
        <v>JSSY01</v>
      </c>
      <c r="B435" s="391" t="str">
        <f>'Reference Score Calculation'!D414</f>
        <v>由仁大開辦： 金融科技（榮譽）商學士</v>
      </c>
      <c r="C435" s="212"/>
      <c r="D435" s="391" t="str">
        <f>'Reference Score Calculation'!AD414</f>
        <v>Best 5</v>
      </c>
      <c r="E435" s="391" t="str">
        <f>入學要求!T423</f>
        <v>NO</v>
      </c>
      <c r="F435" s="391" t="str">
        <f>入學要求!U423</f>
        <v>NO</v>
      </c>
      <c r="G435" s="391" t="str">
        <f>入學要求!V423</f>
        <v>NO</v>
      </c>
      <c r="H435" s="391">
        <f t="shared" si="613"/>
        <v>3.3999999999999998E-9</v>
      </c>
      <c r="I435" s="391">
        <v>1</v>
      </c>
      <c r="J435" s="391">
        <v>1</v>
      </c>
      <c r="K435" s="391">
        <v>1</v>
      </c>
      <c r="L435" s="391">
        <v>1</v>
      </c>
      <c r="M435" s="391">
        <v>1</v>
      </c>
      <c r="N435" s="391">
        <v>1</v>
      </c>
      <c r="O435" s="391">
        <v>1</v>
      </c>
      <c r="P435" s="391">
        <v>1</v>
      </c>
      <c r="Q435" s="391">
        <v>1</v>
      </c>
      <c r="R435" s="391">
        <v>1</v>
      </c>
      <c r="T435" s="391">
        <f t="shared" si="614"/>
        <v>1E-10</v>
      </c>
      <c r="U435" s="391">
        <f t="shared" si="615"/>
        <v>2.0000000000000001E-10</v>
      </c>
      <c r="V435" s="391">
        <f t="shared" si="616"/>
        <v>3E-10</v>
      </c>
      <c r="W435" s="391">
        <f t="shared" si="617"/>
        <v>4.0000000000000001E-10</v>
      </c>
      <c r="X435" s="391">
        <f t="shared" si="618"/>
        <v>0</v>
      </c>
      <c r="Y435" s="391">
        <f t="shared" si="619"/>
        <v>6E-10</v>
      </c>
      <c r="Z435" s="391">
        <f t="shared" si="620"/>
        <v>6.9999999999999996E-10</v>
      </c>
      <c r="AA435" s="391">
        <f t="shared" si="621"/>
        <v>8.0000000000000003E-10</v>
      </c>
      <c r="AB435" s="391">
        <f t="shared" si="622"/>
        <v>8.9999999999999999E-10</v>
      </c>
      <c r="AC435" s="391">
        <f t="shared" si="641"/>
        <v>0</v>
      </c>
      <c r="AD435" s="391" t="b">
        <f t="shared" ref="AD435" si="654">IF(T435&gt;LARGE($T435:$AC435,6),TRUE)</f>
        <v>0</v>
      </c>
      <c r="AE435" s="391" t="b">
        <f t="shared" ref="AE435" si="655">IF(U435&gt;LARGE($T435:$AC435,6),TRUE)</f>
        <v>0</v>
      </c>
      <c r="AF435" s="391" t="b">
        <f t="shared" ref="AF435" si="656">IF(V435&gt;LARGE($T435:$AC435,6),TRUE)</f>
        <v>0</v>
      </c>
      <c r="AG435" s="391" t="b">
        <f t="shared" ref="AG435" si="657">IF(W435&gt;LARGE($T435:$AC435,6),TRUE)</f>
        <v>1</v>
      </c>
      <c r="AH435" s="391" t="b">
        <f t="shared" ref="AH435" si="658">IF(X435&gt;LARGE($T435:$AC435,6),TRUE)</f>
        <v>0</v>
      </c>
      <c r="AI435" s="391" t="b">
        <f t="shared" ref="AI435" si="659">IF(Y435&gt;LARGE($T435:$AC435,6),TRUE)</f>
        <v>1</v>
      </c>
      <c r="AJ435" s="391" t="b">
        <f t="shared" ref="AJ435" si="660">IF(Z435&gt;LARGE($T435:$AC435,6),TRUE)</f>
        <v>1</v>
      </c>
      <c r="AK435" s="391" t="b">
        <f t="shared" ref="AK435" si="661">IF(AA435&gt;LARGE($T435:$AC435,6),TRUE)</f>
        <v>1</v>
      </c>
      <c r="AL435" s="391" t="b">
        <f t="shared" ref="AL435" si="662">IF(AB435&gt;LARGE($T435:$AC435,6),TRUE)</f>
        <v>1</v>
      </c>
      <c r="AM435" s="391" t="b">
        <f t="shared" ref="AM435" si="663">IF(AC435&gt;LARGE($T435:$AC435,6),TRUE)</f>
        <v>0</v>
      </c>
    </row>
  </sheetData>
  <phoneticPr fontId="2" type="noConversion"/>
  <conditionalFormatting sqref="A392:S435">
    <cfRule type="expression" dxfId="51" priority="83">
      <formula>MOD(ROW(),2)=0</formula>
    </cfRule>
  </conditionalFormatting>
  <conditionalFormatting sqref="A113:AM157">
    <cfRule type="expression" dxfId="50" priority="82">
      <formula>MOD(ROW(),2)=0</formula>
    </cfRule>
  </conditionalFormatting>
  <conditionalFormatting sqref="A230:AM255">
    <cfRule type="expression" dxfId="49" priority="81">
      <formula>MOD(ROW(),2)=0</formula>
    </cfRule>
  </conditionalFormatting>
  <conditionalFormatting sqref="A34:AM87">
    <cfRule type="expression" dxfId="48" priority="80">
      <formula>MOD(ROW(),2)=0</formula>
    </cfRule>
  </conditionalFormatting>
  <conditionalFormatting sqref="A328:H351 A354:AM389">
    <cfRule type="expression" dxfId="47" priority="79">
      <formula>MOD(ROW(),2)=0</formula>
    </cfRule>
  </conditionalFormatting>
  <conditionalFormatting sqref="A308:AM325">
    <cfRule type="expression" dxfId="46" priority="78">
      <formula>MOD(ROW(),2)=0</formula>
    </cfRule>
  </conditionalFormatting>
  <conditionalFormatting sqref="C259:C304 A259:B305 A258:AM258 D259:AM305">
    <cfRule type="expression" dxfId="45" priority="68">
      <formula>MOD(ROW(),2)=0</formula>
    </cfRule>
  </conditionalFormatting>
  <conditionalFormatting sqref="E34:G87">
    <cfRule type="expression" dxfId="44" priority="54">
      <formula>MOD(ROW(),2)=0</formula>
    </cfRule>
  </conditionalFormatting>
  <conditionalFormatting sqref="I34:S87 I90:R110">
    <cfRule type="cellIs" dxfId="43" priority="38" operator="greaterThan">
      <formula>1</formula>
    </cfRule>
  </conditionalFormatting>
  <conditionalFormatting sqref="I51:R51">
    <cfRule type="cellIs" dxfId="42" priority="52" operator="greaterThan">
      <formula>1</formula>
    </cfRule>
  </conditionalFormatting>
  <conditionalFormatting sqref="D34:D87">
    <cfRule type="expression" dxfId="41" priority="49">
      <formula>MOD(ROW(),2)=0</formula>
    </cfRule>
  </conditionalFormatting>
  <conditionalFormatting sqref="AP55:AW55 AP79:AY79 AP45 AS45:AY45 AP62 AS62:AY62 AD34:AM87">
    <cfRule type="expression" dxfId="40" priority="48">
      <formula>AD34=TRUE</formula>
    </cfRule>
  </conditionalFormatting>
  <conditionalFormatting sqref="T34:AC87">
    <cfRule type="expression" dxfId="39" priority="47">
      <formula>AD34=TRUE</formula>
    </cfRule>
  </conditionalFormatting>
  <conditionalFormatting sqref="AI58:AM58 AH34:AH87 AI52:AM52 AI73:AM73 AI78:AL78">
    <cfRule type="expression" dxfId="38" priority="46">
      <formula>IF($E34="v",FALSE,TRUE)</formula>
    </cfRule>
  </conditionalFormatting>
  <conditionalFormatting sqref="AM34:AM87">
    <cfRule type="expression" dxfId="37" priority="45">
      <formula>IF($F34="E",FALSE,TRUE)</formula>
    </cfRule>
  </conditionalFormatting>
  <conditionalFormatting sqref="AP69:AY69">
    <cfRule type="expression" dxfId="36" priority="43">
      <formula>AP69=TRUE</formula>
    </cfRule>
  </conditionalFormatting>
  <conditionalFormatting sqref="AD90:AM110">
    <cfRule type="expression" dxfId="35" priority="40">
      <formula>AD90=TRUE</formula>
    </cfRule>
  </conditionalFormatting>
  <conditionalFormatting sqref="T90:AC110">
    <cfRule type="expression" dxfId="34" priority="39">
      <formula>AD90=TRUE</formula>
    </cfRule>
  </conditionalFormatting>
  <conditionalFormatting sqref="A90:AM110">
    <cfRule type="expression" dxfId="33" priority="53">
      <formula>MOD(ROW(),2)=0</formula>
    </cfRule>
  </conditionalFormatting>
  <conditionalFormatting sqref="AD113:AM157">
    <cfRule type="expression" dxfId="32" priority="37">
      <formula>AD113=TRUE</formula>
    </cfRule>
  </conditionalFormatting>
  <conditionalFormatting sqref="T113:AC157">
    <cfRule type="expression" dxfId="31" priority="36">
      <formula>AD113=TRUE</formula>
    </cfRule>
  </conditionalFormatting>
  <conditionalFormatting sqref="AD160:AM227">
    <cfRule type="expression" dxfId="30" priority="34">
      <formula>AD160=TRUE</formula>
    </cfRule>
  </conditionalFormatting>
  <conditionalFormatting sqref="T160:AC227">
    <cfRule type="expression" dxfId="29" priority="30">
      <formula>AD160=TRUE</formula>
    </cfRule>
  </conditionalFormatting>
  <conditionalFormatting sqref="AP167:AY167">
    <cfRule type="expression" dxfId="28" priority="32">
      <formula>AP167</formula>
    </cfRule>
  </conditionalFormatting>
  <conditionalFormatting sqref="AP179:AY179">
    <cfRule type="expression" dxfId="27" priority="31">
      <formula>AP179</formula>
    </cfRule>
  </conditionalFormatting>
  <conditionalFormatting sqref="A160:AM227">
    <cfRule type="expression" dxfId="26" priority="35">
      <formula>MOD(ROW(),2)=0</formula>
    </cfRule>
  </conditionalFormatting>
  <conditionalFormatting sqref="AD230:AM255">
    <cfRule type="expression" dxfId="25" priority="29">
      <formula>AD230=TRUE</formula>
    </cfRule>
  </conditionalFormatting>
  <conditionalFormatting sqref="T230:AC255">
    <cfRule type="expression" dxfId="24" priority="28">
      <formula>AD230=TRUE</formula>
    </cfRule>
  </conditionalFormatting>
  <conditionalFormatting sqref="BA225:BJ225">
    <cfRule type="expression" dxfId="23" priority="27">
      <formula>BA225</formula>
    </cfRule>
  </conditionalFormatting>
  <conditionalFormatting sqref="BD229:BM229">
    <cfRule type="expression" dxfId="22" priority="26">
      <formula>BD229</formula>
    </cfRule>
  </conditionalFormatting>
  <conditionalFormatting sqref="BD233:BM233">
    <cfRule type="expression" dxfId="21" priority="25">
      <formula>BD233</formula>
    </cfRule>
  </conditionalFormatting>
  <conditionalFormatting sqref="BA237:BJ237">
    <cfRule type="expression" dxfId="20" priority="24">
      <formula>BA237</formula>
    </cfRule>
  </conditionalFormatting>
  <conditionalFormatting sqref="BA242:BJ242">
    <cfRule type="expression" dxfId="19" priority="23">
      <formula>BA242</formula>
    </cfRule>
  </conditionalFormatting>
  <conditionalFormatting sqref="BA246:BJ246">
    <cfRule type="expression" dxfId="18" priority="22">
      <formula>BA246</formula>
    </cfRule>
  </conditionalFormatting>
  <conditionalFormatting sqref="BA250:BJ250">
    <cfRule type="expression" dxfId="17" priority="21">
      <formula>BA250</formula>
    </cfRule>
  </conditionalFormatting>
  <conditionalFormatting sqref="BA238:BJ238">
    <cfRule type="expression" dxfId="16" priority="19">
      <formula>BA238</formula>
    </cfRule>
  </conditionalFormatting>
  <conditionalFormatting sqref="BA254:BJ254">
    <cfRule type="expression" dxfId="15" priority="18">
      <formula>BA254</formula>
    </cfRule>
  </conditionalFormatting>
  <conditionalFormatting sqref="AD258:AM305">
    <cfRule type="expression" dxfId="14" priority="17">
      <formula>AD258=TRUE</formula>
    </cfRule>
  </conditionalFormatting>
  <conditionalFormatting sqref="T258:AB305 U290:AC291 T291:AC291 T288:AC288 T286:AC286 T272:AC272">
    <cfRule type="expression" dxfId="13" priority="16">
      <formula>AD258=TRUE</formula>
    </cfRule>
  </conditionalFormatting>
  <conditionalFormatting sqref="AV261:BE261">
    <cfRule type="expression" dxfId="12" priority="15">
      <formula>AV261</formula>
    </cfRule>
  </conditionalFormatting>
  <conditionalFormatting sqref="AY266:BH266">
    <cfRule type="expression" dxfId="11" priority="14">
      <formula>AY266</formula>
    </cfRule>
  </conditionalFormatting>
  <conditionalFormatting sqref="AY270 BB270:BH270">
    <cfRule type="expression" dxfId="10" priority="13">
      <formula>AY270</formula>
    </cfRule>
  </conditionalFormatting>
  <conditionalFormatting sqref="BA274:BJ274">
    <cfRule type="expression" dxfId="9" priority="12">
      <formula>BA274</formula>
    </cfRule>
  </conditionalFormatting>
  <conditionalFormatting sqref="AY278 BA278:BH278">
    <cfRule type="expression" dxfId="8" priority="11">
      <formula>AY278</formula>
    </cfRule>
  </conditionalFormatting>
  <conditionalFormatting sqref="AZ270">
    <cfRule type="expression" dxfId="7" priority="10">
      <formula>AZ270</formula>
    </cfRule>
  </conditionalFormatting>
  <conditionalFormatting sqref="BA270">
    <cfRule type="expression" dxfId="6" priority="9">
      <formula>BA270</formula>
    </cfRule>
  </conditionalFormatting>
  <conditionalFormatting sqref="AZ278">
    <cfRule type="expression" dxfId="5" priority="8">
      <formula>AZ278</formula>
    </cfRule>
  </conditionalFormatting>
  <conditionalFormatting sqref="AZ282">
    <cfRule type="expression" dxfId="4" priority="3">
      <formula>AZ282</formula>
    </cfRule>
  </conditionalFormatting>
  <conditionalFormatting sqref="AY282 BB282:BC282">
    <cfRule type="expression" dxfId="3" priority="7">
      <formula>AY282</formula>
    </cfRule>
  </conditionalFormatting>
  <conditionalFormatting sqref="BA282">
    <cfRule type="expression" dxfId="2" priority="2">
      <formula>BA282</formula>
    </cfRule>
  </conditionalFormatting>
  <conditionalFormatting sqref="BD282:BH282">
    <cfRule type="expression" dxfId="1" priority="4">
      <formula>BD282</formula>
    </cfRule>
  </conditionalFormatting>
  <conditionalFormatting sqref="AD308:AM325">
    <cfRule type="expression" dxfId="0" priority="1">
      <formula>AD308=TRUE</formula>
    </cfRule>
  </conditionalFormatting>
  <pageMargins left="0.7" right="0.7" top="0.75" bottom="0.75" header="0.3" footer="0.3"/>
  <pageSetup paperSize="9" orientation="portrait" horizontalDpi="1200" verticalDpi="120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30A00161B6D124EBFED7AE90E865BF4" ma:contentTypeVersion="14" ma:contentTypeDescription="Create a new document." ma:contentTypeScope="" ma:versionID="d80e6f3ead7b0a9b932b421fa31db9ce">
  <xsd:schema xmlns:xsd="http://www.w3.org/2001/XMLSchema" xmlns:xs="http://www.w3.org/2001/XMLSchema" xmlns:p="http://schemas.microsoft.com/office/2006/metadata/properties" xmlns:ns3="d0ea7274-d0ef-4ec7-8b2a-e2b30de4fb4b" xmlns:ns4="1142418a-007b-4663-b779-34027ba3bae5" targetNamespace="http://schemas.microsoft.com/office/2006/metadata/properties" ma:root="true" ma:fieldsID="b28ae9cd6fa1f23395a9c4cc22b46ce6" ns3:_="" ns4:_="">
    <xsd:import namespace="d0ea7274-d0ef-4ec7-8b2a-e2b30de4fb4b"/>
    <xsd:import namespace="1142418a-007b-4663-b779-34027ba3bae5"/>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ea7274-d0ef-4ec7-8b2a-e2b30de4fb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142418a-007b-4663-b779-34027ba3bae5"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4EC20A-D89C-4F0B-8816-AB5D261A2796}">
  <ds:schemaRefs>
    <ds:schemaRef ds:uri="http://schemas.microsoft.com/sharepoint/v3/contenttype/forms"/>
  </ds:schemaRefs>
</ds:datastoreItem>
</file>

<file path=customXml/itemProps2.xml><?xml version="1.0" encoding="utf-8"?>
<ds:datastoreItem xmlns:ds="http://schemas.openxmlformats.org/officeDocument/2006/customXml" ds:itemID="{E3933648-3F35-4F5C-AA06-88BFBCC5DBFE}">
  <ds:schemaRefs>
    <ds:schemaRef ds:uri="1142418a-007b-4663-b779-34027ba3bae5"/>
    <ds:schemaRef ds:uri="http://schemas.microsoft.com/office/infopath/2007/PartnerControls"/>
    <ds:schemaRef ds:uri="http://purl.org/dc/dcmitype/"/>
    <ds:schemaRef ds:uri="http://schemas.microsoft.com/office/2006/metadata/properties"/>
    <ds:schemaRef ds:uri="http://schemas.openxmlformats.org/package/2006/metadata/core-properties"/>
    <ds:schemaRef ds:uri="http://purl.org/dc/terms/"/>
    <ds:schemaRef ds:uri="http://purl.org/dc/elements/1.1/"/>
    <ds:schemaRef ds:uri="http://schemas.microsoft.com/office/2006/documentManagement/types"/>
    <ds:schemaRef ds:uri="d0ea7274-d0ef-4ec7-8b2a-e2b30de4fb4b"/>
    <ds:schemaRef ds:uri="http://www.w3.org/XML/1998/namespace"/>
  </ds:schemaRefs>
</ds:datastoreItem>
</file>

<file path=customXml/itemProps3.xml><?xml version="1.0" encoding="utf-8"?>
<ds:datastoreItem xmlns:ds="http://schemas.openxmlformats.org/officeDocument/2006/customXml" ds:itemID="{DC12D737-D077-42D7-800C-F82033AF3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ea7274-d0ef-4ec7-8b2a-e2b30de4fb4b"/>
    <ds:schemaRef ds:uri="1142418a-007b-4663-b779-34027ba3bae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開始</vt:lpstr>
      <vt:lpstr>主頁</vt:lpstr>
      <vt:lpstr>All in One</vt:lpstr>
      <vt:lpstr>CityU</vt:lpstr>
      <vt:lpstr>HKBU</vt:lpstr>
      <vt:lpstr>PolyU</vt:lpstr>
      <vt:lpstr>CUHK</vt:lpstr>
      <vt:lpstr>HKUST</vt:lpstr>
      <vt:lpstr>HKU</vt:lpstr>
      <vt:lpstr>LingU</vt:lpstr>
      <vt:lpstr>EdUHK</vt:lpstr>
      <vt:lpstr>HKMU</vt:lpstr>
      <vt:lpstr>SSSDP</vt:lpstr>
      <vt:lpstr>Retake 扣分</vt:lpstr>
      <vt:lpstr>Programme List (2021 &amp; 2022)</vt:lpstr>
      <vt:lpstr>入學要求</vt:lpstr>
      <vt:lpstr>Reference Score Calculation</vt:lpstr>
      <vt:lpstr>選單</vt:lpstr>
      <vt:lpstr>A123</vt:lpstr>
      <vt:lpstr>PolyU Score Calculation</vt:lpstr>
      <vt:lpstr>Offer Statistics</vt:lpstr>
      <vt:lpstr>計分版</vt:lpstr>
      <vt:lpstr>丙類科目等級</vt:lpstr>
      <vt:lpstr>丙類選修科</vt:lpstr>
      <vt:lpstr>差</vt:lpstr>
      <vt:lpstr>差距ULM</vt:lpstr>
      <vt:lpstr>差距UML</vt:lpstr>
      <vt:lpstr>第二選修科</vt:lpstr>
      <vt:lpstr>第三選修科</vt:lpstr>
      <vt:lpstr>第四選修科</vt:lpstr>
      <vt:lpstr>等級</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Chan</dc:creator>
  <cp:keywords/>
  <dc:description/>
  <cp:lastModifiedBy>Michael Chan</cp:lastModifiedBy>
  <cp:revision/>
  <dcterms:created xsi:type="dcterms:W3CDTF">2020-07-04T18:52:02Z</dcterms:created>
  <dcterms:modified xsi:type="dcterms:W3CDTF">2022-07-22T13:17:58Z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0x010100030A00161B6D124EBFED7AE90E865BF4</vt:lpwstr>
  </property>
</Properties>
</file>